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omments19.xml" ContentType="application/vnd.openxmlformats-officedocument.spreadsheetml.comments+xml"/>
  <Override PartName="/xl/drawings/drawing24.xml" ContentType="application/vnd.openxmlformats-officedocument.drawing+xml"/>
  <Override PartName="/xl/comments20.xml" ContentType="application/vnd.openxmlformats-officedocument.spreadsheetml.comments+xml"/>
  <Override PartName="/xl/drawings/drawing25.xml" ContentType="application/vnd.openxmlformats-officedocument.drawing+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comments25.xml" ContentType="application/vnd.openxmlformats-officedocument.spreadsheetml.comments+xml"/>
  <Override PartName="/xl/drawings/drawing30.xml" ContentType="application/vnd.openxmlformats-officedocument.drawing+xml"/>
  <Override PartName="/xl/comments26.xml" ContentType="application/vnd.openxmlformats-officedocument.spreadsheetml.comments+xml"/>
  <Override PartName="/xl/drawings/drawing31.xml" ContentType="application/vnd.openxmlformats-officedocument.drawing+xml"/>
  <Override PartName="/xl/comments27.xml" ContentType="application/vnd.openxmlformats-officedocument.spreadsheetml.comments+xml"/>
  <Override PartName="/xl/drawings/drawing32.xml" ContentType="application/vnd.openxmlformats-officedocument.drawing+xml"/>
  <Override PartName="/xl/comments28.xml" ContentType="application/vnd.openxmlformats-officedocument.spreadsheetml.comments+xml"/>
  <Override PartName="/xl/drawings/drawing33.xml" ContentType="application/vnd.openxmlformats-officedocument.drawing+xml"/>
  <Override PartName="/xl/comments29.xml" ContentType="application/vnd.openxmlformats-officedocument.spreadsheetml.comments+xml"/>
  <Override PartName="/xl/drawings/drawing34.xml" ContentType="application/vnd.openxmlformats-officedocument.drawing+xml"/>
  <Override PartName="/xl/comments30.xml" ContentType="application/vnd.openxmlformats-officedocument.spreadsheetml.comments+xml"/>
  <Override PartName="/xl/drawings/drawing35.xml" ContentType="application/vnd.openxmlformats-officedocument.drawing+xml"/>
  <Override PartName="/xl/comments31.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comments32.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33.xml" ContentType="application/vnd.openxmlformats-officedocument.spreadsheetml.comments+xml"/>
  <Override PartName="/xl/drawings/drawing40.xml" ContentType="application/vnd.openxmlformats-officedocument.drawing+xml"/>
  <Override PartName="/xl/comments34.xml" ContentType="application/vnd.openxmlformats-officedocument.spreadsheetml.comments+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omments35.xml" ContentType="application/vnd.openxmlformats-officedocument.spreadsheetml.comments+xml"/>
  <Override PartName="/xl/drawings/drawing5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mc:AlternateContent xmlns:mc="http://schemas.openxmlformats.org/markup-compatibility/2006">
    <mc:Choice Requires="x15">
      <x15ac:absPath xmlns:x15ac="http://schemas.microsoft.com/office/spreadsheetml/2010/11/ac" url="H:\Mon Drive\Clé usb\FoFGTA\Mayotte\"/>
    </mc:Choice>
  </mc:AlternateContent>
  <xr:revisionPtr revIDLastSave="0" documentId="8_{0778F7A4-B2CB-40F6-A980-4DA2659BC555}" xr6:coauthVersionLast="47" xr6:coauthVersionMax="47" xr10:uidLastSave="{00000000-0000-0000-0000-000000000000}"/>
  <bookViews>
    <workbookView xWindow="-120" yWindow="-120" windowWidth="20730" windowHeight="11160" tabRatio="765" xr2:uid="{00000000-000D-0000-FFFF-FFFF00000000}"/>
  </bookViews>
  <sheets>
    <sheet name="Mode d'utilisation" sheetId="30" r:id="rId1"/>
    <sheet name="Report" sheetId="54" r:id="rId2"/>
    <sheet name="Base" sheetId="59" r:id="rId3"/>
    <sheet name="Outils de conversions" sheetId="82" r:id="rId4"/>
    <sheet name="Identification" sheetId="1" r:id="rId5"/>
    <sheet name="Liste des Libellés" sheetId="73" r:id="rId6"/>
    <sheet name="Fiche info" sheetId="2" r:id="rId7"/>
    <sheet name="Fiche info Avenant 1" sheetId="26" r:id="rId8"/>
    <sheet name="Fiche info Avenant 2" sheetId="27" state="hidden" r:id="rId9"/>
    <sheet name="Fiche info Avenant 3" sheetId="31" state="hidden" r:id="rId10"/>
    <sheet name="Fiche info Avenant 4" sheetId="32" state="hidden" r:id="rId11"/>
    <sheet name="Fiche info Avenant 5" sheetId="33" state="hidden" r:id="rId12"/>
    <sheet name="Fiche info Avenant 6" sheetId="67" state="hidden" r:id="rId13"/>
    <sheet name="Fiche info Avenant 7" sheetId="68" state="hidden" r:id="rId14"/>
    <sheet name="Fiche info Avenant 8" sheetId="69" state="hidden" r:id="rId15"/>
    <sheet name="Fiche info Avenant 9" sheetId="70" state="hidden" r:id="rId16"/>
    <sheet name="Fiche info Avenant 10" sheetId="71" state="hidden" r:id="rId17"/>
    <sheet name="Fiche info CDD C.Durée" sheetId="55" r:id="rId18"/>
    <sheet name="Fiche info CDD_ Avenant 1" sheetId="56" state="hidden" r:id="rId19"/>
    <sheet name="Fiche info CDD_ Avenant 2" sheetId="57" state="hidden" r:id="rId20"/>
    <sheet name="Maladie" sheetId="84" r:id="rId21"/>
    <sheet name="Déclaration pajemploi" sheetId="50" r:id="rId22"/>
    <sheet name="Feuilles_de_présence_planning" sheetId="72" r:id="rId23"/>
    <sheet name="Janvier" sheetId="4" r:id="rId24"/>
    <sheet name="Février" sheetId="5" r:id="rId25"/>
    <sheet name="Mars" sheetId="6" r:id="rId26"/>
    <sheet name="Avril" sheetId="7" r:id="rId27"/>
    <sheet name="Mai" sheetId="8" r:id="rId28"/>
    <sheet name="CP Année Incomplète au 31-05" sheetId="60" r:id="rId29"/>
    <sheet name="CP Année Complète au 31-05" sheetId="63" r:id="rId30"/>
    <sheet name="Juin" sheetId="9" r:id="rId31"/>
    <sheet name="Juillet" sheetId="10" r:id="rId32"/>
    <sheet name="Aout" sheetId="11" r:id="rId33"/>
    <sheet name="Septembre" sheetId="12" r:id="rId34"/>
    <sheet name="Octobre" sheetId="13" r:id="rId35"/>
    <sheet name="Novembre" sheetId="14" r:id="rId36"/>
    <sheet name="Décembre" sheetId="15" r:id="rId37"/>
    <sheet name="Impôts" sheetId="16" r:id="rId38"/>
    <sheet name="Régularisation" sheetId="74" r:id="rId39"/>
    <sheet name="Relevé de la Régularisation" sheetId="75" r:id="rId40"/>
    <sheet name="Ind Comp. de CP A. Incomplète" sheetId="62" r:id="rId41"/>
    <sheet name="Ind Comp. de  CP A. Complète" sheetId="58" r:id="rId42"/>
    <sheet name="Indemnité rupture" sheetId="25" r:id="rId43"/>
    <sheet name="Aide attest France Travail" sheetId="80" r:id="rId44"/>
    <sheet name="Tableau de bord" sheetId="83" r:id="rId45"/>
    <sheet name="Salaire mensuel base 10%" sheetId="85" r:id="rId46"/>
    <sheet name="Retenue Janv" sheetId="18" r:id="rId47"/>
    <sheet name="Retenue Fev" sheetId="35" r:id="rId48"/>
    <sheet name="Retenue Mars" sheetId="36" r:id="rId49"/>
    <sheet name="Retenue Avril" sheetId="37" r:id="rId50"/>
    <sheet name="Retenue Mai" sheetId="38" r:id="rId51"/>
    <sheet name="Retenue Juin" sheetId="39" r:id="rId52"/>
    <sheet name="Retenue Juil" sheetId="40" r:id="rId53"/>
    <sheet name="Retenue Aout" sheetId="41" r:id="rId54"/>
    <sheet name="Retenue Sept" sheetId="42" r:id="rId55"/>
    <sheet name="Retenue Oct" sheetId="43" r:id="rId56"/>
    <sheet name="Retenue Nov" sheetId="44" r:id="rId57"/>
    <sheet name="Retenue Déc" sheetId="45" r:id="rId58"/>
    <sheet name="S.CAL" sheetId="34" state="hidden" r:id="rId59"/>
    <sheet name="Taux_cotisations" sheetId="53" r:id="rId60"/>
    <sheet name="Pajemploi" sheetId="51" state="hidden" r:id="rId61"/>
    <sheet name="Info pour CP" sheetId="28" state="hidden" r:id="rId62"/>
    <sheet name="Calendrier" sheetId="81" state="hidden" r:id="rId63"/>
    <sheet name="BDDregul" sheetId="76" state="hidden" r:id="rId64"/>
    <sheet name="BDDavances" sheetId="77" state="hidden" r:id="rId65"/>
    <sheet name="CAF-APL" sheetId="52" state="hidden" r:id="rId66"/>
    <sheet name="Bddconge" sheetId="79" state="hidden" r:id="rId67"/>
  </sheets>
  <definedNames>
    <definedName name="__xlnm.Print_Area" localSheetId="32">Aout!$A$1:$AI$81</definedName>
    <definedName name="__xlnm.Print_Area" localSheetId="26">Avril!$A$1:$AI$81</definedName>
    <definedName name="__xlnm.Print_Area" localSheetId="36">Décembre!$A$1:$AI$81</definedName>
    <definedName name="__xlnm.Print_Area" localSheetId="24">Février!$A$1:$AI$81</definedName>
    <definedName name="__xlnm.Print_Area" localSheetId="23">Janvier!$A$1:$AI$81</definedName>
    <definedName name="__xlnm.Print_Area" localSheetId="31">Juillet!$A$1:$AJ$81</definedName>
    <definedName name="__xlnm.Print_Area" localSheetId="30">Juin!$A$1:$AI$81</definedName>
    <definedName name="__xlnm.Print_Area" localSheetId="27">Mai!$A$1:$AI$81</definedName>
    <definedName name="__xlnm.Print_Area" localSheetId="25">Mars!$A$1:$AI$81</definedName>
    <definedName name="__xlnm.Print_Area" localSheetId="35">Novembre!$A$1:$AI$81</definedName>
    <definedName name="__xlnm.Print_Area" localSheetId="34">Octobre!$A$1:$AI$81</definedName>
    <definedName name="__xlnm.Print_Area" localSheetId="33">Septembre!$A$1:$AI$81</definedName>
    <definedName name="base_donné_contrat">S.CAL!$Z$2:$AV$17</definedName>
    <definedName name="base_feries">Calendrier!$B$2:$B$14</definedName>
    <definedName name="Base_feuille_présence_heure_potentiel">Feuilles_de_présence_planning!$DU$10:$EE$538</definedName>
    <definedName name="Base_heures">S.CAL!$A$2:$F$897</definedName>
    <definedName name="base_horaire">S.CAL!$BX$2:$CF$897</definedName>
    <definedName name="Base_methode_HS">S.CAL!$AY$2:$AY$3</definedName>
    <definedName name="base_nbre_sem_mensu">S.CAL!$DB$2:$DC$13</definedName>
    <definedName name="base_pajemploi">Pajemploi!$A$5:$M$34</definedName>
    <definedName name="base_retenue">S.CAL!$GL$3:$GV$14</definedName>
    <definedName name="base_smic">Identification!$A$106:$B$113</definedName>
    <definedName name="basesem">S.CAL!$L$1:$M$129</definedName>
    <definedName name="BDD">Base!$A$4:$CX$501</definedName>
    <definedName name="Bddconge">Bddconge!$A$3:$G$14</definedName>
    <definedName name="bddrupture">'Indemnité rupture'!$AO$1:$AQ$12</definedName>
    <definedName name="calendrier_bs">S.CAL!$CU$1:$CU$3</definedName>
    <definedName name="_xlnm.Print_Titles" localSheetId="60">Pajemploi!$A:$A</definedName>
    <definedName name="Liste_Année_deroulante">S.CAL!$CK$2:$CK$38</definedName>
    <definedName name="liste_attestation_modif_pole">S.CAL!$ET$2:$ET$16</definedName>
    <definedName name="liste_B35">S.CAL!$FT$2:$FT$3</definedName>
    <definedName name="liste_hrs_jrs">S.CAL!$HA$1:$HA$3</definedName>
    <definedName name="liste_meth_ind_rup">S.CAL!$CM$2:$CM$4</definedName>
    <definedName name="Liste_mois">Pajemploi!$A$43:$A$54</definedName>
    <definedName name="Liste_mois_année_CP">S.CAL!$CR$2:$CR$8</definedName>
    <definedName name="Liste_mois_deroulante">S.CAL!$CI$2:$CI$14</definedName>
    <definedName name="Liste_mois_recherche">S.CAL!$CI$3:$CJ$14</definedName>
    <definedName name="liste_motif">'Liste des Libellés'!$A$4:$A$32</definedName>
    <definedName name="Liste_motif_formule">'Liste des Libellés'!$A$4:$K$32</definedName>
    <definedName name="liste_vide_oui_non">S.CAL!$HC$1:$HC$3</definedName>
    <definedName name="motif_rupture">S.CAL!$FO$1:$FO$3</definedName>
    <definedName name="planning_fp">Feuilles_de_présence_planning!$AL$1:$BE$541</definedName>
    <definedName name="Retenue_FP">Feuilles_de_présence_planning!$AX$1:$BD$541</definedName>
    <definedName name="Source_liste_fiche">S.CAL!$P$2:$P$17</definedName>
    <definedName name="Source_liste_fiche2">S.CAL!$CY$2:$CY$16</definedName>
    <definedName name="Source_pose_CP">S.CAL!$BJ$2:$BJ$3</definedName>
    <definedName name="tab_regularisation">S.CAL!$GG$3:$GH$14</definedName>
    <definedName name="table_base_coef_patronale">Taux_cotisations!$A$110:$M$136</definedName>
    <definedName name="table_base_coef_salariale">Taux_cotisations!$A$75:$M$101</definedName>
    <definedName name="Table_indemnité_minimum">S.CAL!$BC$2:$BC$4</definedName>
    <definedName name="Table_méthode_abs_CP">S.CAL!$BP$2:$BP$3</definedName>
    <definedName name="Table_méthode_retenue">S.CAL!$BM$2:$BM$4</definedName>
    <definedName name="table_taux_patronales">Taux_cotisations!$A$39:$M$65</definedName>
    <definedName name="table_taux_salariales">Taux_cotisations!$A$6:$M$32</definedName>
    <definedName name="Table_utilisation_tab_entretien">S.CAL!$BR$2:$BR$4</definedName>
    <definedName name="_xlnm.Print_Area" localSheetId="43">'Aide attest France Travail'!$A$1:$J$187</definedName>
    <definedName name="_xlnm.Print_Area" localSheetId="32">Aout!$A$1:$AO$93</definedName>
    <definedName name="_xlnm.Print_Area" localSheetId="26">Avril!$A$1:$AO$93</definedName>
    <definedName name="_xlnm.Print_Area" localSheetId="29">'CP Année Complète au 31-05'!$A$1:$N$91</definedName>
    <definedName name="_xlnm.Print_Area" localSheetId="28">'CP Année Incomplète au 31-05'!$A$1:$O$91</definedName>
    <definedName name="_xlnm.Print_Area" localSheetId="36">Décembre!$A$1:$AO$93</definedName>
    <definedName name="_xlnm.Print_Area" localSheetId="21">'Déclaration pajemploi'!$A$1:$B$62</definedName>
    <definedName name="_xlnm.Print_Area" localSheetId="22">Feuilles_de_présence_planning!$A$1:$AJ$539</definedName>
    <definedName name="_xlnm.Print_Area" localSheetId="24">Février!$A$1:$AO$93</definedName>
    <definedName name="_xlnm.Print_Area" localSheetId="41">'Ind Comp. de  CP A. Complète'!$A$1:$AF$164</definedName>
    <definedName name="_xlnm.Print_Area" localSheetId="42">'Indemnité rupture'!$A$1:$X$35</definedName>
    <definedName name="_xlnm.Print_Area" localSheetId="23">Janvier!$A$1:$AO$93</definedName>
    <definedName name="_xlnm.Print_Area" localSheetId="31">Juillet!$A$1:$AO$93</definedName>
    <definedName name="_xlnm.Print_Area" localSheetId="30">Juin!$A$1:$AO$93</definedName>
    <definedName name="_xlnm.Print_Area" localSheetId="27">Mai!$A$1:$AO$93</definedName>
    <definedName name="_xlnm.Print_Area" localSheetId="25">Mars!$A$1:$AO$93</definedName>
    <definedName name="_xlnm.Print_Area" localSheetId="35">Novembre!$A$1:$AO$93</definedName>
    <definedName name="_xlnm.Print_Area" localSheetId="34">Octobre!$A$1:$AO$93</definedName>
    <definedName name="_xlnm.Print_Area" localSheetId="53">'Retenue Aout'!$A$1:$CC$107</definedName>
    <definedName name="_xlnm.Print_Area" localSheetId="49">'Retenue Avril'!$A$1:$CC$106</definedName>
    <definedName name="_xlnm.Print_Area" localSheetId="57">'Retenue Déc'!$A$1:$CC$106</definedName>
    <definedName name="_xlnm.Print_Area" localSheetId="47">'Retenue Fev'!$A$1:$CB$106</definedName>
    <definedName name="_xlnm.Print_Area" localSheetId="46">'Retenue Janv'!$A$1:$CC$107</definedName>
    <definedName name="_xlnm.Print_Area" localSheetId="52">'Retenue Juil'!$A$1:$CC$106</definedName>
    <definedName name="_xlnm.Print_Area" localSheetId="51">'Retenue Juin'!$A$1:$CC$65</definedName>
    <definedName name="_xlnm.Print_Area" localSheetId="50">'Retenue Mai'!$A$1:$CC$106</definedName>
    <definedName name="_xlnm.Print_Area" localSheetId="48">'Retenue Mars'!$A$1:$CC$106</definedName>
    <definedName name="_xlnm.Print_Area" localSheetId="56">'Retenue Nov'!$A$1:$CC$105</definedName>
    <definedName name="_xlnm.Print_Area" localSheetId="55">'Retenue Oct'!$A$1:$CC$106</definedName>
    <definedName name="_xlnm.Print_Area" localSheetId="54">'Retenue Sept'!$A$1:$CC$107</definedName>
    <definedName name="_xlnm.Print_Area" localSheetId="33">Septembre!$A$1:$AO$93</definedName>
    <definedName name="_xlnm.Print_Area" localSheetId="44">'Tableau de bord'!$A$1:$M$43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7" i="6" l="1"/>
  <c r="U57" i="6" s="1"/>
  <c r="A56" i="6"/>
  <c r="U56" i="6" s="1"/>
  <c r="A54" i="6"/>
  <c r="U54" i="6" s="1"/>
  <c r="A52" i="6"/>
  <c r="U52" i="6" s="1"/>
  <c r="A50" i="6"/>
  <c r="U50" i="6" s="1"/>
  <c r="A48" i="6"/>
  <c r="A47" i="6"/>
  <c r="A45" i="6"/>
  <c r="A43" i="6"/>
  <c r="A42" i="6"/>
  <c r="K42" i="6" s="1"/>
  <c r="A41" i="6"/>
  <c r="A40" i="6"/>
  <c r="A57" i="7"/>
  <c r="U57" i="7" s="1"/>
  <c r="A56" i="7"/>
  <c r="U56" i="7" s="1"/>
  <c r="A54" i="7"/>
  <c r="U54" i="7" s="1"/>
  <c r="A52" i="7"/>
  <c r="U52" i="7" s="1"/>
  <c r="A50" i="7"/>
  <c r="U50" i="7" s="1"/>
  <c r="A48" i="7"/>
  <c r="U48" i="7" s="1"/>
  <c r="A47" i="7"/>
  <c r="A45" i="7"/>
  <c r="A43" i="7"/>
  <c r="K42" i="7"/>
  <c r="A42" i="7"/>
  <c r="A41" i="7"/>
  <c r="A40" i="7"/>
  <c r="U57" i="8"/>
  <c r="A57" i="8"/>
  <c r="U56" i="8"/>
  <c r="A56" i="8"/>
  <c r="U54" i="8"/>
  <c r="A54" i="8"/>
  <c r="U52" i="8"/>
  <c r="A52" i="8"/>
  <c r="U50" i="8"/>
  <c r="A50" i="8"/>
  <c r="U48" i="8"/>
  <c r="A48" i="8"/>
  <c r="A47" i="8"/>
  <c r="A45" i="8"/>
  <c r="A43" i="8"/>
  <c r="K42" i="8"/>
  <c r="A42" i="8"/>
  <c r="A41" i="8"/>
  <c r="A40" i="8"/>
  <c r="U57" i="9"/>
  <c r="A57" i="9"/>
  <c r="U56" i="9"/>
  <c r="A56" i="9"/>
  <c r="U54" i="9"/>
  <c r="A54" i="9"/>
  <c r="U52" i="9"/>
  <c r="A52" i="9"/>
  <c r="U50" i="9"/>
  <c r="A50" i="9"/>
  <c r="U48" i="9"/>
  <c r="A48" i="9"/>
  <c r="A47" i="9"/>
  <c r="A45" i="9"/>
  <c r="A43" i="9"/>
  <c r="A42" i="9"/>
  <c r="K42" i="9" s="1"/>
  <c r="A41" i="9"/>
  <c r="A40" i="9"/>
  <c r="A57" i="10"/>
  <c r="U57" i="10" s="1"/>
  <c r="A56" i="10"/>
  <c r="U56" i="10" s="1"/>
  <c r="A54" i="10"/>
  <c r="U54" i="10" s="1"/>
  <c r="A52" i="10"/>
  <c r="U52" i="10" s="1"/>
  <c r="A50" i="10"/>
  <c r="U50" i="10" s="1"/>
  <c r="A48" i="10"/>
  <c r="A47" i="10"/>
  <c r="A45" i="10"/>
  <c r="A43" i="10"/>
  <c r="A42" i="10"/>
  <c r="A41" i="10"/>
  <c r="A40" i="10"/>
  <c r="A57" i="11"/>
  <c r="U57" i="11" s="1"/>
  <c r="A56" i="11"/>
  <c r="U56" i="11" s="1"/>
  <c r="A54" i="11"/>
  <c r="U54" i="11" s="1"/>
  <c r="A52" i="11"/>
  <c r="U52" i="11" s="1"/>
  <c r="A50" i="11"/>
  <c r="U50" i="11" s="1"/>
  <c r="U48" i="11"/>
  <c r="A48" i="11"/>
  <c r="A47" i="11"/>
  <c r="A45" i="11"/>
  <c r="A43" i="11"/>
  <c r="K42" i="11"/>
  <c r="A42" i="11"/>
  <c r="A41" i="11"/>
  <c r="A40" i="11"/>
  <c r="U57" i="12"/>
  <c r="A57" i="12"/>
  <c r="U56" i="12"/>
  <c r="A56" i="12"/>
  <c r="U54" i="12"/>
  <c r="A54" i="12"/>
  <c r="U52" i="12"/>
  <c r="A52" i="12"/>
  <c r="U50" i="12"/>
  <c r="A50" i="12"/>
  <c r="U48" i="12"/>
  <c r="A48" i="12"/>
  <c r="A47" i="12"/>
  <c r="A45" i="12"/>
  <c r="A43" i="12"/>
  <c r="A42" i="12"/>
  <c r="K42" i="12" s="1"/>
  <c r="A41" i="12"/>
  <c r="A40" i="12"/>
  <c r="A57" i="13"/>
  <c r="U57" i="13" s="1"/>
  <c r="A56" i="13"/>
  <c r="U56" i="13" s="1"/>
  <c r="U54" i="13"/>
  <c r="A54" i="13"/>
  <c r="U52" i="13"/>
  <c r="A52" i="13"/>
  <c r="A50" i="13"/>
  <c r="U50" i="13" s="1"/>
  <c r="A48" i="13"/>
  <c r="A47" i="13"/>
  <c r="A45" i="13"/>
  <c r="A43" i="13"/>
  <c r="A42" i="13"/>
  <c r="K42" i="13" s="1"/>
  <c r="A41" i="13"/>
  <c r="A40" i="13"/>
  <c r="A57" i="14"/>
  <c r="U57" i="14" s="1"/>
  <c r="A56" i="14"/>
  <c r="U56" i="14" s="1"/>
  <c r="A54" i="14"/>
  <c r="U54" i="14" s="1"/>
  <c r="A52" i="14"/>
  <c r="U52" i="14" s="1"/>
  <c r="A50" i="14"/>
  <c r="U50" i="14" s="1"/>
  <c r="A48" i="14"/>
  <c r="A47" i="14"/>
  <c r="A45" i="14"/>
  <c r="A43" i="14"/>
  <c r="A42" i="14"/>
  <c r="A41" i="14"/>
  <c r="A40" i="14"/>
  <c r="A57" i="15"/>
  <c r="U57" i="15" s="1"/>
  <c r="A56" i="15"/>
  <c r="U56" i="15" s="1"/>
  <c r="A54" i="15"/>
  <c r="U54" i="15" s="1"/>
  <c r="A52" i="15"/>
  <c r="U52" i="15" s="1"/>
  <c r="A50" i="15"/>
  <c r="U50" i="15" s="1"/>
  <c r="A48" i="15"/>
  <c r="U48" i="15" s="1"/>
  <c r="A47" i="15"/>
  <c r="A45" i="15"/>
  <c r="A43" i="15"/>
  <c r="K42" i="15"/>
  <c r="A42" i="15"/>
  <c r="A41" i="15"/>
  <c r="A40" i="15"/>
  <c r="U57" i="5"/>
  <c r="A57" i="5"/>
  <c r="U56" i="5"/>
  <c r="A56" i="5"/>
  <c r="U54" i="5"/>
  <c r="A54" i="5"/>
  <c r="U52" i="5"/>
  <c r="A52" i="5"/>
  <c r="U50" i="5"/>
  <c r="A50" i="5"/>
  <c r="U48" i="5"/>
  <c r="A48" i="5"/>
  <c r="A47" i="5"/>
  <c r="A45" i="5"/>
  <c r="A43" i="5"/>
  <c r="K42" i="5"/>
  <c r="A42" i="5"/>
  <c r="A41" i="5"/>
  <c r="A40" i="5"/>
  <c r="U54" i="4"/>
  <c r="U45" i="4"/>
  <c r="A57" i="4"/>
  <c r="U57" i="4" s="1"/>
  <c r="A56" i="4"/>
  <c r="U56" i="4" s="1"/>
  <c r="A54" i="4"/>
  <c r="A52" i="4"/>
  <c r="U52" i="4" s="1"/>
  <c r="A50" i="4"/>
  <c r="U50" i="4" s="1"/>
  <c r="A48" i="4"/>
  <c r="K48" i="4" s="1"/>
  <c r="A47" i="4"/>
  <c r="A45" i="4"/>
  <c r="A43" i="4"/>
  <c r="A42" i="4"/>
  <c r="U42" i="4" s="1"/>
  <c r="A41" i="4"/>
  <c r="U41" i="4" s="1"/>
  <c r="A40" i="4"/>
  <c r="C10" i="53"/>
  <c r="D10" i="53" s="1"/>
  <c r="E10" i="53" s="1"/>
  <c r="F10" i="53" s="1"/>
  <c r="G10" i="53" s="1"/>
  <c r="H10" i="53" s="1"/>
  <c r="I10" i="53" s="1"/>
  <c r="J10" i="53" s="1"/>
  <c r="K10" i="53" s="1"/>
  <c r="L10" i="53" s="1"/>
  <c r="M10" i="53" s="1"/>
  <c r="K41" i="15" s="1"/>
  <c r="K41" i="5" l="1"/>
  <c r="K41" i="7"/>
  <c r="K41" i="6"/>
  <c r="K41" i="13"/>
  <c r="K41" i="11"/>
  <c r="K41" i="10"/>
  <c r="K41" i="14"/>
  <c r="K41" i="12"/>
  <c r="K42" i="14"/>
  <c r="U48" i="14"/>
  <c r="U48" i="10"/>
  <c r="K42" i="10"/>
  <c r="K41" i="8"/>
  <c r="U48" i="13"/>
  <c r="K41" i="9"/>
  <c r="U48" i="6"/>
  <c r="K42" i="4"/>
  <c r="K41" i="4"/>
  <c r="U48" i="4"/>
  <c r="D1" i="83" l="1"/>
  <c r="J1" i="80"/>
  <c r="H1" i="25"/>
  <c r="C2" i="58"/>
  <c r="C2" i="62"/>
  <c r="D2" i="75"/>
  <c r="F1" i="16"/>
  <c r="C2" i="63"/>
  <c r="C2" i="60"/>
  <c r="J2" i="57"/>
  <c r="J2" i="56"/>
  <c r="J2" i="55"/>
  <c r="J3" i="26"/>
  <c r="J3" i="27"/>
  <c r="J3" i="31"/>
  <c r="J3" i="32"/>
  <c r="J3" i="33"/>
  <c r="J3" i="67"/>
  <c r="J3" i="68"/>
  <c r="J3" i="69"/>
  <c r="J3" i="70"/>
  <c r="J3" i="71"/>
  <c r="J3" i="2"/>
  <c r="C1" i="82"/>
  <c r="B68" i="5"/>
  <c r="B68" i="6"/>
  <c r="B68" i="7"/>
  <c r="B68" i="8"/>
  <c r="B68" i="9"/>
  <c r="B68" i="10"/>
  <c r="B68" i="11"/>
  <c r="B68" i="12"/>
  <c r="B68" i="13"/>
  <c r="B68" i="14"/>
  <c r="B68" i="15"/>
  <c r="B68" i="4"/>
  <c r="A19" i="50"/>
  <c r="EM31" i="14" l="1"/>
  <c r="EL31" i="14"/>
  <c r="EK31" i="14"/>
  <c r="EJ31" i="14"/>
  <c r="EI31" i="14"/>
  <c r="EH31" i="14"/>
  <c r="EM30" i="14"/>
  <c r="EL30" i="14"/>
  <c r="EK30" i="14"/>
  <c r="EJ30" i="14"/>
  <c r="EI30" i="14"/>
  <c r="EH30" i="14"/>
  <c r="EF31" i="14"/>
  <c r="EF30" i="14"/>
  <c r="E134" i="84"/>
  <c r="E108" i="84"/>
  <c r="E109" i="84" s="1"/>
  <c r="E82" i="84"/>
  <c r="E83" i="84" s="1"/>
  <c r="E56" i="84"/>
  <c r="E57" i="84" s="1"/>
  <c r="E30" i="84"/>
  <c r="E31" i="84" s="1"/>
  <c r="E54" i="84"/>
  <c r="E132" i="84"/>
  <c r="E106" i="84"/>
  <c r="E80" i="84"/>
  <c r="E113" i="84"/>
  <c r="E89" i="84"/>
  <c r="E87" i="84"/>
  <c r="E63" i="84"/>
  <c r="E61" i="84"/>
  <c r="E37" i="84"/>
  <c r="F37" i="84"/>
  <c r="E28" i="84"/>
  <c r="E11" i="84"/>
  <c r="E9" i="84"/>
  <c r="B67" i="5" l="1"/>
  <c r="B67" i="6"/>
  <c r="B67" i="7"/>
  <c r="B67" i="8"/>
  <c r="B67" i="9"/>
  <c r="B67" i="10"/>
  <c r="B67" i="11"/>
  <c r="B67" i="12"/>
  <c r="B67" i="13"/>
  <c r="B67" i="14"/>
  <c r="B67" i="15"/>
  <c r="B67" i="4"/>
  <c r="CB7" i="15"/>
  <c r="CB7" i="14"/>
  <c r="CB7" i="13"/>
  <c r="CB7" i="12"/>
  <c r="CB7" i="11"/>
  <c r="CB7" i="10"/>
  <c r="CB7" i="9"/>
  <c r="CB7" i="8"/>
  <c r="CB7" i="7"/>
  <c r="CB7" i="6"/>
  <c r="CB7" i="5"/>
  <c r="CB7" i="4"/>
  <c r="BZ118" i="5"/>
  <c r="BZ118" i="6"/>
  <c r="BZ118" i="7"/>
  <c r="BZ118" i="8"/>
  <c r="BZ118" i="9"/>
  <c r="BZ118" i="10"/>
  <c r="BZ118" i="11"/>
  <c r="BZ118" i="12"/>
  <c r="BZ118" i="13"/>
  <c r="BZ118" i="14"/>
  <c r="BZ118" i="15"/>
  <c r="BZ118" i="4"/>
  <c r="D30" i="58" l="1"/>
  <c r="E24" i="62"/>
  <c r="E24" i="60"/>
  <c r="C60" i="53" l="1"/>
  <c r="D60" i="53" s="1"/>
  <c r="E60" i="53" s="1"/>
  <c r="F60" i="53" s="1"/>
  <c r="G60" i="53" s="1"/>
  <c r="H60" i="53" s="1"/>
  <c r="I60" i="53" s="1"/>
  <c r="J60" i="53" s="1"/>
  <c r="K60" i="53" s="1"/>
  <c r="L60" i="53" s="1"/>
  <c r="M60" i="53" s="1"/>
  <c r="CE47" i="15"/>
  <c r="C130" i="53"/>
  <c r="D130" i="53"/>
  <c r="E130" i="53" s="1"/>
  <c r="F130" i="53" s="1"/>
  <c r="G130" i="53" s="1"/>
  <c r="H130" i="53" s="1"/>
  <c r="I130" i="53" s="1"/>
  <c r="J130" i="53" s="1"/>
  <c r="K130" i="53" s="1"/>
  <c r="L130" i="53" s="1"/>
  <c r="M130" i="53" s="1"/>
  <c r="C59" i="53"/>
  <c r="D59" i="53" s="1"/>
  <c r="E59" i="53" s="1"/>
  <c r="F59" i="53" s="1"/>
  <c r="G59" i="53" s="1"/>
  <c r="H59" i="53" s="1"/>
  <c r="I59" i="53" s="1"/>
  <c r="J59" i="53" s="1"/>
  <c r="K59" i="53" s="1"/>
  <c r="L59" i="53" s="1"/>
  <c r="M59" i="53" s="1"/>
  <c r="A59" i="53"/>
  <c r="A95" i="53" s="1"/>
  <c r="A130" i="53" s="1"/>
  <c r="A1" i="53"/>
  <c r="AU17" i="34"/>
  <c r="AU9" i="34"/>
  <c r="AU8" i="34"/>
  <c r="AU7" i="34"/>
  <c r="AU6" i="34"/>
  <c r="AU5" i="34"/>
  <c r="AU4" i="34"/>
  <c r="AU16" i="34"/>
  <c r="AU15" i="34"/>
  <c r="AU14" i="34"/>
  <c r="AU13" i="34"/>
  <c r="BQ88" i="5"/>
  <c r="BQ88" i="6"/>
  <c r="BQ88" i="7"/>
  <c r="BQ88" i="8"/>
  <c r="BQ88" i="9"/>
  <c r="BQ88" i="10"/>
  <c r="BQ88" i="11"/>
  <c r="BQ88" i="12"/>
  <c r="BQ88" i="13"/>
  <c r="BQ88" i="14"/>
  <c r="BQ88" i="15"/>
  <c r="BQ88" i="4"/>
  <c r="AC133" i="6"/>
  <c r="AC133" i="7"/>
  <c r="AC133" i="8"/>
  <c r="AC133" i="9"/>
  <c r="AC133" i="10"/>
  <c r="AC133" i="11"/>
  <c r="AC133" i="12"/>
  <c r="AC133" i="13"/>
  <c r="AC133" i="14"/>
  <c r="AC133" i="15"/>
  <c r="AC133" i="5"/>
  <c r="AC133" i="4"/>
  <c r="AJ131" i="6"/>
  <c r="J35" i="51" s="1"/>
  <c r="AJ131" i="7"/>
  <c r="C35" i="51" s="1"/>
  <c r="AJ131" i="8"/>
  <c r="I35" i="51" s="1"/>
  <c r="AJ131" i="9"/>
  <c r="H35" i="51" s="1"/>
  <c r="AJ131" i="10"/>
  <c r="G35" i="51" s="1"/>
  <c r="AJ131" i="11"/>
  <c r="B35" i="51" s="1"/>
  <c r="AJ131" i="12"/>
  <c r="M35" i="51" s="1"/>
  <c r="AJ131" i="13"/>
  <c r="L36" i="51" s="1"/>
  <c r="AJ131" i="14"/>
  <c r="K35" i="51" s="1"/>
  <c r="AJ131" i="15"/>
  <c r="D35" i="51" s="1"/>
  <c r="AJ131" i="5"/>
  <c r="E35" i="51" s="1"/>
  <c r="AJ131" i="4"/>
  <c r="F36" i="51" s="1"/>
  <c r="DK52" i="5"/>
  <c r="DK52" i="6"/>
  <c r="DK52" i="7"/>
  <c r="DK52" i="8"/>
  <c r="DK52" i="9"/>
  <c r="DK52" i="10"/>
  <c r="DK52" i="11"/>
  <c r="DK52" i="12"/>
  <c r="DK52" i="13"/>
  <c r="DK52" i="14"/>
  <c r="DK52" i="15"/>
  <c r="DK52" i="4"/>
  <c r="DK51" i="5"/>
  <c r="DK51" i="6"/>
  <c r="DK51" i="7"/>
  <c r="DK51" i="8"/>
  <c r="DK51" i="9"/>
  <c r="DK51" i="10"/>
  <c r="DK51" i="11"/>
  <c r="DK51" i="12"/>
  <c r="DK51" i="13"/>
  <c r="DK51" i="14"/>
  <c r="DK51" i="15"/>
  <c r="DK51" i="4"/>
  <c r="CE169" i="34"/>
  <c r="CA155" i="34"/>
  <c r="CD120" i="34"/>
  <c r="F35" i="51" l="1"/>
  <c r="B36" i="51"/>
  <c r="H36" i="51"/>
  <c r="L35" i="51"/>
  <c r="D36" i="51"/>
  <c r="J36" i="51"/>
  <c r="C36" i="51"/>
  <c r="E36" i="51"/>
  <c r="G36" i="51"/>
  <c r="I36" i="51"/>
  <c r="K36" i="51"/>
  <c r="M36" i="51"/>
  <c r="DH537" i="72"/>
  <c r="DH536" i="72"/>
  <c r="DH535" i="72"/>
  <c r="DH534" i="72"/>
  <c r="DH533" i="72"/>
  <c r="DH532" i="72"/>
  <c r="DH531" i="72"/>
  <c r="DH530" i="72"/>
  <c r="DH529" i="72"/>
  <c r="DH528" i="72"/>
  <c r="DH527" i="72"/>
  <c r="DH526" i="72"/>
  <c r="DH525" i="72"/>
  <c r="DH524" i="72"/>
  <c r="DH523" i="72"/>
  <c r="DH522" i="72"/>
  <c r="DH521" i="72"/>
  <c r="DH520" i="72"/>
  <c r="DH519" i="72"/>
  <c r="DH518" i="72"/>
  <c r="DH517" i="72"/>
  <c r="DH516" i="72"/>
  <c r="DH515" i="72"/>
  <c r="DH514" i="72"/>
  <c r="DH513" i="72"/>
  <c r="DH512" i="72"/>
  <c r="DH511" i="72"/>
  <c r="DH510" i="72"/>
  <c r="DH509" i="72"/>
  <c r="DH508" i="72"/>
  <c r="DH507" i="72"/>
  <c r="DH492" i="72"/>
  <c r="DH491" i="72"/>
  <c r="DH490" i="72"/>
  <c r="DH489" i="72"/>
  <c r="DH488" i="72"/>
  <c r="DH487" i="72"/>
  <c r="DH486" i="72"/>
  <c r="DH485" i="72"/>
  <c r="DH484" i="72"/>
  <c r="DH483" i="72"/>
  <c r="DH482" i="72"/>
  <c r="DH481" i="72"/>
  <c r="DH480" i="72"/>
  <c r="DH479" i="72"/>
  <c r="DH478" i="72"/>
  <c r="DH477" i="72"/>
  <c r="DH476" i="72"/>
  <c r="DH475" i="72"/>
  <c r="DH474" i="72"/>
  <c r="DH473" i="72"/>
  <c r="DH472" i="72"/>
  <c r="DH471" i="72"/>
  <c r="DH470" i="72"/>
  <c r="DH469" i="72"/>
  <c r="DH468" i="72"/>
  <c r="DH467" i="72"/>
  <c r="DH466" i="72"/>
  <c r="DH465" i="72"/>
  <c r="DH464" i="72"/>
  <c r="DH463" i="72"/>
  <c r="DH462" i="72"/>
  <c r="DH447" i="72"/>
  <c r="DH446" i="72"/>
  <c r="DH445" i="72"/>
  <c r="DH444" i="72"/>
  <c r="DH443" i="72"/>
  <c r="DH442" i="72"/>
  <c r="DH441" i="72"/>
  <c r="DH440" i="72"/>
  <c r="DH439" i="72"/>
  <c r="DH438" i="72"/>
  <c r="DH437" i="72"/>
  <c r="DH436" i="72"/>
  <c r="DH435" i="72"/>
  <c r="DH434" i="72"/>
  <c r="DH433" i="72"/>
  <c r="DH432" i="72"/>
  <c r="DH431" i="72"/>
  <c r="DH430" i="72"/>
  <c r="DH429" i="72"/>
  <c r="DH428" i="72"/>
  <c r="DH427" i="72"/>
  <c r="DH426" i="72"/>
  <c r="DH425" i="72"/>
  <c r="DH424" i="72"/>
  <c r="DH423" i="72"/>
  <c r="DH422" i="72"/>
  <c r="DH421" i="72"/>
  <c r="DH420" i="72"/>
  <c r="DH419" i="72"/>
  <c r="DH418" i="72"/>
  <c r="DH417" i="72"/>
  <c r="DH402" i="72"/>
  <c r="DH401" i="72"/>
  <c r="DH400" i="72"/>
  <c r="DH399" i="72"/>
  <c r="DH398" i="72"/>
  <c r="DH397" i="72"/>
  <c r="DH396" i="72"/>
  <c r="DH395" i="72"/>
  <c r="DH394" i="72"/>
  <c r="DH393" i="72"/>
  <c r="DH392" i="72"/>
  <c r="DH391" i="72"/>
  <c r="DH390" i="72"/>
  <c r="DH389" i="72"/>
  <c r="DH388" i="72"/>
  <c r="DH387" i="72"/>
  <c r="DH386" i="72"/>
  <c r="DH385" i="72"/>
  <c r="DH384" i="72"/>
  <c r="DH383" i="72"/>
  <c r="DH382" i="72"/>
  <c r="DH381" i="72"/>
  <c r="DH380" i="72"/>
  <c r="DH379" i="72"/>
  <c r="DH378" i="72"/>
  <c r="DH377" i="72"/>
  <c r="DH376" i="72"/>
  <c r="DH375" i="72"/>
  <c r="DH374" i="72"/>
  <c r="DH373" i="72"/>
  <c r="DH372" i="72"/>
  <c r="DH357" i="72"/>
  <c r="DH356" i="72"/>
  <c r="DH355" i="72"/>
  <c r="DH354" i="72"/>
  <c r="DH353" i="72"/>
  <c r="DH352" i="72"/>
  <c r="DH351" i="72"/>
  <c r="DH350" i="72"/>
  <c r="DH349" i="72"/>
  <c r="DH348" i="72"/>
  <c r="DH347" i="72"/>
  <c r="DH346" i="72"/>
  <c r="DH345" i="72"/>
  <c r="DH344" i="72"/>
  <c r="DH343" i="72"/>
  <c r="DH342" i="72"/>
  <c r="DH341" i="72"/>
  <c r="DH340" i="72"/>
  <c r="DH339" i="72"/>
  <c r="DH338" i="72"/>
  <c r="DH337" i="72"/>
  <c r="DH336" i="72"/>
  <c r="DH335" i="72"/>
  <c r="DH334" i="72"/>
  <c r="DH333" i="72"/>
  <c r="DH332" i="72"/>
  <c r="DH331" i="72"/>
  <c r="DH330" i="72"/>
  <c r="DH329" i="72"/>
  <c r="DH328" i="72"/>
  <c r="DH327" i="72"/>
  <c r="DH312" i="72"/>
  <c r="DH311" i="72"/>
  <c r="DH310" i="72"/>
  <c r="DH309" i="72"/>
  <c r="DH308" i="72"/>
  <c r="DH307" i="72"/>
  <c r="DH306" i="72"/>
  <c r="DH305" i="72"/>
  <c r="DH304" i="72"/>
  <c r="DH303" i="72"/>
  <c r="DH302" i="72"/>
  <c r="DH301" i="72"/>
  <c r="DH300" i="72"/>
  <c r="DH299" i="72"/>
  <c r="DH298" i="72"/>
  <c r="DH297" i="72"/>
  <c r="DH296" i="72"/>
  <c r="DH295" i="72"/>
  <c r="DH294" i="72"/>
  <c r="DH293" i="72"/>
  <c r="DH292" i="72"/>
  <c r="DH291" i="72"/>
  <c r="DH290" i="72"/>
  <c r="DH289" i="72"/>
  <c r="DH288" i="72"/>
  <c r="DH287" i="72"/>
  <c r="DH286" i="72"/>
  <c r="DH285" i="72"/>
  <c r="DH284" i="72"/>
  <c r="DH283" i="72"/>
  <c r="DH282" i="72"/>
  <c r="DH267" i="72"/>
  <c r="DH266" i="72"/>
  <c r="DH265" i="72"/>
  <c r="DH264" i="72"/>
  <c r="DH263" i="72"/>
  <c r="DH262" i="72"/>
  <c r="DH261" i="72"/>
  <c r="DH260" i="72"/>
  <c r="DH259" i="72"/>
  <c r="DH258" i="72"/>
  <c r="DH257" i="72"/>
  <c r="DH256" i="72"/>
  <c r="DH255" i="72"/>
  <c r="DH254" i="72"/>
  <c r="DH253" i="72"/>
  <c r="DH252" i="72"/>
  <c r="DH251" i="72"/>
  <c r="DH250" i="72"/>
  <c r="DH249" i="72"/>
  <c r="DH248" i="72"/>
  <c r="DH247" i="72"/>
  <c r="DH246" i="72"/>
  <c r="DH245" i="72"/>
  <c r="DH244" i="72"/>
  <c r="DH243" i="72"/>
  <c r="DH242" i="72"/>
  <c r="DH241" i="72"/>
  <c r="DH240" i="72"/>
  <c r="DH239" i="72"/>
  <c r="DH238" i="72"/>
  <c r="DH237" i="72"/>
  <c r="DH222" i="72"/>
  <c r="DH221" i="72"/>
  <c r="DH220" i="72"/>
  <c r="DH219" i="72"/>
  <c r="DH218" i="72"/>
  <c r="DH217" i="72"/>
  <c r="DH216" i="72"/>
  <c r="DH215" i="72"/>
  <c r="DH214" i="72"/>
  <c r="DH213" i="72"/>
  <c r="DH212" i="72"/>
  <c r="DH211" i="72"/>
  <c r="DH210" i="72"/>
  <c r="DH209" i="72"/>
  <c r="DH208" i="72"/>
  <c r="DH207" i="72"/>
  <c r="DH206" i="72"/>
  <c r="DH205" i="72"/>
  <c r="DH204" i="72"/>
  <c r="DH203" i="72"/>
  <c r="DH202" i="72"/>
  <c r="DH201" i="72"/>
  <c r="DH200" i="72"/>
  <c r="DH199" i="72"/>
  <c r="DH198" i="72"/>
  <c r="DH197" i="72"/>
  <c r="DH196" i="72"/>
  <c r="DH195" i="72"/>
  <c r="DH194" i="72"/>
  <c r="DH193" i="72"/>
  <c r="DH192" i="72"/>
  <c r="DH177" i="72"/>
  <c r="DH176" i="72"/>
  <c r="DH175" i="72"/>
  <c r="DH174" i="72"/>
  <c r="DH173" i="72"/>
  <c r="DH172" i="72"/>
  <c r="DH171" i="72"/>
  <c r="DH170" i="72"/>
  <c r="DH169" i="72"/>
  <c r="DH168" i="72"/>
  <c r="DH167" i="72"/>
  <c r="DH166" i="72"/>
  <c r="DH165" i="72"/>
  <c r="DH164" i="72"/>
  <c r="DH163" i="72"/>
  <c r="DH162" i="72"/>
  <c r="DH161" i="72"/>
  <c r="DH160" i="72"/>
  <c r="DH159" i="72"/>
  <c r="DH158" i="72"/>
  <c r="DH157" i="72"/>
  <c r="DH156" i="72"/>
  <c r="DH155" i="72"/>
  <c r="DH154" i="72"/>
  <c r="DH153" i="72"/>
  <c r="DH152" i="72"/>
  <c r="DH151" i="72"/>
  <c r="DH150" i="72"/>
  <c r="DH149" i="72"/>
  <c r="DH148" i="72"/>
  <c r="DH147" i="72"/>
  <c r="DH132" i="72"/>
  <c r="DH131" i="72"/>
  <c r="DH130" i="72"/>
  <c r="DH129" i="72"/>
  <c r="DH128" i="72"/>
  <c r="DH127" i="72"/>
  <c r="DH126" i="72"/>
  <c r="DH125" i="72"/>
  <c r="DH124" i="72"/>
  <c r="DH123" i="72"/>
  <c r="DH122" i="72"/>
  <c r="DH121" i="72"/>
  <c r="DH120" i="72"/>
  <c r="DH119" i="72"/>
  <c r="DH118" i="72"/>
  <c r="DH117" i="72"/>
  <c r="DH116" i="72"/>
  <c r="DH115" i="72"/>
  <c r="DH114" i="72"/>
  <c r="DH113" i="72"/>
  <c r="DH112" i="72"/>
  <c r="DH111" i="72"/>
  <c r="DH110" i="72"/>
  <c r="DH109" i="72"/>
  <c r="DH108" i="72"/>
  <c r="DH107" i="72"/>
  <c r="DH106" i="72"/>
  <c r="DH105" i="72"/>
  <c r="DH104" i="72"/>
  <c r="DH103" i="72"/>
  <c r="DH102" i="72"/>
  <c r="DH87" i="72"/>
  <c r="DH86" i="72"/>
  <c r="DH85" i="72"/>
  <c r="DH84" i="72"/>
  <c r="DH83" i="72"/>
  <c r="DH82" i="72"/>
  <c r="DH81" i="72"/>
  <c r="DH80" i="72"/>
  <c r="DH79" i="72"/>
  <c r="DH78" i="72"/>
  <c r="DH77" i="72"/>
  <c r="DH76" i="72"/>
  <c r="DH75" i="72"/>
  <c r="DH74" i="72"/>
  <c r="DH73" i="72"/>
  <c r="DH72" i="72"/>
  <c r="DH71" i="72"/>
  <c r="DH70" i="72"/>
  <c r="DH69" i="72"/>
  <c r="DH68" i="72"/>
  <c r="DH67" i="72"/>
  <c r="DH66" i="72"/>
  <c r="DH65" i="72"/>
  <c r="DH64" i="72"/>
  <c r="DH63" i="72"/>
  <c r="DH62" i="72"/>
  <c r="DH61" i="72"/>
  <c r="DH60" i="72"/>
  <c r="DH59" i="72"/>
  <c r="DH58" i="72"/>
  <c r="DH57" i="72"/>
  <c r="DH42" i="72"/>
  <c r="DH41" i="72"/>
  <c r="DH40" i="72"/>
  <c r="DH39" i="72"/>
  <c r="DH38" i="72"/>
  <c r="DH37" i="72"/>
  <c r="DH36" i="72"/>
  <c r="DH35" i="72"/>
  <c r="DH34" i="72"/>
  <c r="DH33" i="72"/>
  <c r="DH32" i="72"/>
  <c r="DH31" i="72"/>
  <c r="DH30" i="72"/>
  <c r="DH29" i="72"/>
  <c r="DH28" i="72"/>
  <c r="DH27" i="72"/>
  <c r="DH26" i="72"/>
  <c r="DH25" i="72"/>
  <c r="DH24" i="72"/>
  <c r="DH23" i="72"/>
  <c r="DH22" i="72"/>
  <c r="DH21" i="72"/>
  <c r="DH20" i="72"/>
  <c r="DH19" i="72"/>
  <c r="DH18" i="72"/>
  <c r="DH17" i="72"/>
  <c r="DH16" i="72"/>
  <c r="DH15" i="72"/>
  <c r="DH14" i="72"/>
  <c r="DH13" i="72"/>
  <c r="DH12" i="72"/>
  <c r="AH86" i="4" l="1"/>
  <c r="AH86" i="5" s="1"/>
  <c r="AH86" i="6" s="1"/>
  <c r="AH86" i="7" s="1"/>
  <c r="AH86" i="8" s="1"/>
  <c r="FK21" i="5"/>
  <c r="FK22" i="5"/>
  <c r="FK23" i="5"/>
  <c r="FK24" i="5"/>
  <c r="FK25" i="5"/>
  <c r="FK26" i="5"/>
  <c r="FK27" i="5"/>
  <c r="FK28" i="5"/>
  <c r="FK29" i="5"/>
  <c r="FK30" i="5"/>
  <c r="FK31" i="5"/>
  <c r="FK32" i="5"/>
  <c r="FK33" i="5"/>
  <c r="FK34" i="5"/>
  <c r="FK35" i="5"/>
  <c r="FK36" i="5"/>
  <c r="FK37" i="5"/>
  <c r="FK38" i="5"/>
  <c r="FK39" i="5"/>
  <c r="FK40" i="5"/>
  <c r="FK41" i="5"/>
  <c r="FK42" i="5"/>
  <c r="FK43" i="5"/>
  <c r="FK44" i="5"/>
  <c r="FK45" i="5"/>
  <c r="FK46" i="5"/>
  <c r="FK47" i="5"/>
  <c r="FK48" i="5"/>
  <c r="FK49" i="5"/>
  <c r="FK50" i="5"/>
  <c r="FK21" i="6"/>
  <c r="FK22" i="6"/>
  <c r="FK23" i="6"/>
  <c r="FK24" i="6"/>
  <c r="FK25" i="6"/>
  <c r="FK26" i="6"/>
  <c r="FK27" i="6"/>
  <c r="FK28" i="6"/>
  <c r="FK29" i="6"/>
  <c r="FK30" i="6"/>
  <c r="FK31" i="6"/>
  <c r="FK32" i="6"/>
  <c r="FK33" i="6"/>
  <c r="FK34" i="6"/>
  <c r="FK35" i="6"/>
  <c r="FK36" i="6"/>
  <c r="FK37" i="6"/>
  <c r="FK38" i="6"/>
  <c r="FK39" i="6"/>
  <c r="FK40" i="6"/>
  <c r="FK41" i="6"/>
  <c r="FK42" i="6"/>
  <c r="FK43" i="6"/>
  <c r="FK44" i="6"/>
  <c r="FK45" i="6"/>
  <c r="FK46" i="6"/>
  <c r="FK47" i="6"/>
  <c r="FK48" i="6"/>
  <c r="FK49" i="6"/>
  <c r="FK50" i="6"/>
  <c r="FK21" i="7"/>
  <c r="FK22" i="7"/>
  <c r="FK23" i="7"/>
  <c r="FK24" i="7"/>
  <c r="FK25" i="7"/>
  <c r="FK26" i="7"/>
  <c r="FK27" i="7"/>
  <c r="FK28" i="7"/>
  <c r="FK29" i="7"/>
  <c r="FK30" i="7"/>
  <c r="FK31" i="7"/>
  <c r="FK32" i="7"/>
  <c r="FK33" i="7"/>
  <c r="FK34" i="7"/>
  <c r="FK35" i="7"/>
  <c r="FK36" i="7"/>
  <c r="FK37" i="7"/>
  <c r="FK38" i="7"/>
  <c r="FK39" i="7"/>
  <c r="FK40" i="7"/>
  <c r="FK41" i="7"/>
  <c r="FK42" i="7"/>
  <c r="FK43" i="7"/>
  <c r="FK44" i="7"/>
  <c r="FK45" i="7"/>
  <c r="FK46" i="7"/>
  <c r="FK47" i="7"/>
  <c r="FK48" i="7"/>
  <c r="FK49" i="7"/>
  <c r="FK50" i="7"/>
  <c r="FK21" i="8"/>
  <c r="FK22" i="8"/>
  <c r="FK23" i="8"/>
  <c r="FK24" i="8"/>
  <c r="FK25" i="8"/>
  <c r="FK26" i="8"/>
  <c r="FK27" i="8"/>
  <c r="FK28" i="8"/>
  <c r="FK29" i="8"/>
  <c r="FK30" i="8"/>
  <c r="FK31" i="8"/>
  <c r="FK32" i="8"/>
  <c r="FK33" i="8"/>
  <c r="FK34" i="8"/>
  <c r="FK35" i="8"/>
  <c r="FK36" i="8"/>
  <c r="FK37" i="8"/>
  <c r="FK38" i="8"/>
  <c r="FK39" i="8"/>
  <c r="FK40" i="8"/>
  <c r="FK41" i="8"/>
  <c r="FK42" i="8"/>
  <c r="FK43" i="8"/>
  <c r="FK44" i="8"/>
  <c r="FK45" i="8"/>
  <c r="FK46" i="8"/>
  <c r="FK47" i="8"/>
  <c r="FK48" i="8"/>
  <c r="FK49" i="8"/>
  <c r="FK50" i="8"/>
  <c r="FK21" i="9"/>
  <c r="FK22" i="9"/>
  <c r="FK23" i="9"/>
  <c r="FK24" i="9"/>
  <c r="FK25" i="9"/>
  <c r="FK26" i="9"/>
  <c r="FK27" i="9"/>
  <c r="FK28" i="9"/>
  <c r="FK29" i="9"/>
  <c r="FK30" i="9"/>
  <c r="FK31" i="9"/>
  <c r="FK32" i="9"/>
  <c r="FK33" i="9"/>
  <c r="FK34" i="9"/>
  <c r="FK35" i="9"/>
  <c r="FK36" i="9"/>
  <c r="FK37" i="9"/>
  <c r="FK38" i="9"/>
  <c r="FK39" i="9"/>
  <c r="FK40" i="9"/>
  <c r="FK41" i="9"/>
  <c r="FK42" i="9"/>
  <c r="FK43" i="9"/>
  <c r="FK44" i="9"/>
  <c r="FK45" i="9"/>
  <c r="FK46" i="9"/>
  <c r="FK47" i="9"/>
  <c r="FK48" i="9"/>
  <c r="FK49" i="9"/>
  <c r="FK50" i="9"/>
  <c r="FK21" i="10"/>
  <c r="FK22" i="10"/>
  <c r="FK23" i="10"/>
  <c r="FK24" i="10"/>
  <c r="FK25" i="10"/>
  <c r="FK26" i="10"/>
  <c r="FK27" i="10"/>
  <c r="FK28" i="10"/>
  <c r="FK29" i="10"/>
  <c r="FK30" i="10"/>
  <c r="FK31" i="10"/>
  <c r="FK32" i="10"/>
  <c r="FK33" i="10"/>
  <c r="FK34" i="10"/>
  <c r="FK35" i="10"/>
  <c r="FK36" i="10"/>
  <c r="FK37" i="10"/>
  <c r="FK38" i="10"/>
  <c r="FK39" i="10"/>
  <c r="FK40" i="10"/>
  <c r="FK41" i="10"/>
  <c r="FK42" i="10"/>
  <c r="FK43" i="10"/>
  <c r="FK44" i="10"/>
  <c r="FK45" i="10"/>
  <c r="FK46" i="10"/>
  <c r="FK47" i="10"/>
  <c r="FK48" i="10"/>
  <c r="FK49" i="10"/>
  <c r="FK50" i="10"/>
  <c r="FK21" i="11"/>
  <c r="FK22" i="11"/>
  <c r="FK23" i="11"/>
  <c r="FK24" i="11"/>
  <c r="FK25" i="11"/>
  <c r="FK26" i="11"/>
  <c r="FK27" i="11"/>
  <c r="FK28" i="11"/>
  <c r="FK29" i="11"/>
  <c r="FK30" i="11"/>
  <c r="FK31" i="11"/>
  <c r="FK32" i="11"/>
  <c r="FK33" i="11"/>
  <c r="FK34" i="11"/>
  <c r="FK35" i="11"/>
  <c r="FK36" i="11"/>
  <c r="FK37" i="11"/>
  <c r="FK38" i="11"/>
  <c r="FK39" i="11"/>
  <c r="FK40" i="11"/>
  <c r="FK41" i="11"/>
  <c r="FK42" i="11"/>
  <c r="FK43" i="11"/>
  <c r="FK44" i="11"/>
  <c r="FK45" i="11"/>
  <c r="FK46" i="11"/>
  <c r="FK47" i="11"/>
  <c r="FK48" i="11"/>
  <c r="FK49" i="11"/>
  <c r="FK50" i="11"/>
  <c r="FK21" i="12"/>
  <c r="FK22" i="12"/>
  <c r="FK23" i="12"/>
  <c r="FK24" i="12"/>
  <c r="FK25" i="12"/>
  <c r="FK26" i="12"/>
  <c r="FK27" i="12"/>
  <c r="FK28" i="12"/>
  <c r="FK29" i="12"/>
  <c r="FK30" i="12"/>
  <c r="FK31" i="12"/>
  <c r="FK32" i="12"/>
  <c r="FK33" i="12"/>
  <c r="FK34" i="12"/>
  <c r="FK35" i="12"/>
  <c r="FK36" i="12"/>
  <c r="FK37" i="12"/>
  <c r="FK38" i="12"/>
  <c r="FK39" i="12"/>
  <c r="FK40" i="12"/>
  <c r="FK41" i="12"/>
  <c r="FK42" i="12"/>
  <c r="FK43" i="12"/>
  <c r="FK44" i="12"/>
  <c r="FK45" i="12"/>
  <c r="FK46" i="12"/>
  <c r="FK47" i="12"/>
  <c r="FK48" i="12"/>
  <c r="FK49" i="12"/>
  <c r="FK50" i="12"/>
  <c r="FK21" i="13"/>
  <c r="FK22" i="13"/>
  <c r="FK23" i="13"/>
  <c r="FK24" i="13"/>
  <c r="FK25" i="13"/>
  <c r="FK26" i="13"/>
  <c r="FK27" i="13"/>
  <c r="FK28" i="13"/>
  <c r="FK29" i="13"/>
  <c r="FK30" i="13"/>
  <c r="FK31" i="13"/>
  <c r="FK32" i="13"/>
  <c r="FK33" i="13"/>
  <c r="FK34" i="13"/>
  <c r="FK35" i="13"/>
  <c r="FK36" i="13"/>
  <c r="FK37" i="13"/>
  <c r="FK38" i="13"/>
  <c r="FK39" i="13"/>
  <c r="FK40" i="13"/>
  <c r="FK41" i="13"/>
  <c r="FK42" i="13"/>
  <c r="FK43" i="13"/>
  <c r="FK44" i="13"/>
  <c r="FK45" i="13"/>
  <c r="FK46" i="13"/>
  <c r="FK47" i="13"/>
  <c r="FK48" i="13"/>
  <c r="FK49" i="13"/>
  <c r="FK50" i="13"/>
  <c r="FK21" i="14"/>
  <c r="FK22" i="14"/>
  <c r="FK23" i="14"/>
  <c r="FK24" i="14"/>
  <c r="FK25" i="14"/>
  <c r="FK26" i="14"/>
  <c r="FK27" i="14"/>
  <c r="FK28" i="14"/>
  <c r="FK29" i="14"/>
  <c r="FK30" i="14"/>
  <c r="FK31" i="14"/>
  <c r="FK32" i="14"/>
  <c r="FK33" i="14"/>
  <c r="FK34" i="14"/>
  <c r="FK35" i="14"/>
  <c r="FK36" i="14"/>
  <c r="FK37" i="14"/>
  <c r="FK38" i="14"/>
  <c r="FK39" i="14"/>
  <c r="FK40" i="14"/>
  <c r="FK41" i="14"/>
  <c r="FK42" i="14"/>
  <c r="FK43" i="14"/>
  <c r="FK44" i="14"/>
  <c r="FK45" i="14"/>
  <c r="FK46" i="14"/>
  <c r="FK47" i="14"/>
  <c r="FK48" i="14"/>
  <c r="FK49" i="14"/>
  <c r="FK50" i="14"/>
  <c r="FK21" i="15"/>
  <c r="FK22" i="15"/>
  <c r="FK23" i="15"/>
  <c r="FK24" i="15"/>
  <c r="FK25" i="15"/>
  <c r="FK26" i="15"/>
  <c r="FK27" i="15"/>
  <c r="FK28" i="15"/>
  <c r="FK29" i="15"/>
  <c r="FK30" i="15"/>
  <c r="FK31" i="15"/>
  <c r="FK32" i="15"/>
  <c r="FK33" i="15"/>
  <c r="FK34" i="15"/>
  <c r="FK35" i="15"/>
  <c r="FK36" i="15"/>
  <c r="FK37" i="15"/>
  <c r="FK38" i="15"/>
  <c r="FK39" i="15"/>
  <c r="FK40" i="15"/>
  <c r="FK41" i="15"/>
  <c r="FK42" i="15"/>
  <c r="FK43" i="15"/>
  <c r="FK44" i="15"/>
  <c r="FK45" i="15"/>
  <c r="FK46" i="15"/>
  <c r="FK47" i="15"/>
  <c r="FK48" i="15"/>
  <c r="FK49" i="15"/>
  <c r="FK50" i="15"/>
  <c r="FK21" i="4"/>
  <c r="FK22" i="4"/>
  <c r="FK23" i="4"/>
  <c r="FK24" i="4"/>
  <c r="FK25" i="4"/>
  <c r="FK26" i="4"/>
  <c r="FK27" i="4"/>
  <c r="FK28" i="4"/>
  <c r="FK29" i="4"/>
  <c r="FK30" i="4"/>
  <c r="FK31" i="4"/>
  <c r="FK32" i="4"/>
  <c r="FK33" i="4"/>
  <c r="FK34" i="4"/>
  <c r="FK35" i="4"/>
  <c r="FK36" i="4"/>
  <c r="FK37" i="4"/>
  <c r="FK38" i="4"/>
  <c r="FK39" i="4"/>
  <c r="FK40" i="4"/>
  <c r="FK41" i="4"/>
  <c r="FK42" i="4"/>
  <c r="FK43" i="4"/>
  <c r="FK44" i="4"/>
  <c r="FK45" i="4"/>
  <c r="FK46" i="4"/>
  <c r="FK47" i="4"/>
  <c r="FK48" i="4"/>
  <c r="FK49" i="4"/>
  <c r="FK50" i="4"/>
  <c r="FK20" i="5"/>
  <c r="FK20" i="6"/>
  <c r="FK20" i="7"/>
  <c r="FK20" i="8"/>
  <c r="FK20" i="9"/>
  <c r="FK20" i="10"/>
  <c r="FK20" i="11"/>
  <c r="FK20" i="12"/>
  <c r="FK20" i="13"/>
  <c r="FK20" i="14"/>
  <c r="FK20" i="15"/>
  <c r="FK20" i="4"/>
  <c r="K6" i="73"/>
  <c r="K7" i="73"/>
  <c r="K8" i="73"/>
  <c r="K9" i="73"/>
  <c r="K10" i="73"/>
  <c r="K11" i="73"/>
  <c r="K12" i="73"/>
  <c r="K13" i="73"/>
  <c r="K14" i="73"/>
  <c r="K15" i="73"/>
  <c r="K16" i="73"/>
  <c r="K17" i="73"/>
  <c r="K18" i="73"/>
  <c r="K19" i="73"/>
  <c r="K20" i="73"/>
  <c r="K21" i="73"/>
  <c r="K22" i="73"/>
  <c r="K23" i="73"/>
  <c r="K24" i="73"/>
  <c r="K25" i="73"/>
  <c r="K26" i="73"/>
  <c r="K27" i="73"/>
  <c r="K28" i="73"/>
  <c r="K29" i="73"/>
  <c r="K30" i="73"/>
  <c r="K31" i="73"/>
  <c r="K32" i="73"/>
  <c r="K5" i="73"/>
  <c r="AT17" i="34"/>
  <c r="AT16" i="34"/>
  <c r="AT15" i="34"/>
  <c r="AT14" i="34"/>
  <c r="AT13" i="34"/>
  <c r="AT9" i="34"/>
  <c r="AT8" i="34"/>
  <c r="AT7" i="34"/>
  <c r="AT6" i="34"/>
  <c r="AT5" i="34"/>
  <c r="AT4" i="34"/>
  <c r="AS17" i="34"/>
  <c r="AS16" i="34"/>
  <c r="AS15" i="34"/>
  <c r="AS14" i="34"/>
  <c r="AS13" i="34"/>
  <c r="AS9" i="34"/>
  <c r="AS8" i="34"/>
  <c r="AS7" i="34"/>
  <c r="AS6" i="34"/>
  <c r="AS5" i="34"/>
  <c r="AS4" i="34"/>
  <c r="AR17" i="34"/>
  <c r="AR16" i="34"/>
  <c r="AR15" i="34"/>
  <c r="AR14" i="34"/>
  <c r="AR13" i="34"/>
  <c r="AR9" i="34"/>
  <c r="AR8" i="34"/>
  <c r="AR7" i="34"/>
  <c r="AR6" i="34"/>
  <c r="AR5" i="34"/>
  <c r="AR4" i="34"/>
  <c r="AQ17" i="34"/>
  <c r="AQ16" i="34"/>
  <c r="AQ15" i="34"/>
  <c r="AQ14" i="34"/>
  <c r="AQ13" i="34"/>
  <c r="AQ9" i="34"/>
  <c r="AQ8" i="34"/>
  <c r="AQ7" i="34"/>
  <c r="AQ6" i="34"/>
  <c r="AQ5" i="34"/>
  <c r="AQ4" i="34"/>
  <c r="AP17" i="34"/>
  <c r="AP16" i="34"/>
  <c r="AP15" i="34"/>
  <c r="AP14" i="34"/>
  <c r="AP13" i="34"/>
  <c r="AP12" i="34"/>
  <c r="AP11" i="34"/>
  <c r="AP10" i="34"/>
  <c r="AP9" i="34"/>
  <c r="AP8" i="34"/>
  <c r="AP7" i="34"/>
  <c r="AP6" i="34"/>
  <c r="AP5" i="34"/>
  <c r="AP4" i="34"/>
  <c r="EG4" i="56"/>
  <c r="AQ11" i="34" s="1"/>
  <c r="EG4" i="57"/>
  <c r="AQ12" i="34" s="1"/>
  <c r="EG4" i="55"/>
  <c r="AQ10" i="34" s="1"/>
  <c r="CT5" i="59" l="1"/>
  <c r="EG3" i="57"/>
  <c r="AT12" i="34" s="1"/>
  <c r="EG1" i="57"/>
  <c r="AS12" i="34" s="1"/>
  <c r="EG3" i="56"/>
  <c r="AT11" i="34" s="1"/>
  <c r="EG1" i="56"/>
  <c r="EG3" i="55"/>
  <c r="AT10" i="34" s="1"/>
  <c r="EG1" i="55"/>
  <c r="AS10" i="34" s="1"/>
  <c r="CT6" i="59" l="1"/>
  <c r="EG2" i="56"/>
  <c r="AS11" i="34"/>
  <c r="EG2" i="55"/>
  <c r="EG2" i="57"/>
  <c r="CT7" i="59" l="1"/>
  <c r="CT9" i="59" l="1"/>
  <c r="CT8" i="59"/>
  <c r="W53" i="25"/>
  <c r="T53" i="25"/>
  <c r="Q53" i="25"/>
  <c r="N53" i="25"/>
  <c r="K53" i="25"/>
  <c r="H53" i="25"/>
  <c r="E53" i="25"/>
  <c r="B53" i="25"/>
  <c r="G113" i="34" l="1"/>
  <c r="G112" i="34"/>
  <c r="G111" i="34"/>
  <c r="G110" i="34"/>
  <c r="G109" i="34"/>
  <c r="G108" i="34"/>
  <c r="G107" i="34"/>
  <c r="G106" i="34"/>
  <c r="G105" i="34"/>
  <c r="G104" i="34"/>
  <c r="G103" i="34"/>
  <c r="G102" i="34"/>
  <c r="G101" i="34"/>
  <c r="G100" i="34"/>
  <c r="G99" i="34"/>
  <c r="G98" i="34"/>
  <c r="G97" i="34"/>
  <c r="G96" i="34"/>
  <c r="G95" i="34"/>
  <c r="G94" i="34"/>
  <c r="G93" i="34"/>
  <c r="G92" i="34"/>
  <c r="G91" i="34"/>
  <c r="G90" i="34"/>
  <c r="G89" i="34"/>
  <c r="G88" i="34"/>
  <c r="G87" i="34"/>
  <c r="G86" i="34"/>
  <c r="G85" i="34"/>
  <c r="G84" i="34"/>
  <c r="G83" i="34"/>
  <c r="G82" i="34"/>
  <c r="G81" i="34"/>
  <c r="G80" i="34"/>
  <c r="G79" i="34"/>
  <c r="G78" i="34"/>
  <c r="G77" i="34"/>
  <c r="G76" i="34"/>
  <c r="G75" i="34"/>
  <c r="G74" i="34"/>
  <c r="G73" i="34"/>
  <c r="G72" i="34"/>
  <c r="G71" i="34"/>
  <c r="G70" i="34"/>
  <c r="G69" i="34"/>
  <c r="G68" i="34"/>
  <c r="G67" i="34"/>
  <c r="G66" i="34"/>
  <c r="G65" i="34"/>
  <c r="G64" i="34"/>
  <c r="G63" i="34"/>
  <c r="G62" i="34"/>
  <c r="G61" i="34"/>
  <c r="G60" i="34"/>
  <c r="G59"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G26" i="34"/>
  <c r="G25" i="34"/>
  <c r="G24" i="34"/>
  <c r="G23" i="34"/>
  <c r="G22" i="34"/>
  <c r="G21" i="34"/>
  <c r="G20" i="34"/>
  <c r="G19" i="34"/>
  <c r="G18" i="34"/>
  <c r="G17" i="34"/>
  <c r="G16" i="34"/>
  <c r="G15" i="34"/>
  <c r="G14" i="34"/>
  <c r="G13" i="34"/>
  <c r="G12" i="34"/>
  <c r="G11" i="34"/>
  <c r="G10" i="34"/>
  <c r="G9" i="34"/>
  <c r="G8" i="34"/>
  <c r="G7" i="34"/>
  <c r="G6" i="34"/>
  <c r="G5" i="34"/>
  <c r="G4" i="34"/>
  <c r="G3" i="34"/>
  <c r="G2" i="34"/>
  <c r="BH8" i="8"/>
  <c r="BH8" i="9"/>
  <c r="BH8" i="10"/>
  <c r="BH8" i="11"/>
  <c r="BH8" i="12"/>
  <c r="BH8" i="13"/>
  <c r="BH8" i="14"/>
  <c r="BH8" i="15"/>
  <c r="BH8" i="7"/>
  <c r="BH8" i="6"/>
  <c r="BH8" i="5"/>
  <c r="BH8" i="4"/>
  <c r="CD81" i="10"/>
  <c r="CD81" i="11"/>
  <c r="CD81" i="12"/>
  <c r="CD81" i="13"/>
  <c r="CD81" i="14"/>
  <c r="CD81" i="15"/>
  <c r="CD81" i="9"/>
  <c r="CD81" i="6"/>
  <c r="CD81" i="7"/>
  <c r="CD81" i="8"/>
  <c r="CD81" i="5"/>
  <c r="CD81" i="4"/>
  <c r="B6" i="53"/>
  <c r="A136" i="53"/>
  <c r="A135" i="53"/>
  <c r="A134" i="53"/>
  <c r="A133" i="53"/>
  <c r="C132" i="53"/>
  <c r="D132" i="53" s="1"/>
  <c r="E132" i="53" s="1"/>
  <c r="F132" i="53" s="1"/>
  <c r="G132" i="53" s="1"/>
  <c r="H132" i="53" s="1"/>
  <c r="I132" i="53" s="1"/>
  <c r="J132" i="53" s="1"/>
  <c r="K132" i="53" s="1"/>
  <c r="L132" i="53" s="1"/>
  <c r="M132" i="53" s="1"/>
  <c r="A132" i="53"/>
  <c r="C131" i="53"/>
  <c r="D131" i="53" s="1"/>
  <c r="E131" i="53" s="1"/>
  <c r="F131" i="53" s="1"/>
  <c r="G131" i="53" s="1"/>
  <c r="H131" i="53" s="1"/>
  <c r="I131" i="53" s="1"/>
  <c r="J131" i="53" s="1"/>
  <c r="K131" i="53" s="1"/>
  <c r="L131" i="53" s="1"/>
  <c r="M131" i="53" s="1"/>
  <c r="A131" i="53"/>
  <c r="C129" i="53"/>
  <c r="D129" i="53" s="1"/>
  <c r="E129" i="53" s="1"/>
  <c r="F129" i="53" s="1"/>
  <c r="G129" i="53" s="1"/>
  <c r="H129" i="53" s="1"/>
  <c r="I129" i="53" s="1"/>
  <c r="J129" i="53" s="1"/>
  <c r="K129" i="53" s="1"/>
  <c r="L129" i="53" s="1"/>
  <c r="M129" i="53" s="1"/>
  <c r="A129" i="53"/>
  <c r="C128" i="53"/>
  <c r="D128" i="53" s="1"/>
  <c r="E128" i="53" s="1"/>
  <c r="F128" i="53" s="1"/>
  <c r="G128" i="53" s="1"/>
  <c r="H128" i="53" s="1"/>
  <c r="I128" i="53" s="1"/>
  <c r="J128" i="53" s="1"/>
  <c r="K128" i="53" s="1"/>
  <c r="L128" i="53" s="1"/>
  <c r="M128" i="53" s="1"/>
  <c r="A128" i="53"/>
  <c r="B127" i="53"/>
  <c r="C127" i="53" s="1"/>
  <c r="D127" i="53" s="1"/>
  <c r="E127" i="53" s="1"/>
  <c r="F127" i="53" s="1"/>
  <c r="G127" i="53" s="1"/>
  <c r="H127" i="53" s="1"/>
  <c r="I127" i="53" s="1"/>
  <c r="J127" i="53" s="1"/>
  <c r="K127" i="53" s="1"/>
  <c r="L127" i="53" s="1"/>
  <c r="M127" i="53" s="1"/>
  <c r="C126" i="53"/>
  <c r="D126" i="53" s="1"/>
  <c r="E126" i="53" s="1"/>
  <c r="F126" i="53" s="1"/>
  <c r="G126" i="53" s="1"/>
  <c r="H126" i="53" s="1"/>
  <c r="I126" i="53" s="1"/>
  <c r="J126" i="53" s="1"/>
  <c r="K126" i="53" s="1"/>
  <c r="L126" i="53" s="1"/>
  <c r="M126" i="53" s="1"/>
  <c r="A126" i="53"/>
  <c r="C125" i="53"/>
  <c r="D125" i="53" s="1"/>
  <c r="E125" i="53" s="1"/>
  <c r="F125" i="53" s="1"/>
  <c r="G125" i="53" s="1"/>
  <c r="H125" i="53" s="1"/>
  <c r="I125" i="53" s="1"/>
  <c r="J125" i="53" s="1"/>
  <c r="K125" i="53" s="1"/>
  <c r="L125" i="53" s="1"/>
  <c r="M125" i="53" s="1"/>
  <c r="A125" i="53"/>
  <c r="C124" i="53"/>
  <c r="D124" i="53" s="1"/>
  <c r="E124" i="53" s="1"/>
  <c r="F124" i="53" s="1"/>
  <c r="G124" i="53" s="1"/>
  <c r="H124" i="53" s="1"/>
  <c r="I124" i="53" s="1"/>
  <c r="J124" i="53" s="1"/>
  <c r="K124" i="53" s="1"/>
  <c r="L124" i="53" s="1"/>
  <c r="M124" i="53" s="1"/>
  <c r="A124" i="53"/>
  <c r="B123" i="53"/>
  <c r="C123" i="53" s="1"/>
  <c r="D123" i="53" s="1"/>
  <c r="E123" i="53" s="1"/>
  <c r="F123" i="53" s="1"/>
  <c r="G123" i="53" s="1"/>
  <c r="H123" i="53" s="1"/>
  <c r="I123" i="53" s="1"/>
  <c r="J123" i="53" s="1"/>
  <c r="K123" i="53" s="1"/>
  <c r="L123" i="53" s="1"/>
  <c r="M123" i="53" s="1"/>
  <c r="C122" i="53"/>
  <c r="D122" i="53" s="1"/>
  <c r="E122" i="53" s="1"/>
  <c r="F122" i="53" s="1"/>
  <c r="G122" i="53" s="1"/>
  <c r="H122" i="53" s="1"/>
  <c r="I122" i="53" s="1"/>
  <c r="J122" i="53" s="1"/>
  <c r="K122" i="53" s="1"/>
  <c r="L122" i="53" s="1"/>
  <c r="M122" i="53" s="1"/>
  <c r="A122" i="53"/>
  <c r="C121" i="53"/>
  <c r="D121" i="53" s="1"/>
  <c r="E121" i="53" s="1"/>
  <c r="F121" i="53" s="1"/>
  <c r="G121" i="53" s="1"/>
  <c r="H121" i="53" s="1"/>
  <c r="I121" i="53" s="1"/>
  <c r="J121" i="53" s="1"/>
  <c r="K121" i="53" s="1"/>
  <c r="L121" i="53" s="1"/>
  <c r="M121" i="53" s="1"/>
  <c r="A121" i="53"/>
  <c r="C120" i="53"/>
  <c r="D120" i="53" s="1"/>
  <c r="E120" i="53" s="1"/>
  <c r="F120" i="53" s="1"/>
  <c r="G120" i="53" s="1"/>
  <c r="H120" i="53" s="1"/>
  <c r="I120" i="53" s="1"/>
  <c r="J120" i="53" s="1"/>
  <c r="K120" i="53" s="1"/>
  <c r="L120" i="53" s="1"/>
  <c r="M120" i="53" s="1"/>
  <c r="A120" i="53"/>
  <c r="C119" i="53"/>
  <c r="D119" i="53" s="1"/>
  <c r="E119" i="53" s="1"/>
  <c r="F119" i="53" s="1"/>
  <c r="G119" i="53" s="1"/>
  <c r="H119" i="53" s="1"/>
  <c r="I119" i="53" s="1"/>
  <c r="J119" i="53" s="1"/>
  <c r="K119" i="53" s="1"/>
  <c r="L119" i="53" s="1"/>
  <c r="M119" i="53" s="1"/>
  <c r="A119" i="53"/>
  <c r="A118" i="53"/>
  <c r="C117" i="53"/>
  <c r="D117" i="53" s="1"/>
  <c r="E117" i="53" s="1"/>
  <c r="F117" i="53" s="1"/>
  <c r="G117" i="53" s="1"/>
  <c r="H117" i="53" s="1"/>
  <c r="I117" i="53" s="1"/>
  <c r="J117" i="53" s="1"/>
  <c r="K117" i="53" s="1"/>
  <c r="L117" i="53" s="1"/>
  <c r="M117" i="53" s="1"/>
  <c r="A117" i="53"/>
  <c r="C116" i="53"/>
  <c r="D116" i="53" s="1"/>
  <c r="E116" i="53" s="1"/>
  <c r="F116" i="53" s="1"/>
  <c r="G116" i="53" s="1"/>
  <c r="H116" i="53" s="1"/>
  <c r="I116" i="53" s="1"/>
  <c r="J116" i="53" s="1"/>
  <c r="K116" i="53" s="1"/>
  <c r="L116" i="53" s="1"/>
  <c r="M116" i="53" s="1"/>
  <c r="A116" i="53"/>
  <c r="C115" i="53"/>
  <c r="D115" i="53" s="1"/>
  <c r="E115" i="53" s="1"/>
  <c r="F115" i="53" s="1"/>
  <c r="G115" i="53" s="1"/>
  <c r="H115" i="53" s="1"/>
  <c r="I115" i="53" s="1"/>
  <c r="J115" i="53" s="1"/>
  <c r="K115" i="53" s="1"/>
  <c r="L115" i="53" s="1"/>
  <c r="M115" i="53" s="1"/>
  <c r="A115" i="53"/>
  <c r="C114" i="53"/>
  <c r="D114" i="53" s="1"/>
  <c r="E114" i="53" s="1"/>
  <c r="F114" i="53" s="1"/>
  <c r="G114" i="53" s="1"/>
  <c r="H114" i="53" s="1"/>
  <c r="I114" i="53" s="1"/>
  <c r="J114" i="53" s="1"/>
  <c r="K114" i="53" s="1"/>
  <c r="L114" i="53" s="1"/>
  <c r="M114" i="53" s="1"/>
  <c r="A114" i="53"/>
  <c r="A113" i="53"/>
  <c r="A101" i="53"/>
  <c r="C100" i="53"/>
  <c r="D100" i="53" s="1"/>
  <c r="E100" i="53" s="1"/>
  <c r="F100" i="53" s="1"/>
  <c r="G100" i="53" s="1"/>
  <c r="H100" i="53" s="1"/>
  <c r="I100" i="53" s="1"/>
  <c r="J100" i="53" s="1"/>
  <c r="K100" i="53" s="1"/>
  <c r="L100" i="53" s="1"/>
  <c r="M100" i="53" s="1"/>
  <c r="A100" i="53"/>
  <c r="C99" i="53"/>
  <c r="D99" i="53" s="1"/>
  <c r="E99" i="53" s="1"/>
  <c r="F99" i="53" s="1"/>
  <c r="G99" i="53" s="1"/>
  <c r="H99" i="53" s="1"/>
  <c r="I99" i="53" s="1"/>
  <c r="J99" i="53" s="1"/>
  <c r="K99" i="53" s="1"/>
  <c r="L99" i="53" s="1"/>
  <c r="M99" i="53" s="1"/>
  <c r="A99" i="53"/>
  <c r="C98" i="53"/>
  <c r="D98" i="53" s="1"/>
  <c r="E98" i="53" s="1"/>
  <c r="F98" i="53" s="1"/>
  <c r="G98" i="53" s="1"/>
  <c r="H98" i="53" s="1"/>
  <c r="I98" i="53" s="1"/>
  <c r="J98" i="53" s="1"/>
  <c r="K98" i="53" s="1"/>
  <c r="L98" i="53" s="1"/>
  <c r="M98" i="53" s="1"/>
  <c r="A98" i="53"/>
  <c r="A97" i="53"/>
  <c r="A96" i="53"/>
  <c r="A94" i="53"/>
  <c r="A93" i="53"/>
  <c r="B92" i="53"/>
  <c r="C92" i="53" s="1"/>
  <c r="D92" i="53" s="1"/>
  <c r="E92" i="53" s="1"/>
  <c r="F92" i="53" s="1"/>
  <c r="G92" i="53" s="1"/>
  <c r="H92" i="53" s="1"/>
  <c r="I92" i="53" s="1"/>
  <c r="J92" i="53" s="1"/>
  <c r="K92" i="53" s="1"/>
  <c r="L92" i="53" s="1"/>
  <c r="M92" i="53" s="1"/>
  <c r="C91" i="53"/>
  <c r="D91" i="53" s="1"/>
  <c r="E91" i="53" s="1"/>
  <c r="F91" i="53" s="1"/>
  <c r="G91" i="53" s="1"/>
  <c r="H91" i="53" s="1"/>
  <c r="I91" i="53" s="1"/>
  <c r="J91" i="53" s="1"/>
  <c r="K91" i="53" s="1"/>
  <c r="L91" i="53" s="1"/>
  <c r="M91" i="53" s="1"/>
  <c r="A91" i="53"/>
  <c r="C90" i="53"/>
  <c r="D90" i="53" s="1"/>
  <c r="E90" i="53" s="1"/>
  <c r="F90" i="53" s="1"/>
  <c r="G90" i="53" s="1"/>
  <c r="H90" i="53" s="1"/>
  <c r="I90" i="53" s="1"/>
  <c r="J90" i="53" s="1"/>
  <c r="K90" i="53" s="1"/>
  <c r="L90" i="53" s="1"/>
  <c r="M90" i="53" s="1"/>
  <c r="A90" i="53"/>
  <c r="C89" i="53"/>
  <c r="D89" i="53" s="1"/>
  <c r="E89" i="53" s="1"/>
  <c r="F89" i="53" s="1"/>
  <c r="G89" i="53" s="1"/>
  <c r="H89" i="53" s="1"/>
  <c r="I89" i="53" s="1"/>
  <c r="J89" i="53" s="1"/>
  <c r="K89" i="53" s="1"/>
  <c r="L89" i="53" s="1"/>
  <c r="M89" i="53" s="1"/>
  <c r="A89" i="53"/>
  <c r="B88" i="53"/>
  <c r="C88" i="53" s="1"/>
  <c r="D88" i="53" s="1"/>
  <c r="E88" i="53" s="1"/>
  <c r="F88" i="53" s="1"/>
  <c r="G88" i="53" s="1"/>
  <c r="H88" i="53" s="1"/>
  <c r="I88" i="53" s="1"/>
  <c r="J88" i="53" s="1"/>
  <c r="K88" i="53" s="1"/>
  <c r="L88" i="53" s="1"/>
  <c r="M88" i="53" s="1"/>
  <c r="C87" i="53"/>
  <c r="D87" i="53" s="1"/>
  <c r="E87" i="53" s="1"/>
  <c r="F87" i="53" s="1"/>
  <c r="G87" i="53" s="1"/>
  <c r="H87" i="53" s="1"/>
  <c r="I87" i="53" s="1"/>
  <c r="J87" i="53" s="1"/>
  <c r="K87" i="53" s="1"/>
  <c r="L87" i="53" s="1"/>
  <c r="M87" i="53" s="1"/>
  <c r="A87" i="53"/>
  <c r="C86" i="53"/>
  <c r="D86" i="53" s="1"/>
  <c r="E86" i="53" s="1"/>
  <c r="F86" i="53" s="1"/>
  <c r="G86" i="53" s="1"/>
  <c r="H86" i="53" s="1"/>
  <c r="I86" i="53" s="1"/>
  <c r="J86" i="53" s="1"/>
  <c r="K86" i="53" s="1"/>
  <c r="L86" i="53" s="1"/>
  <c r="M86" i="53" s="1"/>
  <c r="A86" i="53"/>
  <c r="C85" i="53"/>
  <c r="D85" i="53" s="1"/>
  <c r="E85" i="53" s="1"/>
  <c r="F85" i="53" s="1"/>
  <c r="G85" i="53" s="1"/>
  <c r="H85" i="53" s="1"/>
  <c r="I85" i="53" s="1"/>
  <c r="J85" i="53" s="1"/>
  <c r="K85" i="53" s="1"/>
  <c r="L85" i="53" s="1"/>
  <c r="M85" i="53" s="1"/>
  <c r="A85" i="53"/>
  <c r="C84" i="53"/>
  <c r="D84" i="53" s="1"/>
  <c r="E84" i="53" s="1"/>
  <c r="F84" i="53" s="1"/>
  <c r="G84" i="53" s="1"/>
  <c r="H84" i="53" s="1"/>
  <c r="I84" i="53" s="1"/>
  <c r="J84" i="53" s="1"/>
  <c r="K84" i="53" s="1"/>
  <c r="L84" i="53" s="1"/>
  <c r="M84" i="53" s="1"/>
  <c r="A84" i="53"/>
  <c r="A83" i="53"/>
  <c r="A82" i="53"/>
  <c r="A81" i="53"/>
  <c r="C80" i="53"/>
  <c r="D80" i="53" s="1"/>
  <c r="E80" i="53" s="1"/>
  <c r="F80" i="53" s="1"/>
  <c r="G80" i="53" s="1"/>
  <c r="H80" i="53" s="1"/>
  <c r="I80" i="53" s="1"/>
  <c r="J80" i="53" s="1"/>
  <c r="K80" i="53" s="1"/>
  <c r="L80" i="53" s="1"/>
  <c r="M80" i="53" s="1"/>
  <c r="A80" i="53"/>
  <c r="C79" i="53"/>
  <c r="D79" i="53" s="1"/>
  <c r="E79" i="53" s="1"/>
  <c r="F79" i="53" s="1"/>
  <c r="G79" i="53" s="1"/>
  <c r="H79" i="53" s="1"/>
  <c r="I79" i="53" s="1"/>
  <c r="J79" i="53" s="1"/>
  <c r="K79" i="53" s="1"/>
  <c r="L79" i="53" s="1"/>
  <c r="M79" i="53" s="1"/>
  <c r="A79" i="53"/>
  <c r="A78" i="53"/>
  <c r="A65" i="53"/>
  <c r="A64" i="53"/>
  <c r="A63" i="53"/>
  <c r="A62" i="53"/>
  <c r="C61" i="53"/>
  <c r="D61" i="53" s="1"/>
  <c r="E61" i="53" s="1"/>
  <c r="F61" i="53" s="1"/>
  <c r="G61" i="53" s="1"/>
  <c r="H61" i="53" s="1"/>
  <c r="I61" i="53" s="1"/>
  <c r="J61" i="53" s="1"/>
  <c r="K61" i="53" s="1"/>
  <c r="L61" i="53" s="1"/>
  <c r="M61" i="53" s="1"/>
  <c r="A61" i="53"/>
  <c r="A60" i="53"/>
  <c r="C58" i="53"/>
  <c r="D58" i="53" s="1"/>
  <c r="E58" i="53" s="1"/>
  <c r="F58" i="53" s="1"/>
  <c r="G58" i="53" s="1"/>
  <c r="H58" i="53" s="1"/>
  <c r="I58" i="53" s="1"/>
  <c r="J58" i="53" s="1"/>
  <c r="K58" i="53" s="1"/>
  <c r="L58" i="53" s="1"/>
  <c r="M58" i="53" s="1"/>
  <c r="A58" i="53"/>
  <c r="C57" i="53"/>
  <c r="D57" i="53" s="1"/>
  <c r="E57" i="53" s="1"/>
  <c r="F57" i="53" s="1"/>
  <c r="G57" i="53" s="1"/>
  <c r="H57" i="53" s="1"/>
  <c r="I57" i="53" s="1"/>
  <c r="J57" i="53" s="1"/>
  <c r="K57" i="53" s="1"/>
  <c r="L57" i="53" s="1"/>
  <c r="M57" i="53" s="1"/>
  <c r="A57" i="53"/>
  <c r="B56" i="53"/>
  <c r="C56" i="53" s="1"/>
  <c r="D56" i="53" s="1"/>
  <c r="E56" i="53" s="1"/>
  <c r="F56" i="53" s="1"/>
  <c r="G56" i="53" s="1"/>
  <c r="H56" i="53" s="1"/>
  <c r="I56" i="53" s="1"/>
  <c r="J56" i="53" s="1"/>
  <c r="K56" i="53" s="1"/>
  <c r="L56" i="53" s="1"/>
  <c r="M56" i="53" s="1"/>
  <c r="C55" i="53"/>
  <c r="D55" i="53" s="1"/>
  <c r="E55" i="53" s="1"/>
  <c r="F55" i="53" s="1"/>
  <c r="G55" i="53" s="1"/>
  <c r="H55" i="53" s="1"/>
  <c r="I55" i="53" s="1"/>
  <c r="J55" i="53" s="1"/>
  <c r="K55" i="53" s="1"/>
  <c r="L55" i="53" s="1"/>
  <c r="M55" i="53" s="1"/>
  <c r="A55" i="53"/>
  <c r="C54" i="53"/>
  <c r="D54" i="53" s="1"/>
  <c r="E54" i="53" s="1"/>
  <c r="F54" i="53" s="1"/>
  <c r="G54" i="53" s="1"/>
  <c r="H54" i="53" s="1"/>
  <c r="I54" i="53" s="1"/>
  <c r="J54" i="53" s="1"/>
  <c r="K54" i="53" s="1"/>
  <c r="L54" i="53" s="1"/>
  <c r="M54" i="53" s="1"/>
  <c r="A54" i="53"/>
  <c r="C53" i="53"/>
  <c r="D53" i="53" s="1"/>
  <c r="E53" i="53" s="1"/>
  <c r="F53" i="53" s="1"/>
  <c r="G53" i="53" s="1"/>
  <c r="H53" i="53" s="1"/>
  <c r="I53" i="53" s="1"/>
  <c r="J53" i="53" s="1"/>
  <c r="K53" i="53" s="1"/>
  <c r="L53" i="53" s="1"/>
  <c r="M53" i="53" s="1"/>
  <c r="A53" i="53"/>
  <c r="B52" i="53"/>
  <c r="C52" i="53" s="1"/>
  <c r="D52" i="53" s="1"/>
  <c r="E52" i="53" s="1"/>
  <c r="F52" i="53" s="1"/>
  <c r="G52" i="53" s="1"/>
  <c r="H52" i="53" s="1"/>
  <c r="I52" i="53" s="1"/>
  <c r="J52" i="53" s="1"/>
  <c r="K52" i="53" s="1"/>
  <c r="L52" i="53" s="1"/>
  <c r="M52" i="53" s="1"/>
  <c r="C51" i="53"/>
  <c r="D51" i="53" s="1"/>
  <c r="E51" i="53" s="1"/>
  <c r="F51" i="53" s="1"/>
  <c r="G51" i="53" s="1"/>
  <c r="H51" i="53" s="1"/>
  <c r="I51" i="53" s="1"/>
  <c r="J51" i="53" s="1"/>
  <c r="K51" i="53" s="1"/>
  <c r="L51" i="53" s="1"/>
  <c r="M51" i="53" s="1"/>
  <c r="A51" i="53"/>
  <c r="C50" i="53"/>
  <c r="D50" i="53" s="1"/>
  <c r="E50" i="53" s="1"/>
  <c r="F50" i="53" s="1"/>
  <c r="G50" i="53" s="1"/>
  <c r="H50" i="53" s="1"/>
  <c r="I50" i="53" s="1"/>
  <c r="J50" i="53" s="1"/>
  <c r="K50" i="53" s="1"/>
  <c r="L50" i="53" s="1"/>
  <c r="M50" i="53" s="1"/>
  <c r="A50" i="53"/>
  <c r="C49" i="53"/>
  <c r="D49" i="53" s="1"/>
  <c r="E49" i="53" s="1"/>
  <c r="F49" i="53" s="1"/>
  <c r="G49" i="53" s="1"/>
  <c r="H49" i="53" s="1"/>
  <c r="I49" i="53" s="1"/>
  <c r="J49" i="53" s="1"/>
  <c r="K49" i="53" s="1"/>
  <c r="L49" i="53" s="1"/>
  <c r="M49" i="53" s="1"/>
  <c r="A49" i="53"/>
  <c r="C48" i="53"/>
  <c r="D48" i="53" s="1"/>
  <c r="E48" i="53" s="1"/>
  <c r="F48" i="53" s="1"/>
  <c r="G48" i="53" s="1"/>
  <c r="H48" i="53" s="1"/>
  <c r="I48" i="53" s="1"/>
  <c r="J48" i="53" s="1"/>
  <c r="K48" i="53" s="1"/>
  <c r="L48" i="53" s="1"/>
  <c r="M48" i="53" s="1"/>
  <c r="A48" i="53"/>
  <c r="A47" i="53"/>
  <c r="C46" i="53"/>
  <c r="A46" i="53"/>
  <c r="C45" i="53"/>
  <c r="D45" i="53" s="1"/>
  <c r="E45" i="53" s="1"/>
  <c r="F45" i="53" s="1"/>
  <c r="G45" i="53" s="1"/>
  <c r="H45" i="53" s="1"/>
  <c r="I45" i="53" s="1"/>
  <c r="J45" i="53" s="1"/>
  <c r="K45" i="53" s="1"/>
  <c r="L45" i="53" s="1"/>
  <c r="M45" i="53" s="1"/>
  <c r="A45" i="53"/>
  <c r="C44" i="53"/>
  <c r="A44" i="53"/>
  <c r="C43" i="53"/>
  <c r="U41" i="5" s="1"/>
  <c r="A43" i="53"/>
  <c r="A42" i="53"/>
  <c r="C32" i="53"/>
  <c r="D32" i="53" s="1"/>
  <c r="E32" i="53" s="1"/>
  <c r="F32" i="53" s="1"/>
  <c r="G32" i="53" s="1"/>
  <c r="H32" i="53" s="1"/>
  <c r="I32" i="53" s="1"/>
  <c r="J32" i="53" s="1"/>
  <c r="K32" i="53" s="1"/>
  <c r="L32" i="53" s="1"/>
  <c r="M32" i="53" s="1"/>
  <c r="C31" i="53"/>
  <c r="D31" i="53" s="1"/>
  <c r="E31" i="53" s="1"/>
  <c r="F31" i="53" s="1"/>
  <c r="G31" i="53" s="1"/>
  <c r="H31" i="53" s="1"/>
  <c r="I31" i="53" s="1"/>
  <c r="J31" i="53" s="1"/>
  <c r="K31" i="53" s="1"/>
  <c r="L31" i="53" s="1"/>
  <c r="M31" i="53" s="1"/>
  <c r="C30" i="53"/>
  <c r="D30" i="53" s="1"/>
  <c r="E30" i="53" s="1"/>
  <c r="F30" i="53" s="1"/>
  <c r="G30" i="53" s="1"/>
  <c r="H30" i="53" s="1"/>
  <c r="I30" i="53" s="1"/>
  <c r="J30" i="53" s="1"/>
  <c r="K30" i="53" s="1"/>
  <c r="L30" i="53" s="1"/>
  <c r="M30" i="53" s="1"/>
  <c r="C29" i="53"/>
  <c r="D29" i="53" s="1"/>
  <c r="E29" i="53" s="1"/>
  <c r="F29" i="53" s="1"/>
  <c r="G29" i="53" s="1"/>
  <c r="H29" i="53" s="1"/>
  <c r="I29" i="53" s="1"/>
  <c r="J29" i="53" s="1"/>
  <c r="K29" i="53" s="1"/>
  <c r="L29" i="53" s="1"/>
  <c r="M29" i="53" s="1"/>
  <c r="B23" i="53"/>
  <c r="C23" i="53" s="1"/>
  <c r="D23" i="53" s="1"/>
  <c r="E23" i="53" s="1"/>
  <c r="F23" i="53" s="1"/>
  <c r="G23" i="53" s="1"/>
  <c r="H23" i="53" s="1"/>
  <c r="I23" i="53" s="1"/>
  <c r="J23" i="53" s="1"/>
  <c r="K23" i="53" s="1"/>
  <c r="L23" i="53" s="1"/>
  <c r="M23" i="53" s="1"/>
  <c r="A23" i="53"/>
  <c r="C22" i="53"/>
  <c r="D22" i="53" s="1"/>
  <c r="E22" i="53" s="1"/>
  <c r="F22" i="53" s="1"/>
  <c r="G22" i="53" s="1"/>
  <c r="H22" i="53" s="1"/>
  <c r="I22" i="53" s="1"/>
  <c r="J22" i="53" s="1"/>
  <c r="K22" i="53" s="1"/>
  <c r="L22" i="53" s="1"/>
  <c r="M22" i="53" s="1"/>
  <c r="C21" i="53"/>
  <c r="D21" i="53" s="1"/>
  <c r="E21" i="53" s="1"/>
  <c r="F21" i="53" s="1"/>
  <c r="G21" i="53" s="1"/>
  <c r="H21" i="53" s="1"/>
  <c r="I21" i="53" s="1"/>
  <c r="J21" i="53" s="1"/>
  <c r="K21" i="53" s="1"/>
  <c r="L21" i="53" s="1"/>
  <c r="M21" i="53" s="1"/>
  <c r="C20" i="53"/>
  <c r="D20" i="53" s="1"/>
  <c r="E20" i="53" s="1"/>
  <c r="F20" i="53" s="1"/>
  <c r="G20" i="53" s="1"/>
  <c r="H20" i="53" s="1"/>
  <c r="I20" i="53" s="1"/>
  <c r="J20" i="53" s="1"/>
  <c r="K20" i="53" s="1"/>
  <c r="L20" i="53" s="1"/>
  <c r="M20" i="53" s="1"/>
  <c r="B19" i="53"/>
  <c r="C19" i="53" s="1"/>
  <c r="D19" i="53" s="1"/>
  <c r="E19" i="53" s="1"/>
  <c r="F19" i="53" s="1"/>
  <c r="G19" i="53" s="1"/>
  <c r="H19" i="53" s="1"/>
  <c r="I19" i="53" s="1"/>
  <c r="J19" i="53" s="1"/>
  <c r="K19" i="53" s="1"/>
  <c r="L19" i="53" s="1"/>
  <c r="M19" i="53" s="1"/>
  <c r="A19" i="53"/>
  <c r="C18" i="53"/>
  <c r="D18" i="53" s="1"/>
  <c r="E18" i="53" s="1"/>
  <c r="F18" i="53" s="1"/>
  <c r="G18" i="53" s="1"/>
  <c r="H18" i="53" s="1"/>
  <c r="I18" i="53" s="1"/>
  <c r="J18" i="53" s="1"/>
  <c r="K18" i="53" s="1"/>
  <c r="L18" i="53" s="1"/>
  <c r="M18" i="53" s="1"/>
  <c r="C17" i="53"/>
  <c r="C16" i="53"/>
  <c r="D16" i="53" s="1"/>
  <c r="E16" i="53" s="1"/>
  <c r="F16" i="53" s="1"/>
  <c r="G16" i="53" s="1"/>
  <c r="H16" i="53" s="1"/>
  <c r="I16" i="53" s="1"/>
  <c r="J16" i="53" s="1"/>
  <c r="K16" i="53" s="1"/>
  <c r="L16" i="53" s="1"/>
  <c r="M16" i="53" s="1"/>
  <c r="C15" i="53"/>
  <c r="C11" i="53"/>
  <c r="D11" i="53" s="1"/>
  <c r="B39" i="53"/>
  <c r="B75" i="53" s="1"/>
  <c r="B110" i="53" s="1"/>
  <c r="D44" i="53" l="1"/>
  <c r="U42" i="5"/>
  <c r="D46" i="53"/>
  <c r="U45" i="5"/>
  <c r="D15" i="53"/>
  <c r="K48" i="5"/>
  <c r="B67" i="53"/>
  <c r="B34" i="53"/>
  <c r="C6" i="53"/>
  <c r="C34" i="53"/>
  <c r="E11" i="53"/>
  <c r="D17" i="53"/>
  <c r="E17" i="53" s="1"/>
  <c r="F17" i="53" s="1"/>
  <c r="G17" i="53" s="1"/>
  <c r="H17" i="53" s="1"/>
  <c r="I17" i="53" s="1"/>
  <c r="J17" i="53" s="1"/>
  <c r="K17" i="53" s="1"/>
  <c r="L17" i="53" s="1"/>
  <c r="M17" i="53" s="1"/>
  <c r="A92" i="53"/>
  <c r="A127" i="53"/>
  <c r="A56" i="53"/>
  <c r="A88" i="53"/>
  <c r="A123" i="53"/>
  <c r="C67" i="53"/>
  <c r="D43" i="53"/>
  <c r="U41" i="6" s="1"/>
  <c r="A52" i="53"/>
  <c r="E46" i="53" l="1"/>
  <c r="U45" i="6"/>
  <c r="E44" i="53"/>
  <c r="U42" i="6"/>
  <c r="E15" i="53"/>
  <c r="K48" i="6"/>
  <c r="C39" i="53"/>
  <c r="D6" i="53"/>
  <c r="E6" i="53" s="1"/>
  <c r="D67" i="53"/>
  <c r="E43" i="53"/>
  <c r="U41" i="7" s="1"/>
  <c r="E34" i="53"/>
  <c r="F11" i="53"/>
  <c r="D34" i="53"/>
  <c r="F44" i="53" l="1"/>
  <c r="U42" i="7"/>
  <c r="U45" i="7"/>
  <c r="F46" i="53"/>
  <c r="F15" i="53"/>
  <c r="K48" i="7"/>
  <c r="D39" i="53"/>
  <c r="D75" i="53" s="1"/>
  <c r="D110" i="53" s="1"/>
  <c r="C75" i="53"/>
  <c r="F34" i="53"/>
  <c r="G11" i="53"/>
  <c r="E67" i="53"/>
  <c r="F43" i="53"/>
  <c r="U41" i="8" s="1"/>
  <c r="E39" i="53"/>
  <c r="E75" i="53" s="1"/>
  <c r="E110" i="53" s="1"/>
  <c r="F6" i="53"/>
  <c r="G46" i="53" l="1"/>
  <c r="U45" i="8"/>
  <c r="G44" i="53"/>
  <c r="U42" i="8"/>
  <c r="G15" i="53"/>
  <c r="K48" i="8"/>
  <c r="C110" i="53"/>
  <c r="F39" i="53"/>
  <c r="G6" i="53"/>
  <c r="G34" i="53"/>
  <c r="H11" i="53"/>
  <c r="F67" i="53"/>
  <c r="G43" i="53"/>
  <c r="U41" i="9" s="1"/>
  <c r="H44" i="53" l="1"/>
  <c r="U42" i="9"/>
  <c r="H46" i="53"/>
  <c r="U45" i="9"/>
  <c r="H15" i="53"/>
  <c r="K48" i="9"/>
  <c r="F75" i="53"/>
  <c r="G39" i="53"/>
  <c r="H6" i="53"/>
  <c r="H34" i="53"/>
  <c r="I11" i="53"/>
  <c r="G67" i="53"/>
  <c r="H43" i="53"/>
  <c r="U41" i="10" s="1"/>
  <c r="I46" i="53" l="1"/>
  <c r="U45" i="10"/>
  <c r="I44" i="53"/>
  <c r="U42" i="10"/>
  <c r="I15" i="53"/>
  <c r="K48" i="10"/>
  <c r="F110" i="53"/>
  <c r="G75" i="53"/>
  <c r="G110" i="53" s="1"/>
  <c r="I34" i="53"/>
  <c r="J11" i="53"/>
  <c r="H67" i="53"/>
  <c r="I43" i="53"/>
  <c r="U41" i="11" s="1"/>
  <c r="H39" i="53"/>
  <c r="I6" i="53"/>
  <c r="J44" i="53" l="1"/>
  <c r="U42" i="11"/>
  <c r="J46" i="53"/>
  <c r="U45" i="11"/>
  <c r="J15" i="53"/>
  <c r="K48" i="11"/>
  <c r="H75" i="53"/>
  <c r="I39" i="53"/>
  <c r="J6" i="53"/>
  <c r="J34" i="53"/>
  <c r="K11" i="53"/>
  <c r="I67" i="53"/>
  <c r="J43" i="53"/>
  <c r="U41" i="12" s="1"/>
  <c r="K46" i="53" l="1"/>
  <c r="U45" i="12"/>
  <c r="K44" i="53"/>
  <c r="U42" i="12"/>
  <c r="K15" i="53"/>
  <c r="K48" i="12"/>
  <c r="I75" i="53"/>
  <c r="H110" i="53"/>
  <c r="K34" i="53"/>
  <c r="L11" i="53"/>
  <c r="J67" i="53"/>
  <c r="K43" i="53"/>
  <c r="U41" i="13" s="1"/>
  <c r="J39" i="53"/>
  <c r="K6" i="53"/>
  <c r="L44" i="53" l="1"/>
  <c r="U42" i="13"/>
  <c r="L46" i="53"/>
  <c r="U45" i="13"/>
  <c r="L15" i="53"/>
  <c r="K48" i="13"/>
  <c r="J75" i="53"/>
  <c r="I110" i="53"/>
  <c r="K67" i="53"/>
  <c r="L43" i="53"/>
  <c r="U41" i="14" s="1"/>
  <c r="K39" i="53"/>
  <c r="K75" i="53" s="1"/>
  <c r="K110" i="53" s="1"/>
  <c r="L6" i="53"/>
  <c r="M11" i="53"/>
  <c r="L34" i="53"/>
  <c r="M46" i="53" l="1"/>
  <c r="U45" i="15" s="1"/>
  <c r="U45" i="14"/>
  <c r="M44" i="53"/>
  <c r="U42" i="15" s="1"/>
  <c r="U42" i="14"/>
  <c r="M15" i="53"/>
  <c r="K48" i="15" s="1"/>
  <c r="K48" i="14"/>
  <c r="J110" i="53"/>
  <c r="L39" i="53"/>
  <c r="L75" i="53" s="1"/>
  <c r="L110" i="53" s="1"/>
  <c r="M6" i="53"/>
  <c r="L67" i="53"/>
  <c r="M43" i="53"/>
  <c r="M67" i="53" l="1"/>
  <c r="U41" i="15"/>
  <c r="M34" i="53"/>
  <c r="M39" i="53"/>
  <c r="M75" i="53" l="1"/>
  <c r="B66" i="1"/>
  <c r="EK496" i="72"/>
  <c r="EK451" i="72"/>
  <c r="EK406" i="72"/>
  <c r="EK361" i="72"/>
  <c r="EK316" i="72"/>
  <c r="EK271" i="72"/>
  <c r="EK226" i="72"/>
  <c r="EK181" i="72"/>
  <c r="EK136" i="72"/>
  <c r="EK91" i="72"/>
  <c r="EK46" i="72"/>
  <c r="EK1" i="72"/>
  <c r="BS506" i="72"/>
  <c r="BS461" i="72"/>
  <c r="BS416" i="72"/>
  <c r="BS371" i="72"/>
  <c r="BS326" i="72"/>
  <c r="BS281" i="72"/>
  <c r="BS236" i="72"/>
  <c r="BS191" i="72"/>
  <c r="BS146" i="72"/>
  <c r="BS101" i="72"/>
  <c r="BS56" i="72"/>
  <c r="BS11" i="72"/>
  <c r="M2" i="30"/>
  <c r="B2" i="1" s="1"/>
  <c r="M110" i="53" l="1"/>
  <c r="A1" i="54"/>
  <c r="A2" i="59"/>
  <c r="CE54" i="5"/>
  <c r="CE54" i="6" s="1"/>
  <c r="CE54" i="7" s="1"/>
  <c r="CE54" i="8" s="1"/>
  <c r="CE54" i="9" s="1"/>
  <c r="CE54" i="10" s="1"/>
  <c r="CE54" i="11" s="1"/>
  <c r="CE54" i="12" s="1"/>
  <c r="CE54" i="13" s="1"/>
  <c r="CE54" i="14" s="1"/>
  <c r="CE54" i="15" s="1"/>
  <c r="CE53" i="5"/>
  <c r="CE53" i="6" s="1"/>
  <c r="CE55" i="4"/>
  <c r="CD59" i="7"/>
  <c r="CD59" i="8"/>
  <c r="CD59" i="9"/>
  <c r="CD59" i="10"/>
  <c r="CD59" i="11"/>
  <c r="CD59" i="12"/>
  <c r="CD59" i="13"/>
  <c r="CD59" i="14"/>
  <c r="CD59" i="15"/>
  <c r="CD59" i="6"/>
  <c r="CE58" i="5"/>
  <c r="CE58" i="6" s="1"/>
  <c r="CE58" i="7" s="1"/>
  <c r="CE57" i="5"/>
  <c r="CE57" i="6" s="1"/>
  <c r="CE57" i="7" s="1"/>
  <c r="CE57" i="8" s="1"/>
  <c r="CE57" i="9" s="1"/>
  <c r="CE57" i="10" s="1"/>
  <c r="CD59" i="5"/>
  <c r="CE59" i="4"/>
  <c r="CD59" i="4"/>
  <c r="CD55" i="4"/>
  <c r="CJ9" i="59"/>
  <c r="CJ8" i="59"/>
  <c r="CJ7" i="59"/>
  <c r="CJ6" i="59"/>
  <c r="CJ5" i="59"/>
  <c r="G8" i="25"/>
  <c r="J6" i="73"/>
  <c r="J7" i="73"/>
  <c r="J8" i="73"/>
  <c r="J9" i="73"/>
  <c r="J10" i="73"/>
  <c r="J11" i="73"/>
  <c r="J12" i="73"/>
  <c r="J13" i="73"/>
  <c r="J14" i="73"/>
  <c r="J15" i="73"/>
  <c r="J16" i="73"/>
  <c r="J17" i="73"/>
  <c r="J18" i="73"/>
  <c r="J19" i="73"/>
  <c r="J20" i="73"/>
  <c r="J21" i="73"/>
  <c r="J22" i="73"/>
  <c r="J23" i="73"/>
  <c r="J24" i="73"/>
  <c r="J25" i="73"/>
  <c r="J26" i="73"/>
  <c r="J27" i="73"/>
  <c r="J28" i="73"/>
  <c r="J29" i="73"/>
  <c r="J30" i="73"/>
  <c r="J31" i="73"/>
  <c r="J32" i="73"/>
  <c r="J5" i="73"/>
  <c r="CE59" i="7" l="1"/>
  <c r="CE58" i="8"/>
  <c r="CE58" i="9" s="1"/>
  <c r="CE53" i="7"/>
  <c r="CE55" i="5"/>
  <c r="CE55" i="6" s="1"/>
  <c r="CE57" i="11"/>
  <c r="CD55" i="6"/>
  <c r="CE59" i="6"/>
  <c r="CD55" i="5"/>
  <c r="CE59" i="5"/>
  <c r="H62" i="62"/>
  <c r="D15" i="60"/>
  <c r="BZ13" i="6"/>
  <c r="BZ13" i="7"/>
  <c r="BZ13" i="8"/>
  <c r="BZ13" i="9"/>
  <c r="BZ13" i="10"/>
  <c r="BZ13" i="11"/>
  <c r="BZ13" i="12"/>
  <c r="BZ13" i="13"/>
  <c r="BZ13" i="14"/>
  <c r="BZ13" i="15"/>
  <c r="BZ13" i="5"/>
  <c r="BZ12" i="6"/>
  <c r="BZ12" i="7"/>
  <c r="BZ12" i="8"/>
  <c r="BZ12" i="9"/>
  <c r="BZ12" i="10"/>
  <c r="BZ12" i="11"/>
  <c r="BZ12" i="12"/>
  <c r="BZ12" i="13"/>
  <c r="BZ12" i="14"/>
  <c r="BZ12" i="15"/>
  <c r="BZ12" i="5"/>
  <c r="BZ11" i="6"/>
  <c r="BZ11" i="7"/>
  <c r="BZ11" i="8"/>
  <c r="BZ11" i="9"/>
  <c r="BZ11" i="10"/>
  <c r="BZ11" i="11"/>
  <c r="BZ11" i="12"/>
  <c r="BZ11" i="13"/>
  <c r="BZ11" i="14"/>
  <c r="BZ11" i="15"/>
  <c r="BZ11" i="5"/>
  <c r="BZ13" i="4"/>
  <c r="BZ12" i="4"/>
  <c r="BZ11" i="4"/>
  <c r="O21" i="35"/>
  <c r="O23" i="35" s="1"/>
  <c r="O21" i="36"/>
  <c r="O23" i="36" s="1"/>
  <c r="O21" i="37"/>
  <c r="O23" i="37" s="1"/>
  <c r="O21" i="38"/>
  <c r="O23" i="38" s="1"/>
  <c r="O21" i="39"/>
  <c r="O23" i="39" s="1"/>
  <c r="O21" i="40"/>
  <c r="O23" i="40" s="1"/>
  <c r="O21" i="41"/>
  <c r="O23" i="41" s="1"/>
  <c r="O21" i="42"/>
  <c r="O23" i="42" s="1"/>
  <c r="O21" i="43"/>
  <c r="O23" i="43" s="1"/>
  <c r="O21" i="44"/>
  <c r="O23" i="44" s="1"/>
  <c r="O21" i="45"/>
  <c r="O23" i="45" s="1"/>
  <c r="O21" i="18"/>
  <c r="O23" i="18" s="1"/>
  <c r="CE59" i="8" l="1"/>
  <c r="CE59" i="9"/>
  <c r="CE58" i="10"/>
  <c r="CE55" i="7"/>
  <c r="CE53" i="8"/>
  <c r="CE57" i="12"/>
  <c r="CD55" i="7"/>
  <c r="D62" i="60"/>
  <c r="A76" i="74"/>
  <c r="A71" i="74"/>
  <c r="CA16" i="2"/>
  <c r="BP16" i="2"/>
  <c r="BE16" i="2"/>
  <c r="X16" i="2"/>
  <c r="CD8" i="5"/>
  <c r="FX8" i="5" s="1"/>
  <c r="CD8" i="6"/>
  <c r="FX8" i="6" s="1"/>
  <c r="CD8" i="7"/>
  <c r="FX8" i="7" s="1"/>
  <c r="CD8" i="8"/>
  <c r="FX8" i="8" s="1"/>
  <c r="CD8" i="9"/>
  <c r="FX8" i="9" s="1"/>
  <c r="CD8" i="10"/>
  <c r="FX8" i="10" s="1"/>
  <c r="CD8" i="11"/>
  <c r="FX8" i="11" s="1"/>
  <c r="CD8" i="12"/>
  <c r="FX8" i="12" s="1"/>
  <c r="CD8" i="13"/>
  <c r="FX8" i="13" s="1"/>
  <c r="CD8" i="14"/>
  <c r="FX8" i="14" s="1"/>
  <c r="CD8" i="15"/>
  <c r="FX8" i="15" s="1"/>
  <c r="CD8" i="4"/>
  <c r="FX8" i="4" s="1"/>
  <c r="CE58" i="11" l="1"/>
  <c r="CE59" i="10"/>
  <c r="CE55" i="8"/>
  <c r="CE53" i="9"/>
  <c r="CE57" i="13"/>
  <c r="CD55" i="8"/>
  <c r="A34" i="73"/>
  <c r="A33" i="73"/>
  <c r="U35" i="45"/>
  <c r="U36" i="45"/>
  <c r="U37" i="45"/>
  <c r="U38" i="45"/>
  <c r="U39" i="45"/>
  <c r="U34" i="45"/>
  <c r="U35" i="44"/>
  <c r="U36" i="44"/>
  <c r="U37" i="44"/>
  <c r="U38" i="44"/>
  <c r="U39" i="44"/>
  <c r="U34" i="44"/>
  <c r="U35" i="43"/>
  <c r="U36" i="43"/>
  <c r="U37" i="43"/>
  <c r="U38" i="43"/>
  <c r="U39" i="43"/>
  <c r="U34" i="43"/>
  <c r="U39" i="42"/>
  <c r="U35" i="42"/>
  <c r="U36" i="42"/>
  <c r="U37" i="42"/>
  <c r="U38" i="42"/>
  <c r="U34" i="42"/>
  <c r="U35" i="41"/>
  <c r="U36" i="41"/>
  <c r="U37" i="41"/>
  <c r="U38" i="41"/>
  <c r="U39" i="41"/>
  <c r="U34" i="41"/>
  <c r="U35" i="40"/>
  <c r="U36" i="40"/>
  <c r="U37" i="40"/>
  <c r="U38" i="40"/>
  <c r="U39" i="40"/>
  <c r="U34" i="40"/>
  <c r="U35" i="39"/>
  <c r="U36" i="39"/>
  <c r="U37" i="39"/>
  <c r="U38" i="39"/>
  <c r="U39" i="39"/>
  <c r="U34" i="39"/>
  <c r="U35" i="38"/>
  <c r="U36" i="38"/>
  <c r="U37" i="38"/>
  <c r="U38" i="38"/>
  <c r="U39" i="38"/>
  <c r="U34" i="38"/>
  <c r="U35" i="37"/>
  <c r="U36" i="37"/>
  <c r="U37" i="37"/>
  <c r="U38" i="37"/>
  <c r="U39" i="37"/>
  <c r="U34" i="37"/>
  <c r="U35" i="36"/>
  <c r="U36" i="36"/>
  <c r="U37" i="36"/>
  <c r="U38" i="36"/>
  <c r="U39" i="36"/>
  <c r="U34" i="36"/>
  <c r="U35" i="35"/>
  <c r="U36" i="35"/>
  <c r="U37" i="35"/>
  <c r="U38" i="35"/>
  <c r="U39" i="35"/>
  <c r="U34" i="35"/>
  <c r="U35" i="18"/>
  <c r="U36" i="18"/>
  <c r="U37" i="18"/>
  <c r="U38" i="18"/>
  <c r="U39" i="18"/>
  <c r="U34" i="18"/>
  <c r="CE58" i="12" l="1"/>
  <c r="CE59" i="11"/>
  <c r="CE55" i="9"/>
  <c r="CE53" i="10"/>
  <c r="CE57" i="14"/>
  <c r="CD55" i="9"/>
  <c r="T24" i="6"/>
  <c r="T23" i="6"/>
  <c r="T24" i="7"/>
  <c r="T23" i="7"/>
  <c r="T24" i="8"/>
  <c r="T23" i="8"/>
  <c r="T24" i="9"/>
  <c r="T23" i="9"/>
  <c r="T24" i="10"/>
  <c r="T23" i="10"/>
  <c r="T24" i="11"/>
  <c r="T23" i="11"/>
  <c r="T24" i="12"/>
  <c r="T23" i="12"/>
  <c r="T24" i="13"/>
  <c r="T23" i="13"/>
  <c r="T24" i="14"/>
  <c r="T23" i="14"/>
  <c r="T24" i="15"/>
  <c r="T23" i="15"/>
  <c r="T24" i="5"/>
  <c r="T23" i="5"/>
  <c r="T24" i="4"/>
  <c r="T23" i="4"/>
  <c r="CE58" i="13" l="1"/>
  <c r="CE59" i="12"/>
  <c r="CE55" i="10"/>
  <c r="CE53" i="11"/>
  <c r="CE57" i="15"/>
  <c r="CD55" i="10"/>
  <c r="CL53" i="36"/>
  <c r="CL52" i="36"/>
  <c r="CL51" i="36"/>
  <c r="CL50" i="36"/>
  <c r="CL49" i="36"/>
  <c r="CL48" i="36"/>
  <c r="CL53" i="37"/>
  <c r="CL52" i="37"/>
  <c r="CL51" i="37"/>
  <c r="CL50" i="37"/>
  <c r="CL49" i="37"/>
  <c r="CL48" i="37"/>
  <c r="CL53" i="38"/>
  <c r="CL52" i="38"/>
  <c r="CL51" i="38"/>
  <c r="CL50" i="38"/>
  <c r="CL49" i="38"/>
  <c r="CL48" i="38"/>
  <c r="CL53" i="39"/>
  <c r="CL52" i="39"/>
  <c r="CL51" i="39"/>
  <c r="CL50" i="39"/>
  <c r="CL49" i="39"/>
  <c r="CL48" i="39"/>
  <c r="CL53" i="40"/>
  <c r="CL52" i="40"/>
  <c r="CL51" i="40"/>
  <c r="CL50" i="40"/>
  <c r="CL49" i="40"/>
  <c r="CL48" i="40"/>
  <c r="CL53" i="41"/>
  <c r="CL52" i="41"/>
  <c r="CL51" i="41"/>
  <c r="CL50" i="41"/>
  <c r="CL49" i="41"/>
  <c r="CL48" i="41"/>
  <c r="CL53" i="42"/>
  <c r="CL52" i="42"/>
  <c r="CL51" i="42"/>
  <c r="CL50" i="42"/>
  <c r="CL49" i="42"/>
  <c r="CL48" i="42"/>
  <c r="CL53" i="43"/>
  <c r="CL52" i="43"/>
  <c r="CL51" i="43"/>
  <c r="CL50" i="43"/>
  <c r="CL49" i="43"/>
  <c r="CL48" i="43"/>
  <c r="CL53" i="44"/>
  <c r="CL52" i="44"/>
  <c r="CL51" i="44"/>
  <c r="CL50" i="44"/>
  <c r="CL49" i="44"/>
  <c r="CL48" i="44"/>
  <c r="CL53" i="45"/>
  <c r="CL52" i="45"/>
  <c r="CL51" i="45"/>
  <c r="CL50" i="45"/>
  <c r="CL49" i="45"/>
  <c r="CL48" i="45"/>
  <c r="CL53" i="35"/>
  <c r="CL52" i="35"/>
  <c r="CL51" i="35"/>
  <c r="CL50" i="35"/>
  <c r="CL49" i="35"/>
  <c r="CL48" i="35"/>
  <c r="CL53" i="18"/>
  <c r="CL52" i="18"/>
  <c r="CL51" i="18"/>
  <c r="CL50" i="18"/>
  <c r="CL49" i="18"/>
  <c r="CL48" i="18"/>
  <c r="CE58" i="14" l="1"/>
  <c r="CE59" i="13"/>
  <c r="CE55" i="11"/>
  <c r="CE53" i="12"/>
  <c r="CD55" i="11"/>
  <c r="CL44" i="45"/>
  <c r="CO47" i="45"/>
  <c r="CP47" i="45"/>
  <c r="CQ47" i="45"/>
  <c r="CL44" i="44"/>
  <c r="CO47" i="44"/>
  <c r="CP47" i="44"/>
  <c r="CQ47" i="44"/>
  <c r="CL44" i="43"/>
  <c r="CO47" i="43"/>
  <c r="CP47" i="43"/>
  <c r="CQ47" i="43"/>
  <c r="CL44" i="42"/>
  <c r="CO47" i="42"/>
  <c r="CP47" i="42"/>
  <c r="CQ47" i="42"/>
  <c r="CL44" i="41"/>
  <c r="CO47" i="41"/>
  <c r="CP47" i="41"/>
  <c r="CQ47" i="41"/>
  <c r="CL44" i="40"/>
  <c r="CR44" i="40"/>
  <c r="CR45" i="40"/>
  <c r="CO47" i="40"/>
  <c r="CP47" i="40"/>
  <c r="CQ47" i="40"/>
  <c r="CL44" i="39"/>
  <c r="CR44" i="39"/>
  <c r="CR45" i="39"/>
  <c r="CO47" i="39"/>
  <c r="CP47" i="39"/>
  <c r="CQ47" i="39"/>
  <c r="CL44" i="38"/>
  <c r="CO47" i="38"/>
  <c r="CP47" i="38"/>
  <c r="CQ47" i="38"/>
  <c r="CL44" i="37"/>
  <c r="CO47" i="37"/>
  <c r="CP47" i="37"/>
  <c r="CQ47" i="37"/>
  <c r="CL44" i="36"/>
  <c r="CO47" i="36"/>
  <c r="CP47" i="36"/>
  <c r="CQ47" i="36"/>
  <c r="CL44" i="35"/>
  <c r="CO47" i="35"/>
  <c r="CP47" i="35"/>
  <c r="CQ47" i="35"/>
  <c r="CL44" i="18"/>
  <c r="CE58" i="15" l="1"/>
  <c r="CE59" i="15" s="1"/>
  <c r="CE59" i="14"/>
  <c r="CE55" i="12"/>
  <c r="CE53" i="13"/>
  <c r="CD55" i="12"/>
  <c r="CE18" i="36"/>
  <c r="CE18" i="37"/>
  <c r="CE18" i="38"/>
  <c r="CE18" i="39"/>
  <c r="CE18" i="40"/>
  <c r="CE18" i="41"/>
  <c r="CE18" i="42"/>
  <c r="CE18" i="43"/>
  <c r="CE18" i="44"/>
  <c r="CE18" i="45"/>
  <c r="CE18" i="35"/>
  <c r="CE18" i="18"/>
  <c r="CE55" i="13" l="1"/>
  <c r="CE53" i="14"/>
  <c r="CD55" i="13"/>
  <c r="AL80" i="11"/>
  <c r="AH80" i="11"/>
  <c r="AL80" i="12"/>
  <c r="AH80" i="12"/>
  <c r="AL80" i="13"/>
  <c r="AH80" i="13"/>
  <c r="AL80" i="14"/>
  <c r="AH80" i="14"/>
  <c r="AL80" i="15"/>
  <c r="AH80" i="15"/>
  <c r="AL80" i="10"/>
  <c r="AH80" i="10"/>
  <c r="AH80" i="9"/>
  <c r="AL80" i="6"/>
  <c r="AH80" i="6"/>
  <c r="AL80" i="7"/>
  <c r="AH80" i="7"/>
  <c r="AL80" i="8"/>
  <c r="AH80" i="8"/>
  <c r="AL80" i="5"/>
  <c r="AH80" i="5"/>
  <c r="AH80" i="4"/>
  <c r="AL80" i="4"/>
  <c r="AL80" i="9"/>
  <c r="CE55" i="14" l="1"/>
  <c r="CE53" i="15"/>
  <c r="CD55" i="14"/>
  <c r="CG3" i="6"/>
  <c r="CG3" i="7"/>
  <c r="CG3" i="8"/>
  <c r="CG3" i="9"/>
  <c r="CG3" i="10"/>
  <c r="CG3" i="11"/>
  <c r="CG3" i="12"/>
  <c r="CG3" i="13"/>
  <c r="CG3" i="14"/>
  <c r="CG3" i="15"/>
  <c r="CG3" i="5"/>
  <c r="CG3" i="4"/>
  <c r="CD3" i="6"/>
  <c r="FX3" i="6" s="1"/>
  <c r="CD3" i="7"/>
  <c r="FX3" i="7" s="1"/>
  <c r="CD3" i="8"/>
  <c r="FX3" i="8" s="1"/>
  <c r="CD3" i="9"/>
  <c r="FX3" i="9" s="1"/>
  <c r="CD3" i="10"/>
  <c r="FX3" i="10" s="1"/>
  <c r="CD3" i="11"/>
  <c r="FX3" i="11" s="1"/>
  <c r="CD3" i="12"/>
  <c r="FX3" i="12" s="1"/>
  <c r="CD3" i="13"/>
  <c r="FX3" i="13" s="1"/>
  <c r="CD3" i="14"/>
  <c r="FX3" i="14" s="1"/>
  <c r="CD3" i="15"/>
  <c r="FX3" i="15" s="1"/>
  <c r="CD3" i="5"/>
  <c r="FX3" i="5" s="1"/>
  <c r="CD3" i="4"/>
  <c r="FX3" i="4" s="1"/>
  <c r="CE55" i="15" l="1"/>
  <c r="CD55" i="15"/>
  <c r="B102" i="1"/>
  <c r="K6" i="25" s="1"/>
  <c r="I8" i="25" l="1"/>
  <c r="J6" i="63" l="1"/>
  <c r="BM8" i="63" s="1"/>
  <c r="BQ86" i="5" l="1"/>
  <c r="BQ86" i="6"/>
  <c r="BQ86" i="7"/>
  <c r="BQ86" i="8"/>
  <c r="BQ86" i="9"/>
  <c r="BQ86" i="10"/>
  <c r="BQ86" i="11"/>
  <c r="BQ86" i="12"/>
  <c r="BQ86" i="13"/>
  <c r="BQ86" i="14"/>
  <c r="BQ86" i="15"/>
  <c r="BQ86" i="4"/>
  <c r="A31" i="50" l="1"/>
  <c r="BQ79" i="4"/>
  <c r="BQ79" i="5"/>
  <c r="BQ79" i="6"/>
  <c r="BQ79" i="7"/>
  <c r="BQ79" i="8"/>
  <c r="BQ79" i="9"/>
  <c r="BQ79" i="10"/>
  <c r="BQ79" i="11"/>
  <c r="BQ79" i="12"/>
  <c r="BQ79" i="13"/>
  <c r="BQ79" i="14"/>
  <c r="BQ79" i="15"/>
  <c r="A84" i="1" l="1"/>
  <c r="A78" i="1"/>
  <c r="A90" i="1" s="1"/>
  <c r="A71" i="1"/>
  <c r="DG537" i="72" l="1"/>
  <c r="DG536" i="72"/>
  <c r="DG535" i="72"/>
  <c r="DG534" i="72"/>
  <c r="DG533" i="72"/>
  <c r="DG532" i="72"/>
  <c r="DG531" i="72"/>
  <c r="DG530" i="72"/>
  <c r="DG529" i="72"/>
  <c r="DG528" i="72"/>
  <c r="DG527" i="72"/>
  <c r="DG526" i="72"/>
  <c r="DG525" i="72"/>
  <c r="DG524" i="72"/>
  <c r="DG523" i="72"/>
  <c r="DG522" i="72"/>
  <c r="DG521" i="72"/>
  <c r="DG520" i="72"/>
  <c r="DG519" i="72"/>
  <c r="DG518" i="72"/>
  <c r="DG517" i="72"/>
  <c r="DG516" i="72"/>
  <c r="DG515" i="72"/>
  <c r="DG514" i="72"/>
  <c r="DG513" i="72"/>
  <c r="DG512" i="72"/>
  <c r="DG511" i="72"/>
  <c r="DG510" i="72"/>
  <c r="DG509" i="72"/>
  <c r="DG508" i="72"/>
  <c r="DG507" i="72"/>
  <c r="DG492" i="72"/>
  <c r="DG491" i="72"/>
  <c r="DG490" i="72"/>
  <c r="DG489" i="72"/>
  <c r="DG488" i="72"/>
  <c r="DG487" i="72"/>
  <c r="DG486" i="72"/>
  <c r="DG485" i="72"/>
  <c r="DG484" i="72"/>
  <c r="DG483" i="72"/>
  <c r="DG482" i="72"/>
  <c r="DG481" i="72"/>
  <c r="DG480" i="72"/>
  <c r="DG479" i="72"/>
  <c r="DG478" i="72"/>
  <c r="DG477" i="72"/>
  <c r="DG476" i="72"/>
  <c r="DG475" i="72"/>
  <c r="DG474" i="72"/>
  <c r="DG473" i="72"/>
  <c r="DG472" i="72"/>
  <c r="DG471" i="72"/>
  <c r="DG470" i="72"/>
  <c r="DG469" i="72"/>
  <c r="DG468" i="72"/>
  <c r="DG467" i="72"/>
  <c r="DG466" i="72"/>
  <c r="DG465" i="72"/>
  <c r="DG464" i="72"/>
  <c r="DG463" i="72"/>
  <c r="DG462" i="72"/>
  <c r="DG447" i="72"/>
  <c r="DG446" i="72"/>
  <c r="DG445" i="72"/>
  <c r="DG444" i="72"/>
  <c r="DG443" i="72"/>
  <c r="DG442" i="72"/>
  <c r="DG441" i="72"/>
  <c r="DG440" i="72"/>
  <c r="DG439" i="72"/>
  <c r="DG438" i="72"/>
  <c r="DG437" i="72"/>
  <c r="DG436" i="72"/>
  <c r="DG435" i="72"/>
  <c r="DG434" i="72"/>
  <c r="DG433" i="72"/>
  <c r="DG432" i="72"/>
  <c r="DG431" i="72"/>
  <c r="DG430" i="72"/>
  <c r="DG429" i="72"/>
  <c r="DG428" i="72"/>
  <c r="DG427" i="72"/>
  <c r="DG426" i="72"/>
  <c r="DG425" i="72"/>
  <c r="DG424" i="72"/>
  <c r="DG423" i="72"/>
  <c r="DG422" i="72"/>
  <c r="DG421" i="72"/>
  <c r="DG420" i="72"/>
  <c r="DG419" i="72"/>
  <c r="DG418" i="72"/>
  <c r="DG417" i="72"/>
  <c r="DG402" i="72"/>
  <c r="DG401" i="72"/>
  <c r="DG400" i="72"/>
  <c r="DG399" i="72"/>
  <c r="DG398" i="72"/>
  <c r="DG397" i="72"/>
  <c r="DG396" i="72"/>
  <c r="DG395" i="72"/>
  <c r="DG394" i="72"/>
  <c r="DG393" i="72"/>
  <c r="DG392" i="72"/>
  <c r="DG391" i="72"/>
  <c r="DG390" i="72"/>
  <c r="DG389" i="72"/>
  <c r="DG388" i="72"/>
  <c r="DG387" i="72"/>
  <c r="DG386" i="72"/>
  <c r="DG385" i="72"/>
  <c r="DG384" i="72"/>
  <c r="DG383" i="72"/>
  <c r="DG382" i="72"/>
  <c r="DG381" i="72"/>
  <c r="DG380" i="72"/>
  <c r="DG379" i="72"/>
  <c r="DG378" i="72"/>
  <c r="DG377" i="72"/>
  <c r="DG376" i="72"/>
  <c r="DG375" i="72"/>
  <c r="DG374" i="72"/>
  <c r="DG373" i="72"/>
  <c r="DG372" i="72"/>
  <c r="DG357" i="72"/>
  <c r="DG356" i="72"/>
  <c r="DG355" i="72"/>
  <c r="DG354" i="72"/>
  <c r="DG353" i="72"/>
  <c r="DG352" i="72"/>
  <c r="DG351" i="72"/>
  <c r="DG350" i="72"/>
  <c r="DG349" i="72"/>
  <c r="DG348" i="72"/>
  <c r="DG347" i="72"/>
  <c r="DG346" i="72"/>
  <c r="DG345" i="72"/>
  <c r="DG344" i="72"/>
  <c r="DG343" i="72"/>
  <c r="DG342" i="72"/>
  <c r="DG341" i="72"/>
  <c r="DG340" i="72"/>
  <c r="DG339" i="72"/>
  <c r="DG338" i="72"/>
  <c r="DG337" i="72"/>
  <c r="DG336" i="72"/>
  <c r="DG335" i="72"/>
  <c r="DG334" i="72"/>
  <c r="DG333" i="72"/>
  <c r="DG332" i="72"/>
  <c r="DG331" i="72"/>
  <c r="DG330" i="72"/>
  <c r="DG329" i="72"/>
  <c r="DG328" i="72"/>
  <c r="DG327" i="72"/>
  <c r="DG312" i="72"/>
  <c r="DG311" i="72"/>
  <c r="DG310" i="72"/>
  <c r="DG309" i="72"/>
  <c r="DG308" i="72"/>
  <c r="DG307" i="72"/>
  <c r="DG306" i="72"/>
  <c r="DG305" i="72"/>
  <c r="DG304" i="72"/>
  <c r="DG303" i="72"/>
  <c r="DG302" i="72"/>
  <c r="DG301" i="72"/>
  <c r="DG300" i="72"/>
  <c r="DG299" i="72"/>
  <c r="DG298" i="72"/>
  <c r="DG297" i="72"/>
  <c r="DG296" i="72"/>
  <c r="DG295" i="72"/>
  <c r="DG294" i="72"/>
  <c r="DG293" i="72"/>
  <c r="DG292" i="72"/>
  <c r="DG291" i="72"/>
  <c r="DG290" i="72"/>
  <c r="DG289" i="72"/>
  <c r="DG288" i="72"/>
  <c r="DG287" i="72"/>
  <c r="DG286" i="72"/>
  <c r="DG285" i="72"/>
  <c r="DG284" i="72"/>
  <c r="DG283" i="72"/>
  <c r="DG282" i="72"/>
  <c r="DG267" i="72"/>
  <c r="DG266" i="72"/>
  <c r="DG265" i="72"/>
  <c r="DG264" i="72"/>
  <c r="DG263" i="72"/>
  <c r="DG262" i="72"/>
  <c r="DG261" i="72"/>
  <c r="DG260" i="72"/>
  <c r="DG259" i="72"/>
  <c r="DG258" i="72"/>
  <c r="DG257" i="72"/>
  <c r="DG256" i="72"/>
  <c r="DG255" i="72"/>
  <c r="DG254" i="72"/>
  <c r="DG253" i="72"/>
  <c r="DG252" i="72"/>
  <c r="DG251" i="72"/>
  <c r="DG250" i="72"/>
  <c r="DG249" i="72"/>
  <c r="DG248" i="72"/>
  <c r="DG247" i="72"/>
  <c r="DG246" i="72"/>
  <c r="DG245" i="72"/>
  <c r="DG244" i="72"/>
  <c r="DG243" i="72"/>
  <c r="DG242" i="72"/>
  <c r="DG241" i="72"/>
  <c r="DG240" i="72"/>
  <c r="DG239" i="72"/>
  <c r="DG238" i="72"/>
  <c r="DG237" i="72"/>
  <c r="DG222" i="72"/>
  <c r="DG221" i="72"/>
  <c r="DG220" i="72"/>
  <c r="DG219" i="72"/>
  <c r="DG218" i="72"/>
  <c r="DG217" i="72"/>
  <c r="DG216" i="72"/>
  <c r="DG215" i="72"/>
  <c r="DG214" i="72"/>
  <c r="DG213" i="72"/>
  <c r="DG212" i="72"/>
  <c r="DG211" i="72"/>
  <c r="DG210" i="72"/>
  <c r="DG209" i="72"/>
  <c r="DG208" i="72"/>
  <c r="DG207" i="72"/>
  <c r="DG206" i="72"/>
  <c r="DG205" i="72"/>
  <c r="DG204" i="72"/>
  <c r="DG203" i="72"/>
  <c r="DG202" i="72"/>
  <c r="DG201" i="72"/>
  <c r="DG200" i="72"/>
  <c r="DG199" i="72"/>
  <c r="DG198" i="72"/>
  <c r="DG197" i="72"/>
  <c r="DG196" i="72"/>
  <c r="DG195" i="72"/>
  <c r="DG194" i="72"/>
  <c r="DG193" i="72"/>
  <c r="DG192" i="72"/>
  <c r="DG177" i="72"/>
  <c r="DG176" i="72"/>
  <c r="DG175" i="72"/>
  <c r="DG174" i="72"/>
  <c r="DG173" i="72"/>
  <c r="DG172" i="72"/>
  <c r="DG171" i="72"/>
  <c r="DG170" i="72"/>
  <c r="DG169" i="72"/>
  <c r="DG168" i="72"/>
  <c r="DG167" i="72"/>
  <c r="DG166" i="72"/>
  <c r="DG165" i="72"/>
  <c r="DG164" i="72"/>
  <c r="DG163" i="72"/>
  <c r="DG162" i="72"/>
  <c r="DG161" i="72"/>
  <c r="DG160" i="72"/>
  <c r="DG159" i="72"/>
  <c r="DG158" i="72"/>
  <c r="DG157" i="72"/>
  <c r="DG156" i="72"/>
  <c r="DG155" i="72"/>
  <c r="DG154" i="72"/>
  <c r="DG153" i="72"/>
  <c r="DG152" i="72"/>
  <c r="DG151" i="72"/>
  <c r="DG150" i="72"/>
  <c r="DG149" i="72"/>
  <c r="DG148" i="72"/>
  <c r="DG147" i="72"/>
  <c r="DG132" i="72"/>
  <c r="DG131" i="72"/>
  <c r="DG130" i="72"/>
  <c r="DG129" i="72"/>
  <c r="DG128" i="72"/>
  <c r="DG127" i="72"/>
  <c r="DG126" i="72"/>
  <c r="DG125" i="72"/>
  <c r="DG124" i="72"/>
  <c r="DG123" i="72"/>
  <c r="DG122" i="72"/>
  <c r="DG121" i="72"/>
  <c r="DG120" i="72"/>
  <c r="DG119" i="72"/>
  <c r="DG118" i="72"/>
  <c r="DG117" i="72"/>
  <c r="DG116" i="72"/>
  <c r="DG115" i="72"/>
  <c r="DG114" i="72"/>
  <c r="DG113" i="72"/>
  <c r="DG112" i="72"/>
  <c r="DG111" i="72"/>
  <c r="DG110" i="72"/>
  <c r="DG109" i="72"/>
  <c r="DG108" i="72"/>
  <c r="DG107" i="72"/>
  <c r="DG106" i="72"/>
  <c r="DG105" i="72"/>
  <c r="DG104" i="72"/>
  <c r="DG103" i="72"/>
  <c r="DG102" i="72"/>
  <c r="DG87" i="72"/>
  <c r="DG86" i="72"/>
  <c r="DG85" i="72"/>
  <c r="DG84" i="72"/>
  <c r="DG83" i="72"/>
  <c r="DG82" i="72"/>
  <c r="DG81" i="72"/>
  <c r="DG80" i="72"/>
  <c r="DG79" i="72"/>
  <c r="DG78" i="72"/>
  <c r="DG77" i="72"/>
  <c r="DG76" i="72"/>
  <c r="DG75" i="72"/>
  <c r="DG74" i="72"/>
  <c r="DG73" i="72"/>
  <c r="DG72" i="72"/>
  <c r="DG71" i="72"/>
  <c r="DG70" i="72"/>
  <c r="DG69" i="72"/>
  <c r="DG68" i="72"/>
  <c r="DG67" i="72"/>
  <c r="DG66" i="72"/>
  <c r="DG65" i="72"/>
  <c r="DG64" i="72"/>
  <c r="DG63" i="72"/>
  <c r="DG62" i="72"/>
  <c r="DG61" i="72"/>
  <c r="DG60" i="72"/>
  <c r="DG59" i="72"/>
  <c r="DG58" i="72"/>
  <c r="DG57" i="72"/>
  <c r="DG13" i="72"/>
  <c r="DG14" i="72"/>
  <c r="DG15" i="72"/>
  <c r="DG16" i="72"/>
  <c r="DG17" i="72"/>
  <c r="DG18" i="72"/>
  <c r="DG19" i="72"/>
  <c r="DG20" i="72"/>
  <c r="DG21" i="72"/>
  <c r="DG22" i="72"/>
  <c r="DG23" i="72"/>
  <c r="DG24" i="72"/>
  <c r="DG25" i="72"/>
  <c r="DG26" i="72"/>
  <c r="DG27" i="72"/>
  <c r="DG28" i="72"/>
  <c r="DG29" i="72"/>
  <c r="DG30" i="72"/>
  <c r="DG31" i="72"/>
  <c r="DG32" i="72"/>
  <c r="DG33" i="72"/>
  <c r="DG34" i="72"/>
  <c r="DG35" i="72"/>
  <c r="DG36" i="72"/>
  <c r="DG37" i="72"/>
  <c r="DG38" i="72"/>
  <c r="DG39" i="72"/>
  <c r="DG40" i="72"/>
  <c r="DG41" i="72"/>
  <c r="DG42" i="72"/>
  <c r="DG12" i="72"/>
  <c r="DI536" i="72" l="1"/>
  <c r="DI533" i="72"/>
  <c r="DI532" i="72"/>
  <c r="DI531" i="72"/>
  <c r="DI528" i="72"/>
  <c r="DI524" i="72"/>
  <c r="DI522" i="72"/>
  <c r="DI521" i="72"/>
  <c r="DI520" i="72"/>
  <c r="DI517" i="72"/>
  <c r="DI516" i="72"/>
  <c r="DI515" i="72"/>
  <c r="DI512" i="72"/>
  <c r="DI509" i="72"/>
  <c r="DI508" i="72"/>
  <c r="DI492" i="72"/>
  <c r="DI491" i="72"/>
  <c r="DI488" i="72"/>
  <c r="DI487" i="72"/>
  <c r="DI486" i="72"/>
  <c r="DI485" i="72"/>
  <c r="DI483" i="72"/>
  <c r="DI479" i="72"/>
  <c r="DI478" i="72"/>
  <c r="DI477" i="72"/>
  <c r="DI476" i="72"/>
  <c r="DI475" i="72"/>
  <c r="DI471" i="72"/>
  <c r="DI470" i="72"/>
  <c r="DI469" i="72"/>
  <c r="DI468" i="72"/>
  <c r="DI467" i="72"/>
  <c r="DI463" i="72"/>
  <c r="DI462" i="72"/>
  <c r="DI446" i="72"/>
  <c r="DI445" i="72"/>
  <c r="DI442" i="72"/>
  <c r="DI439" i="72"/>
  <c r="DI438" i="72"/>
  <c r="DI437" i="72"/>
  <c r="DI434" i="72"/>
  <c r="DI433" i="72"/>
  <c r="DI432" i="72"/>
  <c r="DI430" i="72"/>
  <c r="DI429" i="72"/>
  <c r="DI426" i="72"/>
  <c r="DI423" i="72"/>
  <c r="DI422" i="72"/>
  <c r="DI421" i="72"/>
  <c r="DI418" i="72"/>
  <c r="DI417" i="72"/>
  <c r="DI402" i="72"/>
  <c r="DI401" i="72"/>
  <c r="DI399" i="72"/>
  <c r="DI398" i="72"/>
  <c r="DI397" i="72"/>
  <c r="DI396" i="72"/>
  <c r="DI395" i="72"/>
  <c r="DI393" i="72"/>
  <c r="DI392" i="72"/>
  <c r="DI389" i="72"/>
  <c r="DI388" i="72"/>
  <c r="DI387" i="72"/>
  <c r="DI386" i="72"/>
  <c r="DI385" i="72"/>
  <c r="DI381" i="72"/>
  <c r="DI380" i="72"/>
  <c r="DI379" i="72"/>
  <c r="DI378" i="72"/>
  <c r="DI377" i="72"/>
  <c r="DI373" i="72"/>
  <c r="DI372" i="72"/>
  <c r="DI357" i="72"/>
  <c r="DI356" i="72"/>
  <c r="DI355" i="72"/>
  <c r="DI354" i="72"/>
  <c r="DI353" i="72"/>
  <c r="DI352" i="72"/>
  <c r="DI350" i="72"/>
  <c r="DI349" i="72"/>
  <c r="DI348" i="72"/>
  <c r="DI347" i="72"/>
  <c r="DI345" i="72"/>
  <c r="DI344" i="72"/>
  <c r="DI342" i="72"/>
  <c r="DI341" i="72"/>
  <c r="DI340" i="72"/>
  <c r="DI337" i="72"/>
  <c r="DI336" i="72"/>
  <c r="DI335" i="72"/>
  <c r="DI333" i="72"/>
  <c r="DI332" i="72"/>
  <c r="DI329" i="72"/>
  <c r="DI312" i="72"/>
  <c r="DI311" i="72"/>
  <c r="DI309" i="72"/>
  <c r="DI308" i="72"/>
  <c r="DI307" i="72"/>
  <c r="DI306" i="72"/>
  <c r="DI304" i="72"/>
  <c r="DI303" i="72"/>
  <c r="DI301" i="72"/>
  <c r="DI300" i="72"/>
  <c r="DI299" i="72"/>
  <c r="DI298" i="72"/>
  <c r="DI296" i="72"/>
  <c r="DI295" i="72"/>
  <c r="DI293" i="72"/>
  <c r="DI292" i="72"/>
  <c r="DI291" i="72"/>
  <c r="DI290" i="72"/>
  <c r="DI288" i="72"/>
  <c r="DI287" i="72"/>
  <c r="DI285" i="72"/>
  <c r="DI284" i="72"/>
  <c r="DI283" i="72"/>
  <c r="DI282" i="72"/>
  <c r="DI266" i="72"/>
  <c r="DI265" i="72"/>
  <c r="DI262" i="72"/>
  <c r="DI259" i="72"/>
  <c r="DI258" i="72"/>
  <c r="DI257" i="72"/>
  <c r="DI254" i="72"/>
  <c r="DI253" i="72"/>
  <c r="DI252" i="72"/>
  <c r="DI250" i="72"/>
  <c r="DI249" i="72"/>
  <c r="DI246" i="72"/>
  <c r="DI243" i="72"/>
  <c r="DI242" i="72"/>
  <c r="DI241" i="72"/>
  <c r="DI238" i="72"/>
  <c r="DI237" i="72"/>
  <c r="DI222" i="72"/>
  <c r="DI221" i="72"/>
  <c r="DI219" i="72"/>
  <c r="DI218" i="72"/>
  <c r="DI217" i="72"/>
  <c r="DI216" i="72"/>
  <c r="DI214" i="72"/>
  <c r="DI213" i="72"/>
  <c r="DI211" i="72"/>
  <c r="DI210" i="72"/>
  <c r="DI209" i="72"/>
  <c r="DI208" i="72"/>
  <c r="DI206" i="72"/>
  <c r="DI205" i="72"/>
  <c r="DI203" i="72"/>
  <c r="DI202" i="72"/>
  <c r="DI201" i="72"/>
  <c r="DI200" i="72"/>
  <c r="DI198" i="72"/>
  <c r="DI197" i="72"/>
  <c r="DI194" i="72"/>
  <c r="DI173" i="72"/>
  <c r="DI172" i="72"/>
  <c r="DI169" i="72"/>
  <c r="DI168" i="72"/>
  <c r="DI166" i="72"/>
  <c r="DI164" i="72"/>
  <c r="DI161" i="72"/>
  <c r="DI160" i="72"/>
  <c r="DI158" i="72"/>
  <c r="DI156" i="72"/>
  <c r="DI155" i="72"/>
  <c r="DI149" i="72"/>
  <c r="DI132" i="72"/>
  <c r="DI131" i="72"/>
  <c r="DI128" i="72"/>
  <c r="DI127" i="72"/>
  <c r="DI126" i="72"/>
  <c r="DI125" i="72"/>
  <c r="DI123" i="72"/>
  <c r="DI120" i="72"/>
  <c r="DI117" i="72"/>
  <c r="DI112" i="72"/>
  <c r="DI111" i="72"/>
  <c r="DI110" i="72"/>
  <c r="DI109" i="72"/>
  <c r="DI107" i="72"/>
  <c r="DI104" i="72"/>
  <c r="DI103" i="72"/>
  <c r="DI102" i="72"/>
  <c r="DI87" i="72"/>
  <c r="DI83" i="72"/>
  <c r="DI82" i="72"/>
  <c r="DI81" i="72"/>
  <c r="DI78" i="72"/>
  <c r="DI75" i="72"/>
  <c r="DI74" i="72"/>
  <c r="DI72" i="72"/>
  <c r="DI71" i="72"/>
  <c r="DI70" i="72"/>
  <c r="DI67" i="72"/>
  <c r="DI66" i="72"/>
  <c r="DI65" i="72"/>
  <c r="DI62" i="72"/>
  <c r="DI59" i="72"/>
  <c r="DI58" i="72"/>
  <c r="DI16" i="72"/>
  <c r="DI17" i="72"/>
  <c r="DI20" i="72"/>
  <c r="DI21" i="72"/>
  <c r="DI24" i="72"/>
  <c r="DI25" i="72"/>
  <c r="DI28" i="72"/>
  <c r="DI29" i="72"/>
  <c r="DI32" i="72"/>
  <c r="DI33" i="72"/>
  <c r="DI36" i="72"/>
  <c r="DI37" i="72"/>
  <c r="DI40" i="72"/>
  <c r="DI41" i="72"/>
  <c r="DI115" i="72" l="1"/>
  <c r="DI119" i="72"/>
  <c r="DI118" i="72"/>
  <c r="DI86" i="72"/>
  <c r="DI510" i="72"/>
  <c r="DI513" i="72"/>
  <c r="DI519" i="72"/>
  <c r="DI526" i="72"/>
  <c r="DI529" i="72"/>
  <c r="DI535" i="72"/>
  <c r="DI507" i="72"/>
  <c r="DI514" i="72"/>
  <c r="DI523" i="72"/>
  <c r="DI530" i="72"/>
  <c r="DI537" i="72"/>
  <c r="DI511" i="72"/>
  <c r="DI518" i="72"/>
  <c r="DI525" i="72"/>
  <c r="DI527" i="72"/>
  <c r="DI534" i="72"/>
  <c r="DI464" i="72"/>
  <c r="DI466" i="72"/>
  <c r="DI473" i="72"/>
  <c r="DI480" i="72"/>
  <c r="DI482" i="72"/>
  <c r="DI489" i="72"/>
  <c r="DI465" i="72"/>
  <c r="DI472" i="72"/>
  <c r="DI474" i="72"/>
  <c r="DI481" i="72"/>
  <c r="DI484" i="72"/>
  <c r="DI490" i="72"/>
  <c r="DI420" i="72"/>
  <c r="DI425" i="72"/>
  <c r="DI427" i="72"/>
  <c r="DI436" i="72"/>
  <c r="DI441" i="72"/>
  <c r="DI443" i="72"/>
  <c r="DI424" i="72"/>
  <c r="DI431" i="72"/>
  <c r="DI440" i="72"/>
  <c r="DI447" i="72"/>
  <c r="DI419" i="72"/>
  <c r="DI428" i="72"/>
  <c r="DI435" i="72"/>
  <c r="DI444" i="72"/>
  <c r="DI374" i="72"/>
  <c r="DI376" i="72"/>
  <c r="DI383" i="72"/>
  <c r="DI390" i="72"/>
  <c r="DI375" i="72"/>
  <c r="DI382" i="72"/>
  <c r="DI384" i="72"/>
  <c r="DI391" i="72"/>
  <c r="DI394" i="72"/>
  <c r="DI400" i="72"/>
  <c r="DI328" i="72"/>
  <c r="DI330" i="72"/>
  <c r="DI339" i="72"/>
  <c r="DI327" i="72"/>
  <c r="DI334" i="72"/>
  <c r="DI343" i="72"/>
  <c r="DI346" i="72"/>
  <c r="DI351" i="72"/>
  <c r="DI331" i="72"/>
  <c r="DI338" i="72"/>
  <c r="DI286" i="72"/>
  <c r="DI289" i="72"/>
  <c r="DI294" i="72"/>
  <c r="DI297" i="72"/>
  <c r="DI302" i="72"/>
  <c r="DI305" i="72"/>
  <c r="DI310" i="72"/>
  <c r="DI240" i="72"/>
  <c r="DI245" i="72"/>
  <c r="DI247" i="72"/>
  <c r="DI256" i="72"/>
  <c r="DI261" i="72"/>
  <c r="DI263" i="72"/>
  <c r="DI244" i="72"/>
  <c r="DI251" i="72"/>
  <c r="DI260" i="72"/>
  <c r="DI267" i="72"/>
  <c r="DI239" i="72"/>
  <c r="DI248" i="72"/>
  <c r="DI255" i="72"/>
  <c r="DI264" i="72"/>
  <c r="DI193" i="72"/>
  <c r="DI195" i="72"/>
  <c r="DI192" i="72"/>
  <c r="DI199" i="72"/>
  <c r="DI204" i="72"/>
  <c r="DI207" i="72"/>
  <c r="DI212" i="72"/>
  <c r="DI215" i="72"/>
  <c r="DI220" i="72"/>
  <c r="DI196" i="72"/>
  <c r="DI177" i="72"/>
  <c r="DI153" i="72"/>
  <c r="DI157" i="72"/>
  <c r="DI163" i="72"/>
  <c r="DI174" i="72"/>
  <c r="DI176" i="72"/>
  <c r="DI150" i="72"/>
  <c r="DI165" i="72"/>
  <c r="DI171" i="72"/>
  <c r="DI148" i="72"/>
  <c r="DI147" i="72"/>
  <c r="DI152" i="72"/>
  <c r="DI154" i="72"/>
  <c r="DI159" i="72"/>
  <c r="DI162" i="72"/>
  <c r="DI167" i="72"/>
  <c r="DI170" i="72"/>
  <c r="DI175" i="72"/>
  <c r="DI151" i="72"/>
  <c r="DI106" i="72"/>
  <c r="DI113" i="72"/>
  <c r="DI116" i="72"/>
  <c r="DI122" i="72"/>
  <c r="DI129" i="72"/>
  <c r="DI105" i="72"/>
  <c r="DI108" i="72"/>
  <c r="DI114" i="72"/>
  <c r="DI121" i="72"/>
  <c r="DI124" i="72"/>
  <c r="DI130" i="72"/>
  <c r="DI60" i="72"/>
  <c r="DI63" i="72"/>
  <c r="DI69" i="72"/>
  <c r="DI76" i="72"/>
  <c r="DI79" i="72"/>
  <c r="DI85" i="72"/>
  <c r="DI57" i="72"/>
  <c r="DI64" i="72"/>
  <c r="DI73" i="72"/>
  <c r="DI80" i="72"/>
  <c r="DI61" i="72"/>
  <c r="DI68" i="72"/>
  <c r="DI77" i="72"/>
  <c r="DI84" i="72"/>
  <c r="DI38" i="72"/>
  <c r="DI35" i="72"/>
  <c r="DI30" i="72"/>
  <c r="DI27" i="72"/>
  <c r="DI22" i="72"/>
  <c r="DI19" i="72"/>
  <c r="DI42" i="72"/>
  <c r="DI39" i="72"/>
  <c r="DI34" i="72"/>
  <c r="DI31" i="72"/>
  <c r="DI26" i="72"/>
  <c r="DI23" i="72"/>
  <c r="DI18" i="72"/>
  <c r="DI13" i="72"/>
  <c r="DI15" i="72"/>
  <c r="DI14" i="72"/>
  <c r="DI12" i="72"/>
  <c r="FJ50" i="6"/>
  <c r="FJ49" i="6"/>
  <c r="FJ48" i="6"/>
  <c r="FJ47" i="6"/>
  <c r="FJ46" i="6"/>
  <c r="FJ45" i="6"/>
  <c r="FJ44" i="6"/>
  <c r="FJ43" i="6"/>
  <c r="FJ42" i="6"/>
  <c r="FJ41" i="6"/>
  <c r="FJ40" i="6"/>
  <c r="FJ39" i="6"/>
  <c r="FJ38" i="6"/>
  <c r="FJ37" i="6"/>
  <c r="FJ36" i="6"/>
  <c r="FJ35" i="6"/>
  <c r="FJ34" i="6"/>
  <c r="FJ33" i="6"/>
  <c r="FJ32" i="6"/>
  <c r="FJ31" i="6"/>
  <c r="FJ30" i="6"/>
  <c r="FJ29" i="6"/>
  <c r="FJ28" i="6"/>
  <c r="FJ27" i="6"/>
  <c r="FJ26" i="6"/>
  <c r="FJ25" i="6"/>
  <c r="FJ24" i="6"/>
  <c r="FJ23" i="6"/>
  <c r="FJ22" i="6"/>
  <c r="FJ21" i="6"/>
  <c r="FJ20" i="6"/>
  <c r="FJ50" i="7"/>
  <c r="FJ49" i="7"/>
  <c r="FJ48" i="7"/>
  <c r="FJ47" i="7"/>
  <c r="FJ46" i="7"/>
  <c r="FJ45" i="7"/>
  <c r="FJ44" i="7"/>
  <c r="FJ43" i="7"/>
  <c r="FJ42" i="7"/>
  <c r="FJ41" i="7"/>
  <c r="FJ40" i="7"/>
  <c r="FJ39" i="7"/>
  <c r="FJ38" i="7"/>
  <c r="FJ37" i="7"/>
  <c r="FJ36" i="7"/>
  <c r="FJ35" i="7"/>
  <c r="FJ34" i="7"/>
  <c r="FJ33" i="7"/>
  <c r="FJ32" i="7"/>
  <c r="FJ31" i="7"/>
  <c r="FJ30" i="7"/>
  <c r="FJ29" i="7"/>
  <c r="FJ28" i="7"/>
  <c r="FJ27" i="7"/>
  <c r="FJ26" i="7"/>
  <c r="FJ25" i="7"/>
  <c r="FJ24" i="7"/>
  <c r="FJ23" i="7"/>
  <c r="FJ22" i="7"/>
  <c r="FJ21" i="7"/>
  <c r="FJ20" i="7"/>
  <c r="FJ50" i="8"/>
  <c r="FJ49" i="8"/>
  <c r="FJ48" i="8"/>
  <c r="FJ47" i="8"/>
  <c r="FJ46" i="8"/>
  <c r="FJ45" i="8"/>
  <c r="FJ44" i="8"/>
  <c r="FJ43" i="8"/>
  <c r="FJ42" i="8"/>
  <c r="FJ41" i="8"/>
  <c r="FJ40" i="8"/>
  <c r="FJ39" i="8"/>
  <c r="FJ38" i="8"/>
  <c r="FJ37" i="8"/>
  <c r="FJ36" i="8"/>
  <c r="FJ35" i="8"/>
  <c r="FJ34" i="8"/>
  <c r="FJ33" i="8"/>
  <c r="FJ32" i="8"/>
  <c r="FJ31" i="8"/>
  <c r="FJ30" i="8"/>
  <c r="FJ29" i="8"/>
  <c r="FJ28" i="8"/>
  <c r="FJ27" i="8"/>
  <c r="FJ26" i="8"/>
  <c r="FJ25" i="8"/>
  <c r="FJ24" i="8"/>
  <c r="FJ23" i="8"/>
  <c r="FJ22" i="8"/>
  <c r="FJ21" i="8"/>
  <c r="FJ20" i="8"/>
  <c r="FJ50" i="9"/>
  <c r="FJ49" i="9"/>
  <c r="FJ48" i="9"/>
  <c r="FJ47" i="9"/>
  <c r="FJ46" i="9"/>
  <c r="FJ45" i="9"/>
  <c r="FJ44" i="9"/>
  <c r="FJ43" i="9"/>
  <c r="FJ42" i="9"/>
  <c r="FJ41" i="9"/>
  <c r="FJ40" i="9"/>
  <c r="FJ39" i="9"/>
  <c r="FJ38" i="9"/>
  <c r="FJ37" i="9"/>
  <c r="FJ36" i="9"/>
  <c r="FJ35" i="9"/>
  <c r="FJ34" i="9"/>
  <c r="FJ33" i="9"/>
  <c r="FJ32" i="9"/>
  <c r="FJ31" i="9"/>
  <c r="FJ30" i="9"/>
  <c r="FJ29" i="9"/>
  <c r="FJ28" i="9"/>
  <c r="FJ27" i="9"/>
  <c r="FJ26" i="9"/>
  <c r="FJ25" i="9"/>
  <c r="FJ24" i="9"/>
  <c r="FJ23" i="9"/>
  <c r="FJ22" i="9"/>
  <c r="FJ21" i="9"/>
  <c r="FJ20" i="9"/>
  <c r="FJ50" i="10"/>
  <c r="FJ49" i="10"/>
  <c r="FJ48" i="10"/>
  <c r="FJ47" i="10"/>
  <c r="FJ46" i="10"/>
  <c r="FJ45" i="10"/>
  <c r="FJ44" i="10"/>
  <c r="FJ43" i="10"/>
  <c r="FJ42" i="10"/>
  <c r="FJ41" i="10"/>
  <c r="FJ40" i="10"/>
  <c r="FJ39" i="10"/>
  <c r="FJ38" i="10"/>
  <c r="FJ37" i="10"/>
  <c r="FJ36" i="10"/>
  <c r="FJ35" i="10"/>
  <c r="FJ34" i="10"/>
  <c r="FJ33" i="10"/>
  <c r="FJ32" i="10"/>
  <c r="FJ31" i="10"/>
  <c r="FJ30" i="10"/>
  <c r="FJ29" i="10"/>
  <c r="FJ28" i="10"/>
  <c r="FJ27" i="10"/>
  <c r="FJ26" i="10"/>
  <c r="FJ25" i="10"/>
  <c r="FJ24" i="10"/>
  <c r="FJ23" i="10"/>
  <c r="FJ22" i="10"/>
  <c r="FJ21" i="10"/>
  <c r="FJ20" i="10"/>
  <c r="FJ50" i="11"/>
  <c r="FJ49" i="11"/>
  <c r="FJ48" i="11"/>
  <c r="FJ47" i="11"/>
  <c r="FJ46" i="11"/>
  <c r="FJ45" i="11"/>
  <c r="FJ44" i="11"/>
  <c r="FJ43" i="11"/>
  <c r="FJ42" i="11"/>
  <c r="FJ41" i="11"/>
  <c r="FJ40" i="11"/>
  <c r="FJ39" i="11"/>
  <c r="FJ38" i="11"/>
  <c r="FJ37" i="11"/>
  <c r="FJ36" i="11"/>
  <c r="FJ35" i="11"/>
  <c r="FJ34" i="11"/>
  <c r="FJ33" i="11"/>
  <c r="FJ32" i="11"/>
  <c r="FJ31" i="11"/>
  <c r="FJ30" i="11"/>
  <c r="FJ29" i="11"/>
  <c r="FJ28" i="11"/>
  <c r="FJ27" i="11"/>
  <c r="FJ26" i="11"/>
  <c r="FJ25" i="11"/>
  <c r="FJ24" i="11"/>
  <c r="FJ23" i="11"/>
  <c r="FJ22" i="11"/>
  <c r="FJ21" i="11"/>
  <c r="FJ20" i="11"/>
  <c r="FJ50" i="12"/>
  <c r="FJ49" i="12"/>
  <c r="FJ48" i="12"/>
  <c r="FJ47" i="12"/>
  <c r="FJ46" i="12"/>
  <c r="FJ45" i="12"/>
  <c r="FJ44" i="12"/>
  <c r="FJ43" i="12"/>
  <c r="FJ42" i="12"/>
  <c r="FJ41" i="12"/>
  <c r="FJ40" i="12"/>
  <c r="FJ39" i="12"/>
  <c r="FJ38" i="12"/>
  <c r="FJ37" i="12"/>
  <c r="FJ36" i="12"/>
  <c r="FJ35" i="12"/>
  <c r="FJ34" i="12"/>
  <c r="FJ33" i="12"/>
  <c r="FJ32" i="12"/>
  <c r="FJ31" i="12"/>
  <c r="FJ30" i="12"/>
  <c r="FJ29" i="12"/>
  <c r="FJ28" i="12"/>
  <c r="FJ27" i="12"/>
  <c r="FJ26" i="12"/>
  <c r="FJ25" i="12"/>
  <c r="FJ24" i="12"/>
  <c r="FJ23" i="12"/>
  <c r="FJ22" i="12"/>
  <c r="FJ21" i="12"/>
  <c r="FJ20" i="12"/>
  <c r="FJ50" i="13"/>
  <c r="FJ49" i="13"/>
  <c r="FJ48" i="13"/>
  <c r="FJ47" i="13"/>
  <c r="FJ46" i="13"/>
  <c r="FJ45" i="13"/>
  <c r="FJ44" i="13"/>
  <c r="FJ43" i="13"/>
  <c r="FJ42" i="13"/>
  <c r="FJ41" i="13"/>
  <c r="FJ40" i="13"/>
  <c r="FJ39" i="13"/>
  <c r="FJ38" i="13"/>
  <c r="FJ37" i="13"/>
  <c r="FJ36" i="13"/>
  <c r="FJ35" i="13"/>
  <c r="FJ34" i="13"/>
  <c r="FJ33" i="13"/>
  <c r="FJ32" i="13"/>
  <c r="FJ31" i="13"/>
  <c r="FJ30" i="13"/>
  <c r="FJ29" i="13"/>
  <c r="FJ28" i="13"/>
  <c r="FJ27" i="13"/>
  <c r="FJ26" i="13"/>
  <c r="FJ25" i="13"/>
  <c r="FJ24" i="13"/>
  <c r="FJ23" i="13"/>
  <c r="FJ22" i="13"/>
  <c r="FJ21" i="13"/>
  <c r="FJ20" i="13"/>
  <c r="FJ50" i="14"/>
  <c r="FJ49" i="14"/>
  <c r="FJ48" i="14"/>
  <c r="FJ47" i="14"/>
  <c r="FJ46" i="14"/>
  <c r="FJ45" i="14"/>
  <c r="FJ44" i="14"/>
  <c r="FJ43" i="14"/>
  <c r="FJ42" i="14"/>
  <c r="FJ41" i="14"/>
  <c r="FJ40" i="14"/>
  <c r="FJ39" i="14"/>
  <c r="FJ38" i="14"/>
  <c r="FJ37" i="14"/>
  <c r="FJ36" i="14"/>
  <c r="FJ35" i="14"/>
  <c r="FJ34" i="14"/>
  <c r="FJ33" i="14"/>
  <c r="FJ32" i="14"/>
  <c r="FJ31" i="14"/>
  <c r="FJ30" i="14"/>
  <c r="FJ29" i="14"/>
  <c r="FJ28" i="14"/>
  <c r="FJ27" i="14"/>
  <c r="FJ26" i="14"/>
  <c r="FJ25" i="14"/>
  <c r="FJ24" i="14"/>
  <c r="FJ23" i="14"/>
  <c r="FJ22" i="14"/>
  <c r="FJ21" i="14"/>
  <c r="FJ20" i="14"/>
  <c r="FJ50" i="15"/>
  <c r="FJ49" i="15"/>
  <c r="FJ48" i="15"/>
  <c r="FJ47" i="15"/>
  <c r="FJ46" i="15"/>
  <c r="FJ45" i="15"/>
  <c r="FJ44" i="15"/>
  <c r="FJ43" i="15"/>
  <c r="FJ42" i="15"/>
  <c r="FJ41" i="15"/>
  <c r="FJ40" i="15"/>
  <c r="FJ39" i="15"/>
  <c r="FJ38" i="15"/>
  <c r="FJ37" i="15"/>
  <c r="FJ36" i="15"/>
  <c r="FJ35" i="15"/>
  <c r="FJ34" i="15"/>
  <c r="FJ33" i="15"/>
  <c r="FJ32" i="15"/>
  <c r="FJ31" i="15"/>
  <c r="FJ30" i="15"/>
  <c r="FJ29" i="15"/>
  <c r="FJ28" i="15"/>
  <c r="FJ27" i="15"/>
  <c r="FJ26" i="15"/>
  <c r="FJ25" i="15"/>
  <c r="FJ24" i="15"/>
  <c r="FJ23" i="15"/>
  <c r="FJ22" i="15"/>
  <c r="FJ21" i="15"/>
  <c r="FJ20" i="15"/>
  <c r="FJ50" i="5"/>
  <c r="FJ49" i="5"/>
  <c r="FJ48" i="5"/>
  <c r="FJ47" i="5"/>
  <c r="FJ46" i="5"/>
  <c r="FJ45" i="5"/>
  <c r="FJ44" i="5"/>
  <c r="FJ43" i="5"/>
  <c r="FJ42" i="5"/>
  <c r="FJ41" i="5"/>
  <c r="FJ40" i="5"/>
  <c r="FJ39" i="5"/>
  <c r="FJ38" i="5"/>
  <c r="FJ37" i="5"/>
  <c r="FJ36" i="5"/>
  <c r="FJ35" i="5"/>
  <c r="FJ34" i="5"/>
  <c r="FJ33" i="5"/>
  <c r="FJ32" i="5"/>
  <c r="FJ31" i="5"/>
  <c r="FJ30" i="5"/>
  <c r="FJ29" i="5"/>
  <c r="FJ28" i="5"/>
  <c r="FJ27" i="5"/>
  <c r="FJ26" i="5"/>
  <c r="FJ25" i="5"/>
  <c r="FJ24" i="5"/>
  <c r="FJ23" i="5"/>
  <c r="FJ22" i="5"/>
  <c r="FJ21" i="5"/>
  <c r="FJ20" i="5"/>
  <c r="FJ21" i="4"/>
  <c r="FJ22" i="4"/>
  <c r="FJ23" i="4"/>
  <c r="FJ24" i="4"/>
  <c r="FJ25" i="4"/>
  <c r="FJ26" i="4"/>
  <c r="FJ27" i="4"/>
  <c r="FJ28" i="4"/>
  <c r="FJ29" i="4"/>
  <c r="FJ30" i="4"/>
  <c r="FJ31" i="4"/>
  <c r="FJ32" i="4"/>
  <c r="FJ33" i="4"/>
  <c r="FJ34" i="4"/>
  <c r="FJ35" i="4"/>
  <c r="FJ36" i="4"/>
  <c r="FJ37" i="4"/>
  <c r="FJ38" i="4"/>
  <c r="FJ39" i="4"/>
  <c r="FJ40" i="4"/>
  <c r="FJ41" i="4"/>
  <c r="FJ42" i="4"/>
  <c r="FJ43" i="4"/>
  <c r="FJ44" i="4"/>
  <c r="FJ45" i="4"/>
  <c r="FJ46" i="4"/>
  <c r="FJ47" i="4"/>
  <c r="FJ48" i="4"/>
  <c r="FJ49" i="4"/>
  <c r="FJ50" i="4"/>
  <c r="FJ20" i="4"/>
  <c r="FL22" i="5" l="1"/>
  <c r="FL23" i="15"/>
  <c r="FL44" i="14"/>
  <c r="FL29" i="13"/>
  <c r="FL32" i="10"/>
  <c r="FL36" i="10"/>
  <c r="FL44" i="10"/>
  <c r="FL48" i="10"/>
  <c r="FL21" i="9"/>
  <c r="FL29" i="9"/>
  <c r="FL33" i="9"/>
  <c r="FL37" i="9"/>
  <c r="FL45" i="9"/>
  <c r="FL49" i="9"/>
  <c r="FL22" i="8"/>
  <c r="FL30" i="8"/>
  <c r="FL34" i="8"/>
  <c r="FL38" i="8"/>
  <c r="FL46" i="8"/>
  <c r="FL50" i="8"/>
  <c r="FL23" i="7"/>
  <c r="FL35" i="7"/>
  <c r="FL39" i="7"/>
  <c r="FL38" i="6"/>
  <c r="FL33" i="13"/>
  <c r="FL41" i="13"/>
  <c r="FL45" i="13"/>
  <c r="FL49" i="13"/>
  <c r="FL30" i="12"/>
  <c r="FL34" i="12"/>
  <c r="FL46" i="12"/>
  <c r="FL50" i="12"/>
  <c r="FL31" i="11"/>
  <c r="FL35" i="11"/>
  <c r="FL47" i="11"/>
  <c r="FL20" i="10"/>
  <c r="FL32" i="15"/>
  <c r="FL36" i="15"/>
  <c r="FL21" i="14"/>
  <c r="FL49" i="14"/>
  <c r="FL22" i="13"/>
  <c r="FL34" i="13"/>
  <c r="FL38" i="13"/>
  <c r="FL47" i="5"/>
  <c r="FL20" i="15"/>
  <c r="FL48" i="15"/>
  <c r="FL47" i="4"/>
  <c r="FL39" i="4"/>
  <c r="FL31" i="4"/>
  <c r="FL21" i="5"/>
  <c r="FL50" i="13"/>
  <c r="FL35" i="12"/>
  <c r="FL39" i="12"/>
  <c r="FL20" i="11"/>
  <c r="FL24" i="11"/>
  <c r="FL36" i="11"/>
  <c r="FL40" i="11"/>
  <c r="FL21" i="10"/>
  <c r="FL25" i="10"/>
  <c r="FL37" i="10"/>
  <c r="FL41" i="10"/>
  <c r="FL22" i="9"/>
  <c r="FL26" i="9"/>
  <c r="FL38" i="9"/>
  <c r="FL42" i="9"/>
  <c r="FL23" i="8"/>
  <c r="FL27" i="8"/>
  <c r="FL39" i="8"/>
  <c r="FL43" i="8"/>
  <c r="FL40" i="7"/>
  <c r="FL44" i="7"/>
  <c r="FL25" i="6"/>
  <c r="FL29" i="6"/>
  <c r="FL41" i="6"/>
  <c r="FL45" i="6"/>
  <c r="FL44" i="4"/>
  <c r="FL40" i="4"/>
  <c r="FL24" i="4"/>
  <c r="FL46" i="6"/>
  <c r="FL30" i="5"/>
  <c r="FL31" i="5"/>
  <c r="FL35" i="5"/>
  <c r="FL31" i="7"/>
  <c r="FL28" i="7"/>
  <c r="FL24" i="7"/>
  <c r="FL26" i="5"/>
  <c r="FL28" i="14"/>
  <c r="FL32" i="14"/>
  <c r="FL33" i="14"/>
  <c r="FL37" i="14"/>
  <c r="FL45" i="10"/>
  <c r="FL47" i="10"/>
  <c r="FL49" i="10"/>
  <c r="FL20" i="9"/>
  <c r="FL34" i="14"/>
  <c r="FL35" i="4"/>
  <c r="FL32" i="5"/>
  <c r="FL34" i="5"/>
  <c r="FL40" i="12"/>
  <c r="FL43" i="12"/>
  <c r="FL45" i="12"/>
  <c r="FL47" i="12"/>
  <c r="FL47" i="8"/>
  <c r="FL49" i="8"/>
  <c r="FL20" i="7"/>
  <c r="FL33" i="15"/>
  <c r="FL35" i="15"/>
  <c r="FL35" i="13"/>
  <c r="FL44" i="11"/>
  <c r="FL46" i="11"/>
  <c r="FL48" i="11"/>
  <c r="FL46" i="9"/>
  <c r="FL48" i="9"/>
  <c r="FL50" i="9"/>
  <c r="FL48" i="7"/>
  <c r="FL50" i="7"/>
  <c r="FL21" i="6"/>
  <c r="FL49" i="6"/>
  <c r="FL41" i="4"/>
  <c r="FL48" i="5"/>
  <c r="FL50" i="5"/>
  <c r="FL49" i="15"/>
  <c r="FL50" i="14"/>
  <c r="FL20" i="12"/>
  <c r="FL27" i="12"/>
  <c r="FL29" i="12"/>
  <c r="FL31" i="12"/>
  <c r="FL33" i="12"/>
  <c r="FL28" i="11"/>
  <c r="FL30" i="11"/>
  <c r="FL32" i="11"/>
  <c r="FL29" i="10"/>
  <c r="FL31" i="10"/>
  <c r="FL33" i="10"/>
  <c r="FL30" i="9"/>
  <c r="FL32" i="9"/>
  <c r="FL34" i="9"/>
  <c r="FL31" i="8"/>
  <c r="FL33" i="8"/>
  <c r="FL35" i="8"/>
  <c r="FL32" i="7"/>
  <c r="FL34" i="7"/>
  <c r="FL36" i="7"/>
  <c r="FL33" i="6"/>
  <c r="FL35" i="6"/>
  <c r="FL37" i="6"/>
  <c r="FL50" i="4"/>
  <c r="FL48" i="4"/>
  <c r="FL36" i="4"/>
  <c r="FL34" i="4"/>
  <c r="FL32" i="4"/>
  <c r="FL28" i="4"/>
  <c r="FL25" i="4"/>
  <c r="FL23" i="5"/>
  <c r="FL25" i="5"/>
  <c r="FL39" i="5"/>
  <c r="FL41" i="5"/>
  <c r="FL43" i="5"/>
  <c r="FL24" i="15"/>
  <c r="FL26" i="15"/>
  <c r="FL28" i="15"/>
  <c r="FL40" i="15"/>
  <c r="FL42" i="15"/>
  <c r="FL44" i="15"/>
  <c r="FL22" i="14"/>
  <c r="FL25" i="14"/>
  <c r="FL27" i="14"/>
  <c r="FL29" i="14"/>
  <c r="FL31" i="14"/>
  <c r="FL38" i="14"/>
  <c r="FL41" i="14"/>
  <c r="FL43" i="14"/>
  <c r="FL45" i="14"/>
  <c r="FL23" i="13"/>
  <c r="FL26" i="13"/>
  <c r="FL28" i="13"/>
  <c r="FL30" i="13"/>
  <c r="FL42" i="13"/>
  <c r="FL44" i="13"/>
  <c r="FL46" i="13"/>
  <c r="FL36" i="12"/>
  <c r="FL21" i="11"/>
  <c r="FL37" i="11"/>
  <c r="FL22" i="10"/>
  <c r="FL38" i="10"/>
  <c r="FL23" i="9"/>
  <c r="FL39" i="9"/>
  <c r="FL24" i="8"/>
  <c r="FL40" i="8"/>
  <c r="FL25" i="7"/>
  <c r="FL41" i="7"/>
  <c r="FL26" i="6"/>
  <c r="FL28" i="6"/>
  <c r="FL44" i="6"/>
  <c r="FL23" i="12"/>
  <c r="FL20" i="5"/>
  <c r="FL27" i="5"/>
  <c r="FL29" i="5"/>
  <c r="FL36" i="5"/>
  <c r="FL45" i="5"/>
  <c r="FL21" i="15"/>
  <c r="FL30" i="15"/>
  <c r="FL37" i="15"/>
  <c r="FL46" i="15"/>
  <c r="FL20" i="14"/>
  <c r="FL36" i="14"/>
  <c r="FL47" i="14"/>
  <c r="FL21" i="13"/>
  <c r="FL32" i="13"/>
  <c r="FL37" i="13"/>
  <c r="FL39" i="13"/>
  <c r="FL48" i="13"/>
  <c r="FL22" i="12"/>
  <c r="FL24" i="12"/>
  <c r="FL38" i="12"/>
  <c r="FL49" i="12"/>
  <c r="FL23" i="11"/>
  <c r="FL25" i="11"/>
  <c r="FL34" i="11"/>
  <c r="FL39" i="11"/>
  <c r="FL41" i="11"/>
  <c r="FL50" i="11"/>
  <c r="FL24" i="10"/>
  <c r="FL26" i="10"/>
  <c r="FL35" i="10"/>
  <c r="FL40" i="10"/>
  <c r="FL42" i="10"/>
  <c r="FL25" i="9"/>
  <c r="FL27" i="9"/>
  <c r="FL36" i="9"/>
  <c r="FL41" i="9"/>
  <c r="FL43" i="9"/>
  <c r="FL21" i="8"/>
  <c r="FL26" i="8"/>
  <c r="FL28" i="8"/>
  <c r="FL37" i="8"/>
  <c r="FL42" i="8"/>
  <c r="FL44" i="8"/>
  <c r="FL22" i="7"/>
  <c r="FL27" i="7"/>
  <c r="FL29" i="7"/>
  <c r="FL38" i="7"/>
  <c r="FL43" i="7"/>
  <c r="FL45" i="7"/>
  <c r="FL23" i="6"/>
  <c r="FL30" i="6"/>
  <c r="FL39" i="6"/>
  <c r="FL42" i="6"/>
  <c r="FL24" i="5"/>
  <c r="FL33" i="5"/>
  <c r="FL40" i="5"/>
  <c r="FL42" i="5"/>
  <c r="FL49" i="5"/>
  <c r="FL25" i="15"/>
  <c r="FL27" i="15"/>
  <c r="FL34" i="15"/>
  <c r="FL41" i="15"/>
  <c r="FL43" i="15"/>
  <c r="FL50" i="15"/>
  <c r="FL24" i="14"/>
  <c r="FL26" i="14"/>
  <c r="FL35" i="14"/>
  <c r="FL40" i="14"/>
  <c r="FL42" i="14"/>
  <c r="FL20" i="13"/>
  <c r="FL25" i="13"/>
  <c r="FL27" i="13"/>
  <c r="FL36" i="13"/>
  <c r="FL43" i="13"/>
  <c r="FL21" i="12"/>
  <c r="FL26" i="12"/>
  <c r="FL28" i="12"/>
  <c r="FL37" i="12"/>
  <c r="FL42" i="12"/>
  <c r="FL44" i="12"/>
  <c r="FL22" i="11"/>
  <c r="FL27" i="11"/>
  <c r="FL29" i="11"/>
  <c r="FL38" i="11"/>
  <c r="FL43" i="11"/>
  <c r="FL45" i="11"/>
  <c r="FL23" i="10"/>
  <c r="FL28" i="10"/>
  <c r="FL30" i="10"/>
  <c r="FL39" i="10"/>
  <c r="FL46" i="10"/>
  <c r="FL24" i="9"/>
  <c r="FL31" i="9"/>
  <c r="FL40" i="9"/>
  <c r="FL47" i="9"/>
  <c r="FL25" i="8"/>
  <c r="FL32" i="8"/>
  <c r="FL41" i="8"/>
  <c r="FL48" i="8"/>
  <c r="FL26" i="7"/>
  <c r="FL33" i="7"/>
  <c r="FL42" i="7"/>
  <c r="FL49" i="7"/>
  <c r="FL20" i="6"/>
  <c r="FL27" i="6"/>
  <c r="FL34" i="6"/>
  <c r="FL36" i="6"/>
  <c r="FL43" i="6"/>
  <c r="FL50" i="6"/>
  <c r="FL28" i="5"/>
  <c r="FL37" i="5"/>
  <c r="FL44" i="5"/>
  <c r="FL22" i="15"/>
  <c r="FL29" i="15"/>
  <c r="FL38" i="15"/>
  <c r="FL45" i="15"/>
  <c r="FL23" i="14"/>
  <c r="FL30" i="14"/>
  <c r="FL39" i="14"/>
  <c r="FL46" i="14"/>
  <c r="FL24" i="13"/>
  <c r="FL31" i="13"/>
  <c r="FL40" i="13"/>
  <c r="FL47" i="13"/>
  <c r="FL25" i="12"/>
  <c r="FL32" i="12"/>
  <c r="FL41" i="12"/>
  <c r="FL48" i="12"/>
  <c r="FL26" i="11"/>
  <c r="FL33" i="11"/>
  <c r="FL42" i="11"/>
  <c r="FL49" i="11"/>
  <c r="FL27" i="10"/>
  <c r="FL34" i="10"/>
  <c r="FL43" i="10"/>
  <c r="FL50" i="10"/>
  <c r="FL28" i="9"/>
  <c r="FL35" i="9"/>
  <c r="FL44" i="9"/>
  <c r="FL20" i="8"/>
  <c r="FL29" i="8"/>
  <c r="FL36" i="8"/>
  <c r="FL45" i="8"/>
  <c r="FL21" i="7"/>
  <c r="FL30" i="7"/>
  <c r="FL37" i="7"/>
  <c r="FL46" i="7"/>
  <c r="FL22" i="6"/>
  <c r="FL31" i="6"/>
  <c r="FL47" i="6"/>
  <c r="FL38" i="5"/>
  <c r="FL39" i="15"/>
  <c r="FL47" i="7"/>
  <c r="FL32" i="6"/>
  <c r="FL48" i="6"/>
  <c r="FL46" i="5"/>
  <c r="FL31" i="15"/>
  <c r="FL47" i="15"/>
  <c r="FL48" i="14"/>
  <c r="FL24" i="6"/>
  <c r="FL40" i="6"/>
  <c r="FL37" i="4"/>
  <c r="FL30" i="4"/>
  <c r="FL49" i="4"/>
  <c r="FL42" i="4"/>
  <c r="FL33" i="4"/>
  <c r="FL26" i="4"/>
  <c r="FL45" i="4"/>
  <c r="FL43" i="4"/>
  <c r="FL38" i="4"/>
  <c r="FL29" i="4"/>
  <c r="FL27" i="4"/>
  <c r="FL22" i="4"/>
  <c r="FL23" i="4"/>
  <c r="FL46" i="4"/>
  <c r="FL21" i="4"/>
  <c r="FL20" i="4"/>
  <c r="U39" i="57"/>
  <c r="U39" i="56"/>
  <c r="U39" i="55"/>
  <c r="U39" i="27"/>
  <c r="U39" i="31"/>
  <c r="U39" i="32"/>
  <c r="U39" i="33"/>
  <c r="U39" i="67"/>
  <c r="U39" i="68"/>
  <c r="U39" i="69"/>
  <c r="U39" i="70"/>
  <c r="U39" i="71"/>
  <c r="U39" i="26"/>
  <c r="U39" i="2"/>
  <c r="O29" i="57" l="1"/>
  <c r="O29" i="56"/>
  <c r="O29" i="27"/>
  <c r="O29" i="31"/>
  <c r="O29" i="32"/>
  <c r="O29" i="33"/>
  <c r="O29" i="67"/>
  <c r="O29" i="68"/>
  <c r="O29" i="69"/>
  <c r="O29" i="70"/>
  <c r="O29" i="71"/>
  <c r="O29" i="26"/>
  <c r="J26" i="82"/>
  <c r="J12" i="82"/>
  <c r="DM9" i="34" l="1"/>
  <c r="BE2" i="58" l="1"/>
  <c r="BB2" i="62"/>
  <c r="BB2" i="63"/>
  <c r="BB2" i="60"/>
  <c r="A55" i="1" l="1"/>
  <c r="B52" i="1" l="1"/>
  <c r="B40" i="54" s="1"/>
  <c r="B49" i="1"/>
  <c r="D7" i="80" s="1"/>
  <c r="BC2" i="63" l="1"/>
  <c r="BB3" i="63" s="1"/>
  <c r="BF2" i="58"/>
  <c r="BE3" i="58" s="1"/>
  <c r="BC2" i="62"/>
  <c r="BB3" i="62" s="1"/>
  <c r="B39" i="54"/>
  <c r="BC2" i="60"/>
  <c r="BB3" i="60" s="1"/>
  <c r="AH12" i="13"/>
  <c r="AH12" i="9"/>
  <c r="AH12" i="5"/>
  <c r="AH12" i="14"/>
  <c r="AH12" i="10"/>
  <c r="AH12" i="6"/>
  <c r="AH12" i="4"/>
  <c r="AH12" i="12"/>
  <c r="AH12" i="8"/>
  <c r="AH12" i="15"/>
  <c r="AH12" i="11"/>
  <c r="AH12" i="7"/>
  <c r="DY5" i="18" l="1"/>
  <c r="EU8" i="34" l="1"/>
  <c r="EU9" i="34"/>
  <c r="EU10" i="34"/>
  <c r="EU11" i="34"/>
  <c r="EU12" i="34"/>
  <c r="EU13" i="34"/>
  <c r="EU14" i="34"/>
  <c r="EU15" i="34"/>
  <c r="EU16" i="34"/>
  <c r="EU4" i="34"/>
  <c r="EU5" i="34"/>
  <c r="EU6" i="34"/>
  <c r="EU7" i="34"/>
  <c r="EU3" i="34"/>
  <c r="ET9" i="34"/>
  <c r="ET10" i="34"/>
  <c r="ET11" i="34"/>
  <c r="ET12" i="34"/>
  <c r="ET13" i="34"/>
  <c r="ET14" i="34"/>
  <c r="ET15" i="34"/>
  <c r="ET16" i="34"/>
  <c r="ET8" i="34"/>
  <c r="ET6" i="34"/>
  <c r="ET7" i="34"/>
  <c r="ET5" i="34"/>
  <c r="ET4" i="34"/>
  <c r="ET3" i="34"/>
  <c r="ED1" i="35" l="1"/>
  <c r="ED1" i="36"/>
  <c r="ED1" i="37"/>
  <c r="ED1" i="38"/>
  <c r="ED1" i="39"/>
  <c r="ED1" i="40"/>
  <c r="ED1" i="41"/>
  <c r="ED1" i="42"/>
  <c r="ED1" i="43"/>
  <c r="ED1" i="44"/>
  <c r="ED1" i="45"/>
  <c r="ED1" i="18"/>
  <c r="T27" i="37" l="1"/>
  <c r="V28" i="37"/>
  <c r="AB28" i="37"/>
  <c r="O41" i="37"/>
  <c r="Z27" i="37"/>
  <c r="W28" i="37"/>
  <c r="AC28" i="37"/>
  <c r="O44" i="37"/>
  <c r="O41" i="41"/>
  <c r="T27" i="41"/>
  <c r="AO60" i="41"/>
  <c r="O41" i="40"/>
  <c r="T27" i="40"/>
  <c r="AO60" i="40"/>
  <c r="O41" i="43"/>
  <c r="T27" i="43"/>
  <c r="AO60" i="43"/>
  <c r="O41" i="39"/>
  <c r="T27" i="39"/>
  <c r="AO60" i="39"/>
  <c r="O41" i="35"/>
  <c r="T27" i="35"/>
  <c r="AO60" i="35"/>
  <c r="O41" i="44"/>
  <c r="T27" i="44"/>
  <c r="AO60" i="44"/>
  <c r="O41" i="18"/>
  <c r="T27" i="18"/>
  <c r="AO60" i="18"/>
  <c r="O41" i="42"/>
  <c r="T27" i="42"/>
  <c r="AO60" i="42"/>
  <c r="O41" i="38"/>
  <c r="T27" i="38"/>
  <c r="AO60" i="38"/>
  <c r="O41" i="45"/>
  <c r="T27" i="45"/>
  <c r="AO60" i="45"/>
  <c r="AO60" i="37"/>
  <c r="O41" i="36"/>
  <c r="T27" i="36"/>
  <c r="AO60" i="36"/>
  <c r="AO63" i="18"/>
  <c r="AO63" i="44"/>
  <c r="AO63" i="42"/>
  <c r="AO63" i="40"/>
  <c r="AO63" i="38"/>
  <c r="AO63" i="36"/>
  <c r="AO63" i="45"/>
  <c r="AO63" i="43"/>
  <c r="AO63" i="41"/>
  <c r="AO63" i="39"/>
  <c r="AO63" i="37"/>
  <c r="AO63" i="35"/>
  <c r="O44" i="35"/>
  <c r="O44" i="18"/>
  <c r="O44" i="44"/>
  <c r="O44" i="42"/>
  <c r="O44" i="40"/>
  <c r="O44" i="38"/>
  <c r="O44" i="36"/>
  <c r="Z27" i="44"/>
  <c r="Z27" i="40"/>
  <c r="Z27" i="36"/>
  <c r="Z27" i="18"/>
  <c r="Z27" i="42"/>
  <c r="Z27" i="38"/>
  <c r="Z27" i="45"/>
  <c r="Z27" i="43"/>
  <c r="Z27" i="41"/>
  <c r="Z27" i="39"/>
  <c r="Z27" i="35"/>
  <c r="O44" i="45"/>
  <c r="O44" i="43"/>
  <c r="O44" i="41"/>
  <c r="O44" i="39"/>
  <c r="H2" i="16" l="1"/>
  <c r="N36" i="26"/>
  <c r="N36" i="27"/>
  <c r="N36" i="31"/>
  <c r="N36" i="32"/>
  <c r="N36" i="33"/>
  <c r="N36" i="67"/>
  <c r="N36" i="68"/>
  <c r="N36" i="69"/>
  <c r="N36" i="70"/>
  <c r="N36" i="71"/>
  <c r="N36" i="55"/>
  <c r="N36" i="56"/>
  <c r="N36" i="57"/>
  <c r="N36" i="2"/>
  <c r="Z38" i="45" l="1"/>
  <c r="Z39" i="45"/>
  <c r="Z37" i="45"/>
  <c r="EE1" i="34" l="1"/>
  <c r="EF1" i="34"/>
  <c r="EG1" i="34"/>
  <c r="EH1" i="34"/>
  <c r="EI1" i="34"/>
  <c r="EE2" i="34"/>
  <c r="EF2" i="34"/>
  <c r="EG2" i="34"/>
  <c r="EH2" i="34"/>
  <c r="EI2" i="34"/>
  <c r="EE3" i="34"/>
  <c r="EF3" i="34"/>
  <c r="EG3" i="34"/>
  <c r="EH3" i="34"/>
  <c r="EI3" i="34"/>
  <c r="EE4" i="34"/>
  <c r="EF4" i="34"/>
  <c r="EG4" i="34"/>
  <c r="EH4" i="34"/>
  <c r="EI4" i="34"/>
  <c r="EE5" i="34"/>
  <c r="EF5" i="34"/>
  <c r="EG5" i="34"/>
  <c r="EH5" i="34"/>
  <c r="EI5" i="34"/>
  <c r="EE6" i="34"/>
  <c r="EF6" i="34"/>
  <c r="EG6" i="34"/>
  <c r="EH6" i="34"/>
  <c r="EI6" i="34"/>
  <c r="EE7" i="34"/>
  <c r="EF7" i="34"/>
  <c r="EG7" i="34"/>
  <c r="EH7" i="34"/>
  <c r="EI7" i="34"/>
  <c r="EE8" i="34"/>
  <c r="EF8" i="34"/>
  <c r="EG8" i="34"/>
  <c r="EH8" i="34"/>
  <c r="EI8" i="34"/>
  <c r="EE9" i="34"/>
  <c r="EF9" i="34"/>
  <c r="EG9" i="34"/>
  <c r="EH9" i="34"/>
  <c r="EI9" i="34"/>
  <c r="EE10" i="34"/>
  <c r="EF10" i="34"/>
  <c r="EG10" i="34"/>
  <c r="EH10" i="34"/>
  <c r="EI10" i="34"/>
  <c r="EE11" i="34"/>
  <c r="EF11" i="34"/>
  <c r="EG11" i="34"/>
  <c r="EH11" i="34"/>
  <c r="EI11" i="34"/>
  <c r="EE12" i="34"/>
  <c r="EF12" i="34"/>
  <c r="EG12" i="34"/>
  <c r="EH12" i="34"/>
  <c r="EI12" i="34"/>
  <c r="EE13" i="34"/>
  <c r="EF13" i="34"/>
  <c r="EG13" i="34"/>
  <c r="EH13" i="34"/>
  <c r="EI13" i="34"/>
  <c r="EE14" i="34"/>
  <c r="EF14" i="34"/>
  <c r="EG14" i="34"/>
  <c r="EH14" i="34"/>
  <c r="EI14" i="34"/>
  <c r="EE15" i="34"/>
  <c r="EF15" i="34"/>
  <c r="EG15" i="34"/>
  <c r="EH15" i="34"/>
  <c r="EI15" i="34"/>
  <c r="EE16" i="34"/>
  <c r="EF16" i="34"/>
  <c r="EG16" i="34"/>
  <c r="EH16" i="34"/>
  <c r="EI16" i="34"/>
  <c r="EE17" i="34"/>
  <c r="EF17" i="34"/>
  <c r="EG17" i="34"/>
  <c r="EH17" i="34"/>
  <c r="EI17" i="34"/>
  <c r="EE18" i="34"/>
  <c r="EF18" i="34"/>
  <c r="EG18" i="34"/>
  <c r="EH18" i="34"/>
  <c r="EI18" i="34"/>
  <c r="EE19" i="34"/>
  <c r="EF19" i="34"/>
  <c r="EG19" i="34"/>
  <c r="EH19" i="34"/>
  <c r="EI19" i="34"/>
  <c r="EE20" i="34"/>
  <c r="EF20" i="34"/>
  <c r="EG20" i="34"/>
  <c r="EH20" i="34"/>
  <c r="EI20" i="34"/>
  <c r="EE21" i="34"/>
  <c r="EF21" i="34"/>
  <c r="EG21" i="34"/>
  <c r="EH21" i="34"/>
  <c r="EI21" i="34"/>
  <c r="EE22" i="34"/>
  <c r="EF22" i="34"/>
  <c r="EG22" i="34"/>
  <c r="EH22" i="34"/>
  <c r="EI22" i="34"/>
  <c r="EE23" i="34"/>
  <c r="EF23" i="34"/>
  <c r="EG23" i="34"/>
  <c r="EH23" i="34"/>
  <c r="EI23" i="34"/>
  <c r="EE24" i="34"/>
  <c r="EF24" i="34"/>
  <c r="EG24" i="34"/>
  <c r="EH24" i="34"/>
  <c r="EI24" i="34"/>
  <c r="EE25" i="34"/>
  <c r="EF25" i="34"/>
  <c r="EG25" i="34"/>
  <c r="EH25" i="34"/>
  <c r="EI25" i="34"/>
  <c r="EE26" i="34"/>
  <c r="EF26" i="34"/>
  <c r="EG26" i="34"/>
  <c r="EH26" i="34"/>
  <c r="EI26" i="34"/>
  <c r="EE27" i="34"/>
  <c r="EF27" i="34"/>
  <c r="EG27" i="34"/>
  <c r="EH27" i="34"/>
  <c r="EI27" i="34"/>
  <c r="EE28" i="34"/>
  <c r="EF28" i="34"/>
  <c r="EG28" i="34"/>
  <c r="EH28" i="34"/>
  <c r="EI28" i="34"/>
  <c r="EE29" i="34"/>
  <c r="EF29" i="34"/>
  <c r="EG29" i="34"/>
  <c r="EH29" i="34"/>
  <c r="EI29" i="34"/>
  <c r="EE30" i="34"/>
  <c r="EF30" i="34"/>
  <c r="EG30" i="34"/>
  <c r="EH30" i="34"/>
  <c r="EI30" i="34"/>
  <c r="EE31" i="34"/>
  <c r="EF31" i="34"/>
  <c r="EG31" i="34"/>
  <c r="EH31" i="34"/>
  <c r="EI31" i="34"/>
  <c r="EE32" i="34"/>
  <c r="EF32" i="34"/>
  <c r="EG32" i="34"/>
  <c r="EH32" i="34"/>
  <c r="EI32" i="34"/>
  <c r="EE33" i="34"/>
  <c r="EF33" i="34"/>
  <c r="EG33" i="34"/>
  <c r="EH33" i="34"/>
  <c r="EI33" i="34"/>
  <c r="EE34" i="34"/>
  <c r="EF34" i="34"/>
  <c r="EG34" i="34"/>
  <c r="EH34" i="34"/>
  <c r="EI34" i="34"/>
  <c r="EE35" i="34"/>
  <c r="EF35" i="34"/>
  <c r="EG35" i="34"/>
  <c r="EH35" i="34"/>
  <c r="EI35" i="34"/>
  <c r="EE36" i="34"/>
  <c r="EF36" i="34"/>
  <c r="EG36" i="34"/>
  <c r="EH36" i="34"/>
  <c r="EI36" i="34"/>
  <c r="EE37" i="34"/>
  <c r="EF37" i="34"/>
  <c r="EG37" i="34"/>
  <c r="EH37" i="34"/>
  <c r="EI37" i="34"/>
  <c r="EE38" i="34"/>
  <c r="EF38" i="34"/>
  <c r="EG38" i="34"/>
  <c r="EH38" i="34"/>
  <c r="EI38" i="34"/>
  <c r="EE39" i="34"/>
  <c r="EF39" i="34"/>
  <c r="EG39" i="34"/>
  <c r="EH39" i="34"/>
  <c r="EI39" i="34"/>
  <c r="EE40" i="34"/>
  <c r="EF40" i="34"/>
  <c r="EG40" i="34"/>
  <c r="EH40" i="34"/>
  <c r="EI40" i="34"/>
  <c r="EE41" i="34"/>
  <c r="EF41" i="34"/>
  <c r="EG41" i="34"/>
  <c r="EH41" i="34"/>
  <c r="EI41" i="34"/>
  <c r="EE42" i="34"/>
  <c r="EF42" i="34"/>
  <c r="EG42" i="34"/>
  <c r="EH42" i="34"/>
  <c r="EI42" i="34"/>
  <c r="EE43" i="34"/>
  <c r="EF43" i="34"/>
  <c r="EG43" i="34"/>
  <c r="EH43" i="34"/>
  <c r="EI43" i="34"/>
  <c r="EE44" i="34"/>
  <c r="EF44" i="34"/>
  <c r="EG44" i="34"/>
  <c r="EH44" i="34"/>
  <c r="EI44" i="34"/>
  <c r="EE45" i="34"/>
  <c r="EF45" i="34"/>
  <c r="EG45" i="34"/>
  <c r="EH45" i="34"/>
  <c r="EI45" i="34"/>
  <c r="EE46" i="34"/>
  <c r="EF46" i="34"/>
  <c r="EG46" i="34"/>
  <c r="EH46" i="34"/>
  <c r="EI46" i="34"/>
  <c r="EE47" i="34"/>
  <c r="EF47" i="34"/>
  <c r="EG47" i="34"/>
  <c r="EH47" i="34"/>
  <c r="EI47" i="34"/>
  <c r="EE48" i="34"/>
  <c r="EF48" i="34"/>
  <c r="EG48" i="34"/>
  <c r="EH48" i="34"/>
  <c r="EI48" i="34"/>
  <c r="EE49" i="34"/>
  <c r="EF49" i="34"/>
  <c r="EG49" i="34"/>
  <c r="EH49" i="34"/>
  <c r="EI49" i="34"/>
  <c r="EE50" i="34"/>
  <c r="EF50" i="34"/>
  <c r="EG50" i="34"/>
  <c r="EH50" i="34"/>
  <c r="EI50" i="34"/>
  <c r="EE51" i="34"/>
  <c r="EF51" i="34"/>
  <c r="EG51" i="34"/>
  <c r="EH51" i="34"/>
  <c r="EI51" i="34"/>
  <c r="EE52" i="34"/>
  <c r="EF52" i="34"/>
  <c r="EG52" i="34"/>
  <c r="EH52" i="34"/>
  <c r="EI52" i="34"/>
  <c r="EE53" i="34"/>
  <c r="EF53" i="34"/>
  <c r="EG53" i="34"/>
  <c r="EH53" i="34"/>
  <c r="EI53" i="34"/>
  <c r="EE54" i="34"/>
  <c r="EF54" i="34"/>
  <c r="EG54" i="34"/>
  <c r="EH54" i="34"/>
  <c r="EI54" i="34"/>
  <c r="EE55" i="34"/>
  <c r="EF55" i="34"/>
  <c r="EG55" i="34"/>
  <c r="EH55" i="34"/>
  <c r="EI55" i="34"/>
  <c r="EE56" i="34"/>
  <c r="EF56" i="34"/>
  <c r="EG56" i="34"/>
  <c r="EH56" i="34"/>
  <c r="EI56" i="34"/>
  <c r="EE57" i="34"/>
  <c r="EF57" i="34"/>
  <c r="EG57" i="34"/>
  <c r="EH57" i="34"/>
  <c r="EI57" i="34"/>
  <c r="EE58" i="34"/>
  <c r="EF58" i="34"/>
  <c r="EG58" i="34"/>
  <c r="EH58" i="34"/>
  <c r="EI58" i="34"/>
  <c r="EE59" i="34"/>
  <c r="EF59" i="34"/>
  <c r="EG59" i="34"/>
  <c r="EH59" i="34"/>
  <c r="EI59" i="34"/>
  <c r="EE60" i="34"/>
  <c r="EF60" i="34"/>
  <c r="EG60" i="34"/>
  <c r="EH60" i="34"/>
  <c r="EI60" i="34"/>
  <c r="EE61" i="34"/>
  <c r="EF61" i="34"/>
  <c r="EG61" i="34"/>
  <c r="EH61" i="34"/>
  <c r="EI61" i="34"/>
  <c r="EE62" i="34"/>
  <c r="EF62" i="34"/>
  <c r="EG62" i="34"/>
  <c r="EH62" i="34"/>
  <c r="EI62" i="34"/>
  <c r="EE63" i="34"/>
  <c r="EF63" i="34"/>
  <c r="EG63" i="34"/>
  <c r="EH63" i="34"/>
  <c r="EI63" i="34"/>
  <c r="EE64" i="34"/>
  <c r="EF64" i="34"/>
  <c r="EG64" i="34"/>
  <c r="EH64" i="34"/>
  <c r="EI64" i="34"/>
  <c r="EE65" i="34"/>
  <c r="EF65" i="34"/>
  <c r="EG65" i="34"/>
  <c r="EH65" i="34"/>
  <c r="EI65" i="34"/>
  <c r="EE66" i="34"/>
  <c r="EF66" i="34"/>
  <c r="EG66" i="34"/>
  <c r="EH66" i="34"/>
  <c r="EI66" i="34"/>
  <c r="EE67" i="34"/>
  <c r="EF67" i="34"/>
  <c r="EG67" i="34"/>
  <c r="EH67" i="34"/>
  <c r="EI67" i="34"/>
  <c r="EE68" i="34"/>
  <c r="EF68" i="34"/>
  <c r="EG68" i="34"/>
  <c r="EH68" i="34"/>
  <c r="EI68" i="34"/>
  <c r="EE69" i="34"/>
  <c r="EF69" i="34"/>
  <c r="EG69" i="34"/>
  <c r="EH69" i="34"/>
  <c r="EI69" i="34"/>
  <c r="EE70" i="34"/>
  <c r="EF70" i="34"/>
  <c r="EG70" i="34"/>
  <c r="EH70" i="34"/>
  <c r="EI70" i="34"/>
  <c r="EE71" i="34"/>
  <c r="EF71" i="34"/>
  <c r="EG71" i="34"/>
  <c r="EH71" i="34"/>
  <c r="EI71" i="34"/>
  <c r="EE72" i="34"/>
  <c r="EF72" i="34"/>
  <c r="EG72" i="34"/>
  <c r="EH72" i="34"/>
  <c r="EI72" i="34"/>
  <c r="EE73" i="34"/>
  <c r="EF73" i="34"/>
  <c r="EG73" i="34"/>
  <c r="EH73" i="34"/>
  <c r="EI73" i="34"/>
  <c r="EE74" i="34"/>
  <c r="EF74" i="34"/>
  <c r="EG74" i="34"/>
  <c r="EH74" i="34"/>
  <c r="EI74" i="34"/>
  <c r="EE75" i="34"/>
  <c r="EF75" i="34"/>
  <c r="EG75" i="34"/>
  <c r="EH75" i="34"/>
  <c r="EI75" i="34"/>
  <c r="EE76" i="34"/>
  <c r="EF76" i="34"/>
  <c r="EG76" i="34"/>
  <c r="EH76" i="34"/>
  <c r="EI76" i="34"/>
  <c r="EE77" i="34"/>
  <c r="EF77" i="34"/>
  <c r="EG77" i="34"/>
  <c r="EH77" i="34"/>
  <c r="EI77" i="34"/>
  <c r="EE78" i="34"/>
  <c r="EF78" i="34"/>
  <c r="EG78" i="34"/>
  <c r="EH78" i="34"/>
  <c r="EI78" i="34"/>
  <c r="EE79" i="34"/>
  <c r="EF79" i="34"/>
  <c r="EG79" i="34"/>
  <c r="EH79" i="34"/>
  <c r="EI79" i="34"/>
  <c r="EE80" i="34"/>
  <c r="EF80" i="34"/>
  <c r="EG80" i="34"/>
  <c r="EH80" i="34"/>
  <c r="EI80" i="34"/>
  <c r="EE81" i="34"/>
  <c r="EF81" i="34"/>
  <c r="EG81" i="34"/>
  <c r="EH81" i="34"/>
  <c r="EI81" i="34"/>
  <c r="EE82" i="34"/>
  <c r="EF82" i="34"/>
  <c r="EG82" i="34"/>
  <c r="EH82" i="34"/>
  <c r="EI82" i="34"/>
  <c r="EE83" i="34"/>
  <c r="EF83" i="34"/>
  <c r="EG83" i="34"/>
  <c r="EH83" i="34"/>
  <c r="EI83" i="34"/>
  <c r="EE84" i="34"/>
  <c r="EF84" i="34"/>
  <c r="EG84" i="34"/>
  <c r="EH84" i="34"/>
  <c r="EI84" i="34"/>
  <c r="EE85" i="34"/>
  <c r="EF85" i="34"/>
  <c r="EG85" i="34"/>
  <c r="EH85" i="34"/>
  <c r="EI85" i="34"/>
  <c r="EE86" i="34"/>
  <c r="EF86" i="34"/>
  <c r="EG86" i="34"/>
  <c r="EH86" i="34"/>
  <c r="EI86" i="34"/>
  <c r="EE87" i="34"/>
  <c r="EF87" i="34"/>
  <c r="EG87" i="34"/>
  <c r="EH87" i="34"/>
  <c r="EI87" i="34"/>
  <c r="EE88" i="34"/>
  <c r="EF88" i="34"/>
  <c r="EG88" i="34"/>
  <c r="EH88" i="34"/>
  <c r="EI88" i="34"/>
  <c r="EE89" i="34"/>
  <c r="EF89" i="34"/>
  <c r="EG89" i="34"/>
  <c r="EH89" i="34"/>
  <c r="EI89" i="34"/>
  <c r="EE90" i="34"/>
  <c r="EF90" i="34"/>
  <c r="EG90" i="34"/>
  <c r="EH90" i="34"/>
  <c r="EI90" i="34"/>
  <c r="EE91" i="34"/>
  <c r="EF91" i="34"/>
  <c r="EG91" i="34"/>
  <c r="EH91" i="34"/>
  <c r="EI91" i="34"/>
  <c r="EE92" i="34"/>
  <c r="EF92" i="34"/>
  <c r="EG92" i="34"/>
  <c r="EH92" i="34"/>
  <c r="EI92" i="34"/>
  <c r="EE93" i="34"/>
  <c r="EF93" i="34"/>
  <c r="EG93" i="34"/>
  <c r="EH93" i="34"/>
  <c r="EI93" i="34"/>
  <c r="EE94" i="34"/>
  <c r="EF94" i="34"/>
  <c r="EG94" i="34"/>
  <c r="EH94" i="34"/>
  <c r="EI94" i="34"/>
  <c r="EE95" i="34"/>
  <c r="EF95" i="34"/>
  <c r="EG95" i="34"/>
  <c r="EH95" i="34"/>
  <c r="EI95" i="34"/>
  <c r="EE96" i="34"/>
  <c r="EF96" i="34"/>
  <c r="EG96" i="34"/>
  <c r="EH96" i="34"/>
  <c r="EI96" i="34"/>
  <c r="EE97" i="34"/>
  <c r="EF97" i="34"/>
  <c r="EG97" i="34"/>
  <c r="EH97" i="34"/>
  <c r="EI97" i="34"/>
  <c r="EE98" i="34"/>
  <c r="EF98" i="34"/>
  <c r="EG98" i="34"/>
  <c r="EH98" i="34"/>
  <c r="EI98" i="34"/>
  <c r="EE99" i="34"/>
  <c r="EF99" i="34"/>
  <c r="EG99" i="34"/>
  <c r="EH99" i="34"/>
  <c r="EI99" i="34"/>
  <c r="EE100" i="34"/>
  <c r="EF100" i="34"/>
  <c r="EG100" i="34"/>
  <c r="EH100" i="34"/>
  <c r="EI100" i="34"/>
  <c r="EE101" i="34"/>
  <c r="EF101" i="34"/>
  <c r="EG101" i="34"/>
  <c r="EH101" i="34"/>
  <c r="EI101" i="34"/>
  <c r="EE102" i="34"/>
  <c r="EF102" i="34"/>
  <c r="EG102" i="34"/>
  <c r="EH102" i="34"/>
  <c r="EI102" i="34"/>
  <c r="EE103" i="34"/>
  <c r="EF103" i="34"/>
  <c r="EG103" i="34"/>
  <c r="EH103" i="34"/>
  <c r="EI103" i="34"/>
  <c r="EE104" i="34"/>
  <c r="EF104" i="34"/>
  <c r="EG104" i="34"/>
  <c r="EH104" i="34"/>
  <c r="EI104" i="34"/>
  <c r="EE105" i="34"/>
  <c r="EF105" i="34"/>
  <c r="EG105" i="34"/>
  <c r="EH105" i="34"/>
  <c r="EI105" i="34"/>
  <c r="EE106" i="34"/>
  <c r="EF106" i="34"/>
  <c r="EG106" i="34"/>
  <c r="EH106" i="34"/>
  <c r="EI106" i="34"/>
  <c r="EE107" i="34"/>
  <c r="EF107" i="34"/>
  <c r="EG107" i="34"/>
  <c r="EH107" i="34"/>
  <c r="EI107" i="34"/>
  <c r="EE108" i="34"/>
  <c r="EF108" i="34"/>
  <c r="EG108" i="34"/>
  <c r="EH108" i="34"/>
  <c r="EI108" i="34"/>
  <c r="EE109" i="34"/>
  <c r="EF109" i="34"/>
  <c r="EG109" i="34"/>
  <c r="EH109" i="34"/>
  <c r="EI109" i="34"/>
  <c r="EE110" i="34"/>
  <c r="EF110" i="34"/>
  <c r="EG110" i="34"/>
  <c r="EH110" i="34"/>
  <c r="EI110" i="34"/>
  <c r="EE111" i="34"/>
  <c r="EF111" i="34"/>
  <c r="EG111" i="34"/>
  <c r="EH111" i="34"/>
  <c r="EI111" i="34"/>
  <c r="EE112" i="34"/>
  <c r="EF112" i="34"/>
  <c r="EG112" i="34"/>
  <c r="EH112" i="34"/>
  <c r="EI112" i="34"/>
  <c r="EE113" i="34"/>
  <c r="EF113" i="34"/>
  <c r="EG113" i="34"/>
  <c r="EH113" i="34"/>
  <c r="EI113" i="34"/>
  <c r="EF114" i="34"/>
  <c r="EG114" i="34"/>
  <c r="EH114" i="34"/>
  <c r="EF115" i="34"/>
  <c r="EG115" i="34"/>
  <c r="EH115" i="34"/>
  <c r="EF116" i="34"/>
  <c r="EG116" i="34"/>
  <c r="EH116" i="34"/>
  <c r="EF117" i="34"/>
  <c r="EG117" i="34"/>
  <c r="EH117" i="34"/>
  <c r="EF118" i="34"/>
  <c r="EG118" i="34"/>
  <c r="EH118" i="34"/>
  <c r="EF119" i="34"/>
  <c r="EG119" i="34"/>
  <c r="EH119" i="34"/>
  <c r="EF120" i="34"/>
  <c r="EG120" i="34"/>
  <c r="EH120" i="34"/>
  <c r="EF121" i="34"/>
  <c r="EG121" i="34"/>
  <c r="EH121" i="34"/>
  <c r="EF122" i="34"/>
  <c r="EG122" i="34"/>
  <c r="EH122" i="34"/>
  <c r="EF123" i="34"/>
  <c r="EG123" i="34"/>
  <c r="EH123" i="34"/>
  <c r="EF124" i="34"/>
  <c r="EG124" i="34"/>
  <c r="EH124" i="34"/>
  <c r="EF125" i="34"/>
  <c r="EG125" i="34"/>
  <c r="EH125" i="34"/>
  <c r="EF126" i="34"/>
  <c r="EG126" i="34"/>
  <c r="EH126" i="34"/>
  <c r="EF127" i="34"/>
  <c r="EG127" i="34"/>
  <c r="EH127" i="34"/>
  <c r="EF128" i="34"/>
  <c r="EG128" i="34"/>
  <c r="EH128" i="34"/>
  <c r="EF129" i="34"/>
  <c r="EG129" i="34"/>
  <c r="EH129" i="34"/>
  <c r="EF130" i="34"/>
  <c r="EG130" i="34"/>
  <c r="EH130" i="34"/>
  <c r="EF131" i="34"/>
  <c r="EG131" i="34"/>
  <c r="EH131" i="34"/>
  <c r="EF132" i="34"/>
  <c r="EG132" i="34"/>
  <c r="EH132" i="34"/>
  <c r="EF133" i="34"/>
  <c r="EG133" i="34"/>
  <c r="EH133" i="34"/>
  <c r="EF134" i="34"/>
  <c r="EG134" i="34"/>
  <c r="EH134" i="34"/>
  <c r="EF135" i="34"/>
  <c r="EG135" i="34"/>
  <c r="EH135" i="34"/>
  <c r="EF136" i="34"/>
  <c r="EG136" i="34"/>
  <c r="EH136" i="34"/>
  <c r="EF137" i="34"/>
  <c r="EG137" i="34"/>
  <c r="EH137" i="34"/>
  <c r="EF138" i="34"/>
  <c r="EG138" i="34"/>
  <c r="EH138" i="34"/>
  <c r="EF139" i="34"/>
  <c r="EG139" i="34"/>
  <c r="EH139" i="34"/>
  <c r="EF140" i="34"/>
  <c r="EG140" i="34"/>
  <c r="EH140" i="34"/>
  <c r="EF141" i="34"/>
  <c r="EG141" i="34"/>
  <c r="EH141" i="34"/>
  <c r="EF142" i="34"/>
  <c r="EG142" i="34"/>
  <c r="EH142" i="34"/>
  <c r="EF143" i="34"/>
  <c r="EG143" i="34"/>
  <c r="EH143" i="34"/>
  <c r="EF144" i="34"/>
  <c r="EG144" i="34"/>
  <c r="EH144" i="34"/>
  <c r="EF145" i="34"/>
  <c r="EG145" i="34"/>
  <c r="EH145" i="34"/>
  <c r="EF146" i="34"/>
  <c r="EG146" i="34"/>
  <c r="EH146" i="34"/>
  <c r="EF147" i="34"/>
  <c r="EG147" i="34"/>
  <c r="EH147" i="34"/>
  <c r="EF148" i="34"/>
  <c r="EG148" i="34"/>
  <c r="EH148" i="34"/>
  <c r="EF149" i="34"/>
  <c r="EG149" i="34"/>
  <c r="EH149" i="34"/>
  <c r="EF150" i="34"/>
  <c r="EG150" i="34"/>
  <c r="EH150" i="34"/>
  <c r="EF151" i="34"/>
  <c r="EG151" i="34"/>
  <c r="EH151" i="34"/>
  <c r="EF152" i="34"/>
  <c r="EG152" i="34"/>
  <c r="EH152" i="34"/>
  <c r="EF153" i="34"/>
  <c r="EG153" i="34"/>
  <c r="EH153" i="34"/>
  <c r="EF154" i="34"/>
  <c r="EG154" i="34"/>
  <c r="EH154" i="34"/>
  <c r="EF155" i="34"/>
  <c r="EG155" i="34"/>
  <c r="EH155" i="34"/>
  <c r="EF156" i="34"/>
  <c r="EG156" i="34"/>
  <c r="EH156" i="34"/>
  <c r="EF157" i="34"/>
  <c r="EG157" i="34"/>
  <c r="EH157" i="34"/>
  <c r="EF158" i="34"/>
  <c r="EG158" i="34"/>
  <c r="EH158" i="34"/>
  <c r="EF159" i="34"/>
  <c r="EG159" i="34"/>
  <c r="EH159" i="34"/>
  <c r="EF160" i="34"/>
  <c r="EG160" i="34"/>
  <c r="EH160" i="34"/>
  <c r="EF161" i="34"/>
  <c r="EG161" i="34"/>
  <c r="EH161" i="34"/>
  <c r="EF162" i="34"/>
  <c r="EG162" i="34"/>
  <c r="EH162" i="34"/>
  <c r="EF163" i="34"/>
  <c r="EG163" i="34"/>
  <c r="EH163" i="34"/>
  <c r="EF164" i="34"/>
  <c r="EG164" i="34"/>
  <c r="EH164" i="34"/>
  <c r="EF165" i="34"/>
  <c r="EG165" i="34"/>
  <c r="EH165" i="34"/>
  <c r="EF166" i="34"/>
  <c r="EG166" i="34"/>
  <c r="EH166" i="34"/>
  <c r="EF167" i="34"/>
  <c r="EG167" i="34"/>
  <c r="EH167" i="34"/>
  <c r="EF168" i="34"/>
  <c r="EG168" i="34"/>
  <c r="EH168" i="34"/>
  <c r="EF169" i="34"/>
  <c r="EG169" i="34"/>
  <c r="EH169" i="34"/>
  <c r="EF170" i="34"/>
  <c r="EG170" i="34"/>
  <c r="EH170" i="34"/>
  <c r="EF171" i="34"/>
  <c r="EG171" i="34"/>
  <c r="EH171" i="34"/>
  <c r="EF172" i="34"/>
  <c r="EG172" i="34"/>
  <c r="EH172" i="34"/>
  <c r="EF173" i="34"/>
  <c r="EG173" i="34"/>
  <c r="EH173" i="34"/>
  <c r="EF174" i="34"/>
  <c r="EG174" i="34"/>
  <c r="EH174" i="34"/>
  <c r="EF175" i="34"/>
  <c r="EG175" i="34"/>
  <c r="EH175" i="34"/>
  <c r="EF176" i="34"/>
  <c r="EG176" i="34"/>
  <c r="EH176" i="34"/>
  <c r="EF177" i="34"/>
  <c r="EG177" i="34"/>
  <c r="EH177" i="34"/>
  <c r="EF178" i="34"/>
  <c r="EG178" i="34"/>
  <c r="EH178" i="34"/>
  <c r="EF179" i="34"/>
  <c r="EG179" i="34"/>
  <c r="EH179" i="34"/>
  <c r="EF180" i="34"/>
  <c r="EG180" i="34"/>
  <c r="EH180" i="34"/>
  <c r="EF181" i="34"/>
  <c r="EG181" i="34"/>
  <c r="EH181" i="34"/>
  <c r="EF182" i="34"/>
  <c r="EG182" i="34"/>
  <c r="EH182" i="34"/>
  <c r="EF183" i="34"/>
  <c r="EG183" i="34"/>
  <c r="EH183" i="34"/>
  <c r="EF184" i="34"/>
  <c r="EG184" i="34"/>
  <c r="EH184" i="34"/>
  <c r="EF185" i="34"/>
  <c r="EG185" i="34"/>
  <c r="EH185" i="34"/>
  <c r="EF186" i="34"/>
  <c r="EG186" i="34"/>
  <c r="EH186" i="34"/>
  <c r="EF187" i="34"/>
  <c r="EG187" i="34"/>
  <c r="EH187" i="34"/>
  <c r="EF188" i="34"/>
  <c r="EG188" i="34"/>
  <c r="EH188" i="34"/>
  <c r="EF189" i="34"/>
  <c r="EG189" i="34"/>
  <c r="EH189" i="34"/>
  <c r="EF190" i="34"/>
  <c r="EG190" i="34"/>
  <c r="EH190" i="34"/>
  <c r="EF191" i="34"/>
  <c r="EG191" i="34"/>
  <c r="EH191" i="34"/>
  <c r="EF192" i="34"/>
  <c r="EG192" i="34"/>
  <c r="EH192" i="34"/>
  <c r="EF193" i="34"/>
  <c r="EG193" i="34"/>
  <c r="EH193" i="34"/>
  <c r="EF194" i="34"/>
  <c r="EG194" i="34"/>
  <c r="EH194" i="34"/>
  <c r="EF195" i="34"/>
  <c r="EG195" i="34"/>
  <c r="EH195" i="34"/>
  <c r="EF196" i="34"/>
  <c r="EG196" i="34"/>
  <c r="EH196" i="34"/>
  <c r="EF197" i="34"/>
  <c r="EG197" i="34"/>
  <c r="EH197" i="34"/>
  <c r="EF198" i="34"/>
  <c r="EG198" i="34"/>
  <c r="EH198" i="34"/>
  <c r="EF199" i="34"/>
  <c r="EG199" i="34"/>
  <c r="EH199" i="34"/>
  <c r="EF200" i="34"/>
  <c r="EG200" i="34"/>
  <c r="EH200" i="34"/>
  <c r="EF201" i="34"/>
  <c r="EG201" i="34"/>
  <c r="EH201" i="34"/>
  <c r="EF202" i="34"/>
  <c r="EG202" i="34"/>
  <c r="EH202" i="34"/>
  <c r="EF203" i="34"/>
  <c r="EG203" i="34"/>
  <c r="EH203" i="34"/>
  <c r="EF204" i="34"/>
  <c r="EG204" i="34"/>
  <c r="EH204" i="34"/>
  <c r="EF205" i="34"/>
  <c r="EG205" i="34"/>
  <c r="EH205" i="34"/>
  <c r="EF206" i="34"/>
  <c r="EG206" i="34"/>
  <c r="EH206" i="34"/>
  <c r="EF207" i="34"/>
  <c r="EG207" i="34"/>
  <c r="EH207" i="34"/>
  <c r="EF208" i="34"/>
  <c r="EG208" i="34"/>
  <c r="EH208" i="34"/>
  <c r="EF209" i="34"/>
  <c r="EG209" i="34"/>
  <c r="EH209" i="34"/>
  <c r="EF210" i="34"/>
  <c r="EG210" i="34"/>
  <c r="EH210" i="34"/>
  <c r="EF211" i="34"/>
  <c r="EG211" i="34"/>
  <c r="EH211" i="34"/>
  <c r="EF212" i="34"/>
  <c r="EG212" i="34"/>
  <c r="EH212" i="34"/>
  <c r="EF213" i="34"/>
  <c r="EG213" i="34"/>
  <c r="EH213" i="34"/>
  <c r="EF214" i="34"/>
  <c r="EG214" i="34"/>
  <c r="EH214" i="34"/>
  <c r="EF215" i="34"/>
  <c r="EG215" i="34"/>
  <c r="EH215" i="34"/>
  <c r="EF216" i="34"/>
  <c r="EG216" i="34"/>
  <c r="EH216" i="34"/>
  <c r="EF217" i="34"/>
  <c r="EG217" i="34"/>
  <c r="EH217" i="34"/>
  <c r="EF218" i="34"/>
  <c r="EG218" i="34"/>
  <c r="EH218" i="34"/>
  <c r="EF219" i="34"/>
  <c r="EG219" i="34"/>
  <c r="EH219" i="34"/>
  <c r="EF220" i="34"/>
  <c r="EG220" i="34"/>
  <c r="EH220" i="34"/>
  <c r="EF221" i="34"/>
  <c r="EG221" i="34"/>
  <c r="EH221" i="34"/>
  <c r="EF222" i="34"/>
  <c r="EG222" i="34"/>
  <c r="EH222" i="34"/>
  <c r="EF223" i="34"/>
  <c r="EG223" i="34"/>
  <c r="EH223" i="34"/>
  <c r="EF224" i="34"/>
  <c r="EG224" i="34"/>
  <c r="EH224" i="34"/>
  <c r="EF225" i="34"/>
  <c r="EG225" i="34"/>
  <c r="EH225" i="34"/>
  <c r="EF226" i="34"/>
  <c r="EG226" i="34"/>
  <c r="EH226" i="34"/>
  <c r="EF227" i="34"/>
  <c r="EG227" i="34"/>
  <c r="EH227" i="34"/>
  <c r="EF228" i="34"/>
  <c r="EG228" i="34"/>
  <c r="EH228" i="34"/>
  <c r="EF229" i="34"/>
  <c r="EG229" i="34"/>
  <c r="EH229" i="34"/>
  <c r="EF230" i="34"/>
  <c r="EG230" i="34"/>
  <c r="EH230" i="34"/>
  <c r="EF231" i="34"/>
  <c r="EG231" i="34"/>
  <c r="EH231" i="34"/>
  <c r="EF232" i="34"/>
  <c r="EG232" i="34"/>
  <c r="EH232" i="34"/>
  <c r="EF233" i="34"/>
  <c r="EG233" i="34"/>
  <c r="EH233" i="34"/>
  <c r="EF234" i="34"/>
  <c r="EG234" i="34"/>
  <c r="EH234" i="34"/>
  <c r="EF235" i="34"/>
  <c r="EG235" i="34"/>
  <c r="EH235" i="34"/>
  <c r="EF236" i="34"/>
  <c r="EG236" i="34"/>
  <c r="EH236" i="34"/>
  <c r="EF237" i="34"/>
  <c r="EG237" i="34"/>
  <c r="EH237" i="34"/>
  <c r="EF238" i="34"/>
  <c r="EG238" i="34"/>
  <c r="EH238" i="34"/>
  <c r="EF239" i="34"/>
  <c r="EG239" i="34"/>
  <c r="EH239" i="34"/>
  <c r="EF240" i="34"/>
  <c r="EG240" i="34"/>
  <c r="EH240" i="34"/>
  <c r="EF241" i="34"/>
  <c r="EG241" i="34"/>
  <c r="EH241" i="34"/>
  <c r="EF242" i="34"/>
  <c r="EG242" i="34"/>
  <c r="EH242" i="34"/>
  <c r="EF243" i="34"/>
  <c r="EG243" i="34"/>
  <c r="EH243" i="34"/>
  <c r="EF244" i="34"/>
  <c r="EG244" i="34"/>
  <c r="EH244" i="34"/>
  <c r="EF245" i="34"/>
  <c r="EG245" i="34"/>
  <c r="EH245" i="34"/>
  <c r="EF246" i="34"/>
  <c r="EG246" i="34"/>
  <c r="EH246" i="34"/>
  <c r="EF247" i="34"/>
  <c r="EG247" i="34"/>
  <c r="EH247" i="34"/>
  <c r="EF248" i="34"/>
  <c r="EG248" i="34"/>
  <c r="EH248" i="34"/>
  <c r="EF249" i="34"/>
  <c r="EG249" i="34"/>
  <c r="EH249" i="34"/>
  <c r="EF250" i="34"/>
  <c r="EG250" i="34"/>
  <c r="EH250" i="34"/>
  <c r="EF251" i="34"/>
  <c r="EG251" i="34"/>
  <c r="EH251" i="34"/>
  <c r="EF252" i="34"/>
  <c r="EG252" i="34"/>
  <c r="EH252" i="34"/>
  <c r="EF253" i="34"/>
  <c r="EG253" i="34"/>
  <c r="EH253" i="34"/>
  <c r="EF254" i="34"/>
  <c r="EG254" i="34"/>
  <c r="EH254" i="34"/>
  <c r="EF255" i="34"/>
  <c r="EG255" i="34"/>
  <c r="EH255" i="34"/>
  <c r="EF256" i="34"/>
  <c r="EG256" i="34"/>
  <c r="EH256" i="34"/>
  <c r="EF257" i="34"/>
  <c r="EG257" i="34"/>
  <c r="EH257" i="34"/>
  <c r="EF258" i="34"/>
  <c r="EG258" i="34"/>
  <c r="EH258" i="34"/>
  <c r="EF259" i="34"/>
  <c r="EG259" i="34"/>
  <c r="EH259" i="34"/>
  <c r="EF260" i="34"/>
  <c r="EG260" i="34"/>
  <c r="EH260" i="34"/>
  <c r="EF261" i="34"/>
  <c r="EG261" i="34"/>
  <c r="EH261" i="34"/>
  <c r="EF262" i="34"/>
  <c r="EG262" i="34"/>
  <c r="EH262" i="34"/>
  <c r="EF263" i="34"/>
  <c r="EG263" i="34"/>
  <c r="EH263" i="34"/>
  <c r="EF264" i="34"/>
  <c r="EG264" i="34"/>
  <c r="EH264" i="34"/>
  <c r="EF265" i="34"/>
  <c r="EG265" i="34"/>
  <c r="EH265" i="34"/>
  <c r="EF266" i="34"/>
  <c r="EG266" i="34"/>
  <c r="EH266" i="34"/>
  <c r="EF267" i="34"/>
  <c r="EG267" i="34"/>
  <c r="EH267" i="34"/>
  <c r="EF268" i="34"/>
  <c r="EG268" i="34"/>
  <c r="EH268" i="34"/>
  <c r="EF269" i="34"/>
  <c r="EG269" i="34"/>
  <c r="EH269" i="34"/>
  <c r="EF270" i="34"/>
  <c r="EG270" i="34"/>
  <c r="EH270" i="34"/>
  <c r="EF271" i="34"/>
  <c r="EG271" i="34"/>
  <c r="EH271" i="34"/>
  <c r="EF272" i="34"/>
  <c r="EG272" i="34"/>
  <c r="EH272" i="34"/>
  <c r="EF273" i="34"/>
  <c r="EG273" i="34"/>
  <c r="EH273" i="34"/>
  <c r="EF274" i="34"/>
  <c r="EG274" i="34"/>
  <c r="EH274" i="34"/>
  <c r="EF275" i="34"/>
  <c r="EG275" i="34"/>
  <c r="EH275" i="34"/>
  <c r="EF276" i="34"/>
  <c r="EG276" i="34"/>
  <c r="EH276" i="34"/>
  <c r="EF277" i="34"/>
  <c r="EG277" i="34"/>
  <c r="EH277" i="34"/>
  <c r="EF278" i="34"/>
  <c r="EG278" i="34"/>
  <c r="EH278" i="34"/>
  <c r="EF279" i="34"/>
  <c r="EG279" i="34"/>
  <c r="EH279" i="34"/>
  <c r="EF280" i="34"/>
  <c r="EG280" i="34"/>
  <c r="EH280" i="34"/>
  <c r="EF281" i="34"/>
  <c r="EG281" i="34"/>
  <c r="EH281" i="34"/>
  <c r="EF282" i="34"/>
  <c r="EG282" i="34"/>
  <c r="EH282" i="34"/>
  <c r="EF283" i="34"/>
  <c r="EG283" i="34"/>
  <c r="EH283" i="34"/>
  <c r="EF284" i="34"/>
  <c r="EG284" i="34"/>
  <c r="EH284" i="34"/>
  <c r="EF285" i="34"/>
  <c r="EG285" i="34"/>
  <c r="EH285" i="34"/>
  <c r="EF286" i="34"/>
  <c r="EG286" i="34"/>
  <c r="EH286" i="34"/>
  <c r="EF287" i="34"/>
  <c r="EG287" i="34"/>
  <c r="EH287" i="34"/>
  <c r="EF288" i="34"/>
  <c r="EG288" i="34"/>
  <c r="EH288" i="34"/>
  <c r="EF289" i="34"/>
  <c r="EG289" i="34"/>
  <c r="EH289" i="34"/>
  <c r="EF290" i="34"/>
  <c r="EG290" i="34"/>
  <c r="EH290" i="34"/>
  <c r="EF291" i="34"/>
  <c r="EG291" i="34"/>
  <c r="EH291" i="34"/>
  <c r="EF292" i="34"/>
  <c r="EG292" i="34"/>
  <c r="EH292" i="34"/>
  <c r="EF293" i="34"/>
  <c r="EG293" i="34"/>
  <c r="EH293" i="34"/>
  <c r="EF294" i="34"/>
  <c r="EG294" i="34"/>
  <c r="EH294" i="34"/>
  <c r="EF295" i="34"/>
  <c r="EG295" i="34"/>
  <c r="EH295" i="34"/>
  <c r="EF296" i="34"/>
  <c r="EG296" i="34"/>
  <c r="EH296" i="34"/>
  <c r="EF297" i="34"/>
  <c r="EG297" i="34"/>
  <c r="EH297" i="34"/>
  <c r="EF298" i="34"/>
  <c r="EG298" i="34"/>
  <c r="EH298" i="34"/>
  <c r="EF299" i="34"/>
  <c r="EG299" i="34"/>
  <c r="EH299" i="34"/>
  <c r="EF300" i="34"/>
  <c r="EG300" i="34"/>
  <c r="EH300" i="34"/>
  <c r="EF301" i="34"/>
  <c r="EG301" i="34"/>
  <c r="EH301" i="34"/>
  <c r="EF302" i="34"/>
  <c r="EG302" i="34"/>
  <c r="EH302" i="34"/>
  <c r="EF303" i="34"/>
  <c r="EG303" i="34"/>
  <c r="EH303" i="34"/>
  <c r="EF304" i="34"/>
  <c r="EG304" i="34"/>
  <c r="EH304" i="34"/>
  <c r="EF305" i="34"/>
  <c r="EG305" i="34"/>
  <c r="EH305" i="34"/>
  <c r="EF306" i="34"/>
  <c r="EG306" i="34"/>
  <c r="EH306" i="34"/>
  <c r="EF307" i="34"/>
  <c r="EG307" i="34"/>
  <c r="EH307" i="34"/>
  <c r="EF308" i="34"/>
  <c r="EG308" i="34"/>
  <c r="EH308" i="34"/>
  <c r="EF309" i="34"/>
  <c r="EG309" i="34"/>
  <c r="EH309" i="34"/>
  <c r="EF310" i="34"/>
  <c r="EG310" i="34"/>
  <c r="EH310" i="34"/>
  <c r="EF311" i="34"/>
  <c r="EG311" i="34"/>
  <c r="EH311" i="34"/>
  <c r="EF312" i="34"/>
  <c r="EG312" i="34"/>
  <c r="EH312" i="34"/>
  <c r="EF313" i="34"/>
  <c r="EG313" i="34"/>
  <c r="EH313" i="34"/>
  <c r="EF314" i="34"/>
  <c r="EG314" i="34"/>
  <c r="EH314" i="34"/>
  <c r="EF315" i="34"/>
  <c r="EG315" i="34"/>
  <c r="EH315" i="34"/>
  <c r="EF316" i="34"/>
  <c r="EG316" i="34"/>
  <c r="EH316" i="34"/>
  <c r="EF317" i="34"/>
  <c r="EG317" i="34"/>
  <c r="EH317" i="34"/>
  <c r="EF318" i="34"/>
  <c r="EG318" i="34"/>
  <c r="EH318" i="34"/>
  <c r="EF319" i="34"/>
  <c r="EG319" i="34"/>
  <c r="EH319" i="34"/>
  <c r="EF320" i="34"/>
  <c r="EG320" i="34"/>
  <c r="EH320" i="34"/>
  <c r="EF321" i="34"/>
  <c r="EG321" i="34"/>
  <c r="EH321" i="34"/>
  <c r="EF322" i="34"/>
  <c r="EG322" i="34"/>
  <c r="EH322" i="34"/>
  <c r="EF323" i="34"/>
  <c r="EG323" i="34"/>
  <c r="EH323" i="34"/>
  <c r="EF324" i="34"/>
  <c r="EG324" i="34"/>
  <c r="EH324" i="34"/>
  <c r="EF325" i="34"/>
  <c r="EG325" i="34"/>
  <c r="EH325" i="34"/>
  <c r="EF326" i="34"/>
  <c r="EG326" i="34"/>
  <c r="EH326" i="34"/>
  <c r="EF327" i="34"/>
  <c r="EG327" i="34"/>
  <c r="EH327" i="34"/>
  <c r="EF328" i="34"/>
  <c r="EG328" i="34"/>
  <c r="EH328" i="34"/>
  <c r="EF329" i="34"/>
  <c r="EG329" i="34"/>
  <c r="EH329" i="34"/>
  <c r="EF330" i="34"/>
  <c r="EG330" i="34"/>
  <c r="EH330" i="34"/>
  <c r="EF331" i="34"/>
  <c r="EG331" i="34"/>
  <c r="EH331" i="34"/>
  <c r="EF332" i="34"/>
  <c r="EG332" i="34"/>
  <c r="EH332" i="34"/>
  <c r="EF333" i="34"/>
  <c r="EG333" i="34"/>
  <c r="EH333" i="34"/>
  <c r="EF334" i="34"/>
  <c r="EG334" i="34"/>
  <c r="EH334" i="34"/>
  <c r="EF335" i="34"/>
  <c r="EG335" i="34"/>
  <c r="EH335" i="34"/>
  <c r="EF336" i="34"/>
  <c r="EG336" i="34"/>
  <c r="EH336" i="34"/>
  <c r="EF337" i="34"/>
  <c r="EG337" i="34"/>
  <c r="EH337" i="34"/>
  <c r="EF338" i="34"/>
  <c r="EG338" i="34"/>
  <c r="EH338" i="34"/>
  <c r="EF339" i="34"/>
  <c r="EG339" i="34"/>
  <c r="EH339" i="34"/>
  <c r="EF340" i="34"/>
  <c r="EG340" i="34"/>
  <c r="EH340" i="34"/>
  <c r="EF341" i="34"/>
  <c r="EG341" i="34"/>
  <c r="EH341" i="34"/>
  <c r="EF342" i="34"/>
  <c r="EG342" i="34"/>
  <c r="EH342" i="34"/>
  <c r="EF343" i="34"/>
  <c r="EG343" i="34"/>
  <c r="EH343" i="34"/>
  <c r="EF344" i="34"/>
  <c r="EG344" i="34"/>
  <c r="EH344" i="34"/>
  <c r="EF345" i="34"/>
  <c r="EG345" i="34"/>
  <c r="EH345" i="34"/>
  <c r="EF346" i="34"/>
  <c r="EG346" i="34"/>
  <c r="EH346" i="34"/>
  <c r="EF347" i="34"/>
  <c r="EG347" i="34"/>
  <c r="EH347" i="34"/>
  <c r="EF348" i="34"/>
  <c r="EG348" i="34"/>
  <c r="EH348" i="34"/>
  <c r="EF349" i="34"/>
  <c r="EG349" i="34"/>
  <c r="EH349" i="34"/>
  <c r="EF350" i="34"/>
  <c r="EG350" i="34"/>
  <c r="EH350" i="34"/>
  <c r="EF351" i="34"/>
  <c r="EG351" i="34"/>
  <c r="EH351" i="34"/>
  <c r="EF352" i="34"/>
  <c r="EG352" i="34"/>
  <c r="EH352" i="34"/>
  <c r="EF353" i="34"/>
  <c r="EG353" i="34"/>
  <c r="EH353" i="34"/>
  <c r="EF354" i="34"/>
  <c r="EG354" i="34"/>
  <c r="EH354" i="34"/>
  <c r="EF355" i="34"/>
  <c r="EG355" i="34"/>
  <c r="EH355" i="34"/>
  <c r="EF356" i="34"/>
  <c r="EG356" i="34"/>
  <c r="EH356" i="34"/>
  <c r="EF357" i="34"/>
  <c r="EG357" i="34"/>
  <c r="EH357" i="34"/>
  <c r="EF358" i="34"/>
  <c r="EG358" i="34"/>
  <c r="EH358" i="34"/>
  <c r="EF359" i="34"/>
  <c r="EG359" i="34"/>
  <c r="EH359" i="34"/>
  <c r="EF360" i="34"/>
  <c r="EG360" i="34"/>
  <c r="EH360" i="34"/>
  <c r="EF361" i="34"/>
  <c r="EG361" i="34"/>
  <c r="EH361" i="34"/>
  <c r="EF362" i="34"/>
  <c r="EG362" i="34"/>
  <c r="EH362" i="34"/>
  <c r="EF363" i="34"/>
  <c r="EG363" i="34"/>
  <c r="EH363" i="34"/>
  <c r="EF364" i="34"/>
  <c r="EG364" i="34"/>
  <c r="EH364" i="34"/>
  <c r="EF365" i="34"/>
  <c r="EG365" i="34"/>
  <c r="EH365" i="34"/>
  <c r="EF366" i="34"/>
  <c r="EG366" i="34"/>
  <c r="EH366" i="34"/>
  <c r="EF367" i="34"/>
  <c r="EG367" i="34"/>
  <c r="EH367" i="34"/>
  <c r="EF368" i="34"/>
  <c r="EG368" i="34"/>
  <c r="EH368" i="34"/>
  <c r="EF369" i="34"/>
  <c r="EG369" i="34"/>
  <c r="EH369" i="34"/>
  <c r="EF370" i="34"/>
  <c r="EG370" i="34"/>
  <c r="EH370" i="34"/>
  <c r="EF371" i="34"/>
  <c r="EG371" i="34"/>
  <c r="EH371" i="34"/>
  <c r="EF372" i="34"/>
  <c r="EG372" i="34"/>
  <c r="EH372" i="34"/>
  <c r="EF373" i="34"/>
  <c r="EG373" i="34"/>
  <c r="EH373" i="34"/>
  <c r="EF374" i="34"/>
  <c r="EG374" i="34"/>
  <c r="EH374" i="34"/>
  <c r="EF375" i="34"/>
  <c r="EG375" i="34"/>
  <c r="EH375" i="34"/>
  <c r="EF376" i="34"/>
  <c r="EG376" i="34"/>
  <c r="EH376" i="34"/>
  <c r="EF377" i="34"/>
  <c r="EG377" i="34"/>
  <c r="EH377" i="34"/>
  <c r="EF378" i="34"/>
  <c r="EG378" i="34"/>
  <c r="EH378" i="34"/>
  <c r="EF379" i="34"/>
  <c r="EG379" i="34"/>
  <c r="EH379" i="34"/>
  <c r="EF380" i="34"/>
  <c r="EG380" i="34"/>
  <c r="EH380" i="34"/>
  <c r="EF381" i="34"/>
  <c r="EG381" i="34"/>
  <c r="EH381" i="34"/>
  <c r="EF382" i="34"/>
  <c r="EG382" i="34"/>
  <c r="EH382" i="34"/>
  <c r="EF383" i="34"/>
  <c r="EG383" i="34"/>
  <c r="EH383" i="34"/>
  <c r="EF384" i="34"/>
  <c r="EG384" i="34"/>
  <c r="EH384" i="34"/>
  <c r="EF385" i="34"/>
  <c r="EG385" i="34"/>
  <c r="EH385" i="34"/>
  <c r="EF386" i="34"/>
  <c r="EG386" i="34"/>
  <c r="EH386" i="34"/>
  <c r="EF387" i="34"/>
  <c r="EG387" i="34"/>
  <c r="EH387" i="34"/>
  <c r="EF388" i="34"/>
  <c r="EG388" i="34"/>
  <c r="EH388" i="34"/>
  <c r="EF389" i="34"/>
  <c r="EG389" i="34"/>
  <c r="EH389" i="34"/>
  <c r="EF390" i="34"/>
  <c r="EG390" i="34"/>
  <c r="EH390" i="34"/>
  <c r="EF391" i="34"/>
  <c r="EG391" i="34"/>
  <c r="EH391" i="34"/>
  <c r="EF392" i="34"/>
  <c r="EG392" i="34"/>
  <c r="EH392" i="34"/>
  <c r="EF393" i="34"/>
  <c r="EG393" i="34"/>
  <c r="EH393" i="34"/>
  <c r="EF394" i="34"/>
  <c r="EG394" i="34"/>
  <c r="EH394" i="34"/>
  <c r="EF395" i="34"/>
  <c r="EG395" i="34"/>
  <c r="EH395" i="34"/>
  <c r="EF396" i="34"/>
  <c r="EG396" i="34"/>
  <c r="EH396" i="34"/>
  <c r="EF397" i="34"/>
  <c r="EG397" i="34"/>
  <c r="EH397" i="34"/>
  <c r="EF398" i="34"/>
  <c r="EG398" i="34"/>
  <c r="EH398" i="34"/>
  <c r="EF399" i="34"/>
  <c r="EG399" i="34"/>
  <c r="EH399" i="34"/>
  <c r="EF400" i="34"/>
  <c r="EG400" i="34"/>
  <c r="EH400" i="34"/>
  <c r="EF401" i="34"/>
  <c r="EG401" i="34"/>
  <c r="EH401" i="34"/>
  <c r="EF402" i="34"/>
  <c r="EG402" i="34"/>
  <c r="EH402" i="34"/>
  <c r="EF403" i="34"/>
  <c r="EG403" i="34"/>
  <c r="EH403" i="34"/>
  <c r="EF404" i="34"/>
  <c r="EG404" i="34"/>
  <c r="EH404" i="34"/>
  <c r="EF405" i="34"/>
  <c r="EG405" i="34"/>
  <c r="EH405" i="34"/>
  <c r="EF406" i="34"/>
  <c r="EG406" i="34"/>
  <c r="EH406" i="34"/>
  <c r="EF407" i="34"/>
  <c r="EG407" i="34"/>
  <c r="EH407" i="34"/>
  <c r="EF408" i="34"/>
  <c r="EG408" i="34"/>
  <c r="EH408" i="34"/>
  <c r="EF409" i="34"/>
  <c r="EG409" i="34"/>
  <c r="EH409" i="34"/>
  <c r="EF410" i="34"/>
  <c r="EG410" i="34"/>
  <c r="EH410" i="34"/>
  <c r="EF411" i="34"/>
  <c r="EG411" i="34"/>
  <c r="EH411" i="34"/>
  <c r="EF412" i="34"/>
  <c r="EG412" i="34"/>
  <c r="EH412" i="34"/>
  <c r="EF413" i="34"/>
  <c r="EG413" i="34"/>
  <c r="EH413" i="34"/>
  <c r="EF414" i="34"/>
  <c r="EG414" i="34"/>
  <c r="EH414" i="34"/>
  <c r="EF415" i="34"/>
  <c r="EG415" i="34"/>
  <c r="EH415" i="34"/>
  <c r="EF416" i="34"/>
  <c r="EG416" i="34"/>
  <c r="EH416" i="34"/>
  <c r="EF417" i="34"/>
  <c r="EG417" i="34"/>
  <c r="EH417" i="34"/>
  <c r="EF418" i="34"/>
  <c r="EG418" i="34"/>
  <c r="EH418" i="34"/>
  <c r="EF419" i="34"/>
  <c r="EG419" i="34"/>
  <c r="EH419" i="34"/>
  <c r="EF420" i="34"/>
  <c r="EG420" i="34"/>
  <c r="EH420" i="34"/>
  <c r="EF421" i="34"/>
  <c r="EG421" i="34"/>
  <c r="EH421" i="34"/>
  <c r="EF422" i="34"/>
  <c r="EG422" i="34"/>
  <c r="EH422" i="34"/>
  <c r="EF423" i="34"/>
  <c r="EG423" i="34"/>
  <c r="EH423" i="34"/>
  <c r="EF424" i="34"/>
  <c r="EG424" i="34"/>
  <c r="EH424" i="34"/>
  <c r="EF425" i="34"/>
  <c r="EG425" i="34"/>
  <c r="EH425" i="34"/>
  <c r="EF426" i="34"/>
  <c r="EG426" i="34"/>
  <c r="EH426" i="34"/>
  <c r="EF427" i="34"/>
  <c r="EG427" i="34"/>
  <c r="EH427" i="34"/>
  <c r="EF428" i="34"/>
  <c r="EG428" i="34"/>
  <c r="EH428" i="34"/>
  <c r="EF429" i="34"/>
  <c r="EG429" i="34"/>
  <c r="EH429" i="34"/>
  <c r="EF430" i="34"/>
  <c r="EG430" i="34"/>
  <c r="EH430" i="34"/>
  <c r="EF431" i="34"/>
  <c r="EG431" i="34"/>
  <c r="EH431" i="34"/>
  <c r="EF432" i="34"/>
  <c r="EG432" i="34"/>
  <c r="EH432" i="34"/>
  <c r="EF433" i="34"/>
  <c r="EG433" i="34"/>
  <c r="EH433" i="34"/>
  <c r="EF434" i="34"/>
  <c r="EG434" i="34"/>
  <c r="EH434" i="34"/>
  <c r="EF435" i="34"/>
  <c r="EG435" i="34"/>
  <c r="EH435" i="34"/>
  <c r="EF436" i="34"/>
  <c r="EG436" i="34"/>
  <c r="EH436" i="34"/>
  <c r="EF437" i="34"/>
  <c r="EG437" i="34"/>
  <c r="EH437" i="34"/>
  <c r="EF438" i="34"/>
  <c r="EG438" i="34"/>
  <c r="EH438" i="34"/>
  <c r="EF439" i="34"/>
  <c r="EG439" i="34"/>
  <c r="EH439" i="34"/>
  <c r="EF440" i="34"/>
  <c r="EG440" i="34"/>
  <c r="EH440" i="34"/>
  <c r="EF441" i="34"/>
  <c r="EG441" i="34"/>
  <c r="EH441" i="34"/>
  <c r="EF442" i="34"/>
  <c r="EG442" i="34"/>
  <c r="EH442" i="34"/>
  <c r="EF443" i="34"/>
  <c r="EG443" i="34"/>
  <c r="EH443" i="34"/>
  <c r="EF444" i="34"/>
  <c r="EG444" i="34"/>
  <c r="EH444" i="34"/>
  <c r="EF445" i="34"/>
  <c r="EG445" i="34"/>
  <c r="EH445" i="34"/>
  <c r="EF446" i="34"/>
  <c r="EG446" i="34"/>
  <c r="EH446" i="34"/>
  <c r="EF447" i="34"/>
  <c r="EG447" i="34"/>
  <c r="EH447" i="34"/>
  <c r="EF448" i="34"/>
  <c r="EG448" i="34"/>
  <c r="EH448" i="34"/>
  <c r="EF449" i="34"/>
  <c r="EG449" i="34"/>
  <c r="EH449" i="34"/>
  <c r="EF450" i="34"/>
  <c r="EG450" i="34"/>
  <c r="EH450" i="34"/>
  <c r="EF451" i="34"/>
  <c r="EG451" i="34"/>
  <c r="EH451" i="34"/>
  <c r="EF452" i="34"/>
  <c r="EG452" i="34"/>
  <c r="EH452" i="34"/>
  <c r="EF453" i="34"/>
  <c r="EG453" i="34"/>
  <c r="EH453" i="34"/>
  <c r="EF454" i="34"/>
  <c r="EG454" i="34"/>
  <c r="EH454" i="34"/>
  <c r="EF455" i="34"/>
  <c r="EG455" i="34"/>
  <c r="EH455" i="34"/>
  <c r="EF456" i="34"/>
  <c r="EG456" i="34"/>
  <c r="EH456" i="34"/>
  <c r="EF457" i="34"/>
  <c r="EG457" i="34"/>
  <c r="EH457" i="34"/>
  <c r="EF458" i="34"/>
  <c r="EG458" i="34"/>
  <c r="EH458" i="34"/>
  <c r="EF459" i="34"/>
  <c r="EG459" i="34"/>
  <c r="EH459" i="34"/>
  <c r="EF460" i="34"/>
  <c r="EG460" i="34"/>
  <c r="EH460" i="34"/>
  <c r="EF461" i="34"/>
  <c r="EG461" i="34"/>
  <c r="EH461" i="34"/>
  <c r="EF462" i="34"/>
  <c r="EG462" i="34"/>
  <c r="EH462" i="34"/>
  <c r="EF463" i="34"/>
  <c r="EG463" i="34"/>
  <c r="EH463" i="34"/>
  <c r="EF464" i="34"/>
  <c r="EG464" i="34"/>
  <c r="EH464" i="34"/>
  <c r="EF465" i="34"/>
  <c r="EG465" i="34"/>
  <c r="EH465" i="34"/>
  <c r="EF466" i="34"/>
  <c r="EG466" i="34"/>
  <c r="EH466" i="34"/>
  <c r="EF467" i="34"/>
  <c r="EG467" i="34"/>
  <c r="EH467" i="34"/>
  <c r="EF468" i="34"/>
  <c r="EG468" i="34"/>
  <c r="EH468" i="34"/>
  <c r="EF469" i="34"/>
  <c r="EG469" i="34"/>
  <c r="EH469" i="34"/>
  <c r="EF470" i="34"/>
  <c r="EG470" i="34"/>
  <c r="EH470" i="34"/>
  <c r="EF471" i="34"/>
  <c r="EG471" i="34"/>
  <c r="EH471" i="34"/>
  <c r="EF472" i="34"/>
  <c r="EG472" i="34"/>
  <c r="EH472" i="34"/>
  <c r="EF473" i="34"/>
  <c r="EG473" i="34"/>
  <c r="EH473" i="34"/>
  <c r="EF474" i="34"/>
  <c r="EG474" i="34"/>
  <c r="EH474" i="34"/>
  <c r="EF475" i="34"/>
  <c r="EG475" i="34"/>
  <c r="EH475" i="34"/>
  <c r="EF476" i="34"/>
  <c r="EG476" i="34"/>
  <c r="EH476" i="34"/>
  <c r="EF477" i="34"/>
  <c r="EG477" i="34"/>
  <c r="EH477" i="34"/>
  <c r="EF478" i="34"/>
  <c r="EG478" i="34"/>
  <c r="EH478" i="34"/>
  <c r="EF479" i="34"/>
  <c r="EG479" i="34"/>
  <c r="EH479" i="34"/>
  <c r="EF480" i="34"/>
  <c r="EG480" i="34"/>
  <c r="EH480" i="34"/>
  <c r="EF481" i="34"/>
  <c r="EG481" i="34"/>
  <c r="EH481" i="34"/>
  <c r="EF482" i="34"/>
  <c r="EG482" i="34"/>
  <c r="EH482" i="34"/>
  <c r="EF483" i="34"/>
  <c r="EG483" i="34"/>
  <c r="EH483" i="34"/>
  <c r="EF484" i="34"/>
  <c r="EG484" i="34"/>
  <c r="EH484" i="34"/>
  <c r="EF485" i="34"/>
  <c r="EG485" i="34"/>
  <c r="EH485" i="34"/>
  <c r="EF486" i="34"/>
  <c r="EG486" i="34"/>
  <c r="EH486" i="34"/>
  <c r="EF487" i="34"/>
  <c r="EG487" i="34"/>
  <c r="EH487" i="34"/>
  <c r="EF488" i="34"/>
  <c r="EG488" i="34"/>
  <c r="EH488" i="34"/>
  <c r="EF489" i="34"/>
  <c r="EG489" i="34"/>
  <c r="EH489" i="34"/>
  <c r="EF490" i="34"/>
  <c r="EG490" i="34"/>
  <c r="EH490" i="34"/>
  <c r="EF491" i="34"/>
  <c r="EG491" i="34"/>
  <c r="EH491" i="34"/>
  <c r="EF492" i="34"/>
  <c r="EG492" i="34"/>
  <c r="EH492" i="34"/>
  <c r="EF493" i="34"/>
  <c r="EG493" i="34"/>
  <c r="EH493" i="34"/>
  <c r="EF494" i="34"/>
  <c r="EG494" i="34"/>
  <c r="EH494" i="34"/>
  <c r="EF495" i="34"/>
  <c r="EG495" i="34"/>
  <c r="EH495" i="34"/>
  <c r="EF496" i="34"/>
  <c r="EG496" i="34"/>
  <c r="EH496" i="34"/>
  <c r="EF497" i="34"/>
  <c r="EG497" i="34"/>
  <c r="EH497" i="34"/>
  <c r="EF498" i="34"/>
  <c r="EG498" i="34"/>
  <c r="EH498" i="34"/>
  <c r="EF499" i="34"/>
  <c r="EG499" i="34"/>
  <c r="EH499" i="34"/>
  <c r="EF500" i="34"/>
  <c r="EG500" i="34"/>
  <c r="EH500" i="34"/>
  <c r="EF501" i="34"/>
  <c r="EG501" i="34"/>
  <c r="EH501" i="34"/>
  <c r="EF502" i="34"/>
  <c r="EG502" i="34"/>
  <c r="EH502" i="34"/>
  <c r="EF503" i="34"/>
  <c r="EG503" i="34"/>
  <c r="EH503" i="34"/>
  <c r="EF504" i="34"/>
  <c r="EG504" i="34"/>
  <c r="EH504" i="34"/>
  <c r="EF505" i="34"/>
  <c r="EG505" i="34"/>
  <c r="EH505" i="34"/>
  <c r="EF506" i="34"/>
  <c r="EG506" i="34"/>
  <c r="EH506" i="34"/>
  <c r="EF507" i="34"/>
  <c r="EG507" i="34"/>
  <c r="EH507" i="34"/>
  <c r="EF508" i="34"/>
  <c r="EG508" i="34"/>
  <c r="EH508" i="34"/>
  <c r="EF509" i="34"/>
  <c r="EG509" i="34"/>
  <c r="EH509" i="34"/>
  <c r="EF510" i="34"/>
  <c r="EG510" i="34"/>
  <c r="EH510" i="34"/>
  <c r="EF511" i="34"/>
  <c r="EG511" i="34"/>
  <c r="EH511" i="34"/>
  <c r="EF512" i="34"/>
  <c r="EG512" i="34"/>
  <c r="EH512" i="34"/>
  <c r="EF513" i="34"/>
  <c r="EG513" i="34"/>
  <c r="EH513" i="34"/>
  <c r="EF514" i="34"/>
  <c r="EG514" i="34"/>
  <c r="EH514" i="34"/>
  <c r="EF515" i="34"/>
  <c r="EG515" i="34"/>
  <c r="EH515" i="34"/>
  <c r="EF516" i="34"/>
  <c r="EG516" i="34"/>
  <c r="EH516" i="34"/>
  <c r="EF517" i="34"/>
  <c r="EG517" i="34"/>
  <c r="EH517" i="34"/>
  <c r="EF518" i="34"/>
  <c r="EG518" i="34"/>
  <c r="EH518" i="34"/>
  <c r="EF519" i="34"/>
  <c r="EG519" i="34"/>
  <c r="EH519" i="34"/>
  <c r="EF520" i="34"/>
  <c r="EG520" i="34"/>
  <c r="EH520" i="34"/>
  <c r="EF521" i="34"/>
  <c r="EG521" i="34"/>
  <c r="EH521" i="34"/>
  <c r="EF522" i="34"/>
  <c r="EG522" i="34"/>
  <c r="EH522" i="34"/>
  <c r="EF523" i="34"/>
  <c r="EG523" i="34"/>
  <c r="EH523" i="34"/>
  <c r="EF524" i="34"/>
  <c r="EG524" i="34"/>
  <c r="EH524" i="34"/>
  <c r="EF525" i="34"/>
  <c r="EG525" i="34"/>
  <c r="EH525" i="34"/>
  <c r="EF526" i="34"/>
  <c r="EG526" i="34"/>
  <c r="EH526" i="34"/>
  <c r="EF527" i="34"/>
  <c r="EG527" i="34"/>
  <c r="EH527" i="34"/>
  <c r="EF528" i="34"/>
  <c r="EG528" i="34"/>
  <c r="EH528" i="34"/>
  <c r="EF529" i="34"/>
  <c r="EG529" i="34"/>
  <c r="EH529" i="34"/>
  <c r="EF530" i="34"/>
  <c r="EG530" i="34"/>
  <c r="EH530" i="34"/>
  <c r="EF531" i="34"/>
  <c r="EG531" i="34"/>
  <c r="EH531" i="34"/>
  <c r="EF532" i="34"/>
  <c r="EG532" i="34"/>
  <c r="EH532" i="34"/>
  <c r="EF533" i="34"/>
  <c r="EG533" i="34"/>
  <c r="EH533" i="34"/>
  <c r="EF534" i="34"/>
  <c r="EG534" i="34"/>
  <c r="EH534" i="34"/>
  <c r="EF535" i="34"/>
  <c r="EG535" i="34"/>
  <c r="EH535" i="34"/>
  <c r="EF536" i="34"/>
  <c r="EG536" i="34"/>
  <c r="EH536" i="34"/>
  <c r="EF537" i="34"/>
  <c r="EG537" i="34"/>
  <c r="EH537" i="34"/>
  <c r="EF538" i="34"/>
  <c r="EG538" i="34"/>
  <c r="EH538" i="34"/>
  <c r="EF539" i="34"/>
  <c r="EG539" i="34"/>
  <c r="EH539" i="34"/>
  <c r="EF540" i="34"/>
  <c r="EG540" i="34"/>
  <c r="EH540" i="34"/>
  <c r="EF541" i="34"/>
  <c r="EG541" i="34"/>
  <c r="EH541" i="34"/>
  <c r="EF542" i="34"/>
  <c r="EG542" i="34"/>
  <c r="EH542" i="34"/>
  <c r="EF543" i="34"/>
  <c r="EG543" i="34"/>
  <c r="EH543" i="34"/>
  <c r="EF544" i="34"/>
  <c r="EG544" i="34"/>
  <c r="EH544" i="34"/>
  <c r="EF545" i="34"/>
  <c r="EG545" i="34"/>
  <c r="EH545" i="34"/>
  <c r="EF546" i="34"/>
  <c r="EG546" i="34"/>
  <c r="EH546" i="34"/>
  <c r="EF547" i="34"/>
  <c r="EG547" i="34"/>
  <c r="EH547" i="34"/>
  <c r="EF548" i="34"/>
  <c r="EG548" i="34"/>
  <c r="EH548" i="34"/>
  <c r="EF549" i="34"/>
  <c r="EG549" i="34"/>
  <c r="EH549" i="34"/>
  <c r="EF550" i="34"/>
  <c r="EG550" i="34"/>
  <c r="EH550" i="34"/>
  <c r="EF551" i="34"/>
  <c r="EG551" i="34"/>
  <c r="EH551" i="34"/>
  <c r="EF552" i="34"/>
  <c r="EG552" i="34"/>
  <c r="EH552" i="34"/>
  <c r="EF553" i="34"/>
  <c r="EG553" i="34"/>
  <c r="EH553" i="34"/>
  <c r="EF554" i="34"/>
  <c r="EG554" i="34"/>
  <c r="EH554" i="34"/>
  <c r="EF555" i="34"/>
  <c r="EG555" i="34"/>
  <c r="EH555" i="34"/>
  <c r="EF556" i="34"/>
  <c r="EG556" i="34"/>
  <c r="EH556" i="34"/>
  <c r="EF557" i="34"/>
  <c r="EG557" i="34"/>
  <c r="EH557" i="34"/>
  <c r="EF558" i="34"/>
  <c r="EG558" i="34"/>
  <c r="EH558" i="34"/>
  <c r="EF559" i="34"/>
  <c r="EG559" i="34"/>
  <c r="EH559" i="34"/>
  <c r="EF560" i="34"/>
  <c r="EG560" i="34"/>
  <c r="EH560" i="34"/>
  <c r="EF561" i="34"/>
  <c r="EG561" i="34"/>
  <c r="EH561" i="34"/>
  <c r="EF562" i="34"/>
  <c r="EG562" i="34"/>
  <c r="EH562" i="34"/>
  <c r="EF563" i="34"/>
  <c r="EG563" i="34"/>
  <c r="EH563" i="34"/>
  <c r="EF564" i="34"/>
  <c r="EG564" i="34"/>
  <c r="EH564" i="34"/>
  <c r="EF565" i="34"/>
  <c r="EG565" i="34"/>
  <c r="EH565" i="34"/>
  <c r="EF566" i="34"/>
  <c r="EG566" i="34"/>
  <c r="EH566" i="34"/>
  <c r="EF567" i="34"/>
  <c r="EG567" i="34"/>
  <c r="EH567" i="34"/>
  <c r="EF568" i="34"/>
  <c r="EG568" i="34"/>
  <c r="EH568" i="34"/>
  <c r="EF569" i="34"/>
  <c r="EG569" i="34"/>
  <c r="EH569" i="34"/>
  <c r="EF570" i="34"/>
  <c r="EG570" i="34"/>
  <c r="EH570" i="34"/>
  <c r="EF571" i="34"/>
  <c r="EG571" i="34"/>
  <c r="EH571" i="34"/>
  <c r="EF572" i="34"/>
  <c r="EG572" i="34"/>
  <c r="EH572" i="34"/>
  <c r="EF573" i="34"/>
  <c r="EG573" i="34"/>
  <c r="EH573" i="34"/>
  <c r="EF574" i="34"/>
  <c r="EG574" i="34"/>
  <c r="EH574" i="34"/>
  <c r="EF575" i="34"/>
  <c r="EG575" i="34"/>
  <c r="EH575" i="34"/>
  <c r="EF576" i="34"/>
  <c r="EG576" i="34"/>
  <c r="EH576" i="34"/>
  <c r="EF577" i="34"/>
  <c r="EG577" i="34"/>
  <c r="EH577" i="34"/>
  <c r="EF578" i="34"/>
  <c r="EG578" i="34"/>
  <c r="EH578" i="34"/>
  <c r="EF579" i="34"/>
  <c r="EG579" i="34"/>
  <c r="EH579" i="34"/>
  <c r="EF580" i="34"/>
  <c r="EG580" i="34"/>
  <c r="EH580" i="34"/>
  <c r="EF581" i="34"/>
  <c r="EG581" i="34"/>
  <c r="EH581" i="34"/>
  <c r="EF582" i="34"/>
  <c r="EG582" i="34"/>
  <c r="EH582" i="34"/>
  <c r="EF583" i="34"/>
  <c r="EG583" i="34"/>
  <c r="EH583" i="34"/>
  <c r="EF584" i="34"/>
  <c r="EG584" i="34"/>
  <c r="EH584" i="34"/>
  <c r="EF585" i="34"/>
  <c r="EG585" i="34"/>
  <c r="EH585" i="34"/>
  <c r="EF586" i="34"/>
  <c r="EG586" i="34"/>
  <c r="EH586" i="34"/>
  <c r="EF587" i="34"/>
  <c r="EG587" i="34"/>
  <c r="EH587" i="34"/>
  <c r="EF588" i="34"/>
  <c r="EG588" i="34"/>
  <c r="EH588" i="34"/>
  <c r="EF589" i="34"/>
  <c r="EG589" i="34"/>
  <c r="EH589" i="34"/>
  <c r="EF590" i="34"/>
  <c r="EG590" i="34"/>
  <c r="EH590" i="34"/>
  <c r="EF591" i="34"/>
  <c r="EG591" i="34"/>
  <c r="EH591" i="34"/>
  <c r="EF592" i="34"/>
  <c r="EG592" i="34"/>
  <c r="EH592" i="34"/>
  <c r="EF593" i="34"/>
  <c r="EG593" i="34"/>
  <c r="EH593" i="34"/>
  <c r="EF594" i="34"/>
  <c r="EG594" i="34"/>
  <c r="EH594" i="34"/>
  <c r="EF595" i="34"/>
  <c r="EG595" i="34"/>
  <c r="EH595" i="34"/>
  <c r="EF596" i="34"/>
  <c r="EG596" i="34"/>
  <c r="EH596" i="34"/>
  <c r="EF597" i="34"/>
  <c r="EG597" i="34"/>
  <c r="EH597" i="34"/>
  <c r="EF598" i="34"/>
  <c r="EG598" i="34"/>
  <c r="EH598" i="34"/>
  <c r="EF599" i="34"/>
  <c r="EG599" i="34"/>
  <c r="EH599" i="34"/>
  <c r="EF600" i="34"/>
  <c r="EG600" i="34"/>
  <c r="EH600" i="34"/>
  <c r="EF601" i="34"/>
  <c r="EG601" i="34"/>
  <c r="EH601" i="34"/>
  <c r="EF602" i="34"/>
  <c r="EG602" i="34"/>
  <c r="EH602" i="34"/>
  <c r="EF603" i="34"/>
  <c r="EG603" i="34"/>
  <c r="EH603" i="34"/>
  <c r="EF604" i="34"/>
  <c r="EG604" i="34"/>
  <c r="EH604" i="34"/>
  <c r="EF605" i="34"/>
  <c r="EG605" i="34"/>
  <c r="EH605" i="34"/>
  <c r="EF606" i="34"/>
  <c r="EG606" i="34"/>
  <c r="EH606" i="34"/>
  <c r="EF607" i="34"/>
  <c r="EG607" i="34"/>
  <c r="EH607" i="34"/>
  <c r="EF608" i="34"/>
  <c r="EG608" i="34"/>
  <c r="EH608" i="34"/>
  <c r="EF609" i="34"/>
  <c r="EG609" i="34"/>
  <c r="EH609" i="34"/>
  <c r="EF610" i="34"/>
  <c r="EG610" i="34"/>
  <c r="EH610" i="34"/>
  <c r="EF611" i="34"/>
  <c r="EG611" i="34"/>
  <c r="EH611" i="34"/>
  <c r="EF612" i="34"/>
  <c r="EG612" i="34"/>
  <c r="EH612" i="34"/>
  <c r="EF613" i="34"/>
  <c r="EG613" i="34"/>
  <c r="EH613" i="34"/>
  <c r="EF614" i="34"/>
  <c r="EG614" i="34"/>
  <c r="EH614" i="34"/>
  <c r="EF615" i="34"/>
  <c r="EG615" i="34"/>
  <c r="EH615" i="34"/>
  <c r="EF616" i="34"/>
  <c r="EG616" i="34"/>
  <c r="EH616" i="34"/>
  <c r="EF617" i="34"/>
  <c r="EG617" i="34"/>
  <c r="EH617" i="34"/>
  <c r="EF618" i="34"/>
  <c r="EG618" i="34"/>
  <c r="EH618" i="34"/>
  <c r="EF619" i="34"/>
  <c r="EG619" i="34"/>
  <c r="EH619" i="34"/>
  <c r="EF620" i="34"/>
  <c r="EG620" i="34"/>
  <c r="EH620" i="34"/>
  <c r="EF621" i="34"/>
  <c r="EG621" i="34"/>
  <c r="EH621" i="34"/>
  <c r="EF622" i="34"/>
  <c r="EG622" i="34"/>
  <c r="EH622" i="34"/>
  <c r="EF623" i="34"/>
  <c r="EG623" i="34"/>
  <c r="EH623" i="34"/>
  <c r="EF624" i="34"/>
  <c r="EG624" i="34"/>
  <c r="EH624" i="34"/>
  <c r="EF625" i="34"/>
  <c r="EG625" i="34"/>
  <c r="EH625" i="34"/>
  <c r="EF626" i="34"/>
  <c r="EG626" i="34"/>
  <c r="EH626" i="34"/>
  <c r="EF627" i="34"/>
  <c r="EG627" i="34"/>
  <c r="EH627" i="34"/>
  <c r="EF628" i="34"/>
  <c r="EG628" i="34"/>
  <c r="EH628" i="34"/>
  <c r="EF629" i="34"/>
  <c r="EG629" i="34"/>
  <c r="EH629" i="34"/>
  <c r="EF630" i="34"/>
  <c r="EG630" i="34"/>
  <c r="EH630" i="34"/>
  <c r="EF631" i="34"/>
  <c r="EG631" i="34"/>
  <c r="EH631" i="34"/>
  <c r="EF632" i="34"/>
  <c r="EG632" i="34"/>
  <c r="EH632" i="34"/>
  <c r="EF633" i="34"/>
  <c r="EG633" i="34"/>
  <c r="EH633" i="34"/>
  <c r="EF634" i="34"/>
  <c r="EG634" i="34"/>
  <c r="EH634" i="34"/>
  <c r="EF635" i="34"/>
  <c r="EG635" i="34"/>
  <c r="EH635" i="34"/>
  <c r="EF636" i="34"/>
  <c r="EG636" i="34"/>
  <c r="EH636" i="34"/>
  <c r="EF637" i="34"/>
  <c r="EG637" i="34"/>
  <c r="EH637" i="34"/>
  <c r="EF638" i="34"/>
  <c r="EG638" i="34"/>
  <c r="EH638" i="34"/>
  <c r="EF639" i="34"/>
  <c r="EG639" i="34"/>
  <c r="EH639" i="34"/>
  <c r="EF640" i="34"/>
  <c r="EG640" i="34"/>
  <c r="EH640" i="34"/>
  <c r="EF641" i="34"/>
  <c r="EG641" i="34"/>
  <c r="EH641" i="34"/>
  <c r="EF642" i="34"/>
  <c r="EG642" i="34"/>
  <c r="EH642" i="34"/>
  <c r="EF643" i="34"/>
  <c r="EG643" i="34"/>
  <c r="EH643" i="34"/>
  <c r="EF644" i="34"/>
  <c r="EG644" i="34"/>
  <c r="EH644" i="34"/>
  <c r="EF645" i="34"/>
  <c r="EG645" i="34"/>
  <c r="EH645" i="34"/>
  <c r="EF646" i="34"/>
  <c r="EG646" i="34"/>
  <c r="EH646" i="34"/>
  <c r="EF647" i="34"/>
  <c r="EG647" i="34"/>
  <c r="EH647" i="34"/>
  <c r="EF648" i="34"/>
  <c r="EG648" i="34"/>
  <c r="EH648" i="34"/>
  <c r="EF649" i="34"/>
  <c r="EG649" i="34"/>
  <c r="EH649" i="34"/>
  <c r="EF650" i="34"/>
  <c r="EG650" i="34"/>
  <c r="EH650" i="34"/>
  <c r="EF651" i="34"/>
  <c r="EG651" i="34"/>
  <c r="EH651" i="34"/>
  <c r="EF652" i="34"/>
  <c r="EG652" i="34"/>
  <c r="EH652" i="34"/>
  <c r="EF653" i="34"/>
  <c r="EG653" i="34"/>
  <c r="EH653" i="34"/>
  <c r="EF654" i="34"/>
  <c r="EG654" i="34"/>
  <c r="EH654" i="34"/>
  <c r="EF655" i="34"/>
  <c r="EG655" i="34"/>
  <c r="EH655" i="34"/>
  <c r="EF656" i="34"/>
  <c r="EG656" i="34"/>
  <c r="EH656" i="34"/>
  <c r="EF657" i="34"/>
  <c r="EG657" i="34"/>
  <c r="EH657" i="34"/>
  <c r="EF658" i="34"/>
  <c r="EG658" i="34"/>
  <c r="EH658" i="34"/>
  <c r="EF659" i="34"/>
  <c r="EG659" i="34"/>
  <c r="EH659" i="34"/>
  <c r="EF660" i="34"/>
  <c r="EG660" i="34"/>
  <c r="EH660" i="34"/>
  <c r="EF661" i="34"/>
  <c r="EG661" i="34"/>
  <c r="EH661" i="34"/>
  <c r="EF662" i="34"/>
  <c r="EG662" i="34"/>
  <c r="EH662" i="34"/>
  <c r="EF663" i="34"/>
  <c r="EG663" i="34"/>
  <c r="EH663" i="34"/>
  <c r="EF664" i="34"/>
  <c r="EG664" i="34"/>
  <c r="EH664" i="34"/>
  <c r="EF665" i="34"/>
  <c r="EG665" i="34"/>
  <c r="EH665" i="34"/>
  <c r="EF666" i="34"/>
  <c r="EG666" i="34"/>
  <c r="EH666" i="34"/>
  <c r="EF667" i="34"/>
  <c r="EG667" i="34"/>
  <c r="EH667" i="34"/>
  <c r="EF668" i="34"/>
  <c r="EG668" i="34"/>
  <c r="EH668" i="34"/>
  <c r="EF669" i="34"/>
  <c r="EG669" i="34"/>
  <c r="EH669" i="34"/>
  <c r="EF670" i="34"/>
  <c r="EG670" i="34"/>
  <c r="EH670" i="34"/>
  <c r="EF671" i="34"/>
  <c r="EG671" i="34"/>
  <c r="EH671" i="34"/>
  <c r="EF672" i="34"/>
  <c r="EG672" i="34"/>
  <c r="EH672" i="34"/>
  <c r="EF673" i="34"/>
  <c r="EG673" i="34"/>
  <c r="EH673" i="34"/>
  <c r="EF674" i="34"/>
  <c r="EG674" i="34"/>
  <c r="EH674" i="34"/>
  <c r="EF675" i="34"/>
  <c r="EG675" i="34"/>
  <c r="EH675" i="34"/>
  <c r="EF676" i="34"/>
  <c r="EG676" i="34"/>
  <c r="EH676" i="34"/>
  <c r="EF677" i="34"/>
  <c r="EG677" i="34"/>
  <c r="EH677" i="34"/>
  <c r="EF678" i="34"/>
  <c r="EG678" i="34"/>
  <c r="EH678" i="34"/>
  <c r="EF679" i="34"/>
  <c r="EG679" i="34"/>
  <c r="EH679" i="34"/>
  <c r="EF680" i="34"/>
  <c r="EG680" i="34"/>
  <c r="EH680" i="34"/>
  <c r="EF681" i="34"/>
  <c r="EG681" i="34"/>
  <c r="EH681" i="34"/>
  <c r="EF682" i="34"/>
  <c r="EG682" i="34"/>
  <c r="EH682" i="34"/>
  <c r="EF683" i="34"/>
  <c r="EG683" i="34"/>
  <c r="EH683" i="34"/>
  <c r="EF684" i="34"/>
  <c r="EG684" i="34"/>
  <c r="EH684" i="34"/>
  <c r="EF685" i="34"/>
  <c r="EG685" i="34"/>
  <c r="EH685" i="34"/>
  <c r="EF686" i="34"/>
  <c r="EG686" i="34"/>
  <c r="EH686" i="34"/>
  <c r="EF687" i="34"/>
  <c r="EG687" i="34"/>
  <c r="EH687" i="34"/>
  <c r="EF688" i="34"/>
  <c r="EG688" i="34"/>
  <c r="EH688" i="34"/>
  <c r="EF689" i="34"/>
  <c r="EG689" i="34"/>
  <c r="EH689" i="34"/>
  <c r="EF690" i="34"/>
  <c r="EG690" i="34"/>
  <c r="EH690" i="34"/>
  <c r="EF691" i="34"/>
  <c r="EG691" i="34"/>
  <c r="EH691" i="34"/>
  <c r="EF692" i="34"/>
  <c r="EG692" i="34"/>
  <c r="EH692" i="34"/>
  <c r="EF693" i="34"/>
  <c r="EG693" i="34"/>
  <c r="EH693" i="34"/>
  <c r="EF694" i="34"/>
  <c r="EG694" i="34"/>
  <c r="EH694" i="34"/>
  <c r="EF695" i="34"/>
  <c r="EG695" i="34"/>
  <c r="EH695" i="34"/>
  <c r="EF696" i="34"/>
  <c r="EG696" i="34"/>
  <c r="EH696" i="34"/>
  <c r="EF697" i="34"/>
  <c r="EG697" i="34"/>
  <c r="EH697" i="34"/>
  <c r="EF698" i="34"/>
  <c r="EG698" i="34"/>
  <c r="EH698" i="34"/>
  <c r="EF699" i="34"/>
  <c r="EG699" i="34"/>
  <c r="EH699" i="34"/>
  <c r="EF700" i="34"/>
  <c r="EG700" i="34"/>
  <c r="EH700" i="34"/>
  <c r="EF701" i="34"/>
  <c r="EG701" i="34"/>
  <c r="EH701" i="34"/>
  <c r="EF702" i="34"/>
  <c r="EG702" i="34"/>
  <c r="EH702" i="34"/>
  <c r="EF703" i="34"/>
  <c r="EG703" i="34"/>
  <c r="EH703" i="34"/>
  <c r="EF704" i="34"/>
  <c r="EG704" i="34"/>
  <c r="EH704" i="34"/>
  <c r="EF705" i="34"/>
  <c r="EG705" i="34"/>
  <c r="EH705" i="34"/>
  <c r="EF706" i="34"/>
  <c r="EG706" i="34"/>
  <c r="EH706" i="34"/>
  <c r="EF707" i="34"/>
  <c r="EG707" i="34"/>
  <c r="EH707" i="34"/>
  <c r="EF708" i="34"/>
  <c r="EG708" i="34"/>
  <c r="EH708" i="34"/>
  <c r="EF709" i="34"/>
  <c r="EG709" i="34"/>
  <c r="EH709" i="34"/>
  <c r="EF710" i="34"/>
  <c r="EG710" i="34"/>
  <c r="EH710" i="34"/>
  <c r="EF711" i="34"/>
  <c r="EG711" i="34"/>
  <c r="EH711" i="34"/>
  <c r="EF712" i="34"/>
  <c r="EG712" i="34"/>
  <c r="EH712" i="34"/>
  <c r="EF713" i="34"/>
  <c r="EG713" i="34"/>
  <c r="EH713" i="34"/>
  <c r="EF714" i="34"/>
  <c r="EG714" i="34"/>
  <c r="EH714" i="34"/>
  <c r="EF715" i="34"/>
  <c r="EG715" i="34"/>
  <c r="EH715" i="34"/>
  <c r="EF716" i="34"/>
  <c r="EG716" i="34"/>
  <c r="EH716" i="34"/>
  <c r="EF717" i="34"/>
  <c r="EG717" i="34"/>
  <c r="EH717" i="34"/>
  <c r="EF718" i="34"/>
  <c r="EG718" i="34"/>
  <c r="EH718" i="34"/>
  <c r="EF719" i="34"/>
  <c r="EG719" i="34"/>
  <c r="EH719" i="34"/>
  <c r="EF720" i="34"/>
  <c r="EG720" i="34"/>
  <c r="EH720" i="34"/>
  <c r="EF721" i="34"/>
  <c r="EG721" i="34"/>
  <c r="EH721" i="34"/>
  <c r="EF722" i="34"/>
  <c r="EG722" i="34"/>
  <c r="EH722" i="34"/>
  <c r="EF723" i="34"/>
  <c r="EG723" i="34"/>
  <c r="EH723" i="34"/>
  <c r="EF724" i="34"/>
  <c r="EG724" i="34"/>
  <c r="EH724" i="34"/>
  <c r="EF725" i="34"/>
  <c r="EG725" i="34"/>
  <c r="EH725" i="34"/>
  <c r="EF726" i="34"/>
  <c r="EG726" i="34"/>
  <c r="EH726" i="34"/>
  <c r="EF727" i="34"/>
  <c r="EG727" i="34"/>
  <c r="EH727" i="34"/>
  <c r="EF728" i="34"/>
  <c r="EG728" i="34"/>
  <c r="EH728" i="34"/>
  <c r="EF729" i="34"/>
  <c r="EG729" i="34"/>
  <c r="EH729" i="34"/>
  <c r="EF730" i="34"/>
  <c r="EG730" i="34"/>
  <c r="EH730" i="34"/>
  <c r="EF731" i="34"/>
  <c r="EG731" i="34"/>
  <c r="EH731" i="34"/>
  <c r="EF732" i="34"/>
  <c r="EG732" i="34"/>
  <c r="EH732" i="34"/>
  <c r="EF733" i="34"/>
  <c r="EG733" i="34"/>
  <c r="EH733" i="34"/>
  <c r="EF734" i="34"/>
  <c r="EG734" i="34"/>
  <c r="EH734" i="34"/>
  <c r="EF735" i="34"/>
  <c r="EG735" i="34"/>
  <c r="EH735" i="34"/>
  <c r="EF736" i="34"/>
  <c r="EG736" i="34"/>
  <c r="EH736" i="34"/>
  <c r="EF737" i="34"/>
  <c r="EG737" i="34"/>
  <c r="EH737" i="34"/>
  <c r="EF738" i="34"/>
  <c r="EG738" i="34"/>
  <c r="EH738" i="34"/>
  <c r="EF739" i="34"/>
  <c r="EG739" i="34"/>
  <c r="EH739" i="34"/>
  <c r="EF740" i="34"/>
  <c r="EG740" i="34"/>
  <c r="EH740" i="34"/>
  <c r="EF741" i="34"/>
  <c r="EG741" i="34"/>
  <c r="EH741" i="34"/>
  <c r="EF742" i="34"/>
  <c r="EG742" i="34"/>
  <c r="EH742" i="34"/>
  <c r="EF743" i="34"/>
  <c r="EG743" i="34"/>
  <c r="EH743" i="34"/>
  <c r="EF744" i="34"/>
  <c r="EG744" i="34"/>
  <c r="EH744" i="34"/>
  <c r="EF745" i="34"/>
  <c r="EG745" i="34"/>
  <c r="EH745" i="34"/>
  <c r="EF746" i="34"/>
  <c r="EG746" i="34"/>
  <c r="EH746" i="34"/>
  <c r="EF747" i="34"/>
  <c r="EG747" i="34"/>
  <c r="EH747" i="34"/>
  <c r="EF748" i="34"/>
  <c r="EG748" i="34"/>
  <c r="EH748" i="34"/>
  <c r="EF749" i="34"/>
  <c r="EG749" i="34"/>
  <c r="EH749" i="34"/>
  <c r="EF750" i="34"/>
  <c r="EG750" i="34"/>
  <c r="EH750" i="34"/>
  <c r="EF751" i="34"/>
  <c r="EG751" i="34"/>
  <c r="EH751" i="34"/>
  <c r="EF752" i="34"/>
  <c r="EG752" i="34"/>
  <c r="EH752" i="34"/>
  <c r="EF753" i="34"/>
  <c r="EG753" i="34"/>
  <c r="EH753" i="34"/>
  <c r="EF754" i="34"/>
  <c r="EG754" i="34"/>
  <c r="EH754" i="34"/>
  <c r="EF755" i="34"/>
  <c r="EG755" i="34"/>
  <c r="EH755" i="34"/>
  <c r="EF756" i="34"/>
  <c r="EG756" i="34"/>
  <c r="EH756" i="34"/>
  <c r="EF757" i="34"/>
  <c r="EG757" i="34"/>
  <c r="EH757" i="34"/>
  <c r="EF758" i="34"/>
  <c r="EG758" i="34"/>
  <c r="EH758" i="34"/>
  <c r="EF759" i="34"/>
  <c r="EG759" i="34"/>
  <c r="EH759" i="34"/>
  <c r="EF760" i="34"/>
  <c r="EG760" i="34"/>
  <c r="EH760" i="34"/>
  <c r="EF761" i="34"/>
  <c r="EG761" i="34"/>
  <c r="EH761" i="34"/>
  <c r="EF762" i="34"/>
  <c r="EG762" i="34"/>
  <c r="EH762" i="34"/>
  <c r="EF763" i="34"/>
  <c r="EG763" i="34"/>
  <c r="EH763" i="34"/>
  <c r="EF764" i="34"/>
  <c r="EG764" i="34"/>
  <c r="EH764" i="34"/>
  <c r="EF765" i="34"/>
  <c r="EG765" i="34"/>
  <c r="EH765" i="34"/>
  <c r="EF766" i="34"/>
  <c r="EG766" i="34"/>
  <c r="EH766" i="34"/>
  <c r="EF767" i="34"/>
  <c r="EG767" i="34"/>
  <c r="EH767" i="34"/>
  <c r="EF768" i="34"/>
  <c r="EG768" i="34"/>
  <c r="EH768" i="34"/>
  <c r="EF769" i="34"/>
  <c r="EG769" i="34"/>
  <c r="EH769" i="34"/>
  <c r="EF770" i="34"/>
  <c r="EG770" i="34"/>
  <c r="EH770" i="34"/>
  <c r="EF771" i="34"/>
  <c r="EG771" i="34"/>
  <c r="EH771" i="34"/>
  <c r="EF772" i="34"/>
  <c r="EG772" i="34"/>
  <c r="EH772" i="34"/>
  <c r="EF773" i="34"/>
  <c r="EG773" i="34"/>
  <c r="EH773" i="34"/>
  <c r="EF774" i="34"/>
  <c r="EG774" i="34"/>
  <c r="EH774" i="34"/>
  <c r="EF775" i="34"/>
  <c r="EG775" i="34"/>
  <c r="EH775" i="34"/>
  <c r="EF776" i="34"/>
  <c r="EG776" i="34"/>
  <c r="EH776" i="34"/>
  <c r="EF777" i="34"/>
  <c r="EG777" i="34"/>
  <c r="EH777" i="34"/>
  <c r="EF778" i="34"/>
  <c r="EG778" i="34"/>
  <c r="EH778" i="34"/>
  <c r="EF779" i="34"/>
  <c r="EG779" i="34"/>
  <c r="EH779" i="34"/>
  <c r="EF780" i="34"/>
  <c r="EG780" i="34"/>
  <c r="EH780" i="34"/>
  <c r="EF781" i="34"/>
  <c r="EG781" i="34"/>
  <c r="EH781" i="34"/>
  <c r="EF782" i="34"/>
  <c r="EG782" i="34"/>
  <c r="EH782" i="34"/>
  <c r="EF783" i="34"/>
  <c r="EG783" i="34"/>
  <c r="EH783" i="34"/>
  <c r="EF784" i="34"/>
  <c r="EG784" i="34"/>
  <c r="EH784" i="34"/>
  <c r="EF785" i="34"/>
  <c r="EG785" i="34"/>
  <c r="EH785" i="34"/>
  <c r="EF786" i="34"/>
  <c r="EG786" i="34"/>
  <c r="EH786" i="34"/>
  <c r="EF787" i="34"/>
  <c r="EG787" i="34"/>
  <c r="EH787" i="34"/>
  <c r="EF788" i="34"/>
  <c r="EG788" i="34"/>
  <c r="EH788" i="34"/>
  <c r="EF789" i="34"/>
  <c r="EG789" i="34"/>
  <c r="EH789" i="34"/>
  <c r="EF790" i="34"/>
  <c r="EG790" i="34"/>
  <c r="EH790" i="34"/>
  <c r="EF791" i="34"/>
  <c r="EG791" i="34"/>
  <c r="EH791" i="34"/>
  <c r="EF792" i="34"/>
  <c r="EG792" i="34"/>
  <c r="EH792" i="34"/>
  <c r="EF793" i="34"/>
  <c r="EG793" i="34"/>
  <c r="EH793" i="34"/>
  <c r="EF794" i="34"/>
  <c r="EG794" i="34"/>
  <c r="EH794" i="34"/>
  <c r="EF795" i="34"/>
  <c r="EG795" i="34"/>
  <c r="EH795" i="34"/>
  <c r="EF796" i="34"/>
  <c r="EG796" i="34"/>
  <c r="EH796" i="34"/>
  <c r="EF797" i="34"/>
  <c r="EG797" i="34"/>
  <c r="EH797" i="34"/>
  <c r="EF798" i="34"/>
  <c r="EG798" i="34"/>
  <c r="EH798" i="34"/>
  <c r="EF799" i="34"/>
  <c r="EG799" i="34"/>
  <c r="EH799" i="34"/>
  <c r="EF800" i="34"/>
  <c r="EG800" i="34"/>
  <c r="EH800" i="34"/>
  <c r="EF801" i="34"/>
  <c r="EG801" i="34"/>
  <c r="EH801" i="34"/>
  <c r="EF802" i="34"/>
  <c r="EG802" i="34"/>
  <c r="EH802" i="34"/>
  <c r="EF803" i="34"/>
  <c r="EG803" i="34"/>
  <c r="EH803" i="34"/>
  <c r="EF804" i="34"/>
  <c r="EG804" i="34"/>
  <c r="EH804" i="34"/>
  <c r="EF805" i="34"/>
  <c r="EG805" i="34"/>
  <c r="EH805" i="34"/>
  <c r="EF806" i="34"/>
  <c r="EG806" i="34"/>
  <c r="EH806" i="34"/>
  <c r="EF807" i="34"/>
  <c r="EG807" i="34"/>
  <c r="EH807" i="34"/>
  <c r="EF808" i="34"/>
  <c r="EG808" i="34"/>
  <c r="EH808" i="34"/>
  <c r="EF809" i="34"/>
  <c r="EG809" i="34"/>
  <c r="EH809" i="34"/>
  <c r="EF810" i="34"/>
  <c r="EG810" i="34"/>
  <c r="EH810" i="34"/>
  <c r="EF811" i="34"/>
  <c r="EG811" i="34"/>
  <c r="EH811" i="34"/>
  <c r="EF812" i="34"/>
  <c r="EG812" i="34"/>
  <c r="EH812" i="34"/>
  <c r="EF813" i="34"/>
  <c r="EG813" i="34"/>
  <c r="EH813" i="34"/>
  <c r="EF814" i="34"/>
  <c r="EG814" i="34"/>
  <c r="EH814" i="34"/>
  <c r="EF815" i="34"/>
  <c r="EG815" i="34"/>
  <c r="EH815" i="34"/>
  <c r="EF816" i="34"/>
  <c r="EG816" i="34"/>
  <c r="EH816" i="34"/>
  <c r="EF817" i="34"/>
  <c r="EG817" i="34"/>
  <c r="EH817" i="34"/>
  <c r="EF818" i="34"/>
  <c r="EG818" i="34"/>
  <c r="EH818" i="34"/>
  <c r="EF819" i="34"/>
  <c r="EG819" i="34"/>
  <c r="EH819" i="34"/>
  <c r="EF820" i="34"/>
  <c r="EG820" i="34"/>
  <c r="EH820" i="34"/>
  <c r="EF821" i="34"/>
  <c r="EG821" i="34"/>
  <c r="EH821" i="34"/>
  <c r="EF822" i="34"/>
  <c r="EG822" i="34"/>
  <c r="EH822" i="34"/>
  <c r="EF823" i="34"/>
  <c r="EG823" i="34"/>
  <c r="EH823" i="34"/>
  <c r="EF824" i="34"/>
  <c r="EG824" i="34"/>
  <c r="EH824" i="34"/>
  <c r="EF825" i="34"/>
  <c r="EG825" i="34"/>
  <c r="EH825" i="34"/>
  <c r="EF826" i="34"/>
  <c r="EG826" i="34"/>
  <c r="EH826" i="34"/>
  <c r="EF827" i="34"/>
  <c r="EG827" i="34"/>
  <c r="EH827" i="34"/>
  <c r="EF828" i="34"/>
  <c r="EG828" i="34"/>
  <c r="EH828" i="34"/>
  <c r="EF829" i="34"/>
  <c r="EG829" i="34"/>
  <c r="EH829" i="34"/>
  <c r="EF830" i="34"/>
  <c r="EG830" i="34"/>
  <c r="EH830" i="34"/>
  <c r="EF831" i="34"/>
  <c r="EG831" i="34"/>
  <c r="EH831" i="34"/>
  <c r="EF832" i="34"/>
  <c r="EG832" i="34"/>
  <c r="EH832" i="34"/>
  <c r="EF833" i="34"/>
  <c r="EG833" i="34"/>
  <c r="EH833" i="34"/>
  <c r="EF834" i="34"/>
  <c r="EG834" i="34"/>
  <c r="EH834" i="34"/>
  <c r="EF835" i="34"/>
  <c r="EG835" i="34"/>
  <c r="EH835" i="34"/>
  <c r="EF836" i="34"/>
  <c r="EG836" i="34"/>
  <c r="EH836" i="34"/>
  <c r="EF837" i="34"/>
  <c r="EG837" i="34"/>
  <c r="EH837" i="34"/>
  <c r="EF838" i="34"/>
  <c r="EG838" i="34"/>
  <c r="EH838" i="34"/>
  <c r="EF839" i="34"/>
  <c r="EG839" i="34"/>
  <c r="EH839" i="34"/>
  <c r="EF840" i="34"/>
  <c r="EG840" i="34"/>
  <c r="EH840" i="34"/>
  <c r="EF841" i="34"/>
  <c r="EG841" i="34"/>
  <c r="EH841" i="34"/>
  <c r="EF842" i="34"/>
  <c r="EG842" i="34"/>
  <c r="EH842" i="34"/>
  <c r="EF843" i="34"/>
  <c r="EG843" i="34"/>
  <c r="EH843" i="34"/>
  <c r="EF844" i="34"/>
  <c r="EG844" i="34"/>
  <c r="EH844" i="34"/>
  <c r="EF845" i="34"/>
  <c r="EG845" i="34"/>
  <c r="EH845" i="34"/>
  <c r="EF846" i="34"/>
  <c r="EG846" i="34"/>
  <c r="EH846" i="34"/>
  <c r="EF847" i="34"/>
  <c r="EG847" i="34"/>
  <c r="EH847" i="34"/>
  <c r="EF848" i="34"/>
  <c r="EG848" i="34"/>
  <c r="EH848" i="34"/>
  <c r="EF849" i="34"/>
  <c r="EG849" i="34"/>
  <c r="EH849" i="34"/>
  <c r="EF850" i="34"/>
  <c r="EG850" i="34"/>
  <c r="EH850" i="34"/>
  <c r="EF851" i="34"/>
  <c r="EG851" i="34"/>
  <c r="EH851" i="34"/>
  <c r="EF852" i="34"/>
  <c r="EG852" i="34"/>
  <c r="EH852" i="34"/>
  <c r="EF853" i="34"/>
  <c r="EG853" i="34"/>
  <c r="EH853" i="34"/>
  <c r="EF854" i="34"/>
  <c r="EG854" i="34"/>
  <c r="EH854" i="34"/>
  <c r="EF855" i="34"/>
  <c r="EG855" i="34"/>
  <c r="EH855" i="34"/>
  <c r="EF856" i="34"/>
  <c r="EG856" i="34"/>
  <c r="EH856" i="34"/>
  <c r="EF857" i="34"/>
  <c r="EG857" i="34"/>
  <c r="EH857" i="34"/>
  <c r="EF858" i="34"/>
  <c r="EG858" i="34"/>
  <c r="EH858" i="34"/>
  <c r="EF859" i="34"/>
  <c r="EG859" i="34"/>
  <c r="EH859" i="34"/>
  <c r="EF860" i="34"/>
  <c r="EG860" i="34"/>
  <c r="EH860" i="34"/>
  <c r="EF861" i="34"/>
  <c r="EG861" i="34"/>
  <c r="EH861" i="34"/>
  <c r="EF862" i="34"/>
  <c r="EG862" i="34"/>
  <c r="EH862" i="34"/>
  <c r="EF863" i="34"/>
  <c r="EG863" i="34"/>
  <c r="EH863" i="34"/>
  <c r="EF864" i="34"/>
  <c r="EG864" i="34"/>
  <c r="EH864" i="34"/>
  <c r="EF865" i="34"/>
  <c r="EG865" i="34"/>
  <c r="EH865" i="34"/>
  <c r="EF866" i="34"/>
  <c r="EG866" i="34"/>
  <c r="EH866" i="34"/>
  <c r="EF867" i="34"/>
  <c r="EG867" i="34"/>
  <c r="EH867" i="34"/>
  <c r="EF868" i="34"/>
  <c r="EG868" i="34"/>
  <c r="EH868" i="34"/>
  <c r="EF869" i="34"/>
  <c r="EG869" i="34"/>
  <c r="EH869" i="34"/>
  <c r="EF870" i="34"/>
  <c r="EG870" i="34"/>
  <c r="EH870" i="34"/>
  <c r="EF871" i="34"/>
  <c r="EG871" i="34"/>
  <c r="EH871" i="34"/>
  <c r="EF872" i="34"/>
  <c r="EG872" i="34"/>
  <c r="EH872" i="34"/>
  <c r="EF873" i="34"/>
  <c r="EG873" i="34"/>
  <c r="EH873" i="34"/>
  <c r="EF874" i="34"/>
  <c r="EG874" i="34"/>
  <c r="EH874" i="34"/>
  <c r="EF875" i="34"/>
  <c r="EG875" i="34"/>
  <c r="EH875" i="34"/>
  <c r="EF876" i="34"/>
  <c r="EG876" i="34"/>
  <c r="EH876" i="34"/>
  <c r="EF877" i="34"/>
  <c r="EG877" i="34"/>
  <c r="EH877" i="34"/>
  <c r="EF878" i="34"/>
  <c r="EG878" i="34"/>
  <c r="EH878" i="34"/>
  <c r="EF879" i="34"/>
  <c r="EG879" i="34"/>
  <c r="EH879" i="34"/>
  <c r="EF880" i="34"/>
  <c r="EG880" i="34"/>
  <c r="EH880" i="34"/>
  <c r="EF881" i="34"/>
  <c r="EG881" i="34"/>
  <c r="EH881" i="34"/>
  <c r="EF882" i="34"/>
  <c r="EG882" i="34"/>
  <c r="EH882" i="34"/>
  <c r="EF883" i="34"/>
  <c r="EG883" i="34"/>
  <c r="EH883" i="34"/>
  <c r="EF884" i="34"/>
  <c r="EG884" i="34"/>
  <c r="EH884" i="34"/>
  <c r="EF885" i="34"/>
  <c r="EG885" i="34"/>
  <c r="EH885" i="34"/>
  <c r="EF886" i="34"/>
  <c r="EG886" i="34"/>
  <c r="EH886" i="34"/>
  <c r="EF887" i="34"/>
  <c r="EG887" i="34"/>
  <c r="EH887" i="34"/>
  <c r="EF888" i="34"/>
  <c r="EG888" i="34"/>
  <c r="EH888" i="34"/>
  <c r="EF889" i="34"/>
  <c r="EG889" i="34"/>
  <c r="EH889" i="34"/>
  <c r="EF890" i="34"/>
  <c r="EG890" i="34"/>
  <c r="EH890" i="34"/>
  <c r="EF891" i="34"/>
  <c r="EG891" i="34"/>
  <c r="EH891" i="34"/>
  <c r="EF892" i="34"/>
  <c r="EG892" i="34"/>
  <c r="EH892" i="34"/>
  <c r="EF893" i="34"/>
  <c r="EG893" i="34"/>
  <c r="EH893" i="34"/>
  <c r="EF894" i="34"/>
  <c r="EG894" i="34"/>
  <c r="EH894" i="34"/>
  <c r="EF895" i="34"/>
  <c r="EG895" i="34"/>
  <c r="EH895" i="34"/>
  <c r="EF896" i="34"/>
  <c r="EG896" i="34"/>
  <c r="EH896" i="34"/>
  <c r="EF897" i="34"/>
  <c r="EG897" i="34"/>
  <c r="EH897" i="34"/>
  <c r="Z53" i="36" l="1"/>
  <c r="Z52" i="36"/>
  <c r="Z51" i="36"/>
  <c r="Z50" i="36"/>
  <c r="Z49" i="36"/>
  <c r="Z53" i="37"/>
  <c r="Z52" i="37"/>
  <c r="Z51" i="37"/>
  <c r="Z50" i="37"/>
  <c r="Z49" i="37"/>
  <c r="Z53" i="38"/>
  <c r="Z52" i="38"/>
  <c r="Z51" i="38"/>
  <c r="Z50" i="38"/>
  <c r="Z49" i="38"/>
  <c r="Z53" i="39"/>
  <c r="Z52" i="39"/>
  <c r="Z51" i="39"/>
  <c r="Z50" i="39"/>
  <c r="Z49" i="39"/>
  <c r="Z53" i="40"/>
  <c r="Z52" i="40"/>
  <c r="Z51" i="40"/>
  <c r="Z50" i="40"/>
  <c r="Z49" i="40"/>
  <c r="Z53" i="41"/>
  <c r="Z52" i="41"/>
  <c r="Z51" i="41"/>
  <c r="Z50" i="41"/>
  <c r="Z49" i="41"/>
  <c r="Z53" i="42"/>
  <c r="Z52" i="42"/>
  <c r="Z51" i="42"/>
  <c r="Z50" i="42"/>
  <c r="Z49" i="42"/>
  <c r="Z53" i="43"/>
  <c r="Z52" i="43"/>
  <c r="Z51" i="43"/>
  <c r="Z50" i="43"/>
  <c r="Z49" i="43"/>
  <c r="Z53" i="44"/>
  <c r="Z52" i="44"/>
  <c r="Z51" i="44"/>
  <c r="Z50" i="44"/>
  <c r="Z49" i="44"/>
  <c r="Z53" i="45"/>
  <c r="Z52" i="45"/>
  <c r="Z51" i="45"/>
  <c r="Z50" i="45"/>
  <c r="Z49" i="45"/>
  <c r="Z53" i="35"/>
  <c r="Z52" i="35"/>
  <c r="Z51" i="35"/>
  <c r="Z50" i="35"/>
  <c r="Z49" i="35"/>
  <c r="Z49" i="18"/>
  <c r="Z50" i="18"/>
  <c r="Z51" i="18"/>
  <c r="Z52" i="18"/>
  <c r="Z53" i="18"/>
  <c r="EB4" i="55" l="1"/>
  <c r="EB4" i="56"/>
  <c r="EB4" i="57"/>
  <c r="EB4" i="71"/>
  <c r="EB4" i="26"/>
  <c r="EB4" i="27"/>
  <c r="EB4" i="31"/>
  <c r="EB4" i="32"/>
  <c r="EB4" i="33"/>
  <c r="EB4" i="67"/>
  <c r="EB4" i="68"/>
  <c r="EB4" i="69"/>
  <c r="EB4" i="70"/>
  <c r="EB4" i="2"/>
  <c r="AA54" i="45" l="1"/>
  <c r="AA54" i="44"/>
  <c r="AA54" i="43"/>
  <c r="AA54" i="42"/>
  <c r="AA54" i="41"/>
  <c r="AA54" i="40"/>
  <c r="AA54" i="39"/>
  <c r="AA40" i="45"/>
  <c r="AB32" i="45"/>
  <c r="AA32" i="45"/>
  <c r="Z32" i="45"/>
  <c r="AA40" i="44"/>
  <c r="AB32" i="44"/>
  <c r="AA32" i="44"/>
  <c r="Z32" i="44"/>
  <c r="AA40" i="43"/>
  <c r="AB32" i="43"/>
  <c r="AA32" i="43"/>
  <c r="Z32" i="43"/>
  <c r="AA40" i="42"/>
  <c r="AB32" i="42"/>
  <c r="AA32" i="42"/>
  <c r="Z32" i="42"/>
  <c r="AA40" i="41"/>
  <c r="AB32" i="41"/>
  <c r="AA32" i="41"/>
  <c r="Z32" i="41"/>
  <c r="AA40" i="40"/>
  <c r="AB32" i="40"/>
  <c r="AA32" i="40"/>
  <c r="Z32" i="40"/>
  <c r="AA40" i="39"/>
  <c r="AB32" i="39"/>
  <c r="AA32" i="39"/>
  <c r="Z32" i="39"/>
  <c r="AA54" i="38" l="1"/>
  <c r="AA40" i="38"/>
  <c r="AB32" i="38"/>
  <c r="AA32" i="38"/>
  <c r="Z32" i="38"/>
  <c r="AA54" i="37"/>
  <c r="AA40" i="37"/>
  <c r="AB32" i="37"/>
  <c r="AA32" i="37"/>
  <c r="Z32" i="37"/>
  <c r="AA54" i="36"/>
  <c r="AA40" i="36"/>
  <c r="AB32" i="36"/>
  <c r="AA32" i="36"/>
  <c r="Z32" i="36"/>
  <c r="AA54" i="18"/>
  <c r="AA40" i="18"/>
  <c r="AB32" i="18"/>
  <c r="AA32" i="18"/>
  <c r="Z32" i="18"/>
  <c r="AA54" i="35" l="1"/>
  <c r="Z32" i="35"/>
  <c r="AA32" i="35"/>
  <c r="AB32" i="35"/>
  <c r="AA40" i="35"/>
  <c r="CA10" i="6" l="1"/>
  <c r="CA10" i="7"/>
  <c r="CA10" i="8"/>
  <c r="CA10" i="9"/>
  <c r="CA10" i="10"/>
  <c r="CA10" i="11"/>
  <c r="CA10" i="12"/>
  <c r="CA10" i="13"/>
  <c r="CA10" i="14"/>
  <c r="CA10" i="15"/>
  <c r="CA10" i="5"/>
  <c r="CF9" i="5"/>
  <c r="CF9" i="6"/>
  <c r="CF9" i="7"/>
  <c r="CF9" i="8"/>
  <c r="CF9" i="9"/>
  <c r="CF9" i="10"/>
  <c r="CF9" i="11"/>
  <c r="CF9" i="12"/>
  <c r="CF9" i="13"/>
  <c r="CF9" i="14"/>
  <c r="CF9" i="15"/>
  <c r="CF9" i="4"/>
  <c r="CA10" i="4"/>
  <c r="CD5" i="15"/>
  <c r="FX5" i="15" s="1"/>
  <c r="CD5" i="14"/>
  <c r="FX5" i="14" s="1"/>
  <c r="CD5" i="13"/>
  <c r="FX5" i="13" s="1"/>
  <c r="CD5" i="12"/>
  <c r="FX5" i="12" s="1"/>
  <c r="CD5" i="11"/>
  <c r="FX5" i="11" s="1"/>
  <c r="CD5" i="10"/>
  <c r="FX5" i="10" s="1"/>
  <c r="CD5" i="9"/>
  <c r="FX5" i="9" s="1"/>
  <c r="CD5" i="8"/>
  <c r="FX5" i="8" s="1"/>
  <c r="CD5" i="7"/>
  <c r="FX5" i="7" s="1"/>
  <c r="CD5" i="6"/>
  <c r="FX5" i="6" s="1"/>
  <c r="CD5" i="5"/>
  <c r="FX5" i="5" s="1"/>
  <c r="B99" i="1"/>
  <c r="B95" i="1"/>
  <c r="CD5" i="4"/>
  <c r="FX5" i="4" s="1"/>
  <c r="BZ10" i="5"/>
  <c r="BZ10" i="6"/>
  <c r="BZ10" i="7"/>
  <c r="BZ10" i="8"/>
  <c r="BZ10" i="9"/>
  <c r="BZ10" i="10"/>
  <c r="BZ10" i="11"/>
  <c r="BZ10" i="12"/>
  <c r="BZ10" i="13"/>
  <c r="BZ10" i="14"/>
  <c r="BZ10" i="15"/>
  <c r="BZ10" i="4"/>
  <c r="F12" i="75" l="1"/>
  <c r="D12" i="75" s="1"/>
  <c r="E12" i="75"/>
  <c r="B12" i="75" s="1"/>
  <c r="C14" i="75" s="1"/>
  <c r="A107" i="1"/>
  <c r="D14" i="75" l="1"/>
  <c r="BB1" i="60"/>
  <c r="DM10" i="34" l="1"/>
  <c r="DM13" i="34"/>
  <c r="DM14" i="34"/>
  <c r="DM12" i="34"/>
  <c r="DM11" i="34"/>
  <c r="DM8" i="34"/>
  <c r="DM7" i="34"/>
  <c r="DM6" i="34"/>
  <c r="DM5" i="34"/>
  <c r="DM4" i="34"/>
  <c r="DM3" i="34"/>
  <c r="DE2" i="34" l="1"/>
  <c r="DE13" i="34" s="1"/>
  <c r="DE4" i="34" l="1"/>
  <c r="DE5" i="34"/>
  <c r="DE8" i="34"/>
  <c r="DE11" i="34"/>
  <c r="DE9" i="34"/>
  <c r="DE12" i="34"/>
  <c r="DE6" i="34"/>
  <c r="DE10" i="34"/>
  <c r="DE3" i="34"/>
  <c r="DE7" i="34"/>
  <c r="DH3" i="34"/>
  <c r="DS3" i="34" l="1"/>
  <c r="DX3" i="34"/>
  <c r="DW3" i="34"/>
  <c r="DV3" i="34"/>
  <c r="DU3" i="34"/>
  <c r="DT3" i="34"/>
  <c r="DR3" i="34"/>
  <c r="DQ3" i="34"/>
  <c r="DO3" i="34"/>
  <c r="DP3" i="34"/>
  <c r="DH14" i="34"/>
  <c r="DH12" i="34"/>
  <c r="DH13" i="34"/>
  <c r="DH9" i="34"/>
  <c r="DH10" i="34"/>
  <c r="DH5" i="34"/>
  <c r="DH6" i="34"/>
  <c r="DH7" i="34"/>
  <c r="DH11" i="34"/>
  <c r="DH4" i="34"/>
  <c r="DH8" i="34"/>
  <c r="F63" i="84"/>
  <c r="F89" i="84" s="1"/>
  <c r="F115" i="84" s="1"/>
  <c r="F35" i="84"/>
  <c r="G30" i="84"/>
  <c r="G28" i="84"/>
  <c r="E115" i="84" l="1"/>
  <c r="E135" i="84"/>
  <c r="F61" i="84"/>
  <c r="F87" i="84" s="1"/>
  <c r="F113" i="84" s="1"/>
  <c r="E35" i="84"/>
  <c r="DS8" i="34"/>
  <c r="DX8" i="34"/>
  <c r="DW8" i="34"/>
  <c r="DV8" i="34"/>
  <c r="DU8" i="34"/>
  <c r="DT8" i="34"/>
  <c r="DR8" i="34"/>
  <c r="DQ8" i="34"/>
  <c r="DS4" i="34"/>
  <c r="DX4" i="34"/>
  <c r="DW4" i="34"/>
  <c r="DV4" i="34"/>
  <c r="DU4" i="34"/>
  <c r="DT4" i="34"/>
  <c r="DR4" i="34"/>
  <c r="DQ4" i="34"/>
  <c r="DX5" i="34"/>
  <c r="DW5" i="34"/>
  <c r="DV5" i="34"/>
  <c r="DU5" i="34"/>
  <c r="DT5" i="34"/>
  <c r="DQ5" i="34"/>
  <c r="DR5" i="34"/>
  <c r="DS5" i="34"/>
  <c r="DS12" i="34"/>
  <c r="DX12" i="34"/>
  <c r="DW12" i="34"/>
  <c r="DV12" i="34"/>
  <c r="DU12" i="34"/>
  <c r="DT12" i="34"/>
  <c r="DR12" i="34"/>
  <c r="DQ12" i="34"/>
  <c r="DR11" i="34"/>
  <c r="DX11" i="34"/>
  <c r="DW11" i="34"/>
  <c r="DV11" i="34"/>
  <c r="DU11" i="34"/>
  <c r="DT11" i="34"/>
  <c r="DS11" i="34"/>
  <c r="DQ11" i="34"/>
  <c r="DS10" i="34"/>
  <c r="DX10" i="34"/>
  <c r="DW10" i="34"/>
  <c r="DV10" i="34"/>
  <c r="DU10" i="34"/>
  <c r="DT10" i="34"/>
  <c r="DQ10" i="34"/>
  <c r="DR10" i="34"/>
  <c r="DS14" i="34"/>
  <c r="DQ14" i="34"/>
  <c r="DX14" i="34"/>
  <c r="DW14" i="34"/>
  <c r="DV14" i="34"/>
  <c r="DU14" i="34"/>
  <c r="DT14" i="34"/>
  <c r="DR14" i="34"/>
  <c r="DQ7" i="34"/>
  <c r="DR7" i="34"/>
  <c r="DX7" i="34"/>
  <c r="DW7" i="34"/>
  <c r="DV7" i="34"/>
  <c r="DU7" i="34"/>
  <c r="DT7" i="34"/>
  <c r="DS7" i="34"/>
  <c r="DX9" i="34"/>
  <c r="DW9" i="34"/>
  <c r="DV9" i="34"/>
  <c r="DU9" i="34"/>
  <c r="DT9" i="34"/>
  <c r="DQ9" i="34"/>
  <c r="DR9" i="34"/>
  <c r="DS9" i="34"/>
  <c r="DS6" i="34"/>
  <c r="DX6" i="34"/>
  <c r="DW6" i="34"/>
  <c r="DV6" i="34"/>
  <c r="DU6" i="34"/>
  <c r="DT6" i="34"/>
  <c r="DQ6" i="34"/>
  <c r="DR6" i="34"/>
  <c r="DX13" i="34"/>
  <c r="DW13" i="34"/>
  <c r="DV13" i="34"/>
  <c r="DU13" i="34"/>
  <c r="DT13" i="34"/>
  <c r="DQ13" i="34"/>
  <c r="DR13" i="34"/>
  <c r="DS13" i="34"/>
  <c r="DN3" i="34"/>
  <c r="DL3" i="34" s="1"/>
  <c r="DO5" i="34"/>
  <c r="DP5" i="34"/>
  <c r="DO11" i="34"/>
  <c r="DP11" i="34"/>
  <c r="DO10" i="34"/>
  <c r="DP10" i="34"/>
  <c r="DO14" i="34"/>
  <c r="DP14" i="34"/>
  <c r="DO12" i="34"/>
  <c r="DP12" i="34"/>
  <c r="DO7" i="34"/>
  <c r="DP7" i="34"/>
  <c r="DO9" i="34"/>
  <c r="DP9" i="34"/>
  <c r="DO4" i="34"/>
  <c r="DP4" i="34"/>
  <c r="DO8" i="34"/>
  <c r="DP8" i="34"/>
  <c r="DO6" i="34"/>
  <c r="DP6" i="34"/>
  <c r="DO13" i="34"/>
  <c r="DP13" i="34"/>
  <c r="G132" i="84"/>
  <c r="G134" i="84"/>
  <c r="G106" i="84"/>
  <c r="G108" i="84"/>
  <c r="G80" i="84"/>
  <c r="G82" i="84"/>
  <c r="G56" i="84"/>
  <c r="G54" i="84"/>
  <c r="DN6" i="34" l="1"/>
  <c r="DL6" i="34" s="1"/>
  <c r="DN4" i="34"/>
  <c r="DL4" i="34" s="1"/>
  <c r="DN7" i="34"/>
  <c r="DL7" i="34" s="1"/>
  <c r="DN14" i="34"/>
  <c r="DL14" i="34" s="1"/>
  <c r="DN11" i="34"/>
  <c r="DL11" i="34" s="1"/>
  <c r="DN13" i="34"/>
  <c r="DL13" i="34" s="1"/>
  <c r="DN8" i="34"/>
  <c r="DL8" i="34" s="1"/>
  <c r="DN9" i="34"/>
  <c r="DL9" i="34" s="1"/>
  <c r="DN12" i="34"/>
  <c r="DL12" i="34" s="1"/>
  <c r="DN10" i="34"/>
  <c r="DL10" i="34" s="1"/>
  <c r="DN5" i="34"/>
  <c r="DL5" i="34" s="1"/>
  <c r="EG4" i="6"/>
  <c r="A28" i="83" l="1"/>
  <c r="DB2" i="34" l="1"/>
  <c r="DB13" i="34" s="1"/>
  <c r="DB7" i="34" l="1"/>
  <c r="DB10" i="34"/>
  <c r="DB11" i="34"/>
  <c r="DB4" i="34"/>
  <c r="DB8" i="34"/>
  <c r="DB12" i="34"/>
  <c r="DB6" i="34"/>
  <c r="DB3" i="34"/>
  <c r="DB5" i="34"/>
  <c r="DB9" i="34"/>
  <c r="M9" i="25"/>
  <c r="D9" i="25"/>
  <c r="F10" i="25" s="1"/>
  <c r="I24" i="82" l="1"/>
  <c r="I9" i="82" l="1"/>
  <c r="K7" i="82" l="1"/>
  <c r="B9" i="82"/>
  <c r="D7" i="82"/>
  <c r="CE49" i="4" l="1"/>
  <c r="CE47" i="4"/>
  <c r="CE47" i="5" s="1"/>
  <c r="CE47" i="6" s="1"/>
  <c r="CE47" i="7" s="1"/>
  <c r="CE47" i="8" s="1"/>
  <c r="CE47" i="9" s="1"/>
  <c r="CE47" i="10" s="1"/>
  <c r="CE47" i="11" s="1"/>
  <c r="CE47" i="12" s="1"/>
  <c r="CE47" i="13" s="1"/>
  <c r="CE47" i="14" s="1"/>
  <c r="DL3" i="4" l="1"/>
  <c r="DL1" i="4" s="1"/>
  <c r="EO10" i="4"/>
  <c r="CE49" i="5"/>
  <c r="EP11" i="4" l="1"/>
  <c r="EP10" i="4"/>
  <c r="EP9" i="4"/>
  <c r="DL3" i="5"/>
  <c r="DL1" i="5" s="1"/>
  <c r="EO10" i="5"/>
  <c r="DL4" i="4"/>
  <c r="DL2" i="4" s="1"/>
  <c r="DV19" i="4" s="1"/>
  <c r="EO9" i="4"/>
  <c r="CE49" i="6"/>
  <c r="EP11" i="5" l="1"/>
  <c r="EP10" i="5"/>
  <c r="EP9" i="5"/>
  <c r="DU19" i="4"/>
  <c r="DY19" i="4"/>
  <c r="DX19" i="4"/>
  <c r="CD48" i="4"/>
  <c r="CE49" i="7"/>
  <c r="EO10" i="7" s="1"/>
  <c r="EO10" i="6"/>
  <c r="DL4" i="5"/>
  <c r="DL2" i="5" s="1"/>
  <c r="DV19" i="5" s="1"/>
  <c r="EO9" i="5"/>
  <c r="DL3" i="6"/>
  <c r="CE49" i="8" l="1"/>
  <c r="EO10" i="8" s="1"/>
  <c r="DU19" i="5"/>
  <c r="EP10" i="6"/>
  <c r="EP9" i="6"/>
  <c r="EP11" i="6"/>
  <c r="CD48" i="5"/>
  <c r="DY19" i="5"/>
  <c r="DX19" i="5"/>
  <c r="DL1" i="6"/>
  <c r="DL4" i="6" s="1"/>
  <c r="EO9" i="6"/>
  <c r="DL3" i="7"/>
  <c r="DL1" i="7" s="1"/>
  <c r="BI59" i="10"/>
  <c r="BI59" i="11"/>
  <c r="BI59" i="12"/>
  <c r="BI59" i="13"/>
  <c r="BI59" i="14"/>
  <c r="BI59" i="15"/>
  <c r="BI59" i="9"/>
  <c r="BI59" i="5"/>
  <c r="BI59" i="6"/>
  <c r="BI59" i="7"/>
  <c r="BI59" i="8"/>
  <c r="BI59" i="4"/>
  <c r="DL3" i="8" l="1"/>
  <c r="CE49" i="9"/>
  <c r="EO10" i="9" s="1"/>
  <c r="EP11" i="8"/>
  <c r="EP9" i="8"/>
  <c r="EP10" i="8"/>
  <c r="EP11" i="7"/>
  <c r="EP9" i="7"/>
  <c r="EP10" i="7"/>
  <c r="DL2" i="6"/>
  <c r="DV19" i="6" s="1"/>
  <c r="EO9" i="8"/>
  <c r="DL4" i="7"/>
  <c r="DL2" i="7" s="1"/>
  <c r="DV19" i="7" s="1"/>
  <c r="EO9" i="7"/>
  <c r="DL1" i="8"/>
  <c r="CE49" i="10"/>
  <c r="EO10" i="10" s="1"/>
  <c r="B1" i="81"/>
  <c r="B14" i="81" s="1"/>
  <c r="DL3" i="9" l="1"/>
  <c r="EP10" i="9" s="1"/>
  <c r="DU19" i="6"/>
  <c r="DL4" i="8"/>
  <c r="DL2" i="8" s="1"/>
  <c r="DU19" i="7"/>
  <c r="CD48" i="7"/>
  <c r="DX19" i="7"/>
  <c r="DY19" i="7"/>
  <c r="DY19" i="6"/>
  <c r="DX19" i="6"/>
  <c r="CD48" i="6"/>
  <c r="CE49" i="11"/>
  <c r="EO10" i="11" s="1"/>
  <c r="DL3" i="10"/>
  <c r="B3" i="81"/>
  <c r="B11" i="81"/>
  <c r="B12" i="81"/>
  <c r="B13" i="81"/>
  <c r="B6" i="81"/>
  <c r="B5" i="81"/>
  <c r="B2" i="81"/>
  <c r="B10" i="81"/>
  <c r="DL1" i="9" l="1"/>
  <c r="EP11" i="9"/>
  <c r="EO9" i="9"/>
  <c r="EP9" i="9"/>
  <c r="DV19" i="8"/>
  <c r="DY19" i="8"/>
  <c r="DX19" i="8"/>
  <c r="CD48" i="8"/>
  <c r="DL4" i="9"/>
  <c r="DL2" i="9" s="1"/>
  <c r="DV19" i="9" s="1"/>
  <c r="DU19" i="8"/>
  <c r="EP9" i="10"/>
  <c r="EP11" i="10"/>
  <c r="EP10" i="10"/>
  <c r="EO9" i="10"/>
  <c r="DL1" i="10"/>
  <c r="CE49" i="12"/>
  <c r="EO10" i="12" s="1"/>
  <c r="DL3" i="11"/>
  <c r="B7" i="81"/>
  <c r="B4" i="81"/>
  <c r="B9" i="81"/>
  <c r="B8" i="81"/>
  <c r="CD48" i="9" l="1"/>
  <c r="DY19" i="9"/>
  <c r="EP11" i="11"/>
  <c r="EP10" i="11"/>
  <c r="EP9" i="11"/>
  <c r="DX19" i="9"/>
  <c r="DU19" i="9"/>
  <c r="EO9" i="11"/>
  <c r="DL4" i="10"/>
  <c r="DL2" i="10" s="1"/>
  <c r="DV19" i="10" s="1"/>
  <c r="DL1" i="11"/>
  <c r="DL3" i="12"/>
  <c r="CE49" i="13"/>
  <c r="EO10" i="13" s="1"/>
  <c r="EP10" i="12" l="1"/>
  <c r="EP9" i="12"/>
  <c r="EP11" i="12"/>
  <c r="DL4" i="11"/>
  <c r="DL2" i="11" s="1"/>
  <c r="DX19" i="11" s="1"/>
  <c r="DU19" i="10"/>
  <c r="DX19" i="10"/>
  <c r="CD48" i="10"/>
  <c r="DY19" i="10"/>
  <c r="EO9" i="12"/>
  <c r="DL1" i="12"/>
  <c r="DL3" i="13"/>
  <c r="CE49" i="14"/>
  <c r="CA56" i="4"/>
  <c r="CA60" i="4"/>
  <c r="CA60" i="5" s="1"/>
  <c r="CA60" i="6" s="1"/>
  <c r="CA60" i="7" s="1"/>
  <c r="CA60" i="8" s="1"/>
  <c r="CA60" i="9" s="1"/>
  <c r="CA60" i="10" s="1"/>
  <c r="CA60" i="11" s="1"/>
  <c r="CA60" i="12" s="1"/>
  <c r="CA60" i="13" s="1"/>
  <c r="CA60" i="14" s="1"/>
  <c r="CA60" i="15" s="1"/>
  <c r="BY56" i="4"/>
  <c r="EO10" i="14" l="1"/>
  <c r="CE49" i="15"/>
  <c r="EP11" i="13"/>
  <c r="EP10" i="13"/>
  <c r="EP9" i="13"/>
  <c r="DU19" i="11"/>
  <c r="DL4" i="12"/>
  <c r="DL2" i="12" s="1"/>
  <c r="CD48" i="12" s="1"/>
  <c r="DV19" i="11"/>
  <c r="EO9" i="13"/>
  <c r="DY19" i="11"/>
  <c r="CD48" i="11"/>
  <c r="CA56" i="5"/>
  <c r="CA56" i="6" s="1"/>
  <c r="CA56" i="7" s="1"/>
  <c r="CA56" i="8" s="1"/>
  <c r="CA56" i="9" s="1"/>
  <c r="CA56" i="10" s="1"/>
  <c r="CA56" i="11" s="1"/>
  <c r="CA56" i="12" s="1"/>
  <c r="CA56" i="13" s="1"/>
  <c r="CA56" i="14" s="1"/>
  <c r="CA56" i="15" s="1"/>
  <c r="DL3" i="14"/>
  <c r="DL1" i="13"/>
  <c r="BY59" i="4"/>
  <c r="BY56" i="5"/>
  <c r="DX19" i="12" l="1"/>
  <c r="DU19" i="12"/>
  <c r="DL4" i="13"/>
  <c r="DL2" i="13" s="1"/>
  <c r="CD48" i="13" s="1"/>
  <c r="EP11" i="14"/>
  <c r="EP10" i="14"/>
  <c r="EP9" i="14"/>
  <c r="DV19" i="12"/>
  <c r="EO9" i="14"/>
  <c r="DY19" i="12"/>
  <c r="DL3" i="15"/>
  <c r="DL1" i="15" s="1"/>
  <c r="EO10" i="15"/>
  <c r="BY56" i="6"/>
  <c r="BY59" i="6" s="1"/>
  <c r="DL1" i="14"/>
  <c r="BY59" i="5"/>
  <c r="DU19" i="13" l="1"/>
  <c r="DL4" i="14"/>
  <c r="EP11" i="15"/>
  <c r="EP10" i="15"/>
  <c r="EP9" i="15"/>
  <c r="DV19" i="13"/>
  <c r="EO9" i="15"/>
  <c r="DL4" i="15"/>
  <c r="DL2" i="15" s="1"/>
  <c r="DY19" i="13"/>
  <c r="DL2" i="14"/>
  <c r="DV19" i="14" s="1"/>
  <c r="DX19" i="13"/>
  <c r="BY56" i="7"/>
  <c r="CD48" i="14" l="1"/>
  <c r="DY19" i="14"/>
  <c r="DX19" i="15"/>
  <c r="DV19" i="15"/>
  <c r="DU19" i="15"/>
  <c r="DX19" i="14"/>
  <c r="DU19" i="14"/>
  <c r="DY19" i="15"/>
  <c r="BY56" i="8"/>
  <c r="BY59" i="7"/>
  <c r="CD48" i="15"/>
  <c r="BY56" i="9" l="1"/>
  <c r="BY59" i="8"/>
  <c r="N71" i="9"/>
  <c r="N71" i="10"/>
  <c r="N71" i="13"/>
  <c r="BY56" i="10" l="1"/>
  <c r="BY59" i="9"/>
  <c r="G6" i="25"/>
  <c r="BY56" i="11" l="1"/>
  <c r="BY59" i="10"/>
  <c r="F80" i="5"/>
  <c r="F80" i="6" s="1"/>
  <c r="F80" i="7" s="1"/>
  <c r="F80" i="8" s="1"/>
  <c r="F80" i="9" s="1"/>
  <c r="F80" i="10" s="1"/>
  <c r="F80" i="11" s="1"/>
  <c r="F80" i="12" s="1"/>
  <c r="F80" i="13" s="1"/>
  <c r="F80" i="14" s="1"/>
  <c r="F80" i="15" s="1"/>
  <c r="BY56" i="12" l="1"/>
  <c r="BY59" i="11"/>
  <c r="CY3" i="34"/>
  <c r="EA3" i="34" s="1"/>
  <c r="CY4" i="34"/>
  <c r="EA4" i="34" s="1"/>
  <c r="CY5" i="34"/>
  <c r="EA5" i="34" s="1"/>
  <c r="CY6" i="34"/>
  <c r="EA6" i="34" s="1"/>
  <c r="CY7" i="34"/>
  <c r="EA7" i="34" s="1"/>
  <c r="CY8" i="34"/>
  <c r="EA8" i="34" s="1"/>
  <c r="CY9" i="34"/>
  <c r="CY10" i="34"/>
  <c r="CY11" i="34"/>
  <c r="CY12" i="34"/>
  <c r="EA9" i="34" s="1"/>
  <c r="CY13" i="34"/>
  <c r="EA10" i="34" s="1"/>
  <c r="CY14" i="34"/>
  <c r="EA11" i="34" s="1"/>
  <c r="CY15" i="34"/>
  <c r="EA12" i="34" s="1"/>
  <c r="CY16" i="34"/>
  <c r="EA13" i="34" s="1"/>
  <c r="BY56" i="13" l="1"/>
  <c r="BY59" i="12"/>
  <c r="EG4" i="5"/>
  <c r="EG4" i="7"/>
  <c r="EG4" i="8"/>
  <c r="EG4" i="9"/>
  <c r="EG4" i="10"/>
  <c r="EG4" i="11"/>
  <c r="EG4" i="12"/>
  <c r="EG4" i="13"/>
  <c r="EG4" i="14"/>
  <c r="EG4" i="15"/>
  <c r="EG4" i="4"/>
  <c r="BY56" i="14" l="1"/>
  <c r="BY59" i="13"/>
  <c r="BM16" i="59"/>
  <c r="BM15" i="59"/>
  <c r="BM14" i="59"/>
  <c r="BM13" i="59"/>
  <c r="BM12" i="59"/>
  <c r="BM11" i="59"/>
  <c r="BM10" i="59"/>
  <c r="BM9" i="59"/>
  <c r="BM8" i="59"/>
  <c r="BM7" i="59"/>
  <c r="BM6" i="59"/>
  <c r="BM5" i="59"/>
  <c r="BY56" i="15" l="1"/>
  <c r="BY59" i="14"/>
  <c r="H5" i="59"/>
  <c r="G5" i="59"/>
  <c r="BY59" i="15" l="1"/>
  <c r="BI537" i="72"/>
  <c r="BI536" i="72"/>
  <c r="BI535" i="72"/>
  <c r="BI534" i="72"/>
  <c r="BI533" i="72"/>
  <c r="BI532" i="72"/>
  <c r="BI531" i="72"/>
  <c r="BI530" i="72"/>
  <c r="BI529" i="72"/>
  <c r="BI528" i="72"/>
  <c r="BI527" i="72"/>
  <c r="BI526" i="72"/>
  <c r="BI525" i="72"/>
  <c r="BI524" i="72"/>
  <c r="BI523" i="72"/>
  <c r="BI522" i="72"/>
  <c r="BI521" i="72"/>
  <c r="BI520" i="72"/>
  <c r="BI519" i="72"/>
  <c r="BI518" i="72"/>
  <c r="BI517" i="72"/>
  <c r="BI516" i="72"/>
  <c r="BI515" i="72"/>
  <c r="BI514" i="72"/>
  <c r="BI513" i="72"/>
  <c r="BI512" i="72"/>
  <c r="BI511" i="72"/>
  <c r="BI510" i="72"/>
  <c r="BI509" i="72"/>
  <c r="BI508" i="72"/>
  <c r="BI507" i="72"/>
  <c r="BI492" i="72"/>
  <c r="BI491" i="72"/>
  <c r="BI490" i="72"/>
  <c r="BI489" i="72"/>
  <c r="BI488" i="72"/>
  <c r="BI487" i="72"/>
  <c r="BI486" i="72"/>
  <c r="BI485" i="72"/>
  <c r="BI484" i="72"/>
  <c r="BI483" i="72"/>
  <c r="BI482" i="72"/>
  <c r="BI481" i="72"/>
  <c r="BI480" i="72"/>
  <c r="BI479" i="72"/>
  <c r="BI478" i="72"/>
  <c r="BI477" i="72"/>
  <c r="BI476" i="72"/>
  <c r="BI475" i="72"/>
  <c r="BI474" i="72"/>
  <c r="BI473" i="72"/>
  <c r="BI472" i="72"/>
  <c r="BI471" i="72"/>
  <c r="BI470" i="72"/>
  <c r="BI469" i="72"/>
  <c r="BI468" i="72"/>
  <c r="BI467" i="72"/>
  <c r="BI466" i="72"/>
  <c r="BI465" i="72"/>
  <c r="BI464" i="72"/>
  <c r="BI463" i="72"/>
  <c r="BI462" i="72"/>
  <c r="BI447" i="72"/>
  <c r="BI446" i="72"/>
  <c r="BI445" i="72"/>
  <c r="BI444" i="72"/>
  <c r="BI443" i="72"/>
  <c r="BI442" i="72"/>
  <c r="BI441" i="72"/>
  <c r="BI440" i="72"/>
  <c r="BI439" i="72"/>
  <c r="BI438" i="72"/>
  <c r="BI437" i="72"/>
  <c r="BI436" i="72"/>
  <c r="BI435" i="72"/>
  <c r="BI434" i="72"/>
  <c r="BI433" i="72"/>
  <c r="BI432" i="72"/>
  <c r="BI431" i="72"/>
  <c r="BI430" i="72"/>
  <c r="BI429" i="72"/>
  <c r="BI428" i="72"/>
  <c r="BI427" i="72"/>
  <c r="BI426" i="72"/>
  <c r="BI425" i="72"/>
  <c r="BI424" i="72"/>
  <c r="BI423" i="72"/>
  <c r="BI422" i="72"/>
  <c r="BI421" i="72"/>
  <c r="BI420" i="72"/>
  <c r="BI419" i="72"/>
  <c r="BI418" i="72"/>
  <c r="BI417" i="72"/>
  <c r="BI402" i="72"/>
  <c r="BI401" i="72"/>
  <c r="BI400" i="72"/>
  <c r="BI399" i="72"/>
  <c r="BI398" i="72"/>
  <c r="BI397" i="72"/>
  <c r="BI396" i="72"/>
  <c r="BI395" i="72"/>
  <c r="BI394" i="72"/>
  <c r="BI393" i="72"/>
  <c r="BI392" i="72"/>
  <c r="BI391" i="72"/>
  <c r="BI390" i="72"/>
  <c r="BI389" i="72"/>
  <c r="BI388" i="72"/>
  <c r="BI387" i="72"/>
  <c r="BI386" i="72"/>
  <c r="BI385" i="72"/>
  <c r="BI384" i="72"/>
  <c r="BI383" i="72"/>
  <c r="BI382" i="72"/>
  <c r="BI381" i="72"/>
  <c r="BI380" i="72"/>
  <c r="BI379" i="72"/>
  <c r="BI378" i="72"/>
  <c r="BI377" i="72"/>
  <c r="BI376" i="72"/>
  <c r="BI375" i="72"/>
  <c r="BI374" i="72"/>
  <c r="BI373" i="72"/>
  <c r="BI372" i="72"/>
  <c r="BI357" i="72"/>
  <c r="BI356" i="72"/>
  <c r="BI355" i="72"/>
  <c r="BI354" i="72"/>
  <c r="BI353" i="72"/>
  <c r="BI352" i="72"/>
  <c r="BI351" i="72"/>
  <c r="BI350" i="72"/>
  <c r="BI349" i="72"/>
  <c r="BI348" i="72"/>
  <c r="BI347" i="72"/>
  <c r="BI346" i="72"/>
  <c r="BI345" i="72"/>
  <c r="BI344" i="72"/>
  <c r="BI343" i="72"/>
  <c r="BI342" i="72"/>
  <c r="BI341" i="72"/>
  <c r="BI340" i="72"/>
  <c r="BI339" i="72"/>
  <c r="BI338" i="72"/>
  <c r="BI337" i="72"/>
  <c r="BI336" i="72"/>
  <c r="BI335" i="72"/>
  <c r="BI334" i="72"/>
  <c r="BI333" i="72"/>
  <c r="BI332" i="72"/>
  <c r="BI331" i="72"/>
  <c r="BI330" i="72"/>
  <c r="BI329" i="72"/>
  <c r="BI328" i="72"/>
  <c r="BI327" i="72"/>
  <c r="BI312" i="72"/>
  <c r="BI311" i="72"/>
  <c r="BI310" i="72"/>
  <c r="BI309" i="72"/>
  <c r="BI308" i="72"/>
  <c r="BI307" i="72"/>
  <c r="BI306" i="72"/>
  <c r="BI305" i="72"/>
  <c r="BI304" i="72"/>
  <c r="BI303" i="72"/>
  <c r="BI302" i="72"/>
  <c r="BI301" i="72"/>
  <c r="BI300" i="72"/>
  <c r="BI299" i="72"/>
  <c r="BI298" i="72"/>
  <c r="BI297" i="72"/>
  <c r="BI296" i="72"/>
  <c r="BI295" i="72"/>
  <c r="BI294" i="72"/>
  <c r="BI293" i="72"/>
  <c r="BI292" i="72"/>
  <c r="BI291" i="72"/>
  <c r="BI290" i="72"/>
  <c r="BI289" i="72"/>
  <c r="BI288" i="72"/>
  <c r="BI287" i="72"/>
  <c r="BI286" i="72"/>
  <c r="BI285" i="72"/>
  <c r="BI284" i="72"/>
  <c r="BI283" i="72"/>
  <c r="BI282" i="72"/>
  <c r="BI267" i="72"/>
  <c r="BI266" i="72"/>
  <c r="BI265" i="72"/>
  <c r="BI264" i="72"/>
  <c r="BI263" i="72"/>
  <c r="BI262" i="72"/>
  <c r="BI261" i="72"/>
  <c r="BI260" i="72"/>
  <c r="BI259" i="72"/>
  <c r="BI258" i="72"/>
  <c r="BI257" i="72"/>
  <c r="BI256" i="72"/>
  <c r="BI255" i="72"/>
  <c r="BI254" i="72"/>
  <c r="BI253" i="72"/>
  <c r="BI252" i="72"/>
  <c r="BI251" i="72"/>
  <c r="BI250" i="72"/>
  <c r="BI249" i="72"/>
  <c r="BI248" i="72"/>
  <c r="BI247" i="72"/>
  <c r="BI246" i="72"/>
  <c r="BI245" i="72"/>
  <c r="BI244" i="72"/>
  <c r="BI243" i="72"/>
  <c r="BI242" i="72"/>
  <c r="BI241" i="72"/>
  <c r="BI240" i="72"/>
  <c r="BI239" i="72"/>
  <c r="BI238" i="72"/>
  <c r="BI237" i="72"/>
  <c r="BI222" i="72"/>
  <c r="BI221" i="72"/>
  <c r="BI220" i="72"/>
  <c r="BI219" i="72"/>
  <c r="BI218" i="72"/>
  <c r="BI217" i="72"/>
  <c r="BI216" i="72"/>
  <c r="BI215" i="72"/>
  <c r="BI214" i="72"/>
  <c r="BI213" i="72"/>
  <c r="BI212" i="72"/>
  <c r="BI211" i="72"/>
  <c r="BI210" i="72"/>
  <c r="BI209" i="72"/>
  <c r="BI208" i="72"/>
  <c r="BI207" i="72"/>
  <c r="BI206" i="72"/>
  <c r="BI205" i="72"/>
  <c r="BI204" i="72"/>
  <c r="BI203" i="72"/>
  <c r="BI202" i="72"/>
  <c r="BI201" i="72"/>
  <c r="BI200" i="72"/>
  <c r="BI199" i="72"/>
  <c r="BI198" i="72"/>
  <c r="BI197" i="72"/>
  <c r="BI196" i="72"/>
  <c r="BI195" i="72"/>
  <c r="BI194" i="72"/>
  <c r="BI193" i="72"/>
  <c r="BI192" i="72"/>
  <c r="BI177" i="72"/>
  <c r="BI176" i="72"/>
  <c r="BI175" i="72"/>
  <c r="BI174" i="72"/>
  <c r="BI173" i="72"/>
  <c r="BI172" i="72"/>
  <c r="BI171" i="72"/>
  <c r="BI170" i="72"/>
  <c r="BI169" i="72"/>
  <c r="BI168" i="72"/>
  <c r="BI167" i="72"/>
  <c r="BI166" i="72"/>
  <c r="BI165" i="72"/>
  <c r="BI164" i="72"/>
  <c r="BI163" i="72"/>
  <c r="BI162" i="72"/>
  <c r="BI161" i="72"/>
  <c r="BI160" i="72"/>
  <c r="BI159" i="72"/>
  <c r="BI158" i="72"/>
  <c r="BI157" i="72"/>
  <c r="BI156" i="72"/>
  <c r="BI155" i="72"/>
  <c r="BI154" i="72"/>
  <c r="BI153" i="72"/>
  <c r="BI152" i="72"/>
  <c r="BI151" i="72"/>
  <c r="BI150" i="72"/>
  <c r="BI149" i="72"/>
  <c r="BI148" i="72"/>
  <c r="BI147" i="72"/>
  <c r="BI132" i="72"/>
  <c r="BI131" i="72"/>
  <c r="BI130" i="72"/>
  <c r="BI129" i="72"/>
  <c r="BI128" i="72"/>
  <c r="BI127" i="72"/>
  <c r="BI126" i="72"/>
  <c r="BI125" i="72"/>
  <c r="BI124" i="72"/>
  <c r="BI123" i="72"/>
  <c r="BI122" i="72"/>
  <c r="BI121" i="72"/>
  <c r="BI120" i="72"/>
  <c r="BI119" i="72"/>
  <c r="BI118" i="72"/>
  <c r="BI117" i="72"/>
  <c r="BI116" i="72"/>
  <c r="BI115" i="72"/>
  <c r="BI114" i="72"/>
  <c r="BI113" i="72"/>
  <c r="BI112" i="72"/>
  <c r="BI111" i="72"/>
  <c r="BI110" i="72"/>
  <c r="BI109" i="72"/>
  <c r="BI108" i="72"/>
  <c r="BI107" i="72"/>
  <c r="BI106" i="72"/>
  <c r="BI105" i="72"/>
  <c r="BI104" i="72"/>
  <c r="BI103" i="72"/>
  <c r="BI102" i="72"/>
  <c r="BI87" i="72"/>
  <c r="BI86" i="72"/>
  <c r="BI85" i="72"/>
  <c r="BI84" i="72"/>
  <c r="BI83" i="72"/>
  <c r="BI82" i="72"/>
  <c r="BI81" i="72"/>
  <c r="BI80" i="72"/>
  <c r="BI79" i="72"/>
  <c r="BI78" i="72"/>
  <c r="BI77" i="72"/>
  <c r="BI76" i="72"/>
  <c r="BI75" i="72"/>
  <c r="BI74" i="72"/>
  <c r="BI73" i="72"/>
  <c r="BI72" i="72"/>
  <c r="BI71" i="72"/>
  <c r="BI70" i="72"/>
  <c r="BI69" i="72"/>
  <c r="BI68" i="72"/>
  <c r="BI67" i="72"/>
  <c r="BI66" i="72"/>
  <c r="BI65" i="72"/>
  <c r="BI64" i="72"/>
  <c r="BI63" i="72"/>
  <c r="BI62" i="72"/>
  <c r="BI61" i="72"/>
  <c r="BI60" i="72"/>
  <c r="BI59" i="72"/>
  <c r="BI58" i="72"/>
  <c r="BI57" i="72"/>
  <c r="BI13" i="72"/>
  <c r="BI14" i="72"/>
  <c r="BI15" i="72"/>
  <c r="BI16" i="72"/>
  <c r="BI17" i="72"/>
  <c r="BI18" i="72"/>
  <c r="BI19" i="72"/>
  <c r="BI20" i="72"/>
  <c r="BI21" i="72"/>
  <c r="BI22" i="72"/>
  <c r="BI23" i="72"/>
  <c r="BI24" i="72"/>
  <c r="BI25" i="72"/>
  <c r="BI26" i="72"/>
  <c r="BI27" i="72"/>
  <c r="BI28" i="72"/>
  <c r="BI29" i="72"/>
  <c r="BI30" i="72"/>
  <c r="BI31" i="72"/>
  <c r="BI32" i="72"/>
  <c r="BI33" i="72"/>
  <c r="BI34" i="72"/>
  <c r="BI35" i="72"/>
  <c r="BI36" i="72"/>
  <c r="BI37" i="72"/>
  <c r="BI38" i="72"/>
  <c r="BI39" i="72"/>
  <c r="BI40" i="72"/>
  <c r="BI41" i="72"/>
  <c r="BI42" i="72"/>
  <c r="BI12" i="72"/>
  <c r="N70" i="5" l="1"/>
  <c r="N70" i="6"/>
  <c r="N70" i="7"/>
  <c r="N70" i="8"/>
  <c r="N70" i="9"/>
  <c r="N70" i="10"/>
  <c r="N70" i="11"/>
  <c r="N70" i="12"/>
  <c r="N70" i="13"/>
  <c r="N70" i="14"/>
  <c r="N70" i="15"/>
  <c r="N70" i="4"/>
  <c r="N69" i="5"/>
  <c r="N69" i="6"/>
  <c r="N69" i="7"/>
  <c r="N69" i="8"/>
  <c r="N69" i="9"/>
  <c r="N69" i="10"/>
  <c r="N69" i="11"/>
  <c r="N69" i="12"/>
  <c r="N69" i="13"/>
  <c r="N69" i="14"/>
  <c r="N69" i="15"/>
  <c r="N69" i="4"/>
  <c r="AR5" i="72" l="1"/>
  <c r="AR50" i="72" s="1"/>
  <c r="AR95" i="72" s="1"/>
  <c r="AR140" i="72" s="1"/>
  <c r="AR185" i="72" s="1"/>
  <c r="AR230" i="72" s="1"/>
  <c r="AR275" i="72" s="1"/>
  <c r="AR320" i="72" s="1"/>
  <c r="AR365" i="72" s="1"/>
  <c r="AR410" i="72" s="1"/>
  <c r="AR455" i="72" s="1"/>
  <c r="AR500" i="72" s="1"/>
  <c r="BA12" i="72" l="1"/>
  <c r="BA13" i="72"/>
  <c r="BA14" i="72"/>
  <c r="BO21" i="4" l="1"/>
  <c r="BO22" i="4"/>
  <c r="BO23" i="4"/>
  <c r="BO24" i="4"/>
  <c r="BO25" i="4"/>
  <c r="BO26" i="4"/>
  <c r="BO27" i="4"/>
  <c r="BO28" i="4"/>
  <c r="BO29" i="4"/>
  <c r="BO30" i="4"/>
  <c r="BO31" i="4"/>
  <c r="BO32" i="4"/>
  <c r="BO33" i="4"/>
  <c r="BO34" i="4"/>
  <c r="BO35" i="4"/>
  <c r="BO36" i="4"/>
  <c r="BO37" i="4"/>
  <c r="BO38" i="4"/>
  <c r="BO39" i="4"/>
  <c r="BO40" i="4"/>
  <c r="BO41" i="4"/>
  <c r="BO42" i="4"/>
  <c r="BO43" i="4"/>
  <c r="BO44" i="4"/>
  <c r="BO45" i="4"/>
  <c r="BO46" i="4"/>
  <c r="BO47" i="4"/>
  <c r="BO48" i="4"/>
  <c r="BO49" i="4"/>
  <c r="BO50" i="4"/>
  <c r="BO21" i="5"/>
  <c r="BO22" i="5"/>
  <c r="BO23" i="5"/>
  <c r="BO24" i="5"/>
  <c r="BO25" i="5"/>
  <c r="BO26" i="5"/>
  <c r="BO27" i="5"/>
  <c r="BO28" i="5"/>
  <c r="BO29" i="5"/>
  <c r="BO30" i="5"/>
  <c r="BO31" i="5"/>
  <c r="BO32" i="5"/>
  <c r="BO33" i="5"/>
  <c r="BO34" i="5"/>
  <c r="BO35" i="5"/>
  <c r="BO36" i="5"/>
  <c r="BO37" i="5"/>
  <c r="BO38" i="5"/>
  <c r="BO39" i="5"/>
  <c r="BO40" i="5"/>
  <c r="BO41" i="5"/>
  <c r="BO42" i="5"/>
  <c r="BO43" i="5"/>
  <c r="BO44" i="5"/>
  <c r="BO45" i="5"/>
  <c r="BO46" i="5"/>
  <c r="BO47" i="5"/>
  <c r="BO48" i="5"/>
  <c r="BO49" i="5"/>
  <c r="BO50" i="5"/>
  <c r="BO21" i="6"/>
  <c r="BO22" i="6"/>
  <c r="BO23" i="6"/>
  <c r="BO24" i="6"/>
  <c r="BO25" i="6"/>
  <c r="BO26" i="6"/>
  <c r="BO27" i="6"/>
  <c r="BO28" i="6"/>
  <c r="BO29" i="6"/>
  <c r="BO30" i="6"/>
  <c r="BO31" i="6"/>
  <c r="BO32" i="6"/>
  <c r="BO33" i="6"/>
  <c r="BO34" i="6"/>
  <c r="BO35" i="6"/>
  <c r="BO36" i="6"/>
  <c r="BO37" i="6"/>
  <c r="BO38" i="6"/>
  <c r="BO39" i="6"/>
  <c r="BO40" i="6"/>
  <c r="BO41" i="6"/>
  <c r="BO42" i="6"/>
  <c r="BO43" i="6"/>
  <c r="BO44" i="6"/>
  <c r="BO45" i="6"/>
  <c r="BO46" i="6"/>
  <c r="BO47" i="6"/>
  <c r="BO48" i="6"/>
  <c r="BO49" i="6"/>
  <c r="BO50" i="6"/>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21" i="8"/>
  <c r="BO22" i="8"/>
  <c r="BO23" i="8"/>
  <c r="BO24" i="8"/>
  <c r="BO25" i="8"/>
  <c r="BO26" i="8"/>
  <c r="BO27" i="8"/>
  <c r="BO28" i="8"/>
  <c r="BO29" i="8"/>
  <c r="BO30" i="8"/>
  <c r="BO31" i="8"/>
  <c r="BO32" i="8"/>
  <c r="BO33" i="8"/>
  <c r="BO34" i="8"/>
  <c r="BO35" i="8"/>
  <c r="BO36" i="8"/>
  <c r="BO37" i="8"/>
  <c r="BO38" i="8"/>
  <c r="BO39" i="8"/>
  <c r="BO40" i="8"/>
  <c r="BO41" i="8"/>
  <c r="BO42" i="8"/>
  <c r="BO43" i="8"/>
  <c r="BO44" i="8"/>
  <c r="BO45" i="8"/>
  <c r="BO46" i="8"/>
  <c r="BO47" i="8"/>
  <c r="BO48" i="8"/>
  <c r="BO49" i="8"/>
  <c r="BO50" i="8"/>
  <c r="BO21" i="9"/>
  <c r="BO22" i="9"/>
  <c r="BO23" i="9"/>
  <c r="BO24" i="9"/>
  <c r="BO25" i="9"/>
  <c r="BO26" i="9"/>
  <c r="BO27" i="9"/>
  <c r="BO28" i="9"/>
  <c r="BO29" i="9"/>
  <c r="BO30" i="9"/>
  <c r="BO31" i="9"/>
  <c r="BO32" i="9"/>
  <c r="BO33" i="9"/>
  <c r="BO34" i="9"/>
  <c r="BO35" i="9"/>
  <c r="BO36" i="9"/>
  <c r="BO37" i="9"/>
  <c r="BO38" i="9"/>
  <c r="BO39" i="9"/>
  <c r="BO40" i="9"/>
  <c r="BO41" i="9"/>
  <c r="BO42" i="9"/>
  <c r="BO43" i="9"/>
  <c r="BO44" i="9"/>
  <c r="BO45" i="9"/>
  <c r="BO46" i="9"/>
  <c r="BO47" i="9"/>
  <c r="BO48" i="9"/>
  <c r="BO49" i="9"/>
  <c r="BO50" i="9"/>
  <c r="BO21" i="10"/>
  <c r="BO22" i="10"/>
  <c r="BO23" i="10"/>
  <c r="BO24" i="10"/>
  <c r="BO25" i="10"/>
  <c r="BO26" i="10"/>
  <c r="BO27" i="10"/>
  <c r="BO28" i="10"/>
  <c r="BO29" i="10"/>
  <c r="BO30" i="10"/>
  <c r="BO31" i="10"/>
  <c r="BO32" i="10"/>
  <c r="BO33" i="10"/>
  <c r="BO34" i="10"/>
  <c r="BO35" i="10"/>
  <c r="BO36" i="10"/>
  <c r="BO37" i="10"/>
  <c r="BO38" i="10"/>
  <c r="BO39" i="10"/>
  <c r="BO40" i="10"/>
  <c r="BO41" i="10"/>
  <c r="BO42" i="10"/>
  <c r="BO43" i="10"/>
  <c r="BO44" i="10"/>
  <c r="BO45" i="10"/>
  <c r="BO46" i="10"/>
  <c r="BO47" i="10"/>
  <c r="BO48" i="10"/>
  <c r="BO49" i="10"/>
  <c r="BO50" i="10"/>
  <c r="BO21" i="11"/>
  <c r="BO22" i="11"/>
  <c r="BO23" i="11"/>
  <c r="BO24" i="11"/>
  <c r="BO25" i="11"/>
  <c r="BO26" i="11"/>
  <c r="BO27" i="11"/>
  <c r="BO28" i="11"/>
  <c r="BO29" i="11"/>
  <c r="BO30" i="11"/>
  <c r="BO31" i="11"/>
  <c r="BO32" i="11"/>
  <c r="BO33" i="11"/>
  <c r="BO34" i="11"/>
  <c r="BO35" i="11"/>
  <c r="BO36" i="11"/>
  <c r="BO37" i="11"/>
  <c r="BO38" i="11"/>
  <c r="BO39" i="11"/>
  <c r="BO40" i="11"/>
  <c r="BO41" i="11"/>
  <c r="BO42" i="11"/>
  <c r="BO43" i="11"/>
  <c r="BO44" i="11"/>
  <c r="BO45" i="11"/>
  <c r="BO46" i="11"/>
  <c r="BO47" i="11"/>
  <c r="BO48" i="11"/>
  <c r="BO49" i="11"/>
  <c r="BO50" i="11"/>
  <c r="BO21" i="12"/>
  <c r="BO22" i="12"/>
  <c r="BO23" i="12"/>
  <c r="BO24" i="12"/>
  <c r="BO25" i="12"/>
  <c r="BO26" i="12"/>
  <c r="BO27" i="12"/>
  <c r="BO28" i="12"/>
  <c r="BO29" i="12"/>
  <c r="BO30" i="12"/>
  <c r="BO31" i="12"/>
  <c r="BO32" i="12"/>
  <c r="BO33" i="12"/>
  <c r="BO34" i="12"/>
  <c r="BO35" i="12"/>
  <c r="BO36" i="12"/>
  <c r="BO37" i="12"/>
  <c r="BO38" i="12"/>
  <c r="BO39" i="12"/>
  <c r="BO40" i="12"/>
  <c r="BO41" i="12"/>
  <c r="BO42" i="12"/>
  <c r="BO43" i="12"/>
  <c r="BO44" i="12"/>
  <c r="BO45" i="12"/>
  <c r="BO46" i="12"/>
  <c r="BO47" i="12"/>
  <c r="BO48" i="12"/>
  <c r="BO49" i="12"/>
  <c r="BO50" i="12"/>
  <c r="BO21" i="13"/>
  <c r="BO22" i="13"/>
  <c r="BO23" i="13"/>
  <c r="BO24" i="13"/>
  <c r="BO25" i="13"/>
  <c r="BO26" i="13"/>
  <c r="BO27" i="13"/>
  <c r="BO28" i="13"/>
  <c r="BO29" i="13"/>
  <c r="BO30" i="13"/>
  <c r="BO31" i="13"/>
  <c r="BO32" i="13"/>
  <c r="BO33" i="13"/>
  <c r="BO34" i="13"/>
  <c r="BO35" i="13"/>
  <c r="BO36" i="13"/>
  <c r="BO37" i="13"/>
  <c r="BO38" i="13"/>
  <c r="BO39" i="13"/>
  <c r="BO40" i="13"/>
  <c r="BO41" i="13"/>
  <c r="BO42" i="13"/>
  <c r="BO43" i="13"/>
  <c r="BO44" i="13"/>
  <c r="BO45" i="13"/>
  <c r="BO46" i="13"/>
  <c r="BO47" i="13"/>
  <c r="BO48" i="13"/>
  <c r="BO49" i="13"/>
  <c r="BO50" i="13"/>
  <c r="BO21" i="14"/>
  <c r="BO22" i="14"/>
  <c r="BO23" i="14"/>
  <c r="BO24" i="14"/>
  <c r="BO25" i="14"/>
  <c r="BO26" i="14"/>
  <c r="BO27" i="14"/>
  <c r="BO28" i="14"/>
  <c r="BO29" i="14"/>
  <c r="BO30" i="14"/>
  <c r="BO31" i="14"/>
  <c r="BO32" i="14"/>
  <c r="BO33" i="14"/>
  <c r="BO34" i="14"/>
  <c r="BO35" i="14"/>
  <c r="BO36" i="14"/>
  <c r="BO37" i="14"/>
  <c r="BO38" i="14"/>
  <c r="BO39" i="14"/>
  <c r="BO40" i="14"/>
  <c r="BO41" i="14"/>
  <c r="BO42" i="14"/>
  <c r="BO43" i="14"/>
  <c r="BO44" i="14"/>
  <c r="BO45" i="14"/>
  <c r="BO46" i="14"/>
  <c r="BO47" i="14"/>
  <c r="BO48" i="14"/>
  <c r="BO49" i="14"/>
  <c r="BO50" i="14"/>
  <c r="BO21" i="15"/>
  <c r="BO22" i="15"/>
  <c r="BO23" i="15"/>
  <c r="BO24" i="15"/>
  <c r="BO25" i="15"/>
  <c r="BO26" i="15"/>
  <c r="BO27" i="15"/>
  <c r="BO28" i="15"/>
  <c r="BO29" i="15"/>
  <c r="BO30" i="15"/>
  <c r="BO31" i="15"/>
  <c r="BO32" i="15"/>
  <c r="BO33" i="15"/>
  <c r="BO34" i="15"/>
  <c r="BO35" i="15"/>
  <c r="BO36" i="15"/>
  <c r="BO37" i="15"/>
  <c r="BO38" i="15"/>
  <c r="BO39" i="15"/>
  <c r="BO40" i="15"/>
  <c r="BO41" i="15"/>
  <c r="BO42" i="15"/>
  <c r="BO43" i="15"/>
  <c r="BO44" i="15"/>
  <c r="BO45" i="15"/>
  <c r="BO46" i="15"/>
  <c r="BO47" i="15"/>
  <c r="BO48" i="15"/>
  <c r="BO49" i="15"/>
  <c r="BO50" i="15"/>
  <c r="BO20" i="4"/>
  <c r="BO20" i="5"/>
  <c r="BO20" i="6"/>
  <c r="BO20" i="7"/>
  <c r="BO20" i="8"/>
  <c r="BO20" i="9"/>
  <c r="BO20" i="10"/>
  <c r="BO20" i="11"/>
  <c r="BO20" i="12"/>
  <c r="BO20" i="13"/>
  <c r="BO20" i="14"/>
  <c r="BO20" i="15"/>
  <c r="BA537" i="72"/>
  <c r="BA536" i="72"/>
  <c r="BA535" i="72"/>
  <c r="BA534" i="72"/>
  <c r="BA533" i="72"/>
  <c r="BA532" i="72"/>
  <c r="BA531" i="72"/>
  <c r="BA530" i="72"/>
  <c r="BA529" i="72"/>
  <c r="BA528" i="72"/>
  <c r="BA527" i="72"/>
  <c r="BA526" i="72"/>
  <c r="BA525" i="72"/>
  <c r="BA524" i="72"/>
  <c r="BA523" i="72"/>
  <c r="BA522" i="72"/>
  <c r="BA521" i="72"/>
  <c r="BA520" i="72"/>
  <c r="BA519" i="72"/>
  <c r="BA518" i="72"/>
  <c r="BA517" i="72"/>
  <c r="BA516" i="72"/>
  <c r="BA515" i="72"/>
  <c r="BA514" i="72"/>
  <c r="BA513" i="72"/>
  <c r="BA512" i="72"/>
  <c r="BA511" i="72"/>
  <c r="BA510" i="72"/>
  <c r="BA509" i="72"/>
  <c r="BA508" i="72"/>
  <c r="BA507" i="72"/>
  <c r="BA492" i="72"/>
  <c r="BA491" i="72"/>
  <c r="BA490" i="72"/>
  <c r="BA489" i="72"/>
  <c r="BA488" i="72"/>
  <c r="BA487" i="72"/>
  <c r="BA486" i="72"/>
  <c r="BA485" i="72"/>
  <c r="BA484" i="72"/>
  <c r="BA483" i="72"/>
  <c r="BA482" i="72"/>
  <c r="BA481" i="72"/>
  <c r="BA480" i="72"/>
  <c r="BA479" i="72"/>
  <c r="BA478" i="72"/>
  <c r="BA477" i="72"/>
  <c r="BA476" i="72"/>
  <c r="BA475" i="72"/>
  <c r="BA474" i="72"/>
  <c r="BA473" i="72"/>
  <c r="BA472" i="72"/>
  <c r="BA471" i="72"/>
  <c r="BA470" i="72"/>
  <c r="BA469" i="72"/>
  <c r="BA468" i="72"/>
  <c r="BA467" i="72"/>
  <c r="BA466" i="72"/>
  <c r="BA465" i="72"/>
  <c r="BA464" i="72"/>
  <c r="BA463" i="72"/>
  <c r="BA462" i="72"/>
  <c r="BA447" i="72"/>
  <c r="BA446" i="72"/>
  <c r="BA445" i="72"/>
  <c r="BA444" i="72"/>
  <c r="BA443" i="72"/>
  <c r="BA442" i="72"/>
  <c r="BA441" i="72"/>
  <c r="BA440" i="72"/>
  <c r="BA439" i="72"/>
  <c r="BA438" i="72"/>
  <c r="BA437" i="72"/>
  <c r="BA436" i="72"/>
  <c r="BA435" i="72"/>
  <c r="BA434" i="72"/>
  <c r="BA433" i="72"/>
  <c r="BA432" i="72"/>
  <c r="BA431" i="72"/>
  <c r="BA430" i="72"/>
  <c r="BA429" i="72"/>
  <c r="BA428" i="72"/>
  <c r="BA427" i="72"/>
  <c r="BA426" i="72"/>
  <c r="BA425" i="72"/>
  <c r="BA424" i="72"/>
  <c r="BA423" i="72"/>
  <c r="BA422" i="72"/>
  <c r="BA421" i="72"/>
  <c r="BA420" i="72"/>
  <c r="BA419" i="72"/>
  <c r="BA418" i="72"/>
  <c r="BA417" i="72"/>
  <c r="BA402" i="72"/>
  <c r="BA401" i="72"/>
  <c r="BA400" i="72"/>
  <c r="BA399" i="72"/>
  <c r="BA398" i="72"/>
  <c r="BA397" i="72"/>
  <c r="BA396" i="72"/>
  <c r="BA395" i="72"/>
  <c r="BA394" i="72"/>
  <c r="BA393" i="72"/>
  <c r="BA392" i="72"/>
  <c r="BA391" i="72"/>
  <c r="BA390" i="72"/>
  <c r="BA389" i="72"/>
  <c r="BA388" i="72"/>
  <c r="BA387" i="72"/>
  <c r="BA386" i="72"/>
  <c r="BA385" i="72"/>
  <c r="BA384" i="72"/>
  <c r="BA383" i="72"/>
  <c r="BA382" i="72"/>
  <c r="BA381" i="72"/>
  <c r="BA380" i="72"/>
  <c r="BA379" i="72"/>
  <c r="BA378" i="72"/>
  <c r="BA377" i="72"/>
  <c r="BA376" i="72"/>
  <c r="BA375" i="72"/>
  <c r="BA374" i="72"/>
  <c r="BA373" i="72"/>
  <c r="BA372" i="72"/>
  <c r="BA357" i="72"/>
  <c r="BA356" i="72"/>
  <c r="BA355" i="72"/>
  <c r="BA354" i="72"/>
  <c r="BA353" i="72"/>
  <c r="BA352" i="72"/>
  <c r="BA351" i="72"/>
  <c r="BA350" i="72"/>
  <c r="BA349" i="72"/>
  <c r="BA348" i="72"/>
  <c r="BA347" i="72"/>
  <c r="BA346" i="72"/>
  <c r="BA345" i="72"/>
  <c r="BA344" i="72"/>
  <c r="BA343" i="72"/>
  <c r="BA342" i="72"/>
  <c r="BA341" i="72"/>
  <c r="BA340" i="72"/>
  <c r="BA339" i="72"/>
  <c r="BA338" i="72"/>
  <c r="BA337" i="72"/>
  <c r="BA336" i="72"/>
  <c r="BA335" i="72"/>
  <c r="BA334" i="72"/>
  <c r="BA333" i="72"/>
  <c r="BA332" i="72"/>
  <c r="BA331" i="72"/>
  <c r="BA330" i="72"/>
  <c r="BA329" i="72"/>
  <c r="BA328" i="72"/>
  <c r="BA327" i="72"/>
  <c r="BA312" i="72"/>
  <c r="BA311" i="72"/>
  <c r="BA310" i="72"/>
  <c r="BA309" i="72"/>
  <c r="BA308" i="72"/>
  <c r="BA307" i="72"/>
  <c r="BA306" i="72"/>
  <c r="BA305" i="72"/>
  <c r="BA304" i="72"/>
  <c r="BA303" i="72"/>
  <c r="BA302" i="72"/>
  <c r="BA301" i="72"/>
  <c r="BA300" i="72"/>
  <c r="BA299" i="72"/>
  <c r="BA298" i="72"/>
  <c r="BA297" i="72"/>
  <c r="BA296" i="72"/>
  <c r="BA295" i="72"/>
  <c r="BA294" i="72"/>
  <c r="BA293" i="72"/>
  <c r="BA292" i="72"/>
  <c r="BA291" i="72"/>
  <c r="BA290" i="72"/>
  <c r="BA289" i="72"/>
  <c r="BA288" i="72"/>
  <c r="BA287" i="72"/>
  <c r="BA286" i="72"/>
  <c r="BA285" i="72"/>
  <c r="BA284" i="72"/>
  <c r="BA283" i="72"/>
  <c r="BA282" i="72"/>
  <c r="BA267" i="72"/>
  <c r="BA266" i="72"/>
  <c r="BA265" i="72"/>
  <c r="BA264" i="72"/>
  <c r="BA263" i="72"/>
  <c r="BA262" i="72"/>
  <c r="BA261" i="72"/>
  <c r="BA260" i="72"/>
  <c r="BA259" i="72"/>
  <c r="BA258" i="72"/>
  <c r="BA257" i="72"/>
  <c r="BA256" i="72"/>
  <c r="BA255" i="72"/>
  <c r="BA254" i="72"/>
  <c r="BA253" i="72"/>
  <c r="BA252" i="72"/>
  <c r="BA251" i="72"/>
  <c r="BA250" i="72"/>
  <c r="BA249" i="72"/>
  <c r="BA248" i="72"/>
  <c r="BA247" i="72"/>
  <c r="BA246" i="72"/>
  <c r="BA245" i="72"/>
  <c r="BA244" i="72"/>
  <c r="BA243" i="72"/>
  <c r="BA242" i="72"/>
  <c r="BA241" i="72"/>
  <c r="BA240" i="72"/>
  <c r="BA239" i="72"/>
  <c r="BA238" i="72"/>
  <c r="BA237" i="72"/>
  <c r="BA222" i="72"/>
  <c r="BA221" i="72"/>
  <c r="BA220" i="72"/>
  <c r="BA219" i="72"/>
  <c r="BA218" i="72"/>
  <c r="BA217" i="72"/>
  <c r="BA216" i="72"/>
  <c r="BA215" i="72"/>
  <c r="BA214" i="72"/>
  <c r="BA213" i="72"/>
  <c r="BA212" i="72"/>
  <c r="BA211" i="72"/>
  <c r="BA210" i="72"/>
  <c r="BA209" i="72"/>
  <c r="BA208" i="72"/>
  <c r="BA207" i="72"/>
  <c r="BA206" i="72"/>
  <c r="BA205" i="72"/>
  <c r="BA204" i="72"/>
  <c r="BA203" i="72"/>
  <c r="BA202" i="72"/>
  <c r="BA201" i="72"/>
  <c r="BA200" i="72"/>
  <c r="BA199" i="72"/>
  <c r="BA198" i="72"/>
  <c r="BA197" i="72"/>
  <c r="BA196" i="72"/>
  <c r="BA195" i="72"/>
  <c r="BA194" i="72"/>
  <c r="BA193" i="72"/>
  <c r="BA192" i="72"/>
  <c r="BA177" i="72"/>
  <c r="BA176" i="72"/>
  <c r="BA175" i="72"/>
  <c r="BA174" i="72"/>
  <c r="BA173" i="72"/>
  <c r="BA172" i="72"/>
  <c r="BA171" i="72"/>
  <c r="BA170" i="72"/>
  <c r="BA169" i="72"/>
  <c r="BA168" i="72"/>
  <c r="BA167" i="72"/>
  <c r="BA166" i="72"/>
  <c r="BA165" i="72"/>
  <c r="BA164" i="72"/>
  <c r="BA163" i="72"/>
  <c r="BA162" i="72"/>
  <c r="BA161" i="72"/>
  <c r="BA160" i="72"/>
  <c r="BA159" i="72"/>
  <c r="BA158" i="72"/>
  <c r="BA157" i="72"/>
  <c r="BA156" i="72"/>
  <c r="BA155" i="72"/>
  <c r="BA154" i="72"/>
  <c r="BA153" i="72"/>
  <c r="BA152" i="72"/>
  <c r="BA151" i="72"/>
  <c r="BA150" i="72"/>
  <c r="BA149" i="72"/>
  <c r="BA148" i="72"/>
  <c r="BA147" i="72"/>
  <c r="BA132" i="72"/>
  <c r="BA131" i="72"/>
  <c r="BA130" i="72"/>
  <c r="BA129" i="72"/>
  <c r="BA128" i="72"/>
  <c r="BA127" i="72"/>
  <c r="BA126" i="72"/>
  <c r="BA125" i="72"/>
  <c r="BA124" i="72"/>
  <c r="BA123" i="72"/>
  <c r="BA122" i="72"/>
  <c r="BA121" i="72"/>
  <c r="BA120" i="72"/>
  <c r="BA119" i="72"/>
  <c r="BA118" i="72"/>
  <c r="BA117" i="72"/>
  <c r="BA116" i="72"/>
  <c r="BA115" i="72"/>
  <c r="BA114" i="72"/>
  <c r="BA113" i="72"/>
  <c r="BA112" i="72"/>
  <c r="BA111" i="72"/>
  <c r="BA110" i="72"/>
  <c r="BA109" i="72"/>
  <c r="BA108" i="72"/>
  <c r="BA107" i="72"/>
  <c r="BA106" i="72"/>
  <c r="BA105" i="72"/>
  <c r="BA104" i="72"/>
  <c r="BA103" i="72"/>
  <c r="BA102" i="72"/>
  <c r="BA87" i="72"/>
  <c r="BA86" i="72"/>
  <c r="BA85" i="72"/>
  <c r="BA84" i="72"/>
  <c r="BA83" i="72"/>
  <c r="BA82" i="72"/>
  <c r="BA81" i="72"/>
  <c r="BA80" i="72"/>
  <c r="BA79" i="72"/>
  <c r="BA78" i="72"/>
  <c r="BA77" i="72"/>
  <c r="BA76" i="72"/>
  <c r="BA75" i="72"/>
  <c r="BA74" i="72"/>
  <c r="BA73" i="72"/>
  <c r="BA72" i="72"/>
  <c r="BA71" i="72"/>
  <c r="BA70" i="72"/>
  <c r="BA69" i="72"/>
  <c r="BA68" i="72"/>
  <c r="BA67" i="72"/>
  <c r="BA66" i="72"/>
  <c r="BA65" i="72"/>
  <c r="BA64" i="72"/>
  <c r="BA63" i="72"/>
  <c r="BA62" i="72"/>
  <c r="BA61" i="72"/>
  <c r="BA60" i="72"/>
  <c r="BA59" i="72"/>
  <c r="BA58" i="72"/>
  <c r="BA57" i="72"/>
  <c r="BA16" i="72"/>
  <c r="BA18" i="72"/>
  <c r="BA20" i="72"/>
  <c r="BA22" i="72"/>
  <c r="BA24" i="72"/>
  <c r="BA26" i="72"/>
  <c r="BA28" i="72"/>
  <c r="BA30" i="72"/>
  <c r="BA32" i="72"/>
  <c r="BA34" i="72"/>
  <c r="BA36" i="72"/>
  <c r="BA38" i="72"/>
  <c r="BA40" i="72"/>
  <c r="BA42" i="72"/>
  <c r="EX13" i="4" l="1"/>
  <c r="AN500" i="72"/>
  <c r="AL500" i="72"/>
  <c r="BJ500" i="72" s="1"/>
  <c r="AN455" i="72"/>
  <c r="AL455" i="72"/>
  <c r="BJ455" i="72" s="1"/>
  <c r="AN410" i="72"/>
  <c r="AL410" i="72"/>
  <c r="BJ410" i="72" s="1"/>
  <c r="AN365" i="72"/>
  <c r="AL365" i="72"/>
  <c r="BJ365" i="72" s="1"/>
  <c r="AN320" i="72"/>
  <c r="AL320" i="72"/>
  <c r="BJ320" i="72" s="1"/>
  <c r="AN275" i="72"/>
  <c r="AL275" i="72"/>
  <c r="BJ275" i="72" s="1"/>
  <c r="AN230" i="72"/>
  <c r="AL230" i="72"/>
  <c r="BJ230" i="72" s="1"/>
  <c r="AN185" i="72"/>
  <c r="AL185" i="72"/>
  <c r="BJ185" i="72" s="1"/>
  <c r="AN140" i="72"/>
  <c r="AL140" i="72"/>
  <c r="BJ140" i="72" s="1"/>
  <c r="AN95" i="72"/>
  <c r="AL95" i="72"/>
  <c r="BJ95" i="72" s="1"/>
  <c r="AN50" i="72"/>
  <c r="AL50" i="72"/>
  <c r="BJ50" i="72" s="1"/>
  <c r="AL5" i="72"/>
  <c r="BJ6" i="72" s="1"/>
  <c r="AN5" i="72"/>
  <c r="AR13" i="5"/>
  <c r="EY21" i="4"/>
  <c r="EZ21" i="4"/>
  <c r="EY22" i="4"/>
  <c r="EZ22" i="4"/>
  <c r="EY23" i="4"/>
  <c r="EZ23" i="4"/>
  <c r="EY24" i="4"/>
  <c r="EZ24" i="4"/>
  <c r="EY25" i="4"/>
  <c r="EZ25" i="4"/>
  <c r="EY26" i="4"/>
  <c r="EZ26" i="4"/>
  <c r="EY27" i="4"/>
  <c r="EZ27" i="4"/>
  <c r="EY28" i="4"/>
  <c r="EZ28" i="4"/>
  <c r="EY29" i="4"/>
  <c r="EZ29" i="4"/>
  <c r="EY30" i="4"/>
  <c r="EZ30" i="4"/>
  <c r="EY31" i="4"/>
  <c r="EZ31" i="4"/>
  <c r="EY32" i="4"/>
  <c r="EZ32" i="4"/>
  <c r="EY33" i="4"/>
  <c r="EZ33" i="4"/>
  <c r="EY34" i="4"/>
  <c r="EZ34" i="4"/>
  <c r="EY35" i="4"/>
  <c r="EZ35" i="4"/>
  <c r="EY36" i="4"/>
  <c r="EZ36" i="4"/>
  <c r="EY37" i="4"/>
  <c r="EZ37" i="4"/>
  <c r="EY38" i="4"/>
  <c r="EZ38" i="4"/>
  <c r="EY39" i="4"/>
  <c r="EZ39" i="4"/>
  <c r="EY40" i="4"/>
  <c r="EZ40" i="4"/>
  <c r="EY41" i="4"/>
  <c r="EZ41" i="4"/>
  <c r="EY42" i="4"/>
  <c r="EZ42" i="4"/>
  <c r="EY43" i="4"/>
  <c r="EZ43" i="4"/>
  <c r="EY44" i="4"/>
  <c r="EZ44" i="4"/>
  <c r="EY45" i="4"/>
  <c r="EZ45" i="4"/>
  <c r="EY46" i="4"/>
  <c r="EZ46" i="4"/>
  <c r="EY47" i="4"/>
  <c r="EZ47" i="4"/>
  <c r="EY48" i="4"/>
  <c r="EZ48" i="4"/>
  <c r="EY49" i="4"/>
  <c r="EZ49" i="4"/>
  <c r="EY50" i="4"/>
  <c r="EZ50" i="4"/>
  <c r="EY21" i="5"/>
  <c r="EZ21" i="5"/>
  <c r="EY22" i="5"/>
  <c r="EZ22" i="5"/>
  <c r="EY23" i="5"/>
  <c r="EZ23" i="5"/>
  <c r="EY24" i="5"/>
  <c r="EZ24" i="5"/>
  <c r="EY25" i="5"/>
  <c r="EZ25" i="5"/>
  <c r="EY26" i="5"/>
  <c r="EZ26" i="5"/>
  <c r="EY27" i="5"/>
  <c r="EZ27" i="5"/>
  <c r="EY28" i="5"/>
  <c r="EZ28" i="5"/>
  <c r="EY29" i="5"/>
  <c r="EZ29" i="5"/>
  <c r="EY30" i="5"/>
  <c r="EZ30" i="5"/>
  <c r="EY31" i="5"/>
  <c r="EZ31" i="5"/>
  <c r="EY32" i="5"/>
  <c r="EZ32" i="5"/>
  <c r="EY33" i="5"/>
  <c r="EZ33" i="5"/>
  <c r="EY34" i="5"/>
  <c r="EZ34" i="5"/>
  <c r="EY35" i="5"/>
  <c r="EZ35" i="5"/>
  <c r="EY36" i="5"/>
  <c r="EZ36" i="5"/>
  <c r="EY37" i="5"/>
  <c r="EZ37" i="5"/>
  <c r="EY38" i="5"/>
  <c r="EZ38" i="5"/>
  <c r="EY39" i="5"/>
  <c r="EZ39" i="5"/>
  <c r="EY40" i="5"/>
  <c r="EZ40" i="5"/>
  <c r="EY41" i="5"/>
  <c r="EZ41" i="5"/>
  <c r="EY42" i="5"/>
  <c r="EZ42" i="5"/>
  <c r="EY43" i="5"/>
  <c r="EZ43" i="5"/>
  <c r="EY44" i="5"/>
  <c r="EZ44" i="5"/>
  <c r="EY45" i="5"/>
  <c r="EZ45" i="5"/>
  <c r="EY46" i="5"/>
  <c r="EZ46" i="5"/>
  <c r="EY47" i="5"/>
  <c r="EZ47" i="5"/>
  <c r="EY48" i="5"/>
  <c r="EZ48" i="5"/>
  <c r="EY49" i="5"/>
  <c r="EZ49" i="5"/>
  <c r="EY50" i="5"/>
  <c r="EZ50" i="5"/>
  <c r="EY21" i="6"/>
  <c r="EZ21" i="6"/>
  <c r="EY22" i="6"/>
  <c r="EZ22" i="6"/>
  <c r="EY23" i="6"/>
  <c r="EZ23" i="6"/>
  <c r="EY24" i="6"/>
  <c r="EZ24" i="6"/>
  <c r="EY25" i="6"/>
  <c r="EZ25" i="6"/>
  <c r="EY26" i="6"/>
  <c r="EZ26" i="6"/>
  <c r="EY27" i="6"/>
  <c r="EZ27" i="6"/>
  <c r="EY28" i="6"/>
  <c r="EZ28" i="6"/>
  <c r="EY29" i="6"/>
  <c r="EZ29" i="6"/>
  <c r="EY30" i="6"/>
  <c r="EZ30" i="6"/>
  <c r="EY31" i="6"/>
  <c r="EZ31" i="6"/>
  <c r="EY32" i="6"/>
  <c r="EZ32" i="6"/>
  <c r="EY33" i="6"/>
  <c r="EZ33" i="6"/>
  <c r="EY34" i="6"/>
  <c r="EZ34" i="6"/>
  <c r="EY35" i="6"/>
  <c r="EZ35" i="6"/>
  <c r="EY36" i="6"/>
  <c r="EZ36" i="6"/>
  <c r="EY37" i="6"/>
  <c r="EZ37" i="6"/>
  <c r="EY38" i="6"/>
  <c r="EZ38" i="6"/>
  <c r="EY39" i="6"/>
  <c r="EZ39" i="6"/>
  <c r="EY40" i="6"/>
  <c r="EZ40" i="6"/>
  <c r="EY41" i="6"/>
  <c r="EZ41" i="6"/>
  <c r="EY42" i="6"/>
  <c r="EZ42" i="6"/>
  <c r="EY43" i="6"/>
  <c r="EZ43" i="6"/>
  <c r="EY44" i="6"/>
  <c r="EZ44" i="6"/>
  <c r="EY45" i="6"/>
  <c r="EZ45" i="6"/>
  <c r="EY46" i="6"/>
  <c r="EZ46" i="6"/>
  <c r="EY47" i="6"/>
  <c r="EZ47" i="6"/>
  <c r="EY48" i="6"/>
  <c r="EZ48" i="6"/>
  <c r="EY49" i="6"/>
  <c r="EZ49" i="6"/>
  <c r="EY50" i="6"/>
  <c r="EZ50" i="6"/>
  <c r="EY21" i="7"/>
  <c r="EZ21" i="7"/>
  <c r="EY22" i="7"/>
  <c r="EZ22" i="7"/>
  <c r="EY23" i="7"/>
  <c r="EZ23" i="7"/>
  <c r="EY24" i="7"/>
  <c r="EZ24" i="7"/>
  <c r="EY25" i="7"/>
  <c r="EZ25" i="7"/>
  <c r="EY26" i="7"/>
  <c r="EZ26" i="7"/>
  <c r="EY27" i="7"/>
  <c r="EZ27" i="7"/>
  <c r="EY28" i="7"/>
  <c r="EZ28" i="7"/>
  <c r="EY29" i="7"/>
  <c r="EZ29" i="7"/>
  <c r="EY30" i="7"/>
  <c r="EZ30" i="7"/>
  <c r="EY31" i="7"/>
  <c r="EZ31" i="7"/>
  <c r="EY32" i="7"/>
  <c r="EZ32" i="7"/>
  <c r="EY33" i="7"/>
  <c r="EZ33" i="7"/>
  <c r="EY34" i="7"/>
  <c r="EZ34" i="7"/>
  <c r="EY35" i="7"/>
  <c r="EZ35" i="7"/>
  <c r="EY36" i="7"/>
  <c r="EZ36" i="7"/>
  <c r="EY37" i="7"/>
  <c r="EZ37" i="7"/>
  <c r="EY38" i="7"/>
  <c r="EZ38" i="7"/>
  <c r="EY39" i="7"/>
  <c r="EZ39" i="7"/>
  <c r="EY40" i="7"/>
  <c r="EZ40" i="7"/>
  <c r="EY41" i="7"/>
  <c r="EZ41" i="7"/>
  <c r="EY42" i="7"/>
  <c r="EZ42" i="7"/>
  <c r="EY43" i="7"/>
  <c r="EZ43" i="7"/>
  <c r="EY44" i="7"/>
  <c r="EZ44" i="7"/>
  <c r="EY45" i="7"/>
  <c r="EZ45" i="7"/>
  <c r="EY46" i="7"/>
  <c r="EZ46" i="7"/>
  <c r="EY47" i="7"/>
  <c r="EZ47" i="7"/>
  <c r="EY48" i="7"/>
  <c r="EZ48" i="7"/>
  <c r="EY49" i="7"/>
  <c r="EZ49" i="7"/>
  <c r="EY50" i="7"/>
  <c r="EZ50" i="7"/>
  <c r="EY21" i="8"/>
  <c r="EZ21" i="8"/>
  <c r="EY22" i="8"/>
  <c r="EZ22" i="8"/>
  <c r="EY23" i="8"/>
  <c r="EZ23" i="8"/>
  <c r="EY24" i="8"/>
  <c r="EZ24" i="8"/>
  <c r="EY25" i="8"/>
  <c r="EZ25" i="8"/>
  <c r="EY26" i="8"/>
  <c r="EZ26" i="8"/>
  <c r="EY27" i="8"/>
  <c r="EZ27" i="8"/>
  <c r="EY28" i="8"/>
  <c r="EZ28" i="8"/>
  <c r="EY29" i="8"/>
  <c r="EZ29" i="8"/>
  <c r="EY30" i="8"/>
  <c r="EZ30" i="8"/>
  <c r="EY31" i="8"/>
  <c r="EZ31" i="8"/>
  <c r="EY32" i="8"/>
  <c r="EZ32" i="8"/>
  <c r="EY33" i="8"/>
  <c r="EZ33" i="8"/>
  <c r="EY34" i="8"/>
  <c r="EZ34" i="8"/>
  <c r="EY35" i="8"/>
  <c r="EZ35" i="8"/>
  <c r="EY36" i="8"/>
  <c r="EZ36" i="8"/>
  <c r="EY37" i="8"/>
  <c r="EZ37" i="8"/>
  <c r="EY38" i="8"/>
  <c r="EZ38" i="8"/>
  <c r="EY39" i="8"/>
  <c r="EZ39" i="8"/>
  <c r="EY40" i="8"/>
  <c r="EZ40" i="8"/>
  <c r="EY41" i="8"/>
  <c r="EZ41" i="8"/>
  <c r="EY42" i="8"/>
  <c r="EZ42" i="8"/>
  <c r="EY43" i="8"/>
  <c r="EZ43" i="8"/>
  <c r="EY44" i="8"/>
  <c r="EZ44" i="8"/>
  <c r="EY45" i="8"/>
  <c r="EZ45" i="8"/>
  <c r="EY46" i="8"/>
  <c r="EZ46" i="8"/>
  <c r="EY47" i="8"/>
  <c r="EZ47" i="8"/>
  <c r="EY48" i="8"/>
  <c r="EZ48" i="8"/>
  <c r="EY49" i="8"/>
  <c r="EZ49" i="8"/>
  <c r="EY50" i="8"/>
  <c r="EZ50" i="8"/>
  <c r="EY21" i="9"/>
  <c r="EZ21" i="9"/>
  <c r="EY22" i="9"/>
  <c r="EZ22" i="9"/>
  <c r="EY23" i="9"/>
  <c r="EZ23" i="9"/>
  <c r="EY24" i="9"/>
  <c r="EZ24" i="9"/>
  <c r="EY25" i="9"/>
  <c r="EZ25" i="9"/>
  <c r="EY26" i="9"/>
  <c r="EZ26" i="9"/>
  <c r="EY27" i="9"/>
  <c r="EZ27" i="9"/>
  <c r="EY28" i="9"/>
  <c r="EZ28" i="9"/>
  <c r="EY29" i="9"/>
  <c r="EZ29" i="9"/>
  <c r="EY30" i="9"/>
  <c r="EZ30" i="9"/>
  <c r="EY31" i="9"/>
  <c r="EZ31" i="9"/>
  <c r="EY32" i="9"/>
  <c r="EZ32" i="9"/>
  <c r="EY33" i="9"/>
  <c r="EZ33" i="9"/>
  <c r="EY34" i="9"/>
  <c r="EZ34" i="9"/>
  <c r="EY35" i="9"/>
  <c r="EZ35" i="9"/>
  <c r="EY36" i="9"/>
  <c r="EZ36" i="9"/>
  <c r="EY37" i="9"/>
  <c r="EZ37" i="9"/>
  <c r="EY38" i="9"/>
  <c r="EZ38" i="9"/>
  <c r="EY39" i="9"/>
  <c r="EZ39" i="9"/>
  <c r="EY40" i="9"/>
  <c r="EZ40" i="9"/>
  <c r="EY41" i="9"/>
  <c r="EZ41" i="9"/>
  <c r="EY42" i="9"/>
  <c r="EZ42" i="9"/>
  <c r="EY43" i="9"/>
  <c r="EZ43" i="9"/>
  <c r="EY44" i="9"/>
  <c r="EZ44" i="9"/>
  <c r="EY45" i="9"/>
  <c r="EZ45" i="9"/>
  <c r="EY46" i="9"/>
  <c r="EZ46" i="9"/>
  <c r="EY47" i="9"/>
  <c r="EZ47" i="9"/>
  <c r="EY48" i="9"/>
  <c r="EZ48" i="9"/>
  <c r="EY49" i="9"/>
  <c r="EZ49" i="9"/>
  <c r="EY50" i="9"/>
  <c r="EZ50" i="9"/>
  <c r="EY21" i="10"/>
  <c r="EZ21" i="10"/>
  <c r="EY22" i="10"/>
  <c r="EZ22" i="10"/>
  <c r="EY23" i="10"/>
  <c r="EZ23" i="10"/>
  <c r="EY24" i="10"/>
  <c r="EZ24" i="10"/>
  <c r="EY25" i="10"/>
  <c r="EZ25" i="10"/>
  <c r="EY26" i="10"/>
  <c r="EZ26" i="10"/>
  <c r="EY27" i="10"/>
  <c r="EZ27" i="10"/>
  <c r="EY28" i="10"/>
  <c r="EZ28" i="10"/>
  <c r="EY29" i="10"/>
  <c r="EZ29" i="10"/>
  <c r="EY30" i="10"/>
  <c r="EZ30" i="10"/>
  <c r="EY31" i="10"/>
  <c r="EZ31" i="10"/>
  <c r="EY32" i="10"/>
  <c r="EZ32" i="10"/>
  <c r="EY33" i="10"/>
  <c r="EZ33" i="10"/>
  <c r="EY34" i="10"/>
  <c r="EZ34" i="10"/>
  <c r="EY35" i="10"/>
  <c r="EZ35" i="10"/>
  <c r="EY36" i="10"/>
  <c r="EZ36" i="10"/>
  <c r="EY37" i="10"/>
  <c r="EZ37" i="10"/>
  <c r="EY38" i="10"/>
  <c r="EZ38" i="10"/>
  <c r="EY39" i="10"/>
  <c r="EZ39" i="10"/>
  <c r="EY40" i="10"/>
  <c r="EZ40" i="10"/>
  <c r="EY41" i="10"/>
  <c r="EZ41" i="10"/>
  <c r="EY42" i="10"/>
  <c r="EZ42" i="10"/>
  <c r="EY43" i="10"/>
  <c r="EZ43" i="10"/>
  <c r="EY44" i="10"/>
  <c r="EZ44" i="10"/>
  <c r="EY45" i="10"/>
  <c r="EZ45" i="10"/>
  <c r="EY46" i="10"/>
  <c r="EZ46" i="10"/>
  <c r="EY47" i="10"/>
  <c r="EZ47" i="10"/>
  <c r="EY48" i="10"/>
  <c r="EZ48" i="10"/>
  <c r="EY49" i="10"/>
  <c r="EZ49" i="10"/>
  <c r="EY50" i="10"/>
  <c r="EZ50" i="10"/>
  <c r="EY21" i="11"/>
  <c r="EZ21" i="11"/>
  <c r="EY22" i="11"/>
  <c r="EZ22" i="11"/>
  <c r="EY23" i="11"/>
  <c r="EZ23" i="11"/>
  <c r="EY24" i="11"/>
  <c r="EZ24" i="11"/>
  <c r="EY25" i="11"/>
  <c r="EZ25" i="11"/>
  <c r="EY26" i="11"/>
  <c r="EZ26" i="11"/>
  <c r="EY27" i="11"/>
  <c r="EZ27" i="11"/>
  <c r="EY28" i="11"/>
  <c r="EZ28" i="11"/>
  <c r="EY29" i="11"/>
  <c r="EZ29" i="11"/>
  <c r="EY30" i="11"/>
  <c r="EZ30" i="11"/>
  <c r="EY31" i="11"/>
  <c r="EZ31" i="11"/>
  <c r="EY32" i="11"/>
  <c r="EZ32" i="11"/>
  <c r="EY33" i="11"/>
  <c r="EZ33" i="11"/>
  <c r="EY34" i="11"/>
  <c r="EZ34" i="11"/>
  <c r="EY35" i="11"/>
  <c r="EZ35" i="11"/>
  <c r="EY36" i="11"/>
  <c r="EZ36" i="11"/>
  <c r="EY37" i="11"/>
  <c r="EZ37" i="11"/>
  <c r="EY38" i="11"/>
  <c r="EZ38" i="11"/>
  <c r="EY39" i="11"/>
  <c r="EZ39" i="11"/>
  <c r="EY40" i="11"/>
  <c r="EZ40" i="11"/>
  <c r="EY41" i="11"/>
  <c r="EZ41" i="11"/>
  <c r="EY42" i="11"/>
  <c r="EZ42" i="11"/>
  <c r="EY43" i="11"/>
  <c r="EZ43" i="11"/>
  <c r="EY44" i="11"/>
  <c r="EZ44" i="11"/>
  <c r="EY45" i="11"/>
  <c r="EZ45" i="11"/>
  <c r="EY46" i="11"/>
  <c r="EZ46" i="11"/>
  <c r="EY47" i="11"/>
  <c r="EZ47" i="11"/>
  <c r="EY48" i="11"/>
  <c r="EZ48" i="11"/>
  <c r="EY49" i="11"/>
  <c r="EZ49" i="11"/>
  <c r="EY50" i="11"/>
  <c r="EZ50" i="11"/>
  <c r="EY21" i="12"/>
  <c r="EZ21" i="12"/>
  <c r="EY22" i="12"/>
  <c r="EZ22" i="12"/>
  <c r="EY23" i="12"/>
  <c r="EZ23" i="12"/>
  <c r="EY24" i="12"/>
  <c r="EZ24" i="12"/>
  <c r="EY25" i="12"/>
  <c r="EZ25" i="12"/>
  <c r="EY26" i="12"/>
  <c r="EZ26" i="12"/>
  <c r="EY27" i="12"/>
  <c r="EZ27" i="12"/>
  <c r="EY28" i="12"/>
  <c r="EZ28" i="12"/>
  <c r="EY29" i="12"/>
  <c r="EZ29" i="12"/>
  <c r="EY30" i="12"/>
  <c r="EZ30" i="12"/>
  <c r="EY31" i="12"/>
  <c r="EZ31" i="12"/>
  <c r="EY32" i="12"/>
  <c r="EZ32" i="12"/>
  <c r="EY33" i="12"/>
  <c r="EZ33" i="12"/>
  <c r="EY34" i="12"/>
  <c r="EZ34" i="12"/>
  <c r="EY35" i="12"/>
  <c r="EZ35" i="12"/>
  <c r="EY36" i="12"/>
  <c r="EZ36" i="12"/>
  <c r="EY37" i="12"/>
  <c r="EZ37" i="12"/>
  <c r="EY38" i="12"/>
  <c r="EZ38" i="12"/>
  <c r="EY39" i="12"/>
  <c r="EZ39" i="12"/>
  <c r="EY40" i="12"/>
  <c r="EZ40" i="12"/>
  <c r="EY41" i="12"/>
  <c r="EZ41" i="12"/>
  <c r="EY42" i="12"/>
  <c r="EZ42" i="12"/>
  <c r="EY43" i="12"/>
  <c r="EZ43" i="12"/>
  <c r="EY44" i="12"/>
  <c r="EZ44" i="12"/>
  <c r="EY45" i="12"/>
  <c r="EZ45" i="12"/>
  <c r="EY46" i="12"/>
  <c r="EZ46" i="12"/>
  <c r="EY47" i="12"/>
  <c r="EZ47" i="12"/>
  <c r="EY48" i="12"/>
  <c r="EZ48" i="12"/>
  <c r="EY49" i="12"/>
  <c r="EZ49" i="12"/>
  <c r="EY50" i="12"/>
  <c r="EZ50" i="12"/>
  <c r="EY21" i="13"/>
  <c r="EZ21" i="13"/>
  <c r="EY22" i="13"/>
  <c r="EZ22" i="13"/>
  <c r="EY23" i="13"/>
  <c r="EZ23" i="13"/>
  <c r="EY24" i="13"/>
  <c r="EZ24" i="13"/>
  <c r="EY25" i="13"/>
  <c r="EZ25" i="13"/>
  <c r="EY26" i="13"/>
  <c r="EZ26" i="13"/>
  <c r="EY27" i="13"/>
  <c r="EZ27" i="13"/>
  <c r="EY28" i="13"/>
  <c r="EZ28" i="13"/>
  <c r="EY29" i="13"/>
  <c r="EZ29" i="13"/>
  <c r="EY30" i="13"/>
  <c r="EZ30" i="13"/>
  <c r="EY31" i="13"/>
  <c r="EZ31" i="13"/>
  <c r="EY32" i="13"/>
  <c r="EZ32" i="13"/>
  <c r="EY33" i="13"/>
  <c r="EZ33" i="13"/>
  <c r="EY34" i="13"/>
  <c r="EZ34" i="13"/>
  <c r="EY35" i="13"/>
  <c r="EZ35" i="13"/>
  <c r="EY36" i="13"/>
  <c r="EZ36" i="13"/>
  <c r="EY37" i="13"/>
  <c r="EZ37" i="13"/>
  <c r="EY38" i="13"/>
  <c r="EZ38" i="13"/>
  <c r="EY39" i="13"/>
  <c r="EZ39" i="13"/>
  <c r="EY40" i="13"/>
  <c r="EZ40" i="13"/>
  <c r="EY41" i="13"/>
  <c r="EZ41" i="13"/>
  <c r="EY42" i="13"/>
  <c r="EZ42" i="13"/>
  <c r="EY43" i="13"/>
  <c r="EZ43" i="13"/>
  <c r="EY44" i="13"/>
  <c r="EZ44" i="13"/>
  <c r="EY45" i="13"/>
  <c r="EZ45" i="13"/>
  <c r="EY46" i="13"/>
  <c r="EZ46" i="13"/>
  <c r="EY47" i="13"/>
  <c r="EZ47" i="13"/>
  <c r="EY48" i="13"/>
  <c r="EZ48" i="13"/>
  <c r="EY49" i="13"/>
  <c r="EZ49" i="13"/>
  <c r="EY50" i="13"/>
  <c r="EZ50" i="13"/>
  <c r="EY21" i="14"/>
  <c r="EZ21" i="14"/>
  <c r="EY22" i="14"/>
  <c r="EZ22" i="14"/>
  <c r="EY23" i="14"/>
  <c r="EZ23" i="14"/>
  <c r="EY24" i="14"/>
  <c r="EZ24" i="14"/>
  <c r="EY25" i="14"/>
  <c r="EZ25" i="14"/>
  <c r="EY26" i="14"/>
  <c r="EZ26" i="14"/>
  <c r="EY27" i="14"/>
  <c r="EZ27" i="14"/>
  <c r="EY28" i="14"/>
  <c r="EZ28" i="14"/>
  <c r="EY29" i="14"/>
  <c r="EZ29" i="14"/>
  <c r="EY30" i="14"/>
  <c r="EZ30" i="14"/>
  <c r="EY31" i="14"/>
  <c r="EZ31" i="14"/>
  <c r="EY32" i="14"/>
  <c r="EZ32" i="14"/>
  <c r="EY33" i="14"/>
  <c r="EZ33" i="14"/>
  <c r="EY34" i="14"/>
  <c r="EZ34" i="14"/>
  <c r="EY35" i="14"/>
  <c r="EZ35" i="14"/>
  <c r="EY36" i="14"/>
  <c r="EZ36" i="14"/>
  <c r="EY37" i="14"/>
  <c r="EZ37" i="14"/>
  <c r="EY38" i="14"/>
  <c r="EZ38" i="14"/>
  <c r="EY39" i="14"/>
  <c r="EZ39" i="14"/>
  <c r="EY40" i="14"/>
  <c r="EZ40" i="14"/>
  <c r="EY41" i="14"/>
  <c r="EZ41" i="14"/>
  <c r="EY42" i="14"/>
  <c r="EZ42" i="14"/>
  <c r="EY43" i="14"/>
  <c r="EZ43" i="14"/>
  <c r="EY44" i="14"/>
  <c r="EZ44" i="14"/>
  <c r="EY45" i="14"/>
  <c r="EZ45" i="14"/>
  <c r="EY46" i="14"/>
  <c r="EZ46" i="14"/>
  <c r="EY47" i="14"/>
  <c r="EZ47" i="14"/>
  <c r="EY48" i="14"/>
  <c r="EZ48" i="14"/>
  <c r="EY49" i="14"/>
  <c r="EZ49" i="14"/>
  <c r="EY50" i="14"/>
  <c r="EZ50" i="14"/>
  <c r="EY21" i="15"/>
  <c r="EZ21" i="15"/>
  <c r="EY22" i="15"/>
  <c r="EZ22" i="15"/>
  <c r="EY23" i="15"/>
  <c r="EZ23" i="15"/>
  <c r="EY24" i="15"/>
  <c r="EZ24" i="15"/>
  <c r="EY25" i="15"/>
  <c r="EZ25" i="15"/>
  <c r="EY26" i="15"/>
  <c r="EZ26" i="15"/>
  <c r="EY27" i="15"/>
  <c r="EZ27" i="15"/>
  <c r="EY28" i="15"/>
  <c r="EZ28" i="15"/>
  <c r="EY29" i="15"/>
  <c r="EZ29" i="15"/>
  <c r="EY30" i="15"/>
  <c r="EZ30" i="15"/>
  <c r="EY31" i="15"/>
  <c r="EZ31" i="15"/>
  <c r="EY32" i="15"/>
  <c r="EZ32" i="15"/>
  <c r="EY33" i="15"/>
  <c r="EZ33" i="15"/>
  <c r="EY34" i="15"/>
  <c r="EZ34" i="15"/>
  <c r="EY35" i="15"/>
  <c r="EZ35" i="15"/>
  <c r="EY36" i="15"/>
  <c r="EZ36" i="15"/>
  <c r="EY37" i="15"/>
  <c r="EZ37" i="15"/>
  <c r="EY38" i="15"/>
  <c r="EZ38" i="15"/>
  <c r="EY39" i="15"/>
  <c r="EZ39" i="15"/>
  <c r="EY40" i="15"/>
  <c r="EZ40" i="15"/>
  <c r="EY41" i="15"/>
  <c r="EZ41" i="15"/>
  <c r="EY42" i="15"/>
  <c r="EZ42" i="15"/>
  <c r="EY43" i="15"/>
  <c r="EZ43" i="15"/>
  <c r="EY44" i="15"/>
  <c r="EZ44" i="15"/>
  <c r="EY45" i="15"/>
  <c r="EZ45" i="15"/>
  <c r="EY46" i="15"/>
  <c r="EZ46" i="15"/>
  <c r="EY47" i="15"/>
  <c r="EZ47" i="15"/>
  <c r="EY48" i="15"/>
  <c r="EZ48" i="15"/>
  <c r="EY49" i="15"/>
  <c r="EZ49" i="15"/>
  <c r="EY50" i="15"/>
  <c r="EZ50" i="15"/>
  <c r="EZ20" i="4"/>
  <c r="EZ20" i="5"/>
  <c r="EZ20" i="6"/>
  <c r="EZ20" i="7"/>
  <c r="EZ20" i="8"/>
  <c r="EZ20" i="9"/>
  <c r="EZ20" i="10"/>
  <c r="EZ20" i="11"/>
  <c r="EZ20" i="12"/>
  <c r="EZ20" i="13"/>
  <c r="EZ20" i="14"/>
  <c r="EZ20" i="15"/>
  <c r="EY20" i="4"/>
  <c r="EY20" i="5"/>
  <c r="EY20" i="6"/>
  <c r="EY20" i="7"/>
  <c r="EY20" i="8"/>
  <c r="EY20" i="9"/>
  <c r="EY20" i="10"/>
  <c r="EY20" i="11"/>
  <c r="EY20" i="12"/>
  <c r="EY20" i="13"/>
  <c r="EY20" i="14"/>
  <c r="EY20" i="15"/>
  <c r="AO538" i="72"/>
  <c r="AN538" i="72"/>
  <c r="BH537" i="72"/>
  <c r="BH536" i="72"/>
  <c r="BH535" i="72"/>
  <c r="BH534" i="72"/>
  <c r="BH533" i="72"/>
  <c r="BH532" i="72"/>
  <c r="BH531" i="72"/>
  <c r="BH530" i="72"/>
  <c r="BH529" i="72"/>
  <c r="BH528" i="72"/>
  <c r="BH527" i="72"/>
  <c r="BH526" i="72"/>
  <c r="BH525" i="72"/>
  <c r="BH524" i="72"/>
  <c r="BH523" i="72"/>
  <c r="BH522" i="72"/>
  <c r="BH521" i="72"/>
  <c r="BH520" i="72"/>
  <c r="BH519" i="72"/>
  <c r="BH518" i="72"/>
  <c r="BH517" i="72"/>
  <c r="BH516" i="72"/>
  <c r="BH515" i="72"/>
  <c r="BH514" i="72"/>
  <c r="BH513" i="72"/>
  <c r="BH512" i="72"/>
  <c r="BH511" i="72"/>
  <c r="BH510" i="72"/>
  <c r="BH509" i="72"/>
  <c r="BH508" i="72"/>
  <c r="BH507" i="72"/>
  <c r="AO493" i="72"/>
  <c r="AN493" i="72"/>
  <c r="BH492" i="72"/>
  <c r="BH491" i="72"/>
  <c r="BH490" i="72"/>
  <c r="BH489" i="72"/>
  <c r="BH488" i="72"/>
  <c r="BH487" i="72"/>
  <c r="BH486" i="72"/>
  <c r="BH485" i="72"/>
  <c r="BH484" i="72"/>
  <c r="BH483" i="72"/>
  <c r="BH482" i="72"/>
  <c r="BH481" i="72"/>
  <c r="BH480" i="72"/>
  <c r="BH479" i="72"/>
  <c r="BH478" i="72"/>
  <c r="BH477" i="72"/>
  <c r="BH476" i="72"/>
  <c r="BH475" i="72"/>
  <c r="BH474" i="72"/>
  <c r="BH473" i="72"/>
  <c r="BH472" i="72"/>
  <c r="BH471" i="72"/>
  <c r="BH470" i="72"/>
  <c r="BH469" i="72"/>
  <c r="BH468" i="72"/>
  <c r="BH467" i="72"/>
  <c r="BH466" i="72"/>
  <c r="BH465" i="72"/>
  <c r="BH464" i="72"/>
  <c r="BH463" i="72"/>
  <c r="BH462" i="72"/>
  <c r="AO448" i="72"/>
  <c r="AN448" i="72"/>
  <c r="BH447" i="72"/>
  <c r="BH446" i="72"/>
  <c r="BH445" i="72"/>
  <c r="BH444" i="72"/>
  <c r="BH443" i="72"/>
  <c r="BH442" i="72"/>
  <c r="BH441" i="72"/>
  <c r="BH440" i="72"/>
  <c r="BH439" i="72"/>
  <c r="BH438" i="72"/>
  <c r="BH437" i="72"/>
  <c r="BH436" i="72"/>
  <c r="BH435" i="72"/>
  <c r="BH434" i="72"/>
  <c r="BH433" i="72"/>
  <c r="BH432" i="72"/>
  <c r="BH431" i="72"/>
  <c r="BH430" i="72"/>
  <c r="BH429" i="72"/>
  <c r="BH428" i="72"/>
  <c r="BH427" i="72"/>
  <c r="BH426" i="72"/>
  <c r="BH425" i="72"/>
  <c r="BH424" i="72"/>
  <c r="BH423" i="72"/>
  <c r="BH422" i="72"/>
  <c r="BH421" i="72"/>
  <c r="BH420" i="72"/>
  <c r="BH419" i="72"/>
  <c r="BH418" i="72"/>
  <c r="BH417" i="72"/>
  <c r="AO403" i="72"/>
  <c r="AN403" i="72"/>
  <c r="BH402" i="72"/>
  <c r="BH401" i="72"/>
  <c r="BH400" i="72"/>
  <c r="BH399" i="72"/>
  <c r="BH398" i="72"/>
  <c r="BH397" i="72"/>
  <c r="BH396" i="72"/>
  <c r="BH395" i="72"/>
  <c r="BH394" i="72"/>
  <c r="BH393" i="72"/>
  <c r="BH392" i="72"/>
  <c r="BH391" i="72"/>
  <c r="BH390" i="72"/>
  <c r="BH389" i="72"/>
  <c r="BH388" i="72"/>
  <c r="BH387" i="72"/>
  <c r="BH386" i="72"/>
  <c r="BH385" i="72"/>
  <c r="BH384" i="72"/>
  <c r="BH383" i="72"/>
  <c r="BH382" i="72"/>
  <c r="BH381" i="72"/>
  <c r="BH380" i="72"/>
  <c r="BH379" i="72"/>
  <c r="BH378" i="72"/>
  <c r="BH377" i="72"/>
  <c r="BH376" i="72"/>
  <c r="BH375" i="72"/>
  <c r="BH374" i="72"/>
  <c r="BH373" i="72"/>
  <c r="BH372" i="72"/>
  <c r="AO358" i="72"/>
  <c r="AN358" i="72"/>
  <c r="BH357" i="72"/>
  <c r="BH356" i="72"/>
  <c r="BH355" i="72"/>
  <c r="BH354" i="72"/>
  <c r="BH353" i="72"/>
  <c r="BH352" i="72"/>
  <c r="BH351" i="72"/>
  <c r="BH350" i="72"/>
  <c r="BH349" i="72"/>
  <c r="BH348" i="72"/>
  <c r="BH347" i="72"/>
  <c r="BH346" i="72"/>
  <c r="BH345" i="72"/>
  <c r="BH344" i="72"/>
  <c r="BH343" i="72"/>
  <c r="BH342" i="72"/>
  <c r="BH341" i="72"/>
  <c r="BH340" i="72"/>
  <c r="BH339" i="72"/>
  <c r="BH338" i="72"/>
  <c r="BH337" i="72"/>
  <c r="BH336" i="72"/>
  <c r="BH335" i="72"/>
  <c r="BH334" i="72"/>
  <c r="BH333" i="72"/>
  <c r="BH332" i="72"/>
  <c r="BH331" i="72"/>
  <c r="BH330" i="72"/>
  <c r="BH329" i="72"/>
  <c r="BH328" i="72"/>
  <c r="BH327" i="72"/>
  <c r="AO313" i="72"/>
  <c r="AN313" i="72"/>
  <c r="BH312" i="72"/>
  <c r="BH311" i="72"/>
  <c r="BH310" i="72"/>
  <c r="BH309" i="72"/>
  <c r="BH308" i="72"/>
  <c r="BH307" i="72"/>
  <c r="BH306" i="72"/>
  <c r="BH305" i="72"/>
  <c r="BH304" i="72"/>
  <c r="BH303" i="72"/>
  <c r="BH302" i="72"/>
  <c r="BH301" i="72"/>
  <c r="BH300" i="72"/>
  <c r="BH299" i="72"/>
  <c r="BH298" i="72"/>
  <c r="BH297" i="72"/>
  <c r="BH296" i="72"/>
  <c r="BH295" i="72"/>
  <c r="BH294" i="72"/>
  <c r="BH293" i="72"/>
  <c r="BH292" i="72"/>
  <c r="BH291" i="72"/>
  <c r="BH290" i="72"/>
  <c r="BH289" i="72"/>
  <c r="BH288" i="72"/>
  <c r="BH287" i="72"/>
  <c r="BH286" i="72"/>
  <c r="BH285" i="72"/>
  <c r="BH284" i="72"/>
  <c r="BH283" i="72"/>
  <c r="BH282" i="72"/>
  <c r="AO268" i="72"/>
  <c r="AN268" i="72"/>
  <c r="BH267" i="72"/>
  <c r="BH266" i="72"/>
  <c r="BH265" i="72"/>
  <c r="BH264" i="72"/>
  <c r="BH263" i="72"/>
  <c r="BH262" i="72"/>
  <c r="BH261" i="72"/>
  <c r="BH260" i="72"/>
  <c r="BH259" i="72"/>
  <c r="BH258" i="72"/>
  <c r="BH257" i="72"/>
  <c r="BH256" i="72"/>
  <c r="BH255" i="72"/>
  <c r="BH254" i="72"/>
  <c r="BH253" i="72"/>
  <c r="BH252" i="72"/>
  <c r="BH251" i="72"/>
  <c r="BH250" i="72"/>
  <c r="BH249" i="72"/>
  <c r="BH248" i="72"/>
  <c r="BH247" i="72"/>
  <c r="BH246" i="72"/>
  <c r="BH245" i="72"/>
  <c r="BH244" i="72"/>
  <c r="BH243" i="72"/>
  <c r="BH242" i="72"/>
  <c r="BH241" i="72"/>
  <c r="BH240" i="72"/>
  <c r="BH239" i="72"/>
  <c r="BH238" i="72"/>
  <c r="BH237" i="72"/>
  <c r="AO223" i="72"/>
  <c r="AN223" i="72"/>
  <c r="BH222" i="72"/>
  <c r="BH221" i="72"/>
  <c r="BH220" i="72"/>
  <c r="BH219" i="72"/>
  <c r="BH218" i="72"/>
  <c r="BH217" i="72"/>
  <c r="BH216" i="72"/>
  <c r="BH215" i="72"/>
  <c r="BH214" i="72"/>
  <c r="BH213" i="72"/>
  <c r="BH212" i="72"/>
  <c r="BH211" i="72"/>
  <c r="BH210" i="72"/>
  <c r="BH209" i="72"/>
  <c r="BH208" i="72"/>
  <c r="BH207" i="72"/>
  <c r="BH206" i="72"/>
  <c r="BH205" i="72"/>
  <c r="BH204" i="72"/>
  <c r="BH203" i="72"/>
  <c r="BH202" i="72"/>
  <c r="BH201" i="72"/>
  <c r="BH200" i="72"/>
  <c r="BH199" i="72"/>
  <c r="BH198" i="72"/>
  <c r="BH197" i="72"/>
  <c r="BH196" i="72"/>
  <c r="BH195" i="72"/>
  <c r="BH194" i="72"/>
  <c r="BH193" i="72"/>
  <c r="BH192" i="72"/>
  <c r="AO178" i="72"/>
  <c r="AN178" i="72"/>
  <c r="BH177" i="72"/>
  <c r="BH176" i="72"/>
  <c r="BH175" i="72"/>
  <c r="BH174" i="72"/>
  <c r="BH173" i="72"/>
  <c r="BH172" i="72"/>
  <c r="BH171" i="72"/>
  <c r="BH170" i="72"/>
  <c r="BH169" i="72"/>
  <c r="BH168" i="72"/>
  <c r="BH167" i="72"/>
  <c r="BH166" i="72"/>
  <c r="BH165" i="72"/>
  <c r="BH164" i="72"/>
  <c r="BH163" i="72"/>
  <c r="BH162" i="72"/>
  <c r="BH161" i="72"/>
  <c r="BH160" i="72"/>
  <c r="BH159" i="72"/>
  <c r="BH158" i="72"/>
  <c r="BH157" i="72"/>
  <c r="BH156" i="72"/>
  <c r="BH155" i="72"/>
  <c r="BH154" i="72"/>
  <c r="BH153" i="72"/>
  <c r="BH152" i="72"/>
  <c r="BH151" i="72"/>
  <c r="BH150" i="72"/>
  <c r="BH149" i="72"/>
  <c r="BH148" i="72"/>
  <c r="BH147" i="72"/>
  <c r="AO133" i="72"/>
  <c r="AN133" i="72"/>
  <c r="BH132" i="72"/>
  <c r="BH131" i="72"/>
  <c r="BH130" i="72"/>
  <c r="BH129" i="72"/>
  <c r="BH128" i="72"/>
  <c r="BH127" i="72"/>
  <c r="BH126" i="72"/>
  <c r="BH125" i="72"/>
  <c r="BH124" i="72"/>
  <c r="BH123" i="72"/>
  <c r="BH122" i="72"/>
  <c r="BH121" i="72"/>
  <c r="BH120" i="72"/>
  <c r="BH119" i="72"/>
  <c r="BH118" i="72"/>
  <c r="BH117" i="72"/>
  <c r="BH116" i="72"/>
  <c r="BH115" i="72"/>
  <c r="BH114" i="72"/>
  <c r="BH113" i="72"/>
  <c r="BH112" i="72"/>
  <c r="BH111" i="72"/>
  <c r="BH110" i="72"/>
  <c r="BH109" i="72"/>
  <c r="BH108" i="72"/>
  <c r="BH107" i="72"/>
  <c r="BH106" i="72"/>
  <c r="BH105" i="72"/>
  <c r="BH104" i="72"/>
  <c r="BH103" i="72"/>
  <c r="BH102" i="72"/>
  <c r="AO88" i="72"/>
  <c r="AN88" i="72"/>
  <c r="BH87" i="72"/>
  <c r="BH86" i="72"/>
  <c r="BH85" i="72"/>
  <c r="BH84" i="72"/>
  <c r="BH83" i="72"/>
  <c r="BH82" i="72"/>
  <c r="BH81" i="72"/>
  <c r="BH80" i="72"/>
  <c r="BH79" i="72"/>
  <c r="BH78" i="72"/>
  <c r="BH77" i="72"/>
  <c r="BH76" i="72"/>
  <c r="BH75" i="72"/>
  <c r="BH74" i="72"/>
  <c r="BH73" i="72"/>
  <c r="BH72" i="72"/>
  <c r="BH71" i="72"/>
  <c r="BH70" i="72"/>
  <c r="BH69" i="72"/>
  <c r="BH68" i="72"/>
  <c r="BH67" i="72"/>
  <c r="BH66" i="72"/>
  <c r="BH65" i="72"/>
  <c r="BH64" i="72"/>
  <c r="BH63" i="72"/>
  <c r="BH62" i="72"/>
  <c r="BH61" i="72"/>
  <c r="BH60" i="72"/>
  <c r="BH59" i="72"/>
  <c r="BH58" i="72"/>
  <c r="BH57" i="72"/>
  <c r="AO43" i="72"/>
  <c r="AN43" i="72"/>
  <c r="BH13" i="72"/>
  <c r="BH14" i="72"/>
  <c r="BH15" i="72"/>
  <c r="BH16" i="72"/>
  <c r="BH17" i="72"/>
  <c r="BH18" i="72"/>
  <c r="BH19" i="72"/>
  <c r="BH20" i="72"/>
  <c r="BH21" i="72"/>
  <c r="BH22" i="72"/>
  <c r="BH23" i="72"/>
  <c r="BH24" i="72"/>
  <c r="BH25" i="72"/>
  <c r="BH26" i="72"/>
  <c r="BH27" i="72"/>
  <c r="BH28" i="72"/>
  <c r="BH29" i="72"/>
  <c r="BH30" i="72"/>
  <c r="BH31" i="72"/>
  <c r="BH32" i="72"/>
  <c r="BH33" i="72"/>
  <c r="BH34" i="72"/>
  <c r="BH35" i="72"/>
  <c r="BH36" i="72"/>
  <c r="BH37" i="72"/>
  <c r="BH38" i="72"/>
  <c r="BH39" i="72"/>
  <c r="BH40" i="72"/>
  <c r="BH41" i="72"/>
  <c r="BH42" i="72"/>
  <c r="BH12" i="72"/>
  <c r="DY5" i="35" l="1"/>
  <c r="EX13" i="5"/>
  <c r="AR13" i="6"/>
  <c r="D80" i="80"/>
  <c r="DY5" i="36" l="1"/>
  <c r="A166" i="80"/>
  <c r="P173" i="80"/>
  <c r="P75" i="80"/>
  <c r="EX13" i="6"/>
  <c r="AR13" i="7"/>
  <c r="O75" i="80"/>
  <c r="DY5" i="37" l="1"/>
  <c r="B167" i="80"/>
  <c r="C167" i="80"/>
  <c r="EX13" i="7"/>
  <c r="AR13" i="8"/>
  <c r="DY5" i="38" l="1"/>
  <c r="EX13" i="8"/>
  <c r="AR13" i="9"/>
  <c r="DY5" i="39" l="1"/>
  <c r="EX13" i="9"/>
  <c r="AR13" i="10"/>
  <c r="D14" i="79"/>
  <c r="D13" i="79"/>
  <c r="D12" i="79"/>
  <c r="D11" i="79"/>
  <c r="D10" i="79"/>
  <c r="I6" i="62"/>
  <c r="BY8" i="4"/>
  <c r="B28" i="1"/>
  <c r="C55" i="1" s="1"/>
  <c r="E29" i="2"/>
  <c r="E31" i="2" s="1"/>
  <c r="W38" i="2" s="1"/>
  <c r="AV4" i="34" s="1"/>
  <c r="J8" i="2"/>
  <c r="K8" i="2" s="1"/>
  <c r="F115" i="34" s="1"/>
  <c r="M18" i="34"/>
  <c r="I6" i="58"/>
  <c r="DP14" i="4"/>
  <c r="AH90" i="4"/>
  <c r="DP14" i="5"/>
  <c r="AH90" i="5"/>
  <c r="DP14" i="6"/>
  <c r="AH90" i="6"/>
  <c r="DP14" i="7"/>
  <c r="AH90" i="7"/>
  <c r="DP14" i="8"/>
  <c r="AH90" i="8"/>
  <c r="I16" i="60"/>
  <c r="L16" i="60" s="1"/>
  <c r="AL90" i="4"/>
  <c r="AL90" i="5"/>
  <c r="AL90" i="6"/>
  <c r="AL90" i="7"/>
  <c r="AL90" i="8"/>
  <c r="AH90" i="9"/>
  <c r="AL90" i="9"/>
  <c r="A422" i="77"/>
  <c r="A421" i="77"/>
  <c r="A420" i="77"/>
  <c r="A419" i="77"/>
  <c r="A418" i="77"/>
  <c r="A417" i="77"/>
  <c r="A416" i="77"/>
  <c r="A415" i="77"/>
  <c r="A414" i="77"/>
  <c r="A413" i="77"/>
  <c r="A412" i="77"/>
  <c r="A411" i="77"/>
  <c r="A410" i="77"/>
  <c r="A409" i="77"/>
  <c r="A408" i="77"/>
  <c r="A407" i="77"/>
  <c r="A406" i="77"/>
  <c r="A405" i="77"/>
  <c r="A404" i="77"/>
  <c r="A403" i="77"/>
  <c r="A402" i="77"/>
  <c r="A401" i="77"/>
  <c r="A400" i="77"/>
  <c r="A399" i="77"/>
  <c r="A398" i="77"/>
  <c r="A397" i="77"/>
  <c r="A396" i="77"/>
  <c r="A395" i="77"/>
  <c r="A394" i="77"/>
  <c r="A393" i="77"/>
  <c r="A392" i="77"/>
  <c r="A391" i="77"/>
  <c r="A390" i="77"/>
  <c r="A389" i="77"/>
  <c r="A388" i="77"/>
  <c r="A387" i="77"/>
  <c r="A386" i="77"/>
  <c r="A385" i="77"/>
  <c r="A384" i="77"/>
  <c r="A383" i="77"/>
  <c r="A382" i="77"/>
  <c r="A381" i="77"/>
  <c r="A380" i="77"/>
  <c r="A379" i="77"/>
  <c r="A378" i="77"/>
  <c r="A377" i="77"/>
  <c r="A376" i="77"/>
  <c r="A375" i="77"/>
  <c r="A374" i="77"/>
  <c r="A373" i="77"/>
  <c r="A372" i="77"/>
  <c r="A371" i="77"/>
  <c r="A370" i="77"/>
  <c r="A369" i="77"/>
  <c r="A368" i="77"/>
  <c r="A367" i="77"/>
  <c r="A366" i="77"/>
  <c r="A365" i="77"/>
  <c r="A364" i="77"/>
  <c r="A363" i="77"/>
  <c r="A362" i="77"/>
  <c r="A361" i="77"/>
  <c r="A360" i="77"/>
  <c r="A359" i="77"/>
  <c r="A358" i="77"/>
  <c r="A357" i="77"/>
  <c r="A356" i="77"/>
  <c r="A355" i="77"/>
  <c r="A354" i="77"/>
  <c r="A353" i="77"/>
  <c r="A352" i="77"/>
  <c r="A351" i="77"/>
  <c r="A350" i="77"/>
  <c r="A349" i="77"/>
  <c r="A348" i="77"/>
  <c r="A347" i="77"/>
  <c r="A346" i="77"/>
  <c r="A345" i="77"/>
  <c r="A344" i="77"/>
  <c r="A343" i="77"/>
  <c r="A342" i="77"/>
  <c r="A341" i="77"/>
  <c r="A340" i="77"/>
  <c r="A339" i="77"/>
  <c r="A338" i="77"/>
  <c r="A337" i="77"/>
  <c r="A336" i="77"/>
  <c r="A335" i="77"/>
  <c r="A334" i="77"/>
  <c r="A333" i="77"/>
  <c r="A332" i="77"/>
  <c r="A331" i="77"/>
  <c r="A330" i="77"/>
  <c r="A329" i="77"/>
  <c r="A328" i="77"/>
  <c r="A327" i="77"/>
  <c r="A326" i="77"/>
  <c r="A325" i="77"/>
  <c r="A324" i="77"/>
  <c r="A323" i="77"/>
  <c r="A322" i="77"/>
  <c r="A321" i="77"/>
  <c r="A320" i="77"/>
  <c r="A319" i="77"/>
  <c r="A318" i="77"/>
  <c r="A317" i="77"/>
  <c r="A316" i="77"/>
  <c r="A315" i="77"/>
  <c r="A314" i="77"/>
  <c r="A313" i="77"/>
  <c r="A312" i="77"/>
  <c r="A311" i="77"/>
  <c r="A310" i="77"/>
  <c r="A309" i="77"/>
  <c r="A308" i="77"/>
  <c r="A307" i="77"/>
  <c r="A306" i="77"/>
  <c r="A305" i="77"/>
  <c r="A304" i="77"/>
  <c r="A303" i="77"/>
  <c r="A302" i="77"/>
  <c r="A301" i="77"/>
  <c r="A300" i="77"/>
  <c r="A299" i="77"/>
  <c r="A298" i="77"/>
  <c r="A297" i="77"/>
  <c r="A296" i="77"/>
  <c r="A295" i="77"/>
  <c r="A294" i="77"/>
  <c r="A293" i="77"/>
  <c r="A292" i="77"/>
  <c r="A291" i="77"/>
  <c r="A290" i="77"/>
  <c r="A289" i="77"/>
  <c r="A288" i="77"/>
  <c r="A287" i="77"/>
  <c r="A286" i="77"/>
  <c r="A285" i="77"/>
  <c r="A284" i="77"/>
  <c r="A283" i="77"/>
  <c r="A282" i="77"/>
  <c r="A281" i="77"/>
  <c r="A280" i="77"/>
  <c r="A279" i="77"/>
  <c r="A278" i="77"/>
  <c r="A277" i="77"/>
  <c r="A276" i="77"/>
  <c r="A275" i="77"/>
  <c r="A274" i="77"/>
  <c r="A273" i="77"/>
  <c r="A272" i="77"/>
  <c r="A271" i="77"/>
  <c r="A270" i="77"/>
  <c r="A269" i="77"/>
  <c r="A268" i="77"/>
  <c r="A267" i="77"/>
  <c r="A266" i="77"/>
  <c r="A265" i="77"/>
  <c r="A264" i="77"/>
  <c r="A263" i="77"/>
  <c r="A262" i="77"/>
  <c r="A261" i="77"/>
  <c r="A260" i="77"/>
  <c r="A259" i="77"/>
  <c r="A258" i="77"/>
  <c r="A257" i="77"/>
  <c r="A256" i="77"/>
  <c r="A255" i="77"/>
  <c r="A254" i="77"/>
  <c r="A253" i="77"/>
  <c r="A252" i="77"/>
  <c r="A251" i="77"/>
  <c r="A250" i="77"/>
  <c r="A249" i="77"/>
  <c r="A248" i="77"/>
  <c r="A247" i="77"/>
  <c r="A246" i="77"/>
  <c r="A245" i="77"/>
  <c r="A244" i="77"/>
  <c r="A243" i="77"/>
  <c r="A242" i="77"/>
  <c r="A241" i="77"/>
  <c r="A240" i="77"/>
  <c r="A239" i="77"/>
  <c r="A238" i="77"/>
  <c r="A237" i="77"/>
  <c r="A236" i="77"/>
  <c r="A235" i="77"/>
  <c r="A234" i="77"/>
  <c r="A233" i="77"/>
  <c r="A232" i="77"/>
  <c r="A231" i="77"/>
  <c r="A230" i="77"/>
  <c r="A229" i="77"/>
  <c r="A228" i="77"/>
  <c r="A227" i="77"/>
  <c r="A226" i="77"/>
  <c r="A225" i="77"/>
  <c r="A224" i="77"/>
  <c r="A223" i="77"/>
  <c r="A222" i="77"/>
  <c r="A221" i="77"/>
  <c r="A220" i="77"/>
  <c r="A219" i="77"/>
  <c r="A218" i="77"/>
  <c r="A217" i="77"/>
  <c r="A216" i="77"/>
  <c r="A215" i="77"/>
  <c r="A214" i="77"/>
  <c r="A213" i="77"/>
  <c r="A212" i="77"/>
  <c r="A211" i="77"/>
  <c r="A210" i="77"/>
  <c r="A209" i="77"/>
  <c r="A208" i="77"/>
  <c r="A207" i="77"/>
  <c r="A206" i="77"/>
  <c r="A205" i="77"/>
  <c r="A204" i="77"/>
  <c r="A203" i="77"/>
  <c r="A202" i="77"/>
  <c r="A201" i="77"/>
  <c r="A200" i="77"/>
  <c r="A199" i="77"/>
  <c r="A198" i="77"/>
  <c r="A197" i="77"/>
  <c r="A196" i="77"/>
  <c r="A195" i="77"/>
  <c r="A194" i="77"/>
  <c r="A193" i="77"/>
  <c r="A192" i="77"/>
  <c r="A191" i="77"/>
  <c r="A190" i="77"/>
  <c r="A189" i="77"/>
  <c r="A188" i="77"/>
  <c r="A187" i="77"/>
  <c r="A186" i="77"/>
  <c r="A185" i="77"/>
  <c r="A184" i="77"/>
  <c r="A183" i="77"/>
  <c r="A182" i="77"/>
  <c r="A181" i="77"/>
  <c r="A180" i="77"/>
  <c r="A179" i="77"/>
  <c r="A178" i="77"/>
  <c r="A177" i="77"/>
  <c r="A176" i="77"/>
  <c r="A175" i="77"/>
  <c r="A174" i="77"/>
  <c r="A173" i="77"/>
  <c r="A172" i="77"/>
  <c r="A171" i="77"/>
  <c r="A170" i="77"/>
  <c r="A169" i="77"/>
  <c r="A168" i="77"/>
  <c r="A167" i="77"/>
  <c r="A166" i="77"/>
  <c r="A165" i="77"/>
  <c r="A164" i="77"/>
  <c r="A163" i="77"/>
  <c r="A162" i="77"/>
  <c r="A161" i="77"/>
  <c r="A160" i="77"/>
  <c r="A159" i="77"/>
  <c r="A158" i="77"/>
  <c r="A157" i="77"/>
  <c r="A156" i="77"/>
  <c r="A155" i="77"/>
  <c r="A154" i="77"/>
  <c r="A153" i="77"/>
  <c r="A152" i="77"/>
  <c r="A151" i="77"/>
  <c r="A150" i="77"/>
  <c r="A149" i="77"/>
  <c r="A148" i="77"/>
  <c r="A147" i="77"/>
  <c r="A146" i="77"/>
  <c r="A145" i="77"/>
  <c r="A144" i="77"/>
  <c r="A143" i="77"/>
  <c r="A142" i="77"/>
  <c r="A141" i="77"/>
  <c r="A140" i="77"/>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3" i="77"/>
  <c r="AN17" i="34"/>
  <c r="AN16" i="34"/>
  <c r="AN15" i="34"/>
  <c r="AN14" i="34"/>
  <c r="AN13" i="34"/>
  <c r="AN12" i="34"/>
  <c r="AN11" i="34"/>
  <c r="AN10" i="34"/>
  <c r="AN9" i="34"/>
  <c r="AN8" i="34"/>
  <c r="AN7" i="34"/>
  <c r="AN6" i="34"/>
  <c r="AN5" i="34"/>
  <c r="AN4" i="34"/>
  <c r="AL17" i="34"/>
  <c r="AL16" i="34"/>
  <c r="AL15" i="34"/>
  <c r="AL14" i="34"/>
  <c r="AL13" i="34"/>
  <c r="AL12" i="34"/>
  <c r="AL11" i="34"/>
  <c r="AL10" i="34"/>
  <c r="AL9" i="34"/>
  <c r="AL8" i="34"/>
  <c r="AL7" i="34"/>
  <c r="AL6" i="34"/>
  <c r="AL5" i="34"/>
  <c r="AL4" i="34"/>
  <c r="AC17" i="34"/>
  <c r="AC16" i="34"/>
  <c r="AC15" i="34"/>
  <c r="AC14" i="34"/>
  <c r="AC13" i="34"/>
  <c r="AC12" i="34"/>
  <c r="AC11" i="34"/>
  <c r="AC10" i="34"/>
  <c r="AC9" i="34"/>
  <c r="AC8" i="34"/>
  <c r="AC7" i="34"/>
  <c r="AC6" i="34"/>
  <c r="AC5" i="34"/>
  <c r="AC4" i="34"/>
  <c r="W35" i="26"/>
  <c r="AM5" i="34" s="1"/>
  <c r="W35" i="27"/>
  <c r="AM6" i="34" s="1"/>
  <c r="W35" i="31"/>
  <c r="AM7" i="34" s="1"/>
  <c r="W35" i="32"/>
  <c r="AM8" i="34" s="1"/>
  <c r="W35" i="33"/>
  <c r="AM9" i="34" s="1"/>
  <c r="W35" i="67"/>
  <c r="AM13" i="34" s="1"/>
  <c r="W35" i="68"/>
  <c r="AM14" i="34" s="1"/>
  <c r="W35" i="69"/>
  <c r="AM15" i="34" s="1"/>
  <c r="W35" i="70"/>
  <c r="AM16" i="34" s="1"/>
  <c r="W35" i="71"/>
  <c r="AM17" i="34" s="1"/>
  <c r="W35" i="55"/>
  <c r="AM10" i="34" s="1"/>
  <c r="W35" i="56"/>
  <c r="AM11" i="34" s="1"/>
  <c r="W35" i="57"/>
  <c r="AM12" i="34" s="1"/>
  <c r="W35" i="2"/>
  <c r="AM4" i="34" s="1"/>
  <c r="W30" i="2"/>
  <c r="W30" i="26"/>
  <c r="W30" i="27"/>
  <c r="W30" i="31"/>
  <c r="W30" i="32"/>
  <c r="W30" i="33"/>
  <c r="W30" i="67"/>
  <c r="W30" i="68"/>
  <c r="W30" i="69"/>
  <c r="W30" i="70"/>
  <c r="W30" i="71"/>
  <c r="W30" i="55"/>
  <c r="W30" i="56"/>
  <c r="W30" i="57"/>
  <c r="A27" i="76"/>
  <c r="A28" i="76"/>
  <c r="A29" i="76"/>
  <c r="A30" i="76"/>
  <c r="A31" i="76"/>
  <c r="A32" i="76"/>
  <c r="A33" i="76"/>
  <c r="A34" i="76"/>
  <c r="A35" i="76"/>
  <c r="A36" i="76"/>
  <c r="A37" i="76"/>
  <c r="A38" i="76"/>
  <c r="A39" i="76"/>
  <c r="A40" i="76"/>
  <c r="A41" i="76"/>
  <c r="A42" i="76"/>
  <c r="A43" i="76"/>
  <c r="A44" i="76"/>
  <c r="A45" i="76"/>
  <c r="A46" i="76"/>
  <c r="A47" i="76"/>
  <c r="A48" i="76"/>
  <c r="A49" i="76"/>
  <c r="A50" i="76"/>
  <c r="A51" i="76"/>
  <c r="A52" i="76"/>
  <c r="A53" i="76"/>
  <c r="A54" i="76"/>
  <c r="A55" i="76"/>
  <c r="A56" i="76"/>
  <c r="A57" i="76"/>
  <c r="A58" i="76"/>
  <c r="A59" i="76"/>
  <c r="A60" i="76"/>
  <c r="A61" i="76"/>
  <c r="A62" i="76"/>
  <c r="A63" i="76"/>
  <c r="A64" i="76"/>
  <c r="A65" i="76"/>
  <c r="A66" i="76"/>
  <c r="A67" i="76"/>
  <c r="A68" i="76"/>
  <c r="A69" i="76"/>
  <c r="A70" i="76"/>
  <c r="A71" i="76"/>
  <c r="A72" i="76"/>
  <c r="A73" i="76"/>
  <c r="A74" i="76"/>
  <c r="A75" i="76"/>
  <c r="A76" i="76"/>
  <c r="A77" i="76"/>
  <c r="A78" i="76"/>
  <c r="A79" i="76"/>
  <c r="A80" i="76"/>
  <c r="A81" i="76"/>
  <c r="A82" i="76"/>
  <c r="A83" i="76"/>
  <c r="A84" i="76"/>
  <c r="A85" i="76"/>
  <c r="A86" i="76"/>
  <c r="A87" i="76"/>
  <c r="A88" i="76"/>
  <c r="A89" i="76"/>
  <c r="A90" i="76"/>
  <c r="A91" i="76"/>
  <c r="A92" i="76"/>
  <c r="A93" i="76"/>
  <c r="A94" i="76"/>
  <c r="A95" i="76"/>
  <c r="A96" i="76"/>
  <c r="A97" i="76"/>
  <c r="A98" i="76"/>
  <c r="A99" i="76"/>
  <c r="A100" i="76"/>
  <c r="A101" i="76"/>
  <c r="A102" i="76"/>
  <c r="A103" i="76"/>
  <c r="A104" i="76"/>
  <c r="A105" i="76"/>
  <c r="A106" i="76"/>
  <c r="A107" i="76"/>
  <c r="A108" i="76"/>
  <c r="A109" i="76"/>
  <c r="A110" i="76"/>
  <c r="A111" i="76"/>
  <c r="A112" i="76"/>
  <c r="A113" i="76"/>
  <c r="A114" i="76"/>
  <c r="A115" i="76"/>
  <c r="A116" i="76"/>
  <c r="A117" i="76"/>
  <c r="A118" i="76"/>
  <c r="A119" i="76"/>
  <c r="A120" i="76"/>
  <c r="A121" i="76"/>
  <c r="A122" i="76"/>
  <c r="A123" i="76"/>
  <c r="A124" i="76"/>
  <c r="A125" i="76"/>
  <c r="A126" i="76"/>
  <c r="A127" i="76"/>
  <c r="A128" i="76"/>
  <c r="A129" i="76"/>
  <c r="A130" i="76"/>
  <c r="A131" i="76"/>
  <c r="A132" i="76"/>
  <c r="A133" i="76"/>
  <c r="A134" i="76"/>
  <c r="A135" i="76"/>
  <c r="A136" i="76"/>
  <c r="A137" i="76"/>
  <c r="A138" i="76"/>
  <c r="A139" i="76"/>
  <c r="A140" i="76"/>
  <c r="A141" i="76"/>
  <c r="A142" i="76"/>
  <c r="A143" i="76"/>
  <c r="A144" i="76"/>
  <c r="A145" i="76"/>
  <c r="A146" i="76"/>
  <c r="A147" i="76"/>
  <c r="A148" i="76"/>
  <c r="A149" i="76"/>
  <c r="A150" i="76"/>
  <c r="A151" i="76"/>
  <c r="A152" i="76"/>
  <c r="A153" i="76"/>
  <c r="A154" i="76"/>
  <c r="A155" i="76"/>
  <c r="A156" i="76"/>
  <c r="A157" i="76"/>
  <c r="A158" i="76"/>
  <c r="A159" i="76"/>
  <c r="A160" i="76"/>
  <c r="A161" i="76"/>
  <c r="A162" i="76"/>
  <c r="A163" i="76"/>
  <c r="A164" i="76"/>
  <c r="A165" i="76"/>
  <c r="A166" i="76"/>
  <c r="A167" i="76"/>
  <c r="A168" i="76"/>
  <c r="A169" i="76"/>
  <c r="A170" i="76"/>
  <c r="A171" i="76"/>
  <c r="A172" i="76"/>
  <c r="A173" i="76"/>
  <c r="A174" i="76"/>
  <c r="A175" i="76"/>
  <c r="A176" i="76"/>
  <c r="A177" i="76"/>
  <c r="A178" i="76"/>
  <c r="A179" i="76"/>
  <c r="A180" i="76"/>
  <c r="A181" i="76"/>
  <c r="A182" i="76"/>
  <c r="A183" i="76"/>
  <c r="A184" i="76"/>
  <c r="A185" i="76"/>
  <c r="A186" i="76"/>
  <c r="A187" i="76"/>
  <c r="A188" i="76"/>
  <c r="A189" i="76"/>
  <c r="A190" i="76"/>
  <c r="A191" i="76"/>
  <c r="A192" i="76"/>
  <c r="A193" i="76"/>
  <c r="A194" i="76"/>
  <c r="A195" i="76"/>
  <c r="A196" i="76"/>
  <c r="A197" i="76"/>
  <c r="A198" i="76"/>
  <c r="A199" i="76"/>
  <c r="A200" i="76"/>
  <c r="A201" i="76"/>
  <c r="A202" i="76"/>
  <c r="A203" i="76"/>
  <c r="A204" i="76"/>
  <c r="A205" i="76"/>
  <c r="A206" i="76"/>
  <c r="A207" i="76"/>
  <c r="A208" i="76"/>
  <c r="A209" i="76"/>
  <c r="A210" i="76"/>
  <c r="A211" i="76"/>
  <c r="A212" i="76"/>
  <c r="A213" i="76"/>
  <c r="A214" i="76"/>
  <c r="A215" i="76"/>
  <c r="A216" i="76"/>
  <c r="A217" i="76"/>
  <c r="A218" i="76"/>
  <c r="A219" i="76"/>
  <c r="A220" i="76"/>
  <c r="A221" i="76"/>
  <c r="A222" i="76"/>
  <c r="A223" i="76"/>
  <c r="A224" i="76"/>
  <c r="A225" i="76"/>
  <c r="A226" i="76"/>
  <c r="A227" i="76"/>
  <c r="A228" i="76"/>
  <c r="A229" i="76"/>
  <c r="A230" i="76"/>
  <c r="A231" i="76"/>
  <c r="A232" i="76"/>
  <c r="A233" i="76"/>
  <c r="A234" i="76"/>
  <c r="A235" i="76"/>
  <c r="A236" i="76"/>
  <c r="A237" i="76"/>
  <c r="A238" i="76"/>
  <c r="A239" i="76"/>
  <c r="A240" i="76"/>
  <c r="A241" i="76"/>
  <c r="A242" i="76"/>
  <c r="A243" i="76"/>
  <c r="A244" i="76"/>
  <c r="A245" i="76"/>
  <c r="A246" i="76"/>
  <c r="A247" i="76"/>
  <c r="A248" i="76"/>
  <c r="A249" i="76"/>
  <c r="A250" i="76"/>
  <c r="A251" i="76"/>
  <c r="A252" i="76"/>
  <c r="A253" i="76"/>
  <c r="A254" i="76"/>
  <c r="A255" i="76"/>
  <c r="A256" i="76"/>
  <c r="A257" i="76"/>
  <c r="A258" i="76"/>
  <c r="A259" i="76"/>
  <c r="A260" i="76"/>
  <c r="A261" i="76"/>
  <c r="A262" i="76"/>
  <c r="A263" i="76"/>
  <c r="A264" i="76"/>
  <c r="A265" i="76"/>
  <c r="A266" i="76"/>
  <c r="A267" i="76"/>
  <c r="A268" i="76"/>
  <c r="A269" i="76"/>
  <c r="A270" i="76"/>
  <c r="A271" i="76"/>
  <c r="A272" i="76"/>
  <c r="A273" i="76"/>
  <c r="A274" i="76"/>
  <c r="A275" i="76"/>
  <c r="A276" i="76"/>
  <c r="A277" i="76"/>
  <c r="A278" i="76"/>
  <c r="A279" i="76"/>
  <c r="A280" i="76"/>
  <c r="A281" i="76"/>
  <c r="A282" i="76"/>
  <c r="A283" i="76"/>
  <c r="A284" i="76"/>
  <c r="A285" i="76"/>
  <c r="A286" i="76"/>
  <c r="A287" i="76"/>
  <c r="A288" i="76"/>
  <c r="A289" i="76"/>
  <c r="A290" i="76"/>
  <c r="A291" i="76"/>
  <c r="A292" i="76"/>
  <c r="A293" i="76"/>
  <c r="A294" i="76"/>
  <c r="A295" i="76"/>
  <c r="A296" i="76"/>
  <c r="A297" i="76"/>
  <c r="A298" i="76"/>
  <c r="A299" i="76"/>
  <c r="A300" i="76"/>
  <c r="A301" i="76"/>
  <c r="A302" i="76"/>
  <c r="A303" i="76"/>
  <c r="A304" i="76"/>
  <c r="A305" i="76"/>
  <c r="A306" i="76"/>
  <c r="A307" i="76"/>
  <c r="A308" i="76"/>
  <c r="A309" i="76"/>
  <c r="A310" i="76"/>
  <c r="A311" i="76"/>
  <c r="A312" i="76"/>
  <c r="A313" i="76"/>
  <c r="A314" i="76"/>
  <c r="A315" i="76"/>
  <c r="A316" i="76"/>
  <c r="A317" i="76"/>
  <c r="A318" i="76"/>
  <c r="A319" i="76"/>
  <c r="A320" i="76"/>
  <c r="A321" i="76"/>
  <c r="A322" i="76"/>
  <c r="A323" i="76"/>
  <c r="A324" i="76"/>
  <c r="A325" i="76"/>
  <c r="A326" i="76"/>
  <c r="A327" i="76"/>
  <c r="A328" i="76"/>
  <c r="A329" i="76"/>
  <c r="A330" i="76"/>
  <c r="A331" i="76"/>
  <c r="A332" i="76"/>
  <c r="A333" i="76"/>
  <c r="A334" i="76"/>
  <c r="A335" i="76"/>
  <c r="A336" i="76"/>
  <c r="A337" i="76"/>
  <c r="A338" i="76"/>
  <c r="A339" i="76"/>
  <c r="A340" i="76"/>
  <c r="A341" i="76"/>
  <c r="A342" i="76"/>
  <c r="A343" i="76"/>
  <c r="A344" i="76"/>
  <c r="A345" i="76"/>
  <c r="A346" i="76"/>
  <c r="A347" i="76"/>
  <c r="A348" i="76"/>
  <c r="A349" i="76"/>
  <c r="A350" i="76"/>
  <c r="A351" i="76"/>
  <c r="A352" i="76"/>
  <c r="A353" i="76"/>
  <c r="A354" i="76"/>
  <c r="A355" i="76"/>
  <c r="A356" i="76"/>
  <c r="A357" i="76"/>
  <c r="A358" i="76"/>
  <c r="A359" i="76"/>
  <c r="A360" i="76"/>
  <c r="A361" i="76"/>
  <c r="A362" i="76"/>
  <c r="A363" i="76"/>
  <c r="A364" i="76"/>
  <c r="A365" i="76"/>
  <c r="A366" i="76"/>
  <c r="A367" i="76"/>
  <c r="A368" i="76"/>
  <c r="A369" i="76"/>
  <c r="A370" i="76"/>
  <c r="A371" i="76"/>
  <c r="A372" i="76"/>
  <c r="A373" i="76"/>
  <c r="A374" i="76"/>
  <c r="A375" i="76"/>
  <c r="A376" i="76"/>
  <c r="A377" i="76"/>
  <c r="A378" i="76"/>
  <c r="A379" i="76"/>
  <c r="A380" i="76"/>
  <c r="A381" i="76"/>
  <c r="A382" i="76"/>
  <c r="A383" i="76"/>
  <c r="A384" i="76"/>
  <c r="A385" i="76"/>
  <c r="A386" i="76"/>
  <c r="A387" i="76"/>
  <c r="A388" i="76"/>
  <c r="A389" i="76"/>
  <c r="A390" i="76"/>
  <c r="A391" i="76"/>
  <c r="A392" i="76"/>
  <c r="A393" i="76"/>
  <c r="A394" i="76"/>
  <c r="A395" i="76"/>
  <c r="A396" i="76"/>
  <c r="A397" i="76"/>
  <c r="A398" i="76"/>
  <c r="A399" i="76"/>
  <c r="A400" i="76"/>
  <c r="A401" i="76"/>
  <c r="A402" i="76"/>
  <c r="A403" i="76"/>
  <c r="A404" i="76"/>
  <c r="A405" i="76"/>
  <c r="A406" i="76"/>
  <c r="A407" i="76"/>
  <c r="A408" i="76"/>
  <c r="A409" i="76"/>
  <c r="A410" i="76"/>
  <c r="A411" i="76"/>
  <c r="A412" i="76"/>
  <c r="A413" i="76"/>
  <c r="A414" i="76"/>
  <c r="A415" i="76"/>
  <c r="A416" i="76"/>
  <c r="A417" i="76"/>
  <c r="A418" i="76"/>
  <c r="A419" i="76"/>
  <c r="A420" i="76"/>
  <c r="A421" i="76"/>
  <c r="A422" i="76"/>
  <c r="A7" i="76"/>
  <c r="A8" i="76"/>
  <c r="A9" i="76"/>
  <c r="A10" i="76"/>
  <c r="A11" i="76"/>
  <c r="A12" i="76"/>
  <c r="A13" i="76"/>
  <c r="A14" i="76"/>
  <c r="A15" i="76"/>
  <c r="A16" i="76"/>
  <c r="A17" i="76"/>
  <c r="A18" i="76"/>
  <c r="A19" i="76"/>
  <c r="A20" i="76"/>
  <c r="A21" i="76"/>
  <c r="A22" i="76"/>
  <c r="A23" i="76"/>
  <c r="A24" i="76"/>
  <c r="A25" i="76"/>
  <c r="A26" i="76"/>
  <c r="A4" i="76"/>
  <c r="A5" i="76"/>
  <c r="A6" i="76"/>
  <c r="A3" i="76"/>
  <c r="F80" i="74"/>
  <c r="J5" i="74"/>
  <c r="AH67" i="74" s="1"/>
  <c r="BP50" i="5"/>
  <c r="BP49" i="5"/>
  <c r="BP48" i="5"/>
  <c r="BP47" i="5"/>
  <c r="BP46" i="5"/>
  <c r="BP45" i="5"/>
  <c r="BP44" i="5"/>
  <c r="BP43" i="5"/>
  <c r="BP42" i="5"/>
  <c r="BP41" i="5"/>
  <c r="BP40" i="5"/>
  <c r="BP39" i="5"/>
  <c r="BP38" i="5"/>
  <c r="BP37" i="5"/>
  <c r="BP36" i="5"/>
  <c r="BP35" i="5"/>
  <c r="BP34" i="5"/>
  <c r="BP33" i="5"/>
  <c r="BP32" i="5"/>
  <c r="BP31" i="5"/>
  <c r="BP30" i="5"/>
  <c r="BP29" i="5"/>
  <c r="BP28" i="5"/>
  <c r="BP27" i="5"/>
  <c r="BP26" i="5"/>
  <c r="BP25" i="5"/>
  <c r="BP24" i="5"/>
  <c r="BP23" i="5"/>
  <c r="BP22" i="5"/>
  <c r="BP21" i="5"/>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50" i="7"/>
  <c r="BP49" i="7"/>
  <c r="BP48" i="7"/>
  <c r="BP47" i="7"/>
  <c r="BP46" i="7"/>
  <c r="BP45" i="7"/>
  <c r="BP44" i="7"/>
  <c r="BP43" i="7"/>
  <c r="BP42" i="7"/>
  <c r="BP41" i="7"/>
  <c r="BP40" i="7"/>
  <c r="BP39" i="7"/>
  <c r="BP38" i="7"/>
  <c r="BP37" i="7"/>
  <c r="BP36" i="7"/>
  <c r="BP35" i="7"/>
  <c r="BP34" i="7"/>
  <c r="BP33" i="7"/>
  <c r="BP32" i="7"/>
  <c r="BP31" i="7"/>
  <c r="BP30" i="7"/>
  <c r="BP29" i="7"/>
  <c r="BP28" i="7"/>
  <c r="BP27" i="7"/>
  <c r="BP26" i="7"/>
  <c r="BP25" i="7"/>
  <c r="BP24" i="7"/>
  <c r="BP23" i="7"/>
  <c r="BP22" i="7"/>
  <c r="BP21" i="7"/>
  <c r="BP50" i="8"/>
  <c r="BP49" i="8"/>
  <c r="BP48" i="8"/>
  <c r="BP47" i="8"/>
  <c r="BP46" i="8"/>
  <c r="BP45" i="8"/>
  <c r="BP44" i="8"/>
  <c r="BP43" i="8"/>
  <c r="BP42" i="8"/>
  <c r="BP41" i="8"/>
  <c r="BP40" i="8"/>
  <c r="BP39" i="8"/>
  <c r="BP38" i="8"/>
  <c r="BP37" i="8"/>
  <c r="BP36" i="8"/>
  <c r="BP35" i="8"/>
  <c r="BP34" i="8"/>
  <c r="BP33" i="8"/>
  <c r="BP32" i="8"/>
  <c r="BP31" i="8"/>
  <c r="BP30" i="8"/>
  <c r="BP29" i="8"/>
  <c r="BP28" i="8"/>
  <c r="BP27" i="8"/>
  <c r="BP26" i="8"/>
  <c r="BP25" i="8"/>
  <c r="BP24" i="8"/>
  <c r="BP23" i="8"/>
  <c r="BP22" i="8"/>
  <c r="BP21" i="8"/>
  <c r="BP50" i="9"/>
  <c r="BP49" i="9"/>
  <c r="BP48" i="9"/>
  <c r="BP47" i="9"/>
  <c r="BP46" i="9"/>
  <c r="BP45" i="9"/>
  <c r="BP44" i="9"/>
  <c r="BP43" i="9"/>
  <c r="BP42" i="9"/>
  <c r="BP41" i="9"/>
  <c r="BP40" i="9"/>
  <c r="BP39" i="9"/>
  <c r="BP38" i="9"/>
  <c r="BP37" i="9"/>
  <c r="BP36" i="9"/>
  <c r="BP35" i="9"/>
  <c r="BP34" i="9"/>
  <c r="BP33" i="9"/>
  <c r="BP32" i="9"/>
  <c r="BP31" i="9"/>
  <c r="BP30" i="9"/>
  <c r="BP29" i="9"/>
  <c r="BP28" i="9"/>
  <c r="BP27" i="9"/>
  <c r="BP26" i="9"/>
  <c r="BP25" i="9"/>
  <c r="BP24" i="9"/>
  <c r="BP23" i="9"/>
  <c r="BP22" i="9"/>
  <c r="BP21" i="9"/>
  <c r="BP50" i="10"/>
  <c r="BP49" i="10"/>
  <c r="BP48" i="10"/>
  <c r="BP47" i="10"/>
  <c r="BP46" i="10"/>
  <c r="BP45" i="10"/>
  <c r="BP44" i="10"/>
  <c r="BP43" i="10"/>
  <c r="BP42" i="10"/>
  <c r="BP41" i="10"/>
  <c r="BP40" i="10"/>
  <c r="BP39" i="10"/>
  <c r="BP38" i="10"/>
  <c r="BP37" i="10"/>
  <c r="BP36" i="10"/>
  <c r="BP35" i="10"/>
  <c r="BP34" i="10"/>
  <c r="BP33" i="10"/>
  <c r="BP32" i="10"/>
  <c r="BP31" i="10"/>
  <c r="BP30" i="10"/>
  <c r="BP29" i="10"/>
  <c r="BP28" i="10"/>
  <c r="BP27" i="10"/>
  <c r="BP26" i="10"/>
  <c r="BP25" i="10"/>
  <c r="BP24" i="10"/>
  <c r="BP23" i="10"/>
  <c r="BP22" i="10"/>
  <c r="BP21" i="10"/>
  <c r="BP50" i="11"/>
  <c r="BP49" i="11"/>
  <c r="BP48" i="11"/>
  <c r="BP47" i="11"/>
  <c r="BP46" i="11"/>
  <c r="BP45" i="11"/>
  <c r="BP44" i="11"/>
  <c r="BP43" i="11"/>
  <c r="BP42" i="11"/>
  <c r="BP41" i="11"/>
  <c r="BP40" i="11"/>
  <c r="BP39" i="11"/>
  <c r="BP38" i="11"/>
  <c r="BP37" i="11"/>
  <c r="BP36" i="11"/>
  <c r="BP35" i="11"/>
  <c r="BP34" i="11"/>
  <c r="BP33" i="11"/>
  <c r="BP32" i="11"/>
  <c r="BP31" i="11"/>
  <c r="BP30" i="11"/>
  <c r="BP29" i="11"/>
  <c r="BP28" i="11"/>
  <c r="BP27" i="11"/>
  <c r="BP26" i="11"/>
  <c r="BP25" i="11"/>
  <c r="BP24" i="11"/>
  <c r="BP23" i="11"/>
  <c r="BP22" i="11"/>
  <c r="BP21" i="11"/>
  <c r="BP50" i="12"/>
  <c r="BP49" i="12"/>
  <c r="BP48" i="12"/>
  <c r="BP47" i="12"/>
  <c r="BP46" i="12"/>
  <c r="BP45" i="12"/>
  <c r="BP44" i="12"/>
  <c r="BP43" i="12"/>
  <c r="BP42" i="12"/>
  <c r="BP41" i="12"/>
  <c r="BP40" i="12"/>
  <c r="BP39" i="12"/>
  <c r="BP38" i="12"/>
  <c r="BP37" i="12"/>
  <c r="BP36" i="12"/>
  <c r="BP35" i="12"/>
  <c r="BP34" i="12"/>
  <c r="BP33" i="12"/>
  <c r="BP32" i="12"/>
  <c r="BP31" i="12"/>
  <c r="BP30" i="12"/>
  <c r="BP29" i="12"/>
  <c r="BP28" i="12"/>
  <c r="BP27" i="12"/>
  <c r="BP26" i="12"/>
  <c r="BP25" i="12"/>
  <c r="BP24" i="12"/>
  <c r="BP23" i="12"/>
  <c r="BP22" i="12"/>
  <c r="BP21" i="12"/>
  <c r="BP50" i="13"/>
  <c r="BP49" i="13"/>
  <c r="BP48" i="13"/>
  <c r="BP47" i="13"/>
  <c r="BP46" i="13"/>
  <c r="BP45" i="13"/>
  <c r="BP44" i="13"/>
  <c r="BP43" i="13"/>
  <c r="BP42" i="13"/>
  <c r="BP41" i="13"/>
  <c r="BP40" i="13"/>
  <c r="BP39" i="13"/>
  <c r="BP38" i="13"/>
  <c r="BP37" i="13"/>
  <c r="BP36" i="13"/>
  <c r="BP35" i="13"/>
  <c r="BP34" i="13"/>
  <c r="BP33" i="13"/>
  <c r="BP32" i="13"/>
  <c r="BP31" i="13"/>
  <c r="BP30" i="13"/>
  <c r="BP29" i="13"/>
  <c r="BP28" i="13"/>
  <c r="BP27" i="13"/>
  <c r="BP26" i="13"/>
  <c r="BP25" i="13"/>
  <c r="BP24" i="13"/>
  <c r="BP23" i="13"/>
  <c r="BP22" i="13"/>
  <c r="BP21" i="13"/>
  <c r="BP50" i="14"/>
  <c r="BP49" i="14"/>
  <c r="BP48" i="14"/>
  <c r="BP47" i="14"/>
  <c r="BP46" i="14"/>
  <c r="BP45" i="14"/>
  <c r="BP44" i="14"/>
  <c r="BP43" i="14"/>
  <c r="BP42" i="14"/>
  <c r="BP41" i="14"/>
  <c r="BP40" i="14"/>
  <c r="BP39" i="14"/>
  <c r="BP38" i="14"/>
  <c r="BP37" i="14"/>
  <c r="BP36" i="14"/>
  <c r="BP35" i="14"/>
  <c r="BP34" i="14"/>
  <c r="BP33" i="14"/>
  <c r="BP32" i="14"/>
  <c r="BP31" i="14"/>
  <c r="BP30" i="14"/>
  <c r="BP29" i="14"/>
  <c r="BP28" i="14"/>
  <c r="BP27" i="14"/>
  <c r="BP26" i="14"/>
  <c r="BP25" i="14"/>
  <c r="BP24" i="14"/>
  <c r="BP23" i="14"/>
  <c r="BP22" i="14"/>
  <c r="BP21" i="14"/>
  <c r="BP50" i="15"/>
  <c r="BP49" i="15"/>
  <c r="BP48" i="15"/>
  <c r="BP47" i="15"/>
  <c r="BP46" i="15"/>
  <c r="BP45" i="15"/>
  <c r="BP44" i="15"/>
  <c r="BP43" i="15"/>
  <c r="BP42" i="15"/>
  <c r="BP41" i="15"/>
  <c r="BP40" i="15"/>
  <c r="BP39" i="15"/>
  <c r="BP38" i="15"/>
  <c r="BP37" i="15"/>
  <c r="BP36" i="15"/>
  <c r="BP35" i="15"/>
  <c r="BP34" i="15"/>
  <c r="BP33" i="15"/>
  <c r="BP32" i="15"/>
  <c r="BP31" i="15"/>
  <c r="BP30" i="15"/>
  <c r="BP29" i="15"/>
  <c r="BP28" i="15"/>
  <c r="BP27" i="15"/>
  <c r="BP26" i="15"/>
  <c r="BP25" i="15"/>
  <c r="BP24" i="15"/>
  <c r="BP23" i="15"/>
  <c r="BP22" i="15"/>
  <c r="BP21" i="15"/>
  <c r="BP50" i="4"/>
  <c r="BP49" i="4"/>
  <c r="BP48" i="4"/>
  <c r="BP47" i="4"/>
  <c r="BP46" i="4"/>
  <c r="BP45" i="4"/>
  <c r="BP44" i="4"/>
  <c r="BP43" i="4"/>
  <c r="BP42" i="4"/>
  <c r="BP41" i="4"/>
  <c r="BP40" i="4"/>
  <c r="BP39" i="4"/>
  <c r="BP38" i="4"/>
  <c r="BP37" i="4"/>
  <c r="BP36" i="4"/>
  <c r="BP35" i="4"/>
  <c r="BP34" i="4"/>
  <c r="BP33" i="4"/>
  <c r="BP32" i="4"/>
  <c r="BP31" i="4"/>
  <c r="BP30" i="4"/>
  <c r="BP29" i="4"/>
  <c r="BP28" i="4"/>
  <c r="BP27" i="4"/>
  <c r="BP26" i="4"/>
  <c r="BP25" i="4"/>
  <c r="BP24" i="4"/>
  <c r="BP23" i="4"/>
  <c r="BP22" i="4"/>
  <c r="BP21" i="4"/>
  <c r="BP20" i="5"/>
  <c r="BP20" i="6"/>
  <c r="BP20" i="7"/>
  <c r="BP20" i="8"/>
  <c r="BP20" i="9"/>
  <c r="BP20" i="10"/>
  <c r="BP20" i="11"/>
  <c r="BP20" i="12"/>
  <c r="BP20" i="13"/>
  <c r="BP20" i="14"/>
  <c r="BP20" i="15"/>
  <c r="BP20" i="4"/>
  <c r="AC20" i="4"/>
  <c r="AC21" i="4"/>
  <c r="AC22" i="4"/>
  <c r="AC23" i="4"/>
  <c r="AC24" i="4"/>
  <c r="AC25" i="4"/>
  <c r="AC26" i="4"/>
  <c r="AC27" i="4"/>
  <c r="AC28" i="4"/>
  <c r="AC29" i="4"/>
  <c r="AC30" i="4"/>
  <c r="AC31" i="4"/>
  <c r="AC32" i="4"/>
  <c r="AC33" i="4"/>
  <c r="AC34" i="4"/>
  <c r="AC35" i="4"/>
  <c r="AC36" i="4"/>
  <c r="AC37" i="4"/>
  <c r="AC38" i="4"/>
  <c r="AC39" i="4"/>
  <c r="AC40" i="4"/>
  <c r="AC41" i="4"/>
  <c r="AC42" i="4"/>
  <c r="AC43" i="4"/>
  <c r="AC44" i="4"/>
  <c r="AC45" i="4"/>
  <c r="AC46" i="4"/>
  <c r="AC47" i="4"/>
  <c r="AC48" i="4"/>
  <c r="AC49" i="4"/>
  <c r="AC50" i="4"/>
  <c r="CF617" i="34"/>
  <c r="CE617" i="34"/>
  <c r="CD617" i="34"/>
  <c r="CC617" i="34"/>
  <c r="CB617" i="34"/>
  <c r="CA617" i="34"/>
  <c r="BZ617" i="34"/>
  <c r="BY617" i="34"/>
  <c r="CF616" i="34"/>
  <c r="CE616" i="34"/>
  <c r="CD616" i="34"/>
  <c r="CC616" i="34"/>
  <c r="CB616" i="34"/>
  <c r="CA616" i="34"/>
  <c r="BZ616" i="34"/>
  <c r="BY616" i="34"/>
  <c r="CF615" i="34"/>
  <c r="CE615" i="34"/>
  <c r="CD615" i="34"/>
  <c r="CC615" i="34"/>
  <c r="CB615" i="34"/>
  <c r="CA615" i="34"/>
  <c r="BZ615" i="34"/>
  <c r="BY615" i="34"/>
  <c r="CF614" i="34"/>
  <c r="CE614" i="34"/>
  <c r="CD614" i="34"/>
  <c r="CC614" i="34"/>
  <c r="CB614" i="34"/>
  <c r="CA614" i="34"/>
  <c r="BZ614" i="34"/>
  <c r="BY614" i="34"/>
  <c r="CF613" i="34"/>
  <c r="CE613" i="34"/>
  <c r="CD613" i="34"/>
  <c r="CC613" i="34"/>
  <c r="CB613" i="34"/>
  <c r="CA613" i="34"/>
  <c r="BZ613" i="34"/>
  <c r="BY613" i="34"/>
  <c r="CF612" i="34"/>
  <c r="CE612" i="34"/>
  <c r="CD612" i="34"/>
  <c r="CC612" i="34"/>
  <c r="CB612" i="34"/>
  <c r="CA612" i="34"/>
  <c r="BZ612" i="34"/>
  <c r="BY612" i="34"/>
  <c r="CF611" i="34"/>
  <c r="CE611" i="34"/>
  <c r="CD611" i="34"/>
  <c r="CC611" i="34"/>
  <c r="CB611" i="34"/>
  <c r="CA611" i="34"/>
  <c r="BZ611" i="34"/>
  <c r="BY611" i="34"/>
  <c r="CF610" i="34"/>
  <c r="CE610" i="34"/>
  <c r="CD610" i="34"/>
  <c r="CC610" i="34"/>
  <c r="CB610" i="34"/>
  <c r="CA610" i="34"/>
  <c r="BZ610" i="34"/>
  <c r="BY610" i="34"/>
  <c r="CF609" i="34"/>
  <c r="CE609" i="34"/>
  <c r="CD609" i="34"/>
  <c r="CC609" i="34"/>
  <c r="CB609" i="34"/>
  <c r="CA609" i="34"/>
  <c r="BZ609" i="34"/>
  <c r="BY609" i="34"/>
  <c r="CF608" i="34"/>
  <c r="CE608" i="34"/>
  <c r="CD608" i="34"/>
  <c r="CC608" i="34"/>
  <c r="CB608" i="34"/>
  <c r="CA608" i="34"/>
  <c r="BZ608" i="34"/>
  <c r="BY608" i="34"/>
  <c r="CF607" i="34"/>
  <c r="CE607" i="34"/>
  <c r="CD607" i="34"/>
  <c r="CC607" i="34"/>
  <c r="CB607" i="34"/>
  <c r="CA607" i="34"/>
  <c r="BZ607" i="34"/>
  <c r="BY607" i="34"/>
  <c r="CF606" i="34"/>
  <c r="CE606" i="34"/>
  <c r="CD606" i="34"/>
  <c r="CC606" i="34"/>
  <c r="CB606" i="34"/>
  <c r="CA606" i="34"/>
  <c r="BZ606" i="34"/>
  <c r="BY606" i="34"/>
  <c r="CF605" i="34"/>
  <c r="CE605" i="34"/>
  <c r="CD605" i="34"/>
  <c r="CC605" i="34"/>
  <c r="CB605" i="34"/>
  <c r="CA605" i="34"/>
  <c r="BZ605" i="34"/>
  <c r="BY605" i="34"/>
  <c r="CF604" i="34"/>
  <c r="CE604" i="34"/>
  <c r="CD604" i="34"/>
  <c r="CC604" i="34"/>
  <c r="CB604" i="34"/>
  <c r="CA604" i="34"/>
  <c r="BZ604" i="34"/>
  <c r="BY604" i="34"/>
  <c r="CF603" i="34"/>
  <c r="CE603" i="34"/>
  <c r="CD603" i="34"/>
  <c r="CC603" i="34"/>
  <c r="CB603" i="34"/>
  <c r="CA603" i="34"/>
  <c r="BZ603" i="34"/>
  <c r="BY603" i="34"/>
  <c r="CF602" i="34"/>
  <c r="CE602" i="34"/>
  <c r="CD602" i="34"/>
  <c r="CC602" i="34"/>
  <c r="CB602" i="34"/>
  <c r="CA602" i="34"/>
  <c r="BZ602" i="34"/>
  <c r="BY602" i="34"/>
  <c r="CF601" i="34"/>
  <c r="CE601" i="34"/>
  <c r="CD601" i="34"/>
  <c r="CC601" i="34"/>
  <c r="CB601" i="34"/>
  <c r="CA601" i="34"/>
  <c r="BZ601" i="34"/>
  <c r="BY601" i="34"/>
  <c r="CF600" i="34"/>
  <c r="CE600" i="34"/>
  <c r="CD600" i="34"/>
  <c r="CC600" i="34"/>
  <c r="CB600" i="34"/>
  <c r="CA600" i="34"/>
  <c r="BZ600" i="34"/>
  <c r="BY600" i="34"/>
  <c r="CF599" i="34"/>
  <c r="CE599" i="34"/>
  <c r="CD599" i="34"/>
  <c r="CC599" i="34"/>
  <c r="CB599" i="34"/>
  <c r="CA599" i="34"/>
  <c r="BZ599" i="34"/>
  <c r="BY599" i="34"/>
  <c r="CF598" i="34"/>
  <c r="CE598" i="34"/>
  <c r="CD598" i="34"/>
  <c r="CC598" i="34"/>
  <c r="CB598" i="34"/>
  <c r="CA598" i="34"/>
  <c r="BZ598" i="34"/>
  <c r="BY598" i="34"/>
  <c r="CF597" i="34"/>
  <c r="CE597" i="34"/>
  <c r="CD597" i="34"/>
  <c r="CC597" i="34"/>
  <c r="CB597" i="34"/>
  <c r="CA597" i="34"/>
  <c r="BZ597" i="34"/>
  <c r="BY597" i="34"/>
  <c r="CF596" i="34"/>
  <c r="CE596" i="34"/>
  <c r="CD596" i="34"/>
  <c r="CC596" i="34"/>
  <c r="CB596" i="34"/>
  <c r="CA596" i="34"/>
  <c r="BZ596" i="34"/>
  <c r="BY596" i="34"/>
  <c r="CF595" i="34"/>
  <c r="CE595" i="34"/>
  <c r="CD595" i="34"/>
  <c r="CC595" i="34"/>
  <c r="CB595" i="34"/>
  <c r="CA595" i="34"/>
  <c r="BZ595" i="34"/>
  <c r="BY595" i="34"/>
  <c r="CF594" i="34"/>
  <c r="CE594" i="34"/>
  <c r="CD594" i="34"/>
  <c r="CC594" i="34"/>
  <c r="CB594" i="34"/>
  <c r="CA594" i="34"/>
  <c r="BZ594" i="34"/>
  <c r="BY594" i="34"/>
  <c r="CF593" i="34"/>
  <c r="CE593" i="34"/>
  <c r="CD593" i="34"/>
  <c r="CC593" i="34"/>
  <c r="CB593" i="34"/>
  <c r="CA593" i="34"/>
  <c r="BZ593" i="34"/>
  <c r="BY593" i="34"/>
  <c r="CF592" i="34"/>
  <c r="CE592" i="34"/>
  <c r="CD592" i="34"/>
  <c r="CC592" i="34"/>
  <c r="CB592" i="34"/>
  <c r="CA592" i="34"/>
  <c r="BZ592" i="34"/>
  <c r="BY592" i="34"/>
  <c r="CF591" i="34"/>
  <c r="CE591" i="34"/>
  <c r="CD591" i="34"/>
  <c r="CC591" i="34"/>
  <c r="CB591" i="34"/>
  <c r="CA591" i="34"/>
  <c r="BZ591" i="34"/>
  <c r="BY591" i="34"/>
  <c r="CF590" i="34"/>
  <c r="CE590" i="34"/>
  <c r="CD590" i="34"/>
  <c r="CC590" i="34"/>
  <c r="CB590" i="34"/>
  <c r="CA590" i="34"/>
  <c r="BZ590" i="34"/>
  <c r="BY590" i="34"/>
  <c r="CF589" i="34"/>
  <c r="CE589" i="34"/>
  <c r="CD589" i="34"/>
  <c r="CC589" i="34"/>
  <c r="CB589" i="34"/>
  <c r="CA589" i="34"/>
  <c r="BZ589" i="34"/>
  <c r="BY589" i="34"/>
  <c r="CF588" i="34"/>
  <c r="CE588" i="34"/>
  <c r="CD588" i="34"/>
  <c r="CC588" i="34"/>
  <c r="CB588" i="34"/>
  <c r="CA588" i="34"/>
  <c r="BZ588" i="34"/>
  <c r="BY588" i="34"/>
  <c r="CF587" i="34"/>
  <c r="CE587" i="34"/>
  <c r="CD587" i="34"/>
  <c r="CC587" i="34"/>
  <c r="CB587" i="34"/>
  <c r="CA587" i="34"/>
  <c r="BZ587" i="34"/>
  <c r="BY587" i="34"/>
  <c r="CF586" i="34"/>
  <c r="CE586" i="34"/>
  <c r="CD586" i="34"/>
  <c r="CC586" i="34"/>
  <c r="CB586" i="34"/>
  <c r="CA586" i="34"/>
  <c r="BZ586" i="34"/>
  <c r="BY586" i="34"/>
  <c r="CF585" i="34"/>
  <c r="CE585" i="34"/>
  <c r="CD585" i="34"/>
  <c r="CC585" i="34"/>
  <c r="CB585" i="34"/>
  <c r="CA585" i="34"/>
  <c r="BZ585" i="34"/>
  <c r="BY585" i="34"/>
  <c r="CF584" i="34"/>
  <c r="CE584" i="34"/>
  <c r="CD584" i="34"/>
  <c r="CC584" i="34"/>
  <c r="CB584" i="34"/>
  <c r="CA584" i="34"/>
  <c r="BZ584" i="34"/>
  <c r="BY584" i="34"/>
  <c r="CF583" i="34"/>
  <c r="CE583" i="34"/>
  <c r="CD583" i="34"/>
  <c r="CC583" i="34"/>
  <c r="CB583" i="34"/>
  <c r="CA583" i="34"/>
  <c r="BZ583" i="34"/>
  <c r="BY583" i="34"/>
  <c r="CF582" i="34"/>
  <c r="CE582" i="34"/>
  <c r="CD582" i="34"/>
  <c r="CC582" i="34"/>
  <c r="CB582" i="34"/>
  <c r="CA582" i="34"/>
  <c r="BZ582" i="34"/>
  <c r="BY582" i="34"/>
  <c r="CF581" i="34"/>
  <c r="CE581" i="34"/>
  <c r="CD581" i="34"/>
  <c r="CC581" i="34"/>
  <c r="CB581" i="34"/>
  <c r="CA581" i="34"/>
  <c r="BZ581" i="34"/>
  <c r="BY581" i="34"/>
  <c r="CF580" i="34"/>
  <c r="CE580" i="34"/>
  <c r="CD580" i="34"/>
  <c r="CC580" i="34"/>
  <c r="CB580" i="34"/>
  <c r="CA580" i="34"/>
  <c r="BZ580" i="34"/>
  <c r="BY580" i="34"/>
  <c r="CF579" i="34"/>
  <c r="CE579" i="34"/>
  <c r="CD579" i="34"/>
  <c r="CC579" i="34"/>
  <c r="CB579" i="34"/>
  <c r="CA579" i="34"/>
  <c r="BZ579" i="34"/>
  <c r="BY579" i="34"/>
  <c r="CF578" i="34"/>
  <c r="CE578" i="34"/>
  <c r="CD578" i="34"/>
  <c r="CC578" i="34"/>
  <c r="CB578" i="34"/>
  <c r="CA578" i="34"/>
  <c r="BZ578" i="34"/>
  <c r="BY578" i="34"/>
  <c r="CF577" i="34"/>
  <c r="CE577" i="34"/>
  <c r="CD577" i="34"/>
  <c r="CC577" i="34"/>
  <c r="CB577" i="34"/>
  <c r="CA577" i="34"/>
  <c r="BZ577" i="34"/>
  <c r="BY577" i="34"/>
  <c r="CF576" i="34"/>
  <c r="CE576" i="34"/>
  <c r="CD576" i="34"/>
  <c r="CC576" i="34"/>
  <c r="CB576" i="34"/>
  <c r="CA576" i="34"/>
  <c r="BZ576" i="34"/>
  <c r="BY576" i="34"/>
  <c r="CF575" i="34"/>
  <c r="CE575" i="34"/>
  <c r="CD575" i="34"/>
  <c r="CC575" i="34"/>
  <c r="CB575" i="34"/>
  <c r="CA575" i="34"/>
  <c r="BZ575" i="34"/>
  <c r="BY575" i="34"/>
  <c r="CF574" i="34"/>
  <c r="CE574" i="34"/>
  <c r="CD574" i="34"/>
  <c r="CC574" i="34"/>
  <c r="CB574" i="34"/>
  <c r="CA574" i="34"/>
  <c r="BZ574" i="34"/>
  <c r="BY574" i="34"/>
  <c r="CF573" i="34"/>
  <c r="CE573" i="34"/>
  <c r="CD573" i="34"/>
  <c r="CC573" i="34"/>
  <c r="CB573" i="34"/>
  <c r="CA573" i="34"/>
  <c r="BZ573" i="34"/>
  <c r="BY573" i="34"/>
  <c r="CF572" i="34"/>
  <c r="CE572" i="34"/>
  <c r="CD572" i="34"/>
  <c r="CC572" i="34"/>
  <c r="CB572" i="34"/>
  <c r="CA572" i="34"/>
  <c r="BZ572" i="34"/>
  <c r="BY572" i="34"/>
  <c r="CF571" i="34"/>
  <c r="CE571" i="34"/>
  <c r="CD571" i="34"/>
  <c r="CC571" i="34"/>
  <c r="CB571" i="34"/>
  <c r="CA571" i="34"/>
  <c r="BZ571" i="34"/>
  <c r="BY571" i="34"/>
  <c r="CF570" i="34"/>
  <c r="CE570" i="34"/>
  <c r="CD570" i="34"/>
  <c r="CC570" i="34"/>
  <c r="CB570" i="34"/>
  <c r="CA570" i="34"/>
  <c r="BZ570" i="34"/>
  <c r="BY570" i="34"/>
  <c r="CF569" i="34"/>
  <c r="CE569" i="34"/>
  <c r="CD569" i="34"/>
  <c r="CC569" i="34"/>
  <c r="CB569" i="34"/>
  <c r="CA569" i="34"/>
  <c r="BZ569" i="34"/>
  <c r="BY569" i="34"/>
  <c r="CF568" i="34"/>
  <c r="CE568" i="34"/>
  <c r="CD568" i="34"/>
  <c r="CC568" i="34"/>
  <c r="CB568" i="34"/>
  <c r="CA568" i="34"/>
  <c r="BZ568" i="34"/>
  <c r="BY568" i="34"/>
  <c r="CF567" i="34"/>
  <c r="CE567" i="34"/>
  <c r="CD567" i="34"/>
  <c r="CC567" i="34"/>
  <c r="CB567" i="34"/>
  <c r="CA567" i="34"/>
  <c r="BZ567" i="34"/>
  <c r="BY567" i="34"/>
  <c r="CF566" i="34"/>
  <c r="CE566" i="34"/>
  <c r="CD566" i="34"/>
  <c r="CC566" i="34"/>
  <c r="CB566" i="34"/>
  <c r="CA566" i="34"/>
  <c r="BZ566" i="34"/>
  <c r="BY566" i="34"/>
  <c r="CF565" i="34"/>
  <c r="CE565" i="34"/>
  <c r="CD565" i="34"/>
  <c r="CC565" i="34"/>
  <c r="CB565" i="34"/>
  <c r="CA565" i="34"/>
  <c r="BZ565" i="34"/>
  <c r="BY565" i="34"/>
  <c r="CF564" i="34"/>
  <c r="CE564" i="34"/>
  <c r="CD564" i="34"/>
  <c r="CC564" i="34"/>
  <c r="CB564" i="34"/>
  <c r="CA564" i="34"/>
  <c r="BZ564" i="34"/>
  <c r="BY564" i="34"/>
  <c r="CF563" i="34"/>
  <c r="CE563" i="34"/>
  <c r="CD563" i="34"/>
  <c r="CC563" i="34"/>
  <c r="CB563" i="34"/>
  <c r="CA563" i="34"/>
  <c r="BZ563" i="34"/>
  <c r="BY563" i="34"/>
  <c r="CF562" i="34"/>
  <c r="CE562" i="34"/>
  <c r="CD562" i="34"/>
  <c r="CC562" i="34"/>
  <c r="CB562" i="34"/>
  <c r="CA562" i="34"/>
  <c r="BZ562" i="34"/>
  <c r="BY562" i="34"/>
  <c r="CF561" i="34"/>
  <c r="CE561" i="34"/>
  <c r="CD561" i="34"/>
  <c r="CC561" i="34"/>
  <c r="CB561" i="34"/>
  <c r="CA561" i="34"/>
  <c r="BZ561" i="34"/>
  <c r="BY561" i="34"/>
  <c r="CF560" i="34"/>
  <c r="CE560" i="34"/>
  <c r="CD560" i="34"/>
  <c r="CC560" i="34"/>
  <c r="CB560" i="34"/>
  <c r="CA560" i="34"/>
  <c r="BZ560" i="34"/>
  <c r="BY560" i="34"/>
  <c r="CF559" i="34"/>
  <c r="CE559" i="34"/>
  <c r="CD559" i="34"/>
  <c r="CC559" i="34"/>
  <c r="CB559" i="34"/>
  <c r="CA559" i="34"/>
  <c r="BZ559" i="34"/>
  <c r="BY559" i="34"/>
  <c r="CF558" i="34"/>
  <c r="CE558" i="34"/>
  <c r="CD558" i="34"/>
  <c r="CC558" i="34"/>
  <c r="CB558" i="34"/>
  <c r="CA558" i="34"/>
  <c r="BZ558" i="34"/>
  <c r="BY558" i="34"/>
  <c r="CF557" i="34"/>
  <c r="CE557" i="34"/>
  <c r="CD557" i="34"/>
  <c r="CC557" i="34"/>
  <c r="CB557" i="34"/>
  <c r="CA557" i="34"/>
  <c r="BZ557" i="34"/>
  <c r="BY557" i="34"/>
  <c r="CF556" i="34"/>
  <c r="CE556" i="34"/>
  <c r="CD556" i="34"/>
  <c r="CC556" i="34"/>
  <c r="CB556" i="34"/>
  <c r="CA556" i="34"/>
  <c r="BZ556" i="34"/>
  <c r="BY556" i="34"/>
  <c r="CF555" i="34"/>
  <c r="CE555" i="34"/>
  <c r="CD555" i="34"/>
  <c r="CC555" i="34"/>
  <c r="CB555" i="34"/>
  <c r="CA555" i="34"/>
  <c r="BZ555" i="34"/>
  <c r="BY555" i="34"/>
  <c r="CF554" i="34"/>
  <c r="CE554" i="34"/>
  <c r="CD554" i="34"/>
  <c r="CC554" i="34"/>
  <c r="CB554" i="34"/>
  <c r="CA554" i="34"/>
  <c r="BZ554" i="34"/>
  <c r="BY554" i="34"/>
  <c r="CF553" i="34"/>
  <c r="CE553" i="34"/>
  <c r="CD553" i="34"/>
  <c r="CC553" i="34"/>
  <c r="CB553" i="34"/>
  <c r="CA553" i="34"/>
  <c r="BZ553" i="34"/>
  <c r="BY553" i="34"/>
  <c r="CF552" i="34"/>
  <c r="CE552" i="34"/>
  <c r="CD552" i="34"/>
  <c r="CC552" i="34"/>
  <c r="CB552" i="34"/>
  <c r="CA552" i="34"/>
  <c r="BZ552" i="34"/>
  <c r="BY552" i="34"/>
  <c r="CF551" i="34"/>
  <c r="CE551" i="34"/>
  <c r="CD551" i="34"/>
  <c r="CC551" i="34"/>
  <c r="CB551" i="34"/>
  <c r="CA551" i="34"/>
  <c r="BZ551" i="34"/>
  <c r="BY551" i="34"/>
  <c r="CF550" i="34"/>
  <c r="CE550" i="34"/>
  <c r="CD550" i="34"/>
  <c r="CC550" i="34"/>
  <c r="CB550" i="34"/>
  <c r="CA550" i="34"/>
  <c r="BZ550" i="34"/>
  <c r="BY550" i="34"/>
  <c r="CF549" i="34"/>
  <c r="CE549" i="34"/>
  <c r="CD549" i="34"/>
  <c r="CC549" i="34"/>
  <c r="CB549" i="34"/>
  <c r="CA549" i="34"/>
  <c r="BZ549" i="34"/>
  <c r="BY549" i="34"/>
  <c r="CF548" i="34"/>
  <c r="CE548" i="34"/>
  <c r="CD548" i="34"/>
  <c r="CC548" i="34"/>
  <c r="CB548" i="34"/>
  <c r="CA548" i="34"/>
  <c r="BZ548" i="34"/>
  <c r="BY548" i="34"/>
  <c r="CF547" i="34"/>
  <c r="CE547" i="34"/>
  <c r="CD547" i="34"/>
  <c r="CC547" i="34"/>
  <c r="CB547" i="34"/>
  <c r="CA547" i="34"/>
  <c r="BZ547" i="34"/>
  <c r="BY547" i="34"/>
  <c r="CF546" i="34"/>
  <c r="CE546" i="34"/>
  <c r="CD546" i="34"/>
  <c r="CC546" i="34"/>
  <c r="CB546" i="34"/>
  <c r="CA546" i="34"/>
  <c r="BZ546" i="34"/>
  <c r="BY546" i="34"/>
  <c r="CF545" i="34"/>
  <c r="CE545" i="34"/>
  <c r="CD545" i="34"/>
  <c r="CC545" i="34"/>
  <c r="CB545" i="34"/>
  <c r="CA545" i="34"/>
  <c r="BZ545" i="34"/>
  <c r="BY545" i="34"/>
  <c r="CF544" i="34"/>
  <c r="CE544" i="34"/>
  <c r="CD544" i="34"/>
  <c r="CC544" i="34"/>
  <c r="CB544" i="34"/>
  <c r="CA544" i="34"/>
  <c r="BZ544" i="34"/>
  <c r="BY544" i="34"/>
  <c r="CF543" i="34"/>
  <c r="CE543" i="34"/>
  <c r="CD543" i="34"/>
  <c r="CC543" i="34"/>
  <c r="CB543" i="34"/>
  <c r="CA543" i="34"/>
  <c r="BZ543" i="34"/>
  <c r="BY543" i="34"/>
  <c r="CF542" i="34"/>
  <c r="CE542" i="34"/>
  <c r="CD542" i="34"/>
  <c r="CC542" i="34"/>
  <c r="CB542" i="34"/>
  <c r="CA542" i="34"/>
  <c r="BZ542" i="34"/>
  <c r="BY542" i="34"/>
  <c r="CF541" i="34"/>
  <c r="CE541" i="34"/>
  <c r="CD541" i="34"/>
  <c r="CC541" i="34"/>
  <c r="CB541" i="34"/>
  <c r="CA541" i="34"/>
  <c r="BZ541" i="34"/>
  <c r="BY541" i="34"/>
  <c r="CF540" i="34"/>
  <c r="CE540" i="34"/>
  <c r="CD540" i="34"/>
  <c r="CC540" i="34"/>
  <c r="CB540" i="34"/>
  <c r="CA540" i="34"/>
  <c r="BZ540" i="34"/>
  <c r="BY540" i="34"/>
  <c r="CF539" i="34"/>
  <c r="CE539" i="34"/>
  <c r="CD539" i="34"/>
  <c r="CC539" i="34"/>
  <c r="CB539" i="34"/>
  <c r="CA539" i="34"/>
  <c r="BZ539" i="34"/>
  <c r="BY539" i="34"/>
  <c r="CF538" i="34"/>
  <c r="CE538" i="34"/>
  <c r="CD538" i="34"/>
  <c r="CC538" i="34"/>
  <c r="CB538" i="34"/>
  <c r="CA538" i="34"/>
  <c r="BZ538" i="34"/>
  <c r="BY538" i="34"/>
  <c r="CF537" i="34"/>
  <c r="CE537" i="34"/>
  <c r="CD537" i="34"/>
  <c r="CC537" i="34"/>
  <c r="CB537" i="34"/>
  <c r="CA537" i="34"/>
  <c r="BZ537" i="34"/>
  <c r="BY537" i="34"/>
  <c r="CF536" i="34"/>
  <c r="CE536" i="34"/>
  <c r="CD536" i="34"/>
  <c r="CC536" i="34"/>
  <c r="CB536" i="34"/>
  <c r="CA536" i="34"/>
  <c r="BZ536" i="34"/>
  <c r="BY536" i="34"/>
  <c r="CF535" i="34"/>
  <c r="CE535" i="34"/>
  <c r="CD535" i="34"/>
  <c r="CC535" i="34"/>
  <c r="CB535" i="34"/>
  <c r="CA535" i="34"/>
  <c r="BZ535" i="34"/>
  <c r="BY535" i="34"/>
  <c r="CF534" i="34"/>
  <c r="CE534" i="34"/>
  <c r="CD534" i="34"/>
  <c r="CC534" i="34"/>
  <c r="CB534" i="34"/>
  <c r="CA534" i="34"/>
  <c r="BZ534" i="34"/>
  <c r="BY534" i="34"/>
  <c r="CF533" i="34"/>
  <c r="CE533" i="34"/>
  <c r="CD533" i="34"/>
  <c r="CC533" i="34"/>
  <c r="CB533" i="34"/>
  <c r="CA533" i="34"/>
  <c r="BZ533" i="34"/>
  <c r="BY533" i="34"/>
  <c r="CF532" i="34"/>
  <c r="CE532" i="34"/>
  <c r="CD532" i="34"/>
  <c r="CC532" i="34"/>
  <c r="CB532" i="34"/>
  <c r="CA532" i="34"/>
  <c r="BZ532" i="34"/>
  <c r="BY532" i="34"/>
  <c r="CF531" i="34"/>
  <c r="CE531" i="34"/>
  <c r="CD531" i="34"/>
  <c r="CC531" i="34"/>
  <c r="CB531" i="34"/>
  <c r="CA531" i="34"/>
  <c r="BZ531" i="34"/>
  <c r="BY531" i="34"/>
  <c r="CF530" i="34"/>
  <c r="CE530" i="34"/>
  <c r="CD530" i="34"/>
  <c r="CC530" i="34"/>
  <c r="CB530" i="34"/>
  <c r="CA530" i="34"/>
  <c r="BZ530" i="34"/>
  <c r="BY530" i="34"/>
  <c r="CF529" i="34"/>
  <c r="CE529" i="34"/>
  <c r="CD529" i="34"/>
  <c r="CC529" i="34"/>
  <c r="CB529" i="34"/>
  <c r="CA529" i="34"/>
  <c r="BZ529" i="34"/>
  <c r="BY529" i="34"/>
  <c r="CF528" i="34"/>
  <c r="CE528" i="34"/>
  <c r="CD528" i="34"/>
  <c r="CC528" i="34"/>
  <c r="CB528" i="34"/>
  <c r="CA528" i="34"/>
  <c r="BZ528" i="34"/>
  <c r="BY528" i="34"/>
  <c r="CF527" i="34"/>
  <c r="CE527" i="34"/>
  <c r="CD527" i="34"/>
  <c r="CC527" i="34"/>
  <c r="CB527" i="34"/>
  <c r="CA527" i="34"/>
  <c r="BZ527" i="34"/>
  <c r="BY527" i="34"/>
  <c r="CF526" i="34"/>
  <c r="CE526" i="34"/>
  <c r="CD526" i="34"/>
  <c r="CC526" i="34"/>
  <c r="CB526" i="34"/>
  <c r="CA526" i="34"/>
  <c r="BZ526" i="34"/>
  <c r="BY526" i="34"/>
  <c r="CF525" i="34"/>
  <c r="CE525" i="34"/>
  <c r="CD525" i="34"/>
  <c r="CC525" i="34"/>
  <c r="CB525" i="34"/>
  <c r="CA525" i="34"/>
  <c r="BZ525" i="34"/>
  <c r="BY525" i="34"/>
  <c r="CF524" i="34"/>
  <c r="CE524" i="34"/>
  <c r="CD524" i="34"/>
  <c r="CC524" i="34"/>
  <c r="CB524" i="34"/>
  <c r="CA524" i="34"/>
  <c r="BZ524" i="34"/>
  <c r="BY524" i="34"/>
  <c r="CF523" i="34"/>
  <c r="CE523" i="34"/>
  <c r="CD523" i="34"/>
  <c r="CC523" i="34"/>
  <c r="CB523" i="34"/>
  <c r="CA523" i="34"/>
  <c r="BZ523" i="34"/>
  <c r="BY523" i="34"/>
  <c r="CF522" i="34"/>
  <c r="CE522" i="34"/>
  <c r="CD522" i="34"/>
  <c r="CC522" i="34"/>
  <c r="CB522" i="34"/>
  <c r="CA522" i="34"/>
  <c r="BZ522" i="34"/>
  <c r="BY522" i="34"/>
  <c r="CF521" i="34"/>
  <c r="CE521" i="34"/>
  <c r="CD521" i="34"/>
  <c r="CC521" i="34"/>
  <c r="CB521" i="34"/>
  <c r="CA521" i="34"/>
  <c r="BZ521" i="34"/>
  <c r="BY521" i="34"/>
  <c r="CF520" i="34"/>
  <c r="CE520" i="34"/>
  <c r="CD520" i="34"/>
  <c r="CC520" i="34"/>
  <c r="CB520" i="34"/>
  <c r="CA520" i="34"/>
  <c r="BZ520" i="34"/>
  <c r="BY520" i="34"/>
  <c r="CF519" i="34"/>
  <c r="CE519" i="34"/>
  <c r="CD519" i="34"/>
  <c r="CC519" i="34"/>
  <c r="CB519" i="34"/>
  <c r="CA519" i="34"/>
  <c r="BZ519" i="34"/>
  <c r="BY519" i="34"/>
  <c r="CF518" i="34"/>
  <c r="CE518" i="34"/>
  <c r="CD518" i="34"/>
  <c r="CC518" i="34"/>
  <c r="CB518" i="34"/>
  <c r="CA518" i="34"/>
  <c r="BZ518" i="34"/>
  <c r="BY518" i="34"/>
  <c r="CF517" i="34"/>
  <c r="CE517" i="34"/>
  <c r="CD517" i="34"/>
  <c r="CC517" i="34"/>
  <c r="CB517" i="34"/>
  <c r="CA517" i="34"/>
  <c r="BZ517" i="34"/>
  <c r="BY517" i="34"/>
  <c r="CF516" i="34"/>
  <c r="CE516" i="34"/>
  <c r="CD516" i="34"/>
  <c r="CC516" i="34"/>
  <c r="CB516" i="34"/>
  <c r="CA516" i="34"/>
  <c r="BZ516" i="34"/>
  <c r="BY516" i="34"/>
  <c r="CF515" i="34"/>
  <c r="CE515" i="34"/>
  <c r="CD515" i="34"/>
  <c r="CC515" i="34"/>
  <c r="CB515" i="34"/>
  <c r="CA515" i="34"/>
  <c r="BZ515" i="34"/>
  <c r="BY515" i="34"/>
  <c r="CF514" i="34"/>
  <c r="CE514" i="34"/>
  <c r="CD514" i="34"/>
  <c r="CC514" i="34"/>
  <c r="CB514" i="34"/>
  <c r="CA514" i="34"/>
  <c r="BZ514" i="34"/>
  <c r="BY514" i="34"/>
  <c r="CF513" i="34"/>
  <c r="CE513" i="34"/>
  <c r="CD513" i="34"/>
  <c r="CC513" i="34"/>
  <c r="CB513" i="34"/>
  <c r="CA513" i="34"/>
  <c r="BZ513" i="34"/>
  <c r="BY513" i="34"/>
  <c r="CF512" i="34"/>
  <c r="CE512" i="34"/>
  <c r="CD512" i="34"/>
  <c r="CC512" i="34"/>
  <c r="CB512" i="34"/>
  <c r="CA512" i="34"/>
  <c r="BZ512" i="34"/>
  <c r="BY512" i="34"/>
  <c r="CF511" i="34"/>
  <c r="CE511" i="34"/>
  <c r="CD511" i="34"/>
  <c r="CC511" i="34"/>
  <c r="CB511" i="34"/>
  <c r="CA511" i="34"/>
  <c r="BZ511" i="34"/>
  <c r="BY511" i="34"/>
  <c r="CF510" i="34"/>
  <c r="CE510" i="34"/>
  <c r="CD510" i="34"/>
  <c r="CC510" i="34"/>
  <c r="CB510" i="34"/>
  <c r="CA510" i="34"/>
  <c r="BZ510" i="34"/>
  <c r="BY510" i="34"/>
  <c r="CF509" i="34"/>
  <c r="CE509" i="34"/>
  <c r="CD509" i="34"/>
  <c r="CC509" i="34"/>
  <c r="CB509" i="34"/>
  <c r="CA509" i="34"/>
  <c r="BZ509" i="34"/>
  <c r="BY509" i="34"/>
  <c r="CF508" i="34"/>
  <c r="CE508" i="34"/>
  <c r="CD508" i="34"/>
  <c r="CC508" i="34"/>
  <c r="CB508" i="34"/>
  <c r="CA508" i="34"/>
  <c r="BZ508" i="34"/>
  <c r="BY508" i="34"/>
  <c r="CF507" i="34"/>
  <c r="CE507" i="34"/>
  <c r="CD507" i="34"/>
  <c r="CC507" i="34"/>
  <c r="CB507" i="34"/>
  <c r="CA507" i="34"/>
  <c r="BZ507" i="34"/>
  <c r="BY507" i="34"/>
  <c r="CF506" i="34"/>
  <c r="CE506" i="34"/>
  <c r="CD506" i="34"/>
  <c r="CC506" i="34"/>
  <c r="CB506" i="34"/>
  <c r="CA506" i="34"/>
  <c r="BZ506" i="34"/>
  <c r="BY506" i="34"/>
  <c r="CF505" i="34"/>
  <c r="CE505" i="34"/>
  <c r="CD505" i="34"/>
  <c r="CC505" i="34"/>
  <c r="CB505" i="34"/>
  <c r="CA505" i="34"/>
  <c r="BZ505" i="34"/>
  <c r="BY505" i="34"/>
  <c r="CF504" i="34"/>
  <c r="CE504" i="34"/>
  <c r="CD504" i="34"/>
  <c r="CC504" i="34"/>
  <c r="CB504" i="34"/>
  <c r="CA504" i="34"/>
  <c r="BZ504" i="34"/>
  <c r="BY504" i="34"/>
  <c r="CF503" i="34"/>
  <c r="CE503" i="34"/>
  <c r="CD503" i="34"/>
  <c r="CC503" i="34"/>
  <c r="CB503" i="34"/>
  <c r="CA503" i="34"/>
  <c r="BZ503" i="34"/>
  <c r="BY503" i="34"/>
  <c r="CF502" i="34"/>
  <c r="CE502" i="34"/>
  <c r="CD502" i="34"/>
  <c r="CC502" i="34"/>
  <c r="CB502" i="34"/>
  <c r="CA502" i="34"/>
  <c r="BZ502" i="34"/>
  <c r="BY502" i="34"/>
  <c r="CF501" i="34"/>
  <c r="CE501" i="34"/>
  <c r="CD501" i="34"/>
  <c r="CC501" i="34"/>
  <c r="CB501" i="34"/>
  <c r="CA501" i="34"/>
  <c r="BZ501" i="34"/>
  <c r="BY501" i="34"/>
  <c r="CF500" i="34"/>
  <c r="CE500" i="34"/>
  <c r="CD500" i="34"/>
  <c r="CC500" i="34"/>
  <c r="CB500" i="34"/>
  <c r="CA500" i="34"/>
  <c r="BZ500" i="34"/>
  <c r="BY500" i="34"/>
  <c r="CF499" i="34"/>
  <c r="CE499" i="34"/>
  <c r="CD499" i="34"/>
  <c r="CC499" i="34"/>
  <c r="CB499" i="34"/>
  <c r="CA499" i="34"/>
  <c r="BZ499" i="34"/>
  <c r="BY499" i="34"/>
  <c r="CF498" i="34"/>
  <c r="CE498" i="34"/>
  <c r="CD498" i="34"/>
  <c r="CC498" i="34"/>
  <c r="CB498" i="34"/>
  <c r="CA498" i="34"/>
  <c r="BZ498" i="34"/>
  <c r="BY498" i="34"/>
  <c r="CF497" i="34"/>
  <c r="CE497" i="34"/>
  <c r="CD497" i="34"/>
  <c r="CC497" i="34"/>
  <c r="CB497" i="34"/>
  <c r="CA497" i="34"/>
  <c r="BZ497" i="34"/>
  <c r="BY497" i="34"/>
  <c r="CF496" i="34"/>
  <c r="CE496" i="34"/>
  <c r="CD496" i="34"/>
  <c r="CC496" i="34"/>
  <c r="CB496" i="34"/>
  <c r="CA496" i="34"/>
  <c r="BZ496" i="34"/>
  <c r="BY496" i="34"/>
  <c r="CF495" i="34"/>
  <c r="CE495" i="34"/>
  <c r="CD495" i="34"/>
  <c r="CC495" i="34"/>
  <c r="CB495" i="34"/>
  <c r="CA495" i="34"/>
  <c r="BZ495" i="34"/>
  <c r="BY495" i="34"/>
  <c r="CF494" i="34"/>
  <c r="CE494" i="34"/>
  <c r="CD494" i="34"/>
  <c r="CC494" i="34"/>
  <c r="CB494" i="34"/>
  <c r="CA494" i="34"/>
  <c r="BZ494" i="34"/>
  <c r="BY494" i="34"/>
  <c r="CF493" i="34"/>
  <c r="CE493" i="34"/>
  <c r="CD493" i="34"/>
  <c r="CC493" i="34"/>
  <c r="CB493" i="34"/>
  <c r="CA493" i="34"/>
  <c r="BZ493" i="34"/>
  <c r="BY493" i="34"/>
  <c r="CF492" i="34"/>
  <c r="CE492" i="34"/>
  <c r="CD492" i="34"/>
  <c r="CC492" i="34"/>
  <c r="CB492" i="34"/>
  <c r="CA492" i="34"/>
  <c r="BZ492" i="34"/>
  <c r="BY492" i="34"/>
  <c r="CF491" i="34"/>
  <c r="CE491" i="34"/>
  <c r="CD491" i="34"/>
  <c r="CC491" i="34"/>
  <c r="CB491" i="34"/>
  <c r="CA491" i="34"/>
  <c r="BZ491" i="34"/>
  <c r="BY491" i="34"/>
  <c r="CF490" i="34"/>
  <c r="CE490" i="34"/>
  <c r="CD490" i="34"/>
  <c r="CC490" i="34"/>
  <c r="CB490" i="34"/>
  <c r="CA490" i="34"/>
  <c r="BZ490" i="34"/>
  <c r="BY490" i="34"/>
  <c r="CF489" i="34"/>
  <c r="CE489" i="34"/>
  <c r="CD489" i="34"/>
  <c r="CC489" i="34"/>
  <c r="CB489" i="34"/>
  <c r="CA489" i="34"/>
  <c r="BZ489" i="34"/>
  <c r="BY489" i="34"/>
  <c r="CF488" i="34"/>
  <c r="CE488" i="34"/>
  <c r="CD488" i="34"/>
  <c r="CC488" i="34"/>
  <c r="CB488" i="34"/>
  <c r="CA488" i="34"/>
  <c r="BZ488" i="34"/>
  <c r="BY488" i="34"/>
  <c r="CF487" i="34"/>
  <c r="CE487" i="34"/>
  <c r="CD487" i="34"/>
  <c r="CC487" i="34"/>
  <c r="CB487" i="34"/>
  <c r="CA487" i="34"/>
  <c r="BZ487" i="34"/>
  <c r="BY487" i="34"/>
  <c r="CF486" i="34"/>
  <c r="CE486" i="34"/>
  <c r="CD486" i="34"/>
  <c r="CC486" i="34"/>
  <c r="CB486" i="34"/>
  <c r="CA486" i="34"/>
  <c r="BZ486" i="34"/>
  <c r="BY486" i="34"/>
  <c r="CF485" i="34"/>
  <c r="CE485" i="34"/>
  <c r="CD485" i="34"/>
  <c r="CC485" i="34"/>
  <c r="CB485" i="34"/>
  <c r="CA485" i="34"/>
  <c r="BZ485" i="34"/>
  <c r="BY485" i="34"/>
  <c r="CF484" i="34"/>
  <c r="CE484" i="34"/>
  <c r="CD484" i="34"/>
  <c r="CC484" i="34"/>
  <c r="CB484" i="34"/>
  <c r="CA484" i="34"/>
  <c r="BZ484" i="34"/>
  <c r="BY484" i="34"/>
  <c r="CF483" i="34"/>
  <c r="CE483" i="34"/>
  <c r="CD483" i="34"/>
  <c r="CC483" i="34"/>
  <c r="CB483" i="34"/>
  <c r="CA483" i="34"/>
  <c r="BZ483" i="34"/>
  <c r="BY483" i="34"/>
  <c r="CF482" i="34"/>
  <c r="CE482" i="34"/>
  <c r="CD482" i="34"/>
  <c r="CC482" i="34"/>
  <c r="CB482" i="34"/>
  <c r="CA482" i="34"/>
  <c r="BZ482" i="34"/>
  <c r="BY482" i="34"/>
  <c r="CF481" i="34"/>
  <c r="CE481" i="34"/>
  <c r="CD481" i="34"/>
  <c r="CC481" i="34"/>
  <c r="CB481" i="34"/>
  <c r="CA481" i="34"/>
  <c r="BZ481" i="34"/>
  <c r="BY481" i="34"/>
  <c r="CF480" i="34"/>
  <c r="CE480" i="34"/>
  <c r="CD480" i="34"/>
  <c r="CC480" i="34"/>
  <c r="CB480" i="34"/>
  <c r="CA480" i="34"/>
  <c r="BZ480" i="34"/>
  <c r="BY480" i="34"/>
  <c r="CF479" i="34"/>
  <c r="CE479" i="34"/>
  <c r="CD479" i="34"/>
  <c r="CC479" i="34"/>
  <c r="CB479" i="34"/>
  <c r="CA479" i="34"/>
  <c r="BZ479" i="34"/>
  <c r="BY479" i="34"/>
  <c r="CF478" i="34"/>
  <c r="CE478" i="34"/>
  <c r="CD478" i="34"/>
  <c r="CC478" i="34"/>
  <c r="CB478" i="34"/>
  <c r="CA478" i="34"/>
  <c r="BZ478" i="34"/>
  <c r="BY478" i="34"/>
  <c r="CF477" i="34"/>
  <c r="CE477" i="34"/>
  <c r="CD477" i="34"/>
  <c r="CC477" i="34"/>
  <c r="CB477" i="34"/>
  <c r="CA477" i="34"/>
  <c r="BZ477" i="34"/>
  <c r="BY477" i="34"/>
  <c r="CF476" i="34"/>
  <c r="CE476" i="34"/>
  <c r="CD476" i="34"/>
  <c r="CC476" i="34"/>
  <c r="CB476" i="34"/>
  <c r="CA476" i="34"/>
  <c r="BZ476" i="34"/>
  <c r="BY476" i="34"/>
  <c r="CF475" i="34"/>
  <c r="CE475" i="34"/>
  <c r="CD475" i="34"/>
  <c r="CC475" i="34"/>
  <c r="CB475" i="34"/>
  <c r="CA475" i="34"/>
  <c r="BZ475" i="34"/>
  <c r="BY475" i="34"/>
  <c r="CF474" i="34"/>
  <c r="CE474" i="34"/>
  <c r="CD474" i="34"/>
  <c r="CC474" i="34"/>
  <c r="CB474" i="34"/>
  <c r="CA474" i="34"/>
  <c r="BZ474" i="34"/>
  <c r="BY474" i="34"/>
  <c r="CF473" i="34"/>
  <c r="CE473" i="34"/>
  <c r="CD473" i="34"/>
  <c r="CC473" i="34"/>
  <c r="CB473" i="34"/>
  <c r="CA473" i="34"/>
  <c r="BZ473" i="34"/>
  <c r="BY473" i="34"/>
  <c r="CF472" i="34"/>
  <c r="CE472" i="34"/>
  <c r="CD472" i="34"/>
  <c r="CC472" i="34"/>
  <c r="CB472" i="34"/>
  <c r="CA472" i="34"/>
  <c r="BZ472" i="34"/>
  <c r="BY472" i="34"/>
  <c r="CF471" i="34"/>
  <c r="CE471" i="34"/>
  <c r="CD471" i="34"/>
  <c r="CC471" i="34"/>
  <c r="CB471" i="34"/>
  <c r="CA471" i="34"/>
  <c r="BZ471" i="34"/>
  <c r="BY471" i="34"/>
  <c r="CF470" i="34"/>
  <c r="CE470" i="34"/>
  <c r="CD470" i="34"/>
  <c r="CC470" i="34"/>
  <c r="CB470" i="34"/>
  <c r="CA470" i="34"/>
  <c r="BZ470" i="34"/>
  <c r="BY470" i="34"/>
  <c r="CF469" i="34"/>
  <c r="CE469" i="34"/>
  <c r="CD469" i="34"/>
  <c r="CC469" i="34"/>
  <c r="CB469" i="34"/>
  <c r="CA469" i="34"/>
  <c r="BZ469" i="34"/>
  <c r="BY469" i="34"/>
  <c r="CF468" i="34"/>
  <c r="CE468" i="34"/>
  <c r="CD468" i="34"/>
  <c r="CC468" i="34"/>
  <c r="CB468" i="34"/>
  <c r="CA468" i="34"/>
  <c r="BZ468" i="34"/>
  <c r="BY468" i="34"/>
  <c r="CF467" i="34"/>
  <c r="CE467" i="34"/>
  <c r="CD467" i="34"/>
  <c r="CC467" i="34"/>
  <c r="CB467" i="34"/>
  <c r="CA467" i="34"/>
  <c r="BZ467" i="34"/>
  <c r="BY467" i="34"/>
  <c r="CF466" i="34"/>
  <c r="CE466" i="34"/>
  <c r="CD466" i="34"/>
  <c r="CC466" i="34"/>
  <c r="CB466" i="34"/>
  <c r="CA466" i="34"/>
  <c r="BZ466" i="34"/>
  <c r="BY466" i="34"/>
  <c r="CF465" i="34"/>
  <c r="CE465" i="34"/>
  <c r="CD465" i="34"/>
  <c r="CC465" i="34"/>
  <c r="CB465" i="34"/>
  <c r="CA465" i="34"/>
  <c r="BZ465" i="34"/>
  <c r="BY465" i="34"/>
  <c r="CF464" i="34"/>
  <c r="CE464" i="34"/>
  <c r="CD464" i="34"/>
  <c r="CC464" i="34"/>
  <c r="CB464" i="34"/>
  <c r="CA464" i="34"/>
  <c r="BZ464" i="34"/>
  <c r="BY464" i="34"/>
  <c r="CF463" i="34"/>
  <c r="CE463" i="34"/>
  <c r="CD463" i="34"/>
  <c r="CC463" i="34"/>
  <c r="CB463" i="34"/>
  <c r="CA463" i="34"/>
  <c r="BZ463" i="34"/>
  <c r="BY463" i="34"/>
  <c r="CF462" i="34"/>
  <c r="CE462" i="34"/>
  <c r="CD462" i="34"/>
  <c r="CC462" i="34"/>
  <c r="CB462" i="34"/>
  <c r="CA462" i="34"/>
  <c r="BZ462" i="34"/>
  <c r="BY462" i="34"/>
  <c r="CF461" i="34"/>
  <c r="CE461" i="34"/>
  <c r="CD461" i="34"/>
  <c r="CC461" i="34"/>
  <c r="CB461" i="34"/>
  <c r="CA461" i="34"/>
  <c r="BZ461" i="34"/>
  <c r="BY461" i="34"/>
  <c r="CF460" i="34"/>
  <c r="CE460" i="34"/>
  <c r="CD460" i="34"/>
  <c r="CC460" i="34"/>
  <c r="CB460" i="34"/>
  <c r="CA460" i="34"/>
  <c r="BZ460" i="34"/>
  <c r="BY460" i="34"/>
  <c r="CF459" i="34"/>
  <c r="CE459" i="34"/>
  <c r="CD459" i="34"/>
  <c r="CC459" i="34"/>
  <c r="CB459" i="34"/>
  <c r="CA459" i="34"/>
  <c r="BZ459" i="34"/>
  <c r="BY459" i="34"/>
  <c r="CF458" i="34"/>
  <c r="CE458" i="34"/>
  <c r="CD458" i="34"/>
  <c r="CC458" i="34"/>
  <c r="CB458" i="34"/>
  <c r="CA458" i="34"/>
  <c r="BZ458" i="34"/>
  <c r="BY458" i="34"/>
  <c r="CF457" i="34"/>
  <c r="CE457" i="34"/>
  <c r="CD457" i="34"/>
  <c r="CC457" i="34"/>
  <c r="CB457" i="34"/>
  <c r="CA457" i="34"/>
  <c r="BZ457" i="34"/>
  <c r="BY457" i="34"/>
  <c r="CF456" i="34"/>
  <c r="CE456" i="34"/>
  <c r="CD456" i="34"/>
  <c r="CC456" i="34"/>
  <c r="CB456" i="34"/>
  <c r="CA456" i="34"/>
  <c r="BZ456" i="34"/>
  <c r="BY456" i="34"/>
  <c r="CF455" i="34"/>
  <c r="CE455" i="34"/>
  <c r="CD455" i="34"/>
  <c r="CC455" i="34"/>
  <c r="CB455" i="34"/>
  <c r="CA455" i="34"/>
  <c r="BZ455" i="34"/>
  <c r="BY455" i="34"/>
  <c r="CF454" i="34"/>
  <c r="CE454" i="34"/>
  <c r="CD454" i="34"/>
  <c r="CC454" i="34"/>
  <c r="CB454" i="34"/>
  <c r="CA454" i="34"/>
  <c r="BZ454" i="34"/>
  <c r="BY454" i="34"/>
  <c r="CF453" i="34"/>
  <c r="CE453" i="34"/>
  <c r="CD453" i="34"/>
  <c r="CC453" i="34"/>
  <c r="CB453" i="34"/>
  <c r="CA453" i="34"/>
  <c r="BZ453" i="34"/>
  <c r="BY453" i="34"/>
  <c r="CF452" i="34"/>
  <c r="CE452" i="34"/>
  <c r="CD452" i="34"/>
  <c r="CC452" i="34"/>
  <c r="CB452" i="34"/>
  <c r="CA452" i="34"/>
  <c r="BZ452" i="34"/>
  <c r="BY452" i="34"/>
  <c r="CF451" i="34"/>
  <c r="CE451" i="34"/>
  <c r="CD451" i="34"/>
  <c r="CC451" i="34"/>
  <c r="CB451" i="34"/>
  <c r="CA451" i="34"/>
  <c r="BZ451" i="34"/>
  <c r="BY451" i="34"/>
  <c r="CF450" i="34"/>
  <c r="CE450" i="34"/>
  <c r="CD450" i="34"/>
  <c r="CC450" i="34"/>
  <c r="CB450" i="34"/>
  <c r="CA450" i="34"/>
  <c r="BZ450" i="34"/>
  <c r="BY450" i="34"/>
  <c r="CF897" i="34"/>
  <c r="CE897" i="34"/>
  <c r="CD897" i="34"/>
  <c r="CC897" i="34"/>
  <c r="CB897" i="34"/>
  <c r="CA897" i="34"/>
  <c r="BZ897" i="34"/>
  <c r="BY897" i="34"/>
  <c r="CF896" i="34"/>
  <c r="CE896" i="34"/>
  <c r="CD896" i="34"/>
  <c r="CC896" i="34"/>
  <c r="CB896" i="34"/>
  <c r="CA896" i="34"/>
  <c r="BZ896" i="34"/>
  <c r="BY896" i="34"/>
  <c r="CF895" i="34"/>
  <c r="CE895" i="34"/>
  <c r="CD895" i="34"/>
  <c r="CC895" i="34"/>
  <c r="CB895" i="34"/>
  <c r="CA895" i="34"/>
  <c r="BZ895" i="34"/>
  <c r="BY895" i="34"/>
  <c r="CF894" i="34"/>
  <c r="CE894" i="34"/>
  <c r="CD894" i="34"/>
  <c r="CC894" i="34"/>
  <c r="CB894" i="34"/>
  <c r="CA894" i="34"/>
  <c r="BZ894" i="34"/>
  <c r="BY894" i="34"/>
  <c r="CF893" i="34"/>
  <c r="CE893" i="34"/>
  <c r="CD893" i="34"/>
  <c r="CC893" i="34"/>
  <c r="CB893" i="34"/>
  <c r="CA893" i="34"/>
  <c r="BZ893" i="34"/>
  <c r="BY893" i="34"/>
  <c r="CF892" i="34"/>
  <c r="CE892" i="34"/>
  <c r="CD892" i="34"/>
  <c r="CC892" i="34"/>
  <c r="CB892" i="34"/>
  <c r="CA892" i="34"/>
  <c r="BZ892" i="34"/>
  <c r="BY892" i="34"/>
  <c r="CF891" i="34"/>
  <c r="CE891" i="34"/>
  <c r="CD891" i="34"/>
  <c r="CC891" i="34"/>
  <c r="CB891" i="34"/>
  <c r="CA891" i="34"/>
  <c r="BZ891" i="34"/>
  <c r="BY891" i="34"/>
  <c r="CF890" i="34"/>
  <c r="CE890" i="34"/>
  <c r="CD890" i="34"/>
  <c r="CC890" i="34"/>
  <c r="CB890" i="34"/>
  <c r="CA890" i="34"/>
  <c r="BZ890" i="34"/>
  <c r="BY890" i="34"/>
  <c r="CF889" i="34"/>
  <c r="CE889" i="34"/>
  <c r="CD889" i="34"/>
  <c r="CC889" i="34"/>
  <c r="CB889" i="34"/>
  <c r="CA889" i="34"/>
  <c r="BZ889" i="34"/>
  <c r="BY889" i="34"/>
  <c r="CF888" i="34"/>
  <c r="CE888" i="34"/>
  <c r="CD888" i="34"/>
  <c r="CC888" i="34"/>
  <c r="CB888" i="34"/>
  <c r="CA888" i="34"/>
  <c r="BZ888" i="34"/>
  <c r="BY888" i="34"/>
  <c r="CF887" i="34"/>
  <c r="CE887" i="34"/>
  <c r="CD887" i="34"/>
  <c r="CC887" i="34"/>
  <c r="CB887" i="34"/>
  <c r="CA887" i="34"/>
  <c r="BZ887" i="34"/>
  <c r="BY887" i="34"/>
  <c r="CF886" i="34"/>
  <c r="CE886" i="34"/>
  <c r="CD886" i="34"/>
  <c r="CC886" i="34"/>
  <c r="CB886" i="34"/>
  <c r="CA886" i="34"/>
  <c r="BZ886" i="34"/>
  <c r="BY886" i="34"/>
  <c r="CF885" i="34"/>
  <c r="CE885" i="34"/>
  <c r="CD885" i="34"/>
  <c r="CC885" i="34"/>
  <c r="CB885" i="34"/>
  <c r="CA885" i="34"/>
  <c r="BZ885" i="34"/>
  <c r="BY885" i="34"/>
  <c r="CF884" i="34"/>
  <c r="CE884" i="34"/>
  <c r="CD884" i="34"/>
  <c r="CC884" i="34"/>
  <c r="CB884" i="34"/>
  <c r="CA884" i="34"/>
  <c r="BZ884" i="34"/>
  <c r="BY884" i="34"/>
  <c r="CF883" i="34"/>
  <c r="CE883" i="34"/>
  <c r="CD883" i="34"/>
  <c r="CC883" i="34"/>
  <c r="CB883" i="34"/>
  <c r="CA883" i="34"/>
  <c r="BZ883" i="34"/>
  <c r="BY883" i="34"/>
  <c r="CF882" i="34"/>
  <c r="CE882" i="34"/>
  <c r="CD882" i="34"/>
  <c r="CC882" i="34"/>
  <c r="CB882" i="34"/>
  <c r="CA882" i="34"/>
  <c r="BZ882" i="34"/>
  <c r="BY882" i="34"/>
  <c r="CF881" i="34"/>
  <c r="CE881" i="34"/>
  <c r="CD881" i="34"/>
  <c r="CC881" i="34"/>
  <c r="CB881" i="34"/>
  <c r="CA881" i="34"/>
  <c r="BZ881" i="34"/>
  <c r="BY881" i="34"/>
  <c r="CF880" i="34"/>
  <c r="CE880" i="34"/>
  <c r="CD880" i="34"/>
  <c r="CC880" i="34"/>
  <c r="CB880" i="34"/>
  <c r="CA880" i="34"/>
  <c r="BZ880" i="34"/>
  <c r="BY880" i="34"/>
  <c r="CF879" i="34"/>
  <c r="CE879" i="34"/>
  <c r="CD879" i="34"/>
  <c r="CC879" i="34"/>
  <c r="CB879" i="34"/>
  <c r="CA879" i="34"/>
  <c r="BZ879" i="34"/>
  <c r="BY879" i="34"/>
  <c r="CF878" i="34"/>
  <c r="CE878" i="34"/>
  <c r="CD878" i="34"/>
  <c r="CC878" i="34"/>
  <c r="CB878" i="34"/>
  <c r="CA878" i="34"/>
  <c r="BZ878" i="34"/>
  <c r="BY878" i="34"/>
  <c r="CF877" i="34"/>
  <c r="CE877" i="34"/>
  <c r="CD877" i="34"/>
  <c r="CC877" i="34"/>
  <c r="CB877" i="34"/>
  <c r="CA877" i="34"/>
  <c r="BZ877" i="34"/>
  <c r="BY877" i="34"/>
  <c r="CF876" i="34"/>
  <c r="CE876" i="34"/>
  <c r="CD876" i="34"/>
  <c r="CC876" i="34"/>
  <c r="CB876" i="34"/>
  <c r="CA876" i="34"/>
  <c r="BZ876" i="34"/>
  <c r="BY876" i="34"/>
  <c r="CF875" i="34"/>
  <c r="CE875" i="34"/>
  <c r="CD875" i="34"/>
  <c r="CC875" i="34"/>
  <c r="CB875" i="34"/>
  <c r="CA875" i="34"/>
  <c r="BZ875" i="34"/>
  <c r="BY875" i="34"/>
  <c r="CF874" i="34"/>
  <c r="CE874" i="34"/>
  <c r="CD874" i="34"/>
  <c r="CC874" i="34"/>
  <c r="CB874" i="34"/>
  <c r="CA874" i="34"/>
  <c r="BZ874" i="34"/>
  <c r="BY874" i="34"/>
  <c r="CF873" i="34"/>
  <c r="CE873" i="34"/>
  <c r="CD873" i="34"/>
  <c r="CC873" i="34"/>
  <c r="CB873" i="34"/>
  <c r="CA873" i="34"/>
  <c r="BZ873" i="34"/>
  <c r="BY873" i="34"/>
  <c r="CF872" i="34"/>
  <c r="CE872" i="34"/>
  <c r="CD872" i="34"/>
  <c r="CC872" i="34"/>
  <c r="CB872" i="34"/>
  <c r="CA872" i="34"/>
  <c r="BZ872" i="34"/>
  <c r="BY872" i="34"/>
  <c r="CF871" i="34"/>
  <c r="CE871" i="34"/>
  <c r="CD871" i="34"/>
  <c r="CC871" i="34"/>
  <c r="CB871" i="34"/>
  <c r="CA871" i="34"/>
  <c r="BZ871" i="34"/>
  <c r="BY871" i="34"/>
  <c r="CF870" i="34"/>
  <c r="CE870" i="34"/>
  <c r="CD870" i="34"/>
  <c r="CC870" i="34"/>
  <c r="CB870" i="34"/>
  <c r="CA870" i="34"/>
  <c r="BZ870" i="34"/>
  <c r="BY870" i="34"/>
  <c r="CF869" i="34"/>
  <c r="CE869" i="34"/>
  <c r="CD869" i="34"/>
  <c r="CC869" i="34"/>
  <c r="CB869" i="34"/>
  <c r="CA869" i="34"/>
  <c r="BZ869" i="34"/>
  <c r="BY869" i="34"/>
  <c r="CF868" i="34"/>
  <c r="CE868" i="34"/>
  <c r="CD868" i="34"/>
  <c r="CC868" i="34"/>
  <c r="CB868" i="34"/>
  <c r="CA868" i="34"/>
  <c r="BZ868" i="34"/>
  <c r="BY868" i="34"/>
  <c r="CF867" i="34"/>
  <c r="CE867" i="34"/>
  <c r="CD867" i="34"/>
  <c r="CC867" i="34"/>
  <c r="CB867" i="34"/>
  <c r="CA867" i="34"/>
  <c r="BZ867" i="34"/>
  <c r="BY867" i="34"/>
  <c r="CF866" i="34"/>
  <c r="CE866" i="34"/>
  <c r="CD866" i="34"/>
  <c r="CC866" i="34"/>
  <c r="CB866" i="34"/>
  <c r="CA866" i="34"/>
  <c r="BZ866" i="34"/>
  <c r="BY866" i="34"/>
  <c r="CF865" i="34"/>
  <c r="CE865" i="34"/>
  <c r="CD865" i="34"/>
  <c r="CC865" i="34"/>
  <c r="CB865" i="34"/>
  <c r="CA865" i="34"/>
  <c r="BZ865" i="34"/>
  <c r="BY865" i="34"/>
  <c r="CF864" i="34"/>
  <c r="CE864" i="34"/>
  <c r="CD864" i="34"/>
  <c r="CC864" i="34"/>
  <c r="CB864" i="34"/>
  <c r="CA864" i="34"/>
  <c r="BZ864" i="34"/>
  <c r="BY864" i="34"/>
  <c r="CF863" i="34"/>
  <c r="CE863" i="34"/>
  <c r="CD863" i="34"/>
  <c r="CC863" i="34"/>
  <c r="CB863" i="34"/>
  <c r="CA863" i="34"/>
  <c r="BZ863" i="34"/>
  <c r="BY863" i="34"/>
  <c r="CF862" i="34"/>
  <c r="CE862" i="34"/>
  <c r="CD862" i="34"/>
  <c r="CC862" i="34"/>
  <c r="CB862" i="34"/>
  <c r="CA862" i="34"/>
  <c r="BZ862" i="34"/>
  <c r="BY862" i="34"/>
  <c r="CF861" i="34"/>
  <c r="CE861" i="34"/>
  <c r="CD861" i="34"/>
  <c r="CC861" i="34"/>
  <c r="CB861" i="34"/>
  <c r="CA861" i="34"/>
  <c r="BZ861" i="34"/>
  <c r="BY861" i="34"/>
  <c r="CF860" i="34"/>
  <c r="CE860" i="34"/>
  <c r="CD860" i="34"/>
  <c r="CC860" i="34"/>
  <c r="CB860" i="34"/>
  <c r="CA860" i="34"/>
  <c r="BZ860" i="34"/>
  <c r="BY860" i="34"/>
  <c r="CF859" i="34"/>
  <c r="CE859" i="34"/>
  <c r="CD859" i="34"/>
  <c r="CC859" i="34"/>
  <c r="CB859" i="34"/>
  <c r="CA859" i="34"/>
  <c r="BZ859" i="34"/>
  <c r="BY859" i="34"/>
  <c r="CF858" i="34"/>
  <c r="CE858" i="34"/>
  <c r="CD858" i="34"/>
  <c r="CC858" i="34"/>
  <c r="CB858" i="34"/>
  <c r="CA858" i="34"/>
  <c r="BZ858" i="34"/>
  <c r="BY858" i="34"/>
  <c r="CF857" i="34"/>
  <c r="CE857" i="34"/>
  <c r="CD857" i="34"/>
  <c r="CC857" i="34"/>
  <c r="CB857" i="34"/>
  <c r="CA857" i="34"/>
  <c r="BZ857" i="34"/>
  <c r="BY857" i="34"/>
  <c r="CF856" i="34"/>
  <c r="CE856" i="34"/>
  <c r="CD856" i="34"/>
  <c r="CC856" i="34"/>
  <c r="CB856" i="34"/>
  <c r="CA856" i="34"/>
  <c r="BZ856" i="34"/>
  <c r="BY856" i="34"/>
  <c r="CF855" i="34"/>
  <c r="CE855" i="34"/>
  <c r="CD855" i="34"/>
  <c r="CC855" i="34"/>
  <c r="CB855" i="34"/>
  <c r="CA855" i="34"/>
  <c r="BZ855" i="34"/>
  <c r="BY855" i="34"/>
  <c r="CF854" i="34"/>
  <c r="CE854" i="34"/>
  <c r="CD854" i="34"/>
  <c r="CC854" i="34"/>
  <c r="CB854" i="34"/>
  <c r="CA854" i="34"/>
  <c r="BZ854" i="34"/>
  <c r="BY854" i="34"/>
  <c r="CF853" i="34"/>
  <c r="CE853" i="34"/>
  <c r="CD853" i="34"/>
  <c r="CC853" i="34"/>
  <c r="CB853" i="34"/>
  <c r="CA853" i="34"/>
  <c r="BZ853" i="34"/>
  <c r="BY853" i="34"/>
  <c r="CF852" i="34"/>
  <c r="CE852" i="34"/>
  <c r="CD852" i="34"/>
  <c r="CC852" i="34"/>
  <c r="CB852" i="34"/>
  <c r="CA852" i="34"/>
  <c r="BZ852" i="34"/>
  <c r="BY852" i="34"/>
  <c r="CF851" i="34"/>
  <c r="CE851" i="34"/>
  <c r="CD851" i="34"/>
  <c r="CC851" i="34"/>
  <c r="CB851" i="34"/>
  <c r="CA851" i="34"/>
  <c r="BZ851" i="34"/>
  <c r="BY851" i="34"/>
  <c r="CF850" i="34"/>
  <c r="CE850" i="34"/>
  <c r="CD850" i="34"/>
  <c r="CC850" i="34"/>
  <c r="CB850" i="34"/>
  <c r="CA850" i="34"/>
  <c r="BZ850" i="34"/>
  <c r="BY850" i="34"/>
  <c r="CF849" i="34"/>
  <c r="CE849" i="34"/>
  <c r="CD849" i="34"/>
  <c r="CC849" i="34"/>
  <c r="CB849" i="34"/>
  <c r="CA849" i="34"/>
  <c r="BZ849" i="34"/>
  <c r="BY849" i="34"/>
  <c r="CF848" i="34"/>
  <c r="CE848" i="34"/>
  <c r="CD848" i="34"/>
  <c r="CC848" i="34"/>
  <c r="CB848" i="34"/>
  <c r="CA848" i="34"/>
  <c r="BZ848" i="34"/>
  <c r="BY848" i="34"/>
  <c r="CF847" i="34"/>
  <c r="CE847" i="34"/>
  <c r="CD847" i="34"/>
  <c r="CC847" i="34"/>
  <c r="CB847" i="34"/>
  <c r="CA847" i="34"/>
  <c r="BZ847" i="34"/>
  <c r="BY847" i="34"/>
  <c r="CF846" i="34"/>
  <c r="CE846" i="34"/>
  <c r="CD846" i="34"/>
  <c r="CC846" i="34"/>
  <c r="CB846" i="34"/>
  <c r="CA846" i="34"/>
  <c r="BZ846" i="34"/>
  <c r="BY846" i="34"/>
  <c r="CF845" i="34"/>
  <c r="CE845" i="34"/>
  <c r="CD845" i="34"/>
  <c r="CC845" i="34"/>
  <c r="CB845" i="34"/>
  <c r="CA845" i="34"/>
  <c r="BZ845" i="34"/>
  <c r="BY845" i="34"/>
  <c r="CF844" i="34"/>
  <c r="CE844" i="34"/>
  <c r="CD844" i="34"/>
  <c r="CC844" i="34"/>
  <c r="CB844" i="34"/>
  <c r="CA844" i="34"/>
  <c r="BZ844" i="34"/>
  <c r="BY844" i="34"/>
  <c r="CF843" i="34"/>
  <c r="CE843" i="34"/>
  <c r="CD843" i="34"/>
  <c r="CC843" i="34"/>
  <c r="CB843" i="34"/>
  <c r="CA843" i="34"/>
  <c r="BZ843" i="34"/>
  <c r="BY843" i="34"/>
  <c r="CF842" i="34"/>
  <c r="CE842" i="34"/>
  <c r="CD842" i="34"/>
  <c r="CC842" i="34"/>
  <c r="CB842" i="34"/>
  <c r="CA842" i="34"/>
  <c r="BZ842" i="34"/>
  <c r="BY842" i="34"/>
  <c r="CF841" i="34"/>
  <c r="CE841" i="34"/>
  <c r="CD841" i="34"/>
  <c r="CC841" i="34"/>
  <c r="CB841" i="34"/>
  <c r="CA841" i="34"/>
  <c r="BZ841" i="34"/>
  <c r="BY841" i="34"/>
  <c r="CF840" i="34"/>
  <c r="CE840" i="34"/>
  <c r="CD840" i="34"/>
  <c r="CC840" i="34"/>
  <c r="CB840" i="34"/>
  <c r="CA840" i="34"/>
  <c r="BZ840" i="34"/>
  <c r="BY840" i="34"/>
  <c r="CF839" i="34"/>
  <c r="CE839" i="34"/>
  <c r="CD839" i="34"/>
  <c r="CC839" i="34"/>
  <c r="CB839" i="34"/>
  <c r="CA839" i="34"/>
  <c r="BZ839" i="34"/>
  <c r="BY839" i="34"/>
  <c r="CF838" i="34"/>
  <c r="CE838" i="34"/>
  <c r="CD838" i="34"/>
  <c r="CC838" i="34"/>
  <c r="CB838" i="34"/>
  <c r="CA838" i="34"/>
  <c r="BZ838" i="34"/>
  <c r="BY838" i="34"/>
  <c r="CF837" i="34"/>
  <c r="CE837" i="34"/>
  <c r="CD837" i="34"/>
  <c r="CC837" i="34"/>
  <c r="CB837" i="34"/>
  <c r="CA837" i="34"/>
  <c r="BZ837" i="34"/>
  <c r="BY837" i="34"/>
  <c r="CF836" i="34"/>
  <c r="CE836" i="34"/>
  <c r="CD836" i="34"/>
  <c r="CC836" i="34"/>
  <c r="CB836" i="34"/>
  <c r="CA836" i="34"/>
  <c r="BZ836" i="34"/>
  <c r="BY836" i="34"/>
  <c r="CF835" i="34"/>
  <c r="CE835" i="34"/>
  <c r="CD835" i="34"/>
  <c r="CC835" i="34"/>
  <c r="CB835" i="34"/>
  <c r="CA835" i="34"/>
  <c r="BZ835" i="34"/>
  <c r="BY835" i="34"/>
  <c r="CF834" i="34"/>
  <c r="CE834" i="34"/>
  <c r="CD834" i="34"/>
  <c r="CC834" i="34"/>
  <c r="CB834" i="34"/>
  <c r="CA834" i="34"/>
  <c r="BZ834" i="34"/>
  <c r="BY834" i="34"/>
  <c r="CF833" i="34"/>
  <c r="CE833" i="34"/>
  <c r="CD833" i="34"/>
  <c r="CC833" i="34"/>
  <c r="CB833" i="34"/>
  <c r="CA833" i="34"/>
  <c r="BZ833" i="34"/>
  <c r="BY833" i="34"/>
  <c r="CF832" i="34"/>
  <c r="CE832" i="34"/>
  <c r="CD832" i="34"/>
  <c r="CC832" i="34"/>
  <c r="CB832" i="34"/>
  <c r="CA832" i="34"/>
  <c r="BZ832" i="34"/>
  <c r="BY832" i="34"/>
  <c r="CF831" i="34"/>
  <c r="CE831" i="34"/>
  <c r="CD831" i="34"/>
  <c r="CC831" i="34"/>
  <c r="CB831" i="34"/>
  <c r="CA831" i="34"/>
  <c r="BZ831" i="34"/>
  <c r="BY831" i="34"/>
  <c r="CF830" i="34"/>
  <c r="CE830" i="34"/>
  <c r="CD830" i="34"/>
  <c r="CC830" i="34"/>
  <c r="CB830" i="34"/>
  <c r="CA830" i="34"/>
  <c r="BZ830" i="34"/>
  <c r="BY830" i="34"/>
  <c r="CF829" i="34"/>
  <c r="CE829" i="34"/>
  <c r="CD829" i="34"/>
  <c r="CC829" i="34"/>
  <c r="CB829" i="34"/>
  <c r="CA829" i="34"/>
  <c r="BZ829" i="34"/>
  <c r="BY829" i="34"/>
  <c r="CF828" i="34"/>
  <c r="CE828" i="34"/>
  <c r="CD828" i="34"/>
  <c r="CC828" i="34"/>
  <c r="CB828" i="34"/>
  <c r="CA828" i="34"/>
  <c r="BZ828" i="34"/>
  <c r="BY828" i="34"/>
  <c r="CF827" i="34"/>
  <c r="CE827" i="34"/>
  <c r="CD827" i="34"/>
  <c r="CC827" i="34"/>
  <c r="CB827" i="34"/>
  <c r="CA827" i="34"/>
  <c r="BZ827" i="34"/>
  <c r="BY827" i="34"/>
  <c r="CF826" i="34"/>
  <c r="CE826" i="34"/>
  <c r="CD826" i="34"/>
  <c r="CC826" i="34"/>
  <c r="CB826" i="34"/>
  <c r="CA826" i="34"/>
  <c r="BZ826" i="34"/>
  <c r="BY826" i="34"/>
  <c r="CF825" i="34"/>
  <c r="CE825" i="34"/>
  <c r="CD825" i="34"/>
  <c r="CC825" i="34"/>
  <c r="CB825" i="34"/>
  <c r="CA825" i="34"/>
  <c r="BZ825" i="34"/>
  <c r="BY825" i="34"/>
  <c r="CF824" i="34"/>
  <c r="CE824" i="34"/>
  <c r="CD824" i="34"/>
  <c r="CC824" i="34"/>
  <c r="CB824" i="34"/>
  <c r="CA824" i="34"/>
  <c r="BZ824" i="34"/>
  <c r="BY824" i="34"/>
  <c r="CF823" i="34"/>
  <c r="CE823" i="34"/>
  <c r="CD823" i="34"/>
  <c r="CC823" i="34"/>
  <c r="CB823" i="34"/>
  <c r="CA823" i="34"/>
  <c r="BZ823" i="34"/>
  <c r="BY823" i="34"/>
  <c r="CF822" i="34"/>
  <c r="CE822" i="34"/>
  <c r="CD822" i="34"/>
  <c r="CC822" i="34"/>
  <c r="CB822" i="34"/>
  <c r="CA822" i="34"/>
  <c r="BZ822" i="34"/>
  <c r="BY822" i="34"/>
  <c r="CF821" i="34"/>
  <c r="CE821" i="34"/>
  <c r="CD821" i="34"/>
  <c r="CC821" i="34"/>
  <c r="CB821" i="34"/>
  <c r="CA821" i="34"/>
  <c r="BZ821" i="34"/>
  <c r="BY821" i="34"/>
  <c r="CF820" i="34"/>
  <c r="CE820" i="34"/>
  <c r="CD820" i="34"/>
  <c r="CC820" i="34"/>
  <c r="CB820" i="34"/>
  <c r="CA820" i="34"/>
  <c r="BZ820" i="34"/>
  <c r="BY820" i="34"/>
  <c r="CF819" i="34"/>
  <c r="CE819" i="34"/>
  <c r="CD819" i="34"/>
  <c r="CC819" i="34"/>
  <c r="CB819" i="34"/>
  <c r="CA819" i="34"/>
  <c r="BZ819" i="34"/>
  <c r="BY819" i="34"/>
  <c r="CF818" i="34"/>
  <c r="CE818" i="34"/>
  <c r="CD818" i="34"/>
  <c r="CC818" i="34"/>
  <c r="CB818" i="34"/>
  <c r="CA818" i="34"/>
  <c r="BZ818" i="34"/>
  <c r="BY818" i="34"/>
  <c r="CF817" i="34"/>
  <c r="CE817" i="34"/>
  <c r="CD817" i="34"/>
  <c r="CC817" i="34"/>
  <c r="CB817" i="34"/>
  <c r="CA817" i="34"/>
  <c r="BZ817" i="34"/>
  <c r="BY817" i="34"/>
  <c r="CF816" i="34"/>
  <c r="CE816" i="34"/>
  <c r="CD816" i="34"/>
  <c r="CC816" i="34"/>
  <c r="CB816" i="34"/>
  <c r="CA816" i="34"/>
  <c r="BZ816" i="34"/>
  <c r="BY816" i="34"/>
  <c r="CF815" i="34"/>
  <c r="CE815" i="34"/>
  <c r="CD815" i="34"/>
  <c r="CC815" i="34"/>
  <c r="CB815" i="34"/>
  <c r="CA815" i="34"/>
  <c r="BZ815" i="34"/>
  <c r="BY815" i="34"/>
  <c r="CF814" i="34"/>
  <c r="CE814" i="34"/>
  <c r="CD814" i="34"/>
  <c r="CC814" i="34"/>
  <c r="CB814" i="34"/>
  <c r="CA814" i="34"/>
  <c r="BZ814" i="34"/>
  <c r="BY814" i="34"/>
  <c r="CF813" i="34"/>
  <c r="CE813" i="34"/>
  <c r="CD813" i="34"/>
  <c r="CC813" i="34"/>
  <c r="CB813" i="34"/>
  <c r="CA813" i="34"/>
  <c r="BZ813" i="34"/>
  <c r="BY813" i="34"/>
  <c r="CF812" i="34"/>
  <c r="CE812" i="34"/>
  <c r="CD812" i="34"/>
  <c r="CC812" i="34"/>
  <c r="CB812" i="34"/>
  <c r="CA812" i="34"/>
  <c r="BZ812" i="34"/>
  <c r="BY812" i="34"/>
  <c r="CF811" i="34"/>
  <c r="CE811" i="34"/>
  <c r="CD811" i="34"/>
  <c r="CC811" i="34"/>
  <c r="CB811" i="34"/>
  <c r="CA811" i="34"/>
  <c r="BZ811" i="34"/>
  <c r="BY811" i="34"/>
  <c r="CF810" i="34"/>
  <c r="CE810" i="34"/>
  <c r="CD810" i="34"/>
  <c r="CC810" i="34"/>
  <c r="CB810" i="34"/>
  <c r="CA810" i="34"/>
  <c r="BZ810" i="34"/>
  <c r="BY810" i="34"/>
  <c r="CF809" i="34"/>
  <c r="CE809" i="34"/>
  <c r="CD809" i="34"/>
  <c r="CC809" i="34"/>
  <c r="CB809" i="34"/>
  <c r="CA809" i="34"/>
  <c r="BZ809" i="34"/>
  <c r="BY809" i="34"/>
  <c r="CF808" i="34"/>
  <c r="CE808" i="34"/>
  <c r="CD808" i="34"/>
  <c r="CC808" i="34"/>
  <c r="CB808" i="34"/>
  <c r="CA808" i="34"/>
  <c r="BZ808" i="34"/>
  <c r="BY808" i="34"/>
  <c r="CF807" i="34"/>
  <c r="CE807" i="34"/>
  <c r="CD807" i="34"/>
  <c r="CC807" i="34"/>
  <c r="CB807" i="34"/>
  <c r="CA807" i="34"/>
  <c r="BZ807" i="34"/>
  <c r="BY807" i="34"/>
  <c r="CF806" i="34"/>
  <c r="CE806" i="34"/>
  <c r="CD806" i="34"/>
  <c r="CC806" i="34"/>
  <c r="CB806" i="34"/>
  <c r="CA806" i="34"/>
  <c r="BZ806" i="34"/>
  <c r="BY806" i="34"/>
  <c r="CF805" i="34"/>
  <c r="CE805" i="34"/>
  <c r="CD805" i="34"/>
  <c r="CC805" i="34"/>
  <c r="CB805" i="34"/>
  <c r="CA805" i="34"/>
  <c r="BZ805" i="34"/>
  <c r="BY805" i="34"/>
  <c r="CF804" i="34"/>
  <c r="CE804" i="34"/>
  <c r="CD804" i="34"/>
  <c r="CC804" i="34"/>
  <c r="CB804" i="34"/>
  <c r="CA804" i="34"/>
  <c r="BZ804" i="34"/>
  <c r="BY804" i="34"/>
  <c r="CF803" i="34"/>
  <c r="CE803" i="34"/>
  <c r="CD803" i="34"/>
  <c r="CC803" i="34"/>
  <c r="CB803" i="34"/>
  <c r="CA803" i="34"/>
  <c r="BZ803" i="34"/>
  <c r="BY803" i="34"/>
  <c r="CF802" i="34"/>
  <c r="CE802" i="34"/>
  <c r="CD802" i="34"/>
  <c r="CC802" i="34"/>
  <c r="CB802" i="34"/>
  <c r="CA802" i="34"/>
  <c r="BZ802" i="34"/>
  <c r="BY802" i="34"/>
  <c r="CF801" i="34"/>
  <c r="CE801" i="34"/>
  <c r="CD801" i="34"/>
  <c r="CC801" i="34"/>
  <c r="CB801" i="34"/>
  <c r="CA801" i="34"/>
  <c r="BZ801" i="34"/>
  <c r="BY801" i="34"/>
  <c r="CF800" i="34"/>
  <c r="CE800" i="34"/>
  <c r="CD800" i="34"/>
  <c r="CC800" i="34"/>
  <c r="CB800" i="34"/>
  <c r="CA800" i="34"/>
  <c r="BZ800" i="34"/>
  <c r="BY800" i="34"/>
  <c r="CF799" i="34"/>
  <c r="CE799" i="34"/>
  <c r="CD799" i="34"/>
  <c r="CC799" i="34"/>
  <c r="CB799" i="34"/>
  <c r="CA799" i="34"/>
  <c r="BZ799" i="34"/>
  <c r="BY799" i="34"/>
  <c r="CF798" i="34"/>
  <c r="CE798" i="34"/>
  <c r="CD798" i="34"/>
  <c r="CC798" i="34"/>
  <c r="CB798" i="34"/>
  <c r="CA798" i="34"/>
  <c r="BZ798" i="34"/>
  <c r="BY798" i="34"/>
  <c r="CF797" i="34"/>
  <c r="CE797" i="34"/>
  <c r="CD797" i="34"/>
  <c r="CC797" i="34"/>
  <c r="CB797" i="34"/>
  <c r="CA797" i="34"/>
  <c r="BZ797" i="34"/>
  <c r="BY797" i="34"/>
  <c r="CF796" i="34"/>
  <c r="CE796" i="34"/>
  <c r="CD796" i="34"/>
  <c r="CC796" i="34"/>
  <c r="CB796" i="34"/>
  <c r="CA796" i="34"/>
  <c r="BZ796" i="34"/>
  <c r="BY796" i="34"/>
  <c r="CF795" i="34"/>
  <c r="CE795" i="34"/>
  <c r="CD795" i="34"/>
  <c r="CC795" i="34"/>
  <c r="CB795" i="34"/>
  <c r="CA795" i="34"/>
  <c r="BZ795" i="34"/>
  <c r="BY795" i="34"/>
  <c r="CF794" i="34"/>
  <c r="CE794" i="34"/>
  <c r="CD794" i="34"/>
  <c r="CC794" i="34"/>
  <c r="CB794" i="34"/>
  <c r="CA794" i="34"/>
  <c r="BZ794" i="34"/>
  <c r="BY794" i="34"/>
  <c r="CF793" i="34"/>
  <c r="CE793" i="34"/>
  <c r="CD793" i="34"/>
  <c r="CC793" i="34"/>
  <c r="CB793" i="34"/>
  <c r="CA793" i="34"/>
  <c r="BZ793" i="34"/>
  <c r="BY793" i="34"/>
  <c r="CF792" i="34"/>
  <c r="CE792" i="34"/>
  <c r="CD792" i="34"/>
  <c r="CC792" i="34"/>
  <c r="CB792" i="34"/>
  <c r="CA792" i="34"/>
  <c r="BZ792" i="34"/>
  <c r="BY792" i="34"/>
  <c r="CF791" i="34"/>
  <c r="CE791" i="34"/>
  <c r="CD791" i="34"/>
  <c r="CC791" i="34"/>
  <c r="CB791" i="34"/>
  <c r="CA791" i="34"/>
  <c r="BZ791" i="34"/>
  <c r="BY791" i="34"/>
  <c r="CF790" i="34"/>
  <c r="CE790" i="34"/>
  <c r="CD790" i="34"/>
  <c r="CC790" i="34"/>
  <c r="CB790" i="34"/>
  <c r="CA790" i="34"/>
  <c r="BZ790" i="34"/>
  <c r="BY790" i="34"/>
  <c r="CF789" i="34"/>
  <c r="CE789" i="34"/>
  <c r="CD789" i="34"/>
  <c r="CC789" i="34"/>
  <c r="CB789" i="34"/>
  <c r="CA789" i="34"/>
  <c r="BZ789" i="34"/>
  <c r="BY789" i="34"/>
  <c r="CF788" i="34"/>
  <c r="CE788" i="34"/>
  <c r="CD788" i="34"/>
  <c r="CC788" i="34"/>
  <c r="CB788" i="34"/>
  <c r="CA788" i="34"/>
  <c r="BZ788" i="34"/>
  <c r="BY788" i="34"/>
  <c r="CF787" i="34"/>
  <c r="CE787" i="34"/>
  <c r="CD787" i="34"/>
  <c r="CC787" i="34"/>
  <c r="CB787" i="34"/>
  <c r="CA787" i="34"/>
  <c r="BZ787" i="34"/>
  <c r="BY787" i="34"/>
  <c r="CF786" i="34"/>
  <c r="CE786" i="34"/>
  <c r="CD786" i="34"/>
  <c r="CC786" i="34"/>
  <c r="CB786" i="34"/>
  <c r="CA786" i="34"/>
  <c r="BZ786" i="34"/>
  <c r="BY786" i="34"/>
  <c r="CF785" i="34"/>
  <c r="CE785" i="34"/>
  <c r="CD785" i="34"/>
  <c r="CC785" i="34"/>
  <c r="CB785" i="34"/>
  <c r="CA785" i="34"/>
  <c r="BZ785" i="34"/>
  <c r="BY785" i="34"/>
  <c r="CF784" i="34"/>
  <c r="CE784" i="34"/>
  <c r="CD784" i="34"/>
  <c r="CC784" i="34"/>
  <c r="CB784" i="34"/>
  <c r="CA784" i="34"/>
  <c r="BZ784" i="34"/>
  <c r="BY784" i="34"/>
  <c r="CF783" i="34"/>
  <c r="CE783" i="34"/>
  <c r="CD783" i="34"/>
  <c r="CC783" i="34"/>
  <c r="CB783" i="34"/>
  <c r="CA783" i="34"/>
  <c r="BZ783" i="34"/>
  <c r="BY783" i="34"/>
  <c r="CF782" i="34"/>
  <c r="CE782" i="34"/>
  <c r="CD782" i="34"/>
  <c r="CC782" i="34"/>
  <c r="CB782" i="34"/>
  <c r="CA782" i="34"/>
  <c r="BZ782" i="34"/>
  <c r="BY782" i="34"/>
  <c r="CF781" i="34"/>
  <c r="CE781" i="34"/>
  <c r="CD781" i="34"/>
  <c r="CC781" i="34"/>
  <c r="CB781" i="34"/>
  <c r="CA781" i="34"/>
  <c r="BZ781" i="34"/>
  <c r="BY781" i="34"/>
  <c r="CF780" i="34"/>
  <c r="CE780" i="34"/>
  <c r="CD780" i="34"/>
  <c r="CC780" i="34"/>
  <c r="CB780" i="34"/>
  <c r="CA780" i="34"/>
  <c r="BZ780" i="34"/>
  <c r="BY780" i="34"/>
  <c r="CF779" i="34"/>
  <c r="CE779" i="34"/>
  <c r="CD779" i="34"/>
  <c r="CC779" i="34"/>
  <c r="CB779" i="34"/>
  <c r="CA779" i="34"/>
  <c r="BZ779" i="34"/>
  <c r="BY779" i="34"/>
  <c r="CF778" i="34"/>
  <c r="CE778" i="34"/>
  <c r="CD778" i="34"/>
  <c r="CC778" i="34"/>
  <c r="CB778" i="34"/>
  <c r="CA778" i="34"/>
  <c r="BZ778" i="34"/>
  <c r="BY778" i="34"/>
  <c r="CF777" i="34"/>
  <c r="CE777" i="34"/>
  <c r="CD777" i="34"/>
  <c r="CC777" i="34"/>
  <c r="CB777" i="34"/>
  <c r="CA777" i="34"/>
  <c r="BZ777" i="34"/>
  <c r="BY777" i="34"/>
  <c r="CF776" i="34"/>
  <c r="CE776" i="34"/>
  <c r="CD776" i="34"/>
  <c r="CC776" i="34"/>
  <c r="CB776" i="34"/>
  <c r="CA776" i="34"/>
  <c r="BZ776" i="34"/>
  <c r="BY776" i="34"/>
  <c r="CF775" i="34"/>
  <c r="CE775" i="34"/>
  <c r="CD775" i="34"/>
  <c r="CC775" i="34"/>
  <c r="CB775" i="34"/>
  <c r="CA775" i="34"/>
  <c r="BZ775" i="34"/>
  <c r="BY775" i="34"/>
  <c r="CF774" i="34"/>
  <c r="CE774" i="34"/>
  <c r="CD774" i="34"/>
  <c r="CC774" i="34"/>
  <c r="CB774" i="34"/>
  <c r="CA774" i="34"/>
  <c r="BZ774" i="34"/>
  <c r="BY774" i="34"/>
  <c r="CF773" i="34"/>
  <c r="CE773" i="34"/>
  <c r="CD773" i="34"/>
  <c r="CC773" i="34"/>
  <c r="CB773" i="34"/>
  <c r="CA773" i="34"/>
  <c r="BZ773" i="34"/>
  <c r="BY773" i="34"/>
  <c r="CF772" i="34"/>
  <c r="CE772" i="34"/>
  <c r="CD772" i="34"/>
  <c r="CC772" i="34"/>
  <c r="CB772" i="34"/>
  <c r="CA772" i="34"/>
  <c r="BZ772" i="34"/>
  <c r="BY772" i="34"/>
  <c r="CF771" i="34"/>
  <c r="CE771" i="34"/>
  <c r="CD771" i="34"/>
  <c r="CC771" i="34"/>
  <c r="CB771" i="34"/>
  <c r="CA771" i="34"/>
  <c r="BZ771" i="34"/>
  <c r="BY771" i="34"/>
  <c r="CF770" i="34"/>
  <c r="CE770" i="34"/>
  <c r="CD770" i="34"/>
  <c r="CC770" i="34"/>
  <c r="CB770" i="34"/>
  <c r="CA770" i="34"/>
  <c r="BZ770" i="34"/>
  <c r="BY770" i="34"/>
  <c r="CF769" i="34"/>
  <c r="CE769" i="34"/>
  <c r="CD769" i="34"/>
  <c r="CC769" i="34"/>
  <c r="CB769" i="34"/>
  <c r="CA769" i="34"/>
  <c r="BZ769" i="34"/>
  <c r="BY769" i="34"/>
  <c r="CF768" i="34"/>
  <c r="CE768" i="34"/>
  <c r="CD768" i="34"/>
  <c r="CC768" i="34"/>
  <c r="CB768" i="34"/>
  <c r="CA768" i="34"/>
  <c r="BZ768" i="34"/>
  <c r="BY768" i="34"/>
  <c r="CF767" i="34"/>
  <c r="CE767" i="34"/>
  <c r="CD767" i="34"/>
  <c r="CC767" i="34"/>
  <c r="CB767" i="34"/>
  <c r="CA767" i="34"/>
  <c r="BZ767" i="34"/>
  <c r="BY767" i="34"/>
  <c r="CF766" i="34"/>
  <c r="CE766" i="34"/>
  <c r="CD766" i="34"/>
  <c r="CC766" i="34"/>
  <c r="CB766" i="34"/>
  <c r="CA766" i="34"/>
  <c r="BZ766" i="34"/>
  <c r="BY766" i="34"/>
  <c r="CF765" i="34"/>
  <c r="CE765" i="34"/>
  <c r="CD765" i="34"/>
  <c r="CC765" i="34"/>
  <c r="CB765" i="34"/>
  <c r="CA765" i="34"/>
  <c r="BZ765" i="34"/>
  <c r="BY765" i="34"/>
  <c r="CF764" i="34"/>
  <c r="CE764" i="34"/>
  <c r="CD764" i="34"/>
  <c r="CC764" i="34"/>
  <c r="CB764" i="34"/>
  <c r="CA764" i="34"/>
  <c r="BZ764" i="34"/>
  <c r="BY764" i="34"/>
  <c r="CF763" i="34"/>
  <c r="CE763" i="34"/>
  <c r="CD763" i="34"/>
  <c r="CC763" i="34"/>
  <c r="CB763" i="34"/>
  <c r="CA763" i="34"/>
  <c r="BZ763" i="34"/>
  <c r="BY763" i="34"/>
  <c r="CF762" i="34"/>
  <c r="CE762" i="34"/>
  <c r="CD762" i="34"/>
  <c r="CC762" i="34"/>
  <c r="CB762" i="34"/>
  <c r="CA762" i="34"/>
  <c r="BZ762" i="34"/>
  <c r="BY762" i="34"/>
  <c r="CF761" i="34"/>
  <c r="CE761" i="34"/>
  <c r="CD761" i="34"/>
  <c r="CC761" i="34"/>
  <c r="CB761" i="34"/>
  <c r="CA761" i="34"/>
  <c r="BZ761" i="34"/>
  <c r="BY761" i="34"/>
  <c r="CF760" i="34"/>
  <c r="CE760" i="34"/>
  <c r="CD760" i="34"/>
  <c r="CC760" i="34"/>
  <c r="CB760" i="34"/>
  <c r="CA760" i="34"/>
  <c r="BZ760" i="34"/>
  <c r="BY760" i="34"/>
  <c r="CF759" i="34"/>
  <c r="CE759" i="34"/>
  <c r="CD759" i="34"/>
  <c r="CC759" i="34"/>
  <c r="CB759" i="34"/>
  <c r="CA759" i="34"/>
  <c r="BZ759" i="34"/>
  <c r="BY759" i="34"/>
  <c r="CF758" i="34"/>
  <c r="CE758" i="34"/>
  <c r="CD758" i="34"/>
  <c r="CC758" i="34"/>
  <c r="CB758" i="34"/>
  <c r="CA758" i="34"/>
  <c r="BZ758" i="34"/>
  <c r="BY758" i="34"/>
  <c r="CF757" i="34"/>
  <c r="CE757" i="34"/>
  <c r="CD757" i="34"/>
  <c r="CC757" i="34"/>
  <c r="CB757" i="34"/>
  <c r="CA757" i="34"/>
  <c r="BZ757" i="34"/>
  <c r="BY757" i="34"/>
  <c r="CF756" i="34"/>
  <c r="CE756" i="34"/>
  <c r="CD756" i="34"/>
  <c r="CC756" i="34"/>
  <c r="CB756" i="34"/>
  <c r="CA756" i="34"/>
  <c r="BZ756" i="34"/>
  <c r="BY756" i="34"/>
  <c r="CF755" i="34"/>
  <c r="CE755" i="34"/>
  <c r="CD755" i="34"/>
  <c r="CC755" i="34"/>
  <c r="CB755" i="34"/>
  <c r="CA755" i="34"/>
  <c r="BZ755" i="34"/>
  <c r="BY755" i="34"/>
  <c r="CF754" i="34"/>
  <c r="CE754" i="34"/>
  <c r="CD754" i="34"/>
  <c r="CC754" i="34"/>
  <c r="CB754" i="34"/>
  <c r="CA754" i="34"/>
  <c r="BZ754" i="34"/>
  <c r="BY754" i="34"/>
  <c r="CF753" i="34"/>
  <c r="CE753" i="34"/>
  <c r="CD753" i="34"/>
  <c r="CC753" i="34"/>
  <c r="CB753" i="34"/>
  <c r="CA753" i="34"/>
  <c r="BZ753" i="34"/>
  <c r="BY753" i="34"/>
  <c r="CF752" i="34"/>
  <c r="CE752" i="34"/>
  <c r="CD752" i="34"/>
  <c r="CC752" i="34"/>
  <c r="CB752" i="34"/>
  <c r="CA752" i="34"/>
  <c r="BZ752" i="34"/>
  <c r="BY752" i="34"/>
  <c r="CF751" i="34"/>
  <c r="CE751" i="34"/>
  <c r="CD751" i="34"/>
  <c r="CC751" i="34"/>
  <c r="CB751" i="34"/>
  <c r="CA751" i="34"/>
  <c r="BZ751" i="34"/>
  <c r="BY751" i="34"/>
  <c r="CF750" i="34"/>
  <c r="CE750" i="34"/>
  <c r="CD750" i="34"/>
  <c r="CC750" i="34"/>
  <c r="CB750" i="34"/>
  <c r="CA750" i="34"/>
  <c r="BZ750" i="34"/>
  <c r="BY750" i="34"/>
  <c r="CF749" i="34"/>
  <c r="CE749" i="34"/>
  <c r="CD749" i="34"/>
  <c r="CC749" i="34"/>
  <c r="CB749" i="34"/>
  <c r="CA749" i="34"/>
  <c r="BZ749" i="34"/>
  <c r="BY749" i="34"/>
  <c r="CF748" i="34"/>
  <c r="CE748" i="34"/>
  <c r="CD748" i="34"/>
  <c r="CC748" i="34"/>
  <c r="CB748" i="34"/>
  <c r="CA748" i="34"/>
  <c r="BZ748" i="34"/>
  <c r="BY748" i="34"/>
  <c r="CF747" i="34"/>
  <c r="CE747" i="34"/>
  <c r="CD747" i="34"/>
  <c r="CC747" i="34"/>
  <c r="CB747" i="34"/>
  <c r="CA747" i="34"/>
  <c r="BZ747" i="34"/>
  <c r="BY747" i="34"/>
  <c r="CF746" i="34"/>
  <c r="CE746" i="34"/>
  <c r="CD746" i="34"/>
  <c r="CC746" i="34"/>
  <c r="CB746" i="34"/>
  <c r="CA746" i="34"/>
  <c r="BZ746" i="34"/>
  <c r="BY746" i="34"/>
  <c r="CF745" i="34"/>
  <c r="CE745" i="34"/>
  <c r="CD745" i="34"/>
  <c r="CC745" i="34"/>
  <c r="CB745" i="34"/>
  <c r="CA745" i="34"/>
  <c r="BZ745" i="34"/>
  <c r="BY745" i="34"/>
  <c r="CF744" i="34"/>
  <c r="CE744" i="34"/>
  <c r="CD744" i="34"/>
  <c r="CC744" i="34"/>
  <c r="CB744" i="34"/>
  <c r="CA744" i="34"/>
  <c r="BZ744" i="34"/>
  <c r="BY744" i="34"/>
  <c r="CF743" i="34"/>
  <c r="CE743" i="34"/>
  <c r="CD743" i="34"/>
  <c r="CC743" i="34"/>
  <c r="CB743" i="34"/>
  <c r="CA743" i="34"/>
  <c r="BZ743" i="34"/>
  <c r="BY743" i="34"/>
  <c r="CF742" i="34"/>
  <c r="CE742" i="34"/>
  <c r="CD742" i="34"/>
  <c r="CC742" i="34"/>
  <c r="CB742" i="34"/>
  <c r="CA742" i="34"/>
  <c r="BZ742" i="34"/>
  <c r="BY742" i="34"/>
  <c r="CF741" i="34"/>
  <c r="CE741" i="34"/>
  <c r="CD741" i="34"/>
  <c r="CC741" i="34"/>
  <c r="CB741" i="34"/>
  <c r="CA741" i="34"/>
  <c r="BZ741" i="34"/>
  <c r="BY741" i="34"/>
  <c r="CF740" i="34"/>
  <c r="CE740" i="34"/>
  <c r="CD740" i="34"/>
  <c r="CC740" i="34"/>
  <c r="CB740" i="34"/>
  <c r="CA740" i="34"/>
  <c r="BZ740" i="34"/>
  <c r="BY740" i="34"/>
  <c r="CF739" i="34"/>
  <c r="CE739" i="34"/>
  <c r="CD739" i="34"/>
  <c r="CC739" i="34"/>
  <c r="CB739" i="34"/>
  <c r="CA739" i="34"/>
  <c r="BZ739" i="34"/>
  <c r="BY739" i="34"/>
  <c r="CF738" i="34"/>
  <c r="CE738" i="34"/>
  <c r="CD738" i="34"/>
  <c r="CC738" i="34"/>
  <c r="CB738" i="34"/>
  <c r="CA738" i="34"/>
  <c r="BZ738" i="34"/>
  <c r="BY738" i="34"/>
  <c r="CF737" i="34"/>
  <c r="CE737" i="34"/>
  <c r="CD737" i="34"/>
  <c r="CC737" i="34"/>
  <c r="CB737" i="34"/>
  <c r="CA737" i="34"/>
  <c r="BZ737" i="34"/>
  <c r="BY737" i="34"/>
  <c r="CF736" i="34"/>
  <c r="CE736" i="34"/>
  <c r="CD736" i="34"/>
  <c r="CC736" i="34"/>
  <c r="CB736" i="34"/>
  <c r="CA736" i="34"/>
  <c r="BZ736" i="34"/>
  <c r="BY736" i="34"/>
  <c r="CF735" i="34"/>
  <c r="CE735" i="34"/>
  <c r="CD735" i="34"/>
  <c r="CC735" i="34"/>
  <c r="CB735" i="34"/>
  <c r="CA735" i="34"/>
  <c r="BZ735" i="34"/>
  <c r="BY735" i="34"/>
  <c r="CF734" i="34"/>
  <c r="CE734" i="34"/>
  <c r="CD734" i="34"/>
  <c r="CC734" i="34"/>
  <c r="CB734" i="34"/>
  <c r="CA734" i="34"/>
  <c r="BZ734" i="34"/>
  <c r="BY734" i="34"/>
  <c r="CF733" i="34"/>
  <c r="CE733" i="34"/>
  <c r="CD733" i="34"/>
  <c r="CC733" i="34"/>
  <c r="CB733" i="34"/>
  <c r="CA733" i="34"/>
  <c r="BZ733" i="34"/>
  <c r="BY733" i="34"/>
  <c r="CF732" i="34"/>
  <c r="CE732" i="34"/>
  <c r="CD732" i="34"/>
  <c r="CC732" i="34"/>
  <c r="CB732" i="34"/>
  <c r="CA732" i="34"/>
  <c r="BZ732" i="34"/>
  <c r="BY732" i="34"/>
  <c r="CF731" i="34"/>
  <c r="CE731" i="34"/>
  <c r="CD731" i="34"/>
  <c r="CC731" i="34"/>
  <c r="CB731" i="34"/>
  <c r="CA731" i="34"/>
  <c r="BZ731" i="34"/>
  <c r="BY731" i="34"/>
  <c r="CF730" i="34"/>
  <c r="CE730" i="34"/>
  <c r="CD730" i="34"/>
  <c r="CC730" i="34"/>
  <c r="CB730" i="34"/>
  <c r="CA730" i="34"/>
  <c r="BZ730" i="34"/>
  <c r="BY730" i="34"/>
  <c r="CF729" i="34"/>
  <c r="CE729" i="34"/>
  <c r="CD729" i="34"/>
  <c r="CC729" i="34"/>
  <c r="CB729" i="34"/>
  <c r="CA729" i="34"/>
  <c r="BZ729" i="34"/>
  <c r="BY729" i="34"/>
  <c r="CF728" i="34"/>
  <c r="CE728" i="34"/>
  <c r="CD728" i="34"/>
  <c r="CC728" i="34"/>
  <c r="CB728" i="34"/>
  <c r="CA728" i="34"/>
  <c r="BZ728" i="34"/>
  <c r="BY728" i="34"/>
  <c r="CF727" i="34"/>
  <c r="CE727" i="34"/>
  <c r="CD727" i="34"/>
  <c r="CC727" i="34"/>
  <c r="CB727" i="34"/>
  <c r="CA727" i="34"/>
  <c r="BZ727" i="34"/>
  <c r="BY727" i="34"/>
  <c r="CF726" i="34"/>
  <c r="CE726" i="34"/>
  <c r="CD726" i="34"/>
  <c r="CC726" i="34"/>
  <c r="CB726" i="34"/>
  <c r="CA726" i="34"/>
  <c r="BZ726" i="34"/>
  <c r="BY726" i="34"/>
  <c r="CF725" i="34"/>
  <c r="CE725" i="34"/>
  <c r="CD725" i="34"/>
  <c r="CC725" i="34"/>
  <c r="CB725" i="34"/>
  <c r="CA725" i="34"/>
  <c r="BZ725" i="34"/>
  <c r="BY725" i="34"/>
  <c r="CF724" i="34"/>
  <c r="CE724" i="34"/>
  <c r="CD724" i="34"/>
  <c r="CC724" i="34"/>
  <c r="CB724" i="34"/>
  <c r="CA724" i="34"/>
  <c r="BZ724" i="34"/>
  <c r="BY724" i="34"/>
  <c r="CF723" i="34"/>
  <c r="CE723" i="34"/>
  <c r="CD723" i="34"/>
  <c r="CC723" i="34"/>
  <c r="CB723" i="34"/>
  <c r="CA723" i="34"/>
  <c r="BZ723" i="34"/>
  <c r="BY723" i="34"/>
  <c r="CF722" i="34"/>
  <c r="CE722" i="34"/>
  <c r="CD722" i="34"/>
  <c r="CC722" i="34"/>
  <c r="CB722" i="34"/>
  <c r="CA722" i="34"/>
  <c r="BZ722" i="34"/>
  <c r="BY722" i="34"/>
  <c r="CF721" i="34"/>
  <c r="CE721" i="34"/>
  <c r="CD721" i="34"/>
  <c r="CC721" i="34"/>
  <c r="CB721" i="34"/>
  <c r="CA721" i="34"/>
  <c r="BZ721" i="34"/>
  <c r="BY721" i="34"/>
  <c r="CF720" i="34"/>
  <c r="CE720" i="34"/>
  <c r="CD720" i="34"/>
  <c r="CC720" i="34"/>
  <c r="CB720" i="34"/>
  <c r="CA720" i="34"/>
  <c r="BZ720" i="34"/>
  <c r="BY720" i="34"/>
  <c r="CF719" i="34"/>
  <c r="CE719" i="34"/>
  <c r="CD719" i="34"/>
  <c r="CC719" i="34"/>
  <c r="CB719" i="34"/>
  <c r="CA719" i="34"/>
  <c r="BZ719" i="34"/>
  <c r="BY719" i="34"/>
  <c r="CF718" i="34"/>
  <c r="CE718" i="34"/>
  <c r="CD718" i="34"/>
  <c r="CC718" i="34"/>
  <c r="CB718" i="34"/>
  <c r="CA718" i="34"/>
  <c r="BZ718" i="34"/>
  <c r="BY718" i="34"/>
  <c r="CF717" i="34"/>
  <c r="CE717" i="34"/>
  <c r="CD717" i="34"/>
  <c r="CC717" i="34"/>
  <c r="CB717" i="34"/>
  <c r="CA717" i="34"/>
  <c r="BZ717" i="34"/>
  <c r="BY717" i="34"/>
  <c r="CF716" i="34"/>
  <c r="CE716" i="34"/>
  <c r="CD716" i="34"/>
  <c r="CC716" i="34"/>
  <c r="CB716" i="34"/>
  <c r="CA716" i="34"/>
  <c r="BZ716" i="34"/>
  <c r="BY716" i="34"/>
  <c r="CF715" i="34"/>
  <c r="CE715" i="34"/>
  <c r="CD715" i="34"/>
  <c r="CC715" i="34"/>
  <c r="CB715" i="34"/>
  <c r="CA715" i="34"/>
  <c r="BZ715" i="34"/>
  <c r="BY715" i="34"/>
  <c r="CF714" i="34"/>
  <c r="CE714" i="34"/>
  <c r="CD714" i="34"/>
  <c r="CC714" i="34"/>
  <c r="CB714" i="34"/>
  <c r="CA714" i="34"/>
  <c r="BZ714" i="34"/>
  <c r="BY714" i="34"/>
  <c r="CF713" i="34"/>
  <c r="CE713" i="34"/>
  <c r="CD713" i="34"/>
  <c r="CC713" i="34"/>
  <c r="CB713" i="34"/>
  <c r="CA713" i="34"/>
  <c r="BZ713" i="34"/>
  <c r="BY713" i="34"/>
  <c r="CF712" i="34"/>
  <c r="CE712" i="34"/>
  <c r="CD712" i="34"/>
  <c r="CC712" i="34"/>
  <c r="CB712" i="34"/>
  <c r="CA712" i="34"/>
  <c r="BZ712" i="34"/>
  <c r="BY712" i="34"/>
  <c r="CF711" i="34"/>
  <c r="CE711" i="34"/>
  <c r="CD711" i="34"/>
  <c r="CC711" i="34"/>
  <c r="CB711" i="34"/>
  <c r="CA711" i="34"/>
  <c r="BZ711" i="34"/>
  <c r="BY711" i="34"/>
  <c r="CF710" i="34"/>
  <c r="CE710" i="34"/>
  <c r="CD710" i="34"/>
  <c r="CC710" i="34"/>
  <c r="CB710" i="34"/>
  <c r="CA710" i="34"/>
  <c r="BZ710" i="34"/>
  <c r="BY710" i="34"/>
  <c r="CF709" i="34"/>
  <c r="CE709" i="34"/>
  <c r="CD709" i="34"/>
  <c r="CC709" i="34"/>
  <c r="CB709" i="34"/>
  <c r="CA709" i="34"/>
  <c r="BZ709" i="34"/>
  <c r="BY709" i="34"/>
  <c r="CF708" i="34"/>
  <c r="CE708" i="34"/>
  <c r="CD708" i="34"/>
  <c r="CC708" i="34"/>
  <c r="CB708" i="34"/>
  <c r="CA708" i="34"/>
  <c r="BZ708" i="34"/>
  <c r="BY708" i="34"/>
  <c r="CF707" i="34"/>
  <c r="CE707" i="34"/>
  <c r="CD707" i="34"/>
  <c r="CC707" i="34"/>
  <c r="CB707" i="34"/>
  <c r="CA707" i="34"/>
  <c r="BZ707" i="34"/>
  <c r="BY707" i="34"/>
  <c r="CF706" i="34"/>
  <c r="CE706" i="34"/>
  <c r="CD706" i="34"/>
  <c r="CC706" i="34"/>
  <c r="CB706" i="34"/>
  <c r="CA706" i="34"/>
  <c r="BZ706" i="34"/>
  <c r="BY706" i="34"/>
  <c r="CF705" i="34"/>
  <c r="CE705" i="34"/>
  <c r="CD705" i="34"/>
  <c r="CC705" i="34"/>
  <c r="CB705" i="34"/>
  <c r="CA705" i="34"/>
  <c r="BZ705" i="34"/>
  <c r="BY705" i="34"/>
  <c r="CF704" i="34"/>
  <c r="CE704" i="34"/>
  <c r="CD704" i="34"/>
  <c r="CC704" i="34"/>
  <c r="CB704" i="34"/>
  <c r="CA704" i="34"/>
  <c r="BZ704" i="34"/>
  <c r="BY704" i="34"/>
  <c r="CF703" i="34"/>
  <c r="CE703" i="34"/>
  <c r="CD703" i="34"/>
  <c r="CC703" i="34"/>
  <c r="CB703" i="34"/>
  <c r="CA703" i="34"/>
  <c r="BZ703" i="34"/>
  <c r="BY703" i="34"/>
  <c r="CF702" i="34"/>
  <c r="CE702" i="34"/>
  <c r="CD702" i="34"/>
  <c r="CC702" i="34"/>
  <c r="CB702" i="34"/>
  <c r="CA702" i="34"/>
  <c r="BZ702" i="34"/>
  <c r="BY702" i="34"/>
  <c r="CF701" i="34"/>
  <c r="CE701" i="34"/>
  <c r="CD701" i="34"/>
  <c r="CC701" i="34"/>
  <c r="CB701" i="34"/>
  <c r="CA701" i="34"/>
  <c r="BZ701" i="34"/>
  <c r="BY701" i="34"/>
  <c r="CF700" i="34"/>
  <c r="CE700" i="34"/>
  <c r="CD700" i="34"/>
  <c r="CC700" i="34"/>
  <c r="CB700" i="34"/>
  <c r="CA700" i="34"/>
  <c r="BZ700" i="34"/>
  <c r="BY700" i="34"/>
  <c r="CF699" i="34"/>
  <c r="CE699" i="34"/>
  <c r="CD699" i="34"/>
  <c r="CC699" i="34"/>
  <c r="CB699" i="34"/>
  <c r="CA699" i="34"/>
  <c r="BZ699" i="34"/>
  <c r="BY699" i="34"/>
  <c r="CF698" i="34"/>
  <c r="CE698" i="34"/>
  <c r="CD698" i="34"/>
  <c r="CC698" i="34"/>
  <c r="CB698" i="34"/>
  <c r="CA698" i="34"/>
  <c r="BZ698" i="34"/>
  <c r="BY698" i="34"/>
  <c r="CF697" i="34"/>
  <c r="CE697" i="34"/>
  <c r="CD697" i="34"/>
  <c r="CC697" i="34"/>
  <c r="CB697" i="34"/>
  <c r="CA697" i="34"/>
  <c r="BZ697" i="34"/>
  <c r="BY697" i="34"/>
  <c r="CF696" i="34"/>
  <c r="CE696" i="34"/>
  <c r="CD696" i="34"/>
  <c r="CC696" i="34"/>
  <c r="CB696" i="34"/>
  <c r="CA696" i="34"/>
  <c r="BZ696" i="34"/>
  <c r="BY696" i="34"/>
  <c r="CF695" i="34"/>
  <c r="CE695" i="34"/>
  <c r="CD695" i="34"/>
  <c r="CC695" i="34"/>
  <c r="CB695" i="34"/>
  <c r="CA695" i="34"/>
  <c r="BZ695" i="34"/>
  <c r="BY695" i="34"/>
  <c r="CF694" i="34"/>
  <c r="CE694" i="34"/>
  <c r="CD694" i="34"/>
  <c r="CC694" i="34"/>
  <c r="CB694" i="34"/>
  <c r="CA694" i="34"/>
  <c r="BZ694" i="34"/>
  <c r="BY694" i="34"/>
  <c r="CF693" i="34"/>
  <c r="CE693" i="34"/>
  <c r="CD693" i="34"/>
  <c r="CC693" i="34"/>
  <c r="CB693" i="34"/>
  <c r="CA693" i="34"/>
  <c r="BZ693" i="34"/>
  <c r="BY693" i="34"/>
  <c r="CF692" i="34"/>
  <c r="CE692" i="34"/>
  <c r="CD692" i="34"/>
  <c r="CC692" i="34"/>
  <c r="CB692" i="34"/>
  <c r="CA692" i="34"/>
  <c r="BZ692" i="34"/>
  <c r="BY692" i="34"/>
  <c r="CF691" i="34"/>
  <c r="CE691" i="34"/>
  <c r="CD691" i="34"/>
  <c r="CC691" i="34"/>
  <c r="CB691" i="34"/>
  <c r="CA691" i="34"/>
  <c r="BZ691" i="34"/>
  <c r="BY691" i="34"/>
  <c r="CF690" i="34"/>
  <c r="CE690" i="34"/>
  <c r="CD690" i="34"/>
  <c r="CC690" i="34"/>
  <c r="CB690" i="34"/>
  <c r="CA690" i="34"/>
  <c r="BZ690" i="34"/>
  <c r="BY690" i="34"/>
  <c r="CF689" i="34"/>
  <c r="CE689" i="34"/>
  <c r="CD689" i="34"/>
  <c r="CC689" i="34"/>
  <c r="CB689" i="34"/>
  <c r="CA689" i="34"/>
  <c r="BZ689" i="34"/>
  <c r="BY689" i="34"/>
  <c r="CF688" i="34"/>
  <c r="CE688" i="34"/>
  <c r="CD688" i="34"/>
  <c r="CC688" i="34"/>
  <c r="CB688" i="34"/>
  <c r="CA688" i="34"/>
  <c r="BZ688" i="34"/>
  <c r="BY688" i="34"/>
  <c r="CF687" i="34"/>
  <c r="CE687" i="34"/>
  <c r="CD687" i="34"/>
  <c r="CC687" i="34"/>
  <c r="CB687" i="34"/>
  <c r="CA687" i="34"/>
  <c r="BZ687" i="34"/>
  <c r="BY687" i="34"/>
  <c r="CF686" i="34"/>
  <c r="CE686" i="34"/>
  <c r="CD686" i="34"/>
  <c r="CC686" i="34"/>
  <c r="CB686" i="34"/>
  <c r="CA686" i="34"/>
  <c r="BZ686" i="34"/>
  <c r="BY686" i="34"/>
  <c r="CF685" i="34"/>
  <c r="CE685" i="34"/>
  <c r="CD685" i="34"/>
  <c r="CC685" i="34"/>
  <c r="CB685" i="34"/>
  <c r="CA685" i="34"/>
  <c r="BZ685" i="34"/>
  <c r="BY685" i="34"/>
  <c r="CF684" i="34"/>
  <c r="CE684" i="34"/>
  <c r="CD684" i="34"/>
  <c r="CC684" i="34"/>
  <c r="CB684" i="34"/>
  <c r="CA684" i="34"/>
  <c r="BZ684" i="34"/>
  <c r="BY684" i="34"/>
  <c r="CF683" i="34"/>
  <c r="CE683" i="34"/>
  <c r="CD683" i="34"/>
  <c r="CC683" i="34"/>
  <c r="CB683" i="34"/>
  <c r="CA683" i="34"/>
  <c r="BZ683" i="34"/>
  <c r="BY683" i="34"/>
  <c r="CF682" i="34"/>
  <c r="CE682" i="34"/>
  <c r="CD682" i="34"/>
  <c r="CC682" i="34"/>
  <c r="CB682" i="34"/>
  <c r="CA682" i="34"/>
  <c r="BZ682" i="34"/>
  <c r="BY682" i="34"/>
  <c r="CF681" i="34"/>
  <c r="CE681" i="34"/>
  <c r="CD681" i="34"/>
  <c r="CC681" i="34"/>
  <c r="CB681" i="34"/>
  <c r="CA681" i="34"/>
  <c r="BZ681" i="34"/>
  <c r="BY681" i="34"/>
  <c r="CF680" i="34"/>
  <c r="CE680" i="34"/>
  <c r="CD680" i="34"/>
  <c r="CC680" i="34"/>
  <c r="CB680" i="34"/>
  <c r="CA680" i="34"/>
  <c r="BZ680" i="34"/>
  <c r="BY680" i="34"/>
  <c r="CF679" i="34"/>
  <c r="CE679" i="34"/>
  <c r="CD679" i="34"/>
  <c r="CC679" i="34"/>
  <c r="CB679" i="34"/>
  <c r="CA679" i="34"/>
  <c r="BZ679" i="34"/>
  <c r="BY679" i="34"/>
  <c r="CF678" i="34"/>
  <c r="CE678" i="34"/>
  <c r="CD678" i="34"/>
  <c r="CC678" i="34"/>
  <c r="CB678" i="34"/>
  <c r="CA678" i="34"/>
  <c r="BZ678" i="34"/>
  <c r="BY678" i="34"/>
  <c r="CF677" i="34"/>
  <c r="CE677" i="34"/>
  <c r="CD677" i="34"/>
  <c r="CC677" i="34"/>
  <c r="CB677" i="34"/>
  <c r="CA677" i="34"/>
  <c r="BZ677" i="34"/>
  <c r="BY677" i="34"/>
  <c r="CF676" i="34"/>
  <c r="CE676" i="34"/>
  <c r="CD676" i="34"/>
  <c r="CC676" i="34"/>
  <c r="CB676" i="34"/>
  <c r="CA676" i="34"/>
  <c r="BZ676" i="34"/>
  <c r="BY676" i="34"/>
  <c r="CF675" i="34"/>
  <c r="CE675" i="34"/>
  <c r="CD675" i="34"/>
  <c r="CC675" i="34"/>
  <c r="CB675" i="34"/>
  <c r="CA675" i="34"/>
  <c r="BZ675" i="34"/>
  <c r="BY675" i="34"/>
  <c r="CF674" i="34"/>
  <c r="CE674" i="34"/>
  <c r="CD674" i="34"/>
  <c r="CC674" i="34"/>
  <c r="CB674" i="34"/>
  <c r="CA674" i="34"/>
  <c r="BZ674" i="34"/>
  <c r="BY674" i="34"/>
  <c r="CF673" i="34"/>
  <c r="CE673" i="34"/>
  <c r="CD673" i="34"/>
  <c r="CC673" i="34"/>
  <c r="CB673" i="34"/>
  <c r="CA673" i="34"/>
  <c r="BZ673" i="34"/>
  <c r="BY673" i="34"/>
  <c r="CF672" i="34"/>
  <c r="CE672" i="34"/>
  <c r="CD672" i="34"/>
  <c r="CC672" i="34"/>
  <c r="CB672" i="34"/>
  <c r="CA672" i="34"/>
  <c r="BZ672" i="34"/>
  <c r="BY672" i="34"/>
  <c r="CF671" i="34"/>
  <c r="CE671" i="34"/>
  <c r="CD671" i="34"/>
  <c r="CC671" i="34"/>
  <c r="CB671" i="34"/>
  <c r="CA671" i="34"/>
  <c r="BZ671" i="34"/>
  <c r="BY671" i="34"/>
  <c r="CF670" i="34"/>
  <c r="CE670" i="34"/>
  <c r="CD670" i="34"/>
  <c r="CC670" i="34"/>
  <c r="CB670" i="34"/>
  <c r="CA670" i="34"/>
  <c r="BZ670" i="34"/>
  <c r="BY670" i="34"/>
  <c r="CF669" i="34"/>
  <c r="CE669" i="34"/>
  <c r="CD669" i="34"/>
  <c r="CC669" i="34"/>
  <c r="CB669" i="34"/>
  <c r="CA669" i="34"/>
  <c r="BZ669" i="34"/>
  <c r="BY669" i="34"/>
  <c r="CF668" i="34"/>
  <c r="CE668" i="34"/>
  <c r="CD668" i="34"/>
  <c r="CC668" i="34"/>
  <c r="CB668" i="34"/>
  <c r="CA668" i="34"/>
  <c r="BZ668" i="34"/>
  <c r="BY668" i="34"/>
  <c r="CF667" i="34"/>
  <c r="CE667" i="34"/>
  <c r="CD667" i="34"/>
  <c r="CC667" i="34"/>
  <c r="CB667" i="34"/>
  <c r="CA667" i="34"/>
  <c r="BZ667" i="34"/>
  <c r="BY667" i="34"/>
  <c r="CF666" i="34"/>
  <c r="CE666" i="34"/>
  <c r="CD666" i="34"/>
  <c r="CC666" i="34"/>
  <c r="CB666" i="34"/>
  <c r="CA666" i="34"/>
  <c r="BZ666" i="34"/>
  <c r="BY666" i="34"/>
  <c r="CF665" i="34"/>
  <c r="CE665" i="34"/>
  <c r="CD665" i="34"/>
  <c r="CC665" i="34"/>
  <c r="CB665" i="34"/>
  <c r="CA665" i="34"/>
  <c r="BZ665" i="34"/>
  <c r="BY665" i="34"/>
  <c r="CF664" i="34"/>
  <c r="CE664" i="34"/>
  <c r="CD664" i="34"/>
  <c r="CC664" i="34"/>
  <c r="CB664" i="34"/>
  <c r="CA664" i="34"/>
  <c r="BZ664" i="34"/>
  <c r="BY664" i="34"/>
  <c r="CF663" i="34"/>
  <c r="CE663" i="34"/>
  <c r="CD663" i="34"/>
  <c r="CC663" i="34"/>
  <c r="CB663" i="34"/>
  <c r="CA663" i="34"/>
  <c r="BZ663" i="34"/>
  <c r="BY663" i="34"/>
  <c r="CF662" i="34"/>
  <c r="CE662" i="34"/>
  <c r="CD662" i="34"/>
  <c r="CC662" i="34"/>
  <c r="CB662" i="34"/>
  <c r="CA662" i="34"/>
  <c r="BZ662" i="34"/>
  <c r="BY662" i="34"/>
  <c r="CF661" i="34"/>
  <c r="CE661" i="34"/>
  <c r="CD661" i="34"/>
  <c r="CC661" i="34"/>
  <c r="CB661" i="34"/>
  <c r="CA661" i="34"/>
  <c r="BZ661" i="34"/>
  <c r="BY661" i="34"/>
  <c r="CF660" i="34"/>
  <c r="CE660" i="34"/>
  <c r="CD660" i="34"/>
  <c r="CC660" i="34"/>
  <c r="CB660" i="34"/>
  <c r="CA660" i="34"/>
  <c r="BZ660" i="34"/>
  <c r="BY660" i="34"/>
  <c r="CF659" i="34"/>
  <c r="CE659" i="34"/>
  <c r="CD659" i="34"/>
  <c r="CC659" i="34"/>
  <c r="CB659" i="34"/>
  <c r="CA659" i="34"/>
  <c r="BZ659" i="34"/>
  <c r="BY659" i="34"/>
  <c r="CF658" i="34"/>
  <c r="CE658" i="34"/>
  <c r="CD658" i="34"/>
  <c r="CC658" i="34"/>
  <c r="CB658" i="34"/>
  <c r="CA658" i="34"/>
  <c r="BZ658" i="34"/>
  <c r="BY658" i="34"/>
  <c r="CF657" i="34"/>
  <c r="CE657" i="34"/>
  <c r="CD657" i="34"/>
  <c r="CC657" i="34"/>
  <c r="CB657" i="34"/>
  <c r="CA657" i="34"/>
  <c r="BZ657" i="34"/>
  <c r="BY657" i="34"/>
  <c r="CF656" i="34"/>
  <c r="CE656" i="34"/>
  <c r="CD656" i="34"/>
  <c r="CC656" i="34"/>
  <c r="CB656" i="34"/>
  <c r="CA656" i="34"/>
  <c r="BZ656" i="34"/>
  <c r="BY656" i="34"/>
  <c r="CF655" i="34"/>
  <c r="CE655" i="34"/>
  <c r="CD655" i="34"/>
  <c r="CC655" i="34"/>
  <c r="CB655" i="34"/>
  <c r="CA655" i="34"/>
  <c r="BZ655" i="34"/>
  <c r="BY655" i="34"/>
  <c r="CF654" i="34"/>
  <c r="CE654" i="34"/>
  <c r="CD654" i="34"/>
  <c r="CC654" i="34"/>
  <c r="CB654" i="34"/>
  <c r="CA654" i="34"/>
  <c r="BZ654" i="34"/>
  <c r="BY654" i="34"/>
  <c r="CF653" i="34"/>
  <c r="CE653" i="34"/>
  <c r="CD653" i="34"/>
  <c r="CC653" i="34"/>
  <c r="CB653" i="34"/>
  <c r="CA653" i="34"/>
  <c r="BZ653" i="34"/>
  <c r="BY653" i="34"/>
  <c r="CF652" i="34"/>
  <c r="CE652" i="34"/>
  <c r="CD652" i="34"/>
  <c r="CC652" i="34"/>
  <c r="CB652" i="34"/>
  <c r="CA652" i="34"/>
  <c r="BZ652" i="34"/>
  <c r="BY652" i="34"/>
  <c r="CF651" i="34"/>
  <c r="CE651" i="34"/>
  <c r="CD651" i="34"/>
  <c r="CC651" i="34"/>
  <c r="CB651" i="34"/>
  <c r="CA651" i="34"/>
  <c r="BZ651" i="34"/>
  <c r="BY651" i="34"/>
  <c r="CF650" i="34"/>
  <c r="CE650" i="34"/>
  <c r="CD650" i="34"/>
  <c r="CC650" i="34"/>
  <c r="CB650" i="34"/>
  <c r="CA650" i="34"/>
  <c r="BZ650" i="34"/>
  <c r="BY650" i="34"/>
  <c r="CF649" i="34"/>
  <c r="CE649" i="34"/>
  <c r="CD649" i="34"/>
  <c r="CC649" i="34"/>
  <c r="CB649" i="34"/>
  <c r="CA649" i="34"/>
  <c r="BZ649" i="34"/>
  <c r="BY649" i="34"/>
  <c r="CF648" i="34"/>
  <c r="CE648" i="34"/>
  <c r="CD648" i="34"/>
  <c r="CC648" i="34"/>
  <c r="CB648" i="34"/>
  <c r="CA648" i="34"/>
  <c r="BZ648" i="34"/>
  <c r="BY648" i="34"/>
  <c r="CF647" i="34"/>
  <c r="CE647" i="34"/>
  <c r="CD647" i="34"/>
  <c r="CC647" i="34"/>
  <c r="CB647" i="34"/>
  <c r="CA647" i="34"/>
  <c r="BZ647" i="34"/>
  <c r="BY647" i="34"/>
  <c r="CF646" i="34"/>
  <c r="CE646" i="34"/>
  <c r="CD646" i="34"/>
  <c r="CC646" i="34"/>
  <c r="CB646" i="34"/>
  <c r="CA646" i="34"/>
  <c r="BZ646" i="34"/>
  <c r="BY646" i="34"/>
  <c r="CF645" i="34"/>
  <c r="CE645" i="34"/>
  <c r="CD645" i="34"/>
  <c r="CC645" i="34"/>
  <c r="CB645" i="34"/>
  <c r="CA645" i="34"/>
  <c r="BZ645" i="34"/>
  <c r="BY645" i="34"/>
  <c r="CF644" i="34"/>
  <c r="CE644" i="34"/>
  <c r="CD644" i="34"/>
  <c r="CC644" i="34"/>
  <c r="CB644" i="34"/>
  <c r="CA644" i="34"/>
  <c r="BZ644" i="34"/>
  <c r="BY644" i="34"/>
  <c r="CF643" i="34"/>
  <c r="CE643" i="34"/>
  <c r="CD643" i="34"/>
  <c r="CC643" i="34"/>
  <c r="CB643" i="34"/>
  <c r="CA643" i="34"/>
  <c r="BZ643" i="34"/>
  <c r="BY643" i="34"/>
  <c r="CF642" i="34"/>
  <c r="CE642" i="34"/>
  <c r="CD642" i="34"/>
  <c r="CC642" i="34"/>
  <c r="CB642" i="34"/>
  <c r="CA642" i="34"/>
  <c r="BZ642" i="34"/>
  <c r="BY642" i="34"/>
  <c r="CF641" i="34"/>
  <c r="CE641" i="34"/>
  <c r="CD641" i="34"/>
  <c r="CC641" i="34"/>
  <c r="CB641" i="34"/>
  <c r="CA641" i="34"/>
  <c r="BZ641" i="34"/>
  <c r="BY641" i="34"/>
  <c r="CF640" i="34"/>
  <c r="CE640" i="34"/>
  <c r="CD640" i="34"/>
  <c r="CC640" i="34"/>
  <c r="CB640" i="34"/>
  <c r="CA640" i="34"/>
  <c r="BZ640" i="34"/>
  <c r="BY640" i="34"/>
  <c r="CF639" i="34"/>
  <c r="CE639" i="34"/>
  <c r="CD639" i="34"/>
  <c r="CC639" i="34"/>
  <c r="CB639" i="34"/>
  <c r="CA639" i="34"/>
  <c r="BZ639" i="34"/>
  <c r="BY639" i="34"/>
  <c r="CF638" i="34"/>
  <c r="CE638" i="34"/>
  <c r="CD638" i="34"/>
  <c r="CC638" i="34"/>
  <c r="CB638" i="34"/>
  <c r="CA638" i="34"/>
  <c r="BZ638" i="34"/>
  <c r="BY638" i="34"/>
  <c r="CF637" i="34"/>
  <c r="CE637" i="34"/>
  <c r="CD637" i="34"/>
  <c r="CC637" i="34"/>
  <c r="CB637" i="34"/>
  <c r="CA637" i="34"/>
  <c r="BZ637" i="34"/>
  <c r="BY637" i="34"/>
  <c r="CF636" i="34"/>
  <c r="CE636" i="34"/>
  <c r="CD636" i="34"/>
  <c r="CC636" i="34"/>
  <c r="CB636" i="34"/>
  <c r="CA636" i="34"/>
  <c r="BZ636" i="34"/>
  <c r="BY636" i="34"/>
  <c r="CF635" i="34"/>
  <c r="CE635" i="34"/>
  <c r="CD635" i="34"/>
  <c r="CC635" i="34"/>
  <c r="CB635" i="34"/>
  <c r="CA635" i="34"/>
  <c r="BZ635" i="34"/>
  <c r="BY635" i="34"/>
  <c r="CF634" i="34"/>
  <c r="CE634" i="34"/>
  <c r="CD634" i="34"/>
  <c r="CC634" i="34"/>
  <c r="CB634" i="34"/>
  <c r="CA634" i="34"/>
  <c r="BZ634" i="34"/>
  <c r="BY634" i="34"/>
  <c r="CF633" i="34"/>
  <c r="CE633" i="34"/>
  <c r="CD633" i="34"/>
  <c r="CC633" i="34"/>
  <c r="CB633" i="34"/>
  <c r="CA633" i="34"/>
  <c r="BZ633" i="34"/>
  <c r="BY633" i="34"/>
  <c r="CF632" i="34"/>
  <c r="CE632" i="34"/>
  <c r="CD632" i="34"/>
  <c r="CC632" i="34"/>
  <c r="CB632" i="34"/>
  <c r="CA632" i="34"/>
  <c r="BZ632" i="34"/>
  <c r="BY632" i="34"/>
  <c r="CF631" i="34"/>
  <c r="CE631" i="34"/>
  <c r="CD631" i="34"/>
  <c r="CC631" i="34"/>
  <c r="CB631" i="34"/>
  <c r="CA631" i="34"/>
  <c r="BZ631" i="34"/>
  <c r="BY631" i="34"/>
  <c r="CF630" i="34"/>
  <c r="CE630" i="34"/>
  <c r="CD630" i="34"/>
  <c r="CC630" i="34"/>
  <c r="CB630" i="34"/>
  <c r="CA630" i="34"/>
  <c r="BZ630" i="34"/>
  <c r="BY630" i="34"/>
  <c r="CF629" i="34"/>
  <c r="CE629" i="34"/>
  <c r="CD629" i="34"/>
  <c r="CC629" i="34"/>
  <c r="CB629" i="34"/>
  <c r="CA629" i="34"/>
  <c r="BZ629" i="34"/>
  <c r="BY629" i="34"/>
  <c r="CF628" i="34"/>
  <c r="CE628" i="34"/>
  <c r="CD628" i="34"/>
  <c r="CC628" i="34"/>
  <c r="CB628" i="34"/>
  <c r="CA628" i="34"/>
  <c r="BZ628" i="34"/>
  <c r="BY628" i="34"/>
  <c r="CF627" i="34"/>
  <c r="CE627" i="34"/>
  <c r="CD627" i="34"/>
  <c r="CC627" i="34"/>
  <c r="CB627" i="34"/>
  <c r="CA627" i="34"/>
  <c r="BZ627" i="34"/>
  <c r="BY627" i="34"/>
  <c r="CF626" i="34"/>
  <c r="CE626" i="34"/>
  <c r="CD626" i="34"/>
  <c r="CC626" i="34"/>
  <c r="CB626" i="34"/>
  <c r="CA626" i="34"/>
  <c r="BZ626" i="34"/>
  <c r="BY626" i="34"/>
  <c r="CF625" i="34"/>
  <c r="CE625" i="34"/>
  <c r="CD625" i="34"/>
  <c r="CC625" i="34"/>
  <c r="CB625" i="34"/>
  <c r="CA625" i="34"/>
  <c r="BZ625" i="34"/>
  <c r="BY625" i="34"/>
  <c r="CF624" i="34"/>
  <c r="CE624" i="34"/>
  <c r="CD624" i="34"/>
  <c r="CC624" i="34"/>
  <c r="CB624" i="34"/>
  <c r="CA624" i="34"/>
  <c r="BZ624" i="34"/>
  <c r="BY624" i="34"/>
  <c r="CF623" i="34"/>
  <c r="CE623" i="34"/>
  <c r="CD623" i="34"/>
  <c r="CC623" i="34"/>
  <c r="CB623" i="34"/>
  <c r="CA623" i="34"/>
  <c r="BZ623" i="34"/>
  <c r="BY623" i="34"/>
  <c r="CF622" i="34"/>
  <c r="CE622" i="34"/>
  <c r="CD622" i="34"/>
  <c r="CC622" i="34"/>
  <c r="CB622" i="34"/>
  <c r="CA622" i="34"/>
  <c r="BZ622" i="34"/>
  <c r="BY622" i="34"/>
  <c r="CF621" i="34"/>
  <c r="CE621" i="34"/>
  <c r="CD621" i="34"/>
  <c r="CC621" i="34"/>
  <c r="CB621" i="34"/>
  <c r="CA621" i="34"/>
  <c r="BZ621" i="34"/>
  <c r="BY621" i="34"/>
  <c r="CF620" i="34"/>
  <c r="CE620" i="34"/>
  <c r="CD620" i="34"/>
  <c r="CC620" i="34"/>
  <c r="CB620" i="34"/>
  <c r="CA620" i="34"/>
  <c r="BZ620" i="34"/>
  <c r="BY620" i="34"/>
  <c r="CF619" i="34"/>
  <c r="CE619" i="34"/>
  <c r="CD619" i="34"/>
  <c r="CC619" i="34"/>
  <c r="CB619" i="34"/>
  <c r="CA619" i="34"/>
  <c r="BZ619" i="34"/>
  <c r="BY619" i="34"/>
  <c r="CF618" i="34"/>
  <c r="CE618" i="34"/>
  <c r="CD618" i="34"/>
  <c r="CC618" i="34"/>
  <c r="CB618" i="34"/>
  <c r="CA618" i="34"/>
  <c r="BZ618" i="34"/>
  <c r="BY618" i="34"/>
  <c r="CF449" i="34"/>
  <c r="CE449" i="34"/>
  <c r="CD449" i="34"/>
  <c r="CC449" i="34"/>
  <c r="CB449" i="34"/>
  <c r="CA449" i="34"/>
  <c r="BZ449" i="34"/>
  <c r="BY449" i="34"/>
  <c r="CF448" i="34"/>
  <c r="CE448" i="34"/>
  <c r="CD448" i="34"/>
  <c r="CC448" i="34"/>
  <c r="CB448" i="34"/>
  <c r="CA448" i="34"/>
  <c r="BZ448" i="34"/>
  <c r="BY448" i="34"/>
  <c r="CF447" i="34"/>
  <c r="CE447" i="34"/>
  <c r="CD447" i="34"/>
  <c r="CC447" i="34"/>
  <c r="CB447" i="34"/>
  <c r="CA447" i="34"/>
  <c r="BZ447" i="34"/>
  <c r="BY447" i="34"/>
  <c r="CF446" i="34"/>
  <c r="CE446" i="34"/>
  <c r="CD446" i="34"/>
  <c r="CC446" i="34"/>
  <c r="CB446" i="34"/>
  <c r="CA446" i="34"/>
  <c r="BZ446" i="34"/>
  <c r="BY446" i="34"/>
  <c r="CF445" i="34"/>
  <c r="CE445" i="34"/>
  <c r="CD445" i="34"/>
  <c r="CC445" i="34"/>
  <c r="CB445" i="34"/>
  <c r="CA445" i="34"/>
  <c r="BZ445" i="34"/>
  <c r="BY445" i="34"/>
  <c r="CF444" i="34"/>
  <c r="CE444" i="34"/>
  <c r="CD444" i="34"/>
  <c r="CC444" i="34"/>
  <c r="CB444" i="34"/>
  <c r="CA444" i="34"/>
  <c r="BZ444" i="34"/>
  <c r="BY444" i="34"/>
  <c r="CF443" i="34"/>
  <c r="CE443" i="34"/>
  <c r="CD443" i="34"/>
  <c r="CC443" i="34"/>
  <c r="CB443" i="34"/>
  <c r="CA443" i="34"/>
  <c r="BZ443" i="34"/>
  <c r="BY443" i="34"/>
  <c r="CF442" i="34"/>
  <c r="CE442" i="34"/>
  <c r="CD442" i="34"/>
  <c r="CC442" i="34"/>
  <c r="CB442" i="34"/>
  <c r="CA442" i="34"/>
  <c r="BZ442" i="34"/>
  <c r="BY442" i="34"/>
  <c r="CF441" i="34"/>
  <c r="CE441" i="34"/>
  <c r="CD441" i="34"/>
  <c r="CC441" i="34"/>
  <c r="CB441" i="34"/>
  <c r="CA441" i="34"/>
  <c r="BZ441" i="34"/>
  <c r="BY441" i="34"/>
  <c r="CF440" i="34"/>
  <c r="CE440" i="34"/>
  <c r="CD440" i="34"/>
  <c r="CC440" i="34"/>
  <c r="CB440" i="34"/>
  <c r="CA440" i="34"/>
  <c r="BZ440" i="34"/>
  <c r="BY440" i="34"/>
  <c r="CF439" i="34"/>
  <c r="CE439" i="34"/>
  <c r="CD439" i="34"/>
  <c r="CC439" i="34"/>
  <c r="CB439" i="34"/>
  <c r="CA439" i="34"/>
  <c r="BZ439" i="34"/>
  <c r="BY439" i="34"/>
  <c r="CF438" i="34"/>
  <c r="CE438" i="34"/>
  <c r="CD438" i="34"/>
  <c r="CC438" i="34"/>
  <c r="CB438" i="34"/>
  <c r="CA438" i="34"/>
  <c r="BZ438" i="34"/>
  <c r="BY438" i="34"/>
  <c r="CF437" i="34"/>
  <c r="CE437" i="34"/>
  <c r="CD437" i="34"/>
  <c r="CC437" i="34"/>
  <c r="CB437" i="34"/>
  <c r="CA437" i="34"/>
  <c r="BZ437" i="34"/>
  <c r="BY437" i="34"/>
  <c r="CF436" i="34"/>
  <c r="CE436" i="34"/>
  <c r="CD436" i="34"/>
  <c r="CC436" i="34"/>
  <c r="CB436" i="34"/>
  <c r="CA436" i="34"/>
  <c r="BZ436" i="34"/>
  <c r="BY436" i="34"/>
  <c r="CF435" i="34"/>
  <c r="CE435" i="34"/>
  <c r="CD435" i="34"/>
  <c r="CC435" i="34"/>
  <c r="CB435" i="34"/>
  <c r="CA435" i="34"/>
  <c r="BZ435" i="34"/>
  <c r="BY435" i="34"/>
  <c r="CF434" i="34"/>
  <c r="CE434" i="34"/>
  <c r="CD434" i="34"/>
  <c r="CC434" i="34"/>
  <c r="CB434" i="34"/>
  <c r="CA434" i="34"/>
  <c r="BZ434" i="34"/>
  <c r="BY434" i="34"/>
  <c r="CF433" i="34"/>
  <c r="CE433" i="34"/>
  <c r="CD433" i="34"/>
  <c r="CC433" i="34"/>
  <c r="CB433" i="34"/>
  <c r="CA433" i="34"/>
  <c r="BZ433" i="34"/>
  <c r="BY433" i="34"/>
  <c r="CF432" i="34"/>
  <c r="CE432" i="34"/>
  <c r="CD432" i="34"/>
  <c r="CC432" i="34"/>
  <c r="CB432" i="34"/>
  <c r="CA432" i="34"/>
  <c r="BZ432" i="34"/>
  <c r="BY432" i="34"/>
  <c r="CF431" i="34"/>
  <c r="CE431" i="34"/>
  <c r="CD431" i="34"/>
  <c r="CC431" i="34"/>
  <c r="CB431" i="34"/>
  <c r="CA431" i="34"/>
  <c r="BZ431" i="34"/>
  <c r="BY431" i="34"/>
  <c r="CF430" i="34"/>
  <c r="CE430" i="34"/>
  <c r="CD430" i="34"/>
  <c r="CC430" i="34"/>
  <c r="CB430" i="34"/>
  <c r="CA430" i="34"/>
  <c r="BZ430" i="34"/>
  <c r="BY430" i="34"/>
  <c r="CF429" i="34"/>
  <c r="CE429" i="34"/>
  <c r="CD429" i="34"/>
  <c r="CC429" i="34"/>
  <c r="CB429" i="34"/>
  <c r="CA429" i="34"/>
  <c r="BZ429" i="34"/>
  <c r="BY429" i="34"/>
  <c r="CF428" i="34"/>
  <c r="CE428" i="34"/>
  <c r="CD428" i="34"/>
  <c r="CC428" i="34"/>
  <c r="CB428" i="34"/>
  <c r="CA428" i="34"/>
  <c r="BZ428" i="34"/>
  <c r="BY428" i="34"/>
  <c r="CF427" i="34"/>
  <c r="CE427" i="34"/>
  <c r="CD427" i="34"/>
  <c r="CC427" i="34"/>
  <c r="CB427" i="34"/>
  <c r="CA427" i="34"/>
  <c r="BZ427" i="34"/>
  <c r="BY427" i="34"/>
  <c r="CF426" i="34"/>
  <c r="CE426" i="34"/>
  <c r="CD426" i="34"/>
  <c r="CC426" i="34"/>
  <c r="CB426" i="34"/>
  <c r="CA426" i="34"/>
  <c r="BZ426" i="34"/>
  <c r="BY426" i="34"/>
  <c r="CF425" i="34"/>
  <c r="CE425" i="34"/>
  <c r="CD425" i="34"/>
  <c r="CC425" i="34"/>
  <c r="CB425" i="34"/>
  <c r="CA425" i="34"/>
  <c r="BZ425" i="34"/>
  <c r="BY425" i="34"/>
  <c r="CF424" i="34"/>
  <c r="CE424" i="34"/>
  <c r="CD424" i="34"/>
  <c r="CC424" i="34"/>
  <c r="CB424" i="34"/>
  <c r="CA424" i="34"/>
  <c r="BZ424" i="34"/>
  <c r="BY424" i="34"/>
  <c r="CF423" i="34"/>
  <c r="CE423" i="34"/>
  <c r="CD423" i="34"/>
  <c r="CC423" i="34"/>
  <c r="CB423" i="34"/>
  <c r="CA423" i="34"/>
  <c r="BZ423" i="34"/>
  <c r="BY423" i="34"/>
  <c r="CF422" i="34"/>
  <c r="CE422" i="34"/>
  <c r="CD422" i="34"/>
  <c r="CC422" i="34"/>
  <c r="CB422" i="34"/>
  <c r="CA422" i="34"/>
  <c r="BZ422" i="34"/>
  <c r="BY422" i="34"/>
  <c r="CF421" i="34"/>
  <c r="CE421" i="34"/>
  <c r="CD421" i="34"/>
  <c r="CC421" i="34"/>
  <c r="CB421" i="34"/>
  <c r="CA421" i="34"/>
  <c r="BZ421" i="34"/>
  <c r="BY421" i="34"/>
  <c r="CF420" i="34"/>
  <c r="CE420" i="34"/>
  <c r="CD420" i="34"/>
  <c r="CC420" i="34"/>
  <c r="CB420" i="34"/>
  <c r="CA420" i="34"/>
  <c r="BZ420" i="34"/>
  <c r="BY420" i="34"/>
  <c r="CF419" i="34"/>
  <c r="CE419" i="34"/>
  <c r="CD419" i="34"/>
  <c r="CC419" i="34"/>
  <c r="CB419" i="34"/>
  <c r="CA419" i="34"/>
  <c r="BZ419" i="34"/>
  <c r="BY419" i="34"/>
  <c r="CF418" i="34"/>
  <c r="CE418" i="34"/>
  <c r="CD418" i="34"/>
  <c r="CC418" i="34"/>
  <c r="CB418" i="34"/>
  <c r="CA418" i="34"/>
  <c r="BZ418" i="34"/>
  <c r="BY418" i="34"/>
  <c r="CF417" i="34"/>
  <c r="CE417" i="34"/>
  <c r="CD417" i="34"/>
  <c r="CC417" i="34"/>
  <c r="CB417" i="34"/>
  <c r="CA417" i="34"/>
  <c r="BZ417" i="34"/>
  <c r="BY417" i="34"/>
  <c r="CF416" i="34"/>
  <c r="CE416" i="34"/>
  <c r="CD416" i="34"/>
  <c r="CC416" i="34"/>
  <c r="CB416" i="34"/>
  <c r="CA416" i="34"/>
  <c r="BZ416" i="34"/>
  <c r="BY416" i="34"/>
  <c r="CF415" i="34"/>
  <c r="CE415" i="34"/>
  <c r="CD415" i="34"/>
  <c r="CC415" i="34"/>
  <c r="CB415" i="34"/>
  <c r="CA415" i="34"/>
  <c r="BZ415" i="34"/>
  <c r="BY415" i="34"/>
  <c r="CF414" i="34"/>
  <c r="CE414" i="34"/>
  <c r="CD414" i="34"/>
  <c r="CC414" i="34"/>
  <c r="CB414" i="34"/>
  <c r="CA414" i="34"/>
  <c r="BZ414" i="34"/>
  <c r="BY414" i="34"/>
  <c r="CF413" i="34"/>
  <c r="CE413" i="34"/>
  <c r="CD413" i="34"/>
  <c r="CC413" i="34"/>
  <c r="CB413" i="34"/>
  <c r="CA413" i="34"/>
  <c r="BZ413" i="34"/>
  <c r="BY413" i="34"/>
  <c r="CF412" i="34"/>
  <c r="CE412" i="34"/>
  <c r="CD412" i="34"/>
  <c r="CC412" i="34"/>
  <c r="CB412" i="34"/>
  <c r="CA412" i="34"/>
  <c r="BZ412" i="34"/>
  <c r="BY412" i="34"/>
  <c r="CF411" i="34"/>
  <c r="CE411" i="34"/>
  <c r="CD411" i="34"/>
  <c r="CC411" i="34"/>
  <c r="CB411" i="34"/>
  <c r="CA411" i="34"/>
  <c r="BZ411" i="34"/>
  <c r="BY411" i="34"/>
  <c r="CF410" i="34"/>
  <c r="CE410" i="34"/>
  <c r="CD410" i="34"/>
  <c r="CC410" i="34"/>
  <c r="CB410" i="34"/>
  <c r="CA410" i="34"/>
  <c r="BZ410" i="34"/>
  <c r="BY410" i="34"/>
  <c r="CF409" i="34"/>
  <c r="CE409" i="34"/>
  <c r="CD409" i="34"/>
  <c r="CC409" i="34"/>
  <c r="CB409" i="34"/>
  <c r="CA409" i="34"/>
  <c r="BZ409" i="34"/>
  <c r="BY409" i="34"/>
  <c r="CF408" i="34"/>
  <c r="CE408" i="34"/>
  <c r="CD408" i="34"/>
  <c r="CC408" i="34"/>
  <c r="CB408" i="34"/>
  <c r="CA408" i="34"/>
  <c r="BZ408" i="34"/>
  <c r="BY408" i="34"/>
  <c r="CF407" i="34"/>
  <c r="CE407" i="34"/>
  <c r="CD407" i="34"/>
  <c r="CC407" i="34"/>
  <c r="CB407" i="34"/>
  <c r="CA407" i="34"/>
  <c r="BZ407" i="34"/>
  <c r="BY407" i="34"/>
  <c r="CF406" i="34"/>
  <c r="CE406" i="34"/>
  <c r="CD406" i="34"/>
  <c r="CC406" i="34"/>
  <c r="CB406" i="34"/>
  <c r="CA406" i="34"/>
  <c r="BZ406" i="34"/>
  <c r="BY406" i="34"/>
  <c r="CF405" i="34"/>
  <c r="CE405" i="34"/>
  <c r="CD405" i="34"/>
  <c r="CC405" i="34"/>
  <c r="CB405" i="34"/>
  <c r="CA405" i="34"/>
  <c r="BZ405" i="34"/>
  <c r="BY405" i="34"/>
  <c r="CF404" i="34"/>
  <c r="CE404" i="34"/>
  <c r="CD404" i="34"/>
  <c r="CC404" i="34"/>
  <c r="CB404" i="34"/>
  <c r="CA404" i="34"/>
  <c r="BZ404" i="34"/>
  <c r="BY404" i="34"/>
  <c r="CF403" i="34"/>
  <c r="CE403" i="34"/>
  <c r="CD403" i="34"/>
  <c r="CC403" i="34"/>
  <c r="CB403" i="34"/>
  <c r="CA403" i="34"/>
  <c r="BZ403" i="34"/>
  <c r="BY403" i="34"/>
  <c r="CF402" i="34"/>
  <c r="CE402" i="34"/>
  <c r="CD402" i="34"/>
  <c r="CC402" i="34"/>
  <c r="CB402" i="34"/>
  <c r="CA402" i="34"/>
  <c r="BZ402" i="34"/>
  <c r="BY402" i="34"/>
  <c r="CF401" i="34"/>
  <c r="CE401" i="34"/>
  <c r="CD401" i="34"/>
  <c r="CC401" i="34"/>
  <c r="CB401" i="34"/>
  <c r="CA401" i="34"/>
  <c r="BZ401" i="34"/>
  <c r="BY401" i="34"/>
  <c r="CF400" i="34"/>
  <c r="CE400" i="34"/>
  <c r="CD400" i="34"/>
  <c r="CC400" i="34"/>
  <c r="CB400" i="34"/>
  <c r="CA400" i="34"/>
  <c r="BZ400" i="34"/>
  <c r="BY400" i="34"/>
  <c r="CF399" i="34"/>
  <c r="CE399" i="34"/>
  <c r="CD399" i="34"/>
  <c r="CC399" i="34"/>
  <c r="CB399" i="34"/>
  <c r="CA399" i="34"/>
  <c r="BZ399" i="34"/>
  <c r="BY399" i="34"/>
  <c r="CF398" i="34"/>
  <c r="CE398" i="34"/>
  <c r="CD398" i="34"/>
  <c r="CC398" i="34"/>
  <c r="CB398" i="34"/>
  <c r="CA398" i="34"/>
  <c r="BZ398" i="34"/>
  <c r="BY398" i="34"/>
  <c r="CF397" i="34"/>
  <c r="CE397" i="34"/>
  <c r="CD397" i="34"/>
  <c r="CC397" i="34"/>
  <c r="CB397" i="34"/>
  <c r="CA397" i="34"/>
  <c r="BZ397" i="34"/>
  <c r="BY397" i="34"/>
  <c r="CF396" i="34"/>
  <c r="CE396" i="34"/>
  <c r="CD396" i="34"/>
  <c r="CC396" i="34"/>
  <c r="CB396" i="34"/>
  <c r="CA396" i="34"/>
  <c r="BZ396" i="34"/>
  <c r="BY396" i="34"/>
  <c r="CF395" i="34"/>
  <c r="CE395" i="34"/>
  <c r="CD395" i="34"/>
  <c r="CC395" i="34"/>
  <c r="CB395" i="34"/>
  <c r="CA395" i="34"/>
  <c r="BZ395" i="34"/>
  <c r="BY395" i="34"/>
  <c r="CF394" i="34"/>
  <c r="CE394" i="34"/>
  <c r="CD394" i="34"/>
  <c r="CC394" i="34"/>
  <c r="CB394" i="34"/>
  <c r="CA394" i="34"/>
  <c r="BZ394" i="34"/>
  <c r="BY394" i="34"/>
  <c r="CF393" i="34"/>
  <c r="CE393" i="34"/>
  <c r="CD393" i="34"/>
  <c r="CC393" i="34"/>
  <c r="CB393" i="34"/>
  <c r="CA393" i="34"/>
  <c r="BZ393" i="34"/>
  <c r="BY393" i="34"/>
  <c r="CF392" i="34"/>
  <c r="CE392" i="34"/>
  <c r="CD392" i="34"/>
  <c r="CC392" i="34"/>
  <c r="CB392" i="34"/>
  <c r="CA392" i="34"/>
  <c r="BZ392" i="34"/>
  <c r="BY392" i="34"/>
  <c r="CF391" i="34"/>
  <c r="CE391" i="34"/>
  <c r="CD391" i="34"/>
  <c r="CC391" i="34"/>
  <c r="CB391" i="34"/>
  <c r="CA391" i="34"/>
  <c r="BZ391" i="34"/>
  <c r="BY391" i="34"/>
  <c r="CF390" i="34"/>
  <c r="CE390" i="34"/>
  <c r="CD390" i="34"/>
  <c r="CC390" i="34"/>
  <c r="CB390" i="34"/>
  <c r="CA390" i="34"/>
  <c r="BZ390" i="34"/>
  <c r="BY390" i="34"/>
  <c r="CF389" i="34"/>
  <c r="CE389" i="34"/>
  <c r="CD389" i="34"/>
  <c r="CC389" i="34"/>
  <c r="CB389" i="34"/>
  <c r="CA389" i="34"/>
  <c r="BZ389" i="34"/>
  <c r="BY389" i="34"/>
  <c r="CF388" i="34"/>
  <c r="CE388" i="34"/>
  <c r="CD388" i="34"/>
  <c r="CC388" i="34"/>
  <c r="CB388" i="34"/>
  <c r="CA388" i="34"/>
  <c r="BZ388" i="34"/>
  <c r="BY388" i="34"/>
  <c r="CF387" i="34"/>
  <c r="CE387" i="34"/>
  <c r="CD387" i="34"/>
  <c r="CC387" i="34"/>
  <c r="CB387" i="34"/>
  <c r="CA387" i="34"/>
  <c r="BZ387" i="34"/>
  <c r="BY387" i="34"/>
  <c r="CF386" i="34"/>
  <c r="CE386" i="34"/>
  <c r="CD386" i="34"/>
  <c r="CC386" i="34"/>
  <c r="CB386" i="34"/>
  <c r="CA386" i="34"/>
  <c r="BZ386" i="34"/>
  <c r="BY386" i="34"/>
  <c r="CF385" i="34"/>
  <c r="CE385" i="34"/>
  <c r="CD385" i="34"/>
  <c r="CC385" i="34"/>
  <c r="CB385" i="34"/>
  <c r="CA385" i="34"/>
  <c r="BZ385" i="34"/>
  <c r="BY385" i="34"/>
  <c r="CF384" i="34"/>
  <c r="CE384" i="34"/>
  <c r="CD384" i="34"/>
  <c r="CC384" i="34"/>
  <c r="CB384" i="34"/>
  <c r="CA384" i="34"/>
  <c r="BZ384" i="34"/>
  <c r="BY384" i="34"/>
  <c r="CF383" i="34"/>
  <c r="CE383" i="34"/>
  <c r="CD383" i="34"/>
  <c r="CC383" i="34"/>
  <c r="CB383" i="34"/>
  <c r="CA383" i="34"/>
  <c r="BZ383" i="34"/>
  <c r="BY383" i="34"/>
  <c r="CF382" i="34"/>
  <c r="CE382" i="34"/>
  <c r="CD382" i="34"/>
  <c r="CC382" i="34"/>
  <c r="CB382" i="34"/>
  <c r="CA382" i="34"/>
  <c r="BZ382" i="34"/>
  <c r="BY382" i="34"/>
  <c r="CF381" i="34"/>
  <c r="CE381" i="34"/>
  <c r="CD381" i="34"/>
  <c r="CC381" i="34"/>
  <c r="CB381" i="34"/>
  <c r="CA381" i="34"/>
  <c r="BZ381" i="34"/>
  <c r="BY381" i="34"/>
  <c r="CF380" i="34"/>
  <c r="CE380" i="34"/>
  <c r="CD380" i="34"/>
  <c r="CC380" i="34"/>
  <c r="CB380" i="34"/>
  <c r="CA380" i="34"/>
  <c r="BZ380" i="34"/>
  <c r="BY380" i="34"/>
  <c r="CF379" i="34"/>
  <c r="CE379" i="34"/>
  <c r="CD379" i="34"/>
  <c r="CC379" i="34"/>
  <c r="CB379" i="34"/>
  <c r="CA379" i="34"/>
  <c r="BZ379" i="34"/>
  <c r="BY379" i="34"/>
  <c r="CF378" i="34"/>
  <c r="CE378" i="34"/>
  <c r="CD378" i="34"/>
  <c r="CC378" i="34"/>
  <c r="CB378" i="34"/>
  <c r="CA378" i="34"/>
  <c r="BZ378" i="34"/>
  <c r="BY378" i="34"/>
  <c r="CF377" i="34"/>
  <c r="CE377" i="34"/>
  <c r="CD377" i="34"/>
  <c r="CC377" i="34"/>
  <c r="CB377" i="34"/>
  <c r="CA377" i="34"/>
  <c r="BZ377" i="34"/>
  <c r="BY377" i="34"/>
  <c r="CF376" i="34"/>
  <c r="CE376" i="34"/>
  <c r="CD376" i="34"/>
  <c r="CC376" i="34"/>
  <c r="CB376" i="34"/>
  <c r="CA376" i="34"/>
  <c r="BZ376" i="34"/>
  <c r="BY376" i="34"/>
  <c r="CF375" i="34"/>
  <c r="CE375" i="34"/>
  <c r="CD375" i="34"/>
  <c r="CC375" i="34"/>
  <c r="CB375" i="34"/>
  <c r="CA375" i="34"/>
  <c r="BZ375" i="34"/>
  <c r="BY375" i="34"/>
  <c r="CF374" i="34"/>
  <c r="CE374" i="34"/>
  <c r="CD374" i="34"/>
  <c r="CC374" i="34"/>
  <c r="CB374" i="34"/>
  <c r="CA374" i="34"/>
  <c r="BZ374" i="34"/>
  <c r="BY374" i="34"/>
  <c r="CF373" i="34"/>
  <c r="CE373" i="34"/>
  <c r="CD373" i="34"/>
  <c r="CC373" i="34"/>
  <c r="CB373" i="34"/>
  <c r="CA373" i="34"/>
  <c r="BZ373" i="34"/>
  <c r="BY373" i="34"/>
  <c r="CF372" i="34"/>
  <c r="CE372" i="34"/>
  <c r="CD372" i="34"/>
  <c r="CC372" i="34"/>
  <c r="CB372" i="34"/>
  <c r="CA372" i="34"/>
  <c r="BZ372" i="34"/>
  <c r="BY372" i="34"/>
  <c r="CF371" i="34"/>
  <c r="CE371" i="34"/>
  <c r="CD371" i="34"/>
  <c r="CC371" i="34"/>
  <c r="CB371" i="34"/>
  <c r="CA371" i="34"/>
  <c r="BZ371" i="34"/>
  <c r="BY371" i="34"/>
  <c r="CF370" i="34"/>
  <c r="CE370" i="34"/>
  <c r="CD370" i="34"/>
  <c r="CC370" i="34"/>
  <c r="CB370" i="34"/>
  <c r="CA370" i="34"/>
  <c r="BZ370" i="34"/>
  <c r="BY370" i="34"/>
  <c r="CF369" i="34"/>
  <c r="CE369" i="34"/>
  <c r="CD369" i="34"/>
  <c r="CC369" i="34"/>
  <c r="CB369" i="34"/>
  <c r="CA369" i="34"/>
  <c r="BZ369" i="34"/>
  <c r="BY369" i="34"/>
  <c r="CF368" i="34"/>
  <c r="CE368" i="34"/>
  <c r="CD368" i="34"/>
  <c r="CC368" i="34"/>
  <c r="CB368" i="34"/>
  <c r="CA368" i="34"/>
  <c r="BZ368" i="34"/>
  <c r="BY368" i="34"/>
  <c r="CF367" i="34"/>
  <c r="CE367" i="34"/>
  <c r="CD367" i="34"/>
  <c r="CC367" i="34"/>
  <c r="CB367" i="34"/>
  <c r="CA367" i="34"/>
  <c r="BZ367" i="34"/>
  <c r="BY367" i="34"/>
  <c r="CF366" i="34"/>
  <c r="CE366" i="34"/>
  <c r="CD366" i="34"/>
  <c r="CC366" i="34"/>
  <c r="CB366" i="34"/>
  <c r="CA366" i="34"/>
  <c r="BZ366" i="34"/>
  <c r="BY366" i="34"/>
  <c r="CF365" i="34"/>
  <c r="CE365" i="34"/>
  <c r="CD365" i="34"/>
  <c r="CC365" i="34"/>
  <c r="CB365" i="34"/>
  <c r="CA365" i="34"/>
  <c r="BZ365" i="34"/>
  <c r="BY365" i="34"/>
  <c r="CF364" i="34"/>
  <c r="CE364" i="34"/>
  <c r="CD364" i="34"/>
  <c r="CC364" i="34"/>
  <c r="CB364" i="34"/>
  <c r="CA364" i="34"/>
  <c r="BZ364" i="34"/>
  <c r="BY364" i="34"/>
  <c r="CF363" i="34"/>
  <c r="CE363" i="34"/>
  <c r="CD363" i="34"/>
  <c r="CC363" i="34"/>
  <c r="CB363" i="34"/>
  <c r="CA363" i="34"/>
  <c r="BZ363" i="34"/>
  <c r="BY363" i="34"/>
  <c r="CF362" i="34"/>
  <c r="CE362" i="34"/>
  <c r="CD362" i="34"/>
  <c r="CC362" i="34"/>
  <c r="CB362" i="34"/>
  <c r="CA362" i="34"/>
  <c r="BZ362" i="34"/>
  <c r="BY362" i="34"/>
  <c r="CF361" i="34"/>
  <c r="CE361" i="34"/>
  <c r="CD361" i="34"/>
  <c r="CC361" i="34"/>
  <c r="CB361" i="34"/>
  <c r="CA361" i="34"/>
  <c r="BZ361" i="34"/>
  <c r="BY361" i="34"/>
  <c r="CF360" i="34"/>
  <c r="CE360" i="34"/>
  <c r="CD360" i="34"/>
  <c r="CC360" i="34"/>
  <c r="CB360" i="34"/>
  <c r="CA360" i="34"/>
  <c r="BZ360" i="34"/>
  <c r="BY360" i="34"/>
  <c r="CF359" i="34"/>
  <c r="CE359" i="34"/>
  <c r="CD359" i="34"/>
  <c r="CC359" i="34"/>
  <c r="CB359" i="34"/>
  <c r="CA359" i="34"/>
  <c r="BZ359" i="34"/>
  <c r="BY359" i="34"/>
  <c r="CF358" i="34"/>
  <c r="CE358" i="34"/>
  <c r="CD358" i="34"/>
  <c r="CC358" i="34"/>
  <c r="CB358" i="34"/>
  <c r="CA358" i="34"/>
  <c r="BZ358" i="34"/>
  <c r="BY358" i="34"/>
  <c r="CF357" i="34"/>
  <c r="CE357" i="34"/>
  <c r="CD357" i="34"/>
  <c r="CC357" i="34"/>
  <c r="CB357" i="34"/>
  <c r="CA357" i="34"/>
  <c r="BZ357" i="34"/>
  <c r="BY357" i="34"/>
  <c r="CF356" i="34"/>
  <c r="CE356" i="34"/>
  <c r="CD356" i="34"/>
  <c r="CC356" i="34"/>
  <c r="CB356" i="34"/>
  <c r="CA356" i="34"/>
  <c r="BZ356" i="34"/>
  <c r="BY356" i="34"/>
  <c r="CF355" i="34"/>
  <c r="CE355" i="34"/>
  <c r="CD355" i="34"/>
  <c r="CC355" i="34"/>
  <c r="CB355" i="34"/>
  <c r="CA355" i="34"/>
  <c r="BZ355" i="34"/>
  <c r="BY355" i="34"/>
  <c r="CF354" i="34"/>
  <c r="CE354" i="34"/>
  <c r="CD354" i="34"/>
  <c r="CC354" i="34"/>
  <c r="CB354" i="34"/>
  <c r="CA354" i="34"/>
  <c r="BZ354" i="34"/>
  <c r="BY354" i="34"/>
  <c r="CF353" i="34"/>
  <c r="CE353" i="34"/>
  <c r="CD353" i="34"/>
  <c r="CC353" i="34"/>
  <c r="CB353" i="34"/>
  <c r="CA353" i="34"/>
  <c r="BZ353" i="34"/>
  <c r="BY353" i="34"/>
  <c r="CF352" i="34"/>
  <c r="CE352" i="34"/>
  <c r="CD352" i="34"/>
  <c r="CC352" i="34"/>
  <c r="CB352" i="34"/>
  <c r="CA352" i="34"/>
  <c r="BZ352" i="34"/>
  <c r="BY352" i="34"/>
  <c r="CF351" i="34"/>
  <c r="CE351" i="34"/>
  <c r="CD351" i="34"/>
  <c r="CC351" i="34"/>
  <c r="CB351" i="34"/>
  <c r="CA351" i="34"/>
  <c r="BZ351" i="34"/>
  <c r="BY351" i="34"/>
  <c r="CF350" i="34"/>
  <c r="CE350" i="34"/>
  <c r="CD350" i="34"/>
  <c r="CC350" i="34"/>
  <c r="CB350" i="34"/>
  <c r="CA350" i="34"/>
  <c r="BZ350" i="34"/>
  <c r="BY350" i="34"/>
  <c r="CF349" i="34"/>
  <c r="CE349" i="34"/>
  <c r="CD349" i="34"/>
  <c r="CC349" i="34"/>
  <c r="CB349" i="34"/>
  <c r="CA349" i="34"/>
  <c r="BZ349" i="34"/>
  <c r="BY349" i="34"/>
  <c r="CF348" i="34"/>
  <c r="CE348" i="34"/>
  <c r="CD348" i="34"/>
  <c r="CC348" i="34"/>
  <c r="CB348" i="34"/>
  <c r="CA348" i="34"/>
  <c r="BZ348" i="34"/>
  <c r="BY348" i="34"/>
  <c r="CF347" i="34"/>
  <c r="CE347" i="34"/>
  <c r="CD347" i="34"/>
  <c r="CC347" i="34"/>
  <c r="CB347" i="34"/>
  <c r="CA347" i="34"/>
  <c r="BZ347" i="34"/>
  <c r="BY347" i="34"/>
  <c r="CF346" i="34"/>
  <c r="CE346" i="34"/>
  <c r="CD346" i="34"/>
  <c r="CC346" i="34"/>
  <c r="CB346" i="34"/>
  <c r="CA346" i="34"/>
  <c r="BZ346" i="34"/>
  <c r="BY346" i="34"/>
  <c r="CF345" i="34"/>
  <c r="CE345" i="34"/>
  <c r="CD345" i="34"/>
  <c r="CC345" i="34"/>
  <c r="CB345" i="34"/>
  <c r="CA345" i="34"/>
  <c r="BZ345" i="34"/>
  <c r="BY345" i="34"/>
  <c r="CF344" i="34"/>
  <c r="CE344" i="34"/>
  <c r="CD344" i="34"/>
  <c r="CC344" i="34"/>
  <c r="CB344" i="34"/>
  <c r="CA344" i="34"/>
  <c r="BZ344" i="34"/>
  <c r="BY344" i="34"/>
  <c r="CF343" i="34"/>
  <c r="CE343" i="34"/>
  <c r="CD343" i="34"/>
  <c r="CC343" i="34"/>
  <c r="CB343" i="34"/>
  <c r="CA343" i="34"/>
  <c r="BZ343" i="34"/>
  <c r="BY343" i="34"/>
  <c r="CF342" i="34"/>
  <c r="CE342" i="34"/>
  <c r="CD342" i="34"/>
  <c r="CC342" i="34"/>
  <c r="CB342" i="34"/>
  <c r="CA342" i="34"/>
  <c r="BZ342" i="34"/>
  <c r="BY342" i="34"/>
  <c r="CF341" i="34"/>
  <c r="CE341" i="34"/>
  <c r="CD341" i="34"/>
  <c r="CC341" i="34"/>
  <c r="CB341" i="34"/>
  <c r="CA341" i="34"/>
  <c r="BZ341" i="34"/>
  <c r="BY341" i="34"/>
  <c r="CF340" i="34"/>
  <c r="CE340" i="34"/>
  <c r="CD340" i="34"/>
  <c r="CC340" i="34"/>
  <c r="CB340" i="34"/>
  <c r="CA340" i="34"/>
  <c r="BZ340" i="34"/>
  <c r="BY340" i="34"/>
  <c r="CF339" i="34"/>
  <c r="CE339" i="34"/>
  <c r="CD339" i="34"/>
  <c r="CC339" i="34"/>
  <c r="CB339" i="34"/>
  <c r="CA339" i="34"/>
  <c r="BZ339" i="34"/>
  <c r="BY339" i="34"/>
  <c r="CF338" i="34"/>
  <c r="CE338" i="34"/>
  <c r="CD338" i="34"/>
  <c r="CC338" i="34"/>
  <c r="CB338" i="34"/>
  <c r="CA338" i="34"/>
  <c r="BZ338" i="34"/>
  <c r="BY338" i="34"/>
  <c r="CF337" i="34"/>
  <c r="CE337" i="34"/>
  <c r="CD337" i="34"/>
  <c r="CC337" i="34"/>
  <c r="CB337" i="34"/>
  <c r="CA337" i="34"/>
  <c r="BZ337" i="34"/>
  <c r="BY337" i="34"/>
  <c r="CF336" i="34"/>
  <c r="CE336" i="34"/>
  <c r="CD336" i="34"/>
  <c r="CC336" i="34"/>
  <c r="CB336" i="34"/>
  <c r="CA336" i="34"/>
  <c r="BZ336" i="34"/>
  <c r="BY336" i="34"/>
  <c r="CF335" i="34"/>
  <c r="CE335" i="34"/>
  <c r="CD335" i="34"/>
  <c r="CC335" i="34"/>
  <c r="CB335" i="34"/>
  <c r="CA335" i="34"/>
  <c r="BZ335" i="34"/>
  <c r="BY335" i="34"/>
  <c r="CF334" i="34"/>
  <c r="CE334" i="34"/>
  <c r="CD334" i="34"/>
  <c r="CC334" i="34"/>
  <c r="CB334" i="34"/>
  <c r="CA334" i="34"/>
  <c r="BZ334" i="34"/>
  <c r="BY334" i="34"/>
  <c r="CF333" i="34"/>
  <c r="CE333" i="34"/>
  <c r="CD333" i="34"/>
  <c r="CC333" i="34"/>
  <c r="CB333" i="34"/>
  <c r="CA333" i="34"/>
  <c r="BZ333" i="34"/>
  <c r="BY333" i="34"/>
  <c r="CF332" i="34"/>
  <c r="CE332" i="34"/>
  <c r="CD332" i="34"/>
  <c r="CC332" i="34"/>
  <c r="CB332" i="34"/>
  <c r="CA332" i="34"/>
  <c r="BZ332" i="34"/>
  <c r="BY332" i="34"/>
  <c r="CF331" i="34"/>
  <c r="CE331" i="34"/>
  <c r="CD331" i="34"/>
  <c r="CC331" i="34"/>
  <c r="CB331" i="34"/>
  <c r="CA331" i="34"/>
  <c r="BZ331" i="34"/>
  <c r="BY331" i="34"/>
  <c r="CF330" i="34"/>
  <c r="CE330" i="34"/>
  <c r="CD330" i="34"/>
  <c r="CC330" i="34"/>
  <c r="CB330" i="34"/>
  <c r="CA330" i="34"/>
  <c r="BZ330" i="34"/>
  <c r="BY330" i="34"/>
  <c r="CF329" i="34"/>
  <c r="CE329" i="34"/>
  <c r="CD329" i="34"/>
  <c r="CC329" i="34"/>
  <c r="CB329" i="34"/>
  <c r="CA329" i="34"/>
  <c r="BZ329" i="34"/>
  <c r="BY329" i="34"/>
  <c r="CF328" i="34"/>
  <c r="CE328" i="34"/>
  <c r="CD328" i="34"/>
  <c r="CC328" i="34"/>
  <c r="CB328" i="34"/>
  <c r="CA328" i="34"/>
  <c r="BZ328" i="34"/>
  <c r="BY328" i="34"/>
  <c r="CF327" i="34"/>
  <c r="CE327" i="34"/>
  <c r="CD327" i="34"/>
  <c r="CC327" i="34"/>
  <c r="CB327" i="34"/>
  <c r="CA327" i="34"/>
  <c r="BZ327" i="34"/>
  <c r="BY327" i="34"/>
  <c r="CF326" i="34"/>
  <c r="CE326" i="34"/>
  <c r="CD326" i="34"/>
  <c r="CC326" i="34"/>
  <c r="CB326" i="34"/>
  <c r="CA326" i="34"/>
  <c r="BZ326" i="34"/>
  <c r="BY326" i="34"/>
  <c r="CF325" i="34"/>
  <c r="CE325" i="34"/>
  <c r="CD325" i="34"/>
  <c r="CC325" i="34"/>
  <c r="CB325" i="34"/>
  <c r="CA325" i="34"/>
  <c r="BZ325" i="34"/>
  <c r="BY325" i="34"/>
  <c r="CF324" i="34"/>
  <c r="CE324" i="34"/>
  <c r="CD324" i="34"/>
  <c r="CC324" i="34"/>
  <c r="CB324" i="34"/>
  <c r="CA324" i="34"/>
  <c r="BZ324" i="34"/>
  <c r="BY324" i="34"/>
  <c r="CF323" i="34"/>
  <c r="CE323" i="34"/>
  <c r="CD323" i="34"/>
  <c r="CC323" i="34"/>
  <c r="CB323" i="34"/>
  <c r="CA323" i="34"/>
  <c r="BZ323" i="34"/>
  <c r="BY323" i="34"/>
  <c r="CF322" i="34"/>
  <c r="CE322" i="34"/>
  <c r="CD322" i="34"/>
  <c r="CC322" i="34"/>
  <c r="CB322" i="34"/>
  <c r="CA322" i="34"/>
  <c r="BZ322" i="34"/>
  <c r="BY322" i="34"/>
  <c r="CF321" i="34"/>
  <c r="CE321" i="34"/>
  <c r="CD321" i="34"/>
  <c r="CC321" i="34"/>
  <c r="CB321" i="34"/>
  <c r="CA321" i="34"/>
  <c r="BZ321" i="34"/>
  <c r="BY321" i="34"/>
  <c r="CF320" i="34"/>
  <c r="CE320" i="34"/>
  <c r="CD320" i="34"/>
  <c r="CC320" i="34"/>
  <c r="CB320" i="34"/>
  <c r="CA320" i="34"/>
  <c r="BZ320" i="34"/>
  <c r="BY320" i="34"/>
  <c r="CF319" i="34"/>
  <c r="CE319" i="34"/>
  <c r="CD319" i="34"/>
  <c r="CC319" i="34"/>
  <c r="CB319" i="34"/>
  <c r="CA319" i="34"/>
  <c r="BZ319" i="34"/>
  <c r="BY319" i="34"/>
  <c r="CF318" i="34"/>
  <c r="CE318" i="34"/>
  <c r="CD318" i="34"/>
  <c r="CC318" i="34"/>
  <c r="CB318" i="34"/>
  <c r="CA318" i="34"/>
  <c r="BZ318" i="34"/>
  <c r="BY318" i="34"/>
  <c r="CF317" i="34"/>
  <c r="CE317" i="34"/>
  <c r="CD317" i="34"/>
  <c r="CC317" i="34"/>
  <c r="CB317" i="34"/>
  <c r="CA317" i="34"/>
  <c r="BZ317" i="34"/>
  <c r="BY317" i="34"/>
  <c r="CF316" i="34"/>
  <c r="CE316" i="34"/>
  <c r="CD316" i="34"/>
  <c r="CC316" i="34"/>
  <c r="CB316" i="34"/>
  <c r="CA316" i="34"/>
  <c r="BZ316" i="34"/>
  <c r="BY316" i="34"/>
  <c r="CF315" i="34"/>
  <c r="CE315" i="34"/>
  <c r="CD315" i="34"/>
  <c r="CC315" i="34"/>
  <c r="CB315" i="34"/>
  <c r="CA315" i="34"/>
  <c r="BZ315" i="34"/>
  <c r="BY315" i="34"/>
  <c r="CF314" i="34"/>
  <c r="CE314" i="34"/>
  <c r="CD314" i="34"/>
  <c r="CC314" i="34"/>
  <c r="CB314" i="34"/>
  <c r="CA314" i="34"/>
  <c r="BZ314" i="34"/>
  <c r="BY314" i="34"/>
  <c r="CF313" i="34"/>
  <c r="CE313" i="34"/>
  <c r="CD313" i="34"/>
  <c r="CC313" i="34"/>
  <c r="CB313" i="34"/>
  <c r="CA313" i="34"/>
  <c r="BZ313" i="34"/>
  <c r="BY313" i="34"/>
  <c r="CF312" i="34"/>
  <c r="CE312" i="34"/>
  <c r="CD312" i="34"/>
  <c r="CC312" i="34"/>
  <c r="CB312" i="34"/>
  <c r="CA312" i="34"/>
  <c r="BZ312" i="34"/>
  <c r="BY312" i="34"/>
  <c r="CF311" i="34"/>
  <c r="CE311" i="34"/>
  <c r="CD311" i="34"/>
  <c r="CC311" i="34"/>
  <c r="CB311" i="34"/>
  <c r="CA311" i="34"/>
  <c r="BZ311" i="34"/>
  <c r="BY311" i="34"/>
  <c r="CF310" i="34"/>
  <c r="CE310" i="34"/>
  <c r="CD310" i="34"/>
  <c r="CC310" i="34"/>
  <c r="CB310" i="34"/>
  <c r="CA310" i="34"/>
  <c r="BZ310" i="34"/>
  <c r="BY310" i="34"/>
  <c r="CF309" i="34"/>
  <c r="CE309" i="34"/>
  <c r="CD309" i="34"/>
  <c r="CC309" i="34"/>
  <c r="CB309" i="34"/>
  <c r="CA309" i="34"/>
  <c r="BZ309" i="34"/>
  <c r="BY309" i="34"/>
  <c r="CF308" i="34"/>
  <c r="CE308" i="34"/>
  <c r="CD308" i="34"/>
  <c r="CC308" i="34"/>
  <c r="CB308" i="34"/>
  <c r="CA308" i="34"/>
  <c r="BZ308" i="34"/>
  <c r="BY308" i="34"/>
  <c r="CF307" i="34"/>
  <c r="CE307" i="34"/>
  <c r="CD307" i="34"/>
  <c r="CC307" i="34"/>
  <c r="CB307" i="34"/>
  <c r="CA307" i="34"/>
  <c r="BZ307" i="34"/>
  <c r="BY307" i="34"/>
  <c r="CF306" i="34"/>
  <c r="CE306" i="34"/>
  <c r="CD306" i="34"/>
  <c r="CC306" i="34"/>
  <c r="CB306" i="34"/>
  <c r="CA306" i="34"/>
  <c r="BZ306" i="34"/>
  <c r="BY306" i="34"/>
  <c r="CF305" i="34"/>
  <c r="CE305" i="34"/>
  <c r="CD305" i="34"/>
  <c r="CC305" i="34"/>
  <c r="CB305" i="34"/>
  <c r="CA305" i="34"/>
  <c r="BZ305" i="34"/>
  <c r="BY305" i="34"/>
  <c r="CF304" i="34"/>
  <c r="CE304" i="34"/>
  <c r="CD304" i="34"/>
  <c r="CC304" i="34"/>
  <c r="CB304" i="34"/>
  <c r="CA304" i="34"/>
  <c r="BZ304" i="34"/>
  <c r="BY304" i="34"/>
  <c r="CF303" i="34"/>
  <c r="CE303" i="34"/>
  <c r="CD303" i="34"/>
  <c r="CC303" i="34"/>
  <c r="CB303" i="34"/>
  <c r="CA303" i="34"/>
  <c r="BZ303" i="34"/>
  <c r="BY303" i="34"/>
  <c r="CF302" i="34"/>
  <c r="CE302" i="34"/>
  <c r="CD302" i="34"/>
  <c r="CC302" i="34"/>
  <c r="CB302" i="34"/>
  <c r="CA302" i="34"/>
  <c r="BZ302" i="34"/>
  <c r="BY302" i="34"/>
  <c r="CF301" i="34"/>
  <c r="CE301" i="34"/>
  <c r="CD301" i="34"/>
  <c r="CC301" i="34"/>
  <c r="CB301" i="34"/>
  <c r="CA301" i="34"/>
  <c r="BZ301" i="34"/>
  <c r="BY301" i="34"/>
  <c r="CF300" i="34"/>
  <c r="CE300" i="34"/>
  <c r="CD300" i="34"/>
  <c r="CC300" i="34"/>
  <c r="CB300" i="34"/>
  <c r="CA300" i="34"/>
  <c r="BZ300" i="34"/>
  <c r="BY300" i="34"/>
  <c r="CF299" i="34"/>
  <c r="CE299" i="34"/>
  <c r="CD299" i="34"/>
  <c r="CC299" i="34"/>
  <c r="CB299" i="34"/>
  <c r="CA299" i="34"/>
  <c r="BZ299" i="34"/>
  <c r="BY299" i="34"/>
  <c r="CF298" i="34"/>
  <c r="CE298" i="34"/>
  <c r="CD298" i="34"/>
  <c r="CC298" i="34"/>
  <c r="CB298" i="34"/>
  <c r="CA298" i="34"/>
  <c r="BZ298" i="34"/>
  <c r="BY298" i="34"/>
  <c r="CF297" i="34"/>
  <c r="CE297" i="34"/>
  <c r="CD297" i="34"/>
  <c r="CC297" i="34"/>
  <c r="CB297" i="34"/>
  <c r="CA297" i="34"/>
  <c r="BZ297" i="34"/>
  <c r="BY297" i="34"/>
  <c r="CF296" i="34"/>
  <c r="CE296" i="34"/>
  <c r="CD296" i="34"/>
  <c r="CC296" i="34"/>
  <c r="CB296" i="34"/>
  <c r="CA296" i="34"/>
  <c r="BZ296" i="34"/>
  <c r="BY296" i="34"/>
  <c r="CF295" i="34"/>
  <c r="CE295" i="34"/>
  <c r="CD295" i="34"/>
  <c r="CC295" i="34"/>
  <c r="CB295" i="34"/>
  <c r="CA295" i="34"/>
  <c r="BZ295" i="34"/>
  <c r="BY295" i="34"/>
  <c r="CF294" i="34"/>
  <c r="CE294" i="34"/>
  <c r="CD294" i="34"/>
  <c r="CC294" i="34"/>
  <c r="CB294" i="34"/>
  <c r="CA294" i="34"/>
  <c r="BZ294" i="34"/>
  <c r="BY294" i="34"/>
  <c r="CF293" i="34"/>
  <c r="CE293" i="34"/>
  <c r="CD293" i="34"/>
  <c r="CC293" i="34"/>
  <c r="CB293" i="34"/>
  <c r="CA293" i="34"/>
  <c r="BZ293" i="34"/>
  <c r="BY293" i="34"/>
  <c r="CF292" i="34"/>
  <c r="CE292" i="34"/>
  <c r="CD292" i="34"/>
  <c r="CC292" i="34"/>
  <c r="CB292" i="34"/>
  <c r="CA292" i="34"/>
  <c r="BZ292" i="34"/>
  <c r="BY292" i="34"/>
  <c r="CF291" i="34"/>
  <c r="CE291" i="34"/>
  <c r="CD291" i="34"/>
  <c r="CC291" i="34"/>
  <c r="CB291" i="34"/>
  <c r="CA291" i="34"/>
  <c r="BZ291" i="34"/>
  <c r="BY291" i="34"/>
  <c r="CF290" i="34"/>
  <c r="CE290" i="34"/>
  <c r="CD290" i="34"/>
  <c r="CC290" i="34"/>
  <c r="CB290" i="34"/>
  <c r="CA290" i="34"/>
  <c r="BZ290" i="34"/>
  <c r="BY290" i="34"/>
  <c r="CF289" i="34"/>
  <c r="CE289" i="34"/>
  <c r="CD289" i="34"/>
  <c r="CC289" i="34"/>
  <c r="CB289" i="34"/>
  <c r="CA289" i="34"/>
  <c r="BZ289" i="34"/>
  <c r="BY289" i="34"/>
  <c r="CF288" i="34"/>
  <c r="CE288" i="34"/>
  <c r="CD288" i="34"/>
  <c r="CC288" i="34"/>
  <c r="CB288" i="34"/>
  <c r="CA288" i="34"/>
  <c r="BZ288" i="34"/>
  <c r="BY288" i="34"/>
  <c r="CF287" i="34"/>
  <c r="CE287" i="34"/>
  <c r="CD287" i="34"/>
  <c r="CC287" i="34"/>
  <c r="CB287" i="34"/>
  <c r="CA287" i="34"/>
  <c r="BZ287" i="34"/>
  <c r="BY287" i="34"/>
  <c r="CF286" i="34"/>
  <c r="CE286" i="34"/>
  <c r="CD286" i="34"/>
  <c r="CC286" i="34"/>
  <c r="CB286" i="34"/>
  <c r="CA286" i="34"/>
  <c r="BZ286" i="34"/>
  <c r="BY286" i="34"/>
  <c r="CF285" i="34"/>
  <c r="CE285" i="34"/>
  <c r="CD285" i="34"/>
  <c r="CC285" i="34"/>
  <c r="CB285" i="34"/>
  <c r="CA285" i="34"/>
  <c r="BZ285" i="34"/>
  <c r="BY285" i="34"/>
  <c r="CF284" i="34"/>
  <c r="CE284" i="34"/>
  <c r="CD284" i="34"/>
  <c r="CC284" i="34"/>
  <c r="CB284" i="34"/>
  <c r="CA284" i="34"/>
  <c r="BZ284" i="34"/>
  <c r="BY284" i="34"/>
  <c r="CF283" i="34"/>
  <c r="CE283" i="34"/>
  <c r="CD283" i="34"/>
  <c r="CC283" i="34"/>
  <c r="CB283" i="34"/>
  <c r="CA283" i="34"/>
  <c r="BZ283" i="34"/>
  <c r="BY283" i="34"/>
  <c r="CF282" i="34"/>
  <c r="CE282" i="34"/>
  <c r="CD282" i="34"/>
  <c r="CC282" i="34"/>
  <c r="CB282" i="34"/>
  <c r="CA282" i="34"/>
  <c r="BZ282" i="34"/>
  <c r="BY282" i="34"/>
  <c r="CF281" i="34"/>
  <c r="CE281" i="34"/>
  <c r="CD281" i="34"/>
  <c r="CC281" i="34"/>
  <c r="CB281" i="34"/>
  <c r="CA281" i="34"/>
  <c r="BZ281" i="34"/>
  <c r="BY281" i="34"/>
  <c r="CF280" i="34"/>
  <c r="CE280" i="34"/>
  <c r="CD280" i="34"/>
  <c r="CC280" i="34"/>
  <c r="CB280" i="34"/>
  <c r="CA280" i="34"/>
  <c r="BZ280" i="34"/>
  <c r="BY280" i="34"/>
  <c r="CF279" i="34"/>
  <c r="CE279" i="34"/>
  <c r="CD279" i="34"/>
  <c r="CC279" i="34"/>
  <c r="CB279" i="34"/>
  <c r="CA279" i="34"/>
  <c r="BZ279" i="34"/>
  <c r="BY279" i="34"/>
  <c r="CF278" i="34"/>
  <c r="CE278" i="34"/>
  <c r="CD278" i="34"/>
  <c r="CC278" i="34"/>
  <c r="CB278" i="34"/>
  <c r="CA278" i="34"/>
  <c r="BZ278" i="34"/>
  <c r="BY278" i="34"/>
  <c r="CF277" i="34"/>
  <c r="CE277" i="34"/>
  <c r="CD277" i="34"/>
  <c r="CC277" i="34"/>
  <c r="CB277" i="34"/>
  <c r="CA277" i="34"/>
  <c r="BZ277" i="34"/>
  <c r="BY277" i="34"/>
  <c r="CF276" i="34"/>
  <c r="CE276" i="34"/>
  <c r="CD276" i="34"/>
  <c r="CC276" i="34"/>
  <c r="CB276" i="34"/>
  <c r="CA276" i="34"/>
  <c r="BZ276" i="34"/>
  <c r="BY276" i="34"/>
  <c r="CF275" i="34"/>
  <c r="CE275" i="34"/>
  <c r="CD275" i="34"/>
  <c r="CC275" i="34"/>
  <c r="CB275" i="34"/>
  <c r="CA275" i="34"/>
  <c r="BZ275" i="34"/>
  <c r="BY275" i="34"/>
  <c r="CF274" i="34"/>
  <c r="CE274" i="34"/>
  <c r="CD274" i="34"/>
  <c r="CC274" i="34"/>
  <c r="CB274" i="34"/>
  <c r="CA274" i="34"/>
  <c r="BZ274" i="34"/>
  <c r="BY274" i="34"/>
  <c r="CF273" i="34"/>
  <c r="CE273" i="34"/>
  <c r="CD273" i="34"/>
  <c r="CC273" i="34"/>
  <c r="CB273" i="34"/>
  <c r="CA273" i="34"/>
  <c r="BZ273" i="34"/>
  <c r="BY273" i="34"/>
  <c r="CF272" i="34"/>
  <c r="CE272" i="34"/>
  <c r="CD272" i="34"/>
  <c r="CC272" i="34"/>
  <c r="CB272" i="34"/>
  <c r="CA272" i="34"/>
  <c r="BZ272" i="34"/>
  <c r="BY272" i="34"/>
  <c r="CF271" i="34"/>
  <c r="CE271" i="34"/>
  <c r="CD271" i="34"/>
  <c r="CC271" i="34"/>
  <c r="CB271" i="34"/>
  <c r="CA271" i="34"/>
  <c r="BZ271" i="34"/>
  <c r="BY271" i="34"/>
  <c r="CF270" i="34"/>
  <c r="CE270" i="34"/>
  <c r="CD270" i="34"/>
  <c r="CC270" i="34"/>
  <c r="CB270" i="34"/>
  <c r="CA270" i="34"/>
  <c r="BZ270" i="34"/>
  <c r="BY270" i="34"/>
  <c r="CF269" i="34"/>
  <c r="CE269" i="34"/>
  <c r="CD269" i="34"/>
  <c r="CC269" i="34"/>
  <c r="CB269" i="34"/>
  <c r="CA269" i="34"/>
  <c r="BZ269" i="34"/>
  <c r="BY269" i="34"/>
  <c r="CF268" i="34"/>
  <c r="CE268" i="34"/>
  <c r="CD268" i="34"/>
  <c r="CC268" i="34"/>
  <c r="CB268" i="34"/>
  <c r="CA268" i="34"/>
  <c r="BZ268" i="34"/>
  <c r="BY268" i="34"/>
  <c r="CF267" i="34"/>
  <c r="CE267" i="34"/>
  <c r="CD267" i="34"/>
  <c r="CC267" i="34"/>
  <c r="CB267" i="34"/>
  <c r="CA267" i="34"/>
  <c r="BZ267" i="34"/>
  <c r="BY267" i="34"/>
  <c r="CF266" i="34"/>
  <c r="CE266" i="34"/>
  <c r="CD266" i="34"/>
  <c r="CC266" i="34"/>
  <c r="CB266" i="34"/>
  <c r="CA266" i="34"/>
  <c r="BZ266" i="34"/>
  <c r="BY266" i="34"/>
  <c r="CF265" i="34"/>
  <c r="CE265" i="34"/>
  <c r="CD265" i="34"/>
  <c r="CC265" i="34"/>
  <c r="CB265" i="34"/>
  <c r="CA265" i="34"/>
  <c r="BZ265" i="34"/>
  <c r="BY265" i="34"/>
  <c r="CF264" i="34"/>
  <c r="CE264" i="34"/>
  <c r="CD264" i="34"/>
  <c r="CC264" i="34"/>
  <c r="CB264" i="34"/>
  <c r="CA264" i="34"/>
  <c r="BZ264" i="34"/>
  <c r="BY264" i="34"/>
  <c r="CF263" i="34"/>
  <c r="CE263" i="34"/>
  <c r="CD263" i="34"/>
  <c r="CC263" i="34"/>
  <c r="CB263" i="34"/>
  <c r="CA263" i="34"/>
  <c r="BZ263" i="34"/>
  <c r="BY263" i="34"/>
  <c r="CF262" i="34"/>
  <c r="CE262" i="34"/>
  <c r="CD262" i="34"/>
  <c r="CC262" i="34"/>
  <c r="CB262" i="34"/>
  <c r="CA262" i="34"/>
  <c r="BZ262" i="34"/>
  <c r="BY262" i="34"/>
  <c r="CF261" i="34"/>
  <c r="CE261" i="34"/>
  <c r="CD261" i="34"/>
  <c r="CC261" i="34"/>
  <c r="CB261" i="34"/>
  <c r="CA261" i="34"/>
  <c r="BZ261" i="34"/>
  <c r="BY261" i="34"/>
  <c r="CF260" i="34"/>
  <c r="CE260" i="34"/>
  <c r="CD260" i="34"/>
  <c r="CC260" i="34"/>
  <c r="CB260" i="34"/>
  <c r="CA260" i="34"/>
  <c r="BZ260" i="34"/>
  <c r="BY260" i="34"/>
  <c r="CF259" i="34"/>
  <c r="CE259" i="34"/>
  <c r="CD259" i="34"/>
  <c r="CC259" i="34"/>
  <c r="CB259" i="34"/>
  <c r="CA259" i="34"/>
  <c r="BZ259" i="34"/>
  <c r="BY259" i="34"/>
  <c r="CF258" i="34"/>
  <c r="CE258" i="34"/>
  <c r="CD258" i="34"/>
  <c r="CC258" i="34"/>
  <c r="CB258" i="34"/>
  <c r="CA258" i="34"/>
  <c r="BZ258" i="34"/>
  <c r="BY258" i="34"/>
  <c r="CF257" i="34"/>
  <c r="CE257" i="34"/>
  <c r="CD257" i="34"/>
  <c r="CC257" i="34"/>
  <c r="CB257" i="34"/>
  <c r="CA257" i="34"/>
  <c r="BZ257" i="34"/>
  <c r="BY257" i="34"/>
  <c r="CF256" i="34"/>
  <c r="CE256" i="34"/>
  <c r="CD256" i="34"/>
  <c r="CC256" i="34"/>
  <c r="CB256" i="34"/>
  <c r="CA256" i="34"/>
  <c r="BZ256" i="34"/>
  <c r="BY256" i="34"/>
  <c r="CF255" i="34"/>
  <c r="CE255" i="34"/>
  <c r="CD255" i="34"/>
  <c r="CC255" i="34"/>
  <c r="CB255" i="34"/>
  <c r="CA255" i="34"/>
  <c r="BZ255" i="34"/>
  <c r="BY255" i="34"/>
  <c r="CF254" i="34"/>
  <c r="CE254" i="34"/>
  <c r="CD254" i="34"/>
  <c r="CC254" i="34"/>
  <c r="CB254" i="34"/>
  <c r="CA254" i="34"/>
  <c r="BZ254" i="34"/>
  <c r="BY254" i="34"/>
  <c r="CF253" i="34"/>
  <c r="CE253" i="34"/>
  <c r="CD253" i="34"/>
  <c r="CC253" i="34"/>
  <c r="CB253" i="34"/>
  <c r="CA253" i="34"/>
  <c r="BZ253" i="34"/>
  <c r="BY253" i="34"/>
  <c r="CF252" i="34"/>
  <c r="CE252" i="34"/>
  <c r="CD252" i="34"/>
  <c r="CC252" i="34"/>
  <c r="CB252" i="34"/>
  <c r="CA252" i="34"/>
  <c r="BZ252" i="34"/>
  <c r="BY252" i="34"/>
  <c r="CF251" i="34"/>
  <c r="CE251" i="34"/>
  <c r="CD251" i="34"/>
  <c r="CC251" i="34"/>
  <c r="CB251" i="34"/>
  <c r="CA251" i="34"/>
  <c r="BZ251" i="34"/>
  <c r="BY251" i="34"/>
  <c r="CF250" i="34"/>
  <c r="CE250" i="34"/>
  <c r="CD250" i="34"/>
  <c r="CC250" i="34"/>
  <c r="CB250" i="34"/>
  <c r="CA250" i="34"/>
  <c r="BZ250" i="34"/>
  <c r="BY250" i="34"/>
  <c r="CF249" i="34"/>
  <c r="CE249" i="34"/>
  <c r="CD249" i="34"/>
  <c r="CC249" i="34"/>
  <c r="CB249" i="34"/>
  <c r="CA249" i="34"/>
  <c r="BZ249" i="34"/>
  <c r="BY249" i="34"/>
  <c r="CF248" i="34"/>
  <c r="CE248" i="34"/>
  <c r="CD248" i="34"/>
  <c r="CC248" i="34"/>
  <c r="CB248" i="34"/>
  <c r="CA248" i="34"/>
  <c r="BZ248" i="34"/>
  <c r="BY248" i="34"/>
  <c r="CF247" i="34"/>
  <c r="CE247" i="34"/>
  <c r="CD247" i="34"/>
  <c r="CC247" i="34"/>
  <c r="CB247" i="34"/>
  <c r="CA247" i="34"/>
  <c r="BZ247" i="34"/>
  <c r="BY247" i="34"/>
  <c r="CF246" i="34"/>
  <c r="CE246" i="34"/>
  <c r="CD246" i="34"/>
  <c r="CC246" i="34"/>
  <c r="CB246" i="34"/>
  <c r="CA246" i="34"/>
  <c r="BZ246" i="34"/>
  <c r="BY246" i="34"/>
  <c r="CF245" i="34"/>
  <c r="CE245" i="34"/>
  <c r="CD245" i="34"/>
  <c r="CC245" i="34"/>
  <c r="CB245" i="34"/>
  <c r="CA245" i="34"/>
  <c r="BZ245" i="34"/>
  <c r="BY245" i="34"/>
  <c r="CF244" i="34"/>
  <c r="CE244" i="34"/>
  <c r="CD244" i="34"/>
  <c r="CC244" i="34"/>
  <c r="CB244" i="34"/>
  <c r="CA244" i="34"/>
  <c r="BZ244" i="34"/>
  <c r="BY244" i="34"/>
  <c r="CF243" i="34"/>
  <c r="CE243" i="34"/>
  <c r="CD243" i="34"/>
  <c r="CC243" i="34"/>
  <c r="CB243" i="34"/>
  <c r="CA243" i="34"/>
  <c r="BZ243" i="34"/>
  <c r="BY243" i="34"/>
  <c r="CF242" i="34"/>
  <c r="CE242" i="34"/>
  <c r="CD242" i="34"/>
  <c r="CC242" i="34"/>
  <c r="CB242" i="34"/>
  <c r="CA242" i="34"/>
  <c r="BZ242" i="34"/>
  <c r="BY242" i="34"/>
  <c r="CF241" i="34"/>
  <c r="CE241" i="34"/>
  <c r="CD241" i="34"/>
  <c r="CC241" i="34"/>
  <c r="CB241" i="34"/>
  <c r="CA241" i="34"/>
  <c r="BZ241" i="34"/>
  <c r="BY241" i="34"/>
  <c r="CF240" i="34"/>
  <c r="CE240" i="34"/>
  <c r="CD240" i="34"/>
  <c r="CC240" i="34"/>
  <c r="CB240" i="34"/>
  <c r="CA240" i="34"/>
  <c r="BZ240" i="34"/>
  <c r="BY240" i="34"/>
  <c r="CF239" i="34"/>
  <c r="CE239" i="34"/>
  <c r="CD239" i="34"/>
  <c r="CC239" i="34"/>
  <c r="CB239" i="34"/>
  <c r="CA239" i="34"/>
  <c r="BZ239" i="34"/>
  <c r="BY239" i="34"/>
  <c r="CF238" i="34"/>
  <c r="CE238" i="34"/>
  <c r="CD238" i="34"/>
  <c r="CC238" i="34"/>
  <c r="CB238" i="34"/>
  <c r="CA238" i="34"/>
  <c r="BZ238" i="34"/>
  <c r="BY238" i="34"/>
  <c r="CF237" i="34"/>
  <c r="CE237" i="34"/>
  <c r="CD237" i="34"/>
  <c r="CC237" i="34"/>
  <c r="CB237" i="34"/>
  <c r="CA237" i="34"/>
  <c r="BZ237" i="34"/>
  <c r="BY237" i="34"/>
  <c r="CF236" i="34"/>
  <c r="CE236" i="34"/>
  <c r="CD236" i="34"/>
  <c r="CC236" i="34"/>
  <c r="CB236" i="34"/>
  <c r="CA236" i="34"/>
  <c r="BZ236" i="34"/>
  <c r="BY236" i="34"/>
  <c r="CF235" i="34"/>
  <c r="CE235" i="34"/>
  <c r="CD235" i="34"/>
  <c r="CC235" i="34"/>
  <c r="CB235" i="34"/>
  <c r="CA235" i="34"/>
  <c r="BZ235" i="34"/>
  <c r="BY235" i="34"/>
  <c r="CF234" i="34"/>
  <c r="CE234" i="34"/>
  <c r="CD234" i="34"/>
  <c r="CC234" i="34"/>
  <c r="CB234" i="34"/>
  <c r="CA234" i="34"/>
  <c r="BZ234" i="34"/>
  <c r="BY234" i="34"/>
  <c r="CF233" i="34"/>
  <c r="CE233" i="34"/>
  <c r="CD233" i="34"/>
  <c r="CC233" i="34"/>
  <c r="CB233" i="34"/>
  <c r="CA233" i="34"/>
  <c r="BZ233" i="34"/>
  <c r="BY233" i="34"/>
  <c r="CF232" i="34"/>
  <c r="CE232" i="34"/>
  <c r="CD232" i="34"/>
  <c r="CC232" i="34"/>
  <c r="CB232" i="34"/>
  <c r="CA232" i="34"/>
  <c r="BZ232" i="34"/>
  <c r="BY232" i="34"/>
  <c r="CF231" i="34"/>
  <c r="CE231" i="34"/>
  <c r="CD231" i="34"/>
  <c r="CC231" i="34"/>
  <c r="CB231" i="34"/>
  <c r="CA231" i="34"/>
  <c r="BZ231" i="34"/>
  <c r="BY231" i="34"/>
  <c r="CF230" i="34"/>
  <c r="CE230" i="34"/>
  <c r="CD230" i="34"/>
  <c r="CC230" i="34"/>
  <c r="CB230" i="34"/>
  <c r="CA230" i="34"/>
  <c r="BZ230" i="34"/>
  <c r="BY230" i="34"/>
  <c r="CF229" i="34"/>
  <c r="CE229" i="34"/>
  <c r="CD229" i="34"/>
  <c r="CC229" i="34"/>
  <c r="CB229" i="34"/>
  <c r="CA229" i="34"/>
  <c r="BZ229" i="34"/>
  <c r="BY229" i="34"/>
  <c r="CF228" i="34"/>
  <c r="CE228" i="34"/>
  <c r="CD228" i="34"/>
  <c r="CC228" i="34"/>
  <c r="CB228" i="34"/>
  <c r="CA228" i="34"/>
  <c r="BZ228" i="34"/>
  <c r="BY228" i="34"/>
  <c r="CF227" i="34"/>
  <c r="CE227" i="34"/>
  <c r="CD227" i="34"/>
  <c r="CC227" i="34"/>
  <c r="CB227" i="34"/>
  <c r="CA227" i="34"/>
  <c r="BZ227" i="34"/>
  <c r="BY227" i="34"/>
  <c r="CF226" i="34"/>
  <c r="CE226" i="34"/>
  <c r="CD226" i="34"/>
  <c r="CC226" i="34"/>
  <c r="CB226" i="34"/>
  <c r="CA226" i="34"/>
  <c r="BZ226" i="34"/>
  <c r="BY226" i="34"/>
  <c r="CF225" i="34"/>
  <c r="CE225" i="34"/>
  <c r="CD225" i="34"/>
  <c r="CC225" i="34"/>
  <c r="CB225" i="34"/>
  <c r="CA225" i="34"/>
  <c r="BZ225" i="34"/>
  <c r="BY225" i="34"/>
  <c r="CF224" i="34"/>
  <c r="CE224" i="34"/>
  <c r="CD224" i="34"/>
  <c r="CC224" i="34"/>
  <c r="CB224" i="34"/>
  <c r="CA224" i="34"/>
  <c r="BZ224" i="34"/>
  <c r="BY224" i="34"/>
  <c r="CF223" i="34"/>
  <c r="CE223" i="34"/>
  <c r="CD223" i="34"/>
  <c r="CC223" i="34"/>
  <c r="CB223" i="34"/>
  <c r="CA223" i="34"/>
  <c r="BZ223" i="34"/>
  <c r="BY223" i="34"/>
  <c r="CF222" i="34"/>
  <c r="CE222" i="34"/>
  <c r="CD222" i="34"/>
  <c r="CC222" i="34"/>
  <c r="CB222" i="34"/>
  <c r="CA222" i="34"/>
  <c r="BZ222" i="34"/>
  <c r="BY222" i="34"/>
  <c r="CF221" i="34"/>
  <c r="CE221" i="34"/>
  <c r="CD221" i="34"/>
  <c r="CC221" i="34"/>
  <c r="CB221" i="34"/>
  <c r="CA221" i="34"/>
  <c r="BZ221" i="34"/>
  <c r="BY221" i="34"/>
  <c r="CF220" i="34"/>
  <c r="CE220" i="34"/>
  <c r="CD220" i="34"/>
  <c r="CC220" i="34"/>
  <c r="CB220" i="34"/>
  <c r="CA220" i="34"/>
  <c r="BZ220" i="34"/>
  <c r="BY220" i="34"/>
  <c r="CF219" i="34"/>
  <c r="CE219" i="34"/>
  <c r="CD219" i="34"/>
  <c r="CC219" i="34"/>
  <c r="CB219" i="34"/>
  <c r="CA219" i="34"/>
  <c r="BZ219" i="34"/>
  <c r="BY219" i="34"/>
  <c r="CF218" i="34"/>
  <c r="CE218" i="34"/>
  <c r="CD218" i="34"/>
  <c r="CC218" i="34"/>
  <c r="CB218" i="34"/>
  <c r="CA218" i="34"/>
  <c r="BZ218" i="34"/>
  <c r="BY218" i="34"/>
  <c r="CF217" i="34"/>
  <c r="CE217" i="34"/>
  <c r="CD217" i="34"/>
  <c r="CC217" i="34"/>
  <c r="CB217" i="34"/>
  <c r="CA217" i="34"/>
  <c r="BZ217" i="34"/>
  <c r="BY217" i="34"/>
  <c r="CF216" i="34"/>
  <c r="CE216" i="34"/>
  <c r="CD216" i="34"/>
  <c r="CC216" i="34"/>
  <c r="CB216" i="34"/>
  <c r="CA216" i="34"/>
  <c r="BZ216" i="34"/>
  <c r="BY216" i="34"/>
  <c r="CF215" i="34"/>
  <c r="CE215" i="34"/>
  <c r="CD215" i="34"/>
  <c r="CC215" i="34"/>
  <c r="CB215" i="34"/>
  <c r="CA215" i="34"/>
  <c r="BZ215" i="34"/>
  <c r="BY215" i="34"/>
  <c r="CF214" i="34"/>
  <c r="CE214" i="34"/>
  <c r="CD214" i="34"/>
  <c r="CC214" i="34"/>
  <c r="CB214" i="34"/>
  <c r="CA214" i="34"/>
  <c r="BZ214" i="34"/>
  <c r="BY214" i="34"/>
  <c r="CF213" i="34"/>
  <c r="CE213" i="34"/>
  <c r="CD213" i="34"/>
  <c r="CC213" i="34"/>
  <c r="CB213" i="34"/>
  <c r="CA213" i="34"/>
  <c r="BZ213" i="34"/>
  <c r="BY213" i="34"/>
  <c r="CF212" i="34"/>
  <c r="CE212" i="34"/>
  <c r="CD212" i="34"/>
  <c r="CC212" i="34"/>
  <c r="CB212" i="34"/>
  <c r="CA212" i="34"/>
  <c r="BZ212" i="34"/>
  <c r="BY212" i="34"/>
  <c r="CF211" i="34"/>
  <c r="CE211" i="34"/>
  <c r="CD211" i="34"/>
  <c r="CC211" i="34"/>
  <c r="CB211" i="34"/>
  <c r="CA211" i="34"/>
  <c r="BZ211" i="34"/>
  <c r="BY211" i="34"/>
  <c r="CF210" i="34"/>
  <c r="CE210" i="34"/>
  <c r="CD210" i="34"/>
  <c r="CC210" i="34"/>
  <c r="CB210" i="34"/>
  <c r="CA210" i="34"/>
  <c r="BZ210" i="34"/>
  <c r="BY210" i="34"/>
  <c r="CF209" i="34"/>
  <c r="CE209" i="34"/>
  <c r="CD209" i="34"/>
  <c r="CC209" i="34"/>
  <c r="CB209" i="34"/>
  <c r="CA209" i="34"/>
  <c r="BZ209" i="34"/>
  <c r="BY209" i="34"/>
  <c r="CF208" i="34"/>
  <c r="CE208" i="34"/>
  <c r="CD208" i="34"/>
  <c r="CC208" i="34"/>
  <c r="CB208" i="34"/>
  <c r="CA208" i="34"/>
  <c r="BZ208" i="34"/>
  <c r="BY208" i="34"/>
  <c r="CF207" i="34"/>
  <c r="CE207" i="34"/>
  <c r="CD207" i="34"/>
  <c r="CC207" i="34"/>
  <c r="CB207" i="34"/>
  <c r="CA207" i="34"/>
  <c r="BZ207" i="34"/>
  <c r="BY207" i="34"/>
  <c r="CF206" i="34"/>
  <c r="CE206" i="34"/>
  <c r="CD206" i="34"/>
  <c r="CC206" i="34"/>
  <c r="CB206" i="34"/>
  <c r="CA206" i="34"/>
  <c r="BZ206" i="34"/>
  <c r="BY206" i="34"/>
  <c r="CF205" i="34"/>
  <c r="CE205" i="34"/>
  <c r="CD205" i="34"/>
  <c r="CC205" i="34"/>
  <c r="CB205" i="34"/>
  <c r="CA205" i="34"/>
  <c r="BZ205" i="34"/>
  <c r="BY205" i="34"/>
  <c r="CF204" i="34"/>
  <c r="CE204" i="34"/>
  <c r="CD204" i="34"/>
  <c r="CC204" i="34"/>
  <c r="CB204" i="34"/>
  <c r="CA204" i="34"/>
  <c r="BZ204" i="34"/>
  <c r="BY204" i="34"/>
  <c r="CF203" i="34"/>
  <c r="CE203" i="34"/>
  <c r="CD203" i="34"/>
  <c r="CC203" i="34"/>
  <c r="CB203" i="34"/>
  <c r="CA203" i="34"/>
  <c r="BZ203" i="34"/>
  <c r="BY203" i="34"/>
  <c r="CF202" i="34"/>
  <c r="CE202" i="34"/>
  <c r="CD202" i="34"/>
  <c r="CC202" i="34"/>
  <c r="CB202" i="34"/>
  <c r="CA202" i="34"/>
  <c r="BZ202" i="34"/>
  <c r="BY202" i="34"/>
  <c r="CF201" i="34"/>
  <c r="CE201" i="34"/>
  <c r="CD201" i="34"/>
  <c r="CC201" i="34"/>
  <c r="CB201" i="34"/>
  <c r="CA201" i="34"/>
  <c r="BZ201" i="34"/>
  <c r="BY201" i="34"/>
  <c r="CF200" i="34"/>
  <c r="CE200" i="34"/>
  <c r="CD200" i="34"/>
  <c r="CC200" i="34"/>
  <c r="CB200" i="34"/>
  <c r="CA200" i="34"/>
  <c r="BZ200" i="34"/>
  <c r="BY200" i="34"/>
  <c r="CF199" i="34"/>
  <c r="CE199" i="34"/>
  <c r="CD199" i="34"/>
  <c r="CC199" i="34"/>
  <c r="CB199" i="34"/>
  <c r="CA199" i="34"/>
  <c r="BZ199" i="34"/>
  <c r="BY199" i="34"/>
  <c r="CF198" i="34"/>
  <c r="CE198" i="34"/>
  <c r="CD198" i="34"/>
  <c r="CC198" i="34"/>
  <c r="CB198" i="34"/>
  <c r="CA198" i="34"/>
  <c r="BZ198" i="34"/>
  <c r="BY198" i="34"/>
  <c r="CF197" i="34"/>
  <c r="CE197" i="34"/>
  <c r="CD197" i="34"/>
  <c r="CC197" i="34"/>
  <c r="CB197" i="34"/>
  <c r="CA197" i="34"/>
  <c r="BZ197" i="34"/>
  <c r="BY197" i="34"/>
  <c r="CF196" i="34"/>
  <c r="CE196" i="34"/>
  <c r="CD196" i="34"/>
  <c r="CC196" i="34"/>
  <c r="CB196" i="34"/>
  <c r="CA196" i="34"/>
  <c r="BZ196" i="34"/>
  <c r="BY196" i="34"/>
  <c r="CF195" i="34"/>
  <c r="CE195" i="34"/>
  <c r="CD195" i="34"/>
  <c r="CC195" i="34"/>
  <c r="CB195" i="34"/>
  <c r="CA195" i="34"/>
  <c r="BZ195" i="34"/>
  <c r="BY195" i="34"/>
  <c r="CF194" i="34"/>
  <c r="CE194" i="34"/>
  <c r="CD194" i="34"/>
  <c r="CC194" i="34"/>
  <c r="CB194" i="34"/>
  <c r="CA194" i="34"/>
  <c r="BZ194" i="34"/>
  <c r="BY194" i="34"/>
  <c r="CF193" i="34"/>
  <c r="CE193" i="34"/>
  <c r="CD193" i="34"/>
  <c r="CC193" i="34"/>
  <c r="CB193" i="34"/>
  <c r="CA193" i="34"/>
  <c r="BZ193" i="34"/>
  <c r="BY193" i="34"/>
  <c r="CF192" i="34"/>
  <c r="CE192" i="34"/>
  <c r="CD192" i="34"/>
  <c r="CC192" i="34"/>
  <c r="CB192" i="34"/>
  <c r="CA192" i="34"/>
  <c r="BZ192" i="34"/>
  <c r="BY192" i="34"/>
  <c r="CF191" i="34"/>
  <c r="CE191" i="34"/>
  <c r="CD191" i="34"/>
  <c r="CC191" i="34"/>
  <c r="CB191" i="34"/>
  <c r="CA191" i="34"/>
  <c r="BZ191" i="34"/>
  <c r="BY191" i="34"/>
  <c r="CF190" i="34"/>
  <c r="CE190" i="34"/>
  <c r="CD190" i="34"/>
  <c r="CC190" i="34"/>
  <c r="CB190" i="34"/>
  <c r="CA190" i="34"/>
  <c r="BZ190" i="34"/>
  <c r="BY190" i="34"/>
  <c r="CF189" i="34"/>
  <c r="CE189" i="34"/>
  <c r="CD189" i="34"/>
  <c r="CC189" i="34"/>
  <c r="CB189" i="34"/>
  <c r="CA189" i="34"/>
  <c r="BZ189" i="34"/>
  <c r="BY189" i="34"/>
  <c r="CF188" i="34"/>
  <c r="CE188" i="34"/>
  <c r="CD188" i="34"/>
  <c r="CC188" i="34"/>
  <c r="CB188" i="34"/>
  <c r="CA188" i="34"/>
  <c r="BZ188" i="34"/>
  <c r="BY188" i="34"/>
  <c r="CF187" i="34"/>
  <c r="CE187" i="34"/>
  <c r="CD187" i="34"/>
  <c r="CC187" i="34"/>
  <c r="CB187" i="34"/>
  <c r="CA187" i="34"/>
  <c r="BZ187" i="34"/>
  <c r="BY187" i="34"/>
  <c r="CF186" i="34"/>
  <c r="CE186" i="34"/>
  <c r="CD186" i="34"/>
  <c r="CC186" i="34"/>
  <c r="CB186" i="34"/>
  <c r="CA186" i="34"/>
  <c r="BZ186" i="34"/>
  <c r="BY186" i="34"/>
  <c r="CF185" i="34"/>
  <c r="CE185" i="34"/>
  <c r="CD185" i="34"/>
  <c r="CC185" i="34"/>
  <c r="CB185" i="34"/>
  <c r="CA185" i="34"/>
  <c r="BZ185" i="34"/>
  <c r="BY185" i="34"/>
  <c r="CF184" i="34"/>
  <c r="CE184" i="34"/>
  <c r="CD184" i="34"/>
  <c r="CC184" i="34"/>
  <c r="CB184" i="34"/>
  <c r="CA184" i="34"/>
  <c r="BZ184" i="34"/>
  <c r="BY184" i="34"/>
  <c r="CF183" i="34"/>
  <c r="CE183" i="34"/>
  <c r="CD183" i="34"/>
  <c r="CC183" i="34"/>
  <c r="CB183" i="34"/>
  <c r="CA183" i="34"/>
  <c r="BZ183" i="34"/>
  <c r="BY183" i="34"/>
  <c r="CF182" i="34"/>
  <c r="CE182" i="34"/>
  <c r="CD182" i="34"/>
  <c r="CC182" i="34"/>
  <c r="CB182" i="34"/>
  <c r="CA182" i="34"/>
  <c r="BZ182" i="34"/>
  <c r="BY182" i="34"/>
  <c r="CF181" i="34"/>
  <c r="CE181" i="34"/>
  <c r="CD181" i="34"/>
  <c r="CC181" i="34"/>
  <c r="CB181" i="34"/>
  <c r="CA181" i="34"/>
  <c r="BZ181" i="34"/>
  <c r="BY181" i="34"/>
  <c r="CF180" i="34"/>
  <c r="CE180" i="34"/>
  <c r="CD180" i="34"/>
  <c r="CC180" i="34"/>
  <c r="CB180" i="34"/>
  <c r="CA180" i="34"/>
  <c r="BZ180" i="34"/>
  <c r="BY180" i="34"/>
  <c r="CF179" i="34"/>
  <c r="CE179" i="34"/>
  <c r="CD179" i="34"/>
  <c r="CC179" i="34"/>
  <c r="CB179" i="34"/>
  <c r="CA179" i="34"/>
  <c r="BZ179" i="34"/>
  <c r="BY179" i="34"/>
  <c r="CF178" i="34"/>
  <c r="CE178" i="34"/>
  <c r="CD178" i="34"/>
  <c r="CC178" i="34"/>
  <c r="CB178" i="34"/>
  <c r="CA178" i="34"/>
  <c r="BZ178" i="34"/>
  <c r="BY178" i="34"/>
  <c r="CF177" i="34"/>
  <c r="CE177" i="34"/>
  <c r="CD177" i="34"/>
  <c r="CC177" i="34"/>
  <c r="CB177" i="34"/>
  <c r="CA177" i="34"/>
  <c r="BZ177" i="34"/>
  <c r="BY177" i="34"/>
  <c r="CF176" i="34"/>
  <c r="CE176" i="34"/>
  <c r="CD176" i="34"/>
  <c r="CC176" i="34"/>
  <c r="CB176" i="34"/>
  <c r="CA176" i="34"/>
  <c r="BZ176" i="34"/>
  <c r="BY176" i="34"/>
  <c r="CF175" i="34"/>
  <c r="CE175" i="34"/>
  <c r="CD175" i="34"/>
  <c r="CC175" i="34"/>
  <c r="CB175" i="34"/>
  <c r="CA175" i="34"/>
  <c r="BZ175" i="34"/>
  <c r="BY175" i="34"/>
  <c r="CF174" i="34"/>
  <c r="CE174" i="34"/>
  <c r="CD174" i="34"/>
  <c r="CC174" i="34"/>
  <c r="CB174" i="34"/>
  <c r="CA174" i="34"/>
  <c r="BZ174" i="34"/>
  <c r="BY174" i="34"/>
  <c r="CF173" i="34"/>
  <c r="CE173" i="34"/>
  <c r="CD173" i="34"/>
  <c r="CC173" i="34"/>
  <c r="CB173" i="34"/>
  <c r="CA173" i="34"/>
  <c r="BZ173" i="34"/>
  <c r="BY173" i="34"/>
  <c r="CF172" i="34"/>
  <c r="CE172" i="34"/>
  <c r="CD172" i="34"/>
  <c r="CC172" i="34"/>
  <c r="CB172" i="34"/>
  <c r="CA172" i="34"/>
  <c r="BZ172" i="34"/>
  <c r="BY172" i="34"/>
  <c r="CF171" i="34"/>
  <c r="CE171" i="34"/>
  <c r="CD171" i="34"/>
  <c r="CC171" i="34"/>
  <c r="CB171" i="34"/>
  <c r="CA171" i="34"/>
  <c r="BZ171" i="34"/>
  <c r="BY171" i="34"/>
  <c r="CF170" i="34"/>
  <c r="CE170" i="34"/>
  <c r="CD170" i="34"/>
  <c r="CC170" i="34"/>
  <c r="CB170" i="34"/>
  <c r="CA170" i="34"/>
  <c r="BZ170" i="34"/>
  <c r="BY170" i="34"/>
  <c r="BY163" i="34"/>
  <c r="BZ163" i="34"/>
  <c r="CA163" i="34"/>
  <c r="CB163" i="34"/>
  <c r="CC163" i="34"/>
  <c r="CD163" i="34"/>
  <c r="CE163" i="34"/>
  <c r="CF163" i="34"/>
  <c r="BY164" i="34"/>
  <c r="BZ164" i="34"/>
  <c r="CA164" i="34"/>
  <c r="CB164" i="34"/>
  <c r="CC164" i="34"/>
  <c r="CD164" i="34"/>
  <c r="CE164" i="34"/>
  <c r="CF164" i="34"/>
  <c r="BY165" i="34"/>
  <c r="BZ165" i="34"/>
  <c r="CA165" i="34"/>
  <c r="CB165" i="34"/>
  <c r="CC165" i="34"/>
  <c r="CD165" i="34"/>
  <c r="CE165" i="34"/>
  <c r="CF165" i="34"/>
  <c r="BY166" i="34"/>
  <c r="BZ166" i="34"/>
  <c r="CA166" i="34"/>
  <c r="CB166" i="34"/>
  <c r="CC166" i="34"/>
  <c r="CD166" i="34"/>
  <c r="CE166" i="34"/>
  <c r="CF166" i="34"/>
  <c r="BY167" i="34"/>
  <c r="BZ167" i="34"/>
  <c r="CA167" i="34"/>
  <c r="CB167" i="34"/>
  <c r="CC167" i="34"/>
  <c r="CD167" i="34"/>
  <c r="CE167" i="34"/>
  <c r="CF167" i="34"/>
  <c r="BY168" i="34"/>
  <c r="BZ168" i="34"/>
  <c r="CA168" i="34"/>
  <c r="CB168" i="34"/>
  <c r="CC168" i="34"/>
  <c r="CD168" i="34"/>
  <c r="CE168" i="34"/>
  <c r="CF168" i="34"/>
  <c r="BY169" i="34"/>
  <c r="BZ169" i="34"/>
  <c r="CA169" i="34"/>
  <c r="CB169" i="34"/>
  <c r="CC169" i="34"/>
  <c r="CD169" i="34"/>
  <c r="CF169" i="34"/>
  <c r="BY156" i="34"/>
  <c r="BZ156" i="34"/>
  <c r="CA156" i="34"/>
  <c r="CB156" i="34"/>
  <c r="CC156" i="34"/>
  <c r="CD156" i="34"/>
  <c r="CE156" i="34"/>
  <c r="CF156" i="34"/>
  <c r="BY157" i="34"/>
  <c r="BZ157" i="34"/>
  <c r="CA157" i="34"/>
  <c r="CB157" i="34"/>
  <c r="CC157" i="34"/>
  <c r="CD157" i="34"/>
  <c r="CE157" i="34"/>
  <c r="CF157" i="34"/>
  <c r="BY158" i="34"/>
  <c r="BZ158" i="34"/>
  <c r="CA158" i="34"/>
  <c r="CB158" i="34"/>
  <c r="CC158" i="34"/>
  <c r="CD158" i="34"/>
  <c r="CE158" i="34"/>
  <c r="CF158" i="34"/>
  <c r="BY159" i="34"/>
  <c r="BZ159" i="34"/>
  <c r="CA159" i="34"/>
  <c r="CB159" i="34"/>
  <c r="CC159" i="34"/>
  <c r="CD159" i="34"/>
  <c r="CE159" i="34"/>
  <c r="CF159" i="34"/>
  <c r="BY160" i="34"/>
  <c r="BZ160" i="34"/>
  <c r="CA160" i="34"/>
  <c r="CB160" i="34"/>
  <c r="CC160" i="34"/>
  <c r="CD160" i="34"/>
  <c r="CE160" i="34"/>
  <c r="CF160" i="34"/>
  <c r="BY161" i="34"/>
  <c r="BZ161" i="34"/>
  <c r="CA161" i="34"/>
  <c r="CB161" i="34"/>
  <c r="CC161" i="34"/>
  <c r="CD161" i="34"/>
  <c r="CE161" i="34"/>
  <c r="CF161" i="34"/>
  <c r="BY162" i="34"/>
  <c r="BZ162" i="34"/>
  <c r="CA162" i="34"/>
  <c r="CB162" i="34"/>
  <c r="CC162" i="34"/>
  <c r="CD162" i="34"/>
  <c r="CE162" i="34"/>
  <c r="CF162" i="34"/>
  <c r="BY149" i="34"/>
  <c r="BZ149" i="34"/>
  <c r="CA149" i="34"/>
  <c r="CB149" i="34"/>
  <c r="CC149" i="34"/>
  <c r="CD149" i="34"/>
  <c r="CE149" i="34"/>
  <c r="CF149" i="34"/>
  <c r="BY150" i="34"/>
  <c r="BZ150" i="34"/>
  <c r="CA150" i="34"/>
  <c r="CB150" i="34"/>
  <c r="CC150" i="34"/>
  <c r="CD150" i="34"/>
  <c r="CE150" i="34"/>
  <c r="CF150" i="34"/>
  <c r="BY151" i="34"/>
  <c r="BZ151" i="34"/>
  <c r="CA151" i="34"/>
  <c r="CB151" i="34"/>
  <c r="CC151" i="34"/>
  <c r="CD151" i="34"/>
  <c r="CE151" i="34"/>
  <c r="CF151" i="34"/>
  <c r="BY152" i="34"/>
  <c r="BZ152" i="34"/>
  <c r="CA152" i="34"/>
  <c r="CB152" i="34"/>
  <c r="CC152" i="34"/>
  <c r="CD152" i="34"/>
  <c r="CE152" i="34"/>
  <c r="CF152" i="34"/>
  <c r="BY153" i="34"/>
  <c r="BZ153" i="34"/>
  <c r="CA153" i="34"/>
  <c r="CB153" i="34"/>
  <c r="CC153" i="34"/>
  <c r="CD153" i="34"/>
  <c r="CE153" i="34"/>
  <c r="CF153" i="34"/>
  <c r="BY154" i="34"/>
  <c r="BZ154" i="34"/>
  <c r="CA154" i="34"/>
  <c r="CB154" i="34"/>
  <c r="CC154" i="34"/>
  <c r="CD154" i="34"/>
  <c r="CE154" i="34"/>
  <c r="CF154" i="34"/>
  <c r="BY155" i="34"/>
  <c r="BZ155" i="34"/>
  <c r="CB155" i="34"/>
  <c r="CC155" i="34"/>
  <c r="CD155" i="34"/>
  <c r="CE155" i="34"/>
  <c r="CF155" i="34"/>
  <c r="BY142" i="34"/>
  <c r="BZ142" i="34"/>
  <c r="CA142" i="34"/>
  <c r="CB142" i="34"/>
  <c r="CC142" i="34"/>
  <c r="CD142" i="34"/>
  <c r="CE142" i="34"/>
  <c r="CF142" i="34"/>
  <c r="BY143" i="34"/>
  <c r="BZ143" i="34"/>
  <c r="CA143" i="34"/>
  <c r="CB143" i="34"/>
  <c r="CC143" i="34"/>
  <c r="CD143" i="34"/>
  <c r="CE143" i="34"/>
  <c r="CF143" i="34"/>
  <c r="BY144" i="34"/>
  <c r="BZ144" i="34"/>
  <c r="CA144" i="34"/>
  <c r="CB144" i="34"/>
  <c r="CC144" i="34"/>
  <c r="CD144" i="34"/>
  <c r="CE144" i="34"/>
  <c r="CF144" i="34"/>
  <c r="BY145" i="34"/>
  <c r="BZ145" i="34"/>
  <c r="CA145" i="34"/>
  <c r="CB145" i="34"/>
  <c r="CC145" i="34"/>
  <c r="CD145" i="34"/>
  <c r="CE145" i="34"/>
  <c r="CF145" i="34"/>
  <c r="BY146" i="34"/>
  <c r="BZ146" i="34"/>
  <c r="CA146" i="34"/>
  <c r="CB146" i="34"/>
  <c r="CC146" i="34"/>
  <c r="CD146" i="34"/>
  <c r="CE146" i="34"/>
  <c r="CF146" i="34"/>
  <c r="BY147" i="34"/>
  <c r="BZ147" i="34"/>
  <c r="CA147" i="34"/>
  <c r="CB147" i="34"/>
  <c r="CC147" i="34"/>
  <c r="CD147" i="34"/>
  <c r="CE147" i="34"/>
  <c r="CF147" i="34"/>
  <c r="BY148" i="34"/>
  <c r="BZ148" i="34"/>
  <c r="CA148" i="34"/>
  <c r="CB148" i="34"/>
  <c r="CC148" i="34"/>
  <c r="CD148" i="34"/>
  <c r="CE148" i="34"/>
  <c r="CF148" i="34"/>
  <c r="BY135" i="34"/>
  <c r="BZ135" i="34"/>
  <c r="CA135" i="34"/>
  <c r="CB135" i="34"/>
  <c r="CC135" i="34"/>
  <c r="CD135" i="34"/>
  <c r="CE135" i="34"/>
  <c r="CF135" i="34"/>
  <c r="BY136" i="34"/>
  <c r="BZ136" i="34"/>
  <c r="CA136" i="34"/>
  <c r="CB136" i="34"/>
  <c r="CC136" i="34"/>
  <c r="CD136" i="34"/>
  <c r="CE136" i="34"/>
  <c r="CF136" i="34"/>
  <c r="BY137" i="34"/>
  <c r="BZ137" i="34"/>
  <c r="CA137" i="34"/>
  <c r="CB137" i="34"/>
  <c r="CC137" i="34"/>
  <c r="CD137" i="34"/>
  <c r="CE137" i="34"/>
  <c r="CF137" i="34"/>
  <c r="BY138" i="34"/>
  <c r="BZ138" i="34"/>
  <c r="CA138" i="34"/>
  <c r="CB138" i="34"/>
  <c r="CC138" i="34"/>
  <c r="CD138" i="34"/>
  <c r="CE138" i="34"/>
  <c r="CF138" i="34"/>
  <c r="BY139" i="34"/>
  <c r="BZ139" i="34"/>
  <c r="CA139" i="34"/>
  <c r="CB139" i="34"/>
  <c r="CC139" i="34"/>
  <c r="CD139" i="34"/>
  <c r="CE139" i="34"/>
  <c r="CF139" i="34"/>
  <c r="BY140" i="34"/>
  <c r="BZ140" i="34"/>
  <c r="CA140" i="34"/>
  <c r="CB140" i="34"/>
  <c r="CC140" i="34"/>
  <c r="CD140" i="34"/>
  <c r="CE140" i="34"/>
  <c r="CF140" i="34"/>
  <c r="BY141" i="34"/>
  <c r="BZ141" i="34"/>
  <c r="CA141" i="34"/>
  <c r="CB141" i="34"/>
  <c r="CC141" i="34"/>
  <c r="CD141" i="34"/>
  <c r="CE141" i="34"/>
  <c r="CF141" i="34"/>
  <c r="BY128" i="34"/>
  <c r="BZ128" i="34"/>
  <c r="CA128" i="34"/>
  <c r="CB128" i="34"/>
  <c r="CC128" i="34"/>
  <c r="CD128" i="34"/>
  <c r="CE128" i="34"/>
  <c r="CF128" i="34"/>
  <c r="BY129" i="34"/>
  <c r="BZ129" i="34"/>
  <c r="CA129" i="34"/>
  <c r="CB129" i="34"/>
  <c r="CC129" i="34"/>
  <c r="CD129" i="34"/>
  <c r="CE129" i="34"/>
  <c r="CF129" i="34"/>
  <c r="BY130" i="34"/>
  <c r="BZ130" i="34"/>
  <c r="CA130" i="34"/>
  <c r="CB130" i="34"/>
  <c r="CC130" i="34"/>
  <c r="CD130" i="34"/>
  <c r="CE130" i="34"/>
  <c r="CF130" i="34"/>
  <c r="BY131" i="34"/>
  <c r="BZ131" i="34"/>
  <c r="CA131" i="34"/>
  <c r="CB131" i="34"/>
  <c r="CC131" i="34"/>
  <c r="CD131" i="34"/>
  <c r="CE131" i="34"/>
  <c r="CF131" i="34"/>
  <c r="BY132" i="34"/>
  <c r="BZ132" i="34"/>
  <c r="CA132" i="34"/>
  <c r="CB132" i="34"/>
  <c r="CC132" i="34"/>
  <c r="CD132" i="34"/>
  <c r="CE132" i="34"/>
  <c r="CF132" i="34"/>
  <c r="BY133" i="34"/>
  <c r="BZ133" i="34"/>
  <c r="CA133" i="34"/>
  <c r="CB133" i="34"/>
  <c r="CC133" i="34"/>
  <c r="CD133" i="34"/>
  <c r="CE133" i="34"/>
  <c r="CF133" i="34"/>
  <c r="BY134" i="34"/>
  <c r="BZ134" i="34"/>
  <c r="CA134" i="34"/>
  <c r="CB134" i="34"/>
  <c r="CC134" i="34"/>
  <c r="CD134" i="34"/>
  <c r="CE134" i="34"/>
  <c r="CF134" i="34"/>
  <c r="BY121" i="34"/>
  <c r="BZ121" i="34"/>
  <c r="CA121" i="34"/>
  <c r="CB121" i="34"/>
  <c r="CC121" i="34"/>
  <c r="CD121" i="34"/>
  <c r="CE121" i="34"/>
  <c r="CF121" i="34"/>
  <c r="BY122" i="34"/>
  <c r="BZ122" i="34"/>
  <c r="CA122" i="34"/>
  <c r="CB122" i="34"/>
  <c r="CC122" i="34"/>
  <c r="CD122" i="34"/>
  <c r="CE122" i="34"/>
  <c r="CF122" i="34"/>
  <c r="BY123" i="34"/>
  <c r="BZ123" i="34"/>
  <c r="CA123" i="34"/>
  <c r="CB123" i="34"/>
  <c r="CC123" i="34"/>
  <c r="CD123" i="34"/>
  <c r="CE123" i="34"/>
  <c r="CF123" i="34"/>
  <c r="BY124" i="34"/>
  <c r="BZ124" i="34"/>
  <c r="CA124" i="34"/>
  <c r="CB124" i="34"/>
  <c r="CC124" i="34"/>
  <c r="CD124" i="34"/>
  <c r="CE124" i="34"/>
  <c r="CF124" i="34"/>
  <c r="BY125" i="34"/>
  <c r="BZ125" i="34"/>
  <c r="CA125" i="34"/>
  <c r="CB125" i="34"/>
  <c r="CC125" i="34"/>
  <c r="CD125" i="34"/>
  <c r="CE125" i="34"/>
  <c r="CF125" i="34"/>
  <c r="BY126" i="34"/>
  <c r="BZ126" i="34"/>
  <c r="CA126" i="34"/>
  <c r="CB126" i="34"/>
  <c r="CC126" i="34"/>
  <c r="CD126" i="34"/>
  <c r="CE126" i="34"/>
  <c r="CF126" i="34"/>
  <c r="BY127" i="34"/>
  <c r="BZ127" i="34"/>
  <c r="CA127" i="34"/>
  <c r="CB127" i="34"/>
  <c r="CC127" i="34"/>
  <c r="CD127" i="34"/>
  <c r="CE127" i="34"/>
  <c r="CF127" i="34"/>
  <c r="BY114" i="34"/>
  <c r="BZ114" i="34"/>
  <c r="CA114" i="34"/>
  <c r="CB114" i="34"/>
  <c r="CC114" i="34"/>
  <c r="CD114" i="34"/>
  <c r="CE114" i="34"/>
  <c r="CF114" i="34"/>
  <c r="BY115" i="34"/>
  <c r="BZ115" i="34"/>
  <c r="CA115" i="34"/>
  <c r="CB115" i="34"/>
  <c r="CC115" i="34"/>
  <c r="CD115" i="34"/>
  <c r="CE115" i="34"/>
  <c r="CF115" i="34"/>
  <c r="BY116" i="34"/>
  <c r="BZ116" i="34"/>
  <c r="CA116" i="34"/>
  <c r="CB116" i="34"/>
  <c r="CC116" i="34"/>
  <c r="CD116" i="34"/>
  <c r="CE116" i="34"/>
  <c r="CF116" i="34"/>
  <c r="BY117" i="34"/>
  <c r="BZ117" i="34"/>
  <c r="CA117" i="34"/>
  <c r="CB117" i="34"/>
  <c r="CC117" i="34"/>
  <c r="CD117" i="34"/>
  <c r="CE117" i="34"/>
  <c r="CF117" i="34"/>
  <c r="BY118" i="34"/>
  <c r="BZ118" i="34"/>
  <c r="CA118" i="34"/>
  <c r="CB118" i="34"/>
  <c r="CC118" i="34"/>
  <c r="CD118" i="34"/>
  <c r="CE118" i="34"/>
  <c r="CF118" i="34"/>
  <c r="BY119" i="34"/>
  <c r="BZ119" i="34"/>
  <c r="CA119" i="34"/>
  <c r="CB119" i="34"/>
  <c r="CC119" i="34"/>
  <c r="CD119" i="34"/>
  <c r="CE119" i="34"/>
  <c r="CF119" i="34"/>
  <c r="BY120" i="34"/>
  <c r="BZ120" i="34"/>
  <c r="CA120" i="34"/>
  <c r="CB120" i="34"/>
  <c r="CC120" i="34"/>
  <c r="CE120" i="34"/>
  <c r="CF120" i="34"/>
  <c r="BX2" i="34"/>
  <c r="BX3" i="34"/>
  <c r="BX4" i="34"/>
  <c r="BX5" i="34"/>
  <c r="BX6" i="34"/>
  <c r="BX7" i="34"/>
  <c r="BX8" i="34"/>
  <c r="BX9" i="34"/>
  <c r="BX10" i="34"/>
  <c r="BX11" i="34"/>
  <c r="BX12" i="34"/>
  <c r="BX13" i="34"/>
  <c r="BX14" i="34"/>
  <c r="BX15" i="34"/>
  <c r="BX16" i="34"/>
  <c r="BX17" i="34"/>
  <c r="BX18" i="34"/>
  <c r="BX19" i="34"/>
  <c r="BX20" i="34"/>
  <c r="BX21" i="34"/>
  <c r="BX22" i="34"/>
  <c r="BX23" i="34"/>
  <c r="BX24" i="34"/>
  <c r="BX25" i="34"/>
  <c r="BX26" i="34"/>
  <c r="BX27" i="34"/>
  <c r="BX28" i="34"/>
  <c r="BX29" i="34"/>
  <c r="BX30" i="34"/>
  <c r="BX31" i="34"/>
  <c r="BX32" i="34"/>
  <c r="BX33" i="34"/>
  <c r="BX34" i="34"/>
  <c r="BX35" i="34"/>
  <c r="BX36" i="34"/>
  <c r="BX37" i="34"/>
  <c r="BX38" i="34"/>
  <c r="BX39" i="34"/>
  <c r="BX40" i="34"/>
  <c r="BX41" i="34"/>
  <c r="BX42" i="34"/>
  <c r="BX43" i="34"/>
  <c r="BX44" i="34"/>
  <c r="BX45" i="34"/>
  <c r="BX46" i="34"/>
  <c r="BX47" i="34"/>
  <c r="BX48" i="34"/>
  <c r="BX49" i="34"/>
  <c r="BX50" i="34"/>
  <c r="BX51" i="34"/>
  <c r="BX52" i="34"/>
  <c r="BX53" i="34"/>
  <c r="BX54" i="34"/>
  <c r="BX55" i="34"/>
  <c r="BX56" i="34"/>
  <c r="BX57" i="34"/>
  <c r="BX58" i="34"/>
  <c r="BX59" i="34"/>
  <c r="BX60" i="34"/>
  <c r="BX61" i="34"/>
  <c r="BX62" i="34"/>
  <c r="BX63" i="34"/>
  <c r="BX64" i="34"/>
  <c r="BX65" i="34"/>
  <c r="BX66" i="34"/>
  <c r="BX67" i="34"/>
  <c r="BX68" i="34"/>
  <c r="BX69" i="34"/>
  <c r="BX70" i="34"/>
  <c r="BX71" i="34"/>
  <c r="BX72" i="34"/>
  <c r="BX73" i="34"/>
  <c r="BX74" i="34"/>
  <c r="BX75" i="34"/>
  <c r="BX76" i="34"/>
  <c r="BX77" i="34"/>
  <c r="BX78" i="34"/>
  <c r="BX79" i="34"/>
  <c r="BX80" i="34"/>
  <c r="BX81" i="34"/>
  <c r="BX82" i="34"/>
  <c r="BX83" i="34"/>
  <c r="BX84" i="34"/>
  <c r="BX85" i="34"/>
  <c r="BX86" i="34"/>
  <c r="BX87" i="34"/>
  <c r="BX88" i="34"/>
  <c r="BX89" i="34"/>
  <c r="BX90" i="34"/>
  <c r="BX91" i="34"/>
  <c r="BX92" i="34"/>
  <c r="BX93" i="34"/>
  <c r="BX94" i="34"/>
  <c r="BX95" i="34"/>
  <c r="BX96" i="34"/>
  <c r="BX97" i="34"/>
  <c r="BX98" i="34"/>
  <c r="BX99" i="34"/>
  <c r="BX100" i="34"/>
  <c r="BX101" i="34"/>
  <c r="BX102" i="34"/>
  <c r="BX103" i="34"/>
  <c r="BX104" i="34"/>
  <c r="BX105" i="34"/>
  <c r="BX106" i="34"/>
  <c r="BX107" i="34"/>
  <c r="BX108" i="34"/>
  <c r="BX109" i="34"/>
  <c r="BX110" i="34"/>
  <c r="BX111" i="34"/>
  <c r="BX112" i="34"/>
  <c r="BX113" i="34"/>
  <c r="B843" i="34"/>
  <c r="B844" i="34"/>
  <c r="B845" i="34"/>
  <c r="B846" i="34"/>
  <c r="B847" i="34"/>
  <c r="B848" i="34"/>
  <c r="EE848" i="34" s="1"/>
  <c r="ED848" i="34" s="1"/>
  <c r="B849" i="34"/>
  <c r="B850" i="34"/>
  <c r="B851" i="34"/>
  <c r="B852" i="34"/>
  <c r="EE852" i="34" s="1"/>
  <c r="ED852" i="34" s="1"/>
  <c r="B853" i="34"/>
  <c r="B854" i="34"/>
  <c r="B855" i="34"/>
  <c r="B856" i="34"/>
  <c r="B857" i="34"/>
  <c r="B858" i="34"/>
  <c r="B859" i="34"/>
  <c r="B860" i="34"/>
  <c r="B861" i="34"/>
  <c r="B862" i="34"/>
  <c r="EE862" i="34" s="1"/>
  <c r="ED862" i="34" s="1"/>
  <c r="B863" i="34"/>
  <c r="EE863" i="34" s="1"/>
  <c r="ED863" i="34" s="1"/>
  <c r="B864" i="34"/>
  <c r="B865" i="34"/>
  <c r="B866" i="34"/>
  <c r="B867" i="34"/>
  <c r="B868" i="34"/>
  <c r="B869" i="34"/>
  <c r="B870" i="34"/>
  <c r="EE870" i="34" s="1"/>
  <c r="ED870" i="34" s="1"/>
  <c r="B871" i="34"/>
  <c r="B872" i="34"/>
  <c r="EE872" i="34" s="1"/>
  <c r="ED872" i="34" s="1"/>
  <c r="B873" i="34"/>
  <c r="B874" i="34"/>
  <c r="B875" i="34"/>
  <c r="B876" i="34"/>
  <c r="EE876" i="34" s="1"/>
  <c r="ED876" i="34" s="1"/>
  <c r="B877" i="34"/>
  <c r="B878" i="34"/>
  <c r="B879" i="34"/>
  <c r="B880" i="34"/>
  <c r="B881" i="34"/>
  <c r="B882" i="34"/>
  <c r="B883" i="34"/>
  <c r="B884" i="34"/>
  <c r="EE884" i="34" s="1"/>
  <c r="ED884" i="34" s="1"/>
  <c r="B885" i="34"/>
  <c r="B886" i="34"/>
  <c r="B887" i="34"/>
  <c r="B888" i="34"/>
  <c r="B889" i="34"/>
  <c r="B890" i="34"/>
  <c r="EE890" i="34" s="1"/>
  <c r="ED890" i="34" s="1"/>
  <c r="B891" i="34"/>
  <c r="B892" i="34"/>
  <c r="B893" i="34"/>
  <c r="B894" i="34"/>
  <c r="B895" i="34"/>
  <c r="B896" i="34"/>
  <c r="B897" i="34"/>
  <c r="B842" i="34"/>
  <c r="A863" i="34"/>
  <c r="BX863" i="34" s="1"/>
  <c r="A852" i="34"/>
  <c r="BX852" i="34" s="1"/>
  <c r="B787" i="34"/>
  <c r="B788" i="34"/>
  <c r="B789" i="34"/>
  <c r="B790" i="34"/>
  <c r="EE790" i="34" s="1"/>
  <c r="ED790" i="34" s="1"/>
  <c r="B791" i="34"/>
  <c r="B792" i="34"/>
  <c r="B793" i="34"/>
  <c r="B794" i="34"/>
  <c r="B795" i="34"/>
  <c r="B796" i="34"/>
  <c r="B797" i="34"/>
  <c r="B798" i="34"/>
  <c r="B799" i="34"/>
  <c r="B800" i="34"/>
  <c r="B801" i="34"/>
  <c r="B802" i="34"/>
  <c r="B803" i="34"/>
  <c r="EE803" i="34" s="1"/>
  <c r="ED803" i="34" s="1"/>
  <c r="B804" i="34"/>
  <c r="B805" i="34"/>
  <c r="B806" i="34"/>
  <c r="B807" i="34"/>
  <c r="B808" i="34"/>
  <c r="B809" i="34"/>
  <c r="B810" i="34"/>
  <c r="B811" i="34"/>
  <c r="B812" i="34"/>
  <c r="B813" i="34"/>
  <c r="B814" i="34"/>
  <c r="EE814" i="34" s="1"/>
  <c r="ED814" i="34" s="1"/>
  <c r="B815" i="34"/>
  <c r="B816" i="34"/>
  <c r="B817" i="34"/>
  <c r="B818" i="34"/>
  <c r="B819" i="34"/>
  <c r="B820" i="34"/>
  <c r="B821" i="34"/>
  <c r="B822" i="34"/>
  <c r="B823" i="34"/>
  <c r="B824" i="34"/>
  <c r="B825" i="34"/>
  <c r="B826" i="34"/>
  <c r="B827" i="34"/>
  <c r="B828" i="34"/>
  <c r="B829" i="34"/>
  <c r="B830" i="34"/>
  <c r="B831" i="34"/>
  <c r="B832" i="34"/>
  <c r="B833" i="34"/>
  <c r="B834" i="34"/>
  <c r="B835" i="34"/>
  <c r="B836" i="34"/>
  <c r="B837" i="34"/>
  <c r="B838" i="34"/>
  <c r="B839" i="34"/>
  <c r="B840" i="34"/>
  <c r="B841" i="34"/>
  <c r="B786" i="34"/>
  <c r="B731" i="34"/>
  <c r="EE731" i="34" s="1"/>
  <c r="ED731" i="34" s="1"/>
  <c r="B732" i="34"/>
  <c r="EE732" i="34" s="1"/>
  <c r="ED732" i="34" s="1"/>
  <c r="B733" i="34"/>
  <c r="B734" i="34"/>
  <c r="B735" i="34"/>
  <c r="B736" i="34"/>
  <c r="EE736" i="34" s="1"/>
  <c r="ED736" i="34" s="1"/>
  <c r="B737" i="34"/>
  <c r="B738" i="34"/>
  <c r="B739" i="34"/>
  <c r="EE739" i="34" s="1"/>
  <c r="ED739" i="34" s="1"/>
  <c r="B740" i="34"/>
  <c r="B741" i="34"/>
  <c r="B742" i="34"/>
  <c r="B743" i="34"/>
  <c r="B744" i="34"/>
  <c r="B745" i="34"/>
  <c r="B746" i="34"/>
  <c r="B747" i="34"/>
  <c r="B748" i="34"/>
  <c r="B749" i="34"/>
  <c r="B750" i="34"/>
  <c r="B751" i="34"/>
  <c r="B752" i="34"/>
  <c r="EE752" i="34" s="1"/>
  <c r="ED752" i="34" s="1"/>
  <c r="B753" i="34"/>
  <c r="B754" i="34"/>
  <c r="B755" i="34"/>
  <c r="EE755" i="34" s="1"/>
  <c r="ED755" i="34" s="1"/>
  <c r="B756" i="34"/>
  <c r="B757" i="34"/>
  <c r="B758" i="34"/>
  <c r="B759" i="34"/>
  <c r="EE759" i="34" s="1"/>
  <c r="ED759" i="34" s="1"/>
  <c r="B760" i="34"/>
  <c r="B761" i="34"/>
  <c r="B762" i="34"/>
  <c r="B763" i="34"/>
  <c r="B764" i="34"/>
  <c r="B765" i="34"/>
  <c r="B766" i="34"/>
  <c r="B767" i="34"/>
  <c r="B768" i="34"/>
  <c r="B769" i="34"/>
  <c r="B770" i="34"/>
  <c r="B771" i="34"/>
  <c r="EE771" i="34" s="1"/>
  <c r="ED771" i="34" s="1"/>
  <c r="B772" i="34"/>
  <c r="B773" i="34"/>
  <c r="B774" i="34"/>
  <c r="B775" i="34"/>
  <c r="EE775" i="34" s="1"/>
  <c r="ED775" i="34" s="1"/>
  <c r="B776" i="34"/>
  <c r="B777" i="34"/>
  <c r="B778" i="34"/>
  <c r="B779" i="34"/>
  <c r="B780" i="34"/>
  <c r="B781" i="34"/>
  <c r="B782" i="34"/>
  <c r="B783" i="34"/>
  <c r="B784" i="34"/>
  <c r="B785" i="34"/>
  <c r="B730" i="34"/>
  <c r="A775" i="34"/>
  <c r="BX775" i="34" s="1"/>
  <c r="A732" i="34"/>
  <c r="BX732" i="34" s="1"/>
  <c r="B675" i="34"/>
  <c r="B676" i="34"/>
  <c r="B677" i="34"/>
  <c r="B678" i="34"/>
  <c r="B679" i="34"/>
  <c r="B680" i="34"/>
  <c r="B681" i="34"/>
  <c r="B682" i="34"/>
  <c r="EE682" i="34" s="1"/>
  <c r="ED682" i="34" s="1"/>
  <c r="B683" i="34"/>
  <c r="B684" i="34"/>
  <c r="B685" i="34"/>
  <c r="B686" i="34"/>
  <c r="EE686" i="34" s="1"/>
  <c r="ED686" i="34" s="1"/>
  <c r="B687" i="34"/>
  <c r="B688" i="34"/>
  <c r="B689" i="34"/>
  <c r="EE689" i="34" s="1"/>
  <c r="ED689" i="34" s="1"/>
  <c r="B690" i="34"/>
  <c r="B691" i="34"/>
  <c r="B692" i="34"/>
  <c r="B693" i="34"/>
  <c r="B694" i="34"/>
  <c r="B695" i="34"/>
  <c r="B696" i="34"/>
  <c r="B697" i="34"/>
  <c r="B698" i="34"/>
  <c r="B699" i="34"/>
  <c r="B700" i="34"/>
  <c r="B701" i="34"/>
  <c r="B702" i="34"/>
  <c r="B703" i="34"/>
  <c r="B704" i="34"/>
  <c r="B705" i="34"/>
  <c r="B706" i="34"/>
  <c r="B707" i="34"/>
  <c r="B708" i="34"/>
  <c r="B709" i="34"/>
  <c r="B710" i="34"/>
  <c r="B711" i="34"/>
  <c r="B712" i="34"/>
  <c r="B713" i="34"/>
  <c r="B714" i="34"/>
  <c r="EE714" i="34" s="1"/>
  <c r="ED714" i="34" s="1"/>
  <c r="B715" i="34"/>
  <c r="B716" i="34"/>
  <c r="B717" i="34"/>
  <c r="B718" i="34"/>
  <c r="B719" i="34"/>
  <c r="B720" i="34"/>
  <c r="B721" i="34"/>
  <c r="B722" i="34"/>
  <c r="EE722" i="34" s="1"/>
  <c r="ED722" i="34" s="1"/>
  <c r="B723" i="34"/>
  <c r="B724" i="34"/>
  <c r="B725" i="34"/>
  <c r="EE725" i="34" s="1"/>
  <c r="ED725" i="34" s="1"/>
  <c r="B726" i="34"/>
  <c r="B727" i="34"/>
  <c r="B728" i="34"/>
  <c r="B729" i="34"/>
  <c r="B674" i="34"/>
  <c r="B619" i="34"/>
  <c r="B620" i="34"/>
  <c r="EE620" i="34" s="1"/>
  <c r="ED620" i="34" s="1"/>
  <c r="B621" i="34"/>
  <c r="B622" i="34"/>
  <c r="EE622" i="34" s="1"/>
  <c r="ED622" i="34" s="1"/>
  <c r="B623" i="34"/>
  <c r="B624" i="34"/>
  <c r="EE624" i="34" s="1"/>
  <c r="ED624" i="34" s="1"/>
  <c r="B625" i="34"/>
  <c r="B626" i="34"/>
  <c r="EE626" i="34" s="1"/>
  <c r="ED626" i="34" s="1"/>
  <c r="B627" i="34"/>
  <c r="B628" i="34"/>
  <c r="EE628" i="34" s="1"/>
  <c r="ED628" i="34" s="1"/>
  <c r="B629" i="34"/>
  <c r="B630" i="34"/>
  <c r="EE630" i="34" s="1"/>
  <c r="ED630" i="34" s="1"/>
  <c r="B631" i="34"/>
  <c r="B632" i="34"/>
  <c r="EE632" i="34" s="1"/>
  <c r="ED632" i="34" s="1"/>
  <c r="B633" i="34"/>
  <c r="B634" i="34"/>
  <c r="EE634" i="34" s="1"/>
  <c r="ED634" i="34" s="1"/>
  <c r="B635" i="34"/>
  <c r="B636" i="34"/>
  <c r="B637" i="34"/>
  <c r="B638" i="34"/>
  <c r="EE638" i="34" s="1"/>
  <c r="ED638" i="34" s="1"/>
  <c r="B639" i="34"/>
  <c r="B640" i="34"/>
  <c r="EE640" i="34" s="1"/>
  <c r="ED640" i="34" s="1"/>
  <c r="B641" i="34"/>
  <c r="B642" i="34"/>
  <c r="EE642" i="34" s="1"/>
  <c r="ED642" i="34" s="1"/>
  <c r="B643" i="34"/>
  <c r="B644" i="34"/>
  <c r="B645" i="34"/>
  <c r="B646" i="34"/>
  <c r="EE646" i="34" s="1"/>
  <c r="ED646" i="34" s="1"/>
  <c r="B647" i="34"/>
  <c r="B648" i="34"/>
  <c r="B649" i="34"/>
  <c r="B650" i="34"/>
  <c r="EE650" i="34" s="1"/>
  <c r="ED650" i="34" s="1"/>
  <c r="B651" i="34"/>
  <c r="B652" i="34"/>
  <c r="EE652" i="34" s="1"/>
  <c r="ED652" i="34" s="1"/>
  <c r="B653" i="34"/>
  <c r="B654" i="34"/>
  <c r="EE654" i="34" s="1"/>
  <c r="ED654" i="34" s="1"/>
  <c r="B655" i="34"/>
  <c r="B656" i="34"/>
  <c r="B657" i="34"/>
  <c r="B658" i="34"/>
  <c r="EE658" i="34" s="1"/>
  <c r="ED658" i="34" s="1"/>
  <c r="B659" i="34"/>
  <c r="B660" i="34"/>
  <c r="EE660" i="34" s="1"/>
  <c r="ED660" i="34" s="1"/>
  <c r="B661" i="34"/>
  <c r="B662" i="34"/>
  <c r="EE662" i="34" s="1"/>
  <c r="ED662" i="34" s="1"/>
  <c r="B663" i="34"/>
  <c r="B664" i="34"/>
  <c r="B665" i="34"/>
  <c r="B666" i="34"/>
  <c r="EE666" i="34" s="1"/>
  <c r="ED666" i="34" s="1"/>
  <c r="B667" i="34"/>
  <c r="B668" i="34"/>
  <c r="B669" i="34"/>
  <c r="B670" i="34"/>
  <c r="EE670" i="34" s="1"/>
  <c r="ED670" i="34" s="1"/>
  <c r="B671" i="34"/>
  <c r="B672" i="34"/>
  <c r="EE672" i="34" s="1"/>
  <c r="ED672" i="34" s="1"/>
  <c r="B673" i="34"/>
  <c r="B618" i="34"/>
  <c r="EE618" i="34" s="1"/>
  <c r="ED618" i="34" s="1"/>
  <c r="A628" i="34"/>
  <c r="BX628" i="34" s="1"/>
  <c r="M129" i="34"/>
  <c r="M128" i="34"/>
  <c r="M127" i="34"/>
  <c r="M126" i="34"/>
  <c r="M125" i="34"/>
  <c r="M124" i="34"/>
  <c r="M123" i="34"/>
  <c r="M122" i="34"/>
  <c r="M121" i="34"/>
  <c r="M120" i="34"/>
  <c r="M119" i="34"/>
  <c r="M118" i="34"/>
  <c r="M117" i="34"/>
  <c r="M116" i="34"/>
  <c r="M115" i="34"/>
  <c r="M114" i="34"/>
  <c r="M113" i="34"/>
  <c r="M112" i="34"/>
  <c r="M111" i="34"/>
  <c r="M110" i="34"/>
  <c r="M109" i="34"/>
  <c r="M108" i="34"/>
  <c r="M107" i="34"/>
  <c r="M106" i="34"/>
  <c r="M105" i="34"/>
  <c r="M104" i="34"/>
  <c r="M103" i="34"/>
  <c r="M102" i="34"/>
  <c r="M101" i="34"/>
  <c r="M100" i="34"/>
  <c r="M99" i="34"/>
  <c r="M98" i="34"/>
  <c r="M97" i="34"/>
  <c r="M96" i="34"/>
  <c r="M95" i="34"/>
  <c r="M94" i="34"/>
  <c r="M93" i="34"/>
  <c r="M92" i="34"/>
  <c r="M91" i="34"/>
  <c r="M9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M65" i="34"/>
  <c r="L65" i="34"/>
  <c r="M64" i="34"/>
  <c r="L64" i="34"/>
  <c r="M63" i="34"/>
  <c r="L63" i="34"/>
  <c r="M62" i="34"/>
  <c r="L62" i="34"/>
  <c r="M61" i="34"/>
  <c r="L61" i="34"/>
  <c r="M60" i="34"/>
  <c r="L60" i="34"/>
  <c r="M59" i="34"/>
  <c r="L59" i="34"/>
  <c r="M58" i="34"/>
  <c r="L58" i="34"/>
  <c r="AJ17" i="34"/>
  <c r="AI17" i="34"/>
  <c r="AH17" i="34"/>
  <c r="AG17" i="34"/>
  <c r="AB17" i="34"/>
  <c r="AJ16" i="34"/>
  <c r="AI16" i="34"/>
  <c r="AH16" i="34"/>
  <c r="AG16" i="34"/>
  <c r="AB16" i="34"/>
  <c r="AJ15" i="34"/>
  <c r="AI15" i="34"/>
  <c r="AH15" i="34"/>
  <c r="AG15" i="34"/>
  <c r="AB15" i="34"/>
  <c r="AJ14" i="34"/>
  <c r="AI14" i="34"/>
  <c r="AH14" i="34"/>
  <c r="AG14" i="34"/>
  <c r="AB14" i="34"/>
  <c r="AJ13" i="34"/>
  <c r="AI13" i="34"/>
  <c r="AH13" i="34"/>
  <c r="AG13" i="34"/>
  <c r="AB13" i="34"/>
  <c r="AJ9" i="34"/>
  <c r="AI9" i="34"/>
  <c r="AH9" i="34"/>
  <c r="AG9" i="34"/>
  <c r="E29" i="71"/>
  <c r="CI13" i="71"/>
  <c r="CJ13" i="71" s="1"/>
  <c r="BX13" i="71"/>
  <c r="BY13" i="71" s="1"/>
  <c r="F890" i="34" s="1"/>
  <c r="BM13" i="71"/>
  <c r="BN13" i="71" s="1"/>
  <c r="F883" i="34" s="1"/>
  <c r="BB13" i="71"/>
  <c r="BC13" i="71" s="1"/>
  <c r="F876" i="34" s="1"/>
  <c r="AQ13" i="71"/>
  <c r="AR13" i="71" s="1"/>
  <c r="F869" i="34" s="1"/>
  <c r="AF13" i="71"/>
  <c r="AG13" i="71" s="1"/>
  <c r="F862" i="34" s="1"/>
  <c r="U13" i="71"/>
  <c r="V13" i="71" s="1"/>
  <c r="F855" i="34" s="1"/>
  <c r="J13" i="71"/>
  <c r="K13" i="71" s="1"/>
  <c r="F848" i="34" s="1"/>
  <c r="CI12" i="71"/>
  <c r="CJ12" i="71" s="1"/>
  <c r="F896" i="34" s="1"/>
  <c r="BX12" i="71"/>
  <c r="BY12" i="71" s="1"/>
  <c r="F889" i="34" s="1"/>
  <c r="BM12" i="71"/>
  <c r="BN12" i="71" s="1"/>
  <c r="F882" i="34" s="1"/>
  <c r="BB12" i="71"/>
  <c r="BC12" i="71" s="1"/>
  <c r="F875" i="34" s="1"/>
  <c r="AQ12" i="71"/>
  <c r="AR12" i="71" s="1"/>
  <c r="F868" i="34" s="1"/>
  <c r="AF12" i="71"/>
  <c r="AG12" i="71" s="1"/>
  <c r="F861" i="34" s="1"/>
  <c r="U12" i="71"/>
  <c r="V12" i="71" s="1"/>
  <c r="F854" i="34" s="1"/>
  <c r="J12" i="71"/>
  <c r="K12" i="71" s="1"/>
  <c r="F847" i="34" s="1"/>
  <c r="CI11" i="71"/>
  <c r="CJ11" i="71" s="1"/>
  <c r="F895" i="34" s="1"/>
  <c r="BX11" i="71"/>
  <c r="BY11" i="71" s="1"/>
  <c r="F888" i="34" s="1"/>
  <c r="BM11" i="71"/>
  <c r="BN11" i="71" s="1"/>
  <c r="F881" i="34" s="1"/>
  <c r="BB11" i="71"/>
  <c r="BC11" i="71" s="1"/>
  <c r="F874" i="34" s="1"/>
  <c r="AQ11" i="71"/>
  <c r="AR11" i="71" s="1"/>
  <c r="F867" i="34" s="1"/>
  <c r="AF11" i="71"/>
  <c r="AG11" i="71" s="1"/>
  <c r="F860" i="34" s="1"/>
  <c r="U11" i="71"/>
  <c r="V11" i="71" s="1"/>
  <c r="F853" i="34" s="1"/>
  <c r="J11" i="71"/>
  <c r="K11" i="71" s="1"/>
  <c r="F846" i="34" s="1"/>
  <c r="CI10" i="71"/>
  <c r="CJ10" i="71" s="1"/>
  <c r="F894" i="34" s="1"/>
  <c r="BX10" i="71"/>
  <c r="BY10" i="71" s="1"/>
  <c r="F887" i="34" s="1"/>
  <c r="BM10" i="71"/>
  <c r="BN10" i="71" s="1"/>
  <c r="F880" i="34" s="1"/>
  <c r="BB10" i="71"/>
  <c r="BC10" i="71" s="1"/>
  <c r="F873" i="34" s="1"/>
  <c r="AQ10" i="71"/>
  <c r="AR10" i="71" s="1"/>
  <c r="F866" i="34" s="1"/>
  <c r="AF10" i="71"/>
  <c r="AG10" i="71" s="1"/>
  <c r="F859" i="34" s="1"/>
  <c r="U10" i="71"/>
  <c r="V10" i="71" s="1"/>
  <c r="F852" i="34" s="1"/>
  <c r="J10" i="71"/>
  <c r="K10" i="71" s="1"/>
  <c r="F845" i="34" s="1"/>
  <c r="CI9" i="71"/>
  <c r="CJ9" i="71" s="1"/>
  <c r="F893" i="34" s="1"/>
  <c r="BX9" i="71"/>
  <c r="BY9" i="71" s="1"/>
  <c r="F886" i="34" s="1"/>
  <c r="BM9" i="71"/>
  <c r="BN9" i="71" s="1"/>
  <c r="F879" i="34" s="1"/>
  <c r="BB9" i="71"/>
  <c r="BC9" i="71" s="1"/>
  <c r="F872" i="34" s="1"/>
  <c r="AQ9" i="71"/>
  <c r="AR9" i="71" s="1"/>
  <c r="F865" i="34" s="1"/>
  <c r="AF9" i="71"/>
  <c r="AG9" i="71" s="1"/>
  <c r="F858" i="34" s="1"/>
  <c r="U9" i="71"/>
  <c r="V9" i="71" s="1"/>
  <c r="F851" i="34" s="1"/>
  <c r="J9" i="71"/>
  <c r="K9" i="71" s="1"/>
  <c r="F844" i="34" s="1"/>
  <c r="CI8" i="71"/>
  <c r="CJ8" i="71" s="1"/>
  <c r="F892" i="34" s="1"/>
  <c r="BX8" i="71"/>
  <c r="BY8" i="71" s="1"/>
  <c r="BM8" i="71"/>
  <c r="BN8" i="71" s="1"/>
  <c r="F878" i="34" s="1"/>
  <c r="BB8" i="71"/>
  <c r="BC8" i="71" s="1"/>
  <c r="AQ8" i="71"/>
  <c r="AR8" i="71" s="1"/>
  <c r="F864" i="34" s="1"/>
  <c r="AF8" i="71"/>
  <c r="AG8" i="71" s="1"/>
  <c r="U8" i="71"/>
  <c r="V8" i="71" s="1"/>
  <c r="J8" i="71"/>
  <c r="K8" i="71" s="1"/>
  <c r="CI7" i="71"/>
  <c r="CJ7" i="71" s="1"/>
  <c r="BX7" i="71"/>
  <c r="BY7" i="71" s="1"/>
  <c r="BM7" i="71"/>
  <c r="BN7" i="71" s="1"/>
  <c r="BN14" i="71" s="1"/>
  <c r="BB7" i="71"/>
  <c r="BC7" i="71" s="1"/>
  <c r="AQ7" i="71"/>
  <c r="AR7" i="71" s="1"/>
  <c r="AF7" i="71"/>
  <c r="AG7" i="71" s="1"/>
  <c r="U7" i="71"/>
  <c r="V7" i="71" s="1"/>
  <c r="J7" i="71"/>
  <c r="K7" i="71" s="1"/>
  <c r="F842" i="34" s="1"/>
  <c r="E29" i="70"/>
  <c r="CI13" i="70"/>
  <c r="CJ13" i="70" s="1"/>
  <c r="BX13" i="70"/>
  <c r="BY13" i="70" s="1"/>
  <c r="F834" i="34" s="1"/>
  <c r="BM13" i="70"/>
  <c r="BN13" i="70" s="1"/>
  <c r="F827" i="34" s="1"/>
  <c r="BB13" i="70"/>
  <c r="BC13" i="70" s="1"/>
  <c r="F820" i="34" s="1"/>
  <c r="AQ13" i="70"/>
  <c r="AR13" i="70" s="1"/>
  <c r="F813" i="34" s="1"/>
  <c r="AF13" i="70"/>
  <c r="AG13" i="70" s="1"/>
  <c r="F806" i="34" s="1"/>
  <c r="U13" i="70"/>
  <c r="V13" i="70" s="1"/>
  <c r="F799" i="34" s="1"/>
  <c r="J13" i="70"/>
  <c r="K13" i="70" s="1"/>
  <c r="F792" i="34" s="1"/>
  <c r="CI12" i="70"/>
  <c r="CJ12" i="70" s="1"/>
  <c r="F840" i="34" s="1"/>
  <c r="BX12" i="70"/>
  <c r="BY12" i="70" s="1"/>
  <c r="F833" i="34" s="1"/>
  <c r="BM12" i="70"/>
  <c r="BN12" i="70" s="1"/>
  <c r="F826" i="34" s="1"/>
  <c r="BB12" i="70"/>
  <c r="BC12" i="70" s="1"/>
  <c r="F819" i="34" s="1"/>
  <c r="AQ12" i="70"/>
  <c r="AR12" i="70" s="1"/>
  <c r="F812" i="34" s="1"/>
  <c r="AF12" i="70"/>
  <c r="AG12" i="70" s="1"/>
  <c r="F805" i="34" s="1"/>
  <c r="U12" i="70"/>
  <c r="V12" i="70" s="1"/>
  <c r="F798" i="34" s="1"/>
  <c r="J12" i="70"/>
  <c r="K12" i="70" s="1"/>
  <c r="F791" i="34" s="1"/>
  <c r="CI11" i="70"/>
  <c r="CJ11" i="70" s="1"/>
  <c r="F839" i="34" s="1"/>
  <c r="BX11" i="70"/>
  <c r="BY11" i="70" s="1"/>
  <c r="F832" i="34" s="1"/>
  <c r="BM11" i="70"/>
  <c r="BN11" i="70" s="1"/>
  <c r="F825" i="34" s="1"/>
  <c r="BB11" i="70"/>
  <c r="BC11" i="70" s="1"/>
  <c r="F818" i="34" s="1"/>
  <c r="AQ11" i="70"/>
  <c r="AR11" i="70" s="1"/>
  <c r="F811" i="34" s="1"/>
  <c r="AF11" i="70"/>
  <c r="AG11" i="70" s="1"/>
  <c r="F804" i="34" s="1"/>
  <c r="U11" i="70"/>
  <c r="V11" i="70" s="1"/>
  <c r="F797" i="34" s="1"/>
  <c r="J11" i="70"/>
  <c r="K11" i="70" s="1"/>
  <c r="F790" i="34" s="1"/>
  <c r="CI10" i="70"/>
  <c r="CJ10" i="70" s="1"/>
  <c r="F838" i="34" s="1"/>
  <c r="BX10" i="70"/>
  <c r="BY10" i="70" s="1"/>
  <c r="F831" i="34" s="1"/>
  <c r="BM10" i="70"/>
  <c r="BN10" i="70" s="1"/>
  <c r="F824" i="34" s="1"/>
  <c r="BB10" i="70"/>
  <c r="BC10" i="70" s="1"/>
  <c r="F817" i="34" s="1"/>
  <c r="AQ10" i="70"/>
  <c r="AR10" i="70" s="1"/>
  <c r="F810" i="34" s="1"/>
  <c r="AF10" i="70"/>
  <c r="AG10" i="70" s="1"/>
  <c r="F803" i="34" s="1"/>
  <c r="U10" i="70"/>
  <c r="V10" i="70" s="1"/>
  <c r="F796" i="34" s="1"/>
  <c r="J10" i="70"/>
  <c r="K10" i="70" s="1"/>
  <c r="F789" i="34" s="1"/>
  <c r="CI9" i="70"/>
  <c r="CJ9" i="70" s="1"/>
  <c r="F837" i="34" s="1"/>
  <c r="BX9" i="70"/>
  <c r="BY9" i="70" s="1"/>
  <c r="F830" i="34" s="1"/>
  <c r="BM9" i="70"/>
  <c r="BN9" i="70" s="1"/>
  <c r="F823" i="34" s="1"/>
  <c r="BB9" i="70"/>
  <c r="BC9" i="70" s="1"/>
  <c r="F816" i="34" s="1"/>
  <c r="AQ9" i="70"/>
  <c r="AR9" i="70" s="1"/>
  <c r="F809" i="34" s="1"/>
  <c r="AF9" i="70"/>
  <c r="AG9" i="70" s="1"/>
  <c r="F802" i="34" s="1"/>
  <c r="U9" i="70"/>
  <c r="V9" i="70" s="1"/>
  <c r="F795" i="34" s="1"/>
  <c r="J9" i="70"/>
  <c r="K9" i="70" s="1"/>
  <c r="F788" i="34" s="1"/>
  <c r="CI8" i="70"/>
  <c r="CJ8" i="70" s="1"/>
  <c r="F836" i="34" s="1"/>
  <c r="BX8" i="70"/>
  <c r="BY8" i="70" s="1"/>
  <c r="F829" i="34" s="1"/>
  <c r="BM8" i="70"/>
  <c r="BN8" i="70" s="1"/>
  <c r="F822" i="34" s="1"/>
  <c r="BB8" i="70"/>
  <c r="BC8" i="70" s="1"/>
  <c r="F815" i="34" s="1"/>
  <c r="AQ8" i="70"/>
  <c r="AR8" i="70" s="1"/>
  <c r="F808" i="34" s="1"/>
  <c r="AF8" i="70"/>
  <c r="AG8" i="70" s="1"/>
  <c r="F801" i="34" s="1"/>
  <c r="U8" i="70"/>
  <c r="V8" i="70" s="1"/>
  <c r="F794" i="34" s="1"/>
  <c r="J8" i="70"/>
  <c r="K8" i="70" s="1"/>
  <c r="F787" i="34" s="1"/>
  <c r="CI7" i="70"/>
  <c r="CJ7" i="70" s="1"/>
  <c r="F835" i="34" s="1"/>
  <c r="BX7" i="70"/>
  <c r="BY7" i="70" s="1"/>
  <c r="F828" i="34" s="1"/>
  <c r="BM7" i="70"/>
  <c r="BN7" i="70" s="1"/>
  <c r="BN14" i="70" s="1"/>
  <c r="BB7" i="70"/>
  <c r="BC7" i="70" s="1"/>
  <c r="AQ7" i="70"/>
  <c r="AR7" i="70" s="1"/>
  <c r="AF7" i="70"/>
  <c r="AG7" i="70" s="1"/>
  <c r="F800" i="34" s="1"/>
  <c r="U7" i="70"/>
  <c r="V7" i="70" s="1"/>
  <c r="V14" i="70" s="1"/>
  <c r="V17" i="70" s="1"/>
  <c r="J7" i="70"/>
  <c r="K7" i="70" s="1"/>
  <c r="F786" i="34" s="1"/>
  <c r="E29" i="69"/>
  <c r="E31" i="69" s="1"/>
  <c r="W38" i="69" s="1"/>
  <c r="AV15" i="34" s="1"/>
  <c r="CI13" i="69"/>
  <c r="CJ13" i="69" s="1"/>
  <c r="BX13" i="69"/>
  <c r="BY13" i="69" s="1"/>
  <c r="F778" i="34" s="1"/>
  <c r="BM13" i="69"/>
  <c r="BN13" i="69" s="1"/>
  <c r="F771" i="34" s="1"/>
  <c r="BB13" i="69"/>
  <c r="BC13" i="69" s="1"/>
  <c r="F764" i="34" s="1"/>
  <c r="AQ13" i="69"/>
  <c r="AR13" i="69" s="1"/>
  <c r="F757" i="34" s="1"/>
  <c r="AF13" i="69"/>
  <c r="AG13" i="69" s="1"/>
  <c r="F750" i="34" s="1"/>
  <c r="U13" i="69"/>
  <c r="V13" i="69" s="1"/>
  <c r="F743" i="34" s="1"/>
  <c r="J13" i="69"/>
  <c r="K13" i="69" s="1"/>
  <c r="F736" i="34" s="1"/>
  <c r="CI12" i="69"/>
  <c r="CJ12" i="69" s="1"/>
  <c r="F784" i="34" s="1"/>
  <c r="BX12" i="69"/>
  <c r="BY12" i="69" s="1"/>
  <c r="F777" i="34" s="1"/>
  <c r="BM12" i="69"/>
  <c r="BN12" i="69" s="1"/>
  <c r="F770" i="34" s="1"/>
  <c r="BB12" i="69"/>
  <c r="BC12" i="69" s="1"/>
  <c r="F763" i="34" s="1"/>
  <c r="AQ12" i="69"/>
  <c r="AR12" i="69" s="1"/>
  <c r="F756" i="34" s="1"/>
  <c r="AF12" i="69"/>
  <c r="AG12" i="69" s="1"/>
  <c r="F749" i="34" s="1"/>
  <c r="U12" i="69"/>
  <c r="V12" i="69" s="1"/>
  <c r="F742" i="34" s="1"/>
  <c r="J12" i="69"/>
  <c r="K12" i="69" s="1"/>
  <c r="F735" i="34" s="1"/>
  <c r="CI11" i="69"/>
  <c r="CJ11" i="69" s="1"/>
  <c r="F783" i="34" s="1"/>
  <c r="BX11" i="69"/>
  <c r="BY11" i="69" s="1"/>
  <c r="F776" i="34" s="1"/>
  <c r="BM11" i="69"/>
  <c r="BN11" i="69" s="1"/>
  <c r="F769" i="34" s="1"/>
  <c r="BB11" i="69"/>
  <c r="BC11" i="69" s="1"/>
  <c r="F762" i="34" s="1"/>
  <c r="AQ11" i="69"/>
  <c r="AR11" i="69" s="1"/>
  <c r="F755" i="34" s="1"/>
  <c r="AF11" i="69"/>
  <c r="AG11" i="69" s="1"/>
  <c r="F748" i="34" s="1"/>
  <c r="U11" i="69"/>
  <c r="V11" i="69" s="1"/>
  <c r="F741" i="34" s="1"/>
  <c r="J11" i="69"/>
  <c r="K11" i="69" s="1"/>
  <c r="F734" i="34" s="1"/>
  <c r="CI10" i="69"/>
  <c r="CJ10" i="69" s="1"/>
  <c r="F782" i="34" s="1"/>
  <c r="BX10" i="69"/>
  <c r="BY10" i="69" s="1"/>
  <c r="F775" i="34" s="1"/>
  <c r="BM10" i="69"/>
  <c r="BN10" i="69" s="1"/>
  <c r="F768" i="34" s="1"/>
  <c r="BB10" i="69"/>
  <c r="BC10" i="69" s="1"/>
  <c r="F761" i="34" s="1"/>
  <c r="AQ10" i="69"/>
  <c r="AR10" i="69" s="1"/>
  <c r="F754" i="34" s="1"/>
  <c r="AF10" i="69"/>
  <c r="AG10" i="69" s="1"/>
  <c r="F747" i="34" s="1"/>
  <c r="U10" i="69"/>
  <c r="V10" i="69" s="1"/>
  <c r="F740" i="34" s="1"/>
  <c r="J10" i="69"/>
  <c r="K10" i="69" s="1"/>
  <c r="F733" i="34" s="1"/>
  <c r="CI9" i="69"/>
  <c r="CJ9" i="69" s="1"/>
  <c r="F781" i="34" s="1"/>
  <c r="BX9" i="69"/>
  <c r="BY9" i="69" s="1"/>
  <c r="F774" i="34" s="1"/>
  <c r="BM9" i="69"/>
  <c r="BN9" i="69" s="1"/>
  <c r="F767" i="34" s="1"/>
  <c r="BB9" i="69"/>
  <c r="BC9" i="69" s="1"/>
  <c r="F760" i="34" s="1"/>
  <c r="AQ9" i="69"/>
  <c r="AR9" i="69" s="1"/>
  <c r="F753" i="34" s="1"/>
  <c r="AF9" i="69"/>
  <c r="AG9" i="69" s="1"/>
  <c r="F746" i="34" s="1"/>
  <c r="U9" i="69"/>
  <c r="V9" i="69" s="1"/>
  <c r="F739" i="34" s="1"/>
  <c r="J9" i="69"/>
  <c r="K9" i="69" s="1"/>
  <c r="F732" i="34" s="1"/>
  <c r="CI8" i="69"/>
  <c r="CJ8" i="69" s="1"/>
  <c r="F780" i="34" s="1"/>
  <c r="BX8" i="69"/>
  <c r="BY8" i="69" s="1"/>
  <c r="F773" i="34" s="1"/>
  <c r="BM8" i="69"/>
  <c r="BN8" i="69" s="1"/>
  <c r="F766" i="34" s="1"/>
  <c r="BB8" i="69"/>
  <c r="BC8" i="69" s="1"/>
  <c r="F759" i="34" s="1"/>
  <c r="AQ8" i="69"/>
  <c r="AR8" i="69" s="1"/>
  <c r="F752" i="34" s="1"/>
  <c r="AF8" i="69"/>
  <c r="AG8" i="69" s="1"/>
  <c r="F745" i="34" s="1"/>
  <c r="U8" i="69"/>
  <c r="V8" i="69" s="1"/>
  <c r="F738" i="34" s="1"/>
  <c r="J8" i="69"/>
  <c r="K8" i="69" s="1"/>
  <c r="F731" i="34" s="1"/>
  <c r="CI7" i="69"/>
  <c r="CJ7" i="69" s="1"/>
  <c r="CJ14" i="69" s="1"/>
  <c r="BX7" i="69"/>
  <c r="BY7" i="69" s="1"/>
  <c r="BM7" i="69"/>
  <c r="BN7" i="69" s="1"/>
  <c r="BB7" i="69"/>
  <c r="BC7" i="69" s="1"/>
  <c r="BC14" i="69" s="1"/>
  <c r="AQ7" i="69"/>
  <c r="AR7" i="69" s="1"/>
  <c r="AF7" i="69"/>
  <c r="AG7" i="69" s="1"/>
  <c r="U7" i="69"/>
  <c r="V7" i="69" s="1"/>
  <c r="J7" i="69"/>
  <c r="K7" i="69" s="1"/>
  <c r="K14" i="69" s="1"/>
  <c r="E29" i="68"/>
  <c r="E31" i="68" s="1"/>
  <c r="W38" i="68" s="1"/>
  <c r="AV14" i="34" s="1"/>
  <c r="CI13" i="68"/>
  <c r="CJ13" i="68" s="1"/>
  <c r="BX13" i="68"/>
  <c r="BY13" i="68" s="1"/>
  <c r="F722" i="34" s="1"/>
  <c r="BM13" i="68"/>
  <c r="BN13" i="68" s="1"/>
  <c r="F715" i="34" s="1"/>
  <c r="BB13" i="68"/>
  <c r="BC13" i="68" s="1"/>
  <c r="F708" i="34" s="1"/>
  <c r="AQ13" i="68"/>
  <c r="AR13" i="68" s="1"/>
  <c r="F701" i="34" s="1"/>
  <c r="AF13" i="68"/>
  <c r="AG13" i="68" s="1"/>
  <c r="F694" i="34" s="1"/>
  <c r="U13" i="68"/>
  <c r="V13" i="68" s="1"/>
  <c r="F687" i="34" s="1"/>
  <c r="J13" i="68"/>
  <c r="K13" i="68" s="1"/>
  <c r="F680" i="34" s="1"/>
  <c r="CI12" i="68"/>
  <c r="CJ12" i="68" s="1"/>
  <c r="F728" i="34" s="1"/>
  <c r="BX12" i="68"/>
  <c r="BY12" i="68" s="1"/>
  <c r="F721" i="34" s="1"/>
  <c r="BM12" i="68"/>
  <c r="BN12" i="68" s="1"/>
  <c r="F714" i="34" s="1"/>
  <c r="BB12" i="68"/>
  <c r="BC12" i="68" s="1"/>
  <c r="F707" i="34" s="1"/>
  <c r="AQ12" i="68"/>
  <c r="AR12" i="68" s="1"/>
  <c r="F700" i="34" s="1"/>
  <c r="AF12" i="68"/>
  <c r="AG12" i="68" s="1"/>
  <c r="F693" i="34" s="1"/>
  <c r="U12" i="68"/>
  <c r="V12" i="68" s="1"/>
  <c r="F686" i="34" s="1"/>
  <c r="J12" i="68"/>
  <c r="K12" i="68" s="1"/>
  <c r="F679" i="34" s="1"/>
  <c r="CI11" i="68"/>
  <c r="CJ11" i="68" s="1"/>
  <c r="F727" i="34" s="1"/>
  <c r="BX11" i="68"/>
  <c r="BY11" i="68" s="1"/>
  <c r="F720" i="34" s="1"/>
  <c r="BM11" i="68"/>
  <c r="BN11" i="68" s="1"/>
  <c r="F713" i="34" s="1"/>
  <c r="BB11" i="68"/>
  <c r="BC11" i="68" s="1"/>
  <c r="F706" i="34" s="1"/>
  <c r="AQ11" i="68"/>
  <c r="AR11" i="68" s="1"/>
  <c r="F699" i="34" s="1"/>
  <c r="AF11" i="68"/>
  <c r="AG11" i="68" s="1"/>
  <c r="F692" i="34" s="1"/>
  <c r="U11" i="68"/>
  <c r="V11" i="68" s="1"/>
  <c r="F685" i="34" s="1"/>
  <c r="J11" i="68"/>
  <c r="K11" i="68" s="1"/>
  <c r="F678" i="34" s="1"/>
  <c r="CI10" i="68"/>
  <c r="CJ10" i="68" s="1"/>
  <c r="F726" i="34" s="1"/>
  <c r="BX10" i="68"/>
  <c r="BY10" i="68" s="1"/>
  <c r="F719" i="34" s="1"/>
  <c r="BM10" i="68"/>
  <c r="BN10" i="68" s="1"/>
  <c r="F712" i="34" s="1"/>
  <c r="BB10" i="68"/>
  <c r="BC10" i="68" s="1"/>
  <c r="F705" i="34" s="1"/>
  <c r="AQ10" i="68"/>
  <c r="AR10" i="68" s="1"/>
  <c r="F698" i="34" s="1"/>
  <c r="AF10" i="68"/>
  <c r="AG10" i="68" s="1"/>
  <c r="F691" i="34" s="1"/>
  <c r="U10" i="68"/>
  <c r="V10" i="68" s="1"/>
  <c r="F684" i="34" s="1"/>
  <c r="J10" i="68"/>
  <c r="K10" i="68" s="1"/>
  <c r="F677" i="34" s="1"/>
  <c r="CI9" i="68"/>
  <c r="CJ9" i="68" s="1"/>
  <c r="F725" i="34" s="1"/>
  <c r="BX9" i="68"/>
  <c r="BY9" i="68" s="1"/>
  <c r="F718" i="34" s="1"/>
  <c r="BM9" i="68"/>
  <c r="BN9" i="68" s="1"/>
  <c r="F711" i="34" s="1"/>
  <c r="BB9" i="68"/>
  <c r="BC9" i="68" s="1"/>
  <c r="F704" i="34" s="1"/>
  <c r="AQ9" i="68"/>
  <c r="AR9" i="68" s="1"/>
  <c r="F697" i="34" s="1"/>
  <c r="AF9" i="68"/>
  <c r="AG9" i="68" s="1"/>
  <c r="F690" i="34" s="1"/>
  <c r="U9" i="68"/>
  <c r="V9" i="68" s="1"/>
  <c r="F683" i="34" s="1"/>
  <c r="J9" i="68"/>
  <c r="K9" i="68" s="1"/>
  <c r="F676" i="34" s="1"/>
  <c r="CI8" i="68"/>
  <c r="CJ8" i="68" s="1"/>
  <c r="F724" i="34" s="1"/>
  <c r="BX8" i="68"/>
  <c r="BY8" i="68" s="1"/>
  <c r="F717" i="34" s="1"/>
  <c r="BM8" i="68"/>
  <c r="BN8" i="68" s="1"/>
  <c r="F710" i="34" s="1"/>
  <c r="BB8" i="68"/>
  <c r="BC8" i="68" s="1"/>
  <c r="F703" i="34" s="1"/>
  <c r="AQ8" i="68"/>
  <c r="AR8" i="68" s="1"/>
  <c r="AF8" i="68"/>
  <c r="AG8" i="68" s="1"/>
  <c r="F689" i="34" s="1"/>
  <c r="U8" i="68"/>
  <c r="V8" i="68" s="1"/>
  <c r="J8" i="68"/>
  <c r="K8" i="68" s="1"/>
  <c r="F675" i="34" s="1"/>
  <c r="CI7" i="68"/>
  <c r="CJ7" i="68" s="1"/>
  <c r="BX7" i="68"/>
  <c r="BY7" i="68" s="1"/>
  <c r="BM7" i="68"/>
  <c r="BN7" i="68" s="1"/>
  <c r="BB7" i="68"/>
  <c r="BC7" i="68" s="1"/>
  <c r="AQ7" i="68"/>
  <c r="AR7" i="68" s="1"/>
  <c r="AF7" i="68"/>
  <c r="AG7" i="68" s="1"/>
  <c r="U7" i="68"/>
  <c r="V7" i="68" s="1"/>
  <c r="F681" i="34" s="1"/>
  <c r="J7" i="68"/>
  <c r="K7" i="68" s="1"/>
  <c r="F674" i="34" s="1"/>
  <c r="E29" i="67"/>
  <c r="E31" i="67" s="1"/>
  <c r="W38" i="67" s="1"/>
  <c r="AV13" i="34" s="1"/>
  <c r="CI13" i="67"/>
  <c r="CJ13" i="67" s="1"/>
  <c r="BX13" i="67"/>
  <c r="BY13" i="67" s="1"/>
  <c r="F666" i="34" s="1"/>
  <c r="BM13" i="67"/>
  <c r="BN13" i="67" s="1"/>
  <c r="F659" i="34" s="1"/>
  <c r="BB13" i="67"/>
  <c r="BC13" i="67" s="1"/>
  <c r="F652" i="34" s="1"/>
  <c r="AQ13" i="67"/>
  <c r="AR13" i="67" s="1"/>
  <c r="F645" i="34" s="1"/>
  <c r="AF13" i="67"/>
  <c r="AG13" i="67" s="1"/>
  <c r="F638" i="34" s="1"/>
  <c r="U13" i="67"/>
  <c r="V13" i="67" s="1"/>
  <c r="F631" i="34" s="1"/>
  <c r="J13" i="67"/>
  <c r="K13" i="67" s="1"/>
  <c r="F624" i="34" s="1"/>
  <c r="CI12" i="67"/>
  <c r="CJ12" i="67" s="1"/>
  <c r="F672" i="34" s="1"/>
  <c r="BX12" i="67"/>
  <c r="BY12" i="67" s="1"/>
  <c r="F665" i="34" s="1"/>
  <c r="BM12" i="67"/>
  <c r="BN12" i="67" s="1"/>
  <c r="F658" i="34" s="1"/>
  <c r="BB12" i="67"/>
  <c r="BC12" i="67" s="1"/>
  <c r="F651" i="34" s="1"/>
  <c r="AQ12" i="67"/>
  <c r="AR12" i="67" s="1"/>
  <c r="F644" i="34" s="1"/>
  <c r="AF12" i="67"/>
  <c r="AG12" i="67" s="1"/>
  <c r="F637" i="34" s="1"/>
  <c r="U12" i="67"/>
  <c r="V12" i="67" s="1"/>
  <c r="F630" i="34" s="1"/>
  <c r="J12" i="67"/>
  <c r="K12" i="67" s="1"/>
  <c r="F623" i="34" s="1"/>
  <c r="CI11" i="67"/>
  <c r="CJ11" i="67" s="1"/>
  <c r="F671" i="34" s="1"/>
  <c r="BX11" i="67"/>
  <c r="BY11" i="67" s="1"/>
  <c r="F664" i="34" s="1"/>
  <c r="BM11" i="67"/>
  <c r="BN11" i="67" s="1"/>
  <c r="F657" i="34" s="1"/>
  <c r="BB11" i="67"/>
  <c r="BC11" i="67" s="1"/>
  <c r="F650" i="34" s="1"/>
  <c r="AQ11" i="67"/>
  <c r="AR11" i="67" s="1"/>
  <c r="F643" i="34" s="1"/>
  <c r="AF11" i="67"/>
  <c r="AG11" i="67" s="1"/>
  <c r="F636" i="34" s="1"/>
  <c r="U11" i="67"/>
  <c r="V11" i="67" s="1"/>
  <c r="F629" i="34" s="1"/>
  <c r="J11" i="67"/>
  <c r="K11" i="67" s="1"/>
  <c r="F622" i="34" s="1"/>
  <c r="CI10" i="67"/>
  <c r="CJ10" i="67" s="1"/>
  <c r="F670" i="34" s="1"/>
  <c r="BX10" i="67"/>
  <c r="BY10" i="67" s="1"/>
  <c r="F663" i="34" s="1"/>
  <c r="BM10" i="67"/>
  <c r="BN10" i="67" s="1"/>
  <c r="F656" i="34" s="1"/>
  <c r="BB10" i="67"/>
  <c r="BC10" i="67" s="1"/>
  <c r="F649" i="34" s="1"/>
  <c r="AQ10" i="67"/>
  <c r="AR10" i="67" s="1"/>
  <c r="F642" i="34" s="1"/>
  <c r="AF10" i="67"/>
  <c r="AG10" i="67" s="1"/>
  <c r="F635" i="34" s="1"/>
  <c r="U10" i="67"/>
  <c r="V10" i="67" s="1"/>
  <c r="F628" i="34" s="1"/>
  <c r="J10" i="67"/>
  <c r="K10" i="67" s="1"/>
  <c r="F621" i="34" s="1"/>
  <c r="CI9" i="67"/>
  <c r="CJ9" i="67" s="1"/>
  <c r="F669" i="34" s="1"/>
  <c r="BX9" i="67"/>
  <c r="BY9" i="67" s="1"/>
  <c r="F662" i="34" s="1"/>
  <c r="BM9" i="67"/>
  <c r="BN9" i="67" s="1"/>
  <c r="F655" i="34" s="1"/>
  <c r="BB9" i="67"/>
  <c r="BC9" i="67" s="1"/>
  <c r="F648" i="34" s="1"/>
  <c r="AQ9" i="67"/>
  <c r="AR9" i="67" s="1"/>
  <c r="F641" i="34" s="1"/>
  <c r="AF9" i="67"/>
  <c r="AG9" i="67" s="1"/>
  <c r="F634" i="34" s="1"/>
  <c r="U9" i="67"/>
  <c r="V9" i="67" s="1"/>
  <c r="F627" i="34" s="1"/>
  <c r="J9" i="67"/>
  <c r="K9" i="67" s="1"/>
  <c r="F620" i="34" s="1"/>
  <c r="CI8" i="67"/>
  <c r="CJ8" i="67" s="1"/>
  <c r="F668" i="34" s="1"/>
  <c r="BX8" i="67"/>
  <c r="BY8" i="67" s="1"/>
  <c r="F661" i="34" s="1"/>
  <c r="BM8" i="67"/>
  <c r="BN8" i="67" s="1"/>
  <c r="F654" i="34" s="1"/>
  <c r="BB8" i="67"/>
  <c r="BC8" i="67" s="1"/>
  <c r="F647" i="34" s="1"/>
  <c r="AQ8" i="67"/>
  <c r="AR8" i="67" s="1"/>
  <c r="F640" i="34" s="1"/>
  <c r="AF8" i="67"/>
  <c r="AG8" i="67" s="1"/>
  <c r="F633" i="34" s="1"/>
  <c r="U8" i="67"/>
  <c r="V8" i="67" s="1"/>
  <c r="F626" i="34" s="1"/>
  <c r="J8" i="67"/>
  <c r="K8" i="67" s="1"/>
  <c r="F619" i="34" s="1"/>
  <c r="CI7" i="67"/>
  <c r="CJ7" i="67" s="1"/>
  <c r="CJ24" i="67" s="1"/>
  <c r="BX7" i="67"/>
  <c r="BY7" i="67" s="1"/>
  <c r="BM7" i="67"/>
  <c r="BN7" i="67" s="1"/>
  <c r="BB7" i="67"/>
  <c r="BC7" i="67" s="1"/>
  <c r="AQ7" i="67"/>
  <c r="AR7" i="67" s="1"/>
  <c r="AR24" i="67" s="1"/>
  <c r="AF7" i="67"/>
  <c r="AG7" i="67" s="1"/>
  <c r="U7" i="67"/>
  <c r="V7" i="67" s="1"/>
  <c r="F625" i="34" s="1"/>
  <c r="J7" i="67"/>
  <c r="K7" i="67" s="1"/>
  <c r="K24" i="67" s="1"/>
  <c r="AL89" i="4"/>
  <c r="AH89" i="4"/>
  <c r="M5" i="59" s="1"/>
  <c r="AH87" i="4"/>
  <c r="AL83" i="4"/>
  <c r="AH83" i="4"/>
  <c r="CC44" i="4"/>
  <c r="BW41" i="4"/>
  <c r="AJ8" i="34"/>
  <c r="AJ7" i="34"/>
  <c r="AJ6" i="34"/>
  <c r="AJ5" i="34"/>
  <c r="AJ4" i="34"/>
  <c r="AI12" i="34"/>
  <c r="AI11" i="34"/>
  <c r="AI10" i="34"/>
  <c r="AI8" i="34"/>
  <c r="AI7" i="34"/>
  <c r="AI6" i="34"/>
  <c r="AI5" i="34"/>
  <c r="AI4" i="34"/>
  <c r="G5" i="25"/>
  <c r="BL15" i="1"/>
  <c r="I6" i="60"/>
  <c r="T14" i="59"/>
  <c r="H14" i="59"/>
  <c r="G14" i="59"/>
  <c r="H16" i="59"/>
  <c r="G16" i="59"/>
  <c r="H15" i="59"/>
  <c r="G15" i="59"/>
  <c r="T13" i="59"/>
  <c r="H13" i="59"/>
  <c r="G13" i="59"/>
  <c r="T12" i="59"/>
  <c r="H12" i="59"/>
  <c r="G12" i="59"/>
  <c r="T11" i="59"/>
  <c r="H11" i="59"/>
  <c r="G11" i="59"/>
  <c r="T10" i="59"/>
  <c r="O10" i="59"/>
  <c r="J10" i="59"/>
  <c r="I10" i="59"/>
  <c r="H10" i="59"/>
  <c r="G10" i="59"/>
  <c r="T9" i="59"/>
  <c r="H9" i="59"/>
  <c r="G9" i="59"/>
  <c r="H8" i="59"/>
  <c r="G8" i="59"/>
  <c r="H7" i="59"/>
  <c r="G7" i="59"/>
  <c r="H6" i="59"/>
  <c r="G6" i="59"/>
  <c r="M3" i="57"/>
  <c r="N37" i="57" s="1"/>
  <c r="M3" i="56"/>
  <c r="N37" i="56" s="1"/>
  <c r="B563" i="34"/>
  <c r="B564" i="34"/>
  <c r="EE564" i="34" s="1"/>
  <c r="ED564" i="34" s="1"/>
  <c r="B565" i="34"/>
  <c r="B566" i="34"/>
  <c r="B567" i="34"/>
  <c r="B568" i="34"/>
  <c r="B569" i="34"/>
  <c r="B570" i="34"/>
  <c r="B571" i="34"/>
  <c r="B572" i="34"/>
  <c r="B573" i="34"/>
  <c r="B574" i="34"/>
  <c r="B575" i="34"/>
  <c r="B576" i="34"/>
  <c r="B577" i="34"/>
  <c r="B578" i="34"/>
  <c r="B579" i="34"/>
  <c r="EE579" i="34" s="1"/>
  <c r="ED579" i="34" s="1"/>
  <c r="B580" i="34"/>
  <c r="B581" i="34"/>
  <c r="EE581" i="34" s="1"/>
  <c r="ED581" i="34" s="1"/>
  <c r="B582" i="34"/>
  <c r="B583" i="34"/>
  <c r="B584" i="34"/>
  <c r="B585" i="34"/>
  <c r="B586" i="34"/>
  <c r="B587" i="34"/>
  <c r="EE587" i="34" s="1"/>
  <c r="ED587" i="34" s="1"/>
  <c r="B588" i="34"/>
  <c r="B589" i="34"/>
  <c r="B590" i="34"/>
  <c r="B591" i="34"/>
  <c r="EE591" i="34" s="1"/>
  <c r="ED591" i="34" s="1"/>
  <c r="B592" i="34"/>
  <c r="B593" i="34"/>
  <c r="B594" i="34"/>
  <c r="B595" i="34"/>
  <c r="B596" i="34"/>
  <c r="B597" i="34"/>
  <c r="EE597" i="34" s="1"/>
  <c r="ED597" i="34" s="1"/>
  <c r="B598" i="34"/>
  <c r="B599" i="34"/>
  <c r="B600" i="34"/>
  <c r="B601" i="34"/>
  <c r="EE601" i="34" s="1"/>
  <c r="ED601" i="34" s="1"/>
  <c r="B602" i="34"/>
  <c r="B603" i="34"/>
  <c r="B604" i="34"/>
  <c r="B605" i="34"/>
  <c r="B606" i="34"/>
  <c r="B607" i="34"/>
  <c r="EE607" i="34" s="1"/>
  <c r="ED607" i="34" s="1"/>
  <c r="B608" i="34"/>
  <c r="B609" i="34"/>
  <c r="B610" i="34"/>
  <c r="B611" i="34"/>
  <c r="EE611" i="34" s="1"/>
  <c r="ED611" i="34" s="1"/>
  <c r="B612" i="34"/>
  <c r="B613" i="34"/>
  <c r="B614" i="34"/>
  <c r="B615" i="34"/>
  <c r="B616" i="34"/>
  <c r="B617" i="34"/>
  <c r="B562" i="34"/>
  <c r="B507" i="34"/>
  <c r="B508" i="34"/>
  <c r="B509" i="34"/>
  <c r="EE509" i="34" s="1"/>
  <c r="ED509" i="34" s="1"/>
  <c r="B510" i="34"/>
  <c r="B511" i="34"/>
  <c r="B512" i="34"/>
  <c r="B513" i="34"/>
  <c r="B514" i="34"/>
  <c r="B515" i="34"/>
  <c r="B516" i="34"/>
  <c r="B517" i="34"/>
  <c r="B518" i="34"/>
  <c r="B519" i="34"/>
  <c r="B520" i="34"/>
  <c r="B521" i="34"/>
  <c r="B522" i="34"/>
  <c r="B523" i="34"/>
  <c r="B524" i="34"/>
  <c r="B525" i="34"/>
  <c r="EE525" i="34" s="1"/>
  <c r="ED525" i="34" s="1"/>
  <c r="B526" i="34"/>
  <c r="B527" i="34"/>
  <c r="B528" i="34"/>
  <c r="B529" i="34"/>
  <c r="B530" i="34"/>
  <c r="B531" i="34"/>
  <c r="B532" i="34"/>
  <c r="B533" i="34"/>
  <c r="B534" i="34"/>
  <c r="B535" i="34"/>
  <c r="B536" i="34"/>
  <c r="B537" i="34"/>
  <c r="B538" i="34"/>
  <c r="B539" i="34"/>
  <c r="B540" i="34"/>
  <c r="B541" i="34"/>
  <c r="EE541" i="34" s="1"/>
  <c r="ED541" i="34" s="1"/>
  <c r="B542" i="34"/>
  <c r="B543" i="34"/>
  <c r="B544" i="34"/>
  <c r="B545" i="34"/>
  <c r="B546" i="34"/>
  <c r="B547" i="34"/>
  <c r="B548" i="34"/>
  <c r="B549" i="34"/>
  <c r="B550" i="34"/>
  <c r="B551" i="34"/>
  <c r="B552" i="34"/>
  <c r="B553" i="34"/>
  <c r="B554" i="34"/>
  <c r="B555" i="34"/>
  <c r="B556" i="34"/>
  <c r="B557" i="34"/>
  <c r="EE557" i="34" s="1"/>
  <c r="ED557" i="34" s="1"/>
  <c r="B558" i="34"/>
  <c r="B559" i="34"/>
  <c r="B560" i="34"/>
  <c r="B561" i="34"/>
  <c r="B506" i="34"/>
  <c r="B451" i="34"/>
  <c r="B452" i="34"/>
  <c r="B453" i="34"/>
  <c r="EE453" i="34" s="1"/>
  <c r="ED453" i="34" s="1"/>
  <c r="B454" i="34"/>
  <c r="B455" i="34"/>
  <c r="B456" i="34"/>
  <c r="B457" i="34"/>
  <c r="B458" i="34"/>
  <c r="B459" i="34"/>
  <c r="B460" i="34"/>
  <c r="B461" i="34"/>
  <c r="B462" i="34"/>
  <c r="B463" i="34"/>
  <c r="B464" i="34"/>
  <c r="B465" i="34"/>
  <c r="EE465" i="34" s="1"/>
  <c r="ED465" i="34" s="1"/>
  <c r="B466" i="34"/>
  <c r="B467" i="34"/>
  <c r="B468" i="34"/>
  <c r="B469" i="34"/>
  <c r="B470" i="34"/>
  <c r="B471" i="34"/>
  <c r="B472" i="34"/>
  <c r="B473" i="34"/>
  <c r="B474" i="34"/>
  <c r="B475" i="34"/>
  <c r="B476" i="34"/>
  <c r="B477" i="34"/>
  <c r="B478" i="34"/>
  <c r="B479" i="34"/>
  <c r="EE479" i="34" s="1"/>
  <c r="ED479" i="34" s="1"/>
  <c r="B480" i="34"/>
  <c r="B481" i="34"/>
  <c r="B482" i="34"/>
  <c r="B483" i="34"/>
  <c r="B484" i="34"/>
  <c r="B485" i="34"/>
  <c r="B486" i="34"/>
  <c r="B487" i="34"/>
  <c r="B488" i="34"/>
  <c r="B489" i="34"/>
  <c r="EE489" i="34" s="1"/>
  <c r="ED489" i="34" s="1"/>
  <c r="B490" i="34"/>
  <c r="B491" i="34"/>
  <c r="B492" i="34"/>
  <c r="B493" i="34"/>
  <c r="B494" i="34"/>
  <c r="B495" i="34"/>
  <c r="B496" i="34"/>
  <c r="B497" i="34"/>
  <c r="B498" i="34"/>
  <c r="B499" i="34"/>
  <c r="B500" i="34"/>
  <c r="B501" i="34"/>
  <c r="B502" i="34"/>
  <c r="B503" i="34"/>
  <c r="B504" i="34"/>
  <c r="B505" i="34"/>
  <c r="B450" i="34"/>
  <c r="B395" i="34"/>
  <c r="B396" i="34"/>
  <c r="B397" i="34"/>
  <c r="B398" i="34"/>
  <c r="B399" i="34"/>
  <c r="B400" i="34"/>
  <c r="EE400" i="34" s="1"/>
  <c r="ED400" i="34" s="1"/>
  <c r="B401" i="34"/>
  <c r="B402" i="34"/>
  <c r="B403" i="34"/>
  <c r="B404" i="34"/>
  <c r="EE404" i="34" s="1"/>
  <c r="ED404" i="34" s="1"/>
  <c r="B405" i="34"/>
  <c r="B406" i="34"/>
  <c r="B407" i="34"/>
  <c r="B408" i="34"/>
  <c r="EE408" i="34" s="1"/>
  <c r="ED408" i="34" s="1"/>
  <c r="B409" i="34"/>
  <c r="EE409" i="34" s="1"/>
  <c r="ED409" i="34" s="1"/>
  <c r="B410" i="34"/>
  <c r="EE410" i="34" s="1"/>
  <c r="ED410" i="34" s="1"/>
  <c r="B411" i="34"/>
  <c r="B412" i="34"/>
  <c r="EE412" i="34" s="1"/>
  <c r="ED412" i="34" s="1"/>
  <c r="B413" i="34"/>
  <c r="B414" i="34"/>
  <c r="B415" i="34"/>
  <c r="B416" i="34"/>
  <c r="EE416" i="34" s="1"/>
  <c r="ED416" i="34" s="1"/>
  <c r="B417" i="34"/>
  <c r="B418" i="34"/>
  <c r="EE418" i="34" s="1"/>
  <c r="ED418" i="34" s="1"/>
  <c r="B419" i="34"/>
  <c r="B420" i="34"/>
  <c r="EE420" i="34" s="1"/>
  <c r="ED420" i="34" s="1"/>
  <c r="B421" i="34"/>
  <c r="B422" i="34"/>
  <c r="B423" i="34"/>
  <c r="B424" i="34"/>
  <c r="EE424" i="34" s="1"/>
  <c r="ED424" i="34" s="1"/>
  <c r="B425" i="34"/>
  <c r="B426" i="34"/>
  <c r="EE426" i="34" s="1"/>
  <c r="ED426" i="34" s="1"/>
  <c r="B427" i="34"/>
  <c r="B428" i="34"/>
  <c r="EE428" i="34" s="1"/>
  <c r="ED428" i="34" s="1"/>
  <c r="B429" i="34"/>
  <c r="B430" i="34"/>
  <c r="B431" i="34"/>
  <c r="B432" i="34"/>
  <c r="EE432" i="34" s="1"/>
  <c r="ED432" i="34" s="1"/>
  <c r="B433" i="34"/>
  <c r="B434" i="34"/>
  <c r="B435" i="34"/>
  <c r="B436" i="34"/>
  <c r="EE436" i="34" s="1"/>
  <c r="ED436" i="34" s="1"/>
  <c r="B437" i="34"/>
  <c r="B438" i="34"/>
  <c r="B439" i="34"/>
  <c r="B440" i="34"/>
  <c r="EE440" i="34" s="1"/>
  <c r="ED440" i="34" s="1"/>
  <c r="B441" i="34"/>
  <c r="B442" i="34"/>
  <c r="B443" i="34"/>
  <c r="B444" i="34"/>
  <c r="EE444" i="34" s="1"/>
  <c r="ED444" i="34" s="1"/>
  <c r="B445" i="34"/>
  <c r="B446" i="34"/>
  <c r="B447" i="34"/>
  <c r="B448" i="34"/>
  <c r="EE448" i="34" s="1"/>
  <c r="ED448" i="34" s="1"/>
  <c r="B449" i="34"/>
  <c r="B394" i="34"/>
  <c r="B339" i="34"/>
  <c r="B340" i="34"/>
  <c r="B341" i="34"/>
  <c r="B342" i="34"/>
  <c r="EE342" i="34" s="1"/>
  <c r="ED342" i="34" s="1"/>
  <c r="B343" i="34"/>
  <c r="B344" i="34"/>
  <c r="B345" i="34"/>
  <c r="B346" i="34"/>
  <c r="B347" i="34"/>
  <c r="B348" i="34"/>
  <c r="B349" i="34"/>
  <c r="B350" i="34"/>
  <c r="B351" i="34"/>
  <c r="B352" i="34"/>
  <c r="B353" i="34"/>
  <c r="B354" i="34"/>
  <c r="B355" i="34"/>
  <c r="B356" i="34"/>
  <c r="B357" i="34"/>
  <c r="B358" i="34"/>
  <c r="B359" i="34"/>
  <c r="B360" i="34"/>
  <c r="B361" i="34"/>
  <c r="EE361" i="34" s="1"/>
  <c r="ED361" i="34" s="1"/>
  <c r="B362" i="34"/>
  <c r="B363" i="34"/>
  <c r="B364" i="34"/>
  <c r="B365" i="34"/>
  <c r="B366" i="34"/>
  <c r="B367" i="34"/>
  <c r="B368" i="34"/>
  <c r="B369" i="34"/>
  <c r="B370" i="34"/>
  <c r="EE370" i="34" s="1"/>
  <c r="ED370" i="34" s="1"/>
  <c r="B371" i="34"/>
  <c r="B372" i="34"/>
  <c r="B373" i="34"/>
  <c r="EE373" i="34" s="1"/>
  <c r="ED373" i="34" s="1"/>
  <c r="B374" i="34"/>
  <c r="B375" i="34"/>
  <c r="B376" i="34"/>
  <c r="B377" i="34"/>
  <c r="B378" i="34"/>
  <c r="B379" i="34"/>
  <c r="B380" i="34"/>
  <c r="B381" i="34"/>
  <c r="B382" i="34"/>
  <c r="B383" i="34"/>
  <c r="B384" i="34"/>
  <c r="B385" i="34"/>
  <c r="B386" i="34"/>
  <c r="B387" i="34"/>
  <c r="B388" i="34"/>
  <c r="B389" i="34"/>
  <c r="B390" i="34"/>
  <c r="EE390" i="34" s="1"/>
  <c r="ED390" i="34" s="1"/>
  <c r="B391" i="34"/>
  <c r="B392" i="34"/>
  <c r="B393" i="34"/>
  <c r="B338" i="34"/>
  <c r="B283" i="34"/>
  <c r="B284" i="34"/>
  <c r="B285" i="34"/>
  <c r="B286" i="34"/>
  <c r="B287" i="34"/>
  <c r="B288" i="34"/>
  <c r="B289" i="34"/>
  <c r="B290" i="34"/>
  <c r="B291" i="34"/>
  <c r="B292" i="34"/>
  <c r="B293" i="34"/>
  <c r="B294" i="34"/>
  <c r="B295" i="34"/>
  <c r="B296" i="34"/>
  <c r="B297" i="34"/>
  <c r="EE297" i="34" s="1"/>
  <c r="ED297" i="34" s="1"/>
  <c r="B298" i="34"/>
  <c r="B299" i="34"/>
  <c r="B300" i="34"/>
  <c r="B301" i="34"/>
  <c r="B302" i="34"/>
  <c r="B303" i="34"/>
  <c r="B304" i="34"/>
  <c r="B305" i="34"/>
  <c r="B306" i="34"/>
  <c r="EE306" i="34" s="1"/>
  <c r="ED306" i="34" s="1"/>
  <c r="B307" i="34"/>
  <c r="B308" i="34"/>
  <c r="B309" i="34"/>
  <c r="EE309" i="34" s="1"/>
  <c r="ED309" i="34" s="1"/>
  <c r="B310" i="34"/>
  <c r="B311" i="34"/>
  <c r="EE311" i="34" s="1"/>
  <c r="ED311" i="34" s="1"/>
  <c r="B312" i="34"/>
  <c r="B313" i="34"/>
  <c r="B314" i="34"/>
  <c r="B315" i="34"/>
  <c r="B316" i="34"/>
  <c r="B317" i="34"/>
  <c r="B318" i="34"/>
  <c r="B319" i="34"/>
  <c r="B320" i="34"/>
  <c r="B321" i="34"/>
  <c r="B322" i="34"/>
  <c r="EE322" i="34" s="1"/>
  <c r="ED322" i="34" s="1"/>
  <c r="B323" i="34"/>
  <c r="B324" i="34"/>
  <c r="B325" i="34"/>
  <c r="B326" i="34"/>
  <c r="B327" i="34"/>
  <c r="B328" i="34"/>
  <c r="B329" i="34"/>
  <c r="B330" i="34"/>
  <c r="B331" i="34"/>
  <c r="B332" i="34"/>
  <c r="B333" i="34"/>
  <c r="B334" i="34"/>
  <c r="B335" i="34"/>
  <c r="B336" i="34"/>
  <c r="B337" i="34"/>
  <c r="EE337" i="34" s="1"/>
  <c r="ED337" i="34" s="1"/>
  <c r="B282" i="34"/>
  <c r="B227" i="34"/>
  <c r="B228" i="34"/>
  <c r="B229" i="34"/>
  <c r="B230" i="34"/>
  <c r="B231" i="34"/>
  <c r="B232" i="34"/>
  <c r="B233" i="34"/>
  <c r="EE233" i="34" s="1"/>
  <c r="ED233" i="34" s="1"/>
  <c r="B234" i="34"/>
  <c r="B235" i="34"/>
  <c r="B236" i="34"/>
  <c r="B237" i="34"/>
  <c r="B238" i="34"/>
  <c r="B239" i="34"/>
  <c r="B240" i="34"/>
  <c r="B241" i="34"/>
  <c r="B242" i="34"/>
  <c r="B243" i="34"/>
  <c r="B244" i="34"/>
  <c r="B245" i="34"/>
  <c r="EE245" i="34" s="1"/>
  <c r="ED245" i="34" s="1"/>
  <c r="B246" i="34"/>
  <c r="B247" i="34"/>
  <c r="B248" i="34"/>
  <c r="B249" i="34"/>
  <c r="B250" i="34"/>
  <c r="B251" i="34"/>
  <c r="B252" i="34"/>
  <c r="B253" i="34"/>
  <c r="B254" i="34"/>
  <c r="B255" i="34"/>
  <c r="B256" i="34"/>
  <c r="B257" i="34"/>
  <c r="B258" i="34"/>
  <c r="EE258" i="34" s="1"/>
  <c r="ED258" i="34" s="1"/>
  <c r="B259" i="34"/>
  <c r="B260" i="34"/>
  <c r="B261" i="34"/>
  <c r="B262" i="34"/>
  <c r="B263" i="34"/>
  <c r="B264" i="34"/>
  <c r="B265" i="34"/>
  <c r="B266" i="34"/>
  <c r="B267" i="34"/>
  <c r="B268" i="34"/>
  <c r="B269" i="34"/>
  <c r="B270" i="34"/>
  <c r="B271" i="34"/>
  <c r="B272" i="34"/>
  <c r="B273" i="34"/>
  <c r="EE273" i="34" s="1"/>
  <c r="ED273" i="34" s="1"/>
  <c r="B274" i="34"/>
  <c r="B275" i="34"/>
  <c r="B276" i="34"/>
  <c r="B277" i="34"/>
  <c r="B278" i="34"/>
  <c r="EE278" i="34" s="1"/>
  <c r="ED278" i="34" s="1"/>
  <c r="B279" i="34"/>
  <c r="B280" i="34"/>
  <c r="B281" i="34"/>
  <c r="B226" i="34"/>
  <c r="B171" i="34"/>
  <c r="B172" i="34"/>
  <c r="EE172" i="34" s="1"/>
  <c r="ED172" i="34" s="1"/>
  <c r="B173" i="34"/>
  <c r="B174" i="34"/>
  <c r="B175" i="34"/>
  <c r="B176" i="34"/>
  <c r="EE176" i="34" s="1"/>
  <c r="ED176" i="34" s="1"/>
  <c r="B177" i="34"/>
  <c r="B178" i="34"/>
  <c r="EE178" i="34" s="1"/>
  <c r="ED178" i="34" s="1"/>
  <c r="B179" i="34"/>
  <c r="B180" i="34"/>
  <c r="EE180" i="34" s="1"/>
  <c r="ED180" i="34" s="1"/>
  <c r="B181" i="34"/>
  <c r="B182" i="34"/>
  <c r="B183" i="34"/>
  <c r="B184" i="34"/>
  <c r="EE184" i="34" s="1"/>
  <c r="ED184" i="34" s="1"/>
  <c r="B185" i="34"/>
  <c r="B186" i="34"/>
  <c r="B187" i="34"/>
  <c r="B188" i="34"/>
  <c r="EE188" i="34" s="1"/>
  <c r="ED188" i="34" s="1"/>
  <c r="B189" i="34"/>
  <c r="B190" i="34"/>
  <c r="B191" i="34"/>
  <c r="B192" i="34"/>
  <c r="EE192" i="34" s="1"/>
  <c r="ED192" i="34" s="1"/>
  <c r="B193" i="34"/>
  <c r="B194" i="34"/>
  <c r="B195" i="34"/>
  <c r="B196" i="34"/>
  <c r="EE196" i="34" s="1"/>
  <c r="ED196" i="34" s="1"/>
  <c r="B197" i="34"/>
  <c r="B198" i="34"/>
  <c r="B199" i="34"/>
  <c r="B200" i="34"/>
  <c r="EE200" i="34" s="1"/>
  <c r="ED200" i="34" s="1"/>
  <c r="B201" i="34"/>
  <c r="B202" i="34"/>
  <c r="B203" i="34"/>
  <c r="B204" i="34"/>
  <c r="EE204" i="34" s="1"/>
  <c r="ED204" i="34" s="1"/>
  <c r="B205" i="34"/>
  <c r="B206" i="34"/>
  <c r="B207" i="34"/>
  <c r="B208" i="34"/>
  <c r="EE208" i="34" s="1"/>
  <c r="ED208" i="34" s="1"/>
  <c r="B209" i="34"/>
  <c r="B210" i="34"/>
  <c r="EE210" i="34" s="1"/>
  <c r="ED210" i="34" s="1"/>
  <c r="B211" i="34"/>
  <c r="B212" i="34"/>
  <c r="EE212" i="34" s="1"/>
  <c r="ED212" i="34" s="1"/>
  <c r="B213" i="34"/>
  <c r="B214" i="34"/>
  <c r="B215" i="34"/>
  <c r="B216" i="34"/>
  <c r="EE216" i="34" s="1"/>
  <c r="ED216" i="34" s="1"/>
  <c r="B217" i="34"/>
  <c r="B218" i="34"/>
  <c r="B219" i="34"/>
  <c r="B220" i="34"/>
  <c r="EE220" i="34" s="1"/>
  <c r="ED220" i="34" s="1"/>
  <c r="B221" i="34"/>
  <c r="B222" i="34"/>
  <c r="B223" i="34"/>
  <c r="B224" i="34"/>
  <c r="EE224" i="34" s="1"/>
  <c r="ED224" i="34" s="1"/>
  <c r="B225" i="34"/>
  <c r="B170" i="34"/>
  <c r="B115" i="34"/>
  <c r="B116" i="34"/>
  <c r="EE116" i="34" s="1"/>
  <c r="ED116" i="34" s="1"/>
  <c r="B117" i="34"/>
  <c r="B118" i="34"/>
  <c r="B119" i="34"/>
  <c r="B120" i="34"/>
  <c r="EE120" i="34" s="1"/>
  <c r="ED120" i="34" s="1"/>
  <c r="B121" i="34"/>
  <c r="B122" i="34"/>
  <c r="B123" i="34"/>
  <c r="B124" i="34"/>
  <c r="EE124" i="34" s="1"/>
  <c r="ED124" i="34" s="1"/>
  <c r="B125" i="34"/>
  <c r="B126" i="34"/>
  <c r="B127" i="34"/>
  <c r="B128" i="34"/>
  <c r="EE128" i="34" s="1"/>
  <c r="ED128" i="34" s="1"/>
  <c r="B129" i="34"/>
  <c r="B130" i="34"/>
  <c r="B131" i="34"/>
  <c r="B132" i="34"/>
  <c r="EE132" i="34" s="1"/>
  <c r="ED132" i="34" s="1"/>
  <c r="B133" i="34"/>
  <c r="B134" i="34"/>
  <c r="B135" i="34"/>
  <c r="B136" i="34"/>
  <c r="EE136" i="34" s="1"/>
  <c r="ED136" i="34" s="1"/>
  <c r="B137" i="34"/>
  <c r="B138" i="34"/>
  <c r="EE138" i="34" s="1"/>
  <c r="ED138" i="34" s="1"/>
  <c r="B139" i="34"/>
  <c r="B140" i="34"/>
  <c r="EE140" i="34" s="1"/>
  <c r="ED140" i="34" s="1"/>
  <c r="B141" i="34"/>
  <c r="B142" i="34"/>
  <c r="B143" i="34"/>
  <c r="B144" i="34"/>
  <c r="EE144" i="34" s="1"/>
  <c r="ED144" i="34" s="1"/>
  <c r="B145" i="34"/>
  <c r="B146" i="34"/>
  <c r="B147" i="34"/>
  <c r="B148" i="34"/>
  <c r="EE148" i="34" s="1"/>
  <c r="ED148" i="34" s="1"/>
  <c r="B149" i="34"/>
  <c r="B150" i="34"/>
  <c r="B151" i="34"/>
  <c r="B152" i="34"/>
  <c r="EE152" i="34" s="1"/>
  <c r="ED152" i="34" s="1"/>
  <c r="B153" i="34"/>
  <c r="B154" i="34"/>
  <c r="B155" i="34"/>
  <c r="B156" i="34"/>
  <c r="EE156" i="34" s="1"/>
  <c r="ED156" i="34" s="1"/>
  <c r="B157" i="34"/>
  <c r="B158" i="34"/>
  <c r="B159" i="34"/>
  <c r="B160" i="34"/>
  <c r="EE160" i="34" s="1"/>
  <c r="ED160" i="34" s="1"/>
  <c r="B161" i="34"/>
  <c r="B162" i="34"/>
  <c r="B163" i="34"/>
  <c r="B164" i="34"/>
  <c r="EE164" i="34" s="1"/>
  <c r="ED164" i="34" s="1"/>
  <c r="B165" i="34"/>
  <c r="B166" i="34"/>
  <c r="B167" i="34"/>
  <c r="B168" i="34"/>
  <c r="EE168" i="34" s="1"/>
  <c r="ED168" i="34" s="1"/>
  <c r="B169" i="34"/>
  <c r="B114" i="34"/>
  <c r="M89" i="34"/>
  <c r="M88" i="34"/>
  <c r="M87" i="34"/>
  <c r="M86" i="34"/>
  <c r="M85" i="34"/>
  <c r="M84" i="34"/>
  <c r="M83" i="34"/>
  <c r="M82" i="34"/>
  <c r="M81" i="34"/>
  <c r="M80" i="34"/>
  <c r="M79" i="34"/>
  <c r="M78" i="34"/>
  <c r="M77" i="34"/>
  <c r="M76" i="34"/>
  <c r="M75" i="34"/>
  <c r="M74" i="34"/>
  <c r="M73" i="34"/>
  <c r="M72" i="34"/>
  <c r="M71" i="34"/>
  <c r="M70" i="34"/>
  <c r="M69" i="34"/>
  <c r="M68" i="34"/>
  <c r="M67" i="34"/>
  <c r="M66" i="34"/>
  <c r="L51" i="34"/>
  <c r="L52" i="34"/>
  <c r="L53" i="34"/>
  <c r="L54" i="34"/>
  <c r="L55" i="34"/>
  <c r="L56" i="34"/>
  <c r="L57" i="34"/>
  <c r="L50" i="34"/>
  <c r="L43" i="34"/>
  <c r="L44" i="34"/>
  <c r="L45" i="34"/>
  <c r="L46" i="34"/>
  <c r="L47" i="34"/>
  <c r="L48" i="34"/>
  <c r="L49" i="34"/>
  <c r="L42" i="34"/>
  <c r="L35" i="34"/>
  <c r="L36" i="34"/>
  <c r="L37" i="34"/>
  <c r="L38" i="34"/>
  <c r="L39" i="34"/>
  <c r="L40" i="34"/>
  <c r="L41" i="34"/>
  <c r="L34" i="34"/>
  <c r="L27" i="34"/>
  <c r="L28" i="34"/>
  <c r="L29" i="34"/>
  <c r="L30" i="34"/>
  <c r="L31" i="34"/>
  <c r="L32" i="34"/>
  <c r="L33" i="34"/>
  <c r="L26" i="34"/>
  <c r="L19" i="34"/>
  <c r="L20" i="34"/>
  <c r="L21" i="34"/>
  <c r="L22" i="34"/>
  <c r="L23" i="34"/>
  <c r="L24" i="34"/>
  <c r="L25" i="34"/>
  <c r="L18" i="34"/>
  <c r="L3" i="34"/>
  <c r="L4" i="34"/>
  <c r="L5" i="34"/>
  <c r="L6" i="34"/>
  <c r="L7" i="34"/>
  <c r="L8" i="34"/>
  <c r="L9" i="34"/>
  <c r="L2" i="34"/>
  <c r="L89" i="34"/>
  <c r="L83" i="34"/>
  <c r="L84" i="34"/>
  <c r="L85" i="34"/>
  <c r="L86" i="34"/>
  <c r="L87" i="34"/>
  <c r="L88" i="34"/>
  <c r="L82" i="34"/>
  <c r="L75" i="34"/>
  <c r="L76" i="34"/>
  <c r="L77" i="34"/>
  <c r="L78" i="34"/>
  <c r="L79" i="34"/>
  <c r="L80" i="34"/>
  <c r="L81" i="34"/>
  <c r="L74" i="34"/>
  <c r="L67" i="34"/>
  <c r="L68" i="34"/>
  <c r="L69" i="34"/>
  <c r="L70" i="34"/>
  <c r="L71" i="34"/>
  <c r="L72" i="34"/>
  <c r="L73" i="34"/>
  <c r="L66" i="34"/>
  <c r="A453" i="34"/>
  <c r="BX453" i="34" s="1"/>
  <c r="A465" i="34"/>
  <c r="BX465" i="34" s="1"/>
  <c r="A489" i="34"/>
  <c r="BX489" i="34" s="1"/>
  <c r="A509" i="34"/>
  <c r="BX509" i="34" s="1"/>
  <c r="A525" i="34"/>
  <c r="BX525" i="34" s="1"/>
  <c r="A541" i="34"/>
  <c r="BX541" i="34" s="1"/>
  <c r="A557" i="34"/>
  <c r="BX557" i="34" s="1"/>
  <c r="A579" i="34"/>
  <c r="BX579" i="34" s="1"/>
  <c r="A581" i="34"/>
  <c r="BX581" i="34" s="1"/>
  <c r="A597" i="34"/>
  <c r="BX597" i="34" s="1"/>
  <c r="A601" i="34"/>
  <c r="BX601" i="34" s="1"/>
  <c r="AH12" i="34"/>
  <c r="AH11" i="34"/>
  <c r="AH10" i="34"/>
  <c r="AG12" i="34"/>
  <c r="AG11" i="34"/>
  <c r="AG10" i="34"/>
  <c r="AB12" i="34"/>
  <c r="AB11" i="34"/>
  <c r="AB9" i="34"/>
  <c r="E29" i="57"/>
  <c r="CI13" i="57"/>
  <c r="CJ13" i="57" s="1"/>
  <c r="F617" i="34" s="1"/>
  <c r="BX13" i="57"/>
  <c r="BY13" i="57" s="1"/>
  <c r="F610" i="34" s="1"/>
  <c r="BM13" i="57"/>
  <c r="BN13" i="57" s="1"/>
  <c r="F603" i="34" s="1"/>
  <c r="BB13" i="57"/>
  <c r="BC13" i="57" s="1"/>
  <c r="F596" i="34" s="1"/>
  <c r="AQ13" i="57"/>
  <c r="AR13" i="57" s="1"/>
  <c r="F589" i="34" s="1"/>
  <c r="AF13" i="57"/>
  <c r="AG13" i="57" s="1"/>
  <c r="F582" i="34" s="1"/>
  <c r="U13" i="57"/>
  <c r="V13" i="57" s="1"/>
  <c r="F575" i="34" s="1"/>
  <c r="J13" i="57"/>
  <c r="K13" i="57" s="1"/>
  <c r="F568" i="34" s="1"/>
  <c r="CI12" i="57"/>
  <c r="CJ12" i="57" s="1"/>
  <c r="F616" i="34" s="1"/>
  <c r="BX12" i="57"/>
  <c r="BY12" i="57" s="1"/>
  <c r="F609" i="34" s="1"/>
  <c r="BM12" i="57"/>
  <c r="BN12" i="57" s="1"/>
  <c r="F602" i="34" s="1"/>
  <c r="BB12" i="57"/>
  <c r="BC12" i="57" s="1"/>
  <c r="F595" i="34" s="1"/>
  <c r="AQ12" i="57"/>
  <c r="AR12" i="57" s="1"/>
  <c r="F588" i="34" s="1"/>
  <c r="AF12" i="57"/>
  <c r="AG12" i="57" s="1"/>
  <c r="F581" i="34" s="1"/>
  <c r="U12" i="57"/>
  <c r="V12" i="57" s="1"/>
  <c r="F574" i="34" s="1"/>
  <c r="J12" i="57"/>
  <c r="K12" i="57" s="1"/>
  <c r="F567" i="34" s="1"/>
  <c r="CI11" i="57"/>
  <c r="CJ11" i="57" s="1"/>
  <c r="F615" i="34" s="1"/>
  <c r="BX11" i="57"/>
  <c r="BY11" i="57" s="1"/>
  <c r="F608" i="34" s="1"/>
  <c r="BM11" i="57"/>
  <c r="BN11" i="57" s="1"/>
  <c r="F601" i="34" s="1"/>
  <c r="BB11" i="57"/>
  <c r="BC11" i="57" s="1"/>
  <c r="F594" i="34" s="1"/>
  <c r="AQ11" i="57"/>
  <c r="AR11" i="57" s="1"/>
  <c r="F587" i="34" s="1"/>
  <c r="AF11" i="57"/>
  <c r="AG11" i="57" s="1"/>
  <c r="F580" i="34" s="1"/>
  <c r="U11" i="57"/>
  <c r="V11" i="57" s="1"/>
  <c r="F573" i="34" s="1"/>
  <c r="J11" i="57"/>
  <c r="K11" i="57" s="1"/>
  <c r="F566" i="34" s="1"/>
  <c r="CI10" i="57"/>
  <c r="CJ10" i="57" s="1"/>
  <c r="F614" i="34" s="1"/>
  <c r="BX10" i="57"/>
  <c r="BY10" i="57" s="1"/>
  <c r="F607" i="34" s="1"/>
  <c r="BM10" i="57"/>
  <c r="BN10" i="57" s="1"/>
  <c r="F600" i="34" s="1"/>
  <c r="BB10" i="57"/>
  <c r="BC10" i="57" s="1"/>
  <c r="F593" i="34" s="1"/>
  <c r="AQ10" i="57"/>
  <c r="AR10" i="57" s="1"/>
  <c r="F586" i="34" s="1"/>
  <c r="AF10" i="57"/>
  <c r="AG10" i="57" s="1"/>
  <c r="F579" i="34" s="1"/>
  <c r="U10" i="57"/>
  <c r="V10" i="57" s="1"/>
  <c r="F572" i="34" s="1"/>
  <c r="J10" i="57"/>
  <c r="K10" i="57" s="1"/>
  <c r="F565" i="34" s="1"/>
  <c r="CI9" i="57"/>
  <c r="CJ9" i="57" s="1"/>
  <c r="F613" i="34" s="1"/>
  <c r="BX9" i="57"/>
  <c r="BY9" i="57" s="1"/>
  <c r="F606" i="34" s="1"/>
  <c r="BM9" i="57"/>
  <c r="BN9" i="57" s="1"/>
  <c r="F599" i="34" s="1"/>
  <c r="BB9" i="57"/>
  <c r="BC9" i="57" s="1"/>
  <c r="F592" i="34" s="1"/>
  <c r="AQ9" i="57"/>
  <c r="AR9" i="57" s="1"/>
  <c r="F585" i="34" s="1"/>
  <c r="AF9" i="57"/>
  <c r="AG9" i="57" s="1"/>
  <c r="F578" i="34" s="1"/>
  <c r="U9" i="57"/>
  <c r="V9" i="57" s="1"/>
  <c r="J9" i="57"/>
  <c r="K9" i="57" s="1"/>
  <c r="F564" i="34" s="1"/>
  <c r="CI8" i="57"/>
  <c r="CJ8" i="57" s="1"/>
  <c r="BX8" i="57"/>
  <c r="BY8" i="57" s="1"/>
  <c r="BM8" i="57"/>
  <c r="BN8" i="57" s="1"/>
  <c r="F598" i="34" s="1"/>
  <c r="BB8" i="57"/>
  <c r="BC8" i="57" s="1"/>
  <c r="AQ8" i="57"/>
  <c r="AR8" i="57" s="1"/>
  <c r="F584" i="34" s="1"/>
  <c r="AF8" i="57"/>
  <c r="AG8" i="57" s="1"/>
  <c r="F577" i="34" s="1"/>
  <c r="U8" i="57"/>
  <c r="V8" i="57" s="1"/>
  <c r="F570" i="34" s="1"/>
  <c r="J8" i="57"/>
  <c r="K8" i="57" s="1"/>
  <c r="F563" i="34" s="1"/>
  <c r="CI7" i="57"/>
  <c r="CJ7" i="57" s="1"/>
  <c r="F611" i="34" s="1"/>
  <c r="BX7" i="57"/>
  <c r="BY7" i="57" s="1"/>
  <c r="F604" i="34" s="1"/>
  <c r="BM7" i="57"/>
  <c r="BN7" i="57" s="1"/>
  <c r="F597" i="34" s="1"/>
  <c r="BB7" i="57"/>
  <c r="BC7" i="57" s="1"/>
  <c r="F590" i="34" s="1"/>
  <c r="AQ7" i="57"/>
  <c r="AR7" i="57" s="1"/>
  <c r="F583" i="34" s="1"/>
  <c r="AF7" i="57"/>
  <c r="AG7" i="57" s="1"/>
  <c r="F576" i="34" s="1"/>
  <c r="U7" i="57"/>
  <c r="V7" i="57" s="1"/>
  <c r="J7" i="57"/>
  <c r="K7" i="57" s="1"/>
  <c r="E29" i="56"/>
  <c r="CI13" i="56"/>
  <c r="CJ13" i="56" s="1"/>
  <c r="F561" i="34" s="1"/>
  <c r="BX13" i="56"/>
  <c r="BY13" i="56" s="1"/>
  <c r="F554" i="34" s="1"/>
  <c r="BM13" i="56"/>
  <c r="BN13" i="56" s="1"/>
  <c r="F547" i="34" s="1"/>
  <c r="BB13" i="56"/>
  <c r="BC13" i="56" s="1"/>
  <c r="F540" i="34" s="1"/>
  <c r="AQ13" i="56"/>
  <c r="AR13" i="56" s="1"/>
  <c r="F533" i="34" s="1"/>
  <c r="AF13" i="56"/>
  <c r="AG13" i="56" s="1"/>
  <c r="F526" i="34" s="1"/>
  <c r="U13" i="56"/>
  <c r="V13" i="56" s="1"/>
  <c r="F519" i="34" s="1"/>
  <c r="J13" i="56"/>
  <c r="K13" i="56" s="1"/>
  <c r="F512" i="34" s="1"/>
  <c r="CI12" i="56"/>
  <c r="CJ12" i="56" s="1"/>
  <c r="F560" i="34" s="1"/>
  <c r="BX12" i="56"/>
  <c r="BY12" i="56" s="1"/>
  <c r="F553" i="34" s="1"/>
  <c r="BM12" i="56"/>
  <c r="BN12" i="56" s="1"/>
  <c r="F546" i="34" s="1"/>
  <c r="BB12" i="56"/>
  <c r="BC12" i="56" s="1"/>
  <c r="F539" i="34" s="1"/>
  <c r="AQ12" i="56"/>
  <c r="AR12" i="56" s="1"/>
  <c r="F532" i="34" s="1"/>
  <c r="AF12" i="56"/>
  <c r="AG12" i="56" s="1"/>
  <c r="F525" i="34" s="1"/>
  <c r="U12" i="56"/>
  <c r="V12" i="56" s="1"/>
  <c r="F518" i="34" s="1"/>
  <c r="J12" i="56"/>
  <c r="K12" i="56" s="1"/>
  <c r="F511" i="34" s="1"/>
  <c r="CI11" i="56"/>
  <c r="CJ11" i="56" s="1"/>
  <c r="F559" i="34" s="1"/>
  <c r="BX11" i="56"/>
  <c r="BY11" i="56" s="1"/>
  <c r="F552" i="34" s="1"/>
  <c r="BM11" i="56"/>
  <c r="BN11" i="56" s="1"/>
  <c r="F545" i="34" s="1"/>
  <c r="BB11" i="56"/>
  <c r="BC11" i="56" s="1"/>
  <c r="F538" i="34" s="1"/>
  <c r="AQ11" i="56"/>
  <c r="AR11" i="56" s="1"/>
  <c r="F531" i="34" s="1"/>
  <c r="AF11" i="56"/>
  <c r="AG11" i="56" s="1"/>
  <c r="F524" i="34" s="1"/>
  <c r="U11" i="56"/>
  <c r="V11" i="56" s="1"/>
  <c r="F517" i="34" s="1"/>
  <c r="J11" i="56"/>
  <c r="K11" i="56" s="1"/>
  <c r="F510" i="34" s="1"/>
  <c r="CI10" i="56"/>
  <c r="CJ10" i="56" s="1"/>
  <c r="F558" i="34" s="1"/>
  <c r="BX10" i="56"/>
  <c r="BY10" i="56" s="1"/>
  <c r="F551" i="34" s="1"/>
  <c r="BM10" i="56"/>
  <c r="BN10" i="56" s="1"/>
  <c r="F544" i="34" s="1"/>
  <c r="BB10" i="56"/>
  <c r="BC10" i="56" s="1"/>
  <c r="F537" i="34" s="1"/>
  <c r="AQ10" i="56"/>
  <c r="AR10" i="56" s="1"/>
  <c r="F530" i="34" s="1"/>
  <c r="AF10" i="56"/>
  <c r="AG10" i="56" s="1"/>
  <c r="F523" i="34" s="1"/>
  <c r="U10" i="56"/>
  <c r="V10" i="56" s="1"/>
  <c r="F516" i="34" s="1"/>
  <c r="J10" i="56"/>
  <c r="K10" i="56" s="1"/>
  <c r="F509" i="34" s="1"/>
  <c r="CI9" i="56"/>
  <c r="CJ9" i="56" s="1"/>
  <c r="F557" i="34" s="1"/>
  <c r="BX9" i="56"/>
  <c r="BY9" i="56" s="1"/>
  <c r="F550" i="34" s="1"/>
  <c r="BM9" i="56"/>
  <c r="BN9" i="56" s="1"/>
  <c r="BB9" i="56"/>
  <c r="BC9" i="56" s="1"/>
  <c r="F536" i="34" s="1"/>
  <c r="AQ9" i="56"/>
  <c r="AR9" i="56" s="1"/>
  <c r="F529" i="34" s="1"/>
  <c r="AF9" i="56"/>
  <c r="AG9" i="56" s="1"/>
  <c r="F522" i="34" s="1"/>
  <c r="U9" i="56"/>
  <c r="V9" i="56" s="1"/>
  <c r="F515" i="34" s="1"/>
  <c r="J9" i="56"/>
  <c r="K9" i="56" s="1"/>
  <c r="F508" i="34" s="1"/>
  <c r="CI8" i="56"/>
  <c r="CJ8" i="56" s="1"/>
  <c r="F556" i="34" s="1"/>
  <c r="BX8" i="56"/>
  <c r="BY8" i="56" s="1"/>
  <c r="F549" i="34" s="1"/>
  <c r="BM8" i="56"/>
  <c r="BN8" i="56" s="1"/>
  <c r="BB8" i="56"/>
  <c r="BC8" i="56" s="1"/>
  <c r="F535" i="34" s="1"/>
  <c r="AQ8" i="56"/>
  <c r="AR8" i="56" s="1"/>
  <c r="AF8" i="56"/>
  <c r="AG8" i="56" s="1"/>
  <c r="F521" i="34" s="1"/>
  <c r="U8" i="56"/>
  <c r="V8" i="56" s="1"/>
  <c r="F514" i="34" s="1"/>
  <c r="J8" i="56"/>
  <c r="K8" i="56" s="1"/>
  <c r="F507" i="34" s="1"/>
  <c r="CI7" i="56"/>
  <c r="CJ7" i="56" s="1"/>
  <c r="BX7" i="56"/>
  <c r="BY7" i="56" s="1"/>
  <c r="BM7" i="56"/>
  <c r="BN7" i="56" s="1"/>
  <c r="F541" i="34" s="1"/>
  <c r="BB7" i="56"/>
  <c r="BC7" i="56" s="1"/>
  <c r="AQ7" i="56"/>
  <c r="AR7" i="56" s="1"/>
  <c r="F527" i="34" s="1"/>
  <c r="AF7" i="56"/>
  <c r="AG7" i="56" s="1"/>
  <c r="U7" i="56"/>
  <c r="V7" i="56" s="1"/>
  <c r="J7" i="56"/>
  <c r="K7" i="56" s="1"/>
  <c r="E29" i="55"/>
  <c r="CI13" i="55"/>
  <c r="CJ13" i="55" s="1"/>
  <c r="F505" i="34" s="1"/>
  <c r="BX13" i="55"/>
  <c r="BY13" i="55" s="1"/>
  <c r="F498" i="34" s="1"/>
  <c r="BM13" i="55"/>
  <c r="BN13" i="55" s="1"/>
  <c r="F491" i="34" s="1"/>
  <c r="BB13" i="55"/>
  <c r="BC13" i="55" s="1"/>
  <c r="F484" i="34" s="1"/>
  <c r="AQ13" i="55"/>
  <c r="AR13" i="55" s="1"/>
  <c r="F477" i="34" s="1"/>
  <c r="AF13" i="55"/>
  <c r="AG13" i="55" s="1"/>
  <c r="F470" i="34" s="1"/>
  <c r="U13" i="55"/>
  <c r="V13" i="55" s="1"/>
  <c r="F463" i="34" s="1"/>
  <c r="J13" i="55"/>
  <c r="K13" i="55" s="1"/>
  <c r="F456" i="34" s="1"/>
  <c r="CI12" i="55"/>
  <c r="CJ12" i="55" s="1"/>
  <c r="F504" i="34" s="1"/>
  <c r="BX12" i="55"/>
  <c r="BY12" i="55" s="1"/>
  <c r="F497" i="34" s="1"/>
  <c r="BM12" i="55"/>
  <c r="BN12" i="55" s="1"/>
  <c r="F490" i="34" s="1"/>
  <c r="BB12" i="55"/>
  <c r="BC12" i="55" s="1"/>
  <c r="F483" i="34" s="1"/>
  <c r="AQ12" i="55"/>
  <c r="AR12" i="55" s="1"/>
  <c r="F476" i="34" s="1"/>
  <c r="AF12" i="55"/>
  <c r="AG12" i="55" s="1"/>
  <c r="F469" i="34" s="1"/>
  <c r="U12" i="55"/>
  <c r="V12" i="55" s="1"/>
  <c r="F462" i="34" s="1"/>
  <c r="J12" i="55"/>
  <c r="K12" i="55" s="1"/>
  <c r="F455" i="34" s="1"/>
  <c r="CI11" i="55"/>
  <c r="CJ11" i="55" s="1"/>
  <c r="F503" i="34" s="1"/>
  <c r="BX11" i="55"/>
  <c r="BY11" i="55" s="1"/>
  <c r="F496" i="34" s="1"/>
  <c r="BM11" i="55"/>
  <c r="BN11" i="55" s="1"/>
  <c r="F489" i="34" s="1"/>
  <c r="BB11" i="55"/>
  <c r="BC11" i="55" s="1"/>
  <c r="F482" i="34" s="1"/>
  <c r="AQ11" i="55"/>
  <c r="AR11" i="55" s="1"/>
  <c r="F475" i="34" s="1"/>
  <c r="AF11" i="55"/>
  <c r="AG11" i="55" s="1"/>
  <c r="F468" i="34" s="1"/>
  <c r="U11" i="55"/>
  <c r="V11" i="55" s="1"/>
  <c r="F461" i="34" s="1"/>
  <c r="J11" i="55"/>
  <c r="K11" i="55" s="1"/>
  <c r="F454" i="34" s="1"/>
  <c r="CI10" i="55"/>
  <c r="CJ10" i="55" s="1"/>
  <c r="F502" i="34" s="1"/>
  <c r="BX10" i="55"/>
  <c r="BY10" i="55" s="1"/>
  <c r="F495" i="34" s="1"/>
  <c r="BM10" i="55"/>
  <c r="BN10" i="55" s="1"/>
  <c r="F488" i="34" s="1"/>
  <c r="BB10" i="55"/>
  <c r="BC10" i="55" s="1"/>
  <c r="F481" i="34" s="1"/>
  <c r="AQ10" i="55"/>
  <c r="AR10" i="55" s="1"/>
  <c r="F474" i="34" s="1"/>
  <c r="AF10" i="55"/>
  <c r="AG10" i="55" s="1"/>
  <c r="F467" i="34" s="1"/>
  <c r="U10" i="55"/>
  <c r="V10" i="55" s="1"/>
  <c r="F460" i="34" s="1"/>
  <c r="J10" i="55"/>
  <c r="K10" i="55" s="1"/>
  <c r="F453" i="34" s="1"/>
  <c r="CI9" i="55"/>
  <c r="CJ9" i="55" s="1"/>
  <c r="F501" i="34" s="1"/>
  <c r="BX9" i="55"/>
  <c r="BY9" i="55" s="1"/>
  <c r="F494" i="34" s="1"/>
  <c r="BM9" i="55"/>
  <c r="BN9" i="55" s="1"/>
  <c r="F487" i="34" s="1"/>
  <c r="BB9" i="55"/>
  <c r="BC9" i="55" s="1"/>
  <c r="F480" i="34" s="1"/>
  <c r="AQ9" i="55"/>
  <c r="AR9" i="55" s="1"/>
  <c r="F473" i="34" s="1"/>
  <c r="AF9" i="55"/>
  <c r="AG9" i="55" s="1"/>
  <c r="F466" i="34" s="1"/>
  <c r="U9" i="55"/>
  <c r="V9" i="55" s="1"/>
  <c r="F459" i="34" s="1"/>
  <c r="J9" i="55"/>
  <c r="K9" i="55" s="1"/>
  <c r="F452" i="34" s="1"/>
  <c r="CI8" i="55"/>
  <c r="CJ8" i="55" s="1"/>
  <c r="BX8" i="55"/>
  <c r="BY8" i="55" s="1"/>
  <c r="F493" i="34" s="1"/>
  <c r="BM8" i="55"/>
  <c r="BN8" i="55" s="1"/>
  <c r="F486" i="34" s="1"/>
  <c r="BB8" i="55"/>
  <c r="BC8" i="55" s="1"/>
  <c r="F479" i="34" s="1"/>
  <c r="AQ8" i="55"/>
  <c r="AR8" i="55" s="1"/>
  <c r="F472" i="34" s="1"/>
  <c r="AF8" i="55"/>
  <c r="AG8" i="55" s="1"/>
  <c r="F465" i="34" s="1"/>
  <c r="U8" i="55"/>
  <c r="V8" i="55" s="1"/>
  <c r="J8" i="55"/>
  <c r="K8" i="55" s="1"/>
  <c r="F451" i="34" s="1"/>
  <c r="CI7" i="55"/>
  <c r="CJ7" i="55" s="1"/>
  <c r="F499" i="34" s="1"/>
  <c r="BX7" i="55"/>
  <c r="BY7" i="55" s="1"/>
  <c r="F492" i="34" s="1"/>
  <c r="BM7" i="55"/>
  <c r="BN7" i="55" s="1"/>
  <c r="F485" i="34" s="1"/>
  <c r="BB7" i="55"/>
  <c r="BC7" i="55" s="1"/>
  <c r="F478" i="34" s="1"/>
  <c r="AQ7" i="55"/>
  <c r="AR7" i="55" s="1"/>
  <c r="F471" i="34" s="1"/>
  <c r="AF7" i="55"/>
  <c r="AG7" i="55" s="1"/>
  <c r="F464" i="34" s="1"/>
  <c r="U7" i="55"/>
  <c r="V7" i="55" s="1"/>
  <c r="F457" i="34" s="1"/>
  <c r="J7" i="55"/>
  <c r="K7" i="55" s="1"/>
  <c r="K24" i="55" s="1"/>
  <c r="CI8" i="2"/>
  <c r="CJ8" i="2" s="1"/>
  <c r="F164" i="34" s="1"/>
  <c r="CI9" i="2"/>
  <c r="CJ9" i="2" s="1"/>
  <c r="F165" i="34" s="1"/>
  <c r="CI10" i="2"/>
  <c r="CJ10" i="2" s="1"/>
  <c r="F166" i="34" s="1"/>
  <c r="CI11" i="2"/>
  <c r="CJ11" i="2" s="1"/>
  <c r="F167" i="34" s="1"/>
  <c r="CI12" i="2"/>
  <c r="CJ12" i="2" s="1"/>
  <c r="F168" i="34" s="1"/>
  <c r="CI13" i="2"/>
  <c r="CJ13" i="2" s="1"/>
  <c r="F393" i="34" s="1"/>
  <c r="CI8" i="26"/>
  <c r="CJ8" i="26" s="1"/>
  <c r="F220" i="34" s="1"/>
  <c r="CI9" i="26"/>
  <c r="CJ9" i="26" s="1"/>
  <c r="F221" i="34" s="1"/>
  <c r="CI10" i="26"/>
  <c r="CJ10" i="26" s="1"/>
  <c r="F222" i="34" s="1"/>
  <c r="CI11" i="26"/>
  <c r="CJ11" i="26" s="1"/>
  <c r="F223" i="34" s="1"/>
  <c r="CI12" i="26"/>
  <c r="CJ12" i="26" s="1"/>
  <c r="F224" i="34" s="1"/>
  <c r="CI13" i="26"/>
  <c r="CJ13" i="26" s="1"/>
  <c r="CI8" i="27"/>
  <c r="CJ8" i="27" s="1"/>
  <c r="F276" i="34" s="1"/>
  <c r="CI9" i="27"/>
  <c r="CJ9" i="27" s="1"/>
  <c r="F277" i="34" s="1"/>
  <c r="CI10" i="27"/>
  <c r="CJ10" i="27" s="1"/>
  <c r="F278" i="34" s="1"/>
  <c r="CI11" i="27"/>
  <c r="CJ11" i="27" s="1"/>
  <c r="F279" i="34" s="1"/>
  <c r="CI12" i="27"/>
  <c r="CJ12" i="27" s="1"/>
  <c r="F280" i="34" s="1"/>
  <c r="CI13" i="27"/>
  <c r="CJ13" i="27" s="1"/>
  <c r="CI8" i="31"/>
  <c r="CJ8" i="31" s="1"/>
  <c r="F332" i="34" s="1"/>
  <c r="CI9" i="31"/>
  <c r="CJ9" i="31" s="1"/>
  <c r="F333" i="34" s="1"/>
  <c r="CI10" i="31"/>
  <c r="CJ10" i="31" s="1"/>
  <c r="F334" i="34" s="1"/>
  <c r="CI11" i="31"/>
  <c r="CJ11" i="31" s="1"/>
  <c r="F335" i="34" s="1"/>
  <c r="CI12" i="31"/>
  <c r="CJ12" i="31" s="1"/>
  <c r="F336" i="34" s="1"/>
  <c r="CI13" i="31"/>
  <c r="CJ13" i="31" s="1"/>
  <c r="CI8" i="32"/>
  <c r="CJ8" i="32" s="1"/>
  <c r="F388" i="34" s="1"/>
  <c r="CI9" i="32"/>
  <c r="CJ9" i="32" s="1"/>
  <c r="CI10" i="32"/>
  <c r="CJ10" i="32" s="1"/>
  <c r="F390" i="34" s="1"/>
  <c r="CI11" i="32"/>
  <c r="CJ11" i="32" s="1"/>
  <c r="F391" i="34" s="1"/>
  <c r="CI12" i="32"/>
  <c r="CJ12" i="32" s="1"/>
  <c r="F392" i="34" s="1"/>
  <c r="CI13" i="32"/>
  <c r="CJ13" i="32" s="1"/>
  <c r="CI8" i="33"/>
  <c r="CJ8" i="33" s="1"/>
  <c r="CI9" i="33"/>
  <c r="CJ9" i="33" s="1"/>
  <c r="F445" i="34" s="1"/>
  <c r="CI10" i="33"/>
  <c r="CJ10" i="33" s="1"/>
  <c r="CI11" i="33"/>
  <c r="CJ11" i="33" s="1"/>
  <c r="F447" i="34" s="1"/>
  <c r="CI12" i="33"/>
  <c r="CJ12" i="33" s="1"/>
  <c r="F448" i="34" s="1"/>
  <c r="CI13" i="33"/>
  <c r="CJ13" i="33" s="1"/>
  <c r="CI7" i="2"/>
  <c r="CJ7" i="2" s="1"/>
  <c r="F163" i="34" s="1"/>
  <c r="CI7" i="26"/>
  <c r="CJ7" i="26" s="1"/>
  <c r="F219" i="34" s="1"/>
  <c r="CI7" i="27"/>
  <c r="CJ7" i="27" s="1"/>
  <c r="CI7" i="31"/>
  <c r="CJ7" i="31" s="1"/>
  <c r="CI7" i="32"/>
  <c r="CJ7" i="32" s="1"/>
  <c r="F387" i="34" s="1"/>
  <c r="CI7" i="33"/>
  <c r="CJ7" i="33" s="1"/>
  <c r="BX8" i="2"/>
  <c r="BY8" i="2" s="1"/>
  <c r="F157" i="34" s="1"/>
  <c r="BX9" i="2"/>
  <c r="BY9" i="2" s="1"/>
  <c r="F158" i="34" s="1"/>
  <c r="BX10" i="2"/>
  <c r="BY10" i="2" s="1"/>
  <c r="F159" i="34" s="1"/>
  <c r="BX11" i="2"/>
  <c r="BY11" i="2" s="1"/>
  <c r="F160" i="34" s="1"/>
  <c r="BX12" i="2"/>
  <c r="BY12" i="2" s="1"/>
  <c r="F161" i="34" s="1"/>
  <c r="BX13" i="2"/>
  <c r="BY13" i="2" s="1"/>
  <c r="F162" i="34" s="1"/>
  <c r="BX8" i="26"/>
  <c r="BY8" i="26" s="1"/>
  <c r="F213" i="34" s="1"/>
  <c r="BX9" i="26"/>
  <c r="BY9" i="26" s="1"/>
  <c r="F214" i="34" s="1"/>
  <c r="BX10" i="26"/>
  <c r="BY10" i="26" s="1"/>
  <c r="F215" i="34" s="1"/>
  <c r="BX11" i="26"/>
  <c r="BY11" i="26" s="1"/>
  <c r="F216" i="34" s="1"/>
  <c r="BX12" i="26"/>
  <c r="BY12" i="26" s="1"/>
  <c r="F217" i="34" s="1"/>
  <c r="BX13" i="26"/>
  <c r="BY13" i="26" s="1"/>
  <c r="F218" i="34" s="1"/>
  <c r="BX8" i="27"/>
  <c r="BY8" i="27" s="1"/>
  <c r="F269" i="34" s="1"/>
  <c r="BX9" i="27"/>
  <c r="BY9" i="27" s="1"/>
  <c r="F270" i="34" s="1"/>
  <c r="BX10" i="27"/>
  <c r="BY10" i="27" s="1"/>
  <c r="F271" i="34" s="1"/>
  <c r="BX11" i="27"/>
  <c r="BY11" i="27" s="1"/>
  <c r="F272" i="34" s="1"/>
  <c r="BX12" i="27"/>
  <c r="BY12" i="27" s="1"/>
  <c r="F273" i="34" s="1"/>
  <c r="BX13" i="27"/>
  <c r="BY13" i="27" s="1"/>
  <c r="F274" i="34" s="1"/>
  <c r="BX8" i="31"/>
  <c r="BY8" i="31" s="1"/>
  <c r="F325" i="34" s="1"/>
  <c r="BX9" i="31"/>
  <c r="BY9" i="31" s="1"/>
  <c r="F326" i="34" s="1"/>
  <c r="BX10" i="31"/>
  <c r="BY10" i="31" s="1"/>
  <c r="F327" i="34" s="1"/>
  <c r="BX11" i="31"/>
  <c r="BY11" i="31" s="1"/>
  <c r="F328" i="34" s="1"/>
  <c r="BX12" i="31"/>
  <c r="BY12" i="31" s="1"/>
  <c r="F329" i="34" s="1"/>
  <c r="BX13" i="31"/>
  <c r="BY13" i="31" s="1"/>
  <c r="F330" i="34" s="1"/>
  <c r="BX8" i="32"/>
  <c r="BY8" i="32" s="1"/>
  <c r="F381" i="34" s="1"/>
  <c r="BX9" i="32"/>
  <c r="BY9" i="32" s="1"/>
  <c r="F382" i="34" s="1"/>
  <c r="BX10" i="32"/>
  <c r="BY10" i="32" s="1"/>
  <c r="F383" i="34" s="1"/>
  <c r="BX11" i="32"/>
  <c r="BY11" i="32" s="1"/>
  <c r="F384" i="34" s="1"/>
  <c r="BX12" i="32"/>
  <c r="BY12" i="32" s="1"/>
  <c r="F385" i="34" s="1"/>
  <c r="BX13" i="32"/>
  <c r="BY13" i="32" s="1"/>
  <c r="F386" i="34" s="1"/>
  <c r="BX8" i="33"/>
  <c r="BY8" i="33" s="1"/>
  <c r="F437" i="34" s="1"/>
  <c r="BX9" i="33"/>
  <c r="BY9" i="33" s="1"/>
  <c r="F438" i="34" s="1"/>
  <c r="BX10" i="33"/>
  <c r="BY10" i="33" s="1"/>
  <c r="F439" i="34" s="1"/>
  <c r="BX11" i="33"/>
  <c r="BY11" i="33" s="1"/>
  <c r="F440" i="34" s="1"/>
  <c r="BX12" i="33"/>
  <c r="BY12" i="33" s="1"/>
  <c r="F441" i="34" s="1"/>
  <c r="BX13" i="33"/>
  <c r="BY13" i="33" s="1"/>
  <c r="F442" i="34" s="1"/>
  <c r="BX7" i="2"/>
  <c r="BY7" i="2" s="1"/>
  <c r="F156" i="34" s="1"/>
  <c r="BX7" i="26"/>
  <c r="BY7" i="26" s="1"/>
  <c r="BX7" i="27"/>
  <c r="BY7" i="27" s="1"/>
  <c r="BX7" i="31"/>
  <c r="BY7" i="31" s="1"/>
  <c r="BX7" i="32"/>
  <c r="BY7" i="32" s="1"/>
  <c r="F380" i="34" s="1"/>
  <c r="BX7" i="33"/>
  <c r="BY7" i="33" s="1"/>
  <c r="F436" i="34" s="1"/>
  <c r="BM8" i="2"/>
  <c r="BN8" i="2" s="1"/>
  <c r="F150" i="34" s="1"/>
  <c r="BM9" i="2"/>
  <c r="BN9" i="2" s="1"/>
  <c r="F151" i="34" s="1"/>
  <c r="BM10" i="2"/>
  <c r="BN10" i="2" s="1"/>
  <c r="F152" i="34" s="1"/>
  <c r="BM11" i="2"/>
  <c r="BN11" i="2" s="1"/>
  <c r="F153" i="34" s="1"/>
  <c r="BM12" i="2"/>
  <c r="BN12" i="2" s="1"/>
  <c r="F154" i="34" s="1"/>
  <c r="BM13" i="2"/>
  <c r="BN13" i="2" s="1"/>
  <c r="F155" i="34" s="1"/>
  <c r="BM8" i="26"/>
  <c r="BN8" i="26" s="1"/>
  <c r="BM9" i="26"/>
  <c r="BN9" i="26" s="1"/>
  <c r="F207" i="34" s="1"/>
  <c r="BM10" i="26"/>
  <c r="BN10" i="26" s="1"/>
  <c r="F208" i="34" s="1"/>
  <c r="BM11" i="26"/>
  <c r="BN11" i="26" s="1"/>
  <c r="F209" i="34" s="1"/>
  <c r="BM12" i="26"/>
  <c r="BN12" i="26" s="1"/>
  <c r="F210" i="34" s="1"/>
  <c r="BM13" i="26"/>
  <c r="BN13" i="26" s="1"/>
  <c r="F211" i="34" s="1"/>
  <c r="BM8" i="27"/>
  <c r="BN8" i="27" s="1"/>
  <c r="F262" i="34" s="1"/>
  <c r="BM9" i="27"/>
  <c r="BN9" i="27" s="1"/>
  <c r="F263" i="34" s="1"/>
  <c r="BM10" i="27"/>
  <c r="BN10" i="27" s="1"/>
  <c r="F264" i="34" s="1"/>
  <c r="BM11" i="27"/>
  <c r="BN11" i="27" s="1"/>
  <c r="F265" i="34" s="1"/>
  <c r="BM12" i="27"/>
  <c r="BN12" i="27" s="1"/>
  <c r="F266" i="34" s="1"/>
  <c r="BM13" i="27"/>
  <c r="BN13" i="27" s="1"/>
  <c r="F267" i="34" s="1"/>
  <c r="BM8" i="31"/>
  <c r="BN8" i="31" s="1"/>
  <c r="BM9" i="31"/>
  <c r="BN9" i="31" s="1"/>
  <c r="F319" i="34" s="1"/>
  <c r="BM10" i="31"/>
  <c r="BN10" i="31" s="1"/>
  <c r="F320" i="34" s="1"/>
  <c r="BM11" i="31"/>
  <c r="BN11" i="31" s="1"/>
  <c r="F321" i="34" s="1"/>
  <c r="BM12" i="31"/>
  <c r="BN12" i="31" s="1"/>
  <c r="F322" i="34" s="1"/>
  <c r="BM13" i="31"/>
  <c r="BN13" i="31" s="1"/>
  <c r="F323" i="34" s="1"/>
  <c r="BM8" i="33"/>
  <c r="BN8" i="33" s="1"/>
  <c r="F430" i="34" s="1"/>
  <c r="BM9" i="33"/>
  <c r="BN9" i="33" s="1"/>
  <c r="F431" i="34" s="1"/>
  <c r="BM10" i="33"/>
  <c r="BN10" i="33" s="1"/>
  <c r="F432" i="34" s="1"/>
  <c r="BM11" i="33"/>
  <c r="BN11" i="33" s="1"/>
  <c r="F433" i="34" s="1"/>
  <c r="BM12" i="33"/>
  <c r="BN12" i="33" s="1"/>
  <c r="F434" i="34" s="1"/>
  <c r="BM13" i="33"/>
  <c r="BN13" i="33" s="1"/>
  <c r="F435" i="34" s="1"/>
  <c r="BM8" i="32"/>
  <c r="BN8" i="32" s="1"/>
  <c r="F374" i="34" s="1"/>
  <c r="BM9" i="32"/>
  <c r="BN9" i="32" s="1"/>
  <c r="F375" i="34" s="1"/>
  <c r="BM10" i="32"/>
  <c r="BN10" i="32" s="1"/>
  <c r="F376" i="34" s="1"/>
  <c r="BM11" i="32"/>
  <c r="BN11" i="32" s="1"/>
  <c r="F377" i="34" s="1"/>
  <c r="BM12" i="32"/>
  <c r="BN12" i="32" s="1"/>
  <c r="F378" i="34" s="1"/>
  <c r="BM13" i="32"/>
  <c r="BN13" i="32" s="1"/>
  <c r="F379" i="34" s="1"/>
  <c r="BM7" i="2"/>
  <c r="BN7" i="2" s="1"/>
  <c r="F149" i="34" s="1"/>
  <c r="BM7" i="26"/>
  <c r="BN7" i="26" s="1"/>
  <c r="F205" i="34" s="1"/>
  <c r="BM7" i="27"/>
  <c r="BN7" i="27" s="1"/>
  <c r="BM7" i="31"/>
  <c r="BN7" i="31" s="1"/>
  <c r="F317" i="34" s="1"/>
  <c r="BM7" i="33"/>
  <c r="BN7" i="33" s="1"/>
  <c r="F429" i="34" s="1"/>
  <c r="BM7" i="32"/>
  <c r="BN7" i="32" s="1"/>
  <c r="F373" i="34" s="1"/>
  <c r="BB8" i="2"/>
  <c r="BC8" i="2" s="1"/>
  <c r="F143" i="34" s="1"/>
  <c r="BB9" i="2"/>
  <c r="BC9" i="2" s="1"/>
  <c r="F144" i="34" s="1"/>
  <c r="BB10" i="2"/>
  <c r="BC10" i="2" s="1"/>
  <c r="F145" i="34" s="1"/>
  <c r="BB11" i="2"/>
  <c r="BC11" i="2" s="1"/>
  <c r="F146" i="34" s="1"/>
  <c r="BB12" i="2"/>
  <c r="BC12" i="2" s="1"/>
  <c r="F147" i="34" s="1"/>
  <c r="BB13" i="2"/>
  <c r="BC13" i="2" s="1"/>
  <c r="F148" i="34" s="1"/>
  <c r="BB8" i="26"/>
  <c r="BC8" i="26" s="1"/>
  <c r="F199" i="34" s="1"/>
  <c r="BB9" i="26"/>
  <c r="BC9" i="26" s="1"/>
  <c r="F200" i="34" s="1"/>
  <c r="BB10" i="26"/>
  <c r="BC10" i="26" s="1"/>
  <c r="F201" i="34" s="1"/>
  <c r="BB11" i="26"/>
  <c r="BC11" i="26" s="1"/>
  <c r="F202" i="34" s="1"/>
  <c r="BB12" i="26"/>
  <c r="BC12" i="26" s="1"/>
  <c r="F203" i="34" s="1"/>
  <c r="BB13" i="26"/>
  <c r="BC13" i="26" s="1"/>
  <c r="F204" i="34" s="1"/>
  <c r="BB8" i="27"/>
  <c r="BC8" i="27" s="1"/>
  <c r="F255" i="34" s="1"/>
  <c r="BB9" i="27"/>
  <c r="BC9" i="27" s="1"/>
  <c r="F256" i="34" s="1"/>
  <c r="BB10" i="27"/>
  <c r="BC10" i="27" s="1"/>
  <c r="F257" i="34" s="1"/>
  <c r="BB11" i="27"/>
  <c r="BC11" i="27" s="1"/>
  <c r="F258" i="34" s="1"/>
  <c r="BB12" i="27"/>
  <c r="BC12" i="27" s="1"/>
  <c r="F259" i="34" s="1"/>
  <c r="BB13" i="27"/>
  <c r="BC13" i="27" s="1"/>
  <c r="F260" i="34" s="1"/>
  <c r="BB8" i="32"/>
  <c r="BC8" i="32" s="1"/>
  <c r="F367" i="34" s="1"/>
  <c r="BB9" i="32"/>
  <c r="BC9" i="32" s="1"/>
  <c r="F368" i="34" s="1"/>
  <c r="BB10" i="32"/>
  <c r="BC10" i="32" s="1"/>
  <c r="F369" i="34" s="1"/>
  <c r="BB11" i="32"/>
  <c r="BC11" i="32" s="1"/>
  <c r="F370" i="34" s="1"/>
  <c r="BB12" i="32"/>
  <c r="BC12" i="32" s="1"/>
  <c r="F371" i="34" s="1"/>
  <c r="BB13" i="32"/>
  <c r="BC13" i="32" s="1"/>
  <c r="F372" i="34" s="1"/>
  <c r="BB8" i="33"/>
  <c r="BC8" i="33" s="1"/>
  <c r="F423" i="34" s="1"/>
  <c r="BB9" i="33"/>
  <c r="BC9" i="33" s="1"/>
  <c r="BB10" i="33"/>
  <c r="BC10" i="33" s="1"/>
  <c r="F425" i="34" s="1"/>
  <c r="BB11" i="33"/>
  <c r="BC11" i="33" s="1"/>
  <c r="F426" i="34" s="1"/>
  <c r="BB12" i="33"/>
  <c r="BC12" i="33" s="1"/>
  <c r="F427" i="34" s="1"/>
  <c r="BB13" i="33"/>
  <c r="BC13" i="33" s="1"/>
  <c r="F428" i="34" s="1"/>
  <c r="BB8" i="31"/>
  <c r="BC8" i="31" s="1"/>
  <c r="F311" i="34" s="1"/>
  <c r="BB9" i="31"/>
  <c r="BC9" i="31" s="1"/>
  <c r="F312" i="34" s="1"/>
  <c r="BB10" i="31"/>
  <c r="BC10" i="31" s="1"/>
  <c r="F313" i="34" s="1"/>
  <c r="BB11" i="31"/>
  <c r="BC11" i="31" s="1"/>
  <c r="F314" i="34" s="1"/>
  <c r="BB12" i="31"/>
  <c r="BC12" i="31" s="1"/>
  <c r="F315" i="34" s="1"/>
  <c r="BB13" i="31"/>
  <c r="BC13" i="31" s="1"/>
  <c r="F316" i="34" s="1"/>
  <c r="BB7" i="2"/>
  <c r="BC7" i="2" s="1"/>
  <c r="F142" i="34" s="1"/>
  <c r="BB7" i="26"/>
  <c r="BC7" i="26" s="1"/>
  <c r="F198" i="34" s="1"/>
  <c r="BB7" i="27"/>
  <c r="BC7" i="27" s="1"/>
  <c r="BB7" i="32"/>
  <c r="BC7" i="32" s="1"/>
  <c r="F366" i="34" s="1"/>
  <c r="BB7" i="33"/>
  <c r="BC7" i="33" s="1"/>
  <c r="F422" i="34" s="1"/>
  <c r="BB7" i="31"/>
  <c r="BC7" i="31" s="1"/>
  <c r="F310" i="34" s="1"/>
  <c r="AQ8" i="2"/>
  <c r="AR8" i="2" s="1"/>
  <c r="F136" i="34" s="1"/>
  <c r="AQ9" i="2"/>
  <c r="AR9" i="2" s="1"/>
  <c r="F137" i="34" s="1"/>
  <c r="AQ10" i="2"/>
  <c r="AR10" i="2" s="1"/>
  <c r="F138" i="34" s="1"/>
  <c r="AQ11" i="2"/>
  <c r="AR11" i="2" s="1"/>
  <c r="F139" i="34" s="1"/>
  <c r="AQ12" i="2"/>
  <c r="AR12" i="2" s="1"/>
  <c r="F140" i="34" s="1"/>
  <c r="AQ13" i="2"/>
  <c r="AR13" i="2" s="1"/>
  <c r="F141" i="34" s="1"/>
  <c r="AQ8" i="26"/>
  <c r="AR8" i="26" s="1"/>
  <c r="F192" i="34" s="1"/>
  <c r="AQ9" i="26"/>
  <c r="AR9" i="26" s="1"/>
  <c r="F193" i="34" s="1"/>
  <c r="AQ10" i="26"/>
  <c r="AR10" i="26" s="1"/>
  <c r="F194" i="34" s="1"/>
  <c r="AQ11" i="26"/>
  <c r="AR11" i="26" s="1"/>
  <c r="F195" i="34" s="1"/>
  <c r="AQ12" i="26"/>
  <c r="AR12" i="26" s="1"/>
  <c r="F196" i="34" s="1"/>
  <c r="AQ13" i="26"/>
  <c r="AR13" i="26" s="1"/>
  <c r="F197" i="34" s="1"/>
  <c r="AQ8" i="31"/>
  <c r="AR8" i="31" s="1"/>
  <c r="F304" i="34" s="1"/>
  <c r="AQ9" i="31"/>
  <c r="AR9" i="31" s="1"/>
  <c r="AQ10" i="31"/>
  <c r="AR10" i="31" s="1"/>
  <c r="F306" i="34" s="1"/>
  <c r="AQ11" i="31"/>
  <c r="AR11" i="31" s="1"/>
  <c r="F307" i="34" s="1"/>
  <c r="AQ12" i="31"/>
  <c r="AR12" i="31" s="1"/>
  <c r="F308" i="34" s="1"/>
  <c r="AQ13" i="31"/>
  <c r="AR13" i="31" s="1"/>
  <c r="F309" i="34" s="1"/>
  <c r="AQ8" i="32"/>
  <c r="AR8" i="32" s="1"/>
  <c r="F360" i="34" s="1"/>
  <c r="AQ9" i="32"/>
  <c r="AR9" i="32" s="1"/>
  <c r="F361" i="34" s="1"/>
  <c r="AQ10" i="32"/>
  <c r="AR10" i="32" s="1"/>
  <c r="F362" i="34" s="1"/>
  <c r="AQ11" i="32"/>
  <c r="AR11" i="32" s="1"/>
  <c r="F363" i="34" s="1"/>
  <c r="AQ12" i="32"/>
  <c r="AR12" i="32" s="1"/>
  <c r="F364" i="34" s="1"/>
  <c r="AQ13" i="32"/>
  <c r="AR13" i="32" s="1"/>
  <c r="F365" i="34" s="1"/>
  <c r="AQ8" i="33"/>
  <c r="AR8" i="33" s="1"/>
  <c r="F416" i="34" s="1"/>
  <c r="AQ9" i="33"/>
  <c r="AR9" i="33" s="1"/>
  <c r="AQ10" i="33"/>
  <c r="AR10" i="33" s="1"/>
  <c r="F418" i="34" s="1"/>
  <c r="AQ11" i="33"/>
  <c r="AR11" i="33" s="1"/>
  <c r="F419" i="34" s="1"/>
  <c r="AQ12" i="33"/>
  <c r="AR12" i="33" s="1"/>
  <c r="F420" i="34" s="1"/>
  <c r="AQ13" i="33"/>
  <c r="AR13" i="33" s="1"/>
  <c r="F421" i="34" s="1"/>
  <c r="AQ8" i="27"/>
  <c r="AR8" i="27" s="1"/>
  <c r="F248" i="34" s="1"/>
  <c r="AQ9" i="27"/>
  <c r="AR9" i="27" s="1"/>
  <c r="F249" i="34" s="1"/>
  <c r="AQ10" i="27"/>
  <c r="AR10" i="27" s="1"/>
  <c r="F250" i="34" s="1"/>
  <c r="AQ11" i="27"/>
  <c r="AR11" i="27" s="1"/>
  <c r="F251" i="34" s="1"/>
  <c r="AQ12" i="27"/>
  <c r="AR12" i="27" s="1"/>
  <c r="F252" i="34" s="1"/>
  <c r="AQ13" i="27"/>
  <c r="AR13" i="27" s="1"/>
  <c r="F253" i="34" s="1"/>
  <c r="AQ7" i="2"/>
  <c r="AR7" i="2" s="1"/>
  <c r="F135" i="34" s="1"/>
  <c r="AQ7" i="26"/>
  <c r="AR7" i="26" s="1"/>
  <c r="F191" i="34" s="1"/>
  <c r="AQ7" i="31"/>
  <c r="AR7" i="31" s="1"/>
  <c r="F303" i="34" s="1"/>
  <c r="AQ7" i="32"/>
  <c r="AR7" i="32" s="1"/>
  <c r="AQ7" i="33"/>
  <c r="AR7" i="33" s="1"/>
  <c r="F415" i="34" s="1"/>
  <c r="AQ7" i="27"/>
  <c r="AR7" i="27" s="1"/>
  <c r="AF8" i="2"/>
  <c r="AG8" i="2" s="1"/>
  <c r="AF9" i="2"/>
  <c r="AG9" i="2" s="1"/>
  <c r="F130" i="34" s="1"/>
  <c r="AF10" i="2"/>
  <c r="AG10" i="2" s="1"/>
  <c r="F131" i="34" s="1"/>
  <c r="AF11" i="2"/>
  <c r="AG11" i="2" s="1"/>
  <c r="F132" i="34" s="1"/>
  <c r="AF12" i="2"/>
  <c r="AG12" i="2" s="1"/>
  <c r="F133" i="34" s="1"/>
  <c r="AF13" i="2"/>
  <c r="AG13" i="2" s="1"/>
  <c r="F134" i="34" s="1"/>
  <c r="AF8" i="26"/>
  <c r="AG8" i="26" s="1"/>
  <c r="AF9" i="26"/>
  <c r="AG9" i="26" s="1"/>
  <c r="F186" i="34" s="1"/>
  <c r="AF10" i="26"/>
  <c r="AG10" i="26" s="1"/>
  <c r="F187" i="34" s="1"/>
  <c r="AF11" i="26"/>
  <c r="AG11" i="26" s="1"/>
  <c r="F188" i="34" s="1"/>
  <c r="AF12" i="26"/>
  <c r="AG12" i="26" s="1"/>
  <c r="F189" i="34" s="1"/>
  <c r="AF13" i="26"/>
  <c r="AG13" i="26" s="1"/>
  <c r="F190" i="34" s="1"/>
  <c r="AF8" i="31"/>
  <c r="AG8" i="31" s="1"/>
  <c r="F297" i="34" s="1"/>
  <c r="AF9" i="31"/>
  <c r="AG9" i="31" s="1"/>
  <c r="F298" i="34" s="1"/>
  <c r="AF10" i="31"/>
  <c r="AG10" i="31" s="1"/>
  <c r="F299" i="34" s="1"/>
  <c r="AF11" i="31"/>
  <c r="AG11" i="31" s="1"/>
  <c r="F300" i="34" s="1"/>
  <c r="AF12" i="31"/>
  <c r="AG12" i="31" s="1"/>
  <c r="F301" i="34" s="1"/>
  <c r="AF13" i="31"/>
  <c r="AG13" i="31" s="1"/>
  <c r="F302" i="34" s="1"/>
  <c r="AF8" i="32"/>
  <c r="AG8" i="32" s="1"/>
  <c r="F353" i="34" s="1"/>
  <c r="AF9" i="32"/>
  <c r="AG9" i="32" s="1"/>
  <c r="F354" i="34" s="1"/>
  <c r="AF10" i="32"/>
  <c r="AG10" i="32" s="1"/>
  <c r="F355" i="34" s="1"/>
  <c r="AF11" i="32"/>
  <c r="AG11" i="32" s="1"/>
  <c r="F356" i="34" s="1"/>
  <c r="AF12" i="32"/>
  <c r="AG12" i="32" s="1"/>
  <c r="F357" i="34" s="1"/>
  <c r="AF13" i="32"/>
  <c r="AG13" i="32" s="1"/>
  <c r="F358" i="34" s="1"/>
  <c r="AF8" i="33"/>
  <c r="AG8" i="33" s="1"/>
  <c r="F409" i="34" s="1"/>
  <c r="AF9" i="33"/>
  <c r="AG9" i="33" s="1"/>
  <c r="AF10" i="33"/>
  <c r="AG10" i="33" s="1"/>
  <c r="F411" i="34" s="1"/>
  <c r="AF11" i="33"/>
  <c r="AG11" i="33" s="1"/>
  <c r="F412" i="34" s="1"/>
  <c r="AF12" i="33"/>
  <c r="AG12" i="33" s="1"/>
  <c r="F413" i="34" s="1"/>
  <c r="AF13" i="33"/>
  <c r="AG13" i="33" s="1"/>
  <c r="F414" i="34" s="1"/>
  <c r="AF8" i="27"/>
  <c r="AG8" i="27" s="1"/>
  <c r="AF9" i="27"/>
  <c r="AG9" i="27" s="1"/>
  <c r="F242" i="34" s="1"/>
  <c r="AF10" i="27"/>
  <c r="AG10" i="27" s="1"/>
  <c r="F243" i="34" s="1"/>
  <c r="AF11" i="27"/>
  <c r="AG11" i="27" s="1"/>
  <c r="F244" i="34" s="1"/>
  <c r="AF12" i="27"/>
  <c r="AG12" i="27" s="1"/>
  <c r="F245" i="34" s="1"/>
  <c r="AF13" i="27"/>
  <c r="AG13" i="27" s="1"/>
  <c r="F246" i="34" s="1"/>
  <c r="AF7" i="2"/>
  <c r="AG7" i="2" s="1"/>
  <c r="F128" i="34" s="1"/>
  <c r="AF7" i="26"/>
  <c r="AG7" i="26" s="1"/>
  <c r="F184" i="34" s="1"/>
  <c r="AF7" i="31"/>
  <c r="AG7" i="31" s="1"/>
  <c r="F296" i="34" s="1"/>
  <c r="AF7" i="32"/>
  <c r="AG7" i="32" s="1"/>
  <c r="AF7" i="33"/>
  <c r="AG7" i="33" s="1"/>
  <c r="F408" i="34" s="1"/>
  <c r="AF7" i="27"/>
  <c r="AG7" i="27" s="1"/>
  <c r="F240" i="34" s="1"/>
  <c r="U8" i="26"/>
  <c r="V8" i="26" s="1"/>
  <c r="F178" i="34" s="1"/>
  <c r="U9" i="26"/>
  <c r="V9" i="26" s="1"/>
  <c r="U10" i="26"/>
  <c r="V10" i="26" s="1"/>
  <c r="F180" i="34" s="1"/>
  <c r="U11" i="26"/>
  <c r="V11" i="26" s="1"/>
  <c r="F181" i="34" s="1"/>
  <c r="U12" i="26"/>
  <c r="V12" i="26" s="1"/>
  <c r="F182" i="34" s="1"/>
  <c r="U13" i="26"/>
  <c r="V13" i="26" s="1"/>
  <c r="F183" i="34" s="1"/>
  <c r="U8" i="27"/>
  <c r="V8" i="27" s="1"/>
  <c r="F234" i="34" s="1"/>
  <c r="U9" i="27"/>
  <c r="V9" i="27" s="1"/>
  <c r="F235" i="34" s="1"/>
  <c r="U10" i="27"/>
  <c r="V10" i="27" s="1"/>
  <c r="F236" i="34" s="1"/>
  <c r="U11" i="27"/>
  <c r="V11" i="27" s="1"/>
  <c r="F237" i="34" s="1"/>
  <c r="U12" i="27"/>
  <c r="V12" i="27" s="1"/>
  <c r="F238" i="34" s="1"/>
  <c r="U13" i="27"/>
  <c r="V13" i="27" s="1"/>
  <c r="F239" i="34" s="1"/>
  <c r="U8" i="31"/>
  <c r="V8" i="31" s="1"/>
  <c r="F290" i="34" s="1"/>
  <c r="U9" i="31"/>
  <c r="V9" i="31" s="1"/>
  <c r="U10" i="31"/>
  <c r="V10" i="31" s="1"/>
  <c r="F292" i="34" s="1"/>
  <c r="U11" i="31"/>
  <c r="V11" i="31" s="1"/>
  <c r="F293" i="34" s="1"/>
  <c r="U12" i="31"/>
  <c r="V12" i="31" s="1"/>
  <c r="F294" i="34" s="1"/>
  <c r="U13" i="31"/>
  <c r="V13" i="31" s="1"/>
  <c r="F295" i="34" s="1"/>
  <c r="U8" i="32"/>
  <c r="V8" i="32" s="1"/>
  <c r="F346" i="34" s="1"/>
  <c r="U9" i="32"/>
  <c r="V9" i="32" s="1"/>
  <c r="F347" i="34" s="1"/>
  <c r="U10" i="32"/>
  <c r="V10" i="32" s="1"/>
  <c r="F348" i="34" s="1"/>
  <c r="U11" i="32"/>
  <c r="V11" i="32" s="1"/>
  <c r="F349" i="34" s="1"/>
  <c r="U12" i="32"/>
  <c r="V12" i="32" s="1"/>
  <c r="F350" i="34" s="1"/>
  <c r="U13" i="32"/>
  <c r="V13" i="32" s="1"/>
  <c r="F351" i="34" s="1"/>
  <c r="U8" i="33"/>
  <c r="V8" i="33" s="1"/>
  <c r="F402" i="34" s="1"/>
  <c r="U9" i="33"/>
  <c r="V9" i="33" s="1"/>
  <c r="F403" i="34" s="1"/>
  <c r="U10" i="33"/>
  <c r="V10" i="33" s="1"/>
  <c r="F404" i="34" s="1"/>
  <c r="U11" i="33"/>
  <c r="V11" i="33" s="1"/>
  <c r="F405" i="34" s="1"/>
  <c r="U12" i="33"/>
  <c r="V12" i="33" s="1"/>
  <c r="F406" i="34" s="1"/>
  <c r="U13" i="33"/>
  <c r="V13" i="33" s="1"/>
  <c r="F407" i="34" s="1"/>
  <c r="U8" i="2"/>
  <c r="V8" i="2" s="1"/>
  <c r="F122" i="34" s="1"/>
  <c r="U9" i="2"/>
  <c r="V9" i="2" s="1"/>
  <c r="F123" i="34" s="1"/>
  <c r="U10" i="2"/>
  <c r="V10" i="2" s="1"/>
  <c r="F124" i="34" s="1"/>
  <c r="U11" i="2"/>
  <c r="V11" i="2" s="1"/>
  <c r="F125" i="34" s="1"/>
  <c r="U12" i="2"/>
  <c r="V12" i="2" s="1"/>
  <c r="F126" i="34" s="1"/>
  <c r="U13" i="2"/>
  <c r="V13" i="2" s="1"/>
  <c r="F127" i="34" s="1"/>
  <c r="U7" i="26"/>
  <c r="V7" i="26" s="1"/>
  <c r="U7" i="27"/>
  <c r="V7" i="27" s="1"/>
  <c r="U7" i="31"/>
  <c r="V7" i="31" s="1"/>
  <c r="F289" i="34" s="1"/>
  <c r="U7" i="32"/>
  <c r="V7" i="32" s="1"/>
  <c r="U7" i="33"/>
  <c r="V7" i="33" s="1"/>
  <c r="F401" i="34" s="1"/>
  <c r="U7" i="2"/>
  <c r="V7" i="2" s="1"/>
  <c r="J8" i="26"/>
  <c r="K8" i="26" s="1"/>
  <c r="F171" i="34" s="1"/>
  <c r="J9" i="26"/>
  <c r="K9" i="26" s="1"/>
  <c r="J10" i="26"/>
  <c r="K10" i="26" s="1"/>
  <c r="F173" i="34" s="1"/>
  <c r="J11" i="26"/>
  <c r="K11" i="26" s="1"/>
  <c r="F174" i="34" s="1"/>
  <c r="J12" i="26"/>
  <c r="K12" i="26" s="1"/>
  <c r="F175" i="34" s="1"/>
  <c r="J13" i="26"/>
  <c r="K13" i="26" s="1"/>
  <c r="F176" i="34" s="1"/>
  <c r="J8" i="27"/>
  <c r="K8" i="27" s="1"/>
  <c r="F227" i="34" s="1"/>
  <c r="J9" i="27"/>
  <c r="K9" i="27" s="1"/>
  <c r="J10" i="27"/>
  <c r="K10" i="27" s="1"/>
  <c r="F229" i="34" s="1"/>
  <c r="J11" i="27"/>
  <c r="K11" i="27" s="1"/>
  <c r="F230" i="34" s="1"/>
  <c r="J12" i="27"/>
  <c r="K12" i="27" s="1"/>
  <c r="F231" i="34" s="1"/>
  <c r="J13" i="27"/>
  <c r="K13" i="27" s="1"/>
  <c r="F232" i="34" s="1"/>
  <c r="J8" i="31"/>
  <c r="K8" i="31" s="1"/>
  <c r="J9" i="31"/>
  <c r="K9" i="31" s="1"/>
  <c r="J10" i="31"/>
  <c r="K10" i="31" s="1"/>
  <c r="F285" i="34" s="1"/>
  <c r="J11" i="31"/>
  <c r="K11" i="31" s="1"/>
  <c r="F286" i="34" s="1"/>
  <c r="J12" i="31"/>
  <c r="K12" i="31" s="1"/>
  <c r="F287" i="34" s="1"/>
  <c r="J13" i="31"/>
  <c r="K13" i="31" s="1"/>
  <c r="F288" i="34" s="1"/>
  <c r="J8" i="32"/>
  <c r="K8" i="32" s="1"/>
  <c r="F339" i="34" s="1"/>
  <c r="J9" i="32"/>
  <c r="K9" i="32" s="1"/>
  <c r="J10" i="32"/>
  <c r="K10" i="32" s="1"/>
  <c r="F341" i="34" s="1"/>
  <c r="J11" i="32"/>
  <c r="K11" i="32" s="1"/>
  <c r="F342" i="34" s="1"/>
  <c r="J12" i="32"/>
  <c r="K12" i="32" s="1"/>
  <c r="F343" i="34" s="1"/>
  <c r="J13" i="32"/>
  <c r="K13" i="32" s="1"/>
  <c r="F344" i="34" s="1"/>
  <c r="J8" i="33"/>
  <c r="K8" i="33" s="1"/>
  <c r="F395" i="34" s="1"/>
  <c r="J9" i="33"/>
  <c r="K9" i="33" s="1"/>
  <c r="J10" i="33"/>
  <c r="K10" i="33" s="1"/>
  <c r="F397" i="34" s="1"/>
  <c r="J11" i="33"/>
  <c r="K11" i="33" s="1"/>
  <c r="F398" i="34" s="1"/>
  <c r="J12" i="33"/>
  <c r="K12" i="33" s="1"/>
  <c r="F399" i="34" s="1"/>
  <c r="J13" i="33"/>
  <c r="K13" i="33" s="1"/>
  <c r="F400" i="34" s="1"/>
  <c r="J9" i="2"/>
  <c r="K9" i="2" s="1"/>
  <c r="F116" i="34" s="1"/>
  <c r="J10" i="2"/>
  <c r="K10" i="2" s="1"/>
  <c r="F117" i="34" s="1"/>
  <c r="J11" i="2"/>
  <c r="K11" i="2" s="1"/>
  <c r="F118" i="34" s="1"/>
  <c r="J12" i="2"/>
  <c r="K12" i="2" s="1"/>
  <c r="F119" i="34" s="1"/>
  <c r="J13" i="2"/>
  <c r="K13" i="2" s="1"/>
  <c r="F120" i="34" s="1"/>
  <c r="J7" i="26"/>
  <c r="K7" i="26" s="1"/>
  <c r="F170" i="34" s="1"/>
  <c r="J7" i="27"/>
  <c r="K7" i="27" s="1"/>
  <c r="F226" i="34" s="1"/>
  <c r="J7" i="31"/>
  <c r="K7" i="31" s="1"/>
  <c r="F282" i="34" s="1"/>
  <c r="J7" i="32"/>
  <c r="K7" i="32" s="1"/>
  <c r="F338" i="34" s="1"/>
  <c r="J7" i="33"/>
  <c r="K7" i="33" s="1"/>
  <c r="F394" i="34" s="1"/>
  <c r="J7" i="2"/>
  <c r="K7" i="2" s="1"/>
  <c r="BG2" i="34"/>
  <c r="BG3" i="34" s="1"/>
  <c r="M4" i="54" s="1"/>
  <c r="B63" i="1"/>
  <c r="AL78" i="4" s="1"/>
  <c r="B57" i="1"/>
  <c r="D18" i="80" s="1"/>
  <c r="B46" i="1"/>
  <c r="D15" i="80" s="1"/>
  <c r="B43" i="1"/>
  <c r="B19" i="54" s="1"/>
  <c r="B40" i="1"/>
  <c r="D11" i="80" s="1"/>
  <c r="B37" i="1"/>
  <c r="D9" i="80" s="1"/>
  <c r="B34" i="1"/>
  <c r="D5" i="80" s="1"/>
  <c r="B25" i="1"/>
  <c r="E5" i="84" s="1"/>
  <c r="B22" i="1"/>
  <c r="E8" i="7" s="1"/>
  <c r="B19" i="1"/>
  <c r="B12" i="54" s="1"/>
  <c r="B16" i="1"/>
  <c r="B11" i="54" s="1"/>
  <c r="B13" i="1"/>
  <c r="B10" i="54" s="1"/>
  <c r="B10" i="1"/>
  <c r="E5" i="7" s="1"/>
  <c r="B7" i="1"/>
  <c r="D48" i="72" s="1"/>
  <c r="I3" i="16"/>
  <c r="F18" i="16"/>
  <c r="B3" i="52"/>
  <c r="C3" i="52"/>
  <c r="A3" i="52"/>
  <c r="A6" i="16"/>
  <c r="X3" i="4"/>
  <c r="DP14" i="9"/>
  <c r="DP14" i="10"/>
  <c r="DP14" i="11"/>
  <c r="DP14" i="12"/>
  <c r="DP14" i="13"/>
  <c r="DP14" i="14"/>
  <c r="DP14" i="15"/>
  <c r="AH8" i="34"/>
  <c r="AG8" i="34"/>
  <c r="AB8" i="34"/>
  <c r="AH7" i="34"/>
  <c r="AG7" i="34"/>
  <c r="AB7" i="34"/>
  <c r="AH6" i="34"/>
  <c r="AG6" i="34"/>
  <c r="AB6" i="34"/>
  <c r="AH5" i="34"/>
  <c r="AG5" i="34"/>
  <c r="AB5" i="34"/>
  <c r="AH4" i="34"/>
  <c r="AG4" i="34"/>
  <c r="BY6" i="4"/>
  <c r="BY6" i="5" s="1"/>
  <c r="BY6" i="6" s="1"/>
  <c r="BY6" i="7" s="1"/>
  <c r="BY6" i="8" s="1"/>
  <c r="BY6" i="9" s="1"/>
  <c r="BY6" i="10" s="1"/>
  <c r="BY6" i="11" s="1"/>
  <c r="BY6" i="12" s="1"/>
  <c r="BY6" i="13" s="1"/>
  <c r="BY6" i="14" s="1"/>
  <c r="BY6" i="15" s="1"/>
  <c r="K68" i="4"/>
  <c r="K67" i="4"/>
  <c r="M57" i="34"/>
  <c r="M56" i="34"/>
  <c r="M55" i="34"/>
  <c r="M54" i="34"/>
  <c r="M53" i="34"/>
  <c r="M52" i="34"/>
  <c r="M51" i="34"/>
  <c r="M50" i="34"/>
  <c r="M49" i="34"/>
  <c r="M48" i="34"/>
  <c r="M47" i="34"/>
  <c r="M46" i="34"/>
  <c r="M45" i="34"/>
  <c r="M44" i="34"/>
  <c r="M43" i="34"/>
  <c r="M42" i="34"/>
  <c r="M41" i="34"/>
  <c r="M40" i="34"/>
  <c r="M39" i="34"/>
  <c r="M38" i="34"/>
  <c r="M37" i="34"/>
  <c r="M36" i="34"/>
  <c r="M35" i="34"/>
  <c r="M34" i="34"/>
  <c r="M33" i="34"/>
  <c r="M32" i="34"/>
  <c r="M31" i="34"/>
  <c r="M30" i="34"/>
  <c r="M29" i="34"/>
  <c r="M28" i="34"/>
  <c r="M27" i="34"/>
  <c r="M26" i="34"/>
  <c r="M25" i="34"/>
  <c r="M24" i="34"/>
  <c r="M23" i="34"/>
  <c r="M22" i="34"/>
  <c r="M21" i="34"/>
  <c r="M20" i="34"/>
  <c r="M19" i="34"/>
  <c r="A233" i="34"/>
  <c r="BX233" i="34" s="1"/>
  <c r="A245" i="34"/>
  <c r="BX245" i="34" s="1"/>
  <c r="A273" i="34"/>
  <c r="BX273" i="34" s="1"/>
  <c r="A297" i="34"/>
  <c r="BX297" i="34" s="1"/>
  <c r="A309" i="34"/>
  <c r="BX309" i="34" s="1"/>
  <c r="A311" i="34"/>
  <c r="BX311" i="34" s="1"/>
  <c r="A337" i="34"/>
  <c r="BX337" i="34" s="1"/>
  <c r="A361" i="34"/>
  <c r="BX361" i="34" s="1"/>
  <c r="A373" i="34"/>
  <c r="BX373" i="34" s="1"/>
  <c r="A409" i="34"/>
  <c r="BX409" i="34" s="1"/>
  <c r="B1" i="1"/>
  <c r="E29" i="33"/>
  <c r="E31" i="33" s="1"/>
  <c r="W38" i="33" s="1"/>
  <c r="AV9" i="34" s="1"/>
  <c r="F446" i="34"/>
  <c r="E29" i="32"/>
  <c r="E31" i="32" s="1"/>
  <c r="W38" i="32" s="1"/>
  <c r="AV8" i="34" s="1"/>
  <c r="E29" i="31"/>
  <c r="E31" i="31" s="1"/>
  <c r="W38" i="31" s="1"/>
  <c r="AV7" i="34" s="1"/>
  <c r="D32" i="28"/>
  <c r="D31" i="28"/>
  <c r="D30" i="28"/>
  <c r="D29" i="28"/>
  <c r="D28" i="28"/>
  <c r="D27" i="28"/>
  <c r="D26" i="28"/>
  <c r="A30" i="28"/>
  <c r="A29" i="28"/>
  <c r="A28" i="28"/>
  <c r="A27" i="28"/>
  <c r="A26" i="28"/>
  <c r="D19" i="28"/>
  <c r="D18" i="28"/>
  <c r="D17" i="28"/>
  <c r="D16" i="28"/>
  <c r="D15" i="28"/>
  <c r="D14" i="28"/>
  <c r="D13" i="28"/>
  <c r="A17" i="28"/>
  <c r="A16" i="28"/>
  <c r="A15" i="28"/>
  <c r="A14" i="28"/>
  <c r="A13" i="28"/>
  <c r="E29" i="27"/>
  <c r="E29" i="26"/>
  <c r="A13" i="25"/>
  <c r="Q7" i="16"/>
  <c r="Q8" i="16" s="1"/>
  <c r="Q9" i="16" s="1"/>
  <c r="Q10" i="16" s="1"/>
  <c r="Q11" i="16" s="1"/>
  <c r="Q12" i="16" s="1"/>
  <c r="Q13" i="16" s="1"/>
  <c r="Q14" i="16" s="1"/>
  <c r="Q15" i="16" s="1"/>
  <c r="Q16" i="16" s="1"/>
  <c r="Q17" i="16" s="1"/>
  <c r="AC34" i="15"/>
  <c r="AC34" i="14"/>
  <c r="AC34" i="13"/>
  <c r="AC34" i="12"/>
  <c r="AC34" i="11"/>
  <c r="AC34" i="10"/>
  <c r="AC34" i="9"/>
  <c r="AC34" i="8"/>
  <c r="AC34" i="7"/>
  <c r="AC34" i="6"/>
  <c r="AC34" i="5"/>
  <c r="X4" i="11"/>
  <c r="AC20" i="11"/>
  <c r="AC21" i="11"/>
  <c r="AC22" i="11"/>
  <c r="AC23" i="11"/>
  <c r="AC24" i="11"/>
  <c r="AC25" i="11"/>
  <c r="AC26" i="11"/>
  <c r="AC27" i="11"/>
  <c r="AC28" i="11"/>
  <c r="AC29" i="11"/>
  <c r="AC30" i="11"/>
  <c r="AC31" i="11"/>
  <c r="AC32" i="11"/>
  <c r="AC33" i="11"/>
  <c r="AC35" i="11"/>
  <c r="AC36" i="11"/>
  <c r="AC37" i="11"/>
  <c r="AC38" i="11"/>
  <c r="AC39" i="11"/>
  <c r="AC40" i="11"/>
  <c r="AC41" i="11"/>
  <c r="AC42" i="11"/>
  <c r="AC43" i="11"/>
  <c r="AC44" i="11"/>
  <c r="AC45" i="11"/>
  <c r="AC46" i="11"/>
  <c r="AC47" i="11"/>
  <c r="AC48" i="11"/>
  <c r="AC49" i="11"/>
  <c r="AC50" i="11"/>
  <c r="X4" i="7"/>
  <c r="AC20" i="7"/>
  <c r="AC21" i="7"/>
  <c r="AC22" i="7"/>
  <c r="AC23" i="7"/>
  <c r="AC24" i="7"/>
  <c r="AC25" i="7"/>
  <c r="AC26" i="7"/>
  <c r="AC27" i="7"/>
  <c r="AC28" i="7"/>
  <c r="AC29" i="7"/>
  <c r="AC30" i="7"/>
  <c r="AC31" i="7"/>
  <c r="AC32" i="7"/>
  <c r="AC33" i="7"/>
  <c r="AC35" i="7"/>
  <c r="AC36" i="7"/>
  <c r="AC37" i="7"/>
  <c r="AC38" i="7"/>
  <c r="AC39" i="7"/>
  <c r="AC40" i="7"/>
  <c r="AC41" i="7"/>
  <c r="AC42" i="7"/>
  <c r="AC43" i="7"/>
  <c r="AC44" i="7"/>
  <c r="AC45" i="7"/>
  <c r="AC46" i="7"/>
  <c r="AC47" i="7"/>
  <c r="AC48" i="7"/>
  <c r="AC49" i="7"/>
  <c r="X4" i="15"/>
  <c r="AC20" i="15"/>
  <c r="AC21" i="15"/>
  <c r="AC22" i="15"/>
  <c r="AC23" i="15"/>
  <c r="AC24" i="15"/>
  <c r="AC25" i="15"/>
  <c r="AC26" i="15"/>
  <c r="AC27" i="15"/>
  <c r="AC28" i="15"/>
  <c r="AC29" i="15"/>
  <c r="AC30" i="15"/>
  <c r="AC31" i="15"/>
  <c r="AC32" i="15"/>
  <c r="AC33" i="15"/>
  <c r="AC35" i="15"/>
  <c r="AC36" i="15"/>
  <c r="AC37" i="15"/>
  <c r="AC38" i="15"/>
  <c r="AC39" i="15"/>
  <c r="AC40" i="15"/>
  <c r="AC41" i="15"/>
  <c r="AC42" i="15"/>
  <c r="AC43" i="15"/>
  <c r="AC44" i="15"/>
  <c r="AC45" i="15"/>
  <c r="AC46" i="15"/>
  <c r="AC47" i="15"/>
  <c r="AC48" i="15"/>
  <c r="AC49" i="15"/>
  <c r="AC50" i="15"/>
  <c r="X4" i="5"/>
  <c r="AC20" i="5"/>
  <c r="AC21" i="5"/>
  <c r="AC22" i="5"/>
  <c r="AC23" i="5"/>
  <c r="AC24" i="5"/>
  <c r="AC25" i="5"/>
  <c r="AC26" i="5"/>
  <c r="AC27" i="5"/>
  <c r="AC28" i="5"/>
  <c r="AC29" i="5"/>
  <c r="AC30" i="5"/>
  <c r="AC31" i="5"/>
  <c r="AC32" i="5"/>
  <c r="AC33" i="5"/>
  <c r="AC35" i="5"/>
  <c r="AC36" i="5"/>
  <c r="AC37" i="5"/>
  <c r="AC38" i="5"/>
  <c r="AC39" i="5"/>
  <c r="AC40" i="5"/>
  <c r="AC41" i="5"/>
  <c r="AC42" i="5"/>
  <c r="AC43" i="5"/>
  <c r="AC44" i="5"/>
  <c r="AC45" i="5"/>
  <c r="AC46" i="5"/>
  <c r="AC47" i="5"/>
  <c r="BZ92" i="5"/>
  <c r="E15" i="51" s="1"/>
  <c r="X4" i="4"/>
  <c r="BZ92" i="4"/>
  <c r="F15" i="51" s="1"/>
  <c r="B37" i="50" s="1"/>
  <c r="X4" i="10"/>
  <c r="AC20" i="10"/>
  <c r="AC21" i="10"/>
  <c r="AC22" i="10"/>
  <c r="AC23" i="10"/>
  <c r="AC24" i="10"/>
  <c r="AC25" i="10"/>
  <c r="AC26" i="10"/>
  <c r="AC27" i="10"/>
  <c r="AC28" i="10"/>
  <c r="AC29" i="10"/>
  <c r="AC30" i="10"/>
  <c r="AC31" i="10"/>
  <c r="AC32" i="10"/>
  <c r="AC33" i="10"/>
  <c r="AC35" i="10"/>
  <c r="AC36" i="10"/>
  <c r="AC37" i="10"/>
  <c r="AC38" i="10"/>
  <c r="AC39" i="10"/>
  <c r="AC40" i="10"/>
  <c r="AC41" i="10"/>
  <c r="AC42" i="10"/>
  <c r="AC43" i="10"/>
  <c r="AC44" i="10"/>
  <c r="AC45" i="10"/>
  <c r="AC46" i="10"/>
  <c r="AC47" i="10"/>
  <c r="AC48" i="10"/>
  <c r="AC49" i="10"/>
  <c r="AC50" i="10"/>
  <c r="BZ100" i="10"/>
  <c r="X4" i="9"/>
  <c r="Z9" i="9"/>
  <c r="AC20" i="9"/>
  <c r="AC21" i="9"/>
  <c r="AC22" i="9"/>
  <c r="AC23" i="9"/>
  <c r="AC24" i="9"/>
  <c r="AC25" i="9"/>
  <c r="AC26" i="9"/>
  <c r="AC27" i="9"/>
  <c r="AC28" i="9"/>
  <c r="AC29" i="9"/>
  <c r="AC30" i="9"/>
  <c r="AC31" i="9"/>
  <c r="AC32" i="9"/>
  <c r="AC33" i="9"/>
  <c r="AC35" i="9"/>
  <c r="AC36" i="9"/>
  <c r="AC37" i="9"/>
  <c r="AC38" i="9"/>
  <c r="AC39" i="9"/>
  <c r="AC40" i="9"/>
  <c r="AC41" i="9"/>
  <c r="AC42" i="9"/>
  <c r="AC43" i="9"/>
  <c r="AC44" i="9"/>
  <c r="AC45" i="9"/>
  <c r="AC46" i="9"/>
  <c r="AC47" i="9"/>
  <c r="AC48" i="9"/>
  <c r="AC49" i="9"/>
  <c r="BZ100" i="9"/>
  <c r="X4" i="8"/>
  <c r="Z9" i="8"/>
  <c r="AC20" i="8"/>
  <c r="AC21" i="8"/>
  <c r="AC22" i="8"/>
  <c r="AC23" i="8"/>
  <c r="AC24" i="8"/>
  <c r="AC25" i="8"/>
  <c r="AC26" i="8"/>
  <c r="AC27" i="8"/>
  <c r="AC28" i="8"/>
  <c r="AC29" i="8"/>
  <c r="AC30" i="8"/>
  <c r="AC31" i="8"/>
  <c r="AC32" i="8"/>
  <c r="AC33" i="8"/>
  <c r="AC35" i="8"/>
  <c r="AC36" i="8"/>
  <c r="AC37" i="8"/>
  <c r="AC38" i="8"/>
  <c r="AC39" i="8"/>
  <c r="AC40" i="8"/>
  <c r="AC41" i="8"/>
  <c r="AC42" i="8"/>
  <c r="AC43" i="8"/>
  <c r="AC44" i="8"/>
  <c r="AC45" i="8"/>
  <c r="AC46" i="8"/>
  <c r="AC47" i="8"/>
  <c r="AC48" i="8"/>
  <c r="AC49" i="8"/>
  <c r="AC50" i="8"/>
  <c r="X4" i="6"/>
  <c r="AC20" i="6"/>
  <c r="AC21" i="6"/>
  <c r="AC22" i="6"/>
  <c r="AC23" i="6"/>
  <c r="AC24" i="6"/>
  <c r="AC25" i="6"/>
  <c r="AC26" i="6"/>
  <c r="AC27" i="6"/>
  <c r="AC28" i="6"/>
  <c r="AC29" i="6"/>
  <c r="AC30" i="6"/>
  <c r="AC31" i="6"/>
  <c r="AC32" i="6"/>
  <c r="AC33" i="6"/>
  <c r="AC35" i="6"/>
  <c r="AC36" i="6"/>
  <c r="AC37" i="6"/>
  <c r="AC38" i="6"/>
  <c r="AC39" i="6"/>
  <c r="AC40" i="6"/>
  <c r="AC41" i="6"/>
  <c r="AC42" i="6"/>
  <c r="AC43" i="6"/>
  <c r="AC44" i="6"/>
  <c r="AC45" i="6"/>
  <c r="AC46" i="6"/>
  <c r="AC47" i="6"/>
  <c r="AC48" i="6"/>
  <c r="AC49" i="6"/>
  <c r="AC50" i="6"/>
  <c r="X4" i="14"/>
  <c r="AC20" i="14"/>
  <c r="AC21" i="14"/>
  <c r="AC22" i="14"/>
  <c r="AC23" i="14"/>
  <c r="AC24" i="14"/>
  <c r="AC25" i="14"/>
  <c r="AC26" i="14"/>
  <c r="AC27" i="14"/>
  <c r="AC28" i="14"/>
  <c r="AC29" i="14"/>
  <c r="AC30" i="14"/>
  <c r="AC31" i="14"/>
  <c r="AC32" i="14"/>
  <c r="AC33" i="14"/>
  <c r="AC35" i="14"/>
  <c r="AC36" i="14"/>
  <c r="AC37" i="14"/>
  <c r="AC38" i="14"/>
  <c r="AC39" i="14"/>
  <c r="AC40" i="14"/>
  <c r="AC41" i="14"/>
  <c r="AC42" i="14"/>
  <c r="AC43" i="14"/>
  <c r="AC44" i="14"/>
  <c r="AC45" i="14"/>
  <c r="AC46" i="14"/>
  <c r="AC47" i="14"/>
  <c r="AC48" i="14"/>
  <c r="AC49" i="14"/>
  <c r="X4" i="13"/>
  <c r="Z11" i="13"/>
  <c r="AC20" i="13"/>
  <c r="AC21" i="13"/>
  <c r="AC22" i="13"/>
  <c r="AC23" i="13"/>
  <c r="AC24" i="13"/>
  <c r="AC25" i="13"/>
  <c r="AC26" i="13"/>
  <c r="AC27" i="13"/>
  <c r="AC28" i="13"/>
  <c r="AC29" i="13"/>
  <c r="AC30" i="13"/>
  <c r="AC31" i="13"/>
  <c r="AC32" i="13"/>
  <c r="AC33" i="13"/>
  <c r="AC35" i="13"/>
  <c r="AC36" i="13"/>
  <c r="AC37" i="13"/>
  <c r="AC38" i="13"/>
  <c r="AC39" i="13"/>
  <c r="AC40" i="13"/>
  <c r="AC41" i="13"/>
  <c r="AC42" i="13"/>
  <c r="AC43" i="13"/>
  <c r="AC44" i="13"/>
  <c r="AC45" i="13"/>
  <c r="AC46" i="13"/>
  <c r="AC47" i="13"/>
  <c r="AC48" i="13"/>
  <c r="AC49" i="13"/>
  <c r="AC50" i="13"/>
  <c r="BZ100" i="13"/>
  <c r="X4" i="12"/>
  <c r="AC20" i="12"/>
  <c r="AC21" i="12"/>
  <c r="AC22" i="12"/>
  <c r="AC23" i="12"/>
  <c r="AC24" i="12"/>
  <c r="AC25" i="12"/>
  <c r="AC26" i="12"/>
  <c r="AC27" i="12"/>
  <c r="AC28" i="12"/>
  <c r="AC29" i="12"/>
  <c r="AC30" i="12"/>
  <c r="AC31" i="12"/>
  <c r="AC32" i="12"/>
  <c r="AC33" i="12"/>
  <c r="AC35" i="12"/>
  <c r="AC36" i="12"/>
  <c r="AC37" i="12"/>
  <c r="AC38" i="12"/>
  <c r="AC39" i="12"/>
  <c r="AC40" i="12"/>
  <c r="AC41" i="12"/>
  <c r="AC42" i="12"/>
  <c r="AC43" i="12"/>
  <c r="AC44" i="12"/>
  <c r="AC45" i="12"/>
  <c r="AC46" i="12"/>
  <c r="AC47" i="12"/>
  <c r="AC48" i="12"/>
  <c r="AC49" i="12"/>
  <c r="BZ92" i="7"/>
  <c r="C15" i="51" s="1"/>
  <c r="BZ92" i="8"/>
  <c r="I15" i="51" s="1"/>
  <c r="BZ92" i="6"/>
  <c r="J15" i="51" s="1"/>
  <c r="BZ92" i="9"/>
  <c r="H15" i="51" s="1"/>
  <c r="BZ92" i="10"/>
  <c r="G15" i="51" s="1"/>
  <c r="BZ92" i="11"/>
  <c r="B15" i="51" s="1"/>
  <c r="BZ92" i="12"/>
  <c r="M15" i="51" s="1"/>
  <c r="BZ92" i="13"/>
  <c r="L15" i="51" s="1"/>
  <c r="BZ92" i="15"/>
  <c r="D15" i="51" s="1"/>
  <c r="BZ92" i="14"/>
  <c r="K15" i="51" s="1"/>
  <c r="A5" i="85" l="1"/>
  <c r="A6" i="85" s="1"/>
  <c r="A7" i="85" s="1"/>
  <c r="A8" i="85" s="1"/>
  <c r="A9" i="85" s="1"/>
  <c r="A10" i="85" s="1"/>
  <c r="A11" i="85" s="1"/>
  <c r="A12" i="85" s="1"/>
  <c r="A13" i="85" s="1"/>
  <c r="A14" i="85" s="1"/>
  <c r="A15" i="85" s="1"/>
  <c r="A16" i="85" s="1"/>
  <c r="V22" i="70"/>
  <c r="M21" i="70" s="1"/>
  <c r="M16" i="70"/>
  <c r="AC9" i="60"/>
  <c r="D13" i="25"/>
  <c r="G13" i="25" s="1"/>
  <c r="J13" i="25" s="1"/>
  <c r="M13" i="25" s="1"/>
  <c r="P13" i="25" s="1"/>
  <c r="S13" i="25" s="1"/>
  <c r="V13" i="25" s="1"/>
  <c r="A52" i="25"/>
  <c r="D52" i="25" s="1"/>
  <c r="G52" i="25" s="1"/>
  <c r="J52" i="25" s="1"/>
  <c r="M52" i="25" s="1"/>
  <c r="P52" i="25" s="1"/>
  <c r="S52" i="25" s="1"/>
  <c r="V52" i="25" s="1"/>
  <c r="W36" i="56"/>
  <c r="AU11" i="34" s="1"/>
  <c r="AR11" i="34"/>
  <c r="E46" i="56"/>
  <c r="E48" i="57"/>
  <c r="AR12" i="34"/>
  <c r="W36" i="57"/>
  <c r="AU12" i="34" s="1"/>
  <c r="E49" i="57"/>
  <c r="E46" i="57"/>
  <c r="DY5" i="40"/>
  <c r="AL90" i="10"/>
  <c r="AH90" i="10"/>
  <c r="E31" i="57"/>
  <c r="W38" i="57" s="1"/>
  <c r="AV12" i="34" s="1"/>
  <c r="E33" i="57"/>
  <c r="AD12" i="34" s="1"/>
  <c r="E33" i="56"/>
  <c r="E31" i="56"/>
  <c r="W38" i="56" s="1"/>
  <c r="AV11" i="34" s="1"/>
  <c r="E33" i="71"/>
  <c r="AD17" i="34" s="1"/>
  <c r="E31" i="71"/>
  <c r="W38" i="71" s="1"/>
  <c r="AV17" i="34" s="1"/>
  <c r="E33" i="70"/>
  <c r="AD16" i="34" s="1"/>
  <c r="E31" i="70"/>
  <c r="W38" i="70" s="1"/>
  <c r="AV16" i="34" s="1"/>
  <c r="E33" i="27"/>
  <c r="AD6" i="34" s="1"/>
  <c r="E31" i="27"/>
  <c r="W38" i="27" s="1"/>
  <c r="AV6" i="34" s="1"/>
  <c r="F32" i="51"/>
  <c r="B43" i="50" s="1"/>
  <c r="A408" i="34"/>
  <c r="BX408" i="34" s="1"/>
  <c r="A184" i="34"/>
  <c r="BX184" i="34" s="1"/>
  <c r="A156" i="34"/>
  <c r="BX156" i="34" s="1"/>
  <c r="A432" i="34"/>
  <c r="BX432" i="34" s="1"/>
  <c r="A410" i="34"/>
  <c r="BX410" i="34" s="1"/>
  <c r="A731" i="34"/>
  <c r="BX731" i="34" s="1"/>
  <c r="A739" i="34"/>
  <c r="BX739" i="34" s="1"/>
  <c r="A790" i="34"/>
  <c r="BX790" i="34" s="1"/>
  <c r="AD11" i="34"/>
  <c r="A200" i="34"/>
  <c r="BX200" i="34" s="1"/>
  <c r="A632" i="34"/>
  <c r="BX632" i="34" s="1"/>
  <c r="A140" i="34"/>
  <c r="BX140" i="34" s="1"/>
  <c r="A420" i="34"/>
  <c r="BX420" i="34" s="1"/>
  <c r="A128" i="34"/>
  <c r="BX128" i="34" s="1"/>
  <c r="A212" i="34"/>
  <c r="BX212" i="34" s="1"/>
  <c r="A611" i="34"/>
  <c r="BX611" i="34" s="1"/>
  <c r="A591" i="34"/>
  <c r="BX591" i="34" s="1"/>
  <c r="A620" i="34"/>
  <c r="BX620" i="34" s="1"/>
  <c r="A686" i="34"/>
  <c r="BX686" i="34" s="1"/>
  <c r="A172" i="34"/>
  <c r="BX172" i="34" s="1"/>
  <c r="A448" i="34"/>
  <c r="BX448" i="34" s="1"/>
  <c r="A607" i="34"/>
  <c r="BX607" i="34" s="1"/>
  <c r="A587" i="34"/>
  <c r="BX587" i="34" s="1"/>
  <c r="A479" i="34"/>
  <c r="BX479" i="34" s="1"/>
  <c r="A624" i="34"/>
  <c r="BX624" i="34" s="1"/>
  <c r="A725" i="34"/>
  <c r="BX725" i="34" s="1"/>
  <c r="EI446" i="34"/>
  <c r="G446" i="34"/>
  <c r="EI338" i="34"/>
  <c r="G338" i="34"/>
  <c r="EI120" i="34"/>
  <c r="G120" i="34"/>
  <c r="EI116" i="34"/>
  <c r="G116" i="34"/>
  <c r="EI397" i="34"/>
  <c r="G397" i="34"/>
  <c r="EI343" i="34"/>
  <c r="G343" i="34"/>
  <c r="EI339" i="34"/>
  <c r="G339" i="34"/>
  <c r="EI285" i="34"/>
  <c r="G285" i="34"/>
  <c r="EI231" i="34"/>
  <c r="G231" i="34"/>
  <c r="EI227" i="34"/>
  <c r="G227" i="34"/>
  <c r="EI173" i="34"/>
  <c r="G173" i="34"/>
  <c r="EI401" i="34"/>
  <c r="G401" i="34"/>
  <c r="EI124" i="34"/>
  <c r="G124" i="34"/>
  <c r="EI406" i="34"/>
  <c r="G406" i="34"/>
  <c r="EI402" i="34"/>
  <c r="G402" i="34"/>
  <c r="EI348" i="34"/>
  <c r="G348" i="34"/>
  <c r="EI294" i="34"/>
  <c r="G294" i="34"/>
  <c r="EI290" i="34"/>
  <c r="G290" i="34"/>
  <c r="EI236" i="34"/>
  <c r="G236" i="34"/>
  <c r="EI182" i="34"/>
  <c r="G182" i="34"/>
  <c r="EI178" i="34"/>
  <c r="G178" i="34"/>
  <c r="EI296" i="34"/>
  <c r="G296" i="34"/>
  <c r="EI245" i="34"/>
  <c r="G245" i="34"/>
  <c r="EI411" i="34"/>
  <c r="G411" i="34"/>
  <c r="EI357" i="34"/>
  <c r="G357" i="34"/>
  <c r="EI353" i="34"/>
  <c r="G353" i="34"/>
  <c r="EI299" i="34"/>
  <c r="G299" i="34"/>
  <c r="EI189" i="34"/>
  <c r="G189" i="34"/>
  <c r="EI131" i="34"/>
  <c r="G131" i="34"/>
  <c r="EI415" i="34"/>
  <c r="G415" i="34"/>
  <c r="EI135" i="34"/>
  <c r="G135" i="34"/>
  <c r="EI250" i="34"/>
  <c r="G250" i="34"/>
  <c r="EI420" i="34"/>
  <c r="G420" i="34"/>
  <c r="EI416" i="34"/>
  <c r="G416" i="34"/>
  <c r="EI362" i="34"/>
  <c r="G362" i="34"/>
  <c r="EI308" i="34"/>
  <c r="G308" i="34"/>
  <c r="EI304" i="34"/>
  <c r="G304" i="34"/>
  <c r="EI194" i="34"/>
  <c r="G194" i="34"/>
  <c r="EI140" i="34"/>
  <c r="G140" i="34"/>
  <c r="EI136" i="34"/>
  <c r="G136" i="34"/>
  <c r="EI315" i="34"/>
  <c r="G315" i="34"/>
  <c r="EI311" i="34"/>
  <c r="G311" i="34"/>
  <c r="EI425" i="34"/>
  <c r="G425" i="34"/>
  <c r="EI371" i="34"/>
  <c r="G371" i="34"/>
  <c r="EI367" i="34"/>
  <c r="G367" i="34"/>
  <c r="EI257" i="34"/>
  <c r="G257" i="34"/>
  <c r="EI203" i="34"/>
  <c r="G203" i="34"/>
  <c r="EI199" i="34"/>
  <c r="G199" i="34"/>
  <c r="EI145" i="34"/>
  <c r="G145" i="34"/>
  <c r="EI429" i="34"/>
  <c r="G429" i="34"/>
  <c r="EI149" i="34"/>
  <c r="G149" i="34"/>
  <c r="EI376" i="34"/>
  <c r="G376" i="34"/>
  <c r="EI434" i="34"/>
  <c r="G434" i="34"/>
  <c r="EI430" i="34"/>
  <c r="G430" i="34"/>
  <c r="EI320" i="34"/>
  <c r="G320" i="34"/>
  <c r="EI266" i="34"/>
  <c r="G266" i="34"/>
  <c r="EI262" i="34"/>
  <c r="G262" i="34"/>
  <c r="EI208" i="34"/>
  <c r="G208" i="34"/>
  <c r="EI154" i="34"/>
  <c r="G154" i="34"/>
  <c r="EI150" i="34"/>
  <c r="G150" i="34"/>
  <c r="EI441" i="34"/>
  <c r="G441" i="34"/>
  <c r="EI437" i="34"/>
  <c r="G437" i="34"/>
  <c r="EI383" i="34"/>
  <c r="G383" i="34"/>
  <c r="EI329" i="34"/>
  <c r="G329" i="34"/>
  <c r="EI325" i="34"/>
  <c r="G325" i="34"/>
  <c r="EI271" i="34"/>
  <c r="G271" i="34"/>
  <c r="EI217" i="34"/>
  <c r="G217" i="34"/>
  <c r="EI213" i="34"/>
  <c r="G213" i="34"/>
  <c r="EI159" i="34"/>
  <c r="G159" i="34"/>
  <c r="EI387" i="34"/>
  <c r="G387" i="34"/>
  <c r="EI163" i="34"/>
  <c r="G163" i="34"/>
  <c r="EI392" i="34"/>
  <c r="G392" i="34"/>
  <c r="EI388" i="34"/>
  <c r="G388" i="34"/>
  <c r="EI334" i="34"/>
  <c r="G334" i="34"/>
  <c r="EI280" i="34"/>
  <c r="G280" i="34"/>
  <c r="EI276" i="34"/>
  <c r="G276" i="34"/>
  <c r="EI222" i="34"/>
  <c r="G222" i="34"/>
  <c r="EI168" i="34"/>
  <c r="G168" i="34"/>
  <c r="EI164" i="34"/>
  <c r="G164" i="34"/>
  <c r="EI471" i="34"/>
  <c r="G471" i="34"/>
  <c r="EI499" i="34"/>
  <c r="G499" i="34"/>
  <c r="EI472" i="34"/>
  <c r="G472" i="34"/>
  <c r="EI473" i="34"/>
  <c r="G473" i="34"/>
  <c r="EI501" i="34"/>
  <c r="G501" i="34"/>
  <c r="EI474" i="34"/>
  <c r="G474" i="34"/>
  <c r="EI502" i="34"/>
  <c r="G502" i="34"/>
  <c r="EI475" i="34"/>
  <c r="G475" i="34"/>
  <c r="EI503" i="34"/>
  <c r="G503" i="34"/>
  <c r="EI476" i="34"/>
  <c r="G476" i="34"/>
  <c r="EI504" i="34"/>
  <c r="G504" i="34"/>
  <c r="EI477" i="34"/>
  <c r="G477" i="34"/>
  <c r="EI505" i="34"/>
  <c r="G505" i="34"/>
  <c r="EI521" i="34"/>
  <c r="G521" i="34"/>
  <c r="EI549" i="34"/>
  <c r="G549" i="34"/>
  <c r="EI522" i="34"/>
  <c r="G522" i="34"/>
  <c r="EI550" i="34"/>
  <c r="G550" i="34"/>
  <c r="EI523" i="34"/>
  <c r="G523" i="34"/>
  <c r="EI551" i="34"/>
  <c r="G551" i="34"/>
  <c r="EI524" i="34"/>
  <c r="G524" i="34"/>
  <c r="EI552" i="34"/>
  <c r="G552" i="34"/>
  <c r="EI525" i="34"/>
  <c r="G525" i="34"/>
  <c r="EI553" i="34"/>
  <c r="G553" i="34"/>
  <c r="EI526" i="34"/>
  <c r="G526" i="34"/>
  <c r="EI554" i="34"/>
  <c r="G554" i="34"/>
  <c r="EI597" i="34"/>
  <c r="G597" i="34"/>
  <c r="EI570" i="34"/>
  <c r="G570" i="34"/>
  <c r="EI598" i="34"/>
  <c r="G598" i="34"/>
  <c r="EI599" i="34"/>
  <c r="G599" i="34"/>
  <c r="EI572" i="34"/>
  <c r="G572" i="34"/>
  <c r="EI600" i="34"/>
  <c r="G600" i="34"/>
  <c r="EI573" i="34"/>
  <c r="G573" i="34"/>
  <c r="EI601" i="34"/>
  <c r="G601" i="34"/>
  <c r="EI574" i="34"/>
  <c r="G574" i="34"/>
  <c r="EI602" i="34"/>
  <c r="G602" i="34"/>
  <c r="EI575" i="34"/>
  <c r="G575" i="34"/>
  <c r="EI603" i="34"/>
  <c r="G603" i="34"/>
  <c r="EI625" i="34"/>
  <c r="G625" i="34"/>
  <c r="EI626" i="34"/>
  <c r="G626" i="34"/>
  <c r="EI654" i="34"/>
  <c r="G654" i="34"/>
  <c r="EI627" i="34"/>
  <c r="G627" i="34"/>
  <c r="EI655" i="34"/>
  <c r="G655" i="34"/>
  <c r="EI628" i="34"/>
  <c r="G628" i="34"/>
  <c r="EI656" i="34"/>
  <c r="G656" i="34"/>
  <c r="EI629" i="34"/>
  <c r="G629" i="34"/>
  <c r="EI657" i="34"/>
  <c r="G657" i="34"/>
  <c r="EI630" i="34"/>
  <c r="G630" i="34"/>
  <c r="EI658" i="34"/>
  <c r="G658" i="34"/>
  <c r="EI631" i="34"/>
  <c r="G631" i="34"/>
  <c r="EI659" i="34"/>
  <c r="G659" i="34"/>
  <c r="EI674" i="34"/>
  <c r="G674" i="34"/>
  <c r="EI675" i="34"/>
  <c r="G675" i="34"/>
  <c r="EI703" i="34"/>
  <c r="G703" i="34"/>
  <c r="EI676" i="34"/>
  <c r="G676" i="34"/>
  <c r="EI704" i="34"/>
  <c r="G704" i="34"/>
  <c r="EI677" i="34"/>
  <c r="G677" i="34"/>
  <c r="EI705" i="34"/>
  <c r="G705" i="34"/>
  <c r="EI678" i="34"/>
  <c r="G678" i="34"/>
  <c r="EI706" i="34"/>
  <c r="G706" i="34"/>
  <c r="EI679" i="34"/>
  <c r="G679" i="34"/>
  <c r="EI707" i="34"/>
  <c r="G707" i="34"/>
  <c r="EI680" i="34"/>
  <c r="G680" i="34"/>
  <c r="EI708" i="34"/>
  <c r="G708" i="34"/>
  <c r="EI752" i="34"/>
  <c r="G752" i="34"/>
  <c r="EI780" i="34"/>
  <c r="G780" i="34"/>
  <c r="EI753" i="34"/>
  <c r="G753" i="34"/>
  <c r="EI781" i="34"/>
  <c r="G781" i="34"/>
  <c r="EI754" i="34"/>
  <c r="G754" i="34"/>
  <c r="EI782" i="34"/>
  <c r="G782" i="34"/>
  <c r="EI755" i="34"/>
  <c r="G755" i="34"/>
  <c r="EI783" i="34"/>
  <c r="G783" i="34"/>
  <c r="EI756" i="34"/>
  <c r="G756" i="34"/>
  <c r="EI784" i="34"/>
  <c r="G784" i="34"/>
  <c r="EI757" i="34"/>
  <c r="G757" i="34"/>
  <c r="EI800" i="34"/>
  <c r="G800" i="34"/>
  <c r="EI828" i="34"/>
  <c r="G828" i="34"/>
  <c r="EI801" i="34"/>
  <c r="G801" i="34"/>
  <c r="EI829" i="34"/>
  <c r="G829" i="34"/>
  <c r="EI802" i="34"/>
  <c r="G802" i="34"/>
  <c r="EI830" i="34"/>
  <c r="G830" i="34"/>
  <c r="EI803" i="34"/>
  <c r="G803" i="34"/>
  <c r="EI831" i="34"/>
  <c r="G831" i="34"/>
  <c r="EI804" i="34"/>
  <c r="G804" i="34"/>
  <c r="EI832" i="34"/>
  <c r="G832" i="34"/>
  <c r="EI805" i="34"/>
  <c r="G805" i="34"/>
  <c r="EI833" i="34"/>
  <c r="G833" i="34"/>
  <c r="EI806" i="34"/>
  <c r="G806" i="34"/>
  <c r="EI834" i="34"/>
  <c r="G834" i="34"/>
  <c r="EI878" i="34"/>
  <c r="G878" i="34"/>
  <c r="EI851" i="34"/>
  <c r="G851" i="34"/>
  <c r="EI879" i="34"/>
  <c r="G879" i="34"/>
  <c r="EI852" i="34"/>
  <c r="G852" i="34"/>
  <c r="EI880" i="34"/>
  <c r="G880" i="34"/>
  <c r="EI853" i="34"/>
  <c r="G853" i="34"/>
  <c r="EI881" i="34"/>
  <c r="G881" i="34"/>
  <c r="EI854" i="34"/>
  <c r="G854" i="34"/>
  <c r="EI882" i="34"/>
  <c r="G882" i="34"/>
  <c r="EI855" i="34"/>
  <c r="G855" i="34"/>
  <c r="EI883" i="34"/>
  <c r="G883" i="34"/>
  <c r="EI115" i="34"/>
  <c r="G115" i="34"/>
  <c r="EI282" i="34"/>
  <c r="G282" i="34"/>
  <c r="EI119" i="34"/>
  <c r="G119" i="34"/>
  <c r="EI400" i="34"/>
  <c r="G400" i="34"/>
  <c r="EI342" i="34"/>
  <c r="G342" i="34"/>
  <c r="EI288" i="34"/>
  <c r="G288" i="34"/>
  <c r="EI230" i="34"/>
  <c r="G230" i="34"/>
  <c r="EI176" i="34"/>
  <c r="G176" i="34"/>
  <c r="EI127" i="34"/>
  <c r="G127" i="34"/>
  <c r="EI123" i="34"/>
  <c r="G123" i="34"/>
  <c r="EI405" i="34"/>
  <c r="G405" i="34"/>
  <c r="EI351" i="34"/>
  <c r="G351" i="34"/>
  <c r="EI347" i="34"/>
  <c r="G347" i="34"/>
  <c r="EI293" i="34"/>
  <c r="G293" i="34"/>
  <c r="EI239" i="34"/>
  <c r="G239" i="34"/>
  <c r="EI235" i="34"/>
  <c r="G235" i="34"/>
  <c r="EI181" i="34"/>
  <c r="G181" i="34"/>
  <c r="EI240" i="34"/>
  <c r="G240" i="34"/>
  <c r="EI184" i="34"/>
  <c r="G184" i="34"/>
  <c r="EI244" i="34"/>
  <c r="G244" i="34"/>
  <c r="EI414" i="34"/>
  <c r="G414" i="34"/>
  <c r="EI356" i="34"/>
  <c r="G356" i="34"/>
  <c r="EI302" i="34"/>
  <c r="G302" i="34"/>
  <c r="EI298" i="34"/>
  <c r="G298" i="34"/>
  <c r="EI188" i="34"/>
  <c r="G188" i="34"/>
  <c r="EI134" i="34"/>
  <c r="G134" i="34"/>
  <c r="EI130" i="34"/>
  <c r="G130" i="34"/>
  <c r="EI253" i="34"/>
  <c r="G253" i="34"/>
  <c r="EI249" i="34"/>
  <c r="G249" i="34"/>
  <c r="EI419" i="34"/>
  <c r="G419" i="34"/>
  <c r="EI365" i="34"/>
  <c r="G365" i="34"/>
  <c r="EI361" i="34"/>
  <c r="G361" i="34"/>
  <c r="EI307" i="34"/>
  <c r="G307" i="34"/>
  <c r="EI197" i="34"/>
  <c r="G197" i="34"/>
  <c r="EI193" i="34"/>
  <c r="G193" i="34"/>
  <c r="EI139" i="34"/>
  <c r="G139" i="34"/>
  <c r="EI310" i="34"/>
  <c r="G310" i="34"/>
  <c r="EI198" i="34"/>
  <c r="G198" i="34"/>
  <c r="EI314" i="34"/>
  <c r="G314" i="34"/>
  <c r="EI428" i="34"/>
  <c r="G428" i="34"/>
  <c r="EI370" i="34"/>
  <c r="G370" i="34"/>
  <c r="EI260" i="34"/>
  <c r="G260" i="34"/>
  <c r="EI256" i="34"/>
  <c r="G256" i="34"/>
  <c r="EI202" i="34"/>
  <c r="G202" i="34"/>
  <c r="EI148" i="34"/>
  <c r="G148" i="34"/>
  <c r="EI144" i="34"/>
  <c r="G144" i="34"/>
  <c r="EI317" i="34"/>
  <c r="G317" i="34"/>
  <c r="EI379" i="34"/>
  <c r="G379" i="34"/>
  <c r="EI375" i="34"/>
  <c r="G375" i="34"/>
  <c r="EI433" i="34"/>
  <c r="G433" i="34"/>
  <c r="EI323" i="34"/>
  <c r="G323" i="34"/>
  <c r="EI319" i="34"/>
  <c r="G319" i="34"/>
  <c r="EI265" i="34"/>
  <c r="G265" i="34"/>
  <c r="EI211" i="34"/>
  <c r="G211" i="34"/>
  <c r="EI207" i="34"/>
  <c r="G207" i="34"/>
  <c r="EI153" i="34"/>
  <c r="G153" i="34"/>
  <c r="EI436" i="34"/>
  <c r="G436" i="34"/>
  <c r="EI440" i="34"/>
  <c r="G440" i="34"/>
  <c r="EI386" i="34"/>
  <c r="G386" i="34"/>
  <c r="EI382" i="34"/>
  <c r="G382" i="34"/>
  <c r="EI328" i="34"/>
  <c r="G328" i="34"/>
  <c r="EI274" i="34"/>
  <c r="G274" i="34"/>
  <c r="EI270" i="34"/>
  <c r="G270" i="34"/>
  <c r="EI216" i="34"/>
  <c r="G216" i="34"/>
  <c r="EI162" i="34"/>
  <c r="G162" i="34"/>
  <c r="EI158" i="34"/>
  <c r="G158" i="34"/>
  <c r="EI445" i="34"/>
  <c r="G445" i="34"/>
  <c r="EI391" i="34"/>
  <c r="G391" i="34"/>
  <c r="EI333" i="34"/>
  <c r="G333" i="34"/>
  <c r="EI279" i="34"/>
  <c r="G279" i="34"/>
  <c r="EI221" i="34"/>
  <c r="G221" i="34"/>
  <c r="EI167" i="34"/>
  <c r="G167" i="34"/>
  <c r="EI478" i="34"/>
  <c r="G478" i="34"/>
  <c r="EI451" i="34"/>
  <c r="G451" i="34"/>
  <c r="EI479" i="34"/>
  <c r="G479" i="34"/>
  <c r="EI452" i="34"/>
  <c r="G452" i="34"/>
  <c r="EI480" i="34"/>
  <c r="G480" i="34"/>
  <c r="EI453" i="34"/>
  <c r="G453" i="34"/>
  <c r="EI481" i="34"/>
  <c r="G481" i="34"/>
  <c r="EI454" i="34"/>
  <c r="G454" i="34"/>
  <c r="EI482" i="34"/>
  <c r="G482" i="34"/>
  <c r="EI455" i="34"/>
  <c r="G455" i="34"/>
  <c r="EI483" i="34"/>
  <c r="G483" i="34"/>
  <c r="EI456" i="34"/>
  <c r="G456" i="34"/>
  <c r="EI484" i="34"/>
  <c r="G484" i="34"/>
  <c r="EI527" i="34"/>
  <c r="G527" i="34"/>
  <c r="EI556" i="34"/>
  <c r="G556" i="34"/>
  <c r="EI529" i="34"/>
  <c r="G529" i="34"/>
  <c r="EI557" i="34"/>
  <c r="G557" i="34"/>
  <c r="EI530" i="34"/>
  <c r="G530" i="34"/>
  <c r="EI558" i="34"/>
  <c r="G558" i="34"/>
  <c r="EI531" i="34"/>
  <c r="G531" i="34"/>
  <c r="EI559" i="34"/>
  <c r="G559" i="34"/>
  <c r="EI532" i="34"/>
  <c r="G532" i="34"/>
  <c r="EI560" i="34"/>
  <c r="G560" i="34"/>
  <c r="EI533" i="34"/>
  <c r="G533" i="34"/>
  <c r="EI561" i="34"/>
  <c r="G561" i="34"/>
  <c r="EI576" i="34"/>
  <c r="G576" i="34"/>
  <c r="EI604" i="34"/>
  <c r="G604" i="34"/>
  <c r="EI577" i="34"/>
  <c r="G577" i="34"/>
  <c r="EI578" i="34"/>
  <c r="G578" i="34"/>
  <c r="EI606" i="34"/>
  <c r="G606" i="34"/>
  <c r="EI579" i="34"/>
  <c r="G579" i="34"/>
  <c r="EI607" i="34"/>
  <c r="G607" i="34"/>
  <c r="EI580" i="34"/>
  <c r="G580" i="34"/>
  <c r="EI608" i="34"/>
  <c r="G608" i="34"/>
  <c r="EI581" i="34"/>
  <c r="G581" i="34"/>
  <c r="EI609" i="34"/>
  <c r="G609" i="34"/>
  <c r="EI582" i="34"/>
  <c r="G582" i="34"/>
  <c r="EI610" i="34"/>
  <c r="G610" i="34"/>
  <c r="EI633" i="34"/>
  <c r="G633" i="34"/>
  <c r="EI661" i="34"/>
  <c r="G661" i="34"/>
  <c r="EI634" i="34"/>
  <c r="G634" i="34"/>
  <c r="EI662" i="34"/>
  <c r="G662" i="34"/>
  <c r="EI635" i="34"/>
  <c r="G635" i="34"/>
  <c r="EI663" i="34"/>
  <c r="G663" i="34"/>
  <c r="EI636" i="34"/>
  <c r="G636" i="34"/>
  <c r="EI664" i="34"/>
  <c r="G664" i="34"/>
  <c r="EI637" i="34"/>
  <c r="G637" i="34"/>
  <c r="EI665" i="34"/>
  <c r="G665" i="34"/>
  <c r="EI638" i="34"/>
  <c r="G638" i="34"/>
  <c r="EI666" i="34"/>
  <c r="G666" i="34"/>
  <c r="EI681" i="34"/>
  <c r="G681" i="34"/>
  <c r="EI710" i="34"/>
  <c r="G710" i="34"/>
  <c r="EI683" i="34"/>
  <c r="G683" i="34"/>
  <c r="EI711" i="34"/>
  <c r="G711" i="34"/>
  <c r="EI684" i="34"/>
  <c r="G684" i="34"/>
  <c r="EI712" i="34"/>
  <c r="G712" i="34"/>
  <c r="EI685" i="34"/>
  <c r="G685" i="34"/>
  <c r="EI713" i="34"/>
  <c r="G713" i="34"/>
  <c r="EI686" i="34"/>
  <c r="G686" i="34"/>
  <c r="EI714" i="34"/>
  <c r="G714" i="34"/>
  <c r="EI687" i="34"/>
  <c r="G687" i="34"/>
  <c r="EI715" i="34"/>
  <c r="G715" i="34"/>
  <c r="EI731" i="34"/>
  <c r="G731" i="34"/>
  <c r="EI759" i="34"/>
  <c r="G759" i="34"/>
  <c r="EI732" i="34"/>
  <c r="G732" i="34"/>
  <c r="EI760" i="34"/>
  <c r="G760" i="34"/>
  <c r="EI733" i="34"/>
  <c r="G733" i="34"/>
  <c r="EI761" i="34"/>
  <c r="G761" i="34"/>
  <c r="EI734" i="34"/>
  <c r="G734" i="34"/>
  <c r="EI762" i="34"/>
  <c r="G762" i="34"/>
  <c r="EI735" i="34"/>
  <c r="G735" i="34"/>
  <c r="EI763" i="34"/>
  <c r="G763" i="34"/>
  <c r="EI736" i="34"/>
  <c r="G736" i="34"/>
  <c r="EI764" i="34"/>
  <c r="G764" i="34"/>
  <c r="EI835" i="34"/>
  <c r="G835" i="34"/>
  <c r="EI808" i="34"/>
  <c r="G808" i="34"/>
  <c r="EI836" i="34"/>
  <c r="G836" i="34"/>
  <c r="EI809" i="34"/>
  <c r="G809" i="34"/>
  <c r="EI837" i="34"/>
  <c r="G837" i="34"/>
  <c r="EI810" i="34"/>
  <c r="G810" i="34"/>
  <c r="EI838" i="34"/>
  <c r="G838" i="34"/>
  <c r="EI811" i="34"/>
  <c r="G811" i="34"/>
  <c r="EI839" i="34"/>
  <c r="G839" i="34"/>
  <c r="EI812" i="34"/>
  <c r="G812" i="34"/>
  <c r="EI840" i="34"/>
  <c r="G840" i="34"/>
  <c r="EI813" i="34"/>
  <c r="G813" i="34"/>
  <c r="EI858" i="34"/>
  <c r="G858" i="34"/>
  <c r="EI886" i="34"/>
  <c r="G886" i="34"/>
  <c r="EI859" i="34"/>
  <c r="G859" i="34"/>
  <c r="EI887" i="34"/>
  <c r="G887" i="34"/>
  <c r="EI860" i="34"/>
  <c r="G860" i="34"/>
  <c r="EI888" i="34"/>
  <c r="G888" i="34"/>
  <c r="EI861" i="34"/>
  <c r="G861" i="34"/>
  <c r="EI889" i="34"/>
  <c r="G889" i="34"/>
  <c r="EI862" i="34"/>
  <c r="G862" i="34"/>
  <c r="EI890" i="34"/>
  <c r="G890" i="34"/>
  <c r="A650" i="34"/>
  <c r="BX650" i="34" s="1"/>
  <c r="EI226" i="34"/>
  <c r="G226" i="34"/>
  <c r="EI118" i="34"/>
  <c r="G118" i="34"/>
  <c r="EI399" i="34"/>
  <c r="G399" i="34"/>
  <c r="EI395" i="34"/>
  <c r="G395" i="34"/>
  <c r="EI341" i="34"/>
  <c r="G341" i="34"/>
  <c r="EI287" i="34"/>
  <c r="G287" i="34"/>
  <c r="EI229" i="34"/>
  <c r="G229" i="34"/>
  <c r="EI175" i="34"/>
  <c r="G175" i="34"/>
  <c r="EI171" i="34"/>
  <c r="G171" i="34"/>
  <c r="EI289" i="34"/>
  <c r="G289" i="34"/>
  <c r="EI126" i="34"/>
  <c r="G126" i="34"/>
  <c r="EI122" i="34"/>
  <c r="G122" i="34"/>
  <c r="EI404" i="34"/>
  <c r="G404" i="34"/>
  <c r="EI350" i="34"/>
  <c r="G350" i="34"/>
  <c r="EI346" i="34"/>
  <c r="G346" i="34"/>
  <c r="EI292" i="34"/>
  <c r="G292" i="34"/>
  <c r="EI238" i="34"/>
  <c r="G238" i="34"/>
  <c r="EI234" i="34"/>
  <c r="G234" i="34"/>
  <c r="EI180" i="34"/>
  <c r="G180" i="34"/>
  <c r="EI408" i="34"/>
  <c r="G408" i="34"/>
  <c r="EI128" i="34"/>
  <c r="G128" i="34"/>
  <c r="EI243" i="34"/>
  <c r="G243" i="34"/>
  <c r="EI413" i="34"/>
  <c r="G413" i="34"/>
  <c r="EI409" i="34"/>
  <c r="G409" i="34"/>
  <c r="EI355" i="34"/>
  <c r="G355" i="34"/>
  <c r="EI301" i="34"/>
  <c r="G301" i="34"/>
  <c r="EI297" i="34"/>
  <c r="G297" i="34"/>
  <c r="EI187" i="34"/>
  <c r="G187" i="34"/>
  <c r="EI133" i="34"/>
  <c r="G133" i="34"/>
  <c r="EI303" i="34"/>
  <c r="G303" i="34"/>
  <c r="EI252" i="34"/>
  <c r="G252" i="34"/>
  <c r="EI248" i="34"/>
  <c r="G248" i="34"/>
  <c r="EI418" i="34"/>
  <c r="G418" i="34"/>
  <c r="EI364" i="34"/>
  <c r="G364" i="34"/>
  <c r="EI360" i="34"/>
  <c r="G360" i="34"/>
  <c r="EI306" i="34"/>
  <c r="G306" i="34"/>
  <c r="EI196" i="34"/>
  <c r="G196" i="34"/>
  <c r="EI192" i="34"/>
  <c r="G192" i="34"/>
  <c r="EI138" i="34"/>
  <c r="G138" i="34"/>
  <c r="EI422" i="34"/>
  <c r="G422" i="34"/>
  <c r="EI142" i="34"/>
  <c r="G142" i="34"/>
  <c r="EI313" i="34"/>
  <c r="G313" i="34"/>
  <c r="EI427" i="34"/>
  <c r="G427" i="34"/>
  <c r="EI423" i="34"/>
  <c r="G423" i="34"/>
  <c r="EI369" i="34"/>
  <c r="G369" i="34"/>
  <c r="EI259" i="34"/>
  <c r="G259" i="34"/>
  <c r="EI255" i="34"/>
  <c r="G255" i="34"/>
  <c r="EI201" i="34"/>
  <c r="G201" i="34"/>
  <c r="EI147" i="34"/>
  <c r="G147" i="34"/>
  <c r="EI143" i="34"/>
  <c r="G143" i="34"/>
  <c r="EI378" i="34"/>
  <c r="G378" i="34"/>
  <c r="EI374" i="34"/>
  <c r="G374" i="34"/>
  <c r="EI432" i="34"/>
  <c r="G432" i="34"/>
  <c r="EI322" i="34"/>
  <c r="G322" i="34"/>
  <c r="EI264" i="34"/>
  <c r="G264" i="34"/>
  <c r="EI210" i="34"/>
  <c r="G210" i="34"/>
  <c r="EI152" i="34"/>
  <c r="G152" i="34"/>
  <c r="EI380" i="34"/>
  <c r="G380" i="34"/>
  <c r="EI156" i="34"/>
  <c r="G156" i="34"/>
  <c r="EI439" i="34"/>
  <c r="G439" i="34"/>
  <c r="EI385" i="34"/>
  <c r="G385" i="34"/>
  <c r="EI381" i="34"/>
  <c r="G381" i="34"/>
  <c r="EI327" i="34"/>
  <c r="G327" i="34"/>
  <c r="EI273" i="34"/>
  <c r="G273" i="34"/>
  <c r="EI269" i="34"/>
  <c r="G269" i="34"/>
  <c r="EI215" i="34"/>
  <c r="G215" i="34"/>
  <c r="EI161" i="34"/>
  <c r="G161" i="34"/>
  <c r="EI157" i="34"/>
  <c r="G157" i="34"/>
  <c r="EI448" i="34"/>
  <c r="G448" i="34"/>
  <c r="EI390" i="34"/>
  <c r="G390" i="34"/>
  <c r="EI336" i="34"/>
  <c r="G336" i="34"/>
  <c r="EI332" i="34"/>
  <c r="G332" i="34"/>
  <c r="EI278" i="34"/>
  <c r="G278" i="34"/>
  <c r="EI224" i="34"/>
  <c r="G224" i="34"/>
  <c r="EI220" i="34"/>
  <c r="G220" i="34"/>
  <c r="EI166" i="34"/>
  <c r="G166" i="34"/>
  <c r="EI457" i="34"/>
  <c r="G457" i="34"/>
  <c r="EI485" i="34"/>
  <c r="G485" i="34"/>
  <c r="EI486" i="34"/>
  <c r="G486" i="34"/>
  <c r="EI459" i="34"/>
  <c r="G459" i="34"/>
  <c r="EI487" i="34"/>
  <c r="G487" i="34"/>
  <c r="EI460" i="34"/>
  <c r="G460" i="34"/>
  <c r="EI488" i="34"/>
  <c r="G488" i="34"/>
  <c r="EI461" i="34"/>
  <c r="G461" i="34"/>
  <c r="EI489" i="34"/>
  <c r="G489" i="34"/>
  <c r="EI462" i="34"/>
  <c r="G462" i="34"/>
  <c r="EI490" i="34"/>
  <c r="G490" i="34"/>
  <c r="EI463" i="34"/>
  <c r="G463" i="34"/>
  <c r="EI491" i="34"/>
  <c r="G491" i="34"/>
  <c r="EI507" i="34"/>
  <c r="G507" i="34"/>
  <c r="EI535" i="34"/>
  <c r="G535" i="34"/>
  <c r="EI508" i="34"/>
  <c r="G508" i="34"/>
  <c r="EI536" i="34"/>
  <c r="G536" i="34"/>
  <c r="EI509" i="34"/>
  <c r="G509" i="34"/>
  <c r="EI537" i="34"/>
  <c r="G537" i="34"/>
  <c r="EI510" i="34"/>
  <c r="G510" i="34"/>
  <c r="EI538" i="34"/>
  <c r="G538" i="34"/>
  <c r="EI511" i="34"/>
  <c r="G511" i="34"/>
  <c r="EI539" i="34"/>
  <c r="G539" i="34"/>
  <c r="EI512" i="34"/>
  <c r="G512" i="34"/>
  <c r="EI540" i="34"/>
  <c r="G540" i="34"/>
  <c r="EI583" i="34"/>
  <c r="G583" i="34"/>
  <c r="EI611" i="34"/>
  <c r="G611" i="34"/>
  <c r="EI584" i="34"/>
  <c r="G584" i="34"/>
  <c r="EI585" i="34"/>
  <c r="G585" i="34"/>
  <c r="EI613" i="34"/>
  <c r="G613" i="34"/>
  <c r="EI586" i="34"/>
  <c r="G586" i="34"/>
  <c r="EI614" i="34"/>
  <c r="G614" i="34"/>
  <c r="EI587" i="34"/>
  <c r="G587" i="34"/>
  <c r="EI615" i="34"/>
  <c r="G615" i="34"/>
  <c r="EI588" i="34"/>
  <c r="G588" i="34"/>
  <c r="EI616" i="34"/>
  <c r="G616" i="34"/>
  <c r="EI589" i="34"/>
  <c r="G589" i="34"/>
  <c r="EI617" i="34"/>
  <c r="G617" i="34"/>
  <c r="EI640" i="34"/>
  <c r="G640" i="34"/>
  <c r="EI668" i="34"/>
  <c r="G668" i="34"/>
  <c r="EI641" i="34"/>
  <c r="G641" i="34"/>
  <c r="EI669" i="34"/>
  <c r="G669" i="34"/>
  <c r="EI642" i="34"/>
  <c r="G642" i="34"/>
  <c r="EI670" i="34"/>
  <c r="G670" i="34"/>
  <c r="EI643" i="34"/>
  <c r="G643" i="34"/>
  <c r="EI671" i="34"/>
  <c r="G671" i="34"/>
  <c r="EI644" i="34"/>
  <c r="G644" i="34"/>
  <c r="EI672" i="34"/>
  <c r="G672" i="34"/>
  <c r="EI645" i="34"/>
  <c r="G645" i="34"/>
  <c r="EI689" i="34"/>
  <c r="G689" i="34"/>
  <c r="EI717" i="34"/>
  <c r="G717" i="34"/>
  <c r="EI690" i="34"/>
  <c r="G690" i="34"/>
  <c r="EI718" i="34"/>
  <c r="G718" i="34"/>
  <c r="EI691" i="34"/>
  <c r="G691" i="34"/>
  <c r="EI719" i="34"/>
  <c r="G719" i="34"/>
  <c r="EI692" i="34"/>
  <c r="G692" i="34"/>
  <c r="EI720" i="34"/>
  <c r="G720" i="34"/>
  <c r="EI693" i="34"/>
  <c r="G693" i="34"/>
  <c r="EI721" i="34"/>
  <c r="G721" i="34"/>
  <c r="EI694" i="34"/>
  <c r="G694" i="34"/>
  <c r="EI722" i="34"/>
  <c r="G722" i="34"/>
  <c r="EI738" i="34"/>
  <c r="G738" i="34"/>
  <c r="EI766" i="34"/>
  <c r="G766" i="34"/>
  <c r="EI739" i="34"/>
  <c r="G739" i="34"/>
  <c r="EI767" i="34"/>
  <c r="G767" i="34"/>
  <c r="EI740" i="34"/>
  <c r="G740" i="34"/>
  <c r="EI768" i="34"/>
  <c r="G768" i="34"/>
  <c r="EI741" i="34"/>
  <c r="G741" i="34"/>
  <c r="EI769" i="34"/>
  <c r="G769" i="34"/>
  <c r="EI742" i="34"/>
  <c r="G742" i="34"/>
  <c r="EI770" i="34"/>
  <c r="G770" i="34"/>
  <c r="EI743" i="34"/>
  <c r="G743" i="34"/>
  <c r="EI771" i="34"/>
  <c r="G771" i="34"/>
  <c r="EI786" i="34"/>
  <c r="G786" i="34"/>
  <c r="EI787" i="34"/>
  <c r="G787" i="34"/>
  <c r="EI815" i="34"/>
  <c r="G815" i="34"/>
  <c r="EI788" i="34"/>
  <c r="G788" i="34"/>
  <c r="EI816" i="34"/>
  <c r="G816" i="34"/>
  <c r="EI789" i="34"/>
  <c r="G789" i="34"/>
  <c r="EI817" i="34"/>
  <c r="G817" i="34"/>
  <c r="EI790" i="34"/>
  <c r="G790" i="34"/>
  <c r="EI818" i="34"/>
  <c r="G818" i="34"/>
  <c r="EI791" i="34"/>
  <c r="G791" i="34"/>
  <c r="EI819" i="34"/>
  <c r="G819" i="34"/>
  <c r="EI792" i="34"/>
  <c r="G792" i="34"/>
  <c r="EI820" i="34"/>
  <c r="G820" i="34"/>
  <c r="EI864" i="34"/>
  <c r="G864" i="34"/>
  <c r="EI892" i="34"/>
  <c r="G892" i="34"/>
  <c r="EI865" i="34"/>
  <c r="G865" i="34"/>
  <c r="EI893" i="34"/>
  <c r="G893" i="34"/>
  <c r="EI866" i="34"/>
  <c r="G866" i="34"/>
  <c r="EI894" i="34"/>
  <c r="G894" i="34"/>
  <c r="EI867" i="34"/>
  <c r="G867" i="34"/>
  <c r="EI895" i="34"/>
  <c r="G895" i="34"/>
  <c r="EI868" i="34"/>
  <c r="G868" i="34"/>
  <c r="EI896" i="34"/>
  <c r="G896" i="34"/>
  <c r="EI869" i="34"/>
  <c r="G869" i="34"/>
  <c r="EI394" i="34"/>
  <c r="G394" i="34"/>
  <c r="EI170" i="34"/>
  <c r="G170" i="34"/>
  <c r="EI117" i="34"/>
  <c r="G117" i="34"/>
  <c r="EI398" i="34"/>
  <c r="G398" i="34"/>
  <c r="EI344" i="34"/>
  <c r="G344" i="34"/>
  <c r="EI286" i="34"/>
  <c r="G286" i="34"/>
  <c r="EI232" i="34"/>
  <c r="G232" i="34"/>
  <c r="EI174" i="34"/>
  <c r="G174" i="34"/>
  <c r="EI125" i="34"/>
  <c r="G125" i="34"/>
  <c r="EI407" i="34"/>
  <c r="G407" i="34"/>
  <c r="EI403" i="34"/>
  <c r="G403" i="34"/>
  <c r="EI349" i="34"/>
  <c r="G349" i="34"/>
  <c r="EI295" i="34"/>
  <c r="G295" i="34"/>
  <c r="EI237" i="34"/>
  <c r="G237" i="34"/>
  <c r="EI183" i="34"/>
  <c r="G183" i="34"/>
  <c r="EI246" i="34"/>
  <c r="G246" i="34"/>
  <c r="EI242" i="34"/>
  <c r="G242" i="34"/>
  <c r="EI412" i="34"/>
  <c r="G412" i="34"/>
  <c r="EI358" i="34"/>
  <c r="G358" i="34"/>
  <c r="EI354" i="34"/>
  <c r="G354" i="34"/>
  <c r="EI300" i="34"/>
  <c r="G300" i="34"/>
  <c r="EI190" i="34"/>
  <c r="G190" i="34"/>
  <c r="EI186" i="34"/>
  <c r="G186" i="34"/>
  <c r="EI132" i="34"/>
  <c r="G132" i="34"/>
  <c r="EI191" i="34"/>
  <c r="G191" i="34"/>
  <c r="EI251" i="34"/>
  <c r="G251" i="34"/>
  <c r="EI421" i="34"/>
  <c r="G421" i="34"/>
  <c r="EI363" i="34"/>
  <c r="G363" i="34"/>
  <c r="EI309" i="34"/>
  <c r="G309" i="34"/>
  <c r="EI195" i="34"/>
  <c r="G195" i="34"/>
  <c r="EI141" i="34"/>
  <c r="G141" i="34"/>
  <c r="EI137" i="34"/>
  <c r="G137" i="34"/>
  <c r="EI366" i="34"/>
  <c r="G366" i="34"/>
  <c r="EI316" i="34"/>
  <c r="G316" i="34"/>
  <c r="EI312" i="34"/>
  <c r="G312" i="34"/>
  <c r="EI426" i="34"/>
  <c r="G426" i="34"/>
  <c r="EI372" i="34"/>
  <c r="G372" i="34"/>
  <c r="EI368" i="34"/>
  <c r="G368" i="34"/>
  <c r="EI258" i="34"/>
  <c r="G258" i="34"/>
  <c r="EI204" i="34"/>
  <c r="G204" i="34"/>
  <c r="EI200" i="34"/>
  <c r="G200" i="34"/>
  <c r="EI146" i="34"/>
  <c r="G146" i="34"/>
  <c r="EI373" i="34"/>
  <c r="G373" i="34"/>
  <c r="EI205" i="34"/>
  <c r="G205" i="34"/>
  <c r="EI377" i="34"/>
  <c r="G377" i="34"/>
  <c r="EI435" i="34"/>
  <c r="G435" i="34"/>
  <c r="EI431" i="34"/>
  <c r="G431" i="34"/>
  <c r="EI321" i="34"/>
  <c r="G321" i="34"/>
  <c r="EI267" i="34"/>
  <c r="G267" i="34"/>
  <c r="EI263" i="34"/>
  <c r="G263" i="34"/>
  <c r="EI209" i="34"/>
  <c r="G209" i="34"/>
  <c r="EI155" i="34"/>
  <c r="G155" i="34"/>
  <c r="EI151" i="34"/>
  <c r="G151" i="34"/>
  <c r="EI442" i="34"/>
  <c r="G442" i="34"/>
  <c r="EI438" i="34"/>
  <c r="G438" i="34"/>
  <c r="EI384" i="34"/>
  <c r="G384" i="34"/>
  <c r="EI330" i="34"/>
  <c r="G330" i="34"/>
  <c r="EI326" i="34"/>
  <c r="G326" i="34"/>
  <c r="EI272" i="34"/>
  <c r="G272" i="34"/>
  <c r="EI218" i="34"/>
  <c r="G218" i="34"/>
  <c r="EI214" i="34"/>
  <c r="G214" i="34"/>
  <c r="EI160" i="34"/>
  <c r="G160" i="34"/>
  <c r="EI219" i="34"/>
  <c r="G219" i="34"/>
  <c r="EI447" i="34"/>
  <c r="G447" i="34"/>
  <c r="EI335" i="34"/>
  <c r="G335" i="34"/>
  <c r="EI277" i="34"/>
  <c r="G277" i="34"/>
  <c r="EI223" i="34"/>
  <c r="G223" i="34"/>
  <c r="EI393" i="34"/>
  <c r="G393" i="34"/>
  <c r="EI165" i="34"/>
  <c r="G165" i="34"/>
  <c r="EI464" i="34"/>
  <c r="G464" i="34"/>
  <c r="EI492" i="34"/>
  <c r="G492" i="34"/>
  <c r="EI465" i="34"/>
  <c r="G465" i="34"/>
  <c r="EI493" i="34"/>
  <c r="G493" i="34"/>
  <c r="EI466" i="34"/>
  <c r="G466" i="34"/>
  <c r="EI494" i="34"/>
  <c r="G494" i="34"/>
  <c r="EI467" i="34"/>
  <c r="G467" i="34"/>
  <c r="EI495" i="34"/>
  <c r="G495" i="34"/>
  <c r="EI468" i="34"/>
  <c r="G468" i="34"/>
  <c r="EI496" i="34"/>
  <c r="G496" i="34"/>
  <c r="EI469" i="34"/>
  <c r="G469" i="34"/>
  <c r="EI497" i="34"/>
  <c r="G497" i="34"/>
  <c r="EI470" i="34"/>
  <c r="G470" i="34"/>
  <c r="EI498" i="34"/>
  <c r="G498" i="34"/>
  <c r="EI541" i="34"/>
  <c r="G541" i="34"/>
  <c r="EI514" i="34"/>
  <c r="G514" i="34"/>
  <c r="EI515" i="34"/>
  <c r="G515" i="34"/>
  <c r="EI516" i="34"/>
  <c r="G516" i="34"/>
  <c r="EI544" i="34"/>
  <c r="G544" i="34"/>
  <c r="EI517" i="34"/>
  <c r="G517" i="34"/>
  <c r="EI545" i="34"/>
  <c r="G545" i="34"/>
  <c r="EI518" i="34"/>
  <c r="G518" i="34"/>
  <c r="EI546" i="34"/>
  <c r="G546" i="34"/>
  <c r="EI519" i="34"/>
  <c r="G519" i="34"/>
  <c r="EI547" i="34"/>
  <c r="G547" i="34"/>
  <c r="EI590" i="34"/>
  <c r="G590" i="34"/>
  <c r="EI563" i="34"/>
  <c r="G563" i="34"/>
  <c r="EI564" i="34"/>
  <c r="G564" i="34"/>
  <c r="EI592" i="34"/>
  <c r="G592" i="34"/>
  <c r="EI565" i="34"/>
  <c r="G565" i="34"/>
  <c r="EI593" i="34"/>
  <c r="G593" i="34"/>
  <c r="EI566" i="34"/>
  <c r="G566" i="34"/>
  <c r="EI594" i="34"/>
  <c r="G594" i="34"/>
  <c r="EI567" i="34"/>
  <c r="G567" i="34"/>
  <c r="EI595" i="34"/>
  <c r="G595" i="34"/>
  <c r="EI568" i="34"/>
  <c r="G568" i="34"/>
  <c r="EI596" i="34"/>
  <c r="G596" i="34"/>
  <c r="EI619" i="34"/>
  <c r="G619" i="34"/>
  <c r="EI647" i="34"/>
  <c r="G647" i="34"/>
  <c r="EI620" i="34"/>
  <c r="G620" i="34"/>
  <c r="EI648" i="34"/>
  <c r="G648" i="34"/>
  <c r="EI621" i="34"/>
  <c r="G621" i="34"/>
  <c r="EI649" i="34"/>
  <c r="G649" i="34"/>
  <c r="EI622" i="34"/>
  <c r="G622" i="34"/>
  <c r="EI650" i="34"/>
  <c r="G650" i="34"/>
  <c r="EI623" i="34"/>
  <c r="G623" i="34"/>
  <c r="EI651" i="34"/>
  <c r="G651" i="34"/>
  <c r="EI624" i="34"/>
  <c r="G624" i="34"/>
  <c r="EI652" i="34"/>
  <c r="G652" i="34"/>
  <c r="EI724" i="34"/>
  <c r="G724" i="34"/>
  <c r="EI697" i="34"/>
  <c r="G697" i="34"/>
  <c r="EI725" i="34"/>
  <c r="G725" i="34"/>
  <c r="EI698" i="34"/>
  <c r="G698" i="34"/>
  <c r="EI726" i="34"/>
  <c r="G726" i="34"/>
  <c r="EI699" i="34"/>
  <c r="G699" i="34"/>
  <c r="EI727" i="34"/>
  <c r="G727" i="34"/>
  <c r="EI700" i="34"/>
  <c r="G700" i="34"/>
  <c r="EI728" i="34"/>
  <c r="G728" i="34"/>
  <c r="EI701" i="34"/>
  <c r="G701" i="34"/>
  <c r="EI745" i="34"/>
  <c r="G745" i="34"/>
  <c r="EI773" i="34"/>
  <c r="G773" i="34"/>
  <c r="EI746" i="34"/>
  <c r="G746" i="34"/>
  <c r="EI774" i="34"/>
  <c r="G774" i="34"/>
  <c r="EI747" i="34"/>
  <c r="G747" i="34"/>
  <c r="EI775" i="34"/>
  <c r="G775" i="34"/>
  <c r="EI748" i="34"/>
  <c r="G748" i="34"/>
  <c r="EI776" i="34"/>
  <c r="G776" i="34"/>
  <c r="EI749" i="34"/>
  <c r="G749" i="34"/>
  <c r="EI777" i="34"/>
  <c r="G777" i="34"/>
  <c r="EI750" i="34"/>
  <c r="G750" i="34"/>
  <c r="EI778" i="34"/>
  <c r="G778" i="34"/>
  <c r="EI794" i="34"/>
  <c r="G794" i="34"/>
  <c r="EI822" i="34"/>
  <c r="G822" i="34"/>
  <c r="EI795" i="34"/>
  <c r="G795" i="34"/>
  <c r="EI823" i="34"/>
  <c r="G823" i="34"/>
  <c r="EI796" i="34"/>
  <c r="G796" i="34"/>
  <c r="EI824" i="34"/>
  <c r="G824" i="34"/>
  <c r="EI797" i="34"/>
  <c r="G797" i="34"/>
  <c r="EI825" i="34"/>
  <c r="G825" i="34"/>
  <c r="EI798" i="34"/>
  <c r="G798" i="34"/>
  <c r="EI826" i="34"/>
  <c r="G826" i="34"/>
  <c r="EI799" i="34"/>
  <c r="G799" i="34"/>
  <c r="EI827" i="34"/>
  <c r="G827" i="34"/>
  <c r="EI842" i="34"/>
  <c r="G842" i="34"/>
  <c r="EI844" i="34"/>
  <c r="G844" i="34"/>
  <c r="EI872" i="34"/>
  <c r="G872" i="34"/>
  <c r="EI845" i="34"/>
  <c r="G845" i="34"/>
  <c r="EI873" i="34"/>
  <c r="G873" i="34"/>
  <c r="EI846" i="34"/>
  <c r="G846" i="34"/>
  <c r="EI874" i="34"/>
  <c r="G874" i="34"/>
  <c r="EI847" i="34"/>
  <c r="G847" i="34"/>
  <c r="EI875" i="34"/>
  <c r="G875" i="34"/>
  <c r="EI848" i="34"/>
  <c r="G848" i="34"/>
  <c r="EI876" i="34"/>
  <c r="G876" i="34"/>
  <c r="G368" i="72"/>
  <c r="GA50" i="12"/>
  <c r="GB50" i="12" s="1"/>
  <c r="FW281" i="34" s="1"/>
  <c r="GA49" i="12"/>
  <c r="GA47" i="12"/>
  <c r="GA45" i="12"/>
  <c r="GA40" i="12"/>
  <c r="GA38" i="12"/>
  <c r="GA31" i="12"/>
  <c r="GA29" i="12"/>
  <c r="GA21" i="12"/>
  <c r="GA43" i="12"/>
  <c r="GA41" i="12"/>
  <c r="GA36" i="12"/>
  <c r="GA34" i="12"/>
  <c r="GA27" i="12"/>
  <c r="GA24" i="12"/>
  <c r="GA22" i="12"/>
  <c r="GA42" i="12"/>
  <c r="GA37" i="12"/>
  <c r="GA32" i="12"/>
  <c r="GA25" i="12"/>
  <c r="GA26" i="12"/>
  <c r="GA46" i="12"/>
  <c r="GA44" i="12"/>
  <c r="GA39" i="12"/>
  <c r="GA20" i="12"/>
  <c r="GA48" i="12"/>
  <c r="GA33" i="12"/>
  <c r="GA35" i="12"/>
  <c r="GA30" i="12"/>
  <c r="GA28" i="12"/>
  <c r="GA23" i="12"/>
  <c r="G503" i="72"/>
  <c r="GA49" i="15"/>
  <c r="GA50" i="15"/>
  <c r="GA47" i="15"/>
  <c r="GA40" i="15"/>
  <c r="GA38" i="15"/>
  <c r="GA33" i="15"/>
  <c r="GA31" i="15"/>
  <c r="GA24" i="15"/>
  <c r="GA22" i="15"/>
  <c r="GA45" i="15"/>
  <c r="GA43" i="15"/>
  <c r="GA36" i="15"/>
  <c r="GA34" i="15"/>
  <c r="GA29" i="15"/>
  <c r="GA27" i="15"/>
  <c r="GA20" i="15"/>
  <c r="GA48" i="15"/>
  <c r="GA46" i="15"/>
  <c r="GA41" i="15"/>
  <c r="GA39" i="15"/>
  <c r="GA32" i="15"/>
  <c r="GA30" i="15"/>
  <c r="GA25" i="15"/>
  <c r="GA23" i="15"/>
  <c r="GA44" i="15"/>
  <c r="GA35" i="15"/>
  <c r="GA26" i="15"/>
  <c r="GA21" i="15"/>
  <c r="GA37" i="15"/>
  <c r="GA28" i="15"/>
  <c r="GA42" i="15"/>
  <c r="G413" i="72"/>
  <c r="GA49" i="13"/>
  <c r="GA50" i="13"/>
  <c r="GA44" i="13"/>
  <c r="GA42" i="13"/>
  <c r="GA37" i="13"/>
  <c r="GA35" i="13"/>
  <c r="GA32" i="13"/>
  <c r="GA29" i="13"/>
  <c r="GA27" i="13"/>
  <c r="GA24" i="13"/>
  <c r="GA21" i="13"/>
  <c r="GA47" i="13"/>
  <c r="GA40" i="13"/>
  <c r="GA38" i="13"/>
  <c r="GA30" i="13"/>
  <c r="GA22" i="13"/>
  <c r="GA45" i="13"/>
  <c r="GA31" i="13"/>
  <c r="GA46" i="13"/>
  <c r="GA39" i="13"/>
  <c r="GA33" i="13"/>
  <c r="GA28" i="13"/>
  <c r="GA26" i="13"/>
  <c r="GA23" i="13"/>
  <c r="GA48" i="13"/>
  <c r="GA43" i="13"/>
  <c r="GA41" i="13"/>
  <c r="GA36" i="13"/>
  <c r="GA34" i="13"/>
  <c r="GA25" i="13"/>
  <c r="GA20" i="13"/>
  <c r="GA49" i="5"/>
  <c r="GA50" i="5"/>
  <c r="G323" i="72"/>
  <c r="GA49" i="11"/>
  <c r="GA50" i="11"/>
  <c r="GA44" i="11"/>
  <c r="GA42" i="11"/>
  <c r="GA37" i="11"/>
  <c r="GA35" i="11"/>
  <c r="GA28" i="11"/>
  <c r="GA26" i="11"/>
  <c r="GA21" i="11"/>
  <c r="GA47" i="11"/>
  <c r="GA40" i="11"/>
  <c r="GA38" i="11"/>
  <c r="GA33" i="11"/>
  <c r="GA31" i="11"/>
  <c r="GA24" i="11"/>
  <c r="GA22" i="11"/>
  <c r="GA46" i="11"/>
  <c r="GA39" i="11"/>
  <c r="GA34" i="11"/>
  <c r="GA29" i="11"/>
  <c r="GA30" i="11"/>
  <c r="GA23" i="11"/>
  <c r="GA48" i="11"/>
  <c r="GA43" i="11"/>
  <c r="GA41" i="11"/>
  <c r="GA36" i="11"/>
  <c r="GA45" i="11"/>
  <c r="GA32" i="11"/>
  <c r="GA27" i="11"/>
  <c r="GA25" i="11"/>
  <c r="GA20" i="11"/>
  <c r="G458" i="72"/>
  <c r="GA50" i="14"/>
  <c r="GB50" i="14" s="1"/>
  <c r="FW343" i="34" s="1"/>
  <c r="GA49" i="14"/>
  <c r="GA43" i="14"/>
  <c r="GA41" i="14"/>
  <c r="GA36" i="14"/>
  <c r="GA34" i="14"/>
  <c r="GA31" i="14"/>
  <c r="GA48" i="14"/>
  <c r="GA46" i="14"/>
  <c r="GA39" i="14"/>
  <c r="GA37" i="14"/>
  <c r="GA29" i="14"/>
  <c r="GA21" i="14"/>
  <c r="GA44" i="14"/>
  <c r="GA42" i="14"/>
  <c r="GA35" i="14"/>
  <c r="GA32" i="14"/>
  <c r="GA30" i="14"/>
  <c r="GA27" i="14"/>
  <c r="GA24" i="14"/>
  <c r="GA22" i="14"/>
  <c r="GA40" i="14"/>
  <c r="GA26" i="14"/>
  <c r="GA33" i="14"/>
  <c r="GA28" i="14"/>
  <c r="GA23" i="14"/>
  <c r="GA45" i="14"/>
  <c r="GA25" i="14"/>
  <c r="GA47" i="14"/>
  <c r="GA38" i="14"/>
  <c r="GA20" i="14"/>
  <c r="G98" i="72"/>
  <c r="GA49" i="6"/>
  <c r="GA50" i="6"/>
  <c r="GA48" i="6"/>
  <c r="GA46" i="6"/>
  <c r="GA41" i="6"/>
  <c r="GA39" i="6"/>
  <c r="GA32" i="6"/>
  <c r="GA30" i="6"/>
  <c r="GA25" i="6"/>
  <c r="GA23" i="6"/>
  <c r="GA38" i="6"/>
  <c r="GA33" i="6"/>
  <c r="GA24" i="6"/>
  <c r="GA44" i="6"/>
  <c r="GA42" i="6"/>
  <c r="GA37" i="6"/>
  <c r="GA35" i="6"/>
  <c r="GA28" i="6"/>
  <c r="GA26" i="6"/>
  <c r="GA21" i="6"/>
  <c r="GA47" i="6"/>
  <c r="GA40" i="6"/>
  <c r="GA31" i="6"/>
  <c r="GA22" i="6"/>
  <c r="GA45" i="6"/>
  <c r="GA36" i="6"/>
  <c r="GA27" i="6"/>
  <c r="GA43" i="6"/>
  <c r="GA34" i="6"/>
  <c r="GA29" i="6"/>
  <c r="GA20" i="6"/>
  <c r="G188" i="72"/>
  <c r="GA50" i="8"/>
  <c r="GA49" i="8"/>
  <c r="GA45" i="8"/>
  <c r="GA43" i="8"/>
  <c r="GA36" i="8"/>
  <c r="GA34" i="8"/>
  <c r="GA29" i="8"/>
  <c r="GA27" i="8"/>
  <c r="GA20" i="8"/>
  <c r="GA44" i="8"/>
  <c r="GA42" i="8"/>
  <c r="GA35" i="8"/>
  <c r="GA28" i="8"/>
  <c r="GA48" i="8"/>
  <c r="GA46" i="8"/>
  <c r="GA41" i="8"/>
  <c r="GA39" i="8"/>
  <c r="GA32" i="8"/>
  <c r="GA30" i="8"/>
  <c r="GA25" i="8"/>
  <c r="GA23" i="8"/>
  <c r="GA37" i="8"/>
  <c r="GA26" i="8"/>
  <c r="GA21" i="8"/>
  <c r="GA40" i="8"/>
  <c r="GA31" i="8"/>
  <c r="GA33" i="8"/>
  <c r="GA24" i="8"/>
  <c r="GA47" i="8"/>
  <c r="GA38" i="8"/>
  <c r="GA22" i="8"/>
  <c r="G233" i="72"/>
  <c r="GA49" i="9"/>
  <c r="GA50" i="9"/>
  <c r="GA44" i="9"/>
  <c r="GA42" i="9"/>
  <c r="GA47" i="9"/>
  <c r="GA46" i="9"/>
  <c r="GA36" i="9"/>
  <c r="GA34" i="9"/>
  <c r="GA29" i="9"/>
  <c r="GA27" i="9"/>
  <c r="GA20" i="9"/>
  <c r="GA37" i="9"/>
  <c r="GA35" i="9"/>
  <c r="GA26" i="9"/>
  <c r="GA21" i="9"/>
  <c r="GA48" i="9"/>
  <c r="GA43" i="9"/>
  <c r="GA41" i="9"/>
  <c r="GA39" i="9"/>
  <c r="GA32" i="9"/>
  <c r="GA30" i="9"/>
  <c r="GA25" i="9"/>
  <c r="GA23" i="9"/>
  <c r="GA45" i="9"/>
  <c r="GA28" i="9"/>
  <c r="GA38" i="9"/>
  <c r="GA33" i="9"/>
  <c r="GA40" i="9"/>
  <c r="GA31" i="9"/>
  <c r="GA22" i="9"/>
  <c r="GA24" i="9"/>
  <c r="G278" i="72"/>
  <c r="GA50" i="10"/>
  <c r="GA49" i="10"/>
  <c r="GA44" i="10"/>
  <c r="GA42" i="10"/>
  <c r="GA37" i="10"/>
  <c r="GA35" i="10"/>
  <c r="GA28" i="10"/>
  <c r="GA26" i="10"/>
  <c r="GA21" i="10"/>
  <c r="GA47" i="10"/>
  <c r="GA40" i="10"/>
  <c r="GA38" i="10"/>
  <c r="GA33" i="10"/>
  <c r="GA31" i="10"/>
  <c r="GA24" i="10"/>
  <c r="GA22" i="10"/>
  <c r="GA45" i="10"/>
  <c r="GA30" i="10"/>
  <c r="GA23" i="10"/>
  <c r="GA34" i="10"/>
  <c r="GA32" i="10"/>
  <c r="GA27" i="10"/>
  <c r="GA25" i="10"/>
  <c r="GA20" i="10"/>
  <c r="GA46" i="10"/>
  <c r="GA39" i="10"/>
  <c r="GA29" i="10"/>
  <c r="GA36" i="10"/>
  <c r="GA41" i="10"/>
  <c r="GA43" i="10"/>
  <c r="GA48" i="10"/>
  <c r="G143" i="72"/>
  <c r="GA49" i="7"/>
  <c r="GA50" i="7"/>
  <c r="GA45" i="7"/>
  <c r="GA43" i="7"/>
  <c r="GA36" i="7"/>
  <c r="GA34" i="7"/>
  <c r="GA29" i="7"/>
  <c r="GA27" i="7"/>
  <c r="GA20" i="7"/>
  <c r="GA37" i="7"/>
  <c r="GA48" i="7"/>
  <c r="GA46" i="7"/>
  <c r="GA41" i="7"/>
  <c r="GA39" i="7"/>
  <c r="GA32" i="7"/>
  <c r="GA30" i="7"/>
  <c r="GA25" i="7"/>
  <c r="GA23" i="7"/>
  <c r="GA44" i="7"/>
  <c r="GA42" i="7"/>
  <c r="GA35" i="7"/>
  <c r="GA28" i="7"/>
  <c r="GA26" i="7"/>
  <c r="GA21" i="7"/>
  <c r="GA33" i="7"/>
  <c r="GA24" i="7"/>
  <c r="GA47" i="7"/>
  <c r="GA40" i="7"/>
  <c r="GA31" i="7"/>
  <c r="GA22" i="7"/>
  <c r="GA38" i="7"/>
  <c r="G53" i="72"/>
  <c r="GA45" i="5"/>
  <c r="GA43" i="5"/>
  <c r="GA36" i="5"/>
  <c r="GA34" i="5"/>
  <c r="GA29" i="5"/>
  <c r="GA27" i="5"/>
  <c r="GA20" i="5"/>
  <c r="GA47" i="5"/>
  <c r="GA40" i="5"/>
  <c r="GA38" i="5"/>
  <c r="GA24" i="5"/>
  <c r="GA48" i="5"/>
  <c r="GA46" i="5"/>
  <c r="GA41" i="5"/>
  <c r="GA39" i="5"/>
  <c r="GA32" i="5"/>
  <c r="GA30" i="5"/>
  <c r="GA25" i="5"/>
  <c r="GA23" i="5"/>
  <c r="GA33" i="5"/>
  <c r="GA31" i="5"/>
  <c r="GA22" i="5"/>
  <c r="GA44" i="5"/>
  <c r="GA42" i="5"/>
  <c r="GA37" i="5"/>
  <c r="GA35" i="5"/>
  <c r="GA28" i="5"/>
  <c r="GA26" i="5"/>
  <c r="GA21" i="5"/>
  <c r="EG6" i="4"/>
  <c r="A16" i="16"/>
  <c r="T6" i="16"/>
  <c r="B66" i="4"/>
  <c r="BZ47" i="4"/>
  <c r="BQ48" i="4"/>
  <c r="BZ44" i="4"/>
  <c r="D15" i="62"/>
  <c r="D64" i="62" s="1"/>
  <c r="D33" i="62"/>
  <c r="E33" i="26"/>
  <c r="AD5" i="34" s="1"/>
  <c r="E31" i="26"/>
  <c r="W38" i="26" s="1"/>
  <c r="AV5" i="34" s="1"/>
  <c r="CA3" i="74"/>
  <c r="A622" i="34"/>
  <c r="BX622" i="34" s="1"/>
  <c r="A626" i="34"/>
  <c r="BX626" i="34" s="1"/>
  <c r="A630" i="34"/>
  <c r="BX630" i="34" s="1"/>
  <c r="A642" i="34"/>
  <c r="BX642" i="34" s="1"/>
  <c r="A654" i="34"/>
  <c r="BX654" i="34" s="1"/>
  <c r="A759" i="34"/>
  <c r="BX759" i="34" s="1"/>
  <c r="M3" i="55"/>
  <c r="N37" i="55" s="1"/>
  <c r="W36" i="55" s="1"/>
  <c r="AU10" i="34" s="1"/>
  <c r="U1" i="55"/>
  <c r="O29" i="55" s="1"/>
  <c r="N29" i="55" s="1"/>
  <c r="A872" i="34"/>
  <c r="BX872" i="34" s="1"/>
  <c r="A660" i="34"/>
  <c r="BX660" i="34" s="1"/>
  <c r="A666" i="34"/>
  <c r="BX666" i="34" s="1"/>
  <c r="A672" i="34"/>
  <c r="BX672" i="34" s="1"/>
  <c r="A638" i="34"/>
  <c r="BX638" i="34" s="1"/>
  <c r="A722" i="34"/>
  <c r="BX722" i="34" s="1"/>
  <c r="N29" i="31"/>
  <c r="N29" i="68"/>
  <c r="N29" i="71"/>
  <c r="AO17" i="34" s="1"/>
  <c r="N29" i="32"/>
  <c r="N29" i="69"/>
  <c r="AO15" i="34" s="1"/>
  <c r="N29" i="56"/>
  <c r="E37" i="56" s="1"/>
  <c r="N29" i="67"/>
  <c r="N29" i="33"/>
  <c r="AO9" i="34" s="1"/>
  <c r="N29" i="70"/>
  <c r="N29" i="57"/>
  <c r="AO12" i="34" s="1"/>
  <c r="N29" i="26"/>
  <c r="N29" i="27"/>
  <c r="AO6" i="34" s="1"/>
  <c r="E7" i="14"/>
  <c r="Z11" i="6"/>
  <c r="E7" i="10"/>
  <c r="Z11" i="5"/>
  <c r="E7" i="15"/>
  <c r="Z11" i="7"/>
  <c r="E7" i="11"/>
  <c r="A3" i="51"/>
  <c r="E15" i="52"/>
  <c r="B17" i="54"/>
  <c r="Z9" i="12"/>
  <c r="E7" i="13"/>
  <c r="AI3" i="13"/>
  <c r="D8" i="43" s="1"/>
  <c r="AJ8" i="43" s="1"/>
  <c r="BN8" i="43" s="1"/>
  <c r="Z11" i="14"/>
  <c r="E7" i="6"/>
  <c r="Z11" i="10"/>
  <c r="Z9" i="4"/>
  <c r="E4" i="4"/>
  <c r="E7" i="5"/>
  <c r="Z11" i="15"/>
  <c r="E7" i="7"/>
  <c r="Z11" i="11"/>
  <c r="E7" i="52"/>
  <c r="E7" i="4"/>
  <c r="B5" i="60"/>
  <c r="Z11" i="12"/>
  <c r="E7" i="12"/>
  <c r="Z9" i="13"/>
  <c r="Z9" i="14"/>
  <c r="Z9" i="6"/>
  <c r="Z11" i="8"/>
  <c r="E7" i="8"/>
  <c r="Z11" i="9"/>
  <c r="E7" i="9"/>
  <c r="Z9" i="10"/>
  <c r="Z11" i="4"/>
  <c r="AI3" i="4"/>
  <c r="U8" i="35" s="1"/>
  <c r="Z9" i="5"/>
  <c r="Z9" i="15"/>
  <c r="Z9" i="7"/>
  <c r="Z9" i="11"/>
  <c r="E11" i="52"/>
  <c r="A1" i="52"/>
  <c r="B14" i="54"/>
  <c r="B101" i="62"/>
  <c r="Z8" i="13"/>
  <c r="E5" i="13"/>
  <c r="E8" i="14"/>
  <c r="Z8" i="9"/>
  <c r="Z12" i="10"/>
  <c r="Z8" i="4"/>
  <c r="E8" i="5"/>
  <c r="Z8" i="12"/>
  <c r="E6" i="12"/>
  <c r="Z8" i="6"/>
  <c r="E8" i="8"/>
  <c r="Z8" i="10"/>
  <c r="E6" i="10"/>
  <c r="Z8" i="15"/>
  <c r="E6" i="15"/>
  <c r="Z8" i="7"/>
  <c r="B13" i="54"/>
  <c r="E8" i="12"/>
  <c r="E5" i="12"/>
  <c r="Z10" i="13"/>
  <c r="E8" i="13"/>
  <c r="Z8" i="14"/>
  <c r="E6" i="14"/>
  <c r="E8" i="6"/>
  <c r="Z8" i="8"/>
  <c r="E5" i="8"/>
  <c r="E8" i="9"/>
  <c r="E8" i="10"/>
  <c r="E8" i="4"/>
  <c r="Z8" i="5"/>
  <c r="Z8" i="11"/>
  <c r="B16" i="54"/>
  <c r="BB19" i="62"/>
  <c r="BK8" i="58"/>
  <c r="Z10" i="12"/>
  <c r="AI3" i="12"/>
  <c r="D8" i="42" s="1"/>
  <c r="BD8" i="42" s="1"/>
  <c r="Z10" i="14"/>
  <c r="E6" i="6"/>
  <c r="E6" i="8"/>
  <c r="E6" i="9"/>
  <c r="Z10" i="10"/>
  <c r="E6" i="5"/>
  <c r="AI3" i="7"/>
  <c r="D8" i="37" s="1"/>
  <c r="BD8" i="37" s="1"/>
  <c r="Z10" i="11"/>
  <c r="E6" i="11"/>
  <c r="E4" i="52"/>
  <c r="E12" i="52"/>
  <c r="E8" i="52"/>
  <c r="A1" i="16"/>
  <c r="B5" i="62"/>
  <c r="D3" i="25"/>
  <c r="E6" i="13"/>
  <c r="AI3" i="6"/>
  <c r="D8" i="36" s="1"/>
  <c r="AJ8" i="36" s="1"/>
  <c r="BN8" i="36" s="1"/>
  <c r="AI3" i="9"/>
  <c r="D8" i="39" s="1"/>
  <c r="BD8" i="39" s="1"/>
  <c r="Z10" i="4"/>
  <c r="E6" i="4"/>
  <c r="AI3" i="5"/>
  <c r="D8" i="35" s="1"/>
  <c r="AJ8" i="35" s="1"/>
  <c r="BN8" i="35" s="1"/>
  <c r="E6" i="7"/>
  <c r="AI3" i="11"/>
  <c r="D8" i="41" s="1"/>
  <c r="AJ8" i="41" s="1"/>
  <c r="BN8" i="41" s="1"/>
  <c r="A3" i="50"/>
  <c r="E14" i="52"/>
  <c r="E10" i="52"/>
  <c r="E6" i="52"/>
  <c r="B23" i="54"/>
  <c r="B91" i="58"/>
  <c r="AI3" i="14"/>
  <c r="D8" i="44" s="1"/>
  <c r="BD8" i="44" s="1"/>
  <c r="Z10" i="6"/>
  <c r="Z10" i="8"/>
  <c r="AI3" i="8"/>
  <c r="D8" i="38" s="1"/>
  <c r="BD8" i="38" s="1"/>
  <c r="Z10" i="9"/>
  <c r="AI3" i="10"/>
  <c r="D8" i="40" s="1"/>
  <c r="BD8" i="40" s="1"/>
  <c r="Z10" i="5"/>
  <c r="AI3" i="15"/>
  <c r="D8" i="45" s="1"/>
  <c r="BD8" i="45" s="1"/>
  <c r="E13" i="52"/>
  <c r="E9" i="52"/>
  <c r="E5" i="52"/>
  <c r="B5" i="58"/>
  <c r="B14" i="63"/>
  <c r="Z10" i="15"/>
  <c r="Z10" i="7"/>
  <c r="E8" i="11"/>
  <c r="E5" i="11"/>
  <c r="B9" i="54"/>
  <c r="E8" i="15"/>
  <c r="E5" i="15"/>
  <c r="B18" i="54"/>
  <c r="B21" i="54"/>
  <c r="D185" i="72"/>
  <c r="D365" i="72"/>
  <c r="P3" i="74"/>
  <c r="D4" i="75"/>
  <c r="D5" i="72"/>
  <c r="D50" i="72"/>
  <c r="D230" i="72"/>
  <c r="D410" i="72"/>
  <c r="D95" i="72"/>
  <c r="D275" i="72"/>
  <c r="D455" i="72"/>
  <c r="D13" i="80"/>
  <c r="F86" i="4"/>
  <c r="F86" i="5" s="1"/>
  <c r="F86" i="6" s="1"/>
  <c r="F86" i="7" s="1"/>
  <c r="F86" i="8" s="1"/>
  <c r="F86" i="9" s="1"/>
  <c r="F86" i="10" s="1"/>
  <c r="F86" i="11" s="1"/>
  <c r="F86" i="12" s="1"/>
  <c r="F86" i="13" s="1"/>
  <c r="F86" i="14" s="1"/>
  <c r="F86" i="15" s="1"/>
  <c r="D20" i="80"/>
  <c r="K24" i="82"/>
  <c r="D140" i="72"/>
  <c r="D320" i="72"/>
  <c r="D500" i="72"/>
  <c r="P65" i="74"/>
  <c r="Z12" i="13"/>
  <c r="Z12" i="14"/>
  <c r="Z12" i="6"/>
  <c r="Z12" i="5"/>
  <c r="Z12" i="15"/>
  <c r="Z12" i="8"/>
  <c r="Z12" i="7"/>
  <c r="Z12" i="11"/>
  <c r="B20" i="54"/>
  <c r="Z12" i="12"/>
  <c r="Z12" i="9"/>
  <c r="Z12" i="4"/>
  <c r="F7" i="75"/>
  <c r="D7" i="75" s="1"/>
  <c r="A634" i="34"/>
  <c r="BX634" i="34" s="1"/>
  <c r="A640" i="34"/>
  <c r="BX640" i="34" s="1"/>
  <c r="A646" i="34"/>
  <c r="BX646" i="34" s="1"/>
  <c r="A652" i="34"/>
  <c r="BX652" i="34" s="1"/>
  <c r="A658" i="34"/>
  <c r="BX658" i="34" s="1"/>
  <c r="A662" i="34"/>
  <c r="BX662" i="34" s="1"/>
  <c r="A670" i="34"/>
  <c r="BX670" i="34" s="1"/>
  <c r="A618" i="34"/>
  <c r="BX618" i="34" s="1"/>
  <c r="A814" i="34"/>
  <c r="BX814" i="34" s="1"/>
  <c r="A884" i="34"/>
  <c r="BX884" i="34" s="1"/>
  <c r="A164" i="34"/>
  <c r="BX164" i="34" s="1"/>
  <c r="A148" i="34"/>
  <c r="BX148" i="34" s="1"/>
  <c r="A136" i="34"/>
  <c r="BX136" i="34" s="1"/>
  <c r="A120" i="34"/>
  <c r="BX120" i="34" s="1"/>
  <c r="A178" i="34"/>
  <c r="BX178" i="34" s="1"/>
  <c r="A192" i="34"/>
  <c r="BX192" i="34" s="1"/>
  <c r="A208" i="34"/>
  <c r="BX208" i="34" s="1"/>
  <c r="A220" i="34"/>
  <c r="BX220" i="34" s="1"/>
  <c r="A440" i="34"/>
  <c r="BX440" i="34" s="1"/>
  <c r="A426" i="34"/>
  <c r="BX426" i="34" s="1"/>
  <c r="A416" i="34"/>
  <c r="BX416" i="34" s="1"/>
  <c r="A400" i="34"/>
  <c r="BX400" i="34" s="1"/>
  <c r="A306" i="34"/>
  <c r="BX306" i="34" s="1"/>
  <c r="A278" i="34"/>
  <c r="BX278" i="34" s="1"/>
  <c r="A258" i="34"/>
  <c r="BX258" i="34" s="1"/>
  <c r="A682" i="34"/>
  <c r="BX682" i="34" s="1"/>
  <c r="A714" i="34"/>
  <c r="BX714" i="34" s="1"/>
  <c r="A755" i="34"/>
  <c r="BX755" i="34" s="1"/>
  <c r="A771" i="34"/>
  <c r="BX771" i="34" s="1"/>
  <c r="A114" i="34"/>
  <c r="BX114" i="34" s="1"/>
  <c r="EE114" i="34"/>
  <c r="ED114" i="34" s="1"/>
  <c r="A166" i="34"/>
  <c r="BX166" i="34" s="1"/>
  <c r="EE166" i="34"/>
  <c r="ED166" i="34" s="1"/>
  <c r="A162" i="34"/>
  <c r="BX162" i="34" s="1"/>
  <c r="EE162" i="34"/>
  <c r="ED162" i="34" s="1"/>
  <c r="A158" i="34"/>
  <c r="BX158" i="34" s="1"/>
  <c r="EE158" i="34"/>
  <c r="ED158" i="34" s="1"/>
  <c r="A154" i="34"/>
  <c r="BX154" i="34" s="1"/>
  <c r="EE154" i="34"/>
  <c r="ED154" i="34" s="1"/>
  <c r="A150" i="34"/>
  <c r="BX150" i="34" s="1"/>
  <c r="EE150" i="34"/>
  <c r="ED150" i="34" s="1"/>
  <c r="A146" i="34"/>
  <c r="BX146" i="34" s="1"/>
  <c r="EE146" i="34"/>
  <c r="ED146" i="34" s="1"/>
  <c r="A142" i="34"/>
  <c r="BX142" i="34" s="1"/>
  <c r="EE142" i="34"/>
  <c r="ED142" i="34" s="1"/>
  <c r="A134" i="34"/>
  <c r="BX134" i="34" s="1"/>
  <c r="EE134" i="34"/>
  <c r="ED134" i="34" s="1"/>
  <c r="A130" i="34"/>
  <c r="BX130" i="34" s="1"/>
  <c r="EE130" i="34"/>
  <c r="ED130" i="34" s="1"/>
  <c r="A126" i="34"/>
  <c r="BX126" i="34" s="1"/>
  <c r="EE126" i="34"/>
  <c r="ED126" i="34" s="1"/>
  <c r="A122" i="34"/>
  <c r="BX122" i="34" s="1"/>
  <c r="EE122" i="34"/>
  <c r="ED122" i="34" s="1"/>
  <c r="A118" i="34"/>
  <c r="BX118" i="34" s="1"/>
  <c r="EE118" i="34"/>
  <c r="ED118" i="34" s="1"/>
  <c r="A170" i="34"/>
  <c r="BX170" i="34" s="1"/>
  <c r="EE170" i="34"/>
  <c r="ED170" i="34" s="1"/>
  <c r="A222" i="34"/>
  <c r="BX222" i="34" s="1"/>
  <c r="EE222" i="34"/>
  <c r="ED222" i="34" s="1"/>
  <c r="A218" i="34"/>
  <c r="BX218" i="34" s="1"/>
  <c r="EE218" i="34"/>
  <c r="ED218" i="34" s="1"/>
  <c r="A214" i="34"/>
  <c r="BX214" i="34" s="1"/>
  <c r="EE214" i="34"/>
  <c r="ED214" i="34" s="1"/>
  <c r="A206" i="34"/>
  <c r="BX206" i="34" s="1"/>
  <c r="EE206" i="34"/>
  <c r="ED206" i="34" s="1"/>
  <c r="A202" i="34"/>
  <c r="BX202" i="34" s="1"/>
  <c r="EE202" i="34"/>
  <c r="ED202" i="34" s="1"/>
  <c r="A198" i="34"/>
  <c r="BX198" i="34" s="1"/>
  <c r="EE198" i="34"/>
  <c r="ED198" i="34" s="1"/>
  <c r="A194" i="34"/>
  <c r="BX194" i="34" s="1"/>
  <c r="EE194" i="34"/>
  <c r="ED194" i="34" s="1"/>
  <c r="A190" i="34"/>
  <c r="BX190" i="34" s="1"/>
  <c r="EE190" i="34"/>
  <c r="ED190" i="34" s="1"/>
  <c r="A186" i="34"/>
  <c r="BX186" i="34" s="1"/>
  <c r="EE186" i="34"/>
  <c r="ED186" i="34" s="1"/>
  <c r="A182" i="34"/>
  <c r="BX182" i="34" s="1"/>
  <c r="EE182" i="34"/>
  <c r="ED182" i="34" s="1"/>
  <c r="A174" i="34"/>
  <c r="BX174" i="34" s="1"/>
  <c r="EE174" i="34"/>
  <c r="ED174" i="34" s="1"/>
  <c r="A226" i="34"/>
  <c r="BX226" i="34" s="1"/>
  <c r="EE226" i="34"/>
  <c r="ED226" i="34" s="1"/>
  <c r="A280" i="34"/>
  <c r="BX280" i="34" s="1"/>
  <c r="EE280" i="34"/>
  <c r="ED280" i="34" s="1"/>
  <c r="A276" i="34"/>
  <c r="BX276" i="34" s="1"/>
  <c r="EE276" i="34"/>
  <c r="ED276" i="34" s="1"/>
  <c r="A274" i="34"/>
  <c r="BX274" i="34" s="1"/>
  <c r="EE274" i="34"/>
  <c r="ED274" i="34" s="1"/>
  <c r="A272" i="34"/>
  <c r="BX272" i="34" s="1"/>
  <c r="EE272" i="34"/>
  <c r="ED272" i="34" s="1"/>
  <c r="A270" i="34"/>
  <c r="BX270" i="34" s="1"/>
  <c r="EE270" i="34"/>
  <c r="ED270" i="34" s="1"/>
  <c r="A268" i="34"/>
  <c r="BX268" i="34" s="1"/>
  <c r="EE268" i="34"/>
  <c r="ED268" i="34" s="1"/>
  <c r="A266" i="34"/>
  <c r="BX266" i="34" s="1"/>
  <c r="EE266" i="34"/>
  <c r="ED266" i="34" s="1"/>
  <c r="A264" i="34"/>
  <c r="BX264" i="34" s="1"/>
  <c r="EE264" i="34"/>
  <c r="ED264" i="34" s="1"/>
  <c r="A262" i="34"/>
  <c r="BX262" i="34" s="1"/>
  <c r="EE262" i="34"/>
  <c r="ED262" i="34" s="1"/>
  <c r="A260" i="34"/>
  <c r="BX260" i="34" s="1"/>
  <c r="EE260" i="34"/>
  <c r="ED260" i="34" s="1"/>
  <c r="A256" i="34"/>
  <c r="BX256" i="34" s="1"/>
  <c r="EE256" i="34"/>
  <c r="ED256" i="34" s="1"/>
  <c r="A254" i="34"/>
  <c r="BX254" i="34" s="1"/>
  <c r="EE254" i="34"/>
  <c r="ED254" i="34" s="1"/>
  <c r="A252" i="34"/>
  <c r="BX252" i="34" s="1"/>
  <c r="EE252" i="34"/>
  <c r="ED252" i="34" s="1"/>
  <c r="A250" i="34"/>
  <c r="BX250" i="34" s="1"/>
  <c r="EE250" i="34"/>
  <c r="ED250" i="34" s="1"/>
  <c r="A248" i="34"/>
  <c r="BX248" i="34" s="1"/>
  <c r="EE248" i="34"/>
  <c r="ED248" i="34" s="1"/>
  <c r="A246" i="34"/>
  <c r="BX246" i="34" s="1"/>
  <c r="EE246" i="34"/>
  <c r="ED246" i="34" s="1"/>
  <c r="A244" i="34"/>
  <c r="BX244" i="34" s="1"/>
  <c r="EE244" i="34"/>
  <c r="ED244" i="34" s="1"/>
  <c r="A242" i="34"/>
  <c r="BX242" i="34" s="1"/>
  <c r="EE242" i="34"/>
  <c r="ED242" i="34" s="1"/>
  <c r="A240" i="34"/>
  <c r="BX240" i="34" s="1"/>
  <c r="EE240" i="34"/>
  <c r="ED240" i="34" s="1"/>
  <c r="A238" i="34"/>
  <c r="BX238" i="34" s="1"/>
  <c r="EE238" i="34"/>
  <c r="ED238" i="34" s="1"/>
  <c r="A236" i="34"/>
  <c r="BX236" i="34" s="1"/>
  <c r="EE236" i="34"/>
  <c r="ED236" i="34" s="1"/>
  <c r="A234" i="34"/>
  <c r="BX234" i="34" s="1"/>
  <c r="EE234" i="34"/>
  <c r="ED234" i="34" s="1"/>
  <c r="A232" i="34"/>
  <c r="BX232" i="34" s="1"/>
  <c r="EE232" i="34"/>
  <c r="ED232" i="34" s="1"/>
  <c r="A230" i="34"/>
  <c r="BX230" i="34" s="1"/>
  <c r="EE230" i="34"/>
  <c r="ED230" i="34" s="1"/>
  <c r="A228" i="34"/>
  <c r="BX228" i="34" s="1"/>
  <c r="EE228" i="34"/>
  <c r="ED228" i="34" s="1"/>
  <c r="A282" i="34"/>
  <c r="BX282" i="34" s="1"/>
  <c r="EE282" i="34"/>
  <c r="ED282" i="34" s="1"/>
  <c r="A336" i="34"/>
  <c r="BX336" i="34" s="1"/>
  <c r="EE336" i="34"/>
  <c r="ED336" i="34" s="1"/>
  <c r="A334" i="34"/>
  <c r="BX334" i="34" s="1"/>
  <c r="EE334" i="34"/>
  <c r="ED334" i="34" s="1"/>
  <c r="A332" i="34"/>
  <c r="BX332" i="34" s="1"/>
  <c r="EE332" i="34"/>
  <c r="ED332" i="34" s="1"/>
  <c r="A330" i="34"/>
  <c r="BX330" i="34" s="1"/>
  <c r="EE330" i="34"/>
  <c r="ED330" i="34" s="1"/>
  <c r="A328" i="34"/>
  <c r="BX328" i="34" s="1"/>
  <c r="EE328" i="34"/>
  <c r="ED328" i="34" s="1"/>
  <c r="A326" i="34"/>
  <c r="BX326" i="34" s="1"/>
  <c r="EE326" i="34"/>
  <c r="ED326" i="34" s="1"/>
  <c r="A324" i="34"/>
  <c r="BX324" i="34" s="1"/>
  <c r="EE324" i="34"/>
  <c r="ED324" i="34" s="1"/>
  <c r="A320" i="34"/>
  <c r="BX320" i="34" s="1"/>
  <c r="EE320" i="34"/>
  <c r="ED320" i="34" s="1"/>
  <c r="A318" i="34"/>
  <c r="BX318" i="34" s="1"/>
  <c r="EE318" i="34"/>
  <c r="ED318" i="34" s="1"/>
  <c r="A316" i="34"/>
  <c r="BX316" i="34" s="1"/>
  <c r="EE316" i="34"/>
  <c r="ED316" i="34" s="1"/>
  <c r="A314" i="34"/>
  <c r="BX314" i="34" s="1"/>
  <c r="EE314" i="34"/>
  <c r="ED314" i="34" s="1"/>
  <c r="A312" i="34"/>
  <c r="BX312" i="34" s="1"/>
  <c r="EE312" i="34"/>
  <c r="ED312" i="34" s="1"/>
  <c r="A310" i="34"/>
  <c r="BX310" i="34" s="1"/>
  <c r="EE310" i="34"/>
  <c r="ED310" i="34" s="1"/>
  <c r="A308" i="34"/>
  <c r="BX308" i="34" s="1"/>
  <c r="EE308" i="34"/>
  <c r="ED308" i="34" s="1"/>
  <c r="A304" i="34"/>
  <c r="BX304" i="34" s="1"/>
  <c r="EE304" i="34"/>
  <c r="ED304" i="34" s="1"/>
  <c r="A302" i="34"/>
  <c r="BX302" i="34" s="1"/>
  <c r="EE302" i="34"/>
  <c r="ED302" i="34" s="1"/>
  <c r="A300" i="34"/>
  <c r="BX300" i="34" s="1"/>
  <c r="EE300" i="34"/>
  <c r="ED300" i="34" s="1"/>
  <c r="A298" i="34"/>
  <c r="BX298" i="34" s="1"/>
  <c r="EE298" i="34"/>
  <c r="ED298" i="34" s="1"/>
  <c r="A296" i="34"/>
  <c r="BX296" i="34" s="1"/>
  <c r="EE296" i="34"/>
  <c r="ED296" i="34" s="1"/>
  <c r="A294" i="34"/>
  <c r="BX294" i="34" s="1"/>
  <c r="EE294" i="34"/>
  <c r="ED294" i="34" s="1"/>
  <c r="A292" i="34"/>
  <c r="BX292" i="34" s="1"/>
  <c r="EE292" i="34"/>
  <c r="ED292" i="34" s="1"/>
  <c r="A290" i="34"/>
  <c r="BX290" i="34" s="1"/>
  <c r="EE290" i="34"/>
  <c r="ED290" i="34" s="1"/>
  <c r="A288" i="34"/>
  <c r="BX288" i="34" s="1"/>
  <c r="EE288" i="34"/>
  <c r="ED288" i="34" s="1"/>
  <c r="A286" i="34"/>
  <c r="BX286" i="34" s="1"/>
  <c r="EE286" i="34"/>
  <c r="ED286" i="34" s="1"/>
  <c r="A284" i="34"/>
  <c r="BX284" i="34" s="1"/>
  <c r="EE284" i="34"/>
  <c r="ED284" i="34" s="1"/>
  <c r="A338" i="34"/>
  <c r="BX338" i="34" s="1"/>
  <c r="EE338" i="34"/>
  <c r="ED338" i="34" s="1"/>
  <c r="A392" i="34"/>
  <c r="BX392" i="34" s="1"/>
  <c r="EE392" i="34"/>
  <c r="ED392" i="34" s="1"/>
  <c r="A388" i="34"/>
  <c r="BX388" i="34" s="1"/>
  <c r="EE388" i="34"/>
  <c r="ED388" i="34" s="1"/>
  <c r="A386" i="34"/>
  <c r="BX386" i="34" s="1"/>
  <c r="EE386" i="34"/>
  <c r="ED386" i="34" s="1"/>
  <c r="A384" i="34"/>
  <c r="BX384" i="34" s="1"/>
  <c r="EE384" i="34"/>
  <c r="ED384" i="34" s="1"/>
  <c r="A382" i="34"/>
  <c r="BX382" i="34" s="1"/>
  <c r="EE382" i="34"/>
  <c r="ED382" i="34" s="1"/>
  <c r="A380" i="34"/>
  <c r="BX380" i="34" s="1"/>
  <c r="EE380" i="34"/>
  <c r="ED380" i="34" s="1"/>
  <c r="A378" i="34"/>
  <c r="BX378" i="34" s="1"/>
  <c r="EE378" i="34"/>
  <c r="ED378" i="34" s="1"/>
  <c r="A376" i="34"/>
  <c r="BX376" i="34" s="1"/>
  <c r="EE376" i="34"/>
  <c r="ED376" i="34" s="1"/>
  <c r="A374" i="34"/>
  <c r="BX374" i="34" s="1"/>
  <c r="EE374" i="34"/>
  <c r="ED374" i="34" s="1"/>
  <c r="A372" i="34"/>
  <c r="BX372" i="34" s="1"/>
  <c r="EE372" i="34"/>
  <c r="ED372" i="34" s="1"/>
  <c r="A368" i="34"/>
  <c r="BX368" i="34" s="1"/>
  <c r="EE368" i="34"/>
  <c r="ED368" i="34" s="1"/>
  <c r="A366" i="34"/>
  <c r="BX366" i="34" s="1"/>
  <c r="EE366" i="34"/>
  <c r="ED366" i="34" s="1"/>
  <c r="A364" i="34"/>
  <c r="BX364" i="34" s="1"/>
  <c r="EE364" i="34"/>
  <c r="ED364" i="34" s="1"/>
  <c r="A362" i="34"/>
  <c r="BX362" i="34" s="1"/>
  <c r="EE362" i="34"/>
  <c r="ED362" i="34" s="1"/>
  <c r="A360" i="34"/>
  <c r="BX360" i="34" s="1"/>
  <c r="EE360" i="34"/>
  <c r="ED360" i="34" s="1"/>
  <c r="A358" i="34"/>
  <c r="BX358" i="34" s="1"/>
  <c r="EE358" i="34"/>
  <c r="ED358" i="34" s="1"/>
  <c r="A356" i="34"/>
  <c r="BX356" i="34" s="1"/>
  <c r="EE356" i="34"/>
  <c r="ED356" i="34" s="1"/>
  <c r="A354" i="34"/>
  <c r="BX354" i="34" s="1"/>
  <c r="EE354" i="34"/>
  <c r="ED354" i="34" s="1"/>
  <c r="A352" i="34"/>
  <c r="BX352" i="34" s="1"/>
  <c r="EE352" i="34"/>
  <c r="ED352" i="34" s="1"/>
  <c r="A350" i="34"/>
  <c r="BX350" i="34" s="1"/>
  <c r="EE350" i="34"/>
  <c r="ED350" i="34" s="1"/>
  <c r="A348" i="34"/>
  <c r="BX348" i="34" s="1"/>
  <c r="EE348" i="34"/>
  <c r="ED348" i="34" s="1"/>
  <c r="A346" i="34"/>
  <c r="BX346" i="34" s="1"/>
  <c r="EE346" i="34"/>
  <c r="ED346" i="34" s="1"/>
  <c r="A344" i="34"/>
  <c r="BX344" i="34" s="1"/>
  <c r="EE344" i="34"/>
  <c r="ED344" i="34" s="1"/>
  <c r="A340" i="34"/>
  <c r="BX340" i="34" s="1"/>
  <c r="EE340" i="34"/>
  <c r="ED340" i="34" s="1"/>
  <c r="A394" i="34"/>
  <c r="BX394" i="34" s="1"/>
  <c r="EE394" i="34"/>
  <c r="ED394" i="34" s="1"/>
  <c r="A446" i="34"/>
  <c r="BX446" i="34" s="1"/>
  <c r="EE446" i="34"/>
  <c r="ED446" i="34" s="1"/>
  <c r="A442" i="34"/>
  <c r="BX442" i="34" s="1"/>
  <c r="EE442" i="34"/>
  <c r="ED442" i="34" s="1"/>
  <c r="A438" i="34"/>
  <c r="BX438" i="34" s="1"/>
  <c r="EE438" i="34"/>
  <c r="ED438" i="34" s="1"/>
  <c r="A434" i="34"/>
  <c r="BX434" i="34" s="1"/>
  <c r="EE434" i="34"/>
  <c r="ED434" i="34" s="1"/>
  <c r="A430" i="34"/>
  <c r="BX430" i="34" s="1"/>
  <c r="EE430" i="34"/>
  <c r="ED430" i="34" s="1"/>
  <c r="A422" i="34"/>
  <c r="BX422" i="34" s="1"/>
  <c r="EE422" i="34"/>
  <c r="ED422" i="34" s="1"/>
  <c r="A414" i="34"/>
  <c r="BX414" i="34" s="1"/>
  <c r="EE414" i="34"/>
  <c r="ED414" i="34" s="1"/>
  <c r="A406" i="34"/>
  <c r="BX406" i="34" s="1"/>
  <c r="EE406" i="34"/>
  <c r="ED406" i="34" s="1"/>
  <c r="A402" i="34"/>
  <c r="BX402" i="34" s="1"/>
  <c r="EE402" i="34"/>
  <c r="ED402" i="34" s="1"/>
  <c r="A398" i="34"/>
  <c r="BX398" i="34" s="1"/>
  <c r="EE398" i="34"/>
  <c r="ED398" i="34" s="1"/>
  <c r="A396" i="34"/>
  <c r="BX396" i="34" s="1"/>
  <c r="EE396" i="34"/>
  <c r="ED396" i="34" s="1"/>
  <c r="A450" i="34"/>
  <c r="BX450" i="34" s="1"/>
  <c r="EE450" i="34"/>
  <c r="ED450" i="34" s="1"/>
  <c r="A504" i="34"/>
  <c r="BX504" i="34" s="1"/>
  <c r="EE504" i="34"/>
  <c r="ED504" i="34" s="1"/>
  <c r="A502" i="34"/>
  <c r="BX502" i="34" s="1"/>
  <c r="EE502" i="34"/>
  <c r="ED502" i="34" s="1"/>
  <c r="A500" i="34"/>
  <c r="BX500" i="34" s="1"/>
  <c r="EE500" i="34"/>
  <c r="ED500" i="34" s="1"/>
  <c r="A498" i="34"/>
  <c r="BX498" i="34" s="1"/>
  <c r="EE498" i="34"/>
  <c r="ED498" i="34" s="1"/>
  <c r="A496" i="34"/>
  <c r="BX496" i="34" s="1"/>
  <c r="EE496" i="34"/>
  <c r="ED496" i="34" s="1"/>
  <c r="A494" i="34"/>
  <c r="BX494" i="34" s="1"/>
  <c r="EE494" i="34"/>
  <c r="ED494" i="34" s="1"/>
  <c r="A492" i="34"/>
  <c r="BX492" i="34" s="1"/>
  <c r="EE492" i="34"/>
  <c r="ED492" i="34" s="1"/>
  <c r="A490" i="34"/>
  <c r="BX490" i="34" s="1"/>
  <c r="EE490" i="34"/>
  <c r="ED490" i="34" s="1"/>
  <c r="A488" i="34"/>
  <c r="BX488" i="34" s="1"/>
  <c r="EE488" i="34"/>
  <c r="ED488" i="34" s="1"/>
  <c r="A486" i="34"/>
  <c r="BX486" i="34" s="1"/>
  <c r="EE486" i="34"/>
  <c r="ED486" i="34" s="1"/>
  <c r="A484" i="34"/>
  <c r="BX484" i="34" s="1"/>
  <c r="EE484" i="34"/>
  <c r="ED484" i="34" s="1"/>
  <c r="A482" i="34"/>
  <c r="BX482" i="34" s="1"/>
  <c r="EE482" i="34"/>
  <c r="ED482" i="34" s="1"/>
  <c r="A480" i="34"/>
  <c r="BX480" i="34" s="1"/>
  <c r="EE480" i="34"/>
  <c r="ED480" i="34" s="1"/>
  <c r="A478" i="34"/>
  <c r="BX478" i="34" s="1"/>
  <c r="EE478" i="34"/>
  <c r="ED478" i="34" s="1"/>
  <c r="A476" i="34"/>
  <c r="BX476" i="34" s="1"/>
  <c r="EE476" i="34"/>
  <c r="ED476" i="34" s="1"/>
  <c r="A474" i="34"/>
  <c r="BX474" i="34" s="1"/>
  <c r="EE474" i="34"/>
  <c r="ED474" i="34" s="1"/>
  <c r="A472" i="34"/>
  <c r="BX472" i="34" s="1"/>
  <c r="EE472" i="34"/>
  <c r="ED472" i="34" s="1"/>
  <c r="A470" i="34"/>
  <c r="BX470" i="34" s="1"/>
  <c r="EE470" i="34"/>
  <c r="ED470" i="34" s="1"/>
  <c r="A468" i="34"/>
  <c r="BX468" i="34" s="1"/>
  <c r="EE468" i="34"/>
  <c r="ED468" i="34" s="1"/>
  <c r="A466" i="34"/>
  <c r="BX466" i="34" s="1"/>
  <c r="EE466" i="34"/>
  <c r="ED466" i="34" s="1"/>
  <c r="A464" i="34"/>
  <c r="BX464" i="34" s="1"/>
  <c r="EE464" i="34"/>
  <c r="ED464" i="34" s="1"/>
  <c r="A462" i="34"/>
  <c r="BX462" i="34" s="1"/>
  <c r="EE462" i="34"/>
  <c r="ED462" i="34" s="1"/>
  <c r="A460" i="34"/>
  <c r="BX460" i="34" s="1"/>
  <c r="EE460" i="34"/>
  <c r="ED460" i="34" s="1"/>
  <c r="A458" i="34"/>
  <c r="BX458" i="34" s="1"/>
  <c r="EE458" i="34"/>
  <c r="ED458" i="34" s="1"/>
  <c r="A456" i="34"/>
  <c r="BX456" i="34" s="1"/>
  <c r="EE456" i="34"/>
  <c r="ED456" i="34" s="1"/>
  <c r="A454" i="34"/>
  <c r="BX454" i="34" s="1"/>
  <c r="EE454" i="34"/>
  <c r="ED454" i="34" s="1"/>
  <c r="A452" i="34"/>
  <c r="BX452" i="34" s="1"/>
  <c r="EE452" i="34"/>
  <c r="ED452" i="34" s="1"/>
  <c r="A506" i="34"/>
  <c r="BX506" i="34" s="1"/>
  <c r="EE506" i="34"/>
  <c r="ED506" i="34" s="1"/>
  <c r="A560" i="34"/>
  <c r="BX560" i="34" s="1"/>
  <c r="EE560" i="34"/>
  <c r="ED560" i="34" s="1"/>
  <c r="A558" i="34"/>
  <c r="BX558" i="34" s="1"/>
  <c r="EE558" i="34"/>
  <c r="ED558" i="34" s="1"/>
  <c r="A556" i="34"/>
  <c r="BX556" i="34" s="1"/>
  <c r="EE556" i="34"/>
  <c r="ED556" i="34" s="1"/>
  <c r="A554" i="34"/>
  <c r="BX554" i="34" s="1"/>
  <c r="EE554" i="34"/>
  <c r="ED554" i="34" s="1"/>
  <c r="A552" i="34"/>
  <c r="BX552" i="34" s="1"/>
  <c r="EE552" i="34"/>
  <c r="ED552" i="34" s="1"/>
  <c r="A550" i="34"/>
  <c r="BX550" i="34" s="1"/>
  <c r="EE550" i="34"/>
  <c r="ED550" i="34" s="1"/>
  <c r="A548" i="34"/>
  <c r="BX548" i="34" s="1"/>
  <c r="EE548" i="34"/>
  <c r="ED548" i="34" s="1"/>
  <c r="A546" i="34"/>
  <c r="BX546" i="34" s="1"/>
  <c r="EE546" i="34"/>
  <c r="ED546" i="34" s="1"/>
  <c r="A544" i="34"/>
  <c r="BX544" i="34" s="1"/>
  <c r="EE544" i="34"/>
  <c r="ED544" i="34" s="1"/>
  <c r="A542" i="34"/>
  <c r="BX542" i="34" s="1"/>
  <c r="EE542" i="34"/>
  <c r="ED542" i="34" s="1"/>
  <c r="A540" i="34"/>
  <c r="BX540" i="34" s="1"/>
  <c r="EE540" i="34"/>
  <c r="ED540" i="34" s="1"/>
  <c r="A538" i="34"/>
  <c r="BX538" i="34" s="1"/>
  <c r="EE538" i="34"/>
  <c r="ED538" i="34" s="1"/>
  <c r="A536" i="34"/>
  <c r="BX536" i="34" s="1"/>
  <c r="EE536" i="34"/>
  <c r="ED536" i="34" s="1"/>
  <c r="A534" i="34"/>
  <c r="BX534" i="34" s="1"/>
  <c r="EE534" i="34"/>
  <c r="ED534" i="34" s="1"/>
  <c r="A532" i="34"/>
  <c r="BX532" i="34" s="1"/>
  <c r="EE532" i="34"/>
  <c r="ED532" i="34" s="1"/>
  <c r="A530" i="34"/>
  <c r="BX530" i="34" s="1"/>
  <c r="EE530" i="34"/>
  <c r="ED530" i="34" s="1"/>
  <c r="A528" i="34"/>
  <c r="BX528" i="34" s="1"/>
  <c r="EE528" i="34"/>
  <c r="ED528" i="34" s="1"/>
  <c r="A526" i="34"/>
  <c r="BX526" i="34" s="1"/>
  <c r="EE526" i="34"/>
  <c r="ED526" i="34" s="1"/>
  <c r="A524" i="34"/>
  <c r="BX524" i="34" s="1"/>
  <c r="EE524" i="34"/>
  <c r="ED524" i="34" s="1"/>
  <c r="A522" i="34"/>
  <c r="BX522" i="34" s="1"/>
  <c r="EE522" i="34"/>
  <c r="ED522" i="34" s="1"/>
  <c r="A520" i="34"/>
  <c r="BX520" i="34" s="1"/>
  <c r="EE520" i="34"/>
  <c r="ED520" i="34" s="1"/>
  <c r="A518" i="34"/>
  <c r="BX518" i="34" s="1"/>
  <c r="EE518" i="34"/>
  <c r="ED518" i="34" s="1"/>
  <c r="A516" i="34"/>
  <c r="BX516" i="34" s="1"/>
  <c r="EE516" i="34"/>
  <c r="ED516" i="34" s="1"/>
  <c r="A514" i="34"/>
  <c r="BX514" i="34" s="1"/>
  <c r="EE514" i="34"/>
  <c r="ED514" i="34" s="1"/>
  <c r="A512" i="34"/>
  <c r="BX512" i="34" s="1"/>
  <c r="EE512" i="34"/>
  <c r="ED512" i="34" s="1"/>
  <c r="A510" i="34"/>
  <c r="BX510" i="34" s="1"/>
  <c r="EE510" i="34"/>
  <c r="ED510" i="34" s="1"/>
  <c r="A508" i="34"/>
  <c r="BX508" i="34" s="1"/>
  <c r="EE508" i="34"/>
  <c r="ED508" i="34" s="1"/>
  <c r="A562" i="34"/>
  <c r="BX562" i="34" s="1"/>
  <c r="EE562" i="34"/>
  <c r="ED562" i="34" s="1"/>
  <c r="A616" i="34"/>
  <c r="BX616" i="34" s="1"/>
  <c r="EE616" i="34"/>
  <c r="ED616" i="34" s="1"/>
  <c r="A614" i="34"/>
  <c r="BX614" i="34" s="1"/>
  <c r="EE614" i="34"/>
  <c r="ED614" i="34" s="1"/>
  <c r="A612" i="34"/>
  <c r="BX612" i="34" s="1"/>
  <c r="EE612" i="34"/>
  <c r="ED612" i="34" s="1"/>
  <c r="A610" i="34"/>
  <c r="BX610" i="34" s="1"/>
  <c r="EE610" i="34"/>
  <c r="ED610" i="34" s="1"/>
  <c r="A608" i="34"/>
  <c r="BX608" i="34" s="1"/>
  <c r="EE608" i="34"/>
  <c r="ED608" i="34" s="1"/>
  <c r="A606" i="34"/>
  <c r="BX606" i="34" s="1"/>
  <c r="EE606" i="34"/>
  <c r="ED606" i="34" s="1"/>
  <c r="A604" i="34"/>
  <c r="BX604" i="34" s="1"/>
  <c r="EE604" i="34"/>
  <c r="ED604" i="34" s="1"/>
  <c r="A602" i="34"/>
  <c r="BX602" i="34" s="1"/>
  <c r="EE602" i="34"/>
  <c r="ED602" i="34" s="1"/>
  <c r="A600" i="34"/>
  <c r="BX600" i="34" s="1"/>
  <c r="EE600" i="34"/>
  <c r="ED600" i="34" s="1"/>
  <c r="A598" i="34"/>
  <c r="BX598" i="34" s="1"/>
  <c r="EE598" i="34"/>
  <c r="ED598" i="34" s="1"/>
  <c r="A596" i="34"/>
  <c r="BX596" i="34" s="1"/>
  <c r="EE596" i="34"/>
  <c r="ED596" i="34" s="1"/>
  <c r="A594" i="34"/>
  <c r="BX594" i="34" s="1"/>
  <c r="EE594" i="34"/>
  <c r="ED594" i="34" s="1"/>
  <c r="A592" i="34"/>
  <c r="BX592" i="34" s="1"/>
  <c r="EE592" i="34"/>
  <c r="ED592" i="34" s="1"/>
  <c r="A590" i="34"/>
  <c r="BX590" i="34" s="1"/>
  <c r="EE590" i="34"/>
  <c r="ED590" i="34" s="1"/>
  <c r="A588" i="34"/>
  <c r="BX588" i="34" s="1"/>
  <c r="EE588" i="34"/>
  <c r="ED588" i="34" s="1"/>
  <c r="A586" i="34"/>
  <c r="BX586" i="34" s="1"/>
  <c r="EE586" i="34"/>
  <c r="ED586" i="34" s="1"/>
  <c r="A584" i="34"/>
  <c r="BX584" i="34" s="1"/>
  <c r="EE584" i="34"/>
  <c r="ED584" i="34" s="1"/>
  <c r="A582" i="34"/>
  <c r="BX582" i="34" s="1"/>
  <c r="EE582" i="34"/>
  <c r="ED582" i="34" s="1"/>
  <c r="A580" i="34"/>
  <c r="BX580" i="34" s="1"/>
  <c r="EE580" i="34"/>
  <c r="ED580" i="34" s="1"/>
  <c r="A578" i="34"/>
  <c r="BX578" i="34" s="1"/>
  <c r="EE578" i="34"/>
  <c r="ED578" i="34" s="1"/>
  <c r="A576" i="34"/>
  <c r="BX576" i="34" s="1"/>
  <c r="EE576" i="34"/>
  <c r="ED576" i="34" s="1"/>
  <c r="A574" i="34"/>
  <c r="BX574" i="34" s="1"/>
  <c r="EE574" i="34"/>
  <c r="ED574" i="34" s="1"/>
  <c r="A572" i="34"/>
  <c r="BX572" i="34" s="1"/>
  <c r="EE572" i="34"/>
  <c r="ED572" i="34" s="1"/>
  <c r="A570" i="34"/>
  <c r="BX570" i="34" s="1"/>
  <c r="EE570" i="34"/>
  <c r="ED570" i="34" s="1"/>
  <c r="A568" i="34"/>
  <c r="BX568" i="34" s="1"/>
  <c r="EE568" i="34"/>
  <c r="ED568" i="34" s="1"/>
  <c r="A566" i="34"/>
  <c r="BX566" i="34" s="1"/>
  <c r="EE566" i="34"/>
  <c r="ED566" i="34" s="1"/>
  <c r="A673" i="34"/>
  <c r="BX673" i="34" s="1"/>
  <c r="EE673" i="34"/>
  <c r="ED673" i="34" s="1"/>
  <c r="A671" i="34"/>
  <c r="BX671" i="34" s="1"/>
  <c r="EE671" i="34"/>
  <c r="ED671" i="34" s="1"/>
  <c r="A669" i="34"/>
  <c r="BX669" i="34" s="1"/>
  <c r="EE669" i="34"/>
  <c r="ED669" i="34" s="1"/>
  <c r="A667" i="34"/>
  <c r="BX667" i="34" s="1"/>
  <c r="EE667" i="34"/>
  <c r="ED667" i="34" s="1"/>
  <c r="A665" i="34"/>
  <c r="BX665" i="34" s="1"/>
  <c r="EE665" i="34"/>
  <c r="ED665" i="34" s="1"/>
  <c r="A663" i="34"/>
  <c r="BX663" i="34" s="1"/>
  <c r="EE663" i="34"/>
  <c r="ED663" i="34" s="1"/>
  <c r="A661" i="34"/>
  <c r="BX661" i="34" s="1"/>
  <c r="EE661" i="34"/>
  <c r="ED661" i="34" s="1"/>
  <c r="A659" i="34"/>
  <c r="BX659" i="34" s="1"/>
  <c r="EE659" i="34"/>
  <c r="ED659" i="34" s="1"/>
  <c r="A657" i="34"/>
  <c r="BX657" i="34" s="1"/>
  <c r="EE657" i="34"/>
  <c r="ED657" i="34" s="1"/>
  <c r="A655" i="34"/>
  <c r="BX655" i="34" s="1"/>
  <c r="EE655" i="34"/>
  <c r="ED655" i="34" s="1"/>
  <c r="A653" i="34"/>
  <c r="BX653" i="34" s="1"/>
  <c r="EE653" i="34"/>
  <c r="ED653" i="34" s="1"/>
  <c r="A651" i="34"/>
  <c r="BX651" i="34" s="1"/>
  <c r="EE651" i="34"/>
  <c r="ED651" i="34" s="1"/>
  <c r="A649" i="34"/>
  <c r="BX649" i="34" s="1"/>
  <c r="EE649" i="34"/>
  <c r="ED649" i="34" s="1"/>
  <c r="A647" i="34"/>
  <c r="BX647" i="34" s="1"/>
  <c r="EE647" i="34"/>
  <c r="ED647" i="34" s="1"/>
  <c r="A645" i="34"/>
  <c r="BX645" i="34" s="1"/>
  <c r="EE645" i="34"/>
  <c r="ED645" i="34" s="1"/>
  <c r="A643" i="34"/>
  <c r="BX643" i="34" s="1"/>
  <c r="EE643" i="34"/>
  <c r="ED643" i="34" s="1"/>
  <c r="A641" i="34"/>
  <c r="BX641" i="34" s="1"/>
  <c r="EE641" i="34"/>
  <c r="ED641" i="34" s="1"/>
  <c r="A639" i="34"/>
  <c r="BX639" i="34" s="1"/>
  <c r="EE639" i="34"/>
  <c r="ED639" i="34" s="1"/>
  <c r="A637" i="34"/>
  <c r="BX637" i="34" s="1"/>
  <c r="EE637" i="34"/>
  <c r="ED637" i="34" s="1"/>
  <c r="A635" i="34"/>
  <c r="BX635" i="34" s="1"/>
  <c r="EE635" i="34"/>
  <c r="ED635" i="34" s="1"/>
  <c r="A633" i="34"/>
  <c r="BX633" i="34" s="1"/>
  <c r="EE633" i="34"/>
  <c r="ED633" i="34" s="1"/>
  <c r="A631" i="34"/>
  <c r="BX631" i="34" s="1"/>
  <c r="EE631" i="34"/>
  <c r="ED631" i="34" s="1"/>
  <c r="A629" i="34"/>
  <c r="BX629" i="34" s="1"/>
  <c r="EE629" i="34"/>
  <c r="ED629" i="34" s="1"/>
  <c r="A627" i="34"/>
  <c r="BX627" i="34" s="1"/>
  <c r="EE627" i="34"/>
  <c r="ED627" i="34" s="1"/>
  <c r="A625" i="34"/>
  <c r="BX625" i="34" s="1"/>
  <c r="EE625" i="34"/>
  <c r="ED625" i="34" s="1"/>
  <c r="A623" i="34"/>
  <c r="BX623" i="34" s="1"/>
  <c r="EE623" i="34"/>
  <c r="ED623" i="34" s="1"/>
  <c r="A621" i="34"/>
  <c r="BX621" i="34" s="1"/>
  <c r="EE621" i="34"/>
  <c r="ED621" i="34" s="1"/>
  <c r="A619" i="34"/>
  <c r="BX619" i="34" s="1"/>
  <c r="EE619" i="34"/>
  <c r="ED619" i="34" s="1"/>
  <c r="A729" i="34"/>
  <c r="BX729" i="34" s="1"/>
  <c r="EE729" i="34"/>
  <c r="ED729" i="34" s="1"/>
  <c r="A727" i="34"/>
  <c r="BX727" i="34" s="1"/>
  <c r="EE727" i="34"/>
  <c r="ED727" i="34" s="1"/>
  <c r="A723" i="34"/>
  <c r="BX723" i="34" s="1"/>
  <c r="EE723" i="34"/>
  <c r="ED723" i="34" s="1"/>
  <c r="A721" i="34"/>
  <c r="BX721" i="34" s="1"/>
  <c r="EE721" i="34"/>
  <c r="ED721" i="34" s="1"/>
  <c r="A719" i="34"/>
  <c r="BX719" i="34" s="1"/>
  <c r="EE719" i="34"/>
  <c r="ED719" i="34" s="1"/>
  <c r="A717" i="34"/>
  <c r="BX717" i="34" s="1"/>
  <c r="EE717" i="34"/>
  <c r="ED717" i="34" s="1"/>
  <c r="A715" i="34"/>
  <c r="BX715" i="34" s="1"/>
  <c r="EE715" i="34"/>
  <c r="ED715" i="34" s="1"/>
  <c r="A713" i="34"/>
  <c r="BX713" i="34" s="1"/>
  <c r="EE713" i="34"/>
  <c r="ED713" i="34" s="1"/>
  <c r="A711" i="34"/>
  <c r="BX711" i="34" s="1"/>
  <c r="EE711" i="34"/>
  <c r="ED711" i="34" s="1"/>
  <c r="A709" i="34"/>
  <c r="BX709" i="34" s="1"/>
  <c r="EE709" i="34"/>
  <c r="ED709" i="34" s="1"/>
  <c r="A707" i="34"/>
  <c r="BX707" i="34" s="1"/>
  <c r="EE707" i="34"/>
  <c r="ED707" i="34" s="1"/>
  <c r="A705" i="34"/>
  <c r="BX705" i="34" s="1"/>
  <c r="EE705" i="34"/>
  <c r="ED705" i="34" s="1"/>
  <c r="A703" i="34"/>
  <c r="BX703" i="34" s="1"/>
  <c r="EE703" i="34"/>
  <c r="ED703" i="34" s="1"/>
  <c r="A701" i="34"/>
  <c r="BX701" i="34" s="1"/>
  <c r="EE701" i="34"/>
  <c r="ED701" i="34" s="1"/>
  <c r="A699" i="34"/>
  <c r="BX699" i="34" s="1"/>
  <c r="EE699" i="34"/>
  <c r="ED699" i="34" s="1"/>
  <c r="A697" i="34"/>
  <c r="BX697" i="34" s="1"/>
  <c r="EE697" i="34"/>
  <c r="ED697" i="34" s="1"/>
  <c r="A695" i="34"/>
  <c r="BX695" i="34" s="1"/>
  <c r="EE695" i="34"/>
  <c r="ED695" i="34" s="1"/>
  <c r="A693" i="34"/>
  <c r="BX693" i="34" s="1"/>
  <c r="EE693" i="34"/>
  <c r="ED693" i="34" s="1"/>
  <c r="A691" i="34"/>
  <c r="BX691" i="34" s="1"/>
  <c r="EE691" i="34"/>
  <c r="ED691" i="34" s="1"/>
  <c r="A687" i="34"/>
  <c r="BX687" i="34" s="1"/>
  <c r="EE687" i="34"/>
  <c r="ED687" i="34" s="1"/>
  <c r="A685" i="34"/>
  <c r="BX685" i="34" s="1"/>
  <c r="EE685" i="34"/>
  <c r="ED685" i="34" s="1"/>
  <c r="A683" i="34"/>
  <c r="BX683" i="34" s="1"/>
  <c r="EE683" i="34"/>
  <c r="ED683" i="34" s="1"/>
  <c r="A681" i="34"/>
  <c r="BX681" i="34" s="1"/>
  <c r="EE681" i="34"/>
  <c r="ED681" i="34" s="1"/>
  <c r="A679" i="34"/>
  <c r="BX679" i="34" s="1"/>
  <c r="EE679" i="34"/>
  <c r="ED679" i="34" s="1"/>
  <c r="A677" i="34"/>
  <c r="BX677" i="34" s="1"/>
  <c r="EE677" i="34"/>
  <c r="ED677" i="34" s="1"/>
  <c r="A675" i="34"/>
  <c r="BX675" i="34" s="1"/>
  <c r="EE675" i="34"/>
  <c r="ED675" i="34" s="1"/>
  <c r="A730" i="34"/>
  <c r="BX730" i="34" s="1"/>
  <c r="EE730" i="34"/>
  <c r="ED730" i="34" s="1"/>
  <c r="A784" i="34"/>
  <c r="BX784" i="34" s="1"/>
  <c r="EE784" i="34"/>
  <c r="ED784" i="34" s="1"/>
  <c r="A782" i="34"/>
  <c r="BX782" i="34" s="1"/>
  <c r="EE782" i="34"/>
  <c r="ED782" i="34" s="1"/>
  <c r="A780" i="34"/>
  <c r="BX780" i="34" s="1"/>
  <c r="EE780" i="34"/>
  <c r="ED780" i="34" s="1"/>
  <c r="A778" i="34"/>
  <c r="BX778" i="34" s="1"/>
  <c r="EE778" i="34"/>
  <c r="ED778" i="34" s="1"/>
  <c r="A776" i="34"/>
  <c r="BX776" i="34" s="1"/>
  <c r="EE776" i="34"/>
  <c r="ED776" i="34" s="1"/>
  <c r="A774" i="34"/>
  <c r="BX774" i="34" s="1"/>
  <c r="EE774" i="34"/>
  <c r="ED774" i="34" s="1"/>
  <c r="A772" i="34"/>
  <c r="BX772" i="34" s="1"/>
  <c r="EE772" i="34"/>
  <c r="ED772" i="34" s="1"/>
  <c r="A770" i="34"/>
  <c r="BX770" i="34" s="1"/>
  <c r="EE770" i="34"/>
  <c r="ED770" i="34" s="1"/>
  <c r="A768" i="34"/>
  <c r="BX768" i="34" s="1"/>
  <c r="EE768" i="34"/>
  <c r="ED768" i="34" s="1"/>
  <c r="A766" i="34"/>
  <c r="BX766" i="34" s="1"/>
  <c r="EE766" i="34"/>
  <c r="ED766" i="34" s="1"/>
  <c r="A764" i="34"/>
  <c r="BX764" i="34" s="1"/>
  <c r="EE764" i="34"/>
  <c r="ED764" i="34" s="1"/>
  <c r="A762" i="34"/>
  <c r="BX762" i="34" s="1"/>
  <c r="EE762" i="34"/>
  <c r="ED762" i="34" s="1"/>
  <c r="A760" i="34"/>
  <c r="BX760" i="34" s="1"/>
  <c r="EE760" i="34"/>
  <c r="ED760" i="34" s="1"/>
  <c r="A758" i="34"/>
  <c r="BX758" i="34" s="1"/>
  <c r="EE758" i="34"/>
  <c r="ED758" i="34" s="1"/>
  <c r="A756" i="34"/>
  <c r="BX756" i="34" s="1"/>
  <c r="EE756" i="34"/>
  <c r="ED756" i="34" s="1"/>
  <c r="A754" i="34"/>
  <c r="BX754" i="34" s="1"/>
  <c r="EE754" i="34"/>
  <c r="ED754" i="34" s="1"/>
  <c r="A750" i="34"/>
  <c r="BX750" i="34" s="1"/>
  <c r="EE750" i="34"/>
  <c r="ED750" i="34" s="1"/>
  <c r="A748" i="34"/>
  <c r="BX748" i="34" s="1"/>
  <c r="EE748" i="34"/>
  <c r="ED748" i="34" s="1"/>
  <c r="A746" i="34"/>
  <c r="BX746" i="34" s="1"/>
  <c r="EE746" i="34"/>
  <c r="ED746" i="34" s="1"/>
  <c r="A744" i="34"/>
  <c r="BX744" i="34" s="1"/>
  <c r="EE744" i="34"/>
  <c r="ED744" i="34" s="1"/>
  <c r="A742" i="34"/>
  <c r="BX742" i="34" s="1"/>
  <c r="EE742" i="34"/>
  <c r="ED742" i="34" s="1"/>
  <c r="A740" i="34"/>
  <c r="BX740" i="34" s="1"/>
  <c r="EE740" i="34"/>
  <c r="ED740" i="34" s="1"/>
  <c r="A738" i="34"/>
  <c r="BX738" i="34" s="1"/>
  <c r="EE738" i="34"/>
  <c r="ED738" i="34" s="1"/>
  <c r="A734" i="34"/>
  <c r="BX734" i="34" s="1"/>
  <c r="EE734" i="34"/>
  <c r="ED734" i="34" s="1"/>
  <c r="A841" i="34"/>
  <c r="BX841" i="34" s="1"/>
  <c r="EE841" i="34"/>
  <c r="ED841" i="34" s="1"/>
  <c r="A839" i="34"/>
  <c r="BX839" i="34" s="1"/>
  <c r="EE839" i="34"/>
  <c r="ED839" i="34" s="1"/>
  <c r="A837" i="34"/>
  <c r="BX837" i="34" s="1"/>
  <c r="EE837" i="34"/>
  <c r="ED837" i="34" s="1"/>
  <c r="A835" i="34"/>
  <c r="BX835" i="34" s="1"/>
  <c r="EE835" i="34"/>
  <c r="ED835" i="34" s="1"/>
  <c r="A833" i="34"/>
  <c r="BX833" i="34" s="1"/>
  <c r="EE833" i="34"/>
  <c r="ED833" i="34" s="1"/>
  <c r="A831" i="34"/>
  <c r="BX831" i="34" s="1"/>
  <c r="EE831" i="34"/>
  <c r="ED831" i="34" s="1"/>
  <c r="A829" i="34"/>
  <c r="BX829" i="34" s="1"/>
  <c r="EE829" i="34"/>
  <c r="ED829" i="34" s="1"/>
  <c r="A827" i="34"/>
  <c r="BX827" i="34" s="1"/>
  <c r="EE827" i="34"/>
  <c r="ED827" i="34" s="1"/>
  <c r="A825" i="34"/>
  <c r="BX825" i="34" s="1"/>
  <c r="EE825" i="34"/>
  <c r="ED825" i="34" s="1"/>
  <c r="A823" i="34"/>
  <c r="BX823" i="34" s="1"/>
  <c r="EE823" i="34"/>
  <c r="ED823" i="34" s="1"/>
  <c r="A821" i="34"/>
  <c r="BX821" i="34" s="1"/>
  <c r="EE821" i="34"/>
  <c r="ED821" i="34" s="1"/>
  <c r="A819" i="34"/>
  <c r="BX819" i="34" s="1"/>
  <c r="EE819" i="34"/>
  <c r="ED819" i="34" s="1"/>
  <c r="A817" i="34"/>
  <c r="BX817" i="34" s="1"/>
  <c r="EE817" i="34"/>
  <c r="ED817" i="34" s="1"/>
  <c r="A815" i="34"/>
  <c r="BX815" i="34" s="1"/>
  <c r="EE815" i="34"/>
  <c r="ED815" i="34" s="1"/>
  <c r="A813" i="34"/>
  <c r="BX813" i="34" s="1"/>
  <c r="EE813" i="34"/>
  <c r="ED813" i="34" s="1"/>
  <c r="A811" i="34"/>
  <c r="BX811" i="34" s="1"/>
  <c r="EE811" i="34"/>
  <c r="ED811" i="34" s="1"/>
  <c r="A809" i="34"/>
  <c r="BX809" i="34" s="1"/>
  <c r="EE809" i="34"/>
  <c r="ED809" i="34" s="1"/>
  <c r="A807" i="34"/>
  <c r="BX807" i="34" s="1"/>
  <c r="EE807" i="34"/>
  <c r="ED807" i="34" s="1"/>
  <c r="A805" i="34"/>
  <c r="BX805" i="34" s="1"/>
  <c r="EE805" i="34"/>
  <c r="ED805" i="34" s="1"/>
  <c r="A801" i="34"/>
  <c r="BX801" i="34" s="1"/>
  <c r="EE801" i="34"/>
  <c r="ED801" i="34" s="1"/>
  <c r="A799" i="34"/>
  <c r="BX799" i="34" s="1"/>
  <c r="EE799" i="34"/>
  <c r="ED799" i="34" s="1"/>
  <c r="A797" i="34"/>
  <c r="BX797" i="34" s="1"/>
  <c r="EE797" i="34"/>
  <c r="ED797" i="34" s="1"/>
  <c r="A795" i="34"/>
  <c r="BX795" i="34" s="1"/>
  <c r="EE795" i="34"/>
  <c r="ED795" i="34" s="1"/>
  <c r="A793" i="34"/>
  <c r="BX793" i="34" s="1"/>
  <c r="EE793" i="34"/>
  <c r="ED793" i="34" s="1"/>
  <c r="A791" i="34"/>
  <c r="BX791" i="34" s="1"/>
  <c r="EE791" i="34"/>
  <c r="ED791" i="34" s="1"/>
  <c r="A789" i="34"/>
  <c r="BX789" i="34" s="1"/>
  <c r="EE789" i="34"/>
  <c r="ED789" i="34" s="1"/>
  <c r="A787" i="34"/>
  <c r="BX787" i="34" s="1"/>
  <c r="EE787" i="34"/>
  <c r="ED787" i="34" s="1"/>
  <c r="A842" i="34"/>
  <c r="BX842" i="34" s="1"/>
  <c r="EE842" i="34"/>
  <c r="ED842" i="34" s="1"/>
  <c r="A896" i="34"/>
  <c r="BX896" i="34" s="1"/>
  <c r="EE896" i="34"/>
  <c r="ED896" i="34" s="1"/>
  <c r="A894" i="34"/>
  <c r="BX894" i="34" s="1"/>
  <c r="EE894" i="34"/>
  <c r="ED894" i="34" s="1"/>
  <c r="A892" i="34"/>
  <c r="BX892" i="34" s="1"/>
  <c r="EE892" i="34"/>
  <c r="ED892" i="34" s="1"/>
  <c r="A888" i="34"/>
  <c r="BX888" i="34" s="1"/>
  <c r="EE888" i="34"/>
  <c r="ED888" i="34" s="1"/>
  <c r="A886" i="34"/>
  <c r="BX886" i="34" s="1"/>
  <c r="EE886" i="34"/>
  <c r="ED886" i="34" s="1"/>
  <c r="A882" i="34"/>
  <c r="BX882" i="34" s="1"/>
  <c r="EE882" i="34"/>
  <c r="ED882" i="34" s="1"/>
  <c r="A880" i="34"/>
  <c r="BX880" i="34" s="1"/>
  <c r="EE880" i="34"/>
  <c r="ED880" i="34" s="1"/>
  <c r="A878" i="34"/>
  <c r="BX878" i="34" s="1"/>
  <c r="EE878" i="34"/>
  <c r="ED878" i="34" s="1"/>
  <c r="A874" i="34"/>
  <c r="BX874" i="34" s="1"/>
  <c r="EE874" i="34"/>
  <c r="ED874" i="34" s="1"/>
  <c r="A868" i="34"/>
  <c r="BX868" i="34" s="1"/>
  <c r="EE868" i="34"/>
  <c r="ED868" i="34" s="1"/>
  <c r="A866" i="34"/>
  <c r="BX866" i="34" s="1"/>
  <c r="EE866" i="34"/>
  <c r="ED866" i="34" s="1"/>
  <c r="A864" i="34"/>
  <c r="BX864" i="34" s="1"/>
  <c r="EE864" i="34"/>
  <c r="ED864" i="34" s="1"/>
  <c r="A860" i="34"/>
  <c r="BX860" i="34" s="1"/>
  <c r="EE860" i="34"/>
  <c r="ED860" i="34" s="1"/>
  <c r="A858" i="34"/>
  <c r="BX858" i="34" s="1"/>
  <c r="EE858" i="34"/>
  <c r="ED858" i="34" s="1"/>
  <c r="A856" i="34"/>
  <c r="BX856" i="34" s="1"/>
  <c r="EE856" i="34"/>
  <c r="ED856" i="34" s="1"/>
  <c r="A854" i="34"/>
  <c r="BX854" i="34" s="1"/>
  <c r="EE854" i="34"/>
  <c r="ED854" i="34" s="1"/>
  <c r="A850" i="34"/>
  <c r="BX850" i="34" s="1"/>
  <c r="EE850" i="34"/>
  <c r="ED850" i="34" s="1"/>
  <c r="A846" i="34"/>
  <c r="BX846" i="34" s="1"/>
  <c r="EE846" i="34"/>
  <c r="ED846" i="34" s="1"/>
  <c r="A844" i="34"/>
  <c r="BX844" i="34" s="1"/>
  <c r="EE844" i="34"/>
  <c r="ED844" i="34" s="1"/>
  <c r="A168" i="34"/>
  <c r="BX168" i="34" s="1"/>
  <c r="A160" i="34"/>
  <c r="BX160" i="34" s="1"/>
  <c r="A152" i="34"/>
  <c r="BX152" i="34" s="1"/>
  <c r="A144" i="34"/>
  <c r="BX144" i="34" s="1"/>
  <c r="A138" i="34"/>
  <c r="BX138" i="34" s="1"/>
  <c r="A132" i="34"/>
  <c r="BX132" i="34" s="1"/>
  <c r="A124" i="34"/>
  <c r="BX124" i="34" s="1"/>
  <c r="A116" i="34"/>
  <c r="BX116" i="34" s="1"/>
  <c r="A176" i="34"/>
  <c r="BX176" i="34" s="1"/>
  <c r="A180" i="34"/>
  <c r="BX180" i="34" s="1"/>
  <c r="A188" i="34"/>
  <c r="BX188" i="34" s="1"/>
  <c r="A196" i="34"/>
  <c r="BX196" i="34" s="1"/>
  <c r="A204" i="34"/>
  <c r="BX204" i="34" s="1"/>
  <c r="A210" i="34"/>
  <c r="BX210" i="34" s="1"/>
  <c r="A216" i="34"/>
  <c r="BX216" i="34" s="1"/>
  <c r="A224" i="34"/>
  <c r="BX224" i="34" s="1"/>
  <c r="A444" i="34"/>
  <c r="BX444" i="34" s="1"/>
  <c r="A436" i="34"/>
  <c r="BX436" i="34" s="1"/>
  <c r="A428" i="34"/>
  <c r="BX428" i="34" s="1"/>
  <c r="A424" i="34"/>
  <c r="BX424" i="34" s="1"/>
  <c r="A418" i="34"/>
  <c r="BX418" i="34" s="1"/>
  <c r="A412" i="34"/>
  <c r="BX412" i="34" s="1"/>
  <c r="A404" i="34"/>
  <c r="BX404" i="34" s="1"/>
  <c r="A390" i="34"/>
  <c r="BX390" i="34" s="1"/>
  <c r="A370" i="34"/>
  <c r="BX370" i="34" s="1"/>
  <c r="A342" i="34"/>
  <c r="BX342" i="34" s="1"/>
  <c r="A322" i="34"/>
  <c r="BX322" i="34" s="1"/>
  <c r="A564" i="34"/>
  <c r="BX564" i="34" s="1"/>
  <c r="A169" i="34"/>
  <c r="BX169" i="34" s="1"/>
  <c r="EE169" i="34"/>
  <c r="ED169" i="34" s="1"/>
  <c r="A167" i="34"/>
  <c r="BX167" i="34" s="1"/>
  <c r="EE167" i="34"/>
  <c r="ED167" i="34" s="1"/>
  <c r="A165" i="34"/>
  <c r="BX165" i="34" s="1"/>
  <c r="EE165" i="34"/>
  <c r="ED165" i="34" s="1"/>
  <c r="A163" i="34"/>
  <c r="BX163" i="34" s="1"/>
  <c r="EE163" i="34"/>
  <c r="ED163" i="34" s="1"/>
  <c r="A161" i="34"/>
  <c r="BX161" i="34" s="1"/>
  <c r="EE161" i="34"/>
  <c r="ED161" i="34" s="1"/>
  <c r="A159" i="34"/>
  <c r="BX159" i="34" s="1"/>
  <c r="EE159" i="34"/>
  <c r="ED159" i="34" s="1"/>
  <c r="A157" i="34"/>
  <c r="BX157" i="34" s="1"/>
  <c r="EE157" i="34"/>
  <c r="ED157" i="34" s="1"/>
  <c r="A155" i="34"/>
  <c r="BX155" i="34" s="1"/>
  <c r="EE155" i="34"/>
  <c r="ED155" i="34" s="1"/>
  <c r="A153" i="34"/>
  <c r="BX153" i="34" s="1"/>
  <c r="EE153" i="34"/>
  <c r="ED153" i="34" s="1"/>
  <c r="A151" i="34"/>
  <c r="BX151" i="34" s="1"/>
  <c r="EE151" i="34"/>
  <c r="ED151" i="34" s="1"/>
  <c r="A149" i="34"/>
  <c r="BX149" i="34" s="1"/>
  <c r="EE149" i="34"/>
  <c r="ED149" i="34" s="1"/>
  <c r="A147" i="34"/>
  <c r="BX147" i="34" s="1"/>
  <c r="EE147" i="34"/>
  <c r="ED147" i="34" s="1"/>
  <c r="A145" i="34"/>
  <c r="BX145" i="34" s="1"/>
  <c r="EE145" i="34"/>
  <c r="ED145" i="34" s="1"/>
  <c r="A143" i="34"/>
  <c r="BX143" i="34" s="1"/>
  <c r="EE143" i="34"/>
  <c r="ED143" i="34" s="1"/>
  <c r="A141" i="34"/>
  <c r="BX141" i="34" s="1"/>
  <c r="EE141" i="34"/>
  <c r="ED141" i="34" s="1"/>
  <c r="A139" i="34"/>
  <c r="BX139" i="34" s="1"/>
  <c r="EE139" i="34"/>
  <c r="ED139" i="34" s="1"/>
  <c r="A137" i="34"/>
  <c r="BX137" i="34" s="1"/>
  <c r="EE137" i="34"/>
  <c r="ED137" i="34" s="1"/>
  <c r="A135" i="34"/>
  <c r="BX135" i="34" s="1"/>
  <c r="EE135" i="34"/>
  <c r="ED135" i="34" s="1"/>
  <c r="A133" i="34"/>
  <c r="BX133" i="34" s="1"/>
  <c r="EE133" i="34"/>
  <c r="ED133" i="34" s="1"/>
  <c r="A131" i="34"/>
  <c r="BX131" i="34" s="1"/>
  <c r="EE131" i="34"/>
  <c r="ED131" i="34" s="1"/>
  <c r="A129" i="34"/>
  <c r="BX129" i="34" s="1"/>
  <c r="EE129" i="34"/>
  <c r="ED129" i="34" s="1"/>
  <c r="A127" i="34"/>
  <c r="BX127" i="34" s="1"/>
  <c r="EE127" i="34"/>
  <c r="ED127" i="34" s="1"/>
  <c r="A125" i="34"/>
  <c r="BX125" i="34" s="1"/>
  <c r="EE125" i="34"/>
  <c r="ED125" i="34" s="1"/>
  <c r="A123" i="34"/>
  <c r="BX123" i="34" s="1"/>
  <c r="EE123" i="34"/>
  <c r="ED123" i="34" s="1"/>
  <c r="A121" i="34"/>
  <c r="BX121" i="34" s="1"/>
  <c r="EE121" i="34"/>
  <c r="ED121" i="34" s="1"/>
  <c r="A119" i="34"/>
  <c r="BX119" i="34" s="1"/>
  <c r="EE119" i="34"/>
  <c r="ED119" i="34" s="1"/>
  <c r="A117" i="34"/>
  <c r="BX117" i="34" s="1"/>
  <c r="EE117" i="34"/>
  <c r="ED117" i="34" s="1"/>
  <c r="A115" i="34"/>
  <c r="BX115" i="34" s="1"/>
  <c r="EE115" i="34"/>
  <c r="ED115" i="34" s="1"/>
  <c r="A225" i="34"/>
  <c r="BX225" i="34" s="1"/>
  <c r="EE225" i="34"/>
  <c r="ED225" i="34" s="1"/>
  <c r="A223" i="34"/>
  <c r="BX223" i="34" s="1"/>
  <c r="EE223" i="34"/>
  <c r="ED223" i="34" s="1"/>
  <c r="A221" i="34"/>
  <c r="BX221" i="34" s="1"/>
  <c r="EE221" i="34"/>
  <c r="ED221" i="34" s="1"/>
  <c r="A219" i="34"/>
  <c r="BX219" i="34" s="1"/>
  <c r="EE219" i="34"/>
  <c r="ED219" i="34" s="1"/>
  <c r="A217" i="34"/>
  <c r="BX217" i="34" s="1"/>
  <c r="EE217" i="34"/>
  <c r="ED217" i="34" s="1"/>
  <c r="A215" i="34"/>
  <c r="BX215" i="34" s="1"/>
  <c r="EE215" i="34"/>
  <c r="ED215" i="34" s="1"/>
  <c r="A213" i="34"/>
  <c r="BX213" i="34" s="1"/>
  <c r="EE213" i="34"/>
  <c r="ED213" i="34" s="1"/>
  <c r="A211" i="34"/>
  <c r="BX211" i="34" s="1"/>
  <c r="EE211" i="34"/>
  <c r="ED211" i="34" s="1"/>
  <c r="A209" i="34"/>
  <c r="BX209" i="34" s="1"/>
  <c r="EE209" i="34"/>
  <c r="ED209" i="34" s="1"/>
  <c r="A207" i="34"/>
  <c r="BX207" i="34" s="1"/>
  <c r="EE207" i="34"/>
  <c r="ED207" i="34" s="1"/>
  <c r="A205" i="34"/>
  <c r="BX205" i="34" s="1"/>
  <c r="EE205" i="34"/>
  <c r="ED205" i="34" s="1"/>
  <c r="A203" i="34"/>
  <c r="BX203" i="34" s="1"/>
  <c r="EE203" i="34"/>
  <c r="ED203" i="34" s="1"/>
  <c r="A201" i="34"/>
  <c r="BX201" i="34" s="1"/>
  <c r="EE201" i="34"/>
  <c r="ED201" i="34" s="1"/>
  <c r="A199" i="34"/>
  <c r="BX199" i="34" s="1"/>
  <c r="EE199" i="34"/>
  <c r="ED199" i="34" s="1"/>
  <c r="A197" i="34"/>
  <c r="BX197" i="34" s="1"/>
  <c r="EE197" i="34"/>
  <c r="ED197" i="34" s="1"/>
  <c r="A195" i="34"/>
  <c r="BX195" i="34" s="1"/>
  <c r="EE195" i="34"/>
  <c r="ED195" i="34" s="1"/>
  <c r="A193" i="34"/>
  <c r="BX193" i="34" s="1"/>
  <c r="EE193" i="34"/>
  <c r="ED193" i="34" s="1"/>
  <c r="A191" i="34"/>
  <c r="BX191" i="34" s="1"/>
  <c r="EE191" i="34"/>
  <c r="ED191" i="34" s="1"/>
  <c r="A189" i="34"/>
  <c r="BX189" i="34" s="1"/>
  <c r="EE189" i="34"/>
  <c r="ED189" i="34" s="1"/>
  <c r="A187" i="34"/>
  <c r="BX187" i="34" s="1"/>
  <c r="EE187" i="34"/>
  <c r="ED187" i="34" s="1"/>
  <c r="A185" i="34"/>
  <c r="BX185" i="34" s="1"/>
  <c r="EE185" i="34"/>
  <c r="ED185" i="34" s="1"/>
  <c r="A183" i="34"/>
  <c r="BX183" i="34" s="1"/>
  <c r="EE183" i="34"/>
  <c r="ED183" i="34" s="1"/>
  <c r="A181" i="34"/>
  <c r="BX181" i="34" s="1"/>
  <c r="EE181" i="34"/>
  <c r="ED181" i="34" s="1"/>
  <c r="A179" i="34"/>
  <c r="BX179" i="34" s="1"/>
  <c r="EE179" i="34"/>
  <c r="ED179" i="34" s="1"/>
  <c r="A177" i="34"/>
  <c r="BX177" i="34" s="1"/>
  <c r="EE177" i="34"/>
  <c r="ED177" i="34" s="1"/>
  <c r="A175" i="34"/>
  <c r="BX175" i="34" s="1"/>
  <c r="EE175" i="34"/>
  <c r="ED175" i="34" s="1"/>
  <c r="A173" i="34"/>
  <c r="BX173" i="34" s="1"/>
  <c r="EE173" i="34"/>
  <c r="ED173" i="34" s="1"/>
  <c r="A171" i="34"/>
  <c r="BX171" i="34" s="1"/>
  <c r="EE171" i="34"/>
  <c r="ED171" i="34" s="1"/>
  <c r="A281" i="34"/>
  <c r="BX281" i="34" s="1"/>
  <c r="EE281" i="34"/>
  <c r="ED281" i="34" s="1"/>
  <c r="A279" i="34"/>
  <c r="BX279" i="34" s="1"/>
  <c r="EE279" i="34"/>
  <c r="ED279" i="34" s="1"/>
  <c r="A277" i="34"/>
  <c r="BX277" i="34" s="1"/>
  <c r="EE277" i="34"/>
  <c r="ED277" i="34" s="1"/>
  <c r="A275" i="34"/>
  <c r="BX275" i="34" s="1"/>
  <c r="EE275" i="34"/>
  <c r="ED275" i="34" s="1"/>
  <c r="A271" i="34"/>
  <c r="BX271" i="34" s="1"/>
  <c r="EE271" i="34"/>
  <c r="ED271" i="34" s="1"/>
  <c r="A269" i="34"/>
  <c r="BX269" i="34" s="1"/>
  <c r="EE269" i="34"/>
  <c r="ED269" i="34" s="1"/>
  <c r="A267" i="34"/>
  <c r="BX267" i="34" s="1"/>
  <c r="EE267" i="34"/>
  <c r="ED267" i="34" s="1"/>
  <c r="A265" i="34"/>
  <c r="BX265" i="34" s="1"/>
  <c r="EE265" i="34"/>
  <c r="ED265" i="34" s="1"/>
  <c r="A263" i="34"/>
  <c r="BX263" i="34" s="1"/>
  <c r="EE263" i="34"/>
  <c r="ED263" i="34" s="1"/>
  <c r="A261" i="34"/>
  <c r="BX261" i="34" s="1"/>
  <c r="EE261" i="34"/>
  <c r="ED261" i="34" s="1"/>
  <c r="A259" i="34"/>
  <c r="BX259" i="34" s="1"/>
  <c r="EE259" i="34"/>
  <c r="ED259" i="34" s="1"/>
  <c r="A257" i="34"/>
  <c r="BX257" i="34" s="1"/>
  <c r="EE257" i="34"/>
  <c r="ED257" i="34" s="1"/>
  <c r="A255" i="34"/>
  <c r="BX255" i="34" s="1"/>
  <c r="EE255" i="34"/>
  <c r="ED255" i="34" s="1"/>
  <c r="A253" i="34"/>
  <c r="BX253" i="34" s="1"/>
  <c r="EE253" i="34"/>
  <c r="ED253" i="34" s="1"/>
  <c r="A251" i="34"/>
  <c r="BX251" i="34" s="1"/>
  <c r="EE251" i="34"/>
  <c r="ED251" i="34" s="1"/>
  <c r="A249" i="34"/>
  <c r="BX249" i="34" s="1"/>
  <c r="EE249" i="34"/>
  <c r="ED249" i="34" s="1"/>
  <c r="A247" i="34"/>
  <c r="BX247" i="34" s="1"/>
  <c r="EE247" i="34"/>
  <c r="ED247" i="34" s="1"/>
  <c r="A243" i="34"/>
  <c r="BX243" i="34" s="1"/>
  <c r="EE243" i="34"/>
  <c r="ED243" i="34" s="1"/>
  <c r="A241" i="34"/>
  <c r="BX241" i="34" s="1"/>
  <c r="EE241" i="34"/>
  <c r="ED241" i="34" s="1"/>
  <c r="A239" i="34"/>
  <c r="BX239" i="34" s="1"/>
  <c r="EE239" i="34"/>
  <c r="ED239" i="34" s="1"/>
  <c r="A237" i="34"/>
  <c r="BX237" i="34" s="1"/>
  <c r="EE237" i="34"/>
  <c r="ED237" i="34" s="1"/>
  <c r="A235" i="34"/>
  <c r="BX235" i="34" s="1"/>
  <c r="EE235" i="34"/>
  <c r="ED235" i="34" s="1"/>
  <c r="A231" i="34"/>
  <c r="BX231" i="34" s="1"/>
  <c r="EE231" i="34"/>
  <c r="ED231" i="34" s="1"/>
  <c r="A229" i="34"/>
  <c r="BX229" i="34" s="1"/>
  <c r="EE229" i="34"/>
  <c r="ED229" i="34" s="1"/>
  <c r="A227" i="34"/>
  <c r="BX227" i="34" s="1"/>
  <c r="EE227" i="34"/>
  <c r="ED227" i="34" s="1"/>
  <c r="A335" i="34"/>
  <c r="BX335" i="34" s="1"/>
  <c r="EE335" i="34"/>
  <c r="ED335" i="34" s="1"/>
  <c r="A333" i="34"/>
  <c r="BX333" i="34" s="1"/>
  <c r="EE333" i="34"/>
  <c r="ED333" i="34" s="1"/>
  <c r="A331" i="34"/>
  <c r="BX331" i="34" s="1"/>
  <c r="EE331" i="34"/>
  <c r="ED331" i="34" s="1"/>
  <c r="A329" i="34"/>
  <c r="BX329" i="34" s="1"/>
  <c r="EE329" i="34"/>
  <c r="ED329" i="34" s="1"/>
  <c r="A327" i="34"/>
  <c r="BX327" i="34" s="1"/>
  <c r="EE327" i="34"/>
  <c r="ED327" i="34" s="1"/>
  <c r="A325" i="34"/>
  <c r="BX325" i="34" s="1"/>
  <c r="EE325" i="34"/>
  <c r="ED325" i="34" s="1"/>
  <c r="A323" i="34"/>
  <c r="BX323" i="34" s="1"/>
  <c r="EE323" i="34"/>
  <c r="ED323" i="34" s="1"/>
  <c r="A321" i="34"/>
  <c r="BX321" i="34" s="1"/>
  <c r="EE321" i="34"/>
  <c r="ED321" i="34" s="1"/>
  <c r="A319" i="34"/>
  <c r="BX319" i="34" s="1"/>
  <c r="EE319" i="34"/>
  <c r="ED319" i="34" s="1"/>
  <c r="A317" i="34"/>
  <c r="BX317" i="34" s="1"/>
  <c r="EE317" i="34"/>
  <c r="ED317" i="34" s="1"/>
  <c r="A315" i="34"/>
  <c r="BX315" i="34" s="1"/>
  <c r="EE315" i="34"/>
  <c r="ED315" i="34" s="1"/>
  <c r="A313" i="34"/>
  <c r="BX313" i="34" s="1"/>
  <c r="EE313" i="34"/>
  <c r="ED313" i="34" s="1"/>
  <c r="A307" i="34"/>
  <c r="BX307" i="34" s="1"/>
  <c r="EE307" i="34"/>
  <c r="ED307" i="34" s="1"/>
  <c r="A305" i="34"/>
  <c r="BX305" i="34" s="1"/>
  <c r="EE305" i="34"/>
  <c r="ED305" i="34" s="1"/>
  <c r="A303" i="34"/>
  <c r="BX303" i="34" s="1"/>
  <c r="EE303" i="34"/>
  <c r="ED303" i="34" s="1"/>
  <c r="A301" i="34"/>
  <c r="BX301" i="34" s="1"/>
  <c r="EE301" i="34"/>
  <c r="ED301" i="34" s="1"/>
  <c r="A299" i="34"/>
  <c r="BX299" i="34" s="1"/>
  <c r="EE299" i="34"/>
  <c r="ED299" i="34" s="1"/>
  <c r="A295" i="34"/>
  <c r="BX295" i="34" s="1"/>
  <c r="EE295" i="34"/>
  <c r="ED295" i="34" s="1"/>
  <c r="A293" i="34"/>
  <c r="BX293" i="34" s="1"/>
  <c r="EE293" i="34"/>
  <c r="ED293" i="34" s="1"/>
  <c r="A291" i="34"/>
  <c r="BX291" i="34" s="1"/>
  <c r="EE291" i="34"/>
  <c r="ED291" i="34" s="1"/>
  <c r="A289" i="34"/>
  <c r="BX289" i="34" s="1"/>
  <c r="EE289" i="34"/>
  <c r="ED289" i="34" s="1"/>
  <c r="A287" i="34"/>
  <c r="BX287" i="34" s="1"/>
  <c r="EE287" i="34"/>
  <c r="ED287" i="34" s="1"/>
  <c r="A285" i="34"/>
  <c r="BX285" i="34" s="1"/>
  <c r="EE285" i="34"/>
  <c r="ED285" i="34" s="1"/>
  <c r="A283" i="34"/>
  <c r="BX283" i="34" s="1"/>
  <c r="EE283" i="34"/>
  <c r="ED283" i="34" s="1"/>
  <c r="A393" i="34"/>
  <c r="BX393" i="34" s="1"/>
  <c r="EE393" i="34"/>
  <c r="ED393" i="34" s="1"/>
  <c r="A391" i="34"/>
  <c r="BX391" i="34" s="1"/>
  <c r="EE391" i="34"/>
  <c r="ED391" i="34" s="1"/>
  <c r="A389" i="34"/>
  <c r="BX389" i="34" s="1"/>
  <c r="EE389" i="34"/>
  <c r="ED389" i="34" s="1"/>
  <c r="A387" i="34"/>
  <c r="BX387" i="34" s="1"/>
  <c r="EE387" i="34"/>
  <c r="ED387" i="34" s="1"/>
  <c r="A385" i="34"/>
  <c r="BX385" i="34" s="1"/>
  <c r="EE385" i="34"/>
  <c r="ED385" i="34" s="1"/>
  <c r="A383" i="34"/>
  <c r="BX383" i="34" s="1"/>
  <c r="EE383" i="34"/>
  <c r="ED383" i="34" s="1"/>
  <c r="A381" i="34"/>
  <c r="BX381" i="34" s="1"/>
  <c r="EE381" i="34"/>
  <c r="ED381" i="34" s="1"/>
  <c r="A379" i="34"/>
  <c r="BX379" i="34" s="1"/>
  <c r="EE379" i="34"/>
  <c r="ED379" i="34" s="1"/>
  <c r="A377" i="34"/>
  <c r="BX377" i="34" s="1"/>
  <c r="EE377" i="34"/>
  <c r="ED377" i="34" s="1"/>
  <c r="A375" i="34"/>
  <c r="BX375" i="34" s="1"/>
  <c r="EE375" i="34"/>
  <c r="ED375" i="34" s="1"/>
  <c r="A371" i="34"/>
  <c r="BX371" i="34" s="1"/>
  <c r="EE371" i="34"/>
  <c r="ED371" i="34" s="1"/>
  <c r="A369" i="34"/>
  <c r="BX369" i="34" s="1"/>
  <c r="EE369" i="34"/>
  <c r="ED369" i="34" s="1"/>
  <c r="A367" i="34"/>
  <c r="BX367" i="34" s="1"/>
  <c r="EE367" i="34"/>
  <c r="ED367" i="34" s="1"/>
  <c r="A365" i="34"/>
  <c r="BX365" i="34" s="1"/>
  <c r="EE365" i="34"/>
  <c r="ED365" i="34" s="1"/>
  <c r="A363" i="34"/>
  <c r="BX363" i="34" s="1"/>
  <c r="EE363" i="34"/>
  <c r="ED363" i="34" s="1"/>
  <c r="A359" i="34"/>
  <c r="BX359" i="34" s="1"/>
  <c r="EE359" i="34"/>
  <c r="ED359" i="34" s="1"/>
  <c r="A357" i="34"/>
  <c r="BX357" i="34" s="1"/>
  <c r="EE357" i="34"/>
  <c r="ED357" i="34" s="1"/>
  <c r="A355" i="34"/>
  <c r="BX355" i="34" s="1"/>
  <c r="EE355" i="34"/>
  <c r="ED355" i="34" s="1"/>
  <c r="A353" i="34"/>
  <c r="BX353" i="34" s="1"/>
  <c r="EE353" i="34"/>
  <c r="ED353" i="34" s="1"/>
  <c r="A351" i="34"/>
  <c r="BX351" i="34" s="1"/>
  <c r="EE351" i="34"/>
  <c r="ED351" i="34" s="1"/>
  <c r="A349" i="34"/>
  <c r="BX349" i="34" s="1"/>
  <c r="EE349" i="34"/>
  <c r="ED349" i="34" s="1"/>
  <c r="A347" i="34"/>
  <c r="BX347" i="34" s="1"/>
  <c r="EE347" i="34"/>
  <c r="ED347" i="34" s="1"/>
  <c r="A345" i="34"/>
  <c r="BX345" i="34" s="1"/>
  <c r="EE345" i="34"/>
  <c r="ED345" i="34" s="1"/>
  <c r="A343" i="34"/>
  <c r="BX343" i="34" s="1"/>
  <c r="EE343" i="34"/>
  <c r="ED343" i="34" s="1"/>
  <c r="A341" i="34"/>
  <c r="BX341" i="34" s="1"/>
  <c r="EE341" i="34"/>
  <c r="ED341" i="34" s="1"/>
  <c r="A339" i="34"/>
  <c r="BX339" i="34" s="1"/>
  <c r="EE339" i="34"/>
  <c r="ED339" i="34" s="1"/>
  <c r="A449" i="34"/>
  <c r="BX449" i="34" s="1"/>
  <c r="EE449" i="34"/>
  <c r="ED449" i="34" s="1"/>
  <c r="A447" i="34"/>
  <c r="BX447" i="34" s="1"/>
  <c r="EE447" i="34"/>
  <c r="ED447" i="34" s="1"/>
  <c r="A445" i="34"/>
  <c r="BX445" i="34" s="1"/>
  <c r="EE445" i="34"/>
  <c r="ED445" i="34" s="1"/>
  <c r="A443" i="34"/>
  <c r="BX443" i="34" s="1"/>
  <c r="EE443" i="34"/>
  <c r="ED443" i="34" s="1"/>
  <c r="A441" i="34"/>
  <c r="BX441" i="34" s="1"/>
  <c r="EE441" i="34"/>
  <c r="ED441" i="34" s="1"/>
  <c r="A439" i="34"/>
  <c r="BX439" i="34" s="1"/>
  <c r="EE439" i="34"/>
  <c r="ED439" i="34" s="1"/>
  <c r="A437" i="34"/>
  <c r="BX437" i="34" s="1"/>
  <c r="EE437" i="34"/>
  <c r="ED437" i="34" s="1"/>
  <c r="A435" i="34"/>
  <c r="BX435" i="34" s="1"/>
  <c r="EE435" i="34"/>
  <c r="ED435" i="34" s="1"/>
  <c r="A433" i="34"/>
  <c r="BX433" i="34" s="1"/>
  <c r="EE433" i="34"/>
  <c r="ED433" i="34" s="1"/>
  <c r="A431" i="34"/>
  <c r="BX431" i="34" s="1"/>
  <c r="EE431" i="34"/>
  <c r="ED431" i="34" s="1"/>
  <c r="A429" i="34"/>
  <c r="BX429" i="34" s="1"/>
  <c r="EE429" i="34"/>
  <c r="ED429" i="34" s="1"/>
  <c r="A427" i="34"/>
  <c r="BX427" i="34" s="1"/>
  <c r="EE427" i="34"/>
  <c r="ED427" i="34" s="1"/>
  <c r="A425" i="34"/>
  <c r="BX425" i="34" s="1"/>
  <c r="EE425" i="34"/>
  <c r="ED425" i="34" s="1"/>
  <c r="A423" i="34"/>
  <c r="BX423" i="34" s="1"/>
  <c r="EE423" i="34"/>
  <c r="ED423" i="34" s="1"/>
  <c r="A421" i="34"/>
  <c r="BX421" i="34" s="1"/>
  <c r="EE421" i="34"/>
  <c r="ED421" i="34" s="1"/>
  <c r="A419" i="34"/>
  <c r="BX419" i="34" s="1"/>
  <c r="EE419" i="34"/>
  <c r="ED419" i="34" s="1"/>
  <c r="A417" i="34"/>
  <c r="BX417" i="34" s="1"/>
  <c r="EE417" i="34"/>
  <c r="ED417" i="34" s="1"/>
  <c r="A415" i="34"/>
  <c r="BX415" i="34" s="1"/>
  <c r="EE415" i="34"/>
  <c r="ED415" i="34" s="1"/>
  <c r="A413" i="34"/>
  <c r="BX413" i="34" s="1"/>
  <c r="EE413" i="34"/>
  <c r="ED413" i="34" s="1"/>
  <c r="A411" i="34"/>
  <c r="BX411" i="34" s="1"/>
  <c r="EE411" i="34"/>
  <c r="ED411" i="34" s="1"/>
  <c r="A407" i="34"/>
  <c r="BX407" i="34" s="1"/>
  <c r="EE407" i="34"/>
  <c r="ED407" i="34" s="1"/>
  <c r="A405" i="34"/>
  <c r="BX405" i="34" s="1"/>
  <c r="EE405" i="34"/>
  <c r="ED405" i="34" s="1"/>
  <c r="A403" i="34"/>
  <c r="BX403" i="34" s="1"/>
  <c r="EE403" i="34"/>
  <c r="ED403" i="34" s="1"/>
  <c r="A401" i="34"/>
  <c r="BX401" i="34" s="1"/>
  <c r="EE401" i="34"/>
  <c r="ED401" i="34" s="1"/>
  <c r="A399" i="34"/>
  <c r="BX399" i="34" s="1"/>
  <c r="EE399" i="34"/>
  <c r="ED399" i="34" s="1"/>
  <c r="A397" i="34"/>
  <c r="BX397" i="34" s="1"/>
  <c r="EE397" i="34"/>
  <c r="ED397" i="34" s="1"/>
  <c r="A395" i="34"/>
  <c r="BX395" i="34" s="1"/>
  <c r="EE395" i="34"/>
  <c r="ED395" i="34" s="1"/>
  <c r="A505" i="34"/>
  <c r="BX505" i="34" s="1"/>
  <c r="EE505" i="34"/>
  <c r="ED505" i="34" s="1"/>
  <c r="A503" i="34"/>
  <c r="BX503" i="34" s="1"/>
  <c r="EE503" i="34"/>
  <c r="ED503" i="34" s="1"/>
  <c r="A501" i="34"/>
  <c r="BX501" i="34" s="1"/>
  <c r="EE501" i="34"/>
  <c r="ED501" i="34" s="1"/>
  <c r="A499" i="34"/>
  <c r="BX499" i="34" s="1"/>
  <c r="EE499" i="34"/>
  <c r="ED499" i="34" s="1"/>
  <c r="A497" i="34"/>
  <c r="BX497" i="34" s="1"/>
  <c r="EE497" i="34"/>
  <c r="ED497" i="34" s="1"/>
  <c r="A495" i="34"/>
  <c r="BX495" i="34" s="1"/>
  <c r="EE495" i="34"/>
  <c r="ED495" i="34" s="1"/>
  <c r="A493" i="34"/>
  <c r="BX493" i="34" s="1"/>
  <c r="EE493" i="34"/>
  <c r="ED493" i="34" s="1"/>
  <c r="A491" i="34"/>
  <c r="BX491" i="34" s="1"/>
  <c r="EE491" i="34"/>
  <c r="ED491" i="34" s="1"/>
  <c r="A487" i="34"/>
  <c r="BX487" i="34" s="1"/>
  <c r="EE487" i="34"/>
  <c r="ED487" i="34" s="1"/>
  <c r="A485" i="34"/>
  <c r="BX485" i="34" s="1"/>
  <c r="EE485" i="34"/>
  <c r="ED485" i="34" s="1"/>
  <c r="A483" i="34"/>
  <c r="BX483" i="34" s="1"/>
  <c r="EE483" i="34"/>
  <c r="ED483" i="34" s="1"/>
  <c r="A481" i="34"/>
  <c r="BX481" i="34" s="1"/>
  <c r="EE481" i="34"/>
  <c r="ED481" i="34" s="1"/>
  <c r="A477" i="34"/>
  <c r="BX477" i="34" s="1"/>
  <c r="EE477" i="34"/>
  <c r="ED477" i="34" s="1"/>
  <c r="A475" i="34"/>
  <c r="BX475" i="34" s="1"/>
  <c r="EE475" i="34"/>
  <c r="ED475" i="34" s="1"/>
  <c r="A473" i="34"/>
  <c r="BX473" i="34" s="1"/>
  <c r="EE473" i="34"/>
  <c r="ED473" i="34" s="1"/>
  <c r="A471" i="34"/>
  <c r="BX471" i="34" s="1"/>
  <c r="EE471" i="34"/>
  <c r="ED471" i="34" s="1"/>
  <c r="A469" i="34"/>
  <c r="BX469" i="34" s="1"/>
  <c r="EE469" i="34"/>
  <c r="ED469" i="34" s="1"/>
  <c r="A467" i="34"/>
  <c r="BX467" i="34" s="1"/>
  <c r="EE467" i="34"/>
  <c r="ED467" i="34" s="1"/>
  <c r="A463" i="34"/>
  <c r="BX463" i="34" s="1"/>
  <c r="EE463" i="34"/>
  <c r="ED463" i="34" s="1"/>
  <c r="A461" i="34"/>
  <c r="BX461" i="34" s="1"/>
  <c r="EE461" i="34"/>
  <c r="ED461" i="34" s="1"/>
  <c r="A459" i="34"/>
  <c r="BX459" i="34" s="1"/>
  <c r="EE459" i="34"/>
  <c r="ED459" i="34" s="1"/>
  <c r="A457" i="34"/>
  <c r="BX457" i="34" s="1"/>
  <c r="EE457" i="34"/>
  <c r="ED457" i="34" s="1"/>
  <c r="A455" i="34"/>
  <c r="BX455" i="34" s="1"/>
  <c r="EE455" i="34"/>
  <c r="ED455" i="34" s="1"/>
  <c r="A451" i="34"/>
  <c r="BX451" i="34" s="1"/>
  <c r="EE451" i="34"/>
  <c r="ED451" i="34" s="1"/>
  <c r="A561" i="34"/>
  <c r="BX561" i="34" s="1"/>
  <c r="EE561" i="34"/>
  <c r="ED561" i="34" s="1"/>
  <c r="A559" i="34"/>
  <c r="BX559" i="34" s="1"/>
  <c r="EE559" i="34"/>
  <c r="ED559" i="34" s="1"/>
  <c r="A555" i="34"/>
  <c r="BX555" i="34" s="1"/>
  <c r="EE555" i="34"/>
  <c r="ED555" i="34" s="1"/>
  <c r="A553" i="34"/>
  <c r="BX553" i="34" s="1"/>
  <c r="EE553" i="34"/>
  <c r="ED553" i="34" s="1"/>
  <c r="A551" i="34"/>
  <c r="BX551" i="34" s="1"/>
  <c r="EE551" i="34"/>
  <c r="ED551" i="34" s="1"/>
  <c r="A549" i="34"/>
  <c r="BX549" i="34" s="1"/>
  <c r="EE549" i="34"/>
  <c r="ED549" i="34" s="1"/>
  <c r="A547" i="34"/>
  <c r="BX547" i="34" s="1"/>
  <c r="EE547" i="34"/>
  <c r="ED547" i="34" s="1"/>
  <c r="A545" i="34"/>
  <c r="BX545" i="34" s="1"/>
  <c r="EE545" i="34"/>
  <c r="ED545" i="34" s="1"/>
  <c r="A543" i="34"/>
  <c r="BX543" i="34" s="1"/>
  <c r="EE543" i="34"/>
  <c r="ED543" i="34" s="1"/>
  <c r="A539" i="34"/>
  <c r="BX539" i="34" s="1"/>
  <c r="EE539" i="34"/>
  <c r="ED539" i="34" s="1"/>
  <c r="A537" i="34"/>
  <c r="BX537" i="34" s="1"/>
  <c r="EE537" i="34"/>
  <c r="ED537" i="34" s="1"/>
  <c r="A535" i="34"/>
  <c r="BX535" i="34" s="1"/>
  <c r="EE535" i="34"/>
  <c r="ED535" i="34" s="1"/>
  <c r="A533" i="34"/>
  <c r="BX533" i="34" s="1"/>
  <c r="EE533" i="34"/>
  <c r="ED533" i="34" s="1"/>
  <c r="A531" i="34"/>
  <c r="BX531" i="34" s="1"/>
  <c r="EE531" i="34"/>
  <c r="ED531" i="34" s="1"/>
  <c r="A529" i="34"/>
  <c r="BX529" i="34" s="1"/>
  <c r="EE529" i="34"/>
  <c r="ED529" i="34" s="1"/>
  <c r="A527" i="34"/>
  <c r="BX527" i="34" s="1"/>
  <c r="EE527" i="34"/>
  <c r="ED527" i="34" s="1"/>
  <c r="A523" i="34"/>
  <c r="BX523" i="34" s="1"/>
  <c r="EE523" i="34"/>
  <c r="ED523" i="34" s="1"/>
  <c r="A521" i="34"/>
  <c r="BX521" i="34" s="1"/>
  <c r="EE521" i="34"/>
  <c r="ED521" i="34" s="1"/>
  <c r="A519" i="34"/>
  <c r="BX519" i="34" s="1"/>
  <c r="EE519" i="34"/>
  <c r="ED519" i="34" s="1"/>
  <c r="A517" i="34"/>
  <c r="BX517" i="34" s="1"/>
  <c r="EE517" i="34"/>
  <c r="ED517" i="34" s="1"/>
  <c r="A515" i="34"/>
  <c r="BX515" i="34" s="1"/>
  <c r="EE515" i="34"/>
  <c r="ED515" i="34" s="1"/>
  <c r="A513" i="34"/>
  <c r="BX513" i="34" s="1"/>
  <c r="EE513" i="34"/>
  <c r="ED513" i="34" s="1"/>
  <c r="A511" i="34"/>
  <c r="BX511" i="34" s="1"/>
  <c r="EE511" i="34"/>
  <c r="ED511" i="34" s="1"/>
  <c r="A507" i="34"/>
  <c r="BX507" i="34" s="1"/>
  <c r="EE507" i="34"/>
  <c r="ED507" i="34" s="1"/>
  <c r="A617" i="34"/>
  <c r="BX617" i="34" s="1"/>
  <c r="EE617" i="34"/>
  <c r="ED617" i="34" s="1"/>
  <c r="A615" i="34"/>
  <c r="BX615" i="34" s="1"/>
  <c r="EE615" i="34"/>
  <c r="ED615" i="34" s="1"/>
  <c r="A613" i="34"/>
  <c r="BX613" i="34" s="1"/>
  <c r="EE613" i="34"/>
  <c r="ED613" i="34" s="1"/>
  <c r="A609" i="34"/>
  <c r="BX609" i="34" s="1"/>
  <c r="EE609" i="34"/>
  <c r="ED609" i="34" s="1"/>
  <c r="A605" i="34"/>
  <c r="BX605" i="34" s="1"/>
  <c r="EE605" i="34"/>
  <c r="ED605" i="34" s="1"/>
  <c r="A603" i="34"/>
  <c r="BX603" i="34" s="1"/>
  <c r="EE603" i="34"/>
  <c r="ED603" i="34" s="1"/>
  <c r="A599" i="34"/>
  <c r="BX599" i="34" s="1"/>
  <c r="EE599" i="34"/>
  <c r="ED599" i="34" s="1"/>
  <c r="A595" i="34"/>
  <c r="BX595" i="34" s="1"/>
  <c r="EE595" i="34"/>
  <c r="ED595" i="34" s="1"/>
  <c r="A593" i="34"/>
  <c r="BX593" i="34" s="1"/>
  <c r="EE593" i="34"/>
  <c r="ED593" i="34" s="1"/>
  <c r="A589" i="34"/>
  <c r="BX589" i="34" s="1"/>
  <c r="EE589" i="34"/>
  <c r="ED589" i="34" s="1"/>
  <c r="A585" i="34"/>
  <c r="BX585" i="34" s="1"/>
  <c r="EE585" i="34"/>
  <c r="ED585" i="34" s="1"/>
  <c r="A583" i="34"/>
  <c r="BX583" i="34" s="1"/>
  <c r="EE583" i="34"/>
  <c r="ED583" i="34" s="1"/>
  <c r="A577" i="34"/>
  <c r="BX577" i="34" s="1"/>
  <c r="EE577" i="34"/>
  <c r="ED577" i="34" s="1"/>
  <c r="A575" i="34"/>
  <c r="BX575" i="34" s="1"/>
  <c r="EE575" i="34"/>
  <c r="ED575" i="34" s="1"/>
  <c r="A573" i="34"/>
  <c r="BX573" i="34" s="1"/>
  <c r="EE573" i="34"/>
  <c r="ED573" i="34" s="1"/>
  <c r="A571" i="34"/>
  <c r="BX571" i="34" s="1"/>
  <c r="EE571" i="34"/>
  <c r="ED571" i="34" s="1"/>
  <c r="A569" i="34"/>
  <c r="BX569" i="34" s="1"/>
  <c r="EE569" i="34"/>
  <c r="ED569" i="34" s="1"/>
  <c r="A567" i="34"/>
  <c r="BX567" i="34" s="1"/>
  <c r="EE567" i="34"/>
  <c r="ED567" i="34" s="1"/>
  <c r="A565" i="34"/>
  <c r="BX565" i="34" s="1"/>
  <c r="EE565" i="34"/>
  <c r="ED565" i="34" s="1"/>
  <c r="A563" i="34"/>
  <c r="BX563" i="34" s="1"/>
  <c r="EE563" i="34"/>
  <c r="ED563" i="34" s="1"/>
  <c r="A668" i="34"/>
  <c r="BX668" i="34" s="1"/>
  <c r="EE668" i="34"/>
  <c r="ED668" i="34" s="1"/>
  <c r="A664" i="34"/>
  <c r="BX664" i="34" s="1"/>
  <c r="EE664" i="34"/>
  <c r="ED664" i="34" s="1"/>
  <c r="A656" i="34"/>
  <c r="BX656" i="34" s="1"/>
  <c r="EE656" i="34"/>
  <c r="ED656" i="34" s="1"/>
  <c r="A648" i="34"/>
  <c r="BX648" i="34" s="1"/>
  <c r="EE648" i="34"/>
  <c r="ED648" i="34" s="1"/>
  <c r="A644" i="34"/>
  <c r="BX644" i="34" s="1"/>
  <c r="EE644" i="34"/>
  <c r="ED644" i="34" s="1"/>
  <c r="A636" i="34"/>
  <c r="BX636" i="34" s="1"/>
  <c r="EE636" i="34"/>
  <c r="ED636" i="34" s="1"/>
  <c r="A689" i="34"/>
  <c r="BX689" i="34" s="1"/>
  <c r="A674" i="34"/>
  <c r="BX674" i="34" s="1"/>
  <c r="EE674" i="34"/>
  <c r="ED674" i="34" s="1"/>
  <c r="A728" i="34"/>
  <c r="BX728" i="34" s="1"/>
  <c r="EE728" i="34"/>
  <c r="ED728" i="34" s="1"/>
  <c r="A726" i="34"/>
  <c r="BX726" i="34" s="1"/>
  <c r="EE726" i="34"/>
  <c r="ED726" i="34" s="1"/>
  <c r="A724" i="34"/>
  <c r="BX724" i="34" s="1"/>
  <c r="EE724" i="34"/>
  <c r="ED724" i="34" s="1"/>
  <c r="A720" i="34"/>
  <c r="BX720" i="34" s="1"/>
  <c r="EE720" i="34"/>
  <c r="ED720" i="34" s="1"/>
  <c r="A718" i="34"/>
  <c r="BX718" i="34" s="1"/>
  <c r="EE718" i="34"/>
  <c r="ED718" i="34" s="1"/>
  <c r="A716" i="34"/>
  <c r="BX716" i="34" s="1"/>
  <c r="EE716" i="34"/>
  <c r="ED716" i="34" s="1"/>
  <c r="A712" i="34"/>
  <c r="BX712" i="34" s="1"/>
  <c r="EE712" i="34"/>
  <c r="ED712" i="34" s="1"/>
  <c r="A710" i="34"/>
  <c r="BX710" i="34" s="1"/>
  <c r="EE710" i="34"/>
  <c r="ED710" i="34" s="1"/>
  <c r="A708" i="34"/>
  <c r="BX708" i="34" s="1"/>
  <c r="EE708" i="34"/>
  <c r="ED708" i="34" s="1"/>
  <c r="A706" i="34"/>
  <c r="BX706" i="34" s="1"/>
  <c r="EE706" i="34"/>
  <c r="ED706" i="34" s="1"/>
  <c r="A704" i="34"/>
  <c r="BX704" i="34" s="1"/>
  <c r="EE704" i="34"/>
  <c r="ED704" i="34" s="1"/>
  <c r="A702" i="34"/>
  <c r="BX702" i="34" s="1"/>
  <c r="EE702" i="34"/>
  <c r="ED702" i="34" s="1"/>
  <c r="A700" i="34"/>
  <c r="BX700" i="34" s="1"/>
  <c r="EE700" i="34"/>
  <c r="ED700" i="34" s="1"/>
  <c r="A698" i="34"/>
  <c r="BX698" i="34" s="1"/>
  <c r="EE698" i="34"/>
  <c r="ED698" i="34" s="1"/>
  <c r="A696" i="34"/>
  <c r="BX696" i="34" s="1"/>
  <c r="EE696" i="34"/>
  <c r="ED696" i="34" s="1"/>
  <c r="A694" i="34"/>
  <c r="BX694" i="34" s="1"/>
  <c r="EE694" i="34"/>
  <c r="ED694" i="34" s="1"/>
  <c r="A692" i="34"/>
  <c r="BX692" i="34" s="1"/>
  <c r="EE692" i="34"/>
  <c r="ED692" i="34" s="1"/>
  <c r="A690" i="34"/>
  <c r="BX690" i="34" s="1"/>
  <c r="EE690" i="34"/>
  <c r="ED690" i="34" s="1"/>
  <c r="A688" i="34"/>
  <c r="BX688" i="34" s="1"/>
  <c r="EE688" i="34"/>
  <c r="ED688" i="34" s="1"/>
  <c r="A684" i="34"/>
  <c r="BX684" i="34" s="1"/>
  <c r="EE684" i="34"/>
  <c r="ED684" i="34" s="1"/>
  <c r="A680" i="34"/>
  <c r="BX680" i="34" s="1"/>
  <c r="EE680" i="34"/>
  <c r="ED680" i="34" s="1"/>
  <c r="A678" i="34"/>
  <c r="BX678" i="34" s="1"/>
  <c r="EE678" i="34"/>
  <c r="ED678" i="34" s="1"/>
  <c r="A676" i="34"/>
  <c r="BX676" i="34" s="1"/>
  <c r="EE676" i="34"/>
  <c r="ED676" i="34" s="1"/>
  <c r="A736" i="34"/>
  <c r="BX736" i="34" s="1"/>
  <c r="A752" i="34"/>
  <c r="BX752" i="34" s="1"/>
  <c r="A785" i="34"/>
  <c r="BX785" i="34" s="1"/>
  <c r="EE785" i="34"/>
  <c r="ED785" i="34" s="1"/>
  <c r="A783" i="34"/>
  <c r="BX783" i="34" s="1"/>
  <c r="EE783" i="34"/>
  <c r="ED783" i="34" s="1"/>
  <c r="A781" i="34"/>
  <c r="BX781" i="34" s="1"/>
  <c r="EE781" i="34"/>
  <c r="ED781" i="34" s="1"/>
  <c r="A779" i="34"/>
  <c r="BX779" i="34" s="1"/>
  <c r="EE779" i="34"/>
  <c r="ED779" i="34" s="1"/>
  <c r="A777" i="34"/>
  <c r="BX777" i="34" s="1"/>
  <c r="EE777" i="34"/>
  <c r="ED777" i="34" s="1"/>
  <c r="A773" i="34"/>
  <c r="BX773" i="34" s="1"/>
  <c r="EE773" i="34"/>
  <c r="ED773" i="34" s="1"/>
  <c r="A769" i="34"/>
  <c r="BX769" i="34" s="1"/>
  <c r="EE769" i="34"/>
  <c r="ED769" i="34" s="1"/>
  <c r="A767" i="34"/>
  <c r="BX767" i="34" s="1"/>
  <c r="EE767" i="34"/>
  <c r="ED767" i="34" s="1"/>
  <c r="A765" i="34"/>
  <c r="BX765" i="34" s="1"/>
  <c r="EE765" i="34"/>
  <c r="ED765" i="34" s="1"/>
  <c r="A763" i="34"/>
  <c r="BX763" i="34" s="1"/>
  <c r="EE763" i="34"/>
  <c r="ED763" i="34" s="1"/>
  <c r="A761" i="34"/>
  <c r="BX761" i="34" s="1"/>
  <c r="EE761" i="34"/>
  <c r="ED761" i="34" s="1"/>
  <c r="A757" i="34"/>
  <c r="BX757" i="34" s="1"/>
  <c r="EE757" i="34"/>
  <c r="ED757" i="34" s="1"/>
  <c r="A753" i="34"/>
  <c r="BX753" i="34" s="1"/>
  <c r="EE753" i="34"/>
  <c r="ED753" i="34" s="1"/>
  <c r="A751" i="34"/>
  <c r="BX751" i="34" s="1"/>
  <c r="EE751" i="34"/>
  <c r="ED751" i="34" s="1"/>
  <c r="A749" i="34"/>
  <c r="BX749" i="34" s="1"/>
  <c r="EE749" i="34"/>
  <c r="ED749" i="34" s="1"/>
  <c r="A747" i="34"/>
  <c r="BX747" i="34" s="1"/>
  <c r="EE747" i="34"/>
  <c r="ED747" i="34" s="1"/>
  <c r="A745" i="34"/>
  <c r="BX745" i="34" s="1"/>
  <c r="EE745" i="34"/>
  <c r="ED745" i="34" s="1"/>
  <c r="A743" i="34"/>
  <c r="BX743" i="34" s="1"/>
  <c r="EE743" i="34"/>
  <c r="ED743" i="34" s="1"/>
  <c r="A741" i="34"/>
  <c r="BX741" i="34" s="1"/>
  <c r="EE741" i="34"/>
  <c r="ED741" i="34" s="1"/>
  <c r="A737" i="34"/>
  <c r="BX737" i="34" s="1"/>
  <c r="EE737" i="34"/>
  <c r="ED737" i="34" s="1"/>
  <c r="A735" i="34"/>
  <c r="BX735" i="34" s="1"/>
  <c r="EE735" i="34"/>
  <c r="ED735" i="34" s="1"/>
  <c r="A733" i="34"/>
  <c r="BX733" i="34" s="1"/>
  <c r="EE733" i="34"/>
  <c r="ED733" i="34" s="1"/>
  <c r="A803" i="34"/>
  <c r="BX803" i="34" s="1"/>
  <c r="A786" i="34"/>
  <c r="BX786" i="34" s="1"/>
  <c r="EE786" i="34"/>
  <c r="ED786" i="34" s="1"/>
  <c r="A840" i="34"/>
  <c r="BX840" i="34" s="1"/>
  <c r="EE840" i="34"/>
  <c r="ED840" i="34" s="1"/>
  <c r="A838" i="34"/>
  <c r="BX838" i="34" s="1"/>
  <c r="EE838" i="34"/>
  <c r="ED838" i="34" s="1"/>
  <c r="A836" i="34"/>
  <c r="BX836" i="34" s="1"/>
  <c r="EE836" i="34"/>
  <c r="ED836" i="34" s="1"/>
  <c r="A834" i="34"/>
  <c r="BX834" i="34" s="1"/>
  <c r="EE834" i="34"/>
  <c r="ED834" i="34" s="1"/>
  <c r="A832" i="34"/>
  <c r="BX832" i="34" s="1"/>
  <c r="EE832" i="34"/>
  <c r="ED832" i="34" s="1"/>
  <c r="A830" i="34"/>
  <c r="BX830" i="34" s="1"/>
  <c r="EE830" i="34"/>
  <c r="ED830" i="34" s="1"/>
  <c r="A828" i="34"/>
  <c r="BX828" i="34" s="1"/>
  <c r="EE828" i="34"/>
  <c r="ED828" i="34" s="1"/>
  <c r="A826" i="34"/>
  <c r="BX826" i="34" s="1"/>
  <c r="EE826" i="34"/>
  <c r="ED826" i="34" s="1"/>
  <c r="A824" i="34"/>
  <c r="BX824" i="34" s="1"/>
  <c r="EE824" i="34"/>
  <c r="ED824" i="34" s="1"/>
  <c r="A822" i="34"/>
  <c r="BX822" i="34" s="1"/>
  <c r="EE822" i="34"/>
  <c r="ED822" i="34" s="1"/>
  <c r="A820" i="34"/>
  <c r="BX820" i="34" s="1"/>
  <c r="EE820" i="34"/>
  <c r="ED820" i="34" s="1"/>
  <c r="A818" i="34"/>
  <c r="BX818" i="34" s="1"/>
  <c r="EE818" i="34"/>
  <c r="ED818" i="34" s="1"/>
  <c r="A816" i="34"/>
  <c r="BX816" i="34" s="1"/>
  <c r="EE816" i="34"/>
  <c r="ED816" i="34" s="1"/>
  <c r="A812" i="34"/>
  <c r="BX812" i="34" s="1"/>
  <c r="EE812" i="34"/>
  <c r="ED812" i="34" s="1"/>
  <c r="A810" i="34"/>
  <c r="BX810" i="34" s="1"/>
  <c r="EE810" i="34"/>
  <c r="ED810" i="34" s="1"/>
  <c r="A808" i="34"/>
  <c r="BX808" i="34" s="1"/>
  <c r="EE808" i="34"/>
  <c r="ED808" i="34" s="1"/>
  <c r="A806" i="34"/>
  <c r="BX806" i="34" s="1"/>
  <c r="EE806" i="34"/>
  <c r="ED806" i="34" s="1"/>
  <c r="A804" i="34"/>
  <c r="BX804" i="34" s="1"/>
  <c r="EE804" i="34"/>
  <c r="ED804" i="34" s="1"/>
  <c r="A802" i="34"/>
  <c r="BX802" i="34" s="1"/>
  <c r="EE802" i="34"/>
  <c r="ED802" i="34" s="1"/>
  <c r="A800" i="34"/>
  <c r="BX800" i="34" s="1"/>
  <c r="EE800" i="34"/>
  <c r="ED800" i="34" s="1"/>
  <c r="A798" i="34"/>
  <c r="BX798" i="34" s="1"/>
  <c r="EE798" i="34"/>
  <c r="ED798" i="34" s="1"/>
  <c r="A796" i="34"/>
  <c r="BX796" i="34" s="1"/>
  <c r="EE796" i="34"/>
  <c r="ED796" i="34" s="1"/>
  <c r="A794" i="34"/>
  <c r="BX794" i="34" s="1"/>
  <c r="EE794" i="34"/>
  <c r="ED794" i="34" s="1"/>
  <c r="A792" i="34"/>
  <c r="BX792" i="34" s="1"/>
  <c r="EE792" i="34"/>
  <c r="ED792" i="34" s="1"/>
  <c r="A788" i="34"/>
  <c r="BX788" i="34" s="1"/>
  <c r="EE788" i="34"/>
  <c r="ED788" i="34" s="1"/>
  <c r="A848" i="34"/>
  <c r="BX848" i="34" s="1"/>
  <c r="A862" i="34"/>
  <c r="BX862" i="34" s="1"/>
  <c r="A870" i="34"/>
  <c r="BX870" i="34" s="1"/>
  <c r="A876" i="34"/>
  <c r="BX876" i="34" s="1"/>
  <c r="A890" i="34"/>
  <c r="BX890" i="34" s="1"/>
  <c r="A897" i="34"/>
  <c r="BX897" i="34" s="1"/>
  <c r="EE897" i="34"/>
  <c r="ED897" i="34" s="1"/>
  <c r="A895" i="34"/>
  <c r="BX895" i="34" s="1"/>
  <c r="EE895" i="34"/>
  <c r="ED895" i="34" s="1"/>
  <c r="A893" i="34"/>
  <c r="BX893" i="34" s="1"/>
  <c r="EE893" i="34"/>
  <c r="ED893" i="34" s="1"/>
  <c r="A891" i="34"/>
  <c r="BX891" i="34" s="1"/>
  <c r="EE891" i="34"/>
  <c r="ED891" i="34" s="1"/>
  <c r="A889" i="34"/>
  <c r="BX889" i="34" s="1"/>
  <c r="EE889" i="34"/>
  <c r="ED889" i="34" s="1"/>
  <c r="A887" i="34"/>
  <c r="BX887" i="34" s="1"/>
  <c r="EE887" i="34"/>
  <c r="ED887" i="34" s="1"/>
  <c r="A885" i="34"/>
  <c r="BX885" i="34" s="1"/>
  <c r="EE885" i="34"/>
  <c r="ED885" i="34" s="1"/>
  <c r="A883" i="34"/>
  <c r="BX883" i="34" s="1"/>
  <c r="EE883" i="34"/>
  <c r="ED883" i="34" s="1"/>
  <c r="A881" i="34"/>
  <c r="BX881" i="34" s="1"/>
  <c r="EE881" i="34"/>
  <c r="ED881" i="34" s="1"/>
  <c r="A879" i="34"/>
  <c r="BX879" i="34" s="1"/>
  <c r="EE879" i="34"/>
  <c r="ED879" i="34" s="1"/>
  <c r="A877" i="34"/>
  <c r="BX877" i="34" s="1"/>
  <c r="EE877" i="34"/>
  <c r="ED877" i="34" s="1"/>
  <c r="A875" i="34"/>
  <c r="BX875" i="34" s="1"/>
  <c r="EE875" i="34"/>
  <c r="ED875" i="34" s="1"/>
  <c r="A873" i="34"/>
  <c r="BX873" i="34" s="1"/>
  <c r="EE873" i="34"/>
  <c r="ED873" i="34" s="1"/>
  <c r="A871" i="34"/>
  <c r="BX871" i="34" s="1"/>
  <c r="EE871" i="34"/>
  <c r="ED871" i="34" s="1"/>
  <c r="A869" i="34"/>
  <c r="BX869" i="34" s="1"/>
  <c r="EE869" i="34"/>
  <c r="ED869" i="34" s="1"/>
  <c r="A867" i="34"/>
  <c r="BX867" i="34" s="1"/>
  <c r="EE867" i="34"/>
  <c r="ED867" i="34" s="1"/>
  <c r="A865" i="34"/>
  <c r="BX865" i="34" s="1"/>
  <c r="EE865" i="34"/>
  <c r="ED865" i="34" s="1"/>
  <c r="A861" i="34"/>
  <c r="BX861" i="34" s="1"/>
  <c r="EE861" i="34"/>
  <c r="ED861" i="34" s="1"/>
  <c r="A859" i="34"/>
  <c r="BX859" i="34" s="1"/>
  <c r="EE859" i="34"/>
  <c r="ED859" i="34" s="1"/>
  <c r="A857" i="34"/>
  <c r="BX857" i="34" s="1"/>
  <c r="EE857" i="34"/>
  <c r="ED857" i="34" s="1"/>
  <c r="A855" i="34"/>
  <c r="BX855" i="34" s="1"/>
  <c r="EE855" i="34"/>
  <c r="ED855" i="34" s="1"/>
  <c r="A853" i="34"/>
  <c r="BX853" i="34" s="1"/>
  <c r="EE853" i="34"/>
  <c r="ED853" i="34" s="1"/>
  <c r="A851" i="34"/>
  <c r="BX851" i="34" s="1"/>
  <c r="EE851" i="34"/>
  <c r="ED851" i="34" s="1"/>
  <c r="A849" i="34"/>
  <c r="BX849" i="34" s="1"/>
  <c r="EE849" i="34"/>
  <c r="ED849" i="34" s="1"/>
  <c r="A847" i="34"/>
  <c r="BX847" i="34" s="1"/>
  <c r="EE847" i="34"/>
  <c r="ED847" i="34" s="1"/>
  <c r="A845" i="34"/>
  <c r="BX845" i="34" s="1"/>
  <c r="EE845" i="34"/>
  <c r="ED845" i="34" s="1"/>
  <c r="A843" i="34"/>
  <c r="BX843" i="34" s="1"/>
  <c r="EE843" i="34"/>
  <c r="ED843" i="34" s="1"/>
  <c r="E7" i="75"/>
  <c r="B7" i="75" s="1"/>
  <c r="B9" i="75" s="1"/>
  <c r="D7" i="74"/>
  <c r="GG3" i="34" s="1"/>
  <c r="E12" i="74"/>
  <c r="D12" i="74" s="1"/>
  <c r="G49" i="74"/>
  <c r="AH49" i="74"/>
  <c r="E21" i="74"/>
  <c r="D21" i="74" s="1"/>
  <c r="D8" i="74"/>
  <c r="E24" i="74"/>
  <c r="D24" i="74" s="1"/>
  <c r="E31" i="74"/>
  <c r="D31" i="74" s="1"/>
  <c r="E22" i="74"/>
  <c r="D22" i="74" s="1"/>
  <c r="EG5" i="4"/>
  <c r="DP6" i="4"/>
  <c r="AK67" i="74"/>
  <c r="E8" i="74"/>
  <c r="K1" i="2"/>
  <c r="E15" i="74"/>
  <c r="D15" i="74" s="1"/>
  <c r="E27" i="74"/>
  <c r="D27" i="74" s="1"/>
  <c r="E34" i="74"/>
  <c r="D34" i="74" s="1"/>
  <c r="J7" i="74"/>
  <c r="GG5" i="34" s="1"/>
  <c r="S67" i="74"/>
  <c r="E11" i="74"/>
  <c r="D11" i="74" s="1"/>
  <c r="M7" i="74"/>
  <c r="AK49" i="74"/>
  <c r="D49" i="74"/>
  <c r="E14" i="74"/>
  <c r="D14" i="74" s="1"/>
  <c r="K66" i="4"/>
  <c r="A8" i="16"/>
  <c r="J67" i="74"/>
  <c r="A12" i="16"/>
  <c r="A13" i="16"/>
  <c r="E18" i="74"/>
  <c r="D18" i="74" s="1"/>
  <c r="A15" i="16"/>
  <c r="AN7" i="74"/>
  <c r="AO8" i="74" s="1"/>
  <c r="E19" i="74"/>
  <c r="D19" i="74" s="1"/>
  <c r="M49" i="74"/>
  <c r="E30" i="74"/>
  <c r="D30" i="74" s="1"/>
  <c r="E33" i="74"/>
  <c r="D33" i="74" s="1"/>
  <c r="AN49" i="74"/>
  <c r="S7" i="74"/>
  <c r="AB67" i="74"/>
  <c r="M3" i="54"/>
  <c r="B15" i="54"/>
  <c r="E7" i="84"/>
  <c r="E14" i="84" s="1"/>
  <c r="G14" i="84" s="1"/>
  <c r="E40" i="84" s="1"/>
  <c r="G40" i="84" s="1"/>
  <c r="E66" i="84" s="1"/>
  <c r="G66" i="84" s="1"/>
  <c r="E92" i="84" s="1"/>
  <c r="G92" i="84" s="1"/>
  <c r="E118" i="84" s="1"/>
  <c r="G118" i="84" s="1"/>
  <c r="A6" i="83"/>
  <c r="AB5" i="4"/>
  <c r="F34" i="51" s="1"/>
  <c r="AB7" i="74"/>
  <c r="E10" i="74"/>
  <c r="D10" i="74" s="1"/>
  <c r="AK7" i="74"/>
  <c r="GG14" i="34" s="1"/>
  <c r="Y49" i="74"/>
  <c r="E25" i="74"/>
  <c r="D25" i="74" s="1"/>
  <c r="E28" i="74"/>
  <c r="D28" i="74" s="1"/>
  <c r="S49" i="74"/>
  <c r="J49" i="74"/>
  <c r="P49" i="74"/>
  <c r="AH7" i="74"/>
  <c r="GG13" i="34" s="1"/>
  <c r="E20" i="74"/>
  <c r="D20" i="74" s="1"/>
  <c r="D67" i="74"/>
  <c r="AE67" i="74"/>
  <c r="V67" i="74"/>
  <c r="A11" i="16"/>
  <c r="P7" i="74"/>
  <c r="E9" i="74"/>
  <c r="D9" i="74" s="1"/>
  <c r="E17" i="74"/>
  <c r="D17" i="74" s="1"/>
  <c r="Y7" i="74"/>
  <c r="GG10" i="34" s="1"/>
  <c r="E23" i="74"/>
  <c r="D23" i="74" s="1"/>
  <c r="E26" i="74"/>
  <c r="D26" i="74" s="1"/>
  <c r="E29" i="74"/>
  <c r="D29" i="74" s="1"/>
  <c r="E32" i="74"/>
  <c r="D32" i="74" s="1"/>
  <c r="AE49" i="74"/>
  <c r="V49" i="74"/>
  <c r="AB49" i="74"/>
  <c r="V7" i="74"/>
  <c r="GG9" i="34" s="1"/>
  <c r="E16" i="74"/>
  <c r="D16" i="74" s="1"/>
  <c r="G7" i="74"/>
  <c r="GG4" i="34" s="1"/>
  <c r="P67" i="74"/>
  <c r="M67" i="74"/>
  <c r="E13" i="74"/>
  <c r="D13" i="74" s="1"/>
  <c r="A14" i="16"/>
  <c r="A10" i="16"/>
  <c r="A17" i="16"/>
  <c r="A9" i="16"/>
  <c r="A7" i="16"/>
  <c r="A4" i="52"/>
  <c r="Q14" i="25"/>
  <c r="T14" i="25"/>
  <c r="W14" i="25"/>
  <c r="AC6" i="60"/>
  <c r="E4" i="10"/>
  <c r="E4" i="5"/>
  <c r="E5" i="14"/>
  <c r="E5" i="6"/>
  <c r="E5" i="9"/>
  <c r="E5" i="10"/>
  <c r="E5" i="4"/>
  <c r="E5" i="5"/>
  <c r="E4" i="13"/>
  <c r="E4" i="14"/>
  <c r="D3" i="72"/>
  <c r="D93" i="72"/>
  <c r="D138" i="72"/>
  <c r="D183" i="72"/>
  <c r="D228" i="72"/>
  <c r="D273" i="72"/>
  <c r="D318" i="72"/>
  <c r="D363" i="72"/>
  <c r="D408" i="72"/>
  <c r="D453" i="72"/>
  <c r="D498" i="72"/>
  <c r="E4" i="12"/>
  <c r="E4" i="6"/>
  <c r="E4" i="8"/>
  <c r="E4" i="9"/>
  <c r="E4" i="15"/>
  <c r="E4" i="7"/>
  <c r="E4" i="11"/>
  <c r="B8" i="54"/>
  <c r="F281" i="34"/>
  <c r="F449" i="34"/>
  <c r="F169" i="34"/>
  <c r="BN14" i="57"/>
  <c r="BN17" i="57" s="1"/>
  <c r="F337" i="34"/>
  <c r="E33" i="32"/>
  <c r="AD8" i="34" s="1"/>
  <c r="AR24" i="32"/>
  <c r="F225" i="34"/>
  <c r="AR24" i="2"/>
  <c r="AR14" i="55"/>
  <c r="AR17" i="55" s="1"/>
  <c r="BY24" i="2"/>
  <c r="AR14" i="27"/>
  <c r="AR16" i="27" s="1"/>
  <c r="AR21" i="27" s="1"/>
  <c r="AR14" i="26"/>
  <c r="AR16" i="26" s="1"/>
  <c r="AR21" i="26" s="1"/>
  <c r="BC14" i="27"/>
  <c r="BC16" i="27" s="1"/>
  <c r="BC21" i="27" s="1"/>
  <c r="BY14" i="27"/>
  <c r="BY16" i="27" s="1"/>
  <c r="BY21" i="27" s="1"/>
  <c r="BC24" i="2"/>
  <c r="CJ24" i="26"/>
  <c r="F254" i="34"/>
  <c r="CJ24" i="2"/>
  <c r="AG14" i="26"/>
  <c r="AG16" i="26" s="1"/>
  <c r="AG21" i="26" s="1"/>
  <c r="BC14" i="2"/>
  <c r="BC17" i="2" s="1"/>
  <c r="BY14" i="2"/>
  <c r="BY17" i="2" s="1"/>
  <c r="BY22" i="2" s="1"/>
  <c r="BP21" i="2" s="1"/>
  <c r="BN24" i="2"/>
  <c r="BY24" i="27"/>
  <c r="V14" i="55"/>
  <c r="V17" i="55" s="1"/>
  <c r="AG14" i="57"/>
  <c r="AG16" i="57" s="1"/>
  <c r="AG21" i="57" s="1"/>
  <c r="F283" i="34"/>
  <c r="K14" i="31"/>
  <c r="K17" i="31" s="1"/>
  <c r="F177" i="34"/>
  <c r="V14" i="26"/>
  <c r="V17" i="26" s="1"/>
  <c r="AG14" i="27"/>
  <c r="AG16" i="27" s="1"/>
  <c r="AG21" i="27" s="1"/>
  <c r="AG24" i="26"/>
  <c r="BC24" i="26"/>
  <c r="BC14" i="26"/>
  <c r="F261" i="34"/>
  <c r="BN14" i="27"/>
  <c r="BN16" i="27" s="1"/>
  <c r="BN21" i="27" s="1"/>
  <c r="BN14" i="31"/>
  <c r="BN17" i="31" s="1"/>
  <c r="F206" i="34"/>
  <c r="BN14" i="26"/>
  <c r="F275" i="34"/>
  <c r="CJ14" i="27"/>
  <c r="F444" i="34"/>
  <c r="CJ14" i="33"/>
  <c r="CJ14" i="2"/>
  <c r="CJ17" i="2" s="1"/>
  <c r="CJ22" i="2" s="1"/>
  <c r="CA21" i="2" s="1"/>
  <c r="BN14" i="2"/>
  <c r="BN17" i="2" s="1"/>
  <c r="BN22" i="2" s="1"/>
  <c r="BE21" i="2" s="1"/>
  <c r="AR14" i="2"/>
  <c r="CJ14" i="26"/>
  <c r="CJ16" i="26" s="1"/>
  <c r="CJ21" i="26" s="1"/>
  <c r="BY14" i="26"/>
  <c r="CJ24" i="27"/>
  <c r="BC24" i="27"/>
  <c r="V14" i="27"/>
  <c r="F185" i="34"/>
  <c r="F268" i="34"/>
  <c r="F241" i="34"/>
  <c r="V14" i="31"/>
  <c r="V17" i="31" s="1"/>
  <c r="BY14" i="33"/>
  <c r="F318" i="34"/>
  <c r="K16" i="69"/>
  <c r="K21" i="69" s="1"/>
  <c r="K17" i="69"/>
  <c r="AG24" i="27"/>
  <c r="AR24" i="26"/>
  <c r="BN24" i="31"/>
  <c r="BN24" i="26"/>
  <c r="BY24" i="33"/>
  <c r="K14" i="55"/>
  <c r="K16" i="55" s="1"/>
  <c r="K21" i="55" s="1"/>
  <c r="K14" i="70"/>
  <c r="K17" i="70" s="1"/>
  <c r="AG14" i="68"/>
  <c r="AG16" i="68" s="1"/>
  <c r="AG21" i="68" s="1"/>
  <c r="CJ17" i="69"/>
  <c r="CJ16" i="69"/>
  <c r="CJ21" i="69" s="1"/>
  <c r="F857" i="34"/>
  <c r="AG14" i="71"/>
  <c r="AG17" i="71" s="1"/>
  <c r="F885" i="34"/>
  <c r="BY14" i="71"/>
  <c r="BY16" i="71" s="1"/>
  <c r="BY21" i="71" s="1"/>
  <c r="F284" i="34"/>
  <c r="K24" i="31"/>
  <c r="F345" i="34"/>
  <c r="V24" i="32"/>
  <c r="F233" i="34"/>
  <c r="V24" i="27"/>
  <c r="V24" i="33"/>
  <c r="V14" i="33"/>
  <c r="F291" i="34"/>
  <c r="V24" i="31"/>
  <c r="F179" i="34"/>
  <c r="V24" i="26"/>
  <c r="AG24" i="32"/>
  <c r="F352" i="34"/>
  <c r="AG14" i="32"/>
  <c r="F410" i="34"/>
  <c r="AG24" i="33"/>
  <c r="AG14" i="33"/>
  <c r="AG24" i="31"/>
  <c r="AG14" i="31"/>
  <c r="F247" i="34"/>
  <c r="AR24" i="27"/>
  <c r="F359" i="34"/>
  <c r="AR14" i="32"/>
  <c r="AR24" i="33"/>
  <c r="F417" i="34"/>
  <c r="AR14" i="33"/>
  <c r="F305" i="34"/>
  <c r="AR24" i="31"/>
  <c r="AR14" i="31"/>
  <c r="BC24" i="31"/>
  <c r="BC14" i="31"/>
  <c r="BC17" i="31" s="1"/>
  <c r="BC24" i="32"/>
  <c r="BC14" i="32"/>
  <c r="F424" i="34"/>
  <c r="BC24" i="33"/>
  <c r="BC14" i="33"/>
  <c r="BN14" i="32"/>
  <c r="BN24" i="32"/>
  <c r="BN24" i="33"/>
  <c r="BN14" i="33"/>
  <c r="BN24" i="27"/>
  <c r="BY24" i="31"/>
  <c r="BY14" i="31"/>
  <c r="F324" i="34"/>
  <c r="F212" i="34"/>
  <c r="BY24" i="26"/>
  <c r="BY14" i="32"/>
  <c r="BY24" i="32"/>
  <c r="CJ24" i="33"/>
  <c r="F443" i="34"/>
  <c r="CJ24" i="31"/>
  <c r="F331" i="34"/>
  <c r="CJ14" i="31"/>
  <c r="F389" i="34"/>
  <c r="CJ14" i="32"/>
  <c r="CJ24" i="32"/>
  <c r="F543" i="34"/>
  <c r="BN14" i="56"/>
  <c r="BN17" i="56" s="1"/>
  <c r="F605" i="34"/>
  <c r="BY24" i="57"/>
  <c r="V14" i="56"/>
  <c r="V17" i="56" s="1"/>
  <c r="BC24" i="56"/>
  <c r="F850" i="34"/>
  <c r="V14" i="71"/>
  <c r="AR14" i="71"/>
  <c r="CJ14" i="71"/>
  <c r="V14" i="32"/>
  <c r="BY14" i="55"/>
  <c r="BY17" i="55" s="1"/>
  <c r="CJ14" i="56"/>
  <c r="CJ17" i="56" s="1"/>
  <c r="AR14" i="56"/>
  <c r="AR16" i="56" s="1"/>
  <c r="AR21" i="56" s="1"/>
  <c r="AR24" i="57"/>
  <c r="F528" i="34"/>
  <c r="AR24" i="56"/>
  <c r="F542" i="34"/>
  <c r="BN24" i="56"/>
  <c r="CJ24" i="57"/>
  <c r="F571" i="34"/>
  <c r="V14" i="57"/>
  <c r="BN17" i="71"/>
  <c r="BN16" i="71"/>
  <c r="BN21" i="71" s="1"/>
  <c r="F653" i="34"/>
  <c r="BN14" i="67"/>
  <c r="E33" i="68"/>
  <c r="AD14" i="34" s="1"/>
  <c r="BC17" i="69"/>
  <c r="BC16" i="69"/>
  <c r="BC21" i="69" s="1"/>
  <c r="E33" i="69"/>
  <c r="AD15" i="34" s="1"/>
  <c r="BY24" i="56"/>
  <c r="BY14" i="56"/>
  <c r="BY17" i="56" s="1"/>
  <c r="F591" i="34"/>
  <c r="BC24" i="57"/>
  <c r="V16" i="70"/>
  <c r="V21" i="70" s="1"/>
  <c r="V14" i="67"/>
  <c r="F696" i="34"/>
  <c r="AR14" i="68"/>
  <c r="F814" i="34"/>
  <c r="BC14" i="70"/>
  <c r="BN17" i="70"/>
  <c r="BN16" i="70"/>
  <c r="BN21" i="70" s="1"/>
  <c r="F843" i="34"/>
  <c r="K24" i="71"/>
  <c r="K14" i="71"/>
  <c r="F871" i="34"/>
  <c r="BC14" i="71"/>
  <c r="K24" i="56"/>
  <c r="AG24" i="56"/>
  <c r="F396" i="34"/>
  <c r="K24" i="33"/>
  <c r="K14" i="33"/>
  <c r="K24" i="57"/>
  <c r="F172" i="34"/>
  <c r="K24" i="26"/>
  <c r="K14" i="26"/>
  <c r="V24" i="55"/>
  <c r="E33" i="33"/>
  <c r="AD9" i="34" s="1"/>
  <c r="E33" i="31"/>
  <c r="AD7" i="34" s="1"/>
  <c r="AG17" i="57"/>
  <c r="BN14" i="55"/>
  <c r="BN16" i="55" s="1"/>
  <c r="BN21" i="55" s="1"/>
  <c r="BC14" i="55"/>
  <c r="BC16" i="55" s="1"/>
  <c r="BC21" i="55" s="1"/>
  <c r="CJ14" i="55"/>
  <c r="CJ17" i="55" s="1"/>
  <c r="AG14" i="55"/>
  <c r="AG17" i="55" s="1"/>
  <c r="BC14" i="56"/>
  <c r="BC16" i="56" s="1"/>
  <c r="BC21" i="56" s="1"/>
  <c r="BN24" i="57"/>
  <c r="BY14" i="57"/>
  <c r="BY17" i="57" s="1"/>
  <c r="BC14" i="57"/>
  <c r="BC16" i="57" s="1"/>
  <c r="BC21" i="57" s="1"/>
  <c r="AG24" i="57"/>
  <c r="AR14" i="57"/>
  <c r="F548" i="34"/>
  <c r="F534" i="34"/>
  <c r="F450" i="34"/>
  <c r="BY14" i="68"/>
  <c r="CJ14" i="68"/>
  <c r="AR14" i="69"/>
  <c r="BY14" i="70"/>
  <c r="AG14" i="70"/>
  <c r="CJ14" i="70"/>
  <c r="AR14" i="70"/>
  <c r="K24" i="70"/>
  <c r="BY24" i="70"/>
  <c r="V24" i="68"/>
  <c r="AG24" i="70"/>
  <c r="BC24" i="70"/>
  <c r="CJ24" i="70"/>
  <c r="K14" i="27"/>
  <c r="F228" i="34"/>
  <c r="K24" i="27"/>
  <c r="AG14" i="2"/>
  <c r="F129" i="34"/>
  <c r="AG24" i="2"/>
  <c r="F340" i="34"/>
  <c r="K14" i="32"/>
  <c r="K24" i="32"/>
  <c r="V14" i="2"/>
  <c r="F121" i="34"/>
  <c r="V24" i="2"/>
  <c r="EB3" i="26"/>
  <c r="EB2" i="26"/>
  <c r="EB3" i="31"/>
  <c r="EB2" i="31"/>
  <c r="EB3" i="32"/>
  <c r="EB2" i="32"/>
  <c r="F897" i="34"/>
  <c r="F785" i="34"/>
  <c r="F673" i="34"/>
  <c r="F841" i="34"/>
  <c r="F729" i="34"/>
  <c r="F458" i="34"/>
  <c r="F500" i="34"/>
  <c r="CJ24" i="55"/>
  <c r="F506" i="34"/>
  <c r="K14" i="56"/>
  <c r="F569" i="34"/>
  <c r="V24" i="57"/>
  <c r="F612" i="34"/>
  <c r="CJ14" i="57"/>
  <c r="EB3" i="27"/>
  <c r="EB2" i="27"/>
  <c r="EB3" i="33"/>
  <c r="EB2" i="33"/>
  <c r="F513" i="34"/>
  <c r="V24" i="56"/>
  <c r="F555" i="34"/>
  <c r="CJ24" i="56"/>
  <c r="F562" i="34"/>
  <c r="K14" i="57"/>
  <c r="BN24" i="55"/>
  <c r="BC24" i="55"/>
  <c r="BY24" i="55"/>
  <c r="AG24" i="55"/>
  <c r="AR24" i="55"/>
  <c r="F520" i="34"/>
  <c r="AG14" i="56"/>
  <c r="F632" i="34"/>
  <c r="AG24" i="67"/>
  <c r="AG14" i="67"/>
  <c r="F646" i="34"/>
  <c r="BC24" i="67"/>
  <c r="BC14" i="67"/>
  <c r="F660" i="34"/>
  <c r="BY24" i="67"/>
  <c r="BY14" i="67"/>
  <c r="F618" i="34"/>
  <c r="K14" i="67"/>
  <c r="V24" i="67"/>
  <c r="BN24" i="67"/>
  <c r="F688" i="34"/>
  <c r="AG24" i="68"/>
  <c r="F702" i="34"/>
  <c r="BC24" i="68"/>
  <c r="BC14" i="68"/>
  <c r="F716" i="34"/>
  <c r="BY24" i="68"/>
  <c r="F682" i="34"/>
  <c r="V14" i="68"/>
  <c r="F730" i="34"/>
  <c r="K24" i="69"/>
  <c r="F744" i="34"/>
  <c r="AG24" i="69"/>
  <c r="AG14" i="69"/>
  <c r="F758" i="34"/>
  <c r="BC24" i="69"/>
  <c r="F772" i="34"/>
  <c r="BY24" i="69"/>
  <c r="BY14" i="69"/>
  <c r="F639" i="34"/>
  <c r="AR14" i="67"/>
  <c r="F667" i="34"/>
  <c r="CJ14" i="67"/>
  <c r="K24" i="68"/>
  <c r="K14" i="68"/>
  <c r="F695" i="34"/>
  <c r="AR24" i="68"/>
  <c r="F709" i="34"/>
  <c r="BN24" i="68"/>
  <c r="BN14" i="68"/>
  <c r="F723" i="34"/>
  <c r="CJ24" i="68"/>
  <c r="F737" i="34"/>
  <c r="V24" i="69"/>
  <c r="V14" i="69"/>
  <c r="F751" i="34"/>
  <c r="AR24" i="69"/>
  <c r="F765" i="34"/>
  <c r="BN24" i="69"/>
  <c r="BN14" i="69"/>
  <c r="F779" i="34"/>
  <c r="CJ24" i="69"/>
  <c r="EB3" i="67"/>
  <c r="EB2" i="67"/>
  <c r="E33" i="67"/>
  <c r="AD13" i="34" s="1"/>
  <c r="EB3" i="68"/>
  <c r="EB2" i="68"/>
  <c r="F849" i="34"/>
  <c r="V24" i="71"/>
  <c r="F863" i="34"/>
  <c r="AR24" i="71"/>
  <c r="F877" i="34"/>
  <c r="BN24" i="71"/>
  <c r="F891" i="34"/>
  <c r="CJ24" i="71"/>
  <c r="EB3" i="69"/>
  <c r="EB2" i="69"/>
  <c r="E39" i="69"/>
  <c r="E48" i="69" s="1"/>
  <c r="F793" i="34"/>
  <c r="V24" i="70"/>
  <c r="F807" i="34"/>
  <c r="AR24" i="70"/>
  <c r="F821" i="34"/>
  <c r="BN24" i="70"/>
  <c r="F856" i="34"/>
  <c r="AG24" i="71"/>
  <c r="F870" i="34"/>
  <c r="BC24" i="71"/>
  <c r="F884" i="34"/>
  <c r="BY24" i="71"/>
  <c r="EB3" i="70"/>
  <c r="EB2" i="70"/>
  <c r="EB3" i="71"/>
  <c r="EB2" i="71"/>
  <c r="EB3" i="2"/>
  <c r="EB2" i="2"/>
  <c r="E33" i="2"/>
  <c r="AD4" i="34" s="1"/>
  <c r="BW41" i="5"/>
  <c r="K65" i="4"/>
  <c r="BK5" i="58"/>
  <c r="BK3" i="58" s="1"/>
  <c r="BH5" i="62"/>
  <c r="BH3" i="62" s="1"/>
  <c r="K14" i="25"/>
  <c r="B14" i="25"/>
  <c r="N14" i="25"/>
  <c r="H14" i="25"/>
  <c r="E14" i="25"/>
  <c r="AZ5" i="59"/>
  <c r="H19" i="51"/>
  <c r="BO10" i="59"/>
  <c r="AB44" i="4"/>
  <c r="A5" i="59"/>
  <c r="L19" i="51"/>
  <c r="BO14" i="59"/>
  <c r="AH87" i="5"/>
  <c r="AH87" i="6" s="1"/>
  <c r="AH87" i="7" s="1"/>
  <c r="AH87" i="8" s="1"/>
  <c r="S9" i="59" s="1"/>
  <c r="S5" i="59"/>
  <c r="O5" i="59"/>
  <c r="G19" i="51"/>
  <c r="BO11" i="59"/>
  <c r="AJ4" i="4"/>
  <c r="J4" i="63"/>
  <c r="BC5" i="63" s="1"/>
  <c r="I4" i="62"/>
  <c r="BC20" i="62" s="1"/>
  <c r="I4" i="58"/>
  <c r="BF14" i="58" s="1"/>
  <c r="E29" i="58" s="1"/>
  <c r="D5" i="25"/>
  <c r="V65" i="25" s="1"/>
  <c r="I4" i="60"/>
  <c r="H80" i="80"/>
  <c r="O76" i="80" s="1"/>
  <c r="BY8" i="5"/>
  <c r="BY9" i="4"/>
  <c r="AE7" i="74"/>
  <c r="GG12" i="34" s="1"/>
  <c r="G67" i="74"/>
  <c r="Y67" i="74"/>
  <c r="X3" i="15"/>
  <c r="K68" i="5"/>
  <c r="K68" i="6" s="1"/>
  <c r="K67" i="5"/>
  <c r="H67" i="5" s="1"/>
  <c r="CC44" i="5"/>
  <c r="AL78" i="5"/>
  <c r="AL78" i="6" s="1"/>
  <c r="AL78" i="7" s="1"/>
  <c r="AL78" i="8" s="1"/>
  <c r="AL78" i="9" s="1"/>
  <c r="AL78" i="10" s="1"/>
  <c r="AL78" i="11" s="1"/>
  <c r="AL78" i="12" s="1"/>
  <c r="AL78" i="13" s="1"/>
  <c r="AL78" i="14" s="1"/>
  <c r="AL78" i="15" s="1"/>
  <c r="H68" i="4"/>
  <c r="N68" i="4" s="1"/>
  <c r="EX13" i="10"/>
  <c r="BY9" i="5"/>
  <c r="H67" i="4"/>
  <c r="N67" i="4" s="1"/>
  <c r="AR13" i="11"/>
  <c r="D13" i="18"/>
  <c r="GL3" i="34" s="1"/>
  <c r="A3" i="79"/>
  <c r="AB21" i="4"/>
  <c r="AB29" i="4"/>
  <c r="AB37" i="4"/>
  <c r="AB45" i="4"/>
  <c r="AB24" i="4"/>
  <c r="AB46" i="4"/>
  <c r="AB38" i="4"/>
  <c r="EO2" i="4"/>
  <c r="EI22" i="4"/>
  <c r="AB25" i="4"/>
  <c r="AB33" i="4"/>
  <c r="AB41" i="4"/>
  <c r="D8" i="72"/>
  <c r="AM5" i="72" s="1"/>
  <c r="BK6" i="72" s="1"/>
  <c r="AB36" i="4"/>
  <c r="AB26" i="4"/>
  <c r="AB34" i="4"/>
  <c r="HI16" i="34" s="1"/>
  <c r="AB31" i="4"/>
  <c r="AB47" i="4"/>
  <c r="AB22" i="4"/>
  <c r="AB42" i="4"/>
  <c r="HI24" i="34" s="1"/>
  <c r="EI21" i="4"/>
  <c r="X3" i="13"/>
  <c r="X3" i="10"/>
  <c r="F87" i="4"/>
  <c r="F22" i="51" s="1"/>
  <c r="B9" i="50" s="1"/>
  <c r="X3" i="11"/>
  <c r="AB23" i="4"/>
  <c r="AB39" i="4"/>
  <c r="AB30" i="4"/>
  <c r="AB32" i="4"/>
  <c r="D99" i="4"/>
  <c r="AB43" i="4"/>
  <c r="X3" i="8"/>
  <c r="X3" i="12"/>
  <c r="X3" i="5"/>
  <c r="AB27" i="4"/>
  <c r="AB40" i="4"/>
  <c r="X3" i="6"/>
  <c r="X3" i="14"/>
  <c r="X3" i="7"/>
  <c r="AB28" i="4"/>
  <c r="HI10" i="34" s="1"/>
  <c r="AB35" i="4"/>
  <c r="X3" i="9"/>
  <c r="AB20" i="4"/>
  <c r="G8" i="72"/>
  <c r="D2" i="16"/>
  <c r="K14" i="2"/>
  <c r="K24" i="2"/>
  <c r="F114" i="34"/>
  <c r="FZ40" i="4" l="1"/>
  <c r="GA40" i="4" s="1"/>
  <c r="GB40" i="4" s="1"/>
  <c r="FW23" i="34" s="1"/>
  <c r="HI22" i="34"/>
  <c r="FZ30" i="4"/>
  <c r="GA30" i="4" s="1"/>
  <c r="GB30" i="4" s="1"/>
  <c r="FW13" i="34" s="1"/>
  <c r="HI12" i="34"/>
  <c r="FZ23" i="4"/>
  <c r="GA23" i="4" s="1"/>
  <c r="GB23" i="4" s="1"/>
  <c r="FW6" i="34" s="1"/>
  <c r="HI5" i="34"/>
  <c r="FZ47" i="4"/>
  <c r="HI29" i="34"/>
  <c r="FZ36" i="4"/>
  <c r="GA36" i="4" s="1"/>
  <c r="GB36" i="4" s="1"/>
  <c r="FW19" i="34" s="1"/>
  <c r="HI18" i="34"/>
  <c r="FZ41" i="4"/>
  <c r="GA41" i="4" s="1"/>
  <c r="GB41" i="4" s="1"/>
  <c r="FW24" i="34" s="1"/>
  <c r="HI23" i="34"/>
  <c r="FZ25" i="4"/>
  <c r="GA25" i="4" s="1"/>
  <c r="GB25" i="4" s="1"/>
  <c r="FW8" i="34" s="1"/>
  <c r="HI7" i="34"/>
  <c r="FZ46" i="4"/>
  <c r="GA46" i="4" s="1"/>
  <c r="GB46" i="4" s="1"/>
  <c r="FW29" i="34" s="1"/>
  <c r="HI28" i="34"/>
  <c r="FZ45" i="4"/>
  <c r="GA45" i="4" s="1"/>
  <c r="GB45" i="4" s="1"/>
  <c r="FW28" i="34" s="1"/>
  <c r="HI27" i="34"/>
  <c r="FZ29" i="4"/>
  <c r="GA29" i="4" s="1"/>
  <c r="GB29" i="4" s="1"/>
  <c r="FW12" i="34" s="1"/>
  <c r="HI11" i="34"/>
  <c r="FZ44" i="4"/>
  <c r="GA44" i="4" s="1"/>
  <c r="GB44" i="4" s="1"/>
  <c r="FW27" i="34" s="1"/>
  <c r="HI26" i="34"/>
  <c r="FZ20" i="4"/>
  <c r="GA20" i="4" s="1"/>
  <c r="HI2" i="34"/>
  <c r="FZ35" i="4"/>
  <c r="GA35" i="4" s="1"/>
  <c r="GB35" i="4" s="1"/>
  <c r="FW18" i="34" s="1"/>
  <c r="HI17" i="34"/>
  <c r="FZ27" i="4"/>
  <c r="HI9" i="34"/>
  <c r="FZ43" i="4"/>
  <c r="HI25" i="34"/>
  <c r="FZ32" i="4"/>
  <c r="GA32" i="4" s="1"/>
  <c r="GB32" i="4" s="1"/>
  <c r="FW15" i="34" s="1"/>
  <c r="HI14" i="34"/>
  <c r="FZ39" i="4"/>
  <c r="HI21" i="34"/>
  <c r="FZ22" i="4"/>
  <c r="HI4" i="34"/>
  <c r="FZ31" i="4"/>
  <c r="GA31" i="4" s="1"/>
  <c r="GB31" i="4" s="1"/>
  <c r="FW14" i="34" s="1"/>
  <c r="HI13" i="34"/>
  <c r="FZ26" i="4"/>
  <c r="GA26" i="4" s="1"/>
  <c r="GB26" i="4" s="1"/>
  <c r="FW9" i="34" s="1"/>
  <c r="HI8" i="34"/>
  <c r="FZ33" i="4"/>
  <c r="GA33" i="4" s="1"/>
  <c r="GB33" i="4" s="1"/>
  <c r="FW16" i="34" s="1"/>
  <c r="HI15" i="34"/>
  <c r="FZ38" i="4"/>
  <c r="HI20" i="34"/>
  <c r="FZ24" i="4"/>
  <c r="GA24" i="4" s="1"/>
  <c r="GB24" i="4" s="1"/>
  <c r="FW7" i="34" s="1"/>
  <c r="HI6" i="34"/>
  <c r="FZ37" i="4"/>
  <c r="GA37" i="4" s="1"/>
  <c r="GB37" i="4" s="1"/>
  <c r="FW20" i="34" s="1"/>
  <c r="HI19" i="34"/>
  <c r="FZ21" i="4"/>
  <c r="GA21" i="4" s="1"/>
  <c r="GB21" i="4" s="1"/>
  <c r="FW4" i="34" s="1"/>
  <c r="HI3" i="34"/>
  <c r="E31" i="62"/>
  <c r="E29" i="63"/>
  <c r="D28" i="63"/>
  <c r="BB4" i="60"/>
  <c r="BN22" i="70"/>
  <c r="BE21" i="70" s="1"/>
  <c r="BE16" i="70"/>
  <c r="BN22" i="71"/>
  <c r="BE21" i="71" s="1"/>
  <c r="BE16" i="71"/>
  <c r="AG22" i="71"/>
  <c r="X21" i="71" s="1"/>
  <c r="X16" i="71"/>
  <c r="BC22" i="69"/>
  <c r="AT21" i="69" s="1"/>
  <c r="AT16" i="69"/>
  <c r="CJ22" i="69"/>
  <c r="CA21" i="69" s="1"/>
  <c r="CA16" i="69"/>
  <c r="BC22" i="31"/>
  <c r="AT21" i="31" s="1"/>
  <c r="AT16" i="31"/>
  <c r="V22" i="31"/>
  <c r="M21" i="31" s="1"/>
  <c r="M16" i="31"/>
  <c r="BN22" i="31"/>
  <c r="BE21" i="31" s="1"/>
  <c r="BE16" i="31"/>
  <c r="V22" i="26"/>
  <c r="M21" i="26" s="1"/>
  <c r="M16" i="26"/>
  <c r="BC22" i="2"/>
  <c r="AT21" i="2" s="1"/>
  <c r="AT16" i="2"/>
  <c r="AC8" i="74"/>
  <c r="AC33" i="74" s="1"/>
  <c r="AB33" i="74" s="1"/>
  <c r="GG11" i="34"/>
  <c r="M8" i="74"/>
  <c r="GG6" i="34"/>
  <c r="P8" i="74"/>
  <c r="GG7" i="34"/>
  <c r="S8" i="74"/>
  <c r="GG8" i="34"/>
  <c r="B43" i="54"/>
  <c r="AG22" i="55"/>
  <c r="X21" i="55" s="1"/>
  <c r="X16" i="55"/>
  <c r="AG22" i="57"/>
  <c r="X21" i="57" s="1"/>
  <c r="X16" i="57"/>
  <c r="BY22" i="56"/>
  <c r="BP21" i="56" s="1"/>
  <c r="BP16" i="56"/>
  <c r="BY22" i="55"/>
  <c r="BP21" i="55" s="1"/>
  <c r="BP16" i="55"/>
  <c r="BN22" i="56"/>
  <c r="BE21" i="56" s="1"/>
  <c r="BE16" i="56"/>
  <c r="BY22" i="57"/>
  <c r="BP21" i="57" s="1"/>
  <c r="BP16" i="57"/>
  <c r="CJ22" i="55"/>
  <c r="CA21" i="55" s="1"/>
  <c r="CA16" i="55"/>
  <c r="CJ22" i="56"/>
  <c r="CA21" i="56" s="1"/>
  <c r="CA16" i="56"/>
  <c r="V22" i="56"/>
  <c r="M21" i="56" s="1"/>
  <c r="M16" i="56"/>
  <c r="V22" i="55"/>
  <c r="M21" i="55" s="1"/>
  <c r="M16" i="55"/>
  <c r="AR22" i="55"/>
  <c r="AI21" i="55" s="1"/>
  <c r="AI16" i="55"/>
  <c r="BN22" i="57"/>
  <c r="BE21" i="57" s="1"/>
  <c r="BE16" i="57"/>
  <c r="DY5" i="41"/>
  <c r="AL90" i="11"/>
  <c r="AH90" i="11"/>
  <c r="M54" i="25"/>
  <c r="M59" i="25"/>
  <c r="M65" i="25"/>
  <c r="P55" i="25"/>
  <c r="P57" i="25"/>
  <c r="P59" i="25"/>
  <c r="P61" i="25"/>
  <c r="P63" i="25"/>
  <c r="P65" i="25"/>
  <c r="M60" i="25"/>
  <c r="S54" i="25"/>
  <c r="S56" i="25"/>
  <c r="S58" i="25"/>
  <c r="S60" i="25"/>
  <c r="S62" i="25"/>
  <c r="S64" i="25"/>
  <c r="A56" i="25"/>
  <c r="M61" i="25"/>
  <c r="J54" i="25"/>
  <c r="J56" i="25"/>
  <c r="J58" i="25"/>
  <c r="J60" i="25"/>
  <c r="J62" i="25"/>
  <c r="J64" i="25"/>
  <c r="A57" i="25"/>
  <c r="M62" i="25"/>
  <c r="P54" i="25"/>
  <c r="P56" i="25"/>
  <c r="P58" i="25"/>
  <c r="P60" i="25"/>
  <c r="P62" i="25"/>
  <c r="P64" i="25"/>
  <c r="M56" i="25"/>
  <c r="M63" i="25"/>
  <c r="S55" i="25"/>
  <c r="S57" i="25"/>
  <c r="S59" i="25"/>
  <c r="S61" i="25"/>
  <c r="S63" i="25"/>
  <c r="S65" i="25"/>
  <c r="A59" i="25"/>
  <c r="M64" i="25"/>
  <c r="J55" i="25"/>
  <c r="J57" i="25"/>
  <c r="J59" i="25"/>
  <c r="J61" i="25"/>
  <c r="J63" i="25"/>
  <c r="J65" i="25"/>
  <c r="E33" i="55"/>
  <c r="AD10" i="34" s="1"/>
  <c r="AR10" i="34"/>
  <c r="E31" i="55"/>
  <c r="W38" i="55" s="1"/>
  <c r="AV10" i="34" s="1"/>
  <c r="M55" i="25"/>
  <c r="M58" i="25"/>
  <c r="A61" i="25"/>
  <c r="A64" i="25"/>
  <c r="D54" i="25"/>
  <c r="D55" i="25"/>
  <c r="D56" i="25"/>
  <c r="D57" i="25"/>
  <c r="D58" i="25"/>
  <c r="D59" i="25"/>
  <c r="D60" i="25"/>
  <c r="D61" i="25"/>
  <c r="D62" i="25"/>
  <c r="D63" i="25"/>
  <c r="D64" i="25"/>
  <c r="D65" i="25"/>
  <c r="A54" i="25"/>
  <c r="A58" i="25"/>
  <c r="A62" i="25"/>
  <c r="A65" i="25"/>
  <c r="G55" i="25"/>
  <c r="G56" i="25"/>
  <c r="G57" i="25"/>
  <c r="G58" i="25"/>
  <c r="G59" i="25"/>
  <c r="G60" i="25"/>
  <c r="G61" i="25"/>
  <c r="G62" i="25"/>
  <c r="G63" i="25"/>
  <c r="G64" i="25"/>
  <c r="G65" i="25"/>
  <c r="A55" i="25"/>
  <c r="M57" i="25"/>
  <c r="A60" i="25"/>
  <c r="A63" i="25"/>
  <c r="G54" i="25"/>
  <c r="V54" i="25"/>
  <c r="V55" i="25"/>
  <c r="V56" i="25"/>
  <c r="V57" i="25"/>
  <c r="V58" i="25"/>
  <c r="V59" i="25"/>
  <c r="V60" i="25"/>
  <c r="V61" i="25"/>
  <c r="V62" i="25"/>
  <c r="V63" i="25"/>
  <c r="V64" i="25"/>
  <c r="E32" i="51"/>
  <c r="EI884" i="34"/>
  <c r="G884" i="34"/>
  <c r="EI856" i="34"/>
  <c r="G856" i="34"/>
  <c r="EI807" i="34"/>
  <c r="G807" i="34"/>
  <c r="EI779" i="34"/>
  <c r="G779" i="34"/>
  <c r="EI737" i="34"/>
  <c r="G737" i="34"/>
  <c r="EI772" i="34"/>
  <c r="G772" i="34"/>
  <c r="EI688" i="34"/>
  <c r="G688" i="34"/>
  <c r="EI618" i="34"/>
  <c r="G618" i="34"/>
  <c r="EI555" i="34"/>
  <c r="G555" i="34"/>
  <c r="EI612" i="34"/>
  <c r="G612" i="34"/>
  <c r="EI506" i="34"/>
  <c r="G506" i="34"/>
  <c r="EI729" i="34"/>
  <c r="G729" i="34"/>
  <c r="EI897" i="34"/>
  <c r="G897" i="34"/>
  <c r="EI121" i="34"/>
  <c r="G121" i="34"/>
  <c r="EI340" i="34"/>
  <c r="G340" i="34"/>
  <c r="EI450" i="34"/>
  <c r="G450" i="34"/>
  <c r="EI696" i="34"/>
  <c r="G696" i="34"/>
  <c r="EI591" i="34"/>
  <c r="G591" i="34"/>
  <c r="EI653" i="34"/>
  <c r="G653" i="34"/>
  <c r="EI571" i="34"/>
  <c r="G571" i="34"/>
  <c r="EI331" i="34"/>
  <c r="G331" i="34"/>
  <c r="EI324" i="34"/>
  <c r="G324" i="34"/>
  <c r="EI247" i="34"/>
  <c r="G247" i="34"/>
  <c r="EI291" i="34"/>
  <c r="G291" i="34"/>
  <c r="EI233" i="34"/>
  <c r="G233" i="34"/>
  <c r="EI284" i="34"/>
  <c r="G284" i="34"/>
  <c r="EI857" i="34"/>
  <c r="G857" i="34"/>
  <c r="EI261" i="34"/>
  <c r="G261" i="34"/>
  <c r="EI283" i="34"/>
  <c r="G283" i="34"/>
  <c r="EI225" i="34"/>
  <c r="G225" i="34"/>
  <c r="EI877" i="34"/>
  <c r="G877" i="34"/>
  <c r="EI849" i="34"/>
  <c r="G849" i="34"/>
  <c r="EI751" i="34"/>
  <c r="G751" i="34"/>
  <c r="EI709" i="34"/>
  <c r="G709" i="34"/>
  <c r="EI639" i="34"/>
  <c r="G639" i="34"/>
  <c r="EI744" i="34"/>
  <c r="G744" i="34"/>
  <c r="EI682" i="34"/>
  <c r="G682" i="34"/>
  <c r="EI632" i="34"/>
  <c r="G632" i="34"/>
  <c r="EI841" i="34"/>
  <c r="G841" i="34"/>
  <c r="EI228" i="34"/>
  <c r="G228" i="34"/>
  <c r="EI534" i="34"/>
  <c r="G534" i="34"/>
  <c r="EI528" i="34"/>
  <c r="G528" i="34"/>
  <c r="EI305" i="34"/>
  <c r="G305" i="34"/>
  <c r="EI410" i="34"/>
  <c r="G410" i="34"/>
  <c r="EI241" i="34"/>
  <c r="G241" i="34"/>
  <c r="EI444" i="34"/>
  <c r="G444" i="34"/>
  <c r="EI206" i="34"/>
  <c r="G206" i="34"/>
  <c r="EI254" i="34"/>
  <c r="G254" i="34"/>
  <c r="EI169" i="34"/>
  <c r="G169" i="34"/>
  <c r="EI114" i="34"/>
  <c r="G114" i="34"/>
  <c r="EI870" i="34"/>
  <c r="G870" i="34"/>
  <c r="EI821" i="34"/>
  <c r="G821" i="34"/>
  <c r="EI793" i="34"/>
  <c r="G793" i="34"/>
  <c r="EI723" i="34"/>
  <c r="G723" i="34"/>
  <c r="EI758" i="34"/>
  <c r="G758" i="34"/>
  <c r="EI702" i="34"/>
  <c r="G702" i="34"/>
  <c r="EI646" i="34"/>
  <c r="G646" i="34"/>
  <c r="EI562" i="34"/>
  <c r="G562" i="34"/>
  <c r="EI513" i="34"/>
  <c r="G513" i="34"/>
  <c r="EI569" i="34"/>
  <c r="G569" i="34"/>
  <c r="EI500" i="34"/>
  <c r="G500" i="34"/>
  <c r="EI673" i="34"/>
  <c r="G673" i="34"/>
  <c r="EI129" i="34"/>
  <c r="G129" i="34"/>
  <c r="EI548" i="34"/>
  <c r="G548" i="34"/>
  <c r="EI843" i="34"/>
  <c r="G843" i="34"/>
  <c r="EI814" i="34"/>
  <c r="G814" i="34"/>
  <c r="EI850" i="34"/>
  <c r="G850" i="34"/>
  <c r="EI605" i="34"/>
  <c r="G605" i="34"/>
  <c r="EI389" i="34"/>
  <c r="G389" i="34"/>
  <c r="EI443" i="34"/>
  <c r="G443" i="34"/>
  <c r="EI424" i="34"/>
  <c r="G424" i="34"/>
  <c r="EI359" i="34"/>
  <c r="G359" i="34"/>
  <c r="EI179" i="34"/>
  <c r="G179" i="34"/>
  <c r="EI345" i="34"/>
  <c r="G345" i="34"/>
  <c r="EI885" i="34"/>
  <c r="G885" i="34"/>
  <c r="EI318" i="34"/>
  <c r="G318" i="34"/>
  <c r="EI268" i="34"/>
  <c r="G268" i="34"/>
  <c r="EI177" i="34"/>
  <c r="G177" i="34"/>
  <c r="EI449" i="34"/>
  <c r="G449" i="34"/>
  <c r="EI891" i="34"/>
  <c r="G891" i="34"/>
  <c r="EI863" i="34"/>
  <c r="G863" i="34"/>
  <c r="EI765" i="34"/>
  <c r="G765" i="34"/>
  <c r="EI695" i="34"/>
  <c r="G695" i="34"/>
  <c r="EI667" i="34"/>
  <c r="G667" i="34"/>
  <c r="EI730" i="34"/>
  <c r="G730" i="34"/>
  <c r="EI716" i="34"/>
  <c r="G716" i="34"/>
  <c r="EI660" i="34"/>
  <c r="G660" i="34"/>
  <c r="EI520" i="34"/>
  <c r="G520" i="34"/>
  <c r="EI458" i="34"/>
  <c r="G458" i="34"/>
  <c r="EI785" i="34"/>
  <c r="G785" i="34"/>
  <c r="EI172" i="34"/>
  <c r="G172" i="34"/>
  <c r="EI396" i="34"/>
  <c r="G396" i="34"/>
  <c r="EI871" i="34"/>
  <c r="G871" i="34"/>
  <c r="EI542" i="34"/>
  <c r="G542" i="34"/>
  <c r="EI543" i="34"/>
  <c r="G543" i="34"/>
  <c r="EI212" i="34"/>
  <c r="G212" i="34"/>
  <c r="EI417" i="34"/>
  <c r="G417" i="34"/>
  <c r="EI352" i="34"/>
  <c r="G352" i="34"/>
  <c r="EI185" i="34"/>
  <c r="G185" i="34"/>
  <c r="EI275" i="34"/>
  <c r="G275" i="34"/>
  <c r="EI337" i="34"/>
  <c r="G337" i="34"/>
  <c r="EI281" i="34"/>
  <c r="G281" i="34"/>
  <c r="AO11" i="34"/>
  <c r="GB20" i="4"/>
  <c r="FW3" i="34" s="1"/>
  <c r="AP42" i="4"/>
  <c r="FZ42" i="4"/>
  <c r="GA42" i="4" s="1"/>
  <c r="GB42" i="4" s="1"/>
  <c r="FW25" i="34" s="1"/>
  <c r="AP34" i="4"/>
  <c r="FZ34" i="4"/>
  <c r="GA27" i="4"/>
  <c r="GB27" i="4" s="1"/>
  <c r="FW10" i="34" s="1"/>
  <c r="GA43" i="4"/>
  <c r="GB43" i="4" s="1"/>
  <c r="FW26" i="34" s="1"/>
  <c r="GA39" i="4"/>
  <c r="GB39" i="4" s="1"/>
  <c r="FW22" i="34" s="1"/>
  <c r="GA22" i="4"/>
  <c r="GB22" i="4" s="1"/>
  <c r="FW5" i="34" s="1"/>
  <c r="GA38" i="4"/>
  <c r="GB38" i="4" s="1"/>
  <c r="FW21" i="34" s="1"/>
  <c r="GA47" i="4"/>
  <c r="GB47" i="4" s="1"/>
  <c r="FW30" i="34" s="1"/>
  <c r="AP28" i="4"/>
  <c r="FZ28" i="4"/>
  <c r="GA28" i="4" s="1"/>
  <c r="GB28" i="4" s="1"/>
  <c r="FW11" i="34" s="1"/>
  <c r="EG6" i="14"/>
  <c r="EG6" i="15"/>
  <c r="DK3" i="34"/>
  <c r="DJ3" i="34" s="1"/>
  <c r="DI3" i="34" s="1"/>
  <c r="EG6" i="9"/>
  <c r="EG6" i="8"/>
  <c r="EG6" i="7"/>
  <c r="EG6" i="10"/>
  <c r="EG6" i="5"/>
  <c r="EG6" i="13"/>
  <c r="EG6" i="6"/>
  <c r="EG6" i="12"/>
  <c r="EG6" i="11"/>
  <c r="BD8" i="43"/>
  <c r="AW40" i="4"/>
  <c r="AP40" i="4"/>
  <c r="AP20" i="4"/>
  <c r="AW35" i="4"/>
  <c r="AP35" i="4"/>
  <c r="AW27" i="4"/>
  <c r="AP27" i="4"/>
  <c r="AW43" i="4"/>
  <c r="AP43" i="4"/>
  <c r="AW32" i="4"/>
  <c r="AP32" i="4"/>
  <c r="AW39" i="4"/>
  <c r="AP39" i="4"/>
  <c r="AW22" i="4"/>
  <c r="AP22" i="4"/>
  <c r="AW31" i="4"/>
  <c r="AP31" i="4"/>
  <c r="AW26" i="4"/>
  <c r="AP26" i="4"/>
  <c r="AW33" i="4"/>
  <c r="AP33" i="4"/>
  <c r="AW38" i="4"/>
  <c r="AP38" i="4"/>
  <c r="AW24" i="4"/>
  <c r="AP24" i="4"/>
  <c r="AW37" i="4"/>
  <c r="AP37" i="4"/>
  <c r="AW21" i="4"/>
  <c r="AP21" i="4"/>
  <c r="EQ44" i="4"/>
  <c r="EW44" i="4" s="1"/>
  <c r="AP44" i="4"/>
  <c r="AW30" i="4"/>
  <c r="AP30" i="4"/>
  <c r="AW23" i="4"/>
  <c r="AP23" i="4"/>
  <c r="AW47" i="4"/>
  <c r="AP47" i="4"/>
  <c r="AW36" i="4"/>
  <c r="AP36" i="4"/>
  <c r="AW41" i="4"/>
  <c r="AP41" i="4"/>
  <c r="AW25" i="4"/>
  <c r="AP25" i="4"/>
  <c r="AW46" i="4"/>
  <c r="AP46" i="4"/>
  <c r="AW45" i="4"/>
  <c r="AP45" i="4"/>
  <c r="AW29" i="4"/>
  <c r="AP29" i="4"/>
  <c r="L9" i="25"/>
  <c r="K9" i="25" s="1"/>
  <c r="G33" i="25" s="1"/>
  <c r="A8" i="52"/>
  <c r="T10" i="16"/>
  <c r="A6" i="52"/>
  <c r="T8" i="16"/>
  <c r="A5" i="52"/>
  <c r="T7" i="16"/>
  <c r="A12" i="52"/>
  <c r="T14" i="16"/>
  <c r="A11" i="52"/>
  <c r="T13" i="16"/>
  <c r="A10" i="52"/>
  <c r="T12" i="16"/>
  <c r="A7" i="52"/>
  <c r="T9" i="16"/>
  <c r="A15" i="52"/>
  <c r="T17" i="16"/>
  <c r="A9" i="52"/>
  <c r="T11" i="16"/>
  <c r="A13" i="52"/>
  <c r="T15" i="16"/>
  <c r="A14" i="52"/>
  <c r="T16" i="16"/>
  <c r="BQ48" i="5"/>
  <c r="BZ44" i="5"/>
  <c r="BZ47" i="5"/>
  <c r="B66" i="5"/>
  <c r="BQ45" i="4"/>
  <c r="A11" i="79"/>
  <c r="K22" i="69"/>
  <c r="B21" i="69" s="1"/>
  <c r="B16" i="69"/>
  <c r="K22" i="70"/>
  <c r="B21" i="70" s="1"/>
  <c r="B16" i="70"/>
  <c r="K22" i="31"/>
  <c r="B21" i="31" s="1"/>
  <c r="B16" i="31"/>
  <c r="E40" i="69"/>
  <c r="L50" i="57"/>
  <c r="L51" i="57" s="1"/>
  <c r="L52" i="57" s="1"/>
  <c r="M50" i="57"/>
  <c r="M56" i="57"/>
  <c r="D48" i="57"/>
  <c r="AJ8" i="38"/>
  <c r="BN8" i="38" s="1"/>
  <c r="M52" i="57"/>
  <c r="E52" i="57"/>
  <c r="B34" i="54"/>
  <c r="BC20" i="18"/>
  <c r="BB20" i="18" s="1"/>
  <c r="CF44" i="18"/>
  <c r="CE44" i="18" s="1"/>
  <c r="CF43" i="18"/>
  <c r="CE43" i="18" s="1"/>
  <c r="CF42" i="18"/>
  <c r="CE42" i="18" s="1"/>
  <c r="CF41" i="18"/>
  <c r="CE41" i="18" s="1"/>
  <c r="CF40" i="18"/>
  <c r="CE40" i="18" s="1"/>
  <c r="CF39" i="18"/>
  <c r="CE39" i="18" s="1"/>
  <c r="CF38" i="18"/>
  <c r="CE38" i="18" s="1"/>
  <c r="CF37" i="18"/>
  <c r="CE37" i="18" s="1"/>
  <c r="CF36" i="18"/>
  <c r="CE36" i="18" s="1"/>
  <c r="CF35" i="18"/>
  <c r="CE35" i="18" s="1"/>
  <c r="CF34" i="18"/>
  <c r="CE34" i="18" s="1"/>
  <c r="CF33" i="18"/>
  <c r="CE33" i="18" s="1"/>
  <c r="CF32" i="18"/>
  <c r="CE32" i="18" s="1"/>
  <c r="CF31" i="18"/>
  <c r="CE31" i="18" s="1"/>
  <c r="CF30" i="18"/>
  <c r="CE30" i="18" s="1"/>
  <c r="CF29" i="18"/>
  <c r="CE29" i="18" s="1"/>
  <c r="CF28" i="18"/>
  <c r="CE28" i="18" s="1"/>
  <c r="CF27" i="18"/>
  <c r="CE27" i="18" s="1"/>
  <c r="CF26" i="18"/>
  <c r="CE26" i="18" s="1"/>
  <c r="CF25" i="18"/>
  <c r="CE25" i="18" s="1"/>
  <c r="CF24" i="18"/>
  <c r="CE24" i="18" s="1"/>
  <c r="CF23" i="18"/>
  <c r="CE23" i="18" s="1"/>
  <c r="CF22" i="18"/>
  <c r="CE22" i="18" s="1"/>
  <c r="CF21" i="18"/>
  <c r="CE21" i="18" s="1"/>
  <c r="CF20" i="18"/>
  <c r="CE20" i="18" s="1"/>
  <c r="CF19" i="18"/>
  <c r="CE19" i="18" s="1"/>
  <c r="CF18" i="18"/>
  <c r="CE17" i="18"/>
  <c r="O1" i="63"/>
  <c r="I1" i="63"/>
  <c r="O1" i="60"/>
  <c r="I1" i="60"/>
  <c r="U8" i="38"/>
  <c r="U8" i="42"/>
  <c r="U8" i="41"/>
  <c r="U8" i="39"/>
  <c r="U8" i="18"/>
  <c r="D8" i="18"/>
  <c r="AJ8" i="18" s="1"/>
  <c r="BN8" i="18" s="1"/>
  <c r="U8" i="40"/>
  <c r="E37" i="33"/>
  <c r="E37" i="57"/>
  <c r="BY4" i="4"/>
  <c r="AJ8" i="37"/>
  <c r="BN8" i="37" s="1"/>
  <c r="BD8" i="41"/>
  <c r="BD8" i="36"/>
  <c r="AJ8" i="45"/>
  <c r="BN8" i="45" s="1"/>
  <c r="E37" i="27"/>
  <c r="AJ8" i="44"/>
  <c r="BN8" i="44" s="1"/>
  <c r="AJ8" i="42"/>
  <c r="BN8" i="42" s="1"/>
  <c r="U8" i="45"/>
  <c r="U8" i="37"/>
  <c r="U8" i="44"/>
  <c r="U8" i="36"/>
  <c r="U8" i="43"/>
  <c r="E37" i="69"/>
  <c r="AJ8" i="39"/>
  <c r="BN8" i="39" s="1"/>
  <c r="E37" i="31"/>
  <c r="AO7" i="34"/>
  <c r="E37" i="32"/>
  <c r="AO8" i="34"/>
  <c r="AO16" i="34"/>
  <c r="AO14" i="34"/>
  <c r="AO13" i="34"/>
  <c r="E37" i="55"/>
  <c r="AO10" i="34"/>
  <c r="AO5" i="34"/>
  <c r="AB4" i="34"/>
  <c r="O29" i="2"/>
  <c r="N29" i="2" s="1"/>
  <c r="BD8" i="35"/>
  <c r="AJ8" i="40"/>
  <c r="BN8" i="40" s="1"/>
  <c r="E37" i="67"/>
  <c r="E37" i="68"/>
  <c r="E37" i="71"/>
  <c r="E37" i="70"/>
  <c r="E37" i="26"/>
  <c r="C9" i="75"/>
  <c r="P21" i="76" s="1"/>
  <c r="FD5" i="34"/>
  <c r="FD53" i="34" s="1"/>
  <c r="FD3" i="34"/>
  <c r="FD51" i="34" s="1"/>
  <c r="FD2" i="34"/>
  <c r="FD50" i="34" s="1"/>
  <c r="FD4" i="34"/>
  <c r="FD52" i="34" s="1"/>
  <c r="E266" i="77"/>
  <c r="F266" i="77" s="1" a="1"/>
  <c r="F266" i="77" s="1"/>
  <c r="Q8" i="74"/>
  <c r="Q34" i="74" s="1"/>
  <c r="P34" i="74" s="1"/>
  <c r="T8" i="74"/>
  <c r="T24" i="74" s="1"/>
  <c r="S24" i="74" s="1"/>
  <c r="N8" i="74"/>
  <c r="N12" i="74" s="1"/>
  <c r="M12" i="74" s="1"/>
  <c r="DP6" i="7"/>
  <c r="EG5" i="7"/>
  <c r="DP6" i="10"/>
  <c r="EG5" i="10"/>
  <c r="DP6" i="9"/>
  <c r="EG5" i="9"/>
  <c r="DP6" i="14"/>
  <c r="EG5" i="14"/>
  <c r="DP6" i="5"/>
  <c r="EG5" i="5"/>
  <c r="DP6" i="13"/>
  <c r="EG5" i="13"/>
  <c r="DP6" i="15"/>
  <c r="EG5" i="15"/>
  <c r="DP6" i="8"/>
  <c r="EG5" i="8"/>
  <c r="DP6" i="6"/>
  <c r="EG5" i="6"/>
  <c r="DP6" i="12"/>
  <c r="EG5" i="12"/>
  <c r="DP6" i="11"/>
  <c r="EG5" i="11"/>
  <c r="J8" i="74"/>
  <c r="K8" i="74"/>
  <c r="B84" i="80"/>
  <c r="AB5" i="8"/>
  <c r="I34" i="51" s="1"/>
  <c r="AB5" i="10"/>
  <c r="G34" i="51" s="1"/>
  <c r="AB5" i="9"/>
  <c r="H34" i="51" s="1"/>
  <c r="AB5" i="14"/>
  <c r="K34" i="51" s="1"/>
  <c r="AB5" i="5"/>
  <c r="E34" i="51" s="1"/>
  <c r="AB5" i="13"/>
  <c r="L34" i="51" s="1"/>
  <c r="AB5" i="7"/>
  <c r="C34" i="51" s="1"/>
  <c r="AB5" i="6"/>
  <c r="J34" i="51" s="1"/>
  <c r="AB5" i="12"/>
  <c r="M34" i="51" s="1"/>
  <c r="AB5" i="11"/>
  <c r="B34" i="51" s="1"/>
  <c r="AB5" i="15"/>
  <c r="D34" i="51" s="1"/>
  <c r="AB8" i="74"/>
  <c r="B22" i="54"/>
  <c r="X5" i="4"/>
  <c r="F33" i="51" s="1"/>
  <c r="A7" i="50" s="1"/>
  <c r="V8" i="74"/>
  <c r="W8" i="74"/>
  <c r="Y8" i="74"/>
  <c r="Z8" i="74"/>
  <c r="AC9" i="74"/>
  <c r="AB9" i="74" s="1"/>
  <c r="AC27" i="74"/>
  <c r="AB27" i="74" s="1"/>
  <c r="AC23" i="74"/>
  <c r="AB23" i="74" s="1"/>
  <c r="H8" i="74"/>
  <c r="G8" i="74"/>
  <c r="AL8" i="74"/>
  <c r="AK8" i="74"/>
  <c r="AH8" i="74"/>
  <c r="AI8" i="74"/>
  <c r="A7" i="83"/>
  <c r="A29" i="83"/>
  <c r="FC24" i="4"/>
  <c r="FC28" i="4"/>
  <c r="FC32" i="4"/>
  <c r="FC36" i="4"/>
  <c r="FC40" i="4"/>
  <c r="FC44" i="4"/>
  <c r="FC21" i="4"/>
  <c r="FC25" i="4"/>
  <c r="FC29" i="4"/>
  <c r="FC33" i="4"/>
  <c r="FC37" i="4"/>
  <c r="FC41" i="4"/>
  <c r="FC45" i="4"/>
  <c r="FC22" i="4"/>
  <c r="FC30" i="4"/>
  <c r="FC38" i="4"/>
  <c r="FC46" i="4"/>
  <c r="FC20" i="4"/>
  <c r="FC23" i="4"/>
  <c r="FC31" i="4"/>
  <c r="FC39" i="4"/>
  <c r="FC47" i="4"/>
  <c r="FC26" i="4"/>
  <c r="FC42" i="4"/>
  <c r="FC34" i="4"/>
  <c r="FC27" i="4"/>
  <c r="FC43" i="4"/>
  <c r="FC35" i="4"/>
  <c r="AA9" i="60"/>
  <c r="A54" i="60" s="1"/>
  <c r="AC4" i="60"/>
  <c r="AB6" i="60" s="1"/>
  <c r="B4" i="60" s="1"/>
  <c r="S7" i="59"/>
  <c r="S6" i="59"/>
  <c r="BK28" i="4"/>
  <c r="AW28" i="4"/>
  <c r="BK42" i="4"/>
  <c r="AW42" i="4"/>
  <c r="BK34" i="4"/>
  <c r="AW34" i="4"/>
  <c r="BK44" i="4"/>
  <c r="AW44" i="4"/>
  <c r="BK20" i="4"/>
  <c r="AW20" i="4"/>
  <c r="EQ30" i="4"/>
  <c r="EW30" i="4" s="1"/>
  <c r="BK30" i="4"/>
  <c r="B15" i="72"/>
  <c r="EG15" i="72" s="1"/>
  <c r="BK23" i="4"/>
  <c r="B39" i="72"/>
  <c r="EG39" i="72" s="1"/>
  <c r="BK47" i="4"/>
  <c r="EQ36" i="4"/>
  <c r="EW36" i="4" s="1"/>
  <c r="BK36" i="4"/>
  <c r="EQ41" i="4"/>
  <c r="EW41" i="4" s="1"/>
  <c r="BK41" i="4"/>
  <c r="EQ25" i="4"/>
  <c r="EW25" i="4" s="1"/>
  <c r="BK25" i="4"/>
  <c r="EQ46" i="4"/>
  <c r="EW46" i="4" s="1"/>
  <c r="BK46" i="4"/>
  <c r="B37" i="72"/>
  <c r="EG37" i="72" s="1"/>
  <c r="BK45" i="4"/>
  <c r="EQ29" i="4"/>
  <c r="EW29" i="4" s="1"/>
  <c r="BK29" i="4"/>
  <c r="EQ40" i="4"/>
  <c r="EW40" i="4" s="1"/>
  <c r="BK40" i="4"/>
  <c r="EQ35" i="4"/>
  <c r="EW35" i="4" s="1"/>
  <c r="BK35" i="4"/>
  <c r="EQ27" i="4"/>
  <c r="EW27" i="4" s="1"/>
  <c r="BK27" i="4"/>
  <c r="EQ43" i="4"/>
  <c r="EW43" i="4" s="1"/>
  <c r="BK43" i="4"/>
  <c r="B24" i="72"/>
  <c r="EG24" i="72" s="1"/>
  <c r="BK32" i="4"/>
  <c r="EQ39" i="4"/>
  <c r="EW39" i="4" s="1"/>
  <c r="BK39" i="4"/>
  <c r="EQ22" i="4"/>
  <c r="EW22" i="4" s="1"/>
  <c r="BK22" i="4"/>
  <c r="B23" i="72"/>
  <c r="EG23" i="72" s="1"/>
  <c r="BK31" i="4"/>
  <c r="B18" i="72"/>
  <c r="EG18" i="72" s="1"/>
  <c r="BK26" i="4"/>
  <c r="B25" i="72"/>
  <c r="EG25" i="72" s="1"/>
  <c r="BK33" i="4"/>
  <c r="B30" i="72"/>
  <c r="EG30" i="72" s="1"/>
  <c r="BK38" i="4"/>
  <c r="B16" i="72"/>
  <c r="EG16" i="72" s="1"/>
  <c r="BK24" i="4"/>
  <c r="EQ37" i="4"/>
  <c r="EW37" i="4" s="1"/>
  <c r="BK37" i="4"/>
  <c r="EQ21" i="4"/>
  <c r="EW21" i="4" s="1"/>
  <c r="BK21" i="4"/>
  <c r="V16" i="55"/>
  <c r="V21" i="55" s="1"/>
  <c r="K17" i="55"/>
  <c r="BY17" i="27"/>
  <c r="BY16" i="2"/>
  <c r="BY21" i="2" s="1"/>
  <c r="AG17" i="27"/>
  <c r="BN16" i="57"/>
  <c r="BN21" i="57" s="1"/>
  <c r="AR16" i="55"/>
  <c r="AR21" i="55" s="1"/>
  <c r="BC17" i="55"/>
  <c r="BC16" i="31"/>
  <c r="BC21" i="31" s="1"/>
  <c r="BN16" i="2"/>
  <c r="BN21" i="2" s="1"/>
  <c r="BY16" i="56"/>
  <c r="BY21" i="56" s="1"/>
  <c r="AG17" i="68"/>
  <c r="AR17" i="56"/>
  <c r="BC16" i="2"/>
  <c r="BC21" i="2" s="1"/>
  <c r="AR17" i="27"/>
  <c r="BN16" i="31"/>
  <c r="BN21" i="31" s="1"/>
  <c r="K16" i="70"/>
  <c r="K21" i="70" s="1"/>
  <c r="E39" i="70" s="1"/>
  <c r="E48" i="70" s="1"/>
  <c r="BC17" i="56"/>
  <c r="V16" i="56"/>
  <c r="V21" i="56" s="1"/>
  <c r="BN17" i="55"/>
  <c r="CJ16" i="56"/>
  <c r="CJ21" i="56" s="1"/>
  <c r="K16" i="31"/>
  <c r="K21" i="31" s="1"/>
  <c r="BN17" i="27"/>
  <c r="CJ17" i="26"/>
  <c r="BY17" i="71"/>
  <c r="BC17" i="57"/>
  <c r="BY16" i="55"/>
  <c r="BY21" i="55" s="1"/>
  <c r="E42" i="33"/>
  <c r="BN16" i="56"/>
  <c r="BN21" i="56" s="1"/>
  <c r="CJ16" i="2"/>
  <c r="CJ21" i="2" s="1"/>
  <c r="BC17" i="27"/>
  <c r="AG16" i="55"/>
  <c r="AG21" i="55" s="1"/>
  <c r="E42" i="27"/>
  <c r="V16" i="31"/>
  <c r="V21" i="31" s="1"/>
  <c r="AR17" i="26"/>
  <c r="CJ16" i="55"/>
  <c r="CJ21" i="55" s="1"/>
  <c r="AG17" i="26"/>
  <c r="E42" i="26"/>
  <c r="CB3" i="74"/>
  <c r="V16" i="26"/>
  <c r="V21" i="26" s="1"/>
  <c r="BY17" i="33"/>
  <c r="BY16" i="33"/>
  <c r="BY21" i="33" s="1"/>
  <c r="BY16" i="26"/>
  <c r="BY21" i="26" s="1"/>
  <c r="BY17" i="26"/>
  <c r="AR17" i="2"/>
  <c r="AR16" i="2"/>
  <c r="AR21" i="2" s="1"/>
  <c r="BC17" i="26"/>
  <c r="BC16" i="26"/>
  <c r="BC21" i="26" s="1"/>
  <c r="E42" i="67"/>
  <c r="V16" i="27"/>
  <c r="V21" i="27" s="1"/>
  <c r="V17" i="27"/>
  <c r="CJ17" i="33"/>
  <c r="CJ16" i="33"/>
  <c r="CJ21" i="33" s="1"/>
  <c r="CJ16" i="27"/>
  <c r="CJ21" i="27" s="1"/>
  <c r="CJ17" i="27"/>
  <c r="BN17" i="26"/>
  <c r="BN16" i="26"/>
  <c r="BN21" i="26" s="1"/>
  <c r="BY16" i="57"/>
  <c r="BY21" i="57" s="1"/>
  <c r="CJ17" i="71"/>
  <c r="CJ16" i="71"/>
  <c r="CJ21" i="71" s="1"/>
  <c r="CJ17" i="32"/>
  <c r="CJ16" i="32"/>
  <c r="CJ21" i="32" s="1"/>
  <c r="CJ17" i="31"/>
  <c r="CJ16" i="31"/>
  <c r="CJ21" i="31" s="1"/>
  <c r="BY17" i="32"/>
  <c r="BY16" i="32"/>
  <c r="BY21" i="32" s="1"/>
  <c r="BY17" i="31"/>
  <c r="BY16" i="31"/>
  <c r="BY21" i="31" s="1"/>
  <c r="BN17" i="32"/>
  <c r="BN16" i="32"/>
  <c r="BN21" i="32" s="1"/>
  <c r="BC17" i="32"/>
  <c r="BC16" i="32"/>
  <c r="BC21" i="32" s="1"/>
  <c r="AR17" i="31"/>
  <c r="AR16" i="31"/>
  <c r="AR21" i="31" s="1"/>
  <c r="AR17" i="32"/>
  <c r="AR16" i="32"/>
  <c r="AR21" i="32" s="1"/>
  <c r="AG17" i="31"/>
  <c r="AG16" i="31"/>
  <c r="AG21" i="31" s="1"/>
  <c r="AG17" i="33"/>
  <c r="AG16" i="33"/>
  <c r="AG21" i="33" s="1"/>
  <c r="V17" i="33"/>
  <c r="V16" i="33"/>
  <c r="V21" i="33" s="1"/>
  <c r="E42" i="31"/>
  <c r="E42" i="57"/>
  <c r="E42" i="32"/>
  <c r="AG16" i="71"/>
  <c r="AG21" i="71" s="1"/>
  <c r="AR17" i="71"/>
  <c r="AR16" i="71"/>
  <c r="AR21" i="71" s="1"/>
  <c r="V17" i="71"/>
  <c r="V16" i="71"/>
  <c r="V21" i="71" s="1"/>
  <c r="BN17" i="33"/>
  <c r="BN16" i="33"/>
  <c r="BN21" i="33" s="1"/>
  <c r="BC17" i="33"/>
  <c r="BC16" i="33"/>
  <c r="BC21" i="33" s="1"/>
  <c r="AR17" i="33"/>
  <c r="AR16" i="33"/>
  <c r="AR21" i="33" s="1"/>
  <c r="AG17" i="32"/>
  <c r="AG16" i="32"/>
  <c r="AG21" i="32" s="1"/>
  <c r="BC17" i="71"/>
  <c r="BC16" i="71"/>
  <c r="BC21" i="71" s="1"/>
  <c r="K17" i="71"/>
  <c r="K16" i="71"/>
  <c r="K21" i="71" s="1"/>
  <c r="E39" i="71" s="1"/>
  <c r="E48" i="71" s="1"/>
  <c r="V16" i="67"/>
  <c r="V21" i="67" s="1"/>
  <c r="V17" i="67"/>
  <c r="V17" i="32"/>
  <c r="V16" i="32"/>
  <c r="V21" i="32" s="1"/>
  <c r="BC17" i="70"/>
  <c r="BC16" i="70"/>
  <c r="BC21" i="70" s="1"/>
  <c r="AR17" i="68"/>
  <c r="AR16" i="68"/>
  <c r="AR21" i="68" s="1"/>
  <c r="BN17" i="67"/>
  <c r="BN16" i="67"/>
  <c r="BN21" i="67" s="1"/>
  <c r="V17" i="57"/>
  <c r="V16" i="57"/>
  <c r="V21" i="57" s="1"/>
  <c r="CJ17" i="70"/>
  <c r="CJ16" i="70"/>
  <c r="CJ21" i="70" s="1"/>
  <c r="BY17" i="70"/>
  <c r="BY16" i="70"/>
  <c r="BY21" i="70" s="1"/>
  <c r="CJ17" i="68"/>
  <c r="CJ16" i="68"/>
  <c r="CJ21" i="68" s="1"/>
  <c r="AR17" i="57"/>
  <c r="AR16" i="57"/>
  <c r="AR21" i="57" s="1"/>
  <c r="K17" i="26"/>
  <c r="K16" i="26"/>
  <c r="K21" i="26" s="1"/>
  <c r="K17" i="33"/>
  <c r="K16" i="33"/>
  <c r="K21" i="33" s="1"/>
  <c r="E42" i="2"/>
  <c r="E46" i="2" s="1"/>
  <c r="E42" i="55"/>
  <c r="C64" i="55" s="1"/>
  <c r="E42" i="56"/>
  <c r="C64" i="56" s="1"/>
  <c r="AR17" i="70"/>
  <c r="AR16" i="70"/>
  <c r="AR21" i="70" s="1"/>
  <c r="AG17" i="70"/>
  <c r="AG16" i="70"/>
  <c r="AG21" i="70" s="1"/>
  <c r="AR17" i="69"/>
  <c r="AR16" i="69"/>
  <c r="AR21" i="69" s="1"/>
  <c r="BY17" i="68"/>
  <c r="BY16" i="68"/>
  <c r="BY21" i="68" s="1"/>
  <c r="E42" i="70"/>
  <c r="AE15" i="34"/>
  <c r="E42" i="71"/>
  <c r="V17" i="69"/>
  <c r="V16" i="69"/>
  <c r="V21" i="69" s="1"/>
  <c r="K17" i="68"/>
  <c r="K16" i="68"/>
  <c r="K21" i="68" s="1"/>
  <c r="E39" i="68" s="1"/>
  <c r="E48" i="68" s="1"/>
  <c r="CJ17" i="67"/>
  <c r="CJ16" i="67"/>
  <c r="CJ21" i="67" s="1"/>
  <c r="AR17" i="67"/>
  <c r="AR16" i="67"/>
  <c r="AR21" i="67" s="1"/>
  <c r="AG17" i="69"/>
  <c r="AG16" i="69"/>
  <c r="AG21" i="69" s="1"/>
  <c r="BY17" i="67"/>
  <c r="BY16" i="67"/>
  <c r="BY21" i="67" s="1"/>
  <c r="AG17" i="67"/>
  <c r="AG16" i="67"/>
  <c r="AG21" i="67" s="1"/>
  <c r="AE12" i="34"/>
  <c r="K17" i="57"/>
  <c r="K16" i="57"/>
  <c r="K21" i="57" s="1"/>
  <c r="AG17" i="2"/>
  <c r="AG22" i="2" s="1"/>
  <c r="X21" i="2" s="1"/>
  <c r="AG16" i="2"/>
  <c r="AG21" i="2" s="1"/>
  <c r="BN17" i="69"/>
  <c r="BN16" i="69"/>
  <c r="BN21" i="69" s="1"/>
  <c r="BN17" i="68"/>
  <c r="BN16" i="68"/>
  <c r="BN21" i="68" s="1"/>
  <c r="E42" i="68"/>
  <c r="BY17" i="69"/>
  <c r="BY16" i="69"/>
  <c r="BY21" i="69" s="1"/>
  <c r="E42" i="69"/>
  <c r="V17" i="68"/>
  <c r="V16" i="68"/>
  <c r="V21" i="68" s="1"/>
  <c r="BC17" i="68"/>
  <c r="BC16" i="68"/>
  <c r="BC21" i="68" s="1"/>
  <c r="K17" i="67"/>
  <c r="K16" i="67"/>
  <c r="K21" i="67" s="1"/>
  <c r="E39" i="67" s="1"/>
  <c r="E48" i="67" s="1"/>
  <c r="BC17" i="67"/>
  <c r="BC16" i="67"/>
  <c r="BC21" i="67" s="1"/>
  <c r="E56" i="57"/>
  <c r="AF12" i="34"/>
  <c r="E50" i="57"/>
  <c r="AG16" i="56"/>
  <c r="AG21" i="56" s="1"/>
  <c r="AG17" i="56"/>
  <c r="CJ16" i="57"/>
  <c r="CJ21" i="57" s="1"/>
  <c r="CJ17" i="57"/>
  <c r="K17" i="56"/>
  <c r="K16" i="56"/>
  <c r="K21" i="56" s="1"/>
  <c r="V17" i="2"/>
  <c r="V16" i="2"/>
  <c r="V21" i="2" s="1"/>
  <c r="K17" i="32"/>
  <c r="K16" i="32"/>
  <c r="K21" i="32" s="1"/>
  <c r="E39" i="32" s="1"/>
  <c r="E48" i="32" s="1"/>
  <c r="K17" i="27"/>
  <c r="K16" i="27"/>
  <c r="K21" i="27" s="1"/>
  <c r="E39" i="27" s="1"/>
  <c r="E48" i="27" s="1"/>
  <c r="B36" i="72"/>
  <c r="EG36" i="72" s="1"/>
  <c r="D503" i="72"/>
  <c r="AM500" i="72" s="1"/>
  <c r="BK500" i="72" s="1"/>
  <c r="BM44" i="4"/>
  <c r="BW41" i="6"/>
  <c r="D13" i="45"/>
  <c r="GL14" i="34" s="1"/>
  <c r="AB40" i="15"/>
  <c r="CC44" i="6"/>
  <c r="K65" i="5"/>
  <c r="BY8" i="6"/>
  <c r="EO4" i="4"/>
  <c r="AJ4" i="11"/>
  <c r="DK10" i="34" s="1"/>
  <c r="DJ10" i="34" s="1"/>
  <c r="EO3" i="4"/>
  <c r="D233" i="72"/>
  <c r="AM230" i="72" s="1"/>
  <c r="BK230" i="72" s="1"/>
  <c r="D99" i="14"/>
  <c r="AB31" i="6"/>
  <c r="F87" i="5"/>
  <c r="E22" i="51" s="1"/>
  <c r="F87" i="10"/>
  <c r="G22" i="51" s="1"/>
  <c r="BY9" i="6"/>
  <c r="AJ4" i="9"/>
  <c r="DK8" i="34" s="1"/>
  <c r="DJ8" i="34" s="1"/>
  <c r="AJ4" i="14"/>
  <c r="DK13" i="34" s="1"/>
  <c r="DJ13" i="34" s="1"/>
  <c r="AJ4" i="6"/>
  <c r="DK5" i="34" s="1"/>
  <c r="DJ5" i="34" s="1"/>
  <c r="AJ4" i="12"/>
  <c r="DK11" i="34" s="1"/>
  <c r="DJ11" i="34" s="1"/>
  <c r="AJ4" i="15"/>
  <c r="DK14" i="34" s="1"/>
  <c r="DJ14" i="34" s="1"/>
  <c r="AJ4" i="13"/>
  <c r="DK12" i="34" s="1"/>
  <c r="DJ12" i="34" s="1"/>
  <c r="S8" i="59"/>
  <c r="D99" i="7"/>
  <c r="A9" i="59"/>
  <c r="AJ4" i="8"/>
  <c r="DK7" i="34" s="1"/>
  <c r="DJ7" i="34" s="1"/>
  <c r="AJ4" i="10"/>
  <c r="DK9" i="34" s="1"/>
  <c r="DJ9" i="34" s="1"/>
  <c r="AJ4" i="5"/>
  <c r="DK4" i="34" s="1"/>
  <c r="DJ4" i="34" s="1"/>
  <c r="AB38" i="15"/>
  <c r="AJ4" i="7"/>
  <c r="DK6" i="34" s="1"/>
  <c r="DJ6" i="34" s="1"/>
  <c r="BG5" i="62"/>
  <c r="D32" i="62" s="1"/>
  <c r="S1" i="62"/>
  <c r="BJ5" i="58"/>
  <c r="W32" i="58"/>
  <c r="V21" i="25"/>
  <c r="S25" i="25"/>
  <c r="S17" i="25"/>
  <c r="P21" i="25"/>
  <c r="M25" i="25"/>
  <c r="M17" i="25"/>
  <c r="J21" i="25"/>
  <c r="G25" i="25"/>
  <c r="G17" i="25"/>
  <c r="D21" i="25"/>
  <c r="A25" i="25"/>
  <c r="A17" i="25"/>
  <c r="V22" i="25"/>
  <c r="S26" i="25"/>
  <c r="S18" i="25"/>
  <c r="P22" i="25"/>
  <c r="M26" i="25"/>
  <c r="M18" i="25"/>
  <c r="J22" i="25"/>
  <c r="G26" i="25"/>
  <c r="G18" i="25"/>
  <c r="D20" i="25"/>
  <c r="A16" i="25"/>
  <c r="A22" i="25"/>
  <c r="V23" i="25"/>
  <c r="P23" i="25"/>
  <c r="J23" i="25"/>
  <c r="J15" i="25"/>
  <c r="D23" i="25"/>
  <c r="V24" i="25"/>
  <c r="P24" i="25"/>
  <c r="M20" i="25"/>
  <c r="G20" i="25"/>
  <c r="A20" i="25"/>
  <c r="V19" i="25"/>
  <c r="S23" i="25"/>
  <c r="S15" i="25"/>
  <c r="P19" i="25"/>
  <c r="M23" i="25"/>
  <c r="M15" i="25"/>
  <c r="J19" i="25"/>
  <c r="G23" i="25"/>
  <c r="G15" i="25"/>
  <c r="D19" i="25"/>
  <c r="A23" i="25"/>
  <c r="A15" i="25"/>
  <c r="V20" i="25"/>
  <c r="S24" i="25"/>
  <c r="S16" i="25"/>
  <c r="P20" i="25"/>
  <c r="M24" i="25"/>
  <c r="M16" i="25"/>
  <c r="J20" i="25"/>
  <c r="G24" i="25"/>
  <c r="G16" i="25"/>
  <c r="D16" i="25"/>
  <c r="D22" i="25"/>
  <c r="A18" i="25"/>
  <c r="V15" i="25"/>
  <c r="P15" i="25"/>
  <c r="M19" i="25"/>
  <c r="G19" i="25"/>
  <c r="D15" i="25"/>
  <c r="V16" i="25"/>
  <c r="S20" i="25"/>
  <c r="P16" i="25"/>
  <c r="J16" i="25"/>
  <c r="D24" i="25"/>
  <c r="A26" i="25"/>
  <c r="V25" i="25"/>
  <c r="V17" i="25"/>
  <c r="S21" i="25"/>
  <c r="P25" i="25"/>
  <c r="P17" i="25"/>
  <c r="M21" i="25"/>
  <c r="J25" i="25"/>
  <c r="J17" i="25"/>
  <c r="G21" i="25"/>
  <c r="D25" i="25"/>
  <c r="D17" i="25"/>
  <c r="A21" i="25"/>
  <c r="V26" i="25"/>
  <c r="V18" i="25"/>
  <c r="S22" i="25"/>
  <c r="P26" i="25"/>
  <c r="P18" i="25"/>
  <c r="M22" i="25"/>
  <c r="J26" i="25"/>
  <c r="J18" i="25"/>
  <c r="G22" i="25"/>
  <c r="D26" i="25"/>
  <c r="A24" i="25"/>
  <c r="D18" i="25"/>
  <c r="S19" i="25"/>
  <c r="A19" i="25"/>
  <c r="J24" i="25"/>
  <c r="AB29" i="15"/>
  <c r="AB21" i="15"/>
  <c r="HI344" i="34" s="1"/>
  <c r="AB28" i="8"/>
  <c r="AB25" i="15"/>
  <c r="AB31" i="15"/>
  <c r="HI354" i="34" s="1"/>
  <c r="AB42" i="15"/>
  <c r="HI365" i="34" s="1"/>
  <c r="A16" i="59"/>
  <c r="AB33" i="15"/>
  <c r="AB23" i="14"/>
  <c r="AB23" i="9"/>
  <c r="AB47" i="14"/>
  <c r="EQ45" i="4"/>
  <c r="EW45" i="4" s="1"/>
  <c r="AB26" i="5"/>
  <c r="HI39" i="34" s="1"/>
  <c r="A5" i="79"/>
  <c r="B27" i="72"/>
  <c r="EG27" i="72" s="1"/>
  <c r="A14" i="79"/>
  <c r="K67" i="6"/>
  <c r="K67" i="7" s="1"/>
  <c r="AE8" i="74"/>
  <c r="AF8" i="74"/>
  <c r="T34" i="74"/>
  <c r="S34" i="74" s="1"/>
  <c r="Q29" i="74"/>
  <c r="P29" i="74" s="1"/>
  <c r="EQ23" i="4"/>
  <c r="EW23" i="4" s="1"/>
  <c r="EQ47" i="4"/>
  <c r="EW47" i="4" s="1"/>
  <c r="EQ33" i="4"/>
  <c r="EW33" i="4" s="1"/>
  <c r="B29" i="72"/>
  <c r="EG29" i="72" s="1"/>
  <c r="EQ26" i="4"/>
  <c r="EW26" i="4" s="1"/>
  <c r="A9" i="79"/>
  <c r="B14" i="72"/>
  <c r="EG14" i="72" s="1"/>
  <c r="B35" i="72"/>
  <c r="EG35" i="72" s="1"/>
  <c r="D99" i="10"/>
  <c r="AB44" i="15"/>
  <c r="AB28" i="15"/>
  <c r="EI22" i="5"/>
  <c r="AB45" i="15"/>
  <c r="HI368" i="34" s="1"/>
  <c r="AB47" i="15"/>
  <c r="HI370" i="34" s="1"/>
  <c r="AB37" i="15"/>
  <c r="HI360" i="34" s="1"/>
  <c r="EI21" i="15"/>
  <c r="AB26" i="15"/>
  <c r="A4" i="79"/>
  <c r="A6" i="79"/>
  <c r="B31" i="72"/>
  <c r="EG31" i="72" s="1"/>
  <c r="B33" i="72"/>
  <c r="EG33" i="72" s="1"/>
  <c r="AB35" i="15"/>
  <c r="AB24" i="15"/>
  <c r="F87" i="15"/>
  <c r="D22" i="51" s="1"/>
  <c r="AB22" i="15"/>
  <c r="HI345" i="34" s="1"/>
  <c r="AB43" i="15"/>
  <c r="HI366" i="34" s="1"/>
  <c r="AB36" i="15"/>
  <c r="HI359" i="34" s="1"/>
  <c r="AB30" i="15"/>
  <c r="HI353" i="34" s="1"/>
  <c r="D99" i="15"/>
  <c r="A12" i="79"/>
  <c r="A10" i="79"/>
  <c r="AB41" i="15"/>
  <c r="AB35" i="5"/>
  <c r="HI48" i="34" s="1"/>
  <c r="AB39" i="15"/>
  <c r="HI362" i="34" s="1"/>
  <c r="AB32" i="15"/>
  <c r="HI355" i="34" s="1"/>
  <c r="AB27" i="15"/>
  <c r="HI350" i="34" s="1"/>
  <c r="AB23" i="15"/>
  <c r="HI346" i="34" s="1"/>
  <c r="AB34" i="15"/>
  <c r="HI357" i="34" s="1"/>
  <c r="EI22" i="15"/>
  <c r="AB46" i="15"/>
  <c r="HI369" i="34" s="1"/>
  <c r="AB20" i="15"/>
  <c r="HI343" i="34" s="1"/>
  <c r="D13" i="39"/>
  <c r="GL8" i="34" s="1"/>
  <c r="AB39" i="14"/>
  <c r="AB25" i="14"/>
  <c r="B22" i="72"/>
  <c r="EG22" i="72" s="1"/>
  <c r="B13" i="72"/>
  <c r="EG13" i="72" s="1"/>
  <c r="EQ24" i="4"/>
  <c r="EW24" i="4" s="1"/>
  <c r="AB29" i="9"/>
  <c r="HI166" i="34" s="1"/>
  <c r="A10" i="59"/>
  <c r="AB46" i="14"/>
  <c r="A15" i="59"/>
  <c r="B19" i="72"/>
  <c r="EG19" i="72" s="1"/>
  <c r="AB37" i="9"/>
  <c r="HI174" i="34" s="1"/>
  <c r="D99" i="9"/>
  <c r="AB36" i="14"/>
  <c r="D458" i="72"/>
  <c r="AM455" i="72" s="1"/>
  <c r="BK455" i="72" s="1"/>
  <c r="N67" i="5"/>
  <c r="A8" i="79"/>
  <c r="A13" i="79"/>
  <c r="A7" i="79"/>
  <c r="AB45" i="6"/>
  <c r="AB32" i="9"/>
  <c r="AB32" i="14"/>
  <c r="HI324" i="34" s="1"/>
  <c r="AB27" i="14"/>
  <c r="HI319" i="34" s="1"/>
  <c r="H68" i="5"/>
  <c r="N68" i="5" s="1"/>
  <c r="BZ90" i="4"/>
  <c r="F14" i="51" s="1"/>
  <c r="B35" i="50" s="1"/>
  <c r="D99" i="8"/>
  <c r="EX13" i="11"/>
  <c r="EQ31" i="4"/>
  <c r="EW31" i="4" s="1"/>
  <c r="C29" i="18"/>
  <c r="C68" i="18" s="1"/>
  <c r="B28" i="72"/>
  <c r="EG28" i="72" s="1"/>
  <c r="AB26" i="8"/>
  <c r="HI132" i="34" s="1"/>
  <c r="BC24" i="18"/>
  <c r="BB24" i="18" s="1"/>
  <c r="C22" i="18"/>
  <c r="C61" i="18" s="1"/>
  <c r="C38" i="18"/>
  <c r="C77" i="18" s="1"/>
  <c r="BC25" i="18"/>
  <c r="BB25" i="18" s="1"/>
  <c r="BC27" i="18"/>
  <c r="BB27" i="18" s="1"/>
  <c r="B32" i="72"/>
  <c r="EG32" i="72" s="1"/>
  <c r="C35" i="18"/>
  <c r="C74" i="18" s="1"/>
  <c r="C26" i="18"/>
  <c r="C65" i="18" s="1"/>
  <c r="C42" i="18"/>
  <c r="C81" i="18" s="1"/>
  <c r="BC32" i="18"/>
  <c r="BB32" i="18" s="1"/>
  <c r="BC37" i="18"/>
  <c r="BB37" i="18" s="1"/>
  <c r="BC33" i="18"/>
  <c r="BB33" i="18" s="1"/>
  <c r="AB35" i="8"/>
  <c r="AB37" i="8"/>
  <c r="HI143" i="34" s="1"/>
  <c r="B17" i="72"/>
  <c r="EG17" i="72" s="1"/>
  <c r="B21" i="72"/>
  <c r="EG21" i="72" s="1"/>
  <c r="B38" i="72"/>
  <c r="EG38" i="72" s="1"/>
  <c r="F87" i="7"/>
  <c r="C22" i="51" s="1"/>
  <c r="B18" i="18"/>
  <c r="B57" i="18" s="1"/>
  <c r="C39" i="18"/>
  <c r="C78" i="18" s="1"/>
  <c r="C30" i="18"/>
  <c r="C69" i="18" s="1"/>
  <c r="C19" i="18"/>
  <c r="C58" i="18" s="1"/>
  <c r="BC28" i="18"/>
  <c r="BB28" i="18" s="1"/>
  <c r="BC43" i="18"/>
  <c r="BB43" i="18" s="1"/>
  <c r="BC41" i="18"/>
  <c r="BB41" i="18" s="1"/>
  <c r="AB42" i="8"/>
  <c r="D13" i="38"/>
  <c r="GL7" i="34" s="1"/>
  <c r="C23" i="18"/>
  <c r="C62" i="18" s="1"/>
  <c r="C18" i="18"/>
  <c r="C57" i="18" s="1"/>
  <c r="C34" i="18"/>
  <c r="C73" i="18" s="1"/>
  <c r="C33" i="18"/>
  <c r="C72" i="18" s="1"/>
  <c r="BC36" i="18"/>
  <c r="BB36" i="18" s="1"/>
  <c r="AB21" i="8"/>
  <c r="HI127" i="34" s="1"/>
  <c r="AB46" i="8"/>
  <c r="DK38" i="4"/>
  <c r="AB22" i="6"/>
  <c r="HI66" i="34" s="1"/>
  <c r="AB44" i="5"/>
  <c r="HI57" i="34" s="1"/>
  <c r="D53" i="72"/>
  <c r="AM50" i="72" s="1"/>
  <c r="BK50" i="72" s="1"/>
  <c r="AB41" i="6"/>
  <c r="AB43" i="5"/>
  <c r="D99" i="5"/>
  <c r="AB36" i="5"/>
  <c r="AB45" i="5"/>
  <c r="HI58" i="34" s="1"/>
  <c r="AR13" i="12"/>
  <c r="K68" i="7"/>
  <c r="H68" i="6"/>
  <c r="N68" i="6" s="1"/>
  <c r="EI21" i="9"/>
  <c r="AB33" i="9"/>
  <c r="HI170" i="34" s="1"/>
  <c r="EI22" i="9"/>
  <c r="AB44" i="9"/>
  <c r="HI181" i="34" s="1"/>
  <c r="AB28" i="9"/>
  <c r="HI165" i="34" s="1"/>
  <c r="AB22" i="9"/>
  <c r="HI159" i="34" s="1"/>
  <c r="AB43" i="9"/>
  <c r="HI180" i="34" s="1"/>
  <c r="AB41" i="9"/>
  <c r="HI178" i="34" s="1"/>
  <c r="AB42" i="9"/>
  <c r="HI179" i="34" s="1"/>
  <c r="AB30" i="9"/>
  <c r="HI167" i="34" s="1"/>
  <c r="AB25" i="9"/>
  <c r="HI162" i="34" s="1"/>
  <c r="AB34" i="9"/>
  <c r="HI171" i="34" s="1"/>
  <c r="AB47" i="9"/>
  <c r="HI184" i="34" s="1"/>
  <c r="AB35" i="9"/>
  <c r="HI172" i="34" s="1"/>
  <c r="AB24" i="9"/>
  <c r="HI161" i="34" s="1"/>
  <c r="AB31" i="9"/>
  <c r="HI168" i="34" s="1"/>
  <c r="AB38" i="9"/>
  <c r="HI175" i="34" s="1"/>
  <c r="AB39" i="9"/>
  <c r="HI176" i="34" s="1"/>
  <c r="F87" i="9"/>
  <c r="H22" i="51" s="1"/>
  <c r="AB26" i="9"/>
  <c r="HI163" i="34" s="1"/>
  <c r="AB21" i="9"/>
  <c r="HI158" i="34" s="1"/>
  <c r="AB36" i="9"/>
  <c r="HI173" i="34" s="1"/>
  <c r="AB46" i="9"/>
  <c r="HI183" i="34" s="1"/>
  <c r="AB45" i="9"/>
  <c r="HI182" i="34" s="1"/>
  <c r="AB27" i="9"/>
  <c r="HI164" i="34" s="1"/>
  <c r="AB20" i="9"/>
  <c r="HI157" i="34" s="1"/>
  <c r="AB40" i="9"/>
  <c r="HI177" i="34" s="1"/>
  <c r="EI21" i="14"/>
  <c r="EI22" i="14"/>
  <c r="AB44" i="14"/>
  <c r="HI336" i="34" s="1"/>
  <c r="AB29" i="14"/>
  <c r="HI321" i="34" s="1"/>
  <c r="AB34" i="14"/>
  <c r="HI326" i="34" s="1"/>
  <c r="AB40" i="14"/>
  <c r="HI332" i="34" s="1"/>
  <c r="AB24" i="14"/>
  <c r="HI316" i="34" s="1"/>
  <c r="AB43" i="14"/>
  <c r="HI335" i="34" s="1"/>
  <c r="D13" i="44"/>
  <c r="GL13" i="34" s="1"/>
  <c r="AB30" i="14"/>
  <c r="HI322" i="34" s="1"/>
  <c r="AB28" i="14"/>
  <c r="HI320" i="34" s="1"/>
  <c r="F87" i="14"/>
  <c r="K22" i="51" s="1"/>
  <c r="AB37" i="14"/>
  <c r="HI329" i="34" s="1"/>
  <c r="AB31" i="14"/>
  <c r="HI323" i="34" s="1"/>
  <c r="AB33" i="14"/>
  <c r="HI325" i="34" s="1"/>
  <c r="AB26" i="14"/>
  <c r="HI318" i="34" s="1"/>
  <c r="AB38" i="14"/>
  <c r="HI330" i="34" s="1"/>
  <c r="AB41" i="14"/>
  <c r="HI333" i="34" s="1"/>
  <c r="AB22" i="14"/>
  <c r="HI314" i="34" s="1"/>
  <c r="AB45" i="14"/>
  <c r="HI337" i="34" s="1"/>
  <c r="AB20" i="14"/>
  <c r="HI312" i="34" s="1"/>
  <c r="AB21" i="14"/>
  <c r="HI313" i="34" s="1"/>
  <c r="AB42" i="14"/>
  <c r="HI334" i="34" s="1"/>
  <c r="AB35" i="14"/>
  <c r="HI327" i="34" s="1"/>
  <c r="BM27" i="4"/>
  <c r="BM30" i="4"/>
  <c r="EQ42" i="4"/>
  <c r="B34" i="72"/>
  <c r="EG34" i="72" s="1"/>
  <c r="BM42" i="4"/>
  <c r="BM24" i="4"/>
  <c r="BM21" i="4"/>
  <c r="BM35" i="4"/>
  <c r="AB38" i="6"/>
  <c r="HI82" i="34" s="1"/>
  <c r="EI22" i="6"/>
  <c r="AB21" i="6"/>
  <c r="HI65" i="34" s="1"/>
  <c r="AB28" i="6"/>
  <c r="HI72" i="34" s="1"/>
  <c r="AB26" i="6"/>
  <c r="HI70" i="34" s="1"/>
  <c r="AB25" i="6"/>
  <c r="HI69" i="34" s="1"/>
  <c r="AB43" i="6"/>
  <c r="HI87" i="34" s="1"/>
  <c r="AB42" i="6"/>
  <c r="HI86" i="34" s="1"/>
  <c r="AB34" i="6"/>
  <c r="HI78" i="34" s="1"/>
  <c r="EI21" i="6"/>
  <c r="AB27" i="6"/>
  <c r="HI71" i="34" s="1"/>
  <c r="AB40" i="6"/>
  <c r="HI84" i="34" s="1"/>
  <c r="AB47" i="6"/>
  <c r="HI91" i="34" s="1"/>
  <c r="AB20" i="6"/>
  <c r="HI64" i="34" s="1"/>
  <c r="D99" i="6"/>
  <c r="AB44" i="6"/>
  <c r="HI88" i="34" s="1"/>
  <c r="AB29" i="6"/>
  <c r="HI73" i="34" s="1"/>
  <c r="AB37" i="6"/>
  <c r="HI81" i="34" s="1"/>
  <c r="D13" i="36"/>
  <c r="GL5" i="34" s="1"/>
  <c r="AB30" i="6"/>
  <c r="HI74" i="34" s="1"/>
  <c r="D98" i="72"/>
  <c r="AM95" i="72" s="1"/>
  <c r="BK95" i="72" s="1"/>
  <c r="AB23" i="6"/>
  <c r="HI67" i="34" s="1"/>
  <c r="AB36" i="6"/>
  <c r="HI80" i="34" s="1"/>
  <c r="A7" i="59"/>
  <c r="AB32" i="6"/>
  <c r="HI76" i="34" s="1"/>
  <c r="AB46" i="6"/>
  <c r="HI90" i="34" s="1"/>
  <c r="F87" i="6"/>
  <c r="J22" i="51" s="1"/>
  <c r="AB33" i="6"/>
  <c r="HI77" i="34" s="1"/>
  <c r="AB35" i="6"/>
  <c r="HI79" i="34" s="1"/>
  <c r="AB39" i="6"/>
  <c r="HI83" i="34" s="1"/>
  <c r="AB24" i="6"/>
  <c r="HI68" i="34" s="1"/>
  <c r="A6" i="59"/>
  <c r="AB34" i="5"/>
  <c r="HI47" i="34" s="1"/>
  <c r="D13" i="35"/>
  <c r="GL4" i="34" s="1"/>
  <c r="AB24" i="5"/>
  <c r="HI37" i="34" s="1"/>
  <c r="AB33" i="5"/>
  <c r="HI46" i="34" s="1"/>
  <c r="AB32" i="5"/>
  <c r="HI45" i="34" s="1"/>
  <c r="AB30" i="5"/>
  <c r="HI43" i="34" s="1"/>
  <c r="AB37" i="5"/>
  <c r="HI50" i="34" s="1"/>
  <c r="AB40" i="5"/>
  <c r="HI53" i="34" s="1"/>
  <c r="AB27" i="5"/>
  <c r="HI40" i="34" s="1"/>
  <c r="AB20" i="5"/>
  <c r="HI33" i="34" s="1"/>
  <c r="AB21" i="5"/>
  <c r="HI34" i="34" s="1"/>
  <c r="AB42" i="5"/>
  <c r="HI55" i="34" s="1"/>
  <c r="AB47" i="5"/>
  <c r="HI60" i="34" s="1"/>
  <c r="EI21" i="5"/>
  <c r="AB28" i="5"/>
  <c r="HI41" i="34" s="1"/>
  <c r="AB22" i="5"/>
  <c r="HI35" i="34" s="1"/>
  <c r="AB38" i="5"/>
  <c r="HI51" i="34" s="1"/>
  <c r="AB31" i="5"/>
  <c r="HI44" i="34" s="1"/>
  <c r="AB29" i="5"/>
  <c r="HI42" i="34" s="1"/>
  <c r="AB25" i="5"/>
  <c r="HI38" i="34" s="1"/>
  <c r="AB39" i="5"/>
  <c r="HI52" i="34" s="1"/>
  <c r="AB46" i="5"/>
  <c r="HI59" i="34" s="1"/>
  <c r="AB41" i="5"/>
  <c r="HI54" i="34" s="1"/>
  <c r="AB23" i="5"/>
  <c r="HI36" i="34" s="1"/>
  <c r="BM43" i="4"/>
  <c r="BM39" i="4"/>
  <c r="D278" i="72"/>
  <c r="AM275" i="72" s="1"/>
  <c r="BK275" i="72" s="1"/>
  <c r="EI22" i="10"/>
  <c r="AB24" i="10"/>
  <c r="HI192" i="34" s="1"/>
  <c r="AB30" i="10"/>
  <c r="HI198" i="34" s="1"/>
  <c r="AB28" i="10"/>
  <c r="HI196" i="34" s="1"/>
  <c r="AB44" i="10"/>
  <c r="HI212" i="34" s="1"/>
  <c r="AB39" i="10"/>
  <c r="HI207" i="34" s="1"/>
  <c r="AB37" i="10"/>
  <c r="HI205" i="34" s="1"/>
  <c r="AB36" i="10"/>
  <c r="HI204" i="34" s="1"/>
  <c r="AB41" i="10"/>
  <c r="HI209" i="34" s="1"/>
  <c r="D13" i="40"/>
  <c r="GL9" i="34" s="1"/>
  <c r="AB33" i="10"/>
  <c r="HI201" i="34" s="1"/>
  <c r="AB43" i="10"/>
  <c r="HI211" i="34" s="1"/>
  <c r="AB35" i="10"/>
  <c r="HI203" i="34" s="1"/>
  <c r="AB25" i="10"/>
  <c r="HI193" i="34" s="1"/>
  <c r="AB40" i="10"/>
  <c r="HI208" i="34" s="1"/>
  <c r="AB42" i="10"/>
  <c r="HI210" i="34" s="1"/>
  <c r="A11" i="59"/>
  <c r="AB38" i="10"/>
  <c r="HI206" i="34" s="1"/>
  <c r="AB32" i="10"/>
  <c r="HI200" i="34" s="1"/>
  <c r="AB22" i="10"/>
  <c r="HI190" i="34" s="1"/>
  <c r="AB29" i="10"/>
  <c r="HI197" i="34" s="1"/>
  <c r="AB45" i="10"/>
  <c r="HI213" i="34" s="1"/>
  <c r="AB20" i="10"/>
  <c r="HI188" i="34" s="1"/>
  <c r="AB26" i="10"/>
  <c r="HI194" i="34" s="1"/>
  <c r="AB46" i="10"/>
  <c r="HI214" i="34" s="1"/>
  <c r="AB34" i="10"/>
  <c r="HI202" i="34" s="1"/>
  <c r="AB47" i="10"/>
  <c r="HI215" i="34" s="1"/>
  <c r="EI21" i="10"/>
  <c r="AB21" i="10"/>
  <c r="HI189" i="34" s="1"/>
  <c r="AB27" i="10"/>
  <c r="HI195" i="34" s="1"/>
  <c r="AB23" i="10"/>
  <c r="HI191" i="34" s="1"/>
  <c r="AB31" i="10"/>
  <c r="HI199" i="34" s="1"/>
  <c r="BM22" i="4"/>
  <c r="EQ34" i="4"/>
  <c r="BM34" i="4"/>
  <c r="B26" i="72"/>
  <c r="EG26" i="72" s="1"/>
  <c r="BM41" i="4"/>
  <c r="BM45" i="4"/>
  <c r="EQ28" i="4"/>
  <c r="B20" i="72"/>
  <c r="EG20" i="72" s="1"/>
  <c r="BM28" i="4"/>
  <c r="A13" i="59"/>
  <c r="D368" i="72"/>
  <c r="AM365" i="72" s="1"/>
  <c r="BK365" i="72" s="1"/>
  <c r="AB44" i="12"/>
  <c r="HI274" i="34" s="1"/>
  <c r="EI21" i="12"/>
  <c r="D13" i="42"/>
  <c r="GL11" i="34" s="1"/>
  <c r="AB41" i="12"/>
  <c r="HI271" i="34" s="1"/>
  <c r="F87" i="12"/>
  <c r="M22" i="51" s="1"/>
  <c r="AB37" i="12"/>
  <c r="HI267" i="34" s="1"/>
  <c r="AB40" i="12"/>
  <c r="HI270" i="34" s="1"/>
  <c r="AB28" i="12"/>
  <c r="HI258" i="34" s="1"/>
  <c r="AB45" i="12"/>
  <c r="HI275" i="34" s="1"/>
  <c r="AB36" i="12"/>
  <c r="HI266" i="34" s="1"/>
  <c r="AB39" i="12"/>
  <c r="HI269" i="34" s="1"/>
  <c r="D99" i="12"/>
  <c r="AB23" i="12"/>
  <c r="HI253" i="34" s="1"/>
  <c r="AB33" i="12"/>
  <c r="HI263" i="34" s="1"/>
  <c r="AB29" i="12"/>
  <c r="HI259" i="34" s="1"/>
  <c r="AB42" i="12"/>
  <c r="HI272" i="34" s="1"/>
  <c r="AB35" i="12"/>
  <c r="HI265" i="34" s="1"/>
  <c r="AB21" i="12"/>
  <c r="HI251" i="34" s="1"/>
  <c r="AB34" i="12"/>
  <c r="HI264" i="34" s="1"/>
  <c r="AB31" i="12"/>
  <c r="HI261" i="34" s="1"/>
  <c r="AB27" i="12"/>
  <c r="HI257" i="34" s="1"/>
  <c r="AB30" i="12"/>
  <c r="HI260" i="34" s="1"/>
  <c r="AB47" i="12"/>
  <c r="HI277" i="34" s="1"/>
  <c r="AB43" i="12"/>
  <c r="HI273" i="34" s="1"/>
  <c r="AB20" i="12"/>
  <c r="HI250" i="34" s="1"/>
  <c r="AB24" i="12"/>
  <c r="HI254" i="34" s="1"/>
  <c r="EI22" i="12"/>
  <c r="AB38" i="12"/>
  <c r="HI268" i="34" s="1"/>
  <c r="AB25" i="12"/>
  <c r="HI255" i="34" s="1"/>
  <c r="AB46" i="12"/>
  <c r="HI276" i="34" s="1"/>
  <c r="AB26" i="12"/>
  <c r="HI256" i="34" s="1"/>
  <c r="AB22" i="12"/>
  <c r="HI252" i="34" s="1"/>
  <c r="AB32" i="12"/>
  <c r="HI262" i="34" s="1"/>
  <c r="BM23" i="4"/>
  <c r="D99" i="13"/>
  <c r="A14" i="59"/>
  <c r="D13" i="43"/>
  <c r="GL12" i="34" s="1"/>
  <c r="AB36" i="13"/>
  <c r="HI297" i="34" s="1"/>
  <c r="EI22" i="13"/>
  <c r="AB23" i="13"/>
  <c r="HI284" i="34" s="1"/>
  <c r="AB35" i="13"/>
  <c r="HI296" i="34" s="1"/>
  <c r="AB26" i="13"/>
  <c r="HI287" i="34" s="1"/>
  <c r="AB39" i="13"/>
  <c r="HI300" i="34" s="1"/>
  <c r="AB45" i="13"/>
  <c r="HI306" i="34" s="1"/>
  <c r="AB22" i="13"/>
  <c r="HI283" i="34" s="1"/>
  <c r="AB41" i="13"/>
  <c r="HI302" i="34" s="1"/>
  <c r="AB44" i="13"/>
  <c r="HI305" i="34" s="1"/>
  <c r="AB33" i="13"/>
  <c r="HI294" i="34" s="1"/>
  <c r="AB42" i="13"/>
  <c r="HI303" i="34" s="1"/>
  <c r="AB47" i="13"/>
  <c r="HI308" i="34" s="1"/>
  <c r="AB25" i="13"/>
  <c r="HI286" i="34" s="1"/>
  <c r="F87" i="13"/>
  <c r="L22" i="51" s="1"/>
  <c r="AB20" i="13"/>
  <c r="HI281" i="34" s="1"/>
  <c r="AB27" i="13"/>
  <c r="HI288" i="34" s="1"/>
  <c r="AB43" i="13"/>
  <c r="HI304" i="34" s="1"/>
  <c r="AB32" i="13"/>
  <c r="HI293" i="34" s="1"/>
  <c r="AB29" i="13"/>
  <c r="HI290" i="34" s="1"/>
  <c r="AB30" i="13"/>
  <c r="HI291" i="34" s="1"/>
  <c r="AB46" i="13"/>
  <c r="HI307" i="34" s="1"/>
  <c r="AB21" i="13"/>
  <c r="HI282" i="34" s="1"/>
  <c r="AB31" i="13"/>
  <c r="HI292" i="34" s="1"/>
  <c r="AB34" i="13"/>
  <c r="HI295" i="34" s="1"/>
  <c r="D413" i="72"/>
  <c r="AM410" i="72" s="1"/>
  <c r="BK410" i="72" s="1"/>
  <c r="AB38" i="13"/>
  <c r="HI299" i="34" s="1"/>
  <c r="AB28" i="13"/>
  <c r="HI289" i="34" s="1"/>
  <c r="AB37" i="13"/>
  <c r="HI298" i="34" s="1"/>
  <c r="AB24" i="13"/>
  <c r="HI285" i="34" s="1"/>
  <c r="EI21" i="13"/>
  <c r="AB40" i="13"/>
  <c r="HI301" i="34" s="1"/>
  <c r="BM47" i="4"/>
  <c r="BM26" i="4"/>
  <c r="BM33" i="4"/>
  <c r="EQ38" i="4"/>
  <c r="BM38" i="4"/>
  <c r="BM37" i="4"/>
  <c r="BC44" i="18"/>
  <c r="BB44" i="18" s="1"/>
  <c r="BC23" i="18"/>
  <c r="BB23" i="18" s="1"/>
  <c r="BC34" i="18"/>
  <c r="BB34" i="18" s="1"/>
  <c r="BC35" i="18"/>
  <c r="BB35" i="18" s="1"/>
  <c r="BC19" i="18"/>
  <c r="BB19" i="18" s="1"/>
  <c r="BC31" i="18"/>
  <c r="BB31" i="18" s="1"/>
  <c r="C36" i="18"/>
  <c r="C75" i="18" s="1"/>
  <c r="C41" i="18"/>
  <c r="C80" i="18" s="1"/>
  <c r="C31" i="18"/>
  <c r="C70" i="18" s="1"/>
  <c r="N13" i="18"/>
  <c r="O13" i="18" s="1"/>
  <c r="BC22" i="18"/>
  <c r="BB22" i="18" s="1"/>
  <c r="AO30" i="18"/>
  <c r="C28" i="18"/>
  <c r="C67" i="18" s="1"/>
  <c r="C21" i="18"/>
  <c r="C60" i="18" s="1"/>
  <c r="BC39" i="18"/>
  <c r="BB39" i="18" s="1"/>
  <c r="BG13" i="18"/>
  <c r="BC38" i="18"/>
  <c r="BB38" i="18" s="1"/>
  <c r="BB17" i="18"/>
  <c r="BC26" i="18"/>
  <c r="BB26" i="18" s="1"/>
  <c r="C27" i="18"/>
  <c r="C66" i="18" s="1"/>
  <c r="C32" i="18"/>
  <c r="C71" i="18" s="1"/>
  <c r="C20" i="18"/>
  <c r="C59" i="18" s="1"/>
  <c r="BC30" i="18"/>
  <c r="BB30" i="18" s="1"/>
  <c r="BC29" i="18"/>
  <c r="BB29" i="18" s="1"/>
  <c r="BC21" i="18"/>
  <c r="BB21" i="18" s="1"/>
  <c r="C40" i="18"/>
  <c r="C79" i="18" s="1"/>
  <c r="C37" i="18"/>
  <c r="C76" i="18" s="1"/>
  <c r="BC40" i="18"/>
  <c r="BB40" i="18" s="1"/>
  <c r="BC42" i="18"/>
  <c r="BB42" i="18" s="1"/>
  <c r="C43" i="18"/>
  <c r="C82" i="18" s="1"/>
  <c r="C24" i="18"/>
  <c r="C63" i="18" s="1"/>
  <c r="BD13" i="18"/>
  <c r="BB18" i="18" s="1"/>
  <c r="C44" i="18"/>
  <c r="C83" i="18" s="1"/>
  <c r="BC18" i="18"/>
  <c r="B17" i="18"/>
  <c r="B55" i="18" s="1"/>
  <c r="C25" i="18"/>
  <c r="C64" i="18" s="1"/>
  <c r="EQ20" i="4"/>
  <c r="B12" i="72"/>
  <c r="EG12" i="72" s="1"/>
  <c r="AB49" i="4"/>
  <c r="AB48" i="4"/>
  <c r="AB50" i="4"/>
  <c r="BM20" i="4"/>
  <c r="A8" i="59"/>
  <c r="D13" i="37"/>
  <c r="GL6" i="34" s="1"/>
  <c r="EI22" i="7"/>
  <c r="AB34" i="7"/>
  <c r="HI109" i="34" s="1"/>
  <c r="AB21" i="7"/>
  <c r="HI96" i="34" s="1"/>
  <c r="AB23" i="7"/>
  <c r="HI98" i="34" s="1"/>
  <c r="AB32" i="7"/>
  <c r="HI107" i="34" s="1"/>
  <c r="AB45" i="7"/>
  <c r="HI120" i="34" s="1"/>
  <c r="AB27" i="7"/>
  <c r="HI102" i="34" s="1"/>
  <c r="AB38" i="7"/>
  <c r="HI113" i="34" s="1"/>
  <c r="AB25" i="7"/>
  <c r="HI100" i="34" s="1"/>
  <c r="EI21" i="7"/>
  <c r="AB30" i="7"/>
  <c r="HI105" i="34" s="1"/>
  <c r="AB28" i="7"/>
  <c r="HI103" i="34" s="1"/>
  <c r="AB40" i="7"/>
  <c r="HI115" i="34" s="1"/>
  <c r="AB20" i="7"/>
  <c r="HI95" i="34" s="1"/>
  <c r="AB39" i="7"/>
  <c r="HI114" i="34" s="1"/>
  <c r="AB43" i="7"/>
  <c r="HI118" i="34" s="1"/>
  <c r="AB33" i="7"/>
  <c r="HI108" i="34" s="1"/>
  <c r="AB31" i="7"/>
  <c r="HI106" i="34" s="1"/>
  <c r="AB47" i="7"/>
  <c r="HI122" i="34" s="1"/>
  <c r="AB44" i="7"/>
  <c r="HI119" i="34" s="1"/>
  <c r="AB42" i="7"/>
  <c r="HI117" i="34" s="1"/>
  <c r="AB26" i="7"/>
  <c r="HI101" i="34" s="1"/>
  <c r="AB37" i="7"/>
  <c r="HI112" i="34" s="1"/>
  <c r="D143" i="72"/>
  <c r="AM140" i="72" s="1"/>
  <c r="BK140" i="72" s="1"/>
  <c r="AB46" i="7"/>
  <c r="HI121" i="34" s="1"/>
  <c r="AB22" i="7"/>
  <c r="HI97" i="34" s="1"/>
  <c r="AB35" i="7"/>
  <c r="HI110" i="34" s="1"/>
  <c r="AB24" i="7"/>
  <c r="HI99" i="34" s="1"/>
  <c r="AB41" i="7"/>
  <c r="HI116" i="34" s="1"/>
  <c r="AB29" i="7"/>
  <c r="HI104" i="34" s="1"/>
  <c r="AB36" i="7"/>
  <c r="HI111" i="34" s="1"/>
  <c r="BM40" i="4"/>
  <c r="D188" i="72"/>
  <c r="AM185" i="72" s="1"/>
  <c r="BK185" i="72" s="1"/>
  <c r="EI21" i="8"/>
  <c r="AB24" i="8"/>
  <c r="HI130" i="34" s="1"/>
  <c r="AB23" i="8"/>
  <c r="HI129" i="34" s="1"/>
  <c r="F87" i="8"/>
  <c r="I22" i="51" s="1"/>
  <c r="AB32" i="8"/>
  <c r="HI138" i="34" s="1"/>
  <c r="AB47" i="8"/>
  <c r="HI153" i="34" s="1"/>
  <c r="AB44" i="8"/>
  <c r="HI150" i="34" s="1"/>
  <c r="AB27" i="8"/>
  <c r="HI133" i="34" s="1"/>
  <c r="AB22" i="8"/>
  <c r="HI128" i="34" s="1"/>
  <c r="AB29" i="8"/>
  <c r="HI135" i="34" s="1"/>
  <c r="AB41" i="8"/>
  <c r="HI147" i="34" s="1"/>
  <c r="AB33" i="8"/>
  <c r="HI139" i="34" s="1"/>
  <c r="AB25" i="8"/>
  <c r="HI131" i="34" s="1"/>
  <c r="AB38" i="8"/>
  <c r="HI144" i="34" s="1"/>
  <c r="AB34" i="8"/>
  <c r="HI140" i="34" s="1"/>
  <c r="AB30" i="8"/>
  <c r="HI136" i="34" s="1"/>
  <c r="AB36" i="8"/>
  <c r="HI142" i="34" s="1"/>
  <c r="AB31" i="8"/>
  <c r="HI137" i="34" s="1"/>
  <c r="EI22" i="8"/>
  <c r="AB45" i="8"/>
  <c r="HI151" i="34" s="1"/>
  <c r="AB39" i="8"/>
  <c r="HI145" i="34" s="1"/>
  <c r="AB20" i="8"/>
  <c r="HI126" i="34" s="1"/>
  <c r="AB40" i="8"/>
  <c r="HI146" i="34" s="1"/>
  <c r="AB43" i="8"/>
  <c r="HI149" i="34" s="1"/>
  <c r="EQ32" i="4"/>
  <c r="BM32" i="4"/>
  <c r="D323" i="72"/>
  <c r="AM320" i="72" s="1"/>
  <c r="BK320" i="72" s="1"/>
  <c r="EI21" i="11"/>
  <c r="D13" i="41"/>
  <c r="GL10" i="34" s="1"/>
  <c r="D99" i="11"/>
  <c r="A12" i="59"/>
  <c r="EI22" i="11"/>
  <c r="AB21" i="11"/>
  <c r="HI220" i="34" s="1"/>
  <c r="AB23" i="11"/>
  <c r="HI222" i="34" s="1"/>
  <c r="AB37" i="11"/>
  <c r="HI236" i="34" s="1"/>
  <c r="AB42" i="11"/>
  <c r="HI241" i="34" s="1"/>
  <c r="AB26" i="11"/>
  <c r="HI225" i="34" s="1"/>
  <c r="AB45" i="11"/>
  <c r="HI244" i="34" s="1"/>
  <c r="AB31" i="11"/>
  <c r="HI230" i="34" s="1"/>
  <c r="AB30" i="11"/>
  <c r="HI229" i="34" s="1"/>
  <c r="AB35" i="11"/>
  <c r="HI234" i="34" s="1"/>
  <c r="AB39" i="11"/>
  <c r="HI238" i="34" s="1"/>
  <c r="AB24" i="11"/>
  <c r="HI223" i="34" s="1"/>
  <c r="AB28" i="11"/>
  <c r="HI227" i="34" s="1"/>
  <c r="F87" i="11"/>
  <c r="B22" i="51" s="1"/>
  <c r="AB41" i="11"/>
  <c r="HI240" i="34" s="1"/>
  <c r="AB44" i="11"/>
  <c r="HI243" i="34" s="1"/>
  <c r="AB40" i="11"/>
  <c r="HI239" i="34" s="1"/>
  <c r="AB33" i="11"/>
  <c r="HI232" i="34" s="1"/>
  <c r="AB43" i="11"/>
  <c r="HI242" i="34" s="1"/>
  <c r="AB36" i="11"/>
  <c r="HI235" i="34" s="1"/>
  <c r="AB25" i="11"/>
  <c r="HI224" i="34" s="1"/>
  <c r="AB20" i="11"/>
  <c r="HI219" i="34" s="1"/>
  <c r="AB38" i="11"/>
  <c r="HI237" i="34" s="1"/>
  <c r="AB32" i="11"/>
  <c r="HI231" i="34" s="1"/>
  <c r="AB34" i="11"/>
  <c r="HI233" i="34" s="1"/>
  <c r="AB47" i="11"/>
  <c r="HI246" i="34" s="1"/>
  <c r="AB22" i="11"/>
  <c r="HI221" i="34" s="1"/>
  <c r="AB27" i="11"/>
  <c r="HI226" i="34" s="1"/>
  <c r="AB29" i="11"/>
  <c r="HI228" i="34" s="1"/>
  <c r="AB46" i="11"/>
  <c r="HI245" i="34" s="1"/>
  <c r="EI20" i="4"/>
  <c r="EH12" i="4"/>
  <c r="EI12" i="4" s="1"/>
  <c r="EF12" i="4"/>
  <c r="BM31" i="4"/>
  <c r="BM36" i="4"/>
  <c r="BM25" i="4"/>
  <c r="BM46" i="4"/>
  <c r="BM29" i="4"/>
  <c r="K16" i="2"/>
  <c r="K21" i="2" s="1"/>
  <c r="K17" i="2"/>
  <c r="FZ48" i="4" l="1"/>
  <c r="GA48" i="4" s="1"/>
  <c r="GB48" i="4" s="1"/>
  <c r="FW31" i="34" s="1"/>
  <c r="HI30" i="34"/>
  <c r="FZ36" i="5"/>
  <c r="GB36" i="5" s="1"/>
  <c r="FW50" i="34" s="1"/>
  <c r="HI49" i="34"/>
  <c r="FZ43" i="5"/>
  <c r="GB43" i="5" s="1"/>
  <c r="FW57" i="34" s="1"/>
  <c r="HI56" i="34"/>
  <c r="FZ46" i="8"/>
  <c r="GB46" i="8" s="1"/>
  <c r="FW153" i="34" s="1"/>
  <c r="HI152" i="34"/>
  <c r="FZ42" i="8"/>
  <c r="GB42" i="8" s="1"/>
  <c r="FW149" i="34" s="1"/>
  <c r="HI148" i="34"/>
  <c r="FZ32" i="9"/>
  <c r="GB32" i="9" s="1"/>
  <c r="FW170" i="34" s="1"/>
  <c r="HI169" i="34"/>
  <c r="FZ46" i="14"/>
  <c r="GB46" i="14" s="1"/>
  <c r="FW339" i="34" s="1"/>
  <c r="HI338" i="34"/>
  <c r="FZ25" i="14"/>
  <c r="GB25" i="14" s="1"/>
  <c r="FW318" i="34" s="1"/>
  <c r="HI317" i="34"/>
  <c r="FZ41" i="15"/>
  <c r="GB41" i="15" s="1"/>
  <c r="FW365" i="34" s="1"/>
  <c r="HI364" i="34"/>
  <c r="FZ35" i="15"/>
  <c r="GB35" i="15" s="1"/>
  <c r="FW359" i="34" s="1"/>
  <c r="HI358" i="34"/>
  <c r="FZ44" i="15"/>
  <c r="GB44" i="15" s="1"/>
  <c r="FW368" i="34" s="1"/>
  <c r="HI367" i="34"/>
  <c r="FZ47" i="14"/>
  <c r="GB47" i="14" s="1"/>
  <c r="FW340" i="34" s="1"/>
  <c r="HI339" i="34"/>
  <c r="FZ23" i="14"/>
  <c r="GB23" i="14" s="1"/>
  <c r="FW316" i="34" s="1"/>
  <c r="HI315" i="34"/>
  <c r="FZ28" i="8"/>
  <c r="GB28" i="8" s="1"/>
  <c r="FW135" i="34" s="1"/>
  <c r="HI134" i="34"/>
  <c r="FZ29" i="15"/>
  <c r="GB29" i="15" s="1"/>
  <c r="FW353" i="34" s="1"/>
  <c r="HI352" i="34"/>
  <c r="FZ38" i="15"/>
  <c r="GB38" i="15" s="1"/>
  <c r="FW362" i="34" s="1"/>
  <c r="HI361" i="34"/>
  <c r="FZ31" i="6"/>
  <c r="GB31" i="6" s="1"/>
  <c r="FW76" i="34" s="1"/>
  <c r="HI75" i="34"/>
  <c r="FZ50" i="4"/>
  <c r="HI32" i="34"/>
  <c r="FZ49" i="4"/>
  <c r="HI31" i="34"/>
  <c r="FZ41" i="6"/>
  <c r="GB41" i="6" s="1"/>
  <c r="FW86" i="34" s="1"/>
  <c r="HI85" i="34"/>
  <c r="FZ35" i="8"/>
  <c r="GB35" i="8" s="1"/>
  <c r="FW142" i="34" s="1"/>
  <c r="HI141" i="34"/>
  <c r="FZ45" i="6"/>
  <c r="GB45" i="6" s="1"/>
  <c r="FW90" i="34" s="1"/>
  <c r="HI89" i="34"/>
  <c r="FZ36" i="14"/>
  <c r="GB36" i="14" s="1"/>
  <c r="FW329" i="34" s="1"/>
  <c r="HI328" i="34"/>
  <c r="FZ39" i="14"/>
  <c r="GB39" i="14" s="1"/>
  <c r="FW332" i="34" s="1"/>
  <c r="HI331" i="34"/>
  <c r="FZ24" i="15"/>
  <c r="GB24" i="15" s="1"/>
  <c r="FW348" i="34" s="1"/>
  <c r="HI347" i="34"/>
  <c r="FZ26" i="15"/>
  <c r="GB26" i="15" s="1"/>
  <c r="FW350" i="34" s="1"/>
  <c r="HI349" i="34"/>
  <c r="FZ28" i="15"/>
  <c r="GB28" i="15" s="1"/>
  <c r="FW352" i="34" s="1"/>
  <c r="HI351" i="34"/>
  <c r="FZ23" i="9"/>
  <c r="GB23" i="9" s="1"/>
  <c r="FW161" i="34" s="1"/>
  <c r="HI160" i="34"/>
  <c r="FZ33" i="15"/>
  <c r="GB33" i="15" s="1"/>
  <c r="FW357" i="34" s="1"/>
  <c r="HI356" i="34"/>
  <c r="FZ25" i="15"/>
  <c r="GB25" i="15" s="1"/>
  <c r="FW349" i="34" s="1"/>
  <c r="HI348" i="34"/>
  <c r="FZ40" i="15"/>
  <c r="GB40" i="15" s="1"/>
  <c r="FW364" i="34" s="1"/>
  <c r="HI363" i="34"/>
  <c r="AC18" i="74"/>
  <c r="AB18" i="74" s="1"/>
  <c r="F181" i="80"/>
  <c r="Q23" i="74"/>
  <c r="P23" i="74" s="1"/>
  <c r="AC20" i="74"/>
  <c r="AB20" i="74" s="1"/>
  <c r="AC13" i="74"/>
  <c r="AB13" i="74" s="1"/>
  <c r="AC19" i="74"/>
  <c r="AB19" i="74" s="1"/>
  <c r="AC29" i="74"/>
  <c r="AB29" i="74" s="1"/>
  <c r="AC30" i="74"/>
  <c r="AB30" i="74" s="1"/>
  <c r="AC21" i="74"/>
  <c r="AB21" i="74" s="1"/>
  <c r="Q32" i="74"/>
  <c r="P32" i="74" s="1"/>
  <c r="AC17" i="74"/>
  <c r="AB17" i="74" s="1"/>
  <c r="AC32" i="74"/>
  <c r="AB32" i="74" s="1"/>
  <c r="AC28" i="74"/>
  <c r="AB28" i="74" s="1"/>
  <c r="D31" i="60"/>
  <c r="D32" i="60"/>
  <c r="BC22" i="67"/>
  <c r="AT21" i="67" s="1"/>
  <c r="AT16" i="67"/>
  <c r="BC22" i="68"/>
  <c r="AT21" i="68" s="1"/>
  <c r="AT16" i="68"/>
  <c r="V22" i="68"/>
  <c r="M21" i="68" s="1"/>
  <c r="M16" i="68"/>
  <c r="BN22" i="68"/>
  <c r="BE21" i="68" s="1"/>
  <c r="BE16" i="68"/>
  <c r="BN22" i="69"/>
  <c r="BE21" i="69" s="1"/>
  <c r="BE16" i="69"/>
  <c r="BY22" i="68"/>
  <c r="BP21" i="68" s="1"/>
  <c r="BP16" i="68"/>
  <c r="AR22" i="69"/>
  <c r="AI21" i="69" s="1"/>
  <c r="AI16" i="69"/>
  <c r="AG22" i="70"/>
  <c r="X21" i="70" s="1"/>
  <c r="X16" i="70"/>
  <c r="AR22" i="70"/>
  <c r="AI21" i="70" s="1"/>
  <c r="AI16" i="70"/>
  <c r="V22" i="67"/>
  <c r="M21" i="67" s="1"/>
  <c r="M16" i="67"/>
  <c r="CJ22" i="33"/>
  <c r="CA21" i="33" s="1"/>
  <c r="CA16" i="33"/>
  <c r="AG22" i="68"/>
  <c r="X21" i="68" s="1"/>
  <c r="X16" i="68"/>
  <c r="BY22" i="69"/>
  <c r="BP21" i="69" s="1"/>
  <c r="BP16" i="69"/>
  <c r="AG22" i="67"/>
  <c r="X21" i="67" s="1"/>
  <c r="X16" i="67"/>
  <c r="BY22" i="67"/>
  <c r="BP21" i="67" s="1"/>
  <c r="BP16" i="67"/>
  <c r="AG22" i="69"/>
  <c r="X21" i="69" s="1"/>
  <c r="X16" i="69"/>
  <c r="AR22" i="67"/>
  <c r="AI21" i="67" s="1"/>
  <c r="AI16" i="67"/>
  <c r="CJ22" i="67"/>
  <c r="CA21" i="67" s="1"/>
  <c r="CA16" i="67"/>
  <c r="V22" i="69"/>
  <c r="M21" i="69" s="1"/>
  <c r="M16" i="69"/>
  <c r="CJ22" i="68"/>
  <c r="CA21" i="68" s="1"/>
  <c r="CA16" i="68"/>
  <c r="BY22" i="70"/>
  <c r="BP21" i="70" s="1"/>
  <c r="BP16" i="70"/>
  <c r="CJ22" i="70"/>
  <c r="CA16" i="70"/>
  <c r="BN22" i="67"/>
  <c r="BE21" i="67" s="1"/>
  <c r="BE16" i="67"/>
  <c r="AR22" i="68"/>
  <c r="AI21" i="68" s="1"/>
  <c r="AI16" i="68"/>
  <c r="BC22" i="70"/>
  <c r="AT21" i="70" s="1"/>
  <c r="AT16" i="70"/>
  <c r="V22" i="32"/>
  <c r="M21" i="32" s="1"/>
  <c r="M16" i="32"/>
  <c r="BC22" i="71"/>
  <c r="AT21" i="71" s="1"/>
  <c r="AT16" i="71"/>
  <c r="AG22" i="32"/>
  <c r="X21" i="32" s="1"/>
  <c r="X16" i="32"/>
  <c r="AR22" i="33"/>
  <c r="AI21" i="33" s="1"/>
  <c r="AI16" i="33"/>
  <c r="BC22" i="33"/>
  <c r="AT21" i="33" s="1"/>
  <c r="AT16" i="33"/>
  <c r="BN22" i="33"/>
  <c r="BE21" i="33" s="1"/>
  <c r="BE16" i="33"/>
  <c r="V22" i="71"/>
  <c r="M21" i="71" s="1"/>
  <c r="M16" i="71"/>
  <c r="AR22" i="71"/>
  <c r="AI21" i="71" s="1"/>
  <c r="AI16" i="71"/>
  <c r="V22" i="33"/>
  <c r="M21" i="33" s="1"/>
  <c r="M16" i="33"/>
  <c r="AG22" i="33"/>
  <c r="X21" i="33" s="1"/>
  <c r="X16" i="33"/>
  <c r="AR22" i="32"/>
  <c r="AI21" i="32" s="1"/>
  <c r="AI16" i="32"/>
  <c r="BC22" i="32"/>
  <c r="AT21" i="32" s="1"/>
  <c r="AT16" i="32"/>
  <c r="BN22" i="32"/>
  <c r="BE21" i="32" s="1"/>
  <c r="BE16" i="32"/>
  <c r="BY22" i="32"/>
  <c r="BP21" i="32" s="1"/>
  <c r="BP16" i="32"/>
  <c r="CJ22" i="32"/>
  <c r="CA21" i="32" s="1"/>
  <c r="CA16" i="32"/>
  <c r="CJ22" i="71"/>
  <c r="CA21" i="71" s="1"/>
  <c r="CA16" i="71"/>
  <c r="BY22" i="33"/>
  <c r="BP21" i="33" s="1"/>
  <c r="BP16" i="33"/>
  <c r="BY22" i="71"/>
  <c r="BP21" i="71" s="1"/>
  <c r="BP16" i="71"/>
  <c r="AG22" i="31"/>
  <c r="X21" i="31" s="1"/>
  <c r="X16" i="31"/>
  <c r="AR22" i="31"/>
  <c r="AI21" i="31" s="1"/>
  <c r="AI16" i="31"/>
  <c r="BY22" i="31"/>
  <c r="BP21" i="31" s="1"/>
  <c r="BP16" i="31"/>
  <c r="CJ22" i="31"/>
  <c r="CA21" i="31" s="1"/>
  <c r="CA16" i="31"/>
  <c r="CJ22" i="27"/>
  <c r="CA21" i="27" s="1"/>
  <c r="CA16" i="27"/>
  <c r="BC22" i="27"/>
  <c r="AT21" i="27" s="1"/>
  <c r="AT16" i="27"/>
  <c r="BN22" i="27"/>
  <c r="BE21" i="27" s="1"/>
  <c r="BE16" i="27"/>
  <c r="AR22" i="27"/>
  <c r="AI21" i="27" s="1"/>
  <c r="AI16" i="27"/>
  <c r="BY22" i="27"/>
  <c r="BP21" i="27" s="1"/>
  <c r="BP16" i="27"/>
  <c r="BN22" i="26"/>
  <c r="BE21" i="26" s="1"/>
  <c r="BE16" i="26"/>
  <c r="BY22" i="26"/>
  <c r="BP21" i="26" s="1"/>
  <c r="BP16" i="26"/>
  <c r="CJ22" i="26"/>
  <c r="CA21" i="26" s="1"/>
  <c r="CA16" i="26"/>
  <c r="BC22" i="26"/>
  <c r="AT21" i="26" s="1"/>
  <c r="AT16" i="26"/>
  <c r="AG22" i="26"/>
  <c r="X21" i="26" s="1"/>
  <c r="X16" i="26"/>
  <c r="AR22" i="26"/>
  <c r="AI21" i="26" s="1"/>
  <c r="AI16" i="26"/>
  <c r="V22" i="2"/>
  <c r="M21" i="2" s="1"/>
  <c r="M16" i="2"/>
  <c r="E39" i="56"/>
  <c r="E48" i="56" s="1"/>
  <c r="M52" i="56" s="1"/>
  <c r="E39" i="33"/>
  <c r="E48" i="33" s="1"/>
  <c r="E39" i="31"/>
  <c r="E48" i="31" s="1"/>
  <c r="E40" i="31"/>
  <c r="CA21" i="70"/>
  <c r="E40" i="70"/>
  <c r="AR22" i="2"/>
  <c r="AI21" i="2" s="1"/>
  <c r="AI16" i="2"/>
  <c r="D7" i="62"/>
  <c r="BF13" i="58"/>
  <c r="Q25" i="74"/>
  <c r="P25" i="74" s="1"/>
  <c r="Q11" i="74"/>
  <c r="P11" i="74" s="1"/>
  <c r="AC10" i="74"/>
  <c r="AB10" i="74" s="1"/>
  <c r="AC12" i="74"/>
  <c r="AB12" i="74" s="1"/>
  <c r="AC26" i="74"/>
  <c r="AB26" i="74" s="1"/>
  <c r="AC16" i="74"/>
  <c r="AB16" i="74" s="1"/>
  <c r="AC11" i="74"/>
  <c r="AB11" i="74" s="1"/>
  <c r="AC24" i="74"/>
  <c r="AB24" i="74" s="1"/>
  <c r="AC34" i="74"/>
  <c r="AB34" i="74" s="1"/>
  <c r="AC14" i="74"/>
  <c r="AB14" i="74" s="1"/>
  <c r="AC22" i="74"/>
  <c r="AB22" i="74" s="1"/>
  <c r="AC31" i="74"/>
  <c r="AB31" i="74" s="1"/>
  <c r="AC15" i="74"/>
  <c r="AB15" i="74" s="1"/>
  <c r="AC25" i="74"/>
  <c r="AB25" i="74" s="1"/>
  <c r="A48" i="60"/>
  <c r="BL9" i="58"/>
  <c r="D7" i="58"/>
  <c r="BC15" i="62"/>
  <c r="E46" i="55"/>
  <c r="AA11" i="34"/>
  <c r="AE11" i="34"/>
  <c r="M51" i="56"/>
  <c r="AR22" i="57"/>
  <c r="AI21" i="57" s="1"/>
  <c r="AI16" i="57"/>
  <c r="V22" i="57"/>
  <c r="M21" i="57" s="1"/>
  <c r="M16" i="57"/>
  <c r="BC22" i="57"/>
  <c r="AT21" i="57" s="1"/>
  <c r="AT16" i="57"/>
  <c r="BN22" i="55"/>
  <c r="BE21" i="55" s="1"/>
  <c r="BE16" i="55"/>
  <c r="BC22" i="56"/>
  <c r="AT21" i="56" s="1"/>
  <c r="AT16" i="56"/>
  <c r="BC22" i="55"/>
  <c r="AT21" i="55" s="1"/>
  <c r="AT16" i="55"/>
  <c r="CJ22" i="57"/>
  <c r="CA21" i="57" s="1"/>
  <c r="CA16" i="57"/>
  <c r="AG22" i="56"/>
  <c r="X21" i="56" s="1"/>
  <c r="X16" i="56"/>
  <c r="AR22" i="56"/>
  <c r="AI21" i="56" s="1"/>
  <c r="AI16" i="56"/>
  <c r="O216" i="76"/>
  <c r="O232" i="76"/>
  <c r="O398" i="76"/>
  <c r="O366" i="76"/>
  <c r="O334" i="76"/>
  <c r="O302" i="76"/>
  <c r="O270" i="76"/>
  <c r="O238" i="76"/>
  <c r="O206" i="76"/>
  <c r="O163" i="76"/>
  <c r="O87" i="76"/>
  <c r="O23" i="76"/>
  <c r="O392" i="76"/>
  <c r="O360" i="76"/>
  <c r="O328" i="76"/>
  <c r="O296" i="76"/>
  <c r="O264" i="76"/>
  <c r="O414" i="76"/>
  <c r="O382" i="76"/>
  <c r="O350" i="76"/>
  <c r="O318" i="76"/>
  <c r="O286" i="76"/>
  <c r="O254" i="76"/>
  <c r="O222" i="76"/>
  <c r="O190" i="76"/>
  <c r="O55" i="76"/>
  <c r="O408" i="76"/>
  <c r="O376" i="76"/>
  <c r="O344" i="76"/>
  <c r="O312" i="76"/>
  <c r="O280" i="76"/>
  <c r="O248" i="76"/>
  <c r="O4" i="76"/>
  <c r="O8" i="76"/>
  <c r="O12" i="76"/>
  <c r="O16" i="76"/>
  <c r="O20" i="76"/>
  <c r="O24" i="76"/>
  <c r="O28" i="76"/>
  <c r="O32" i="76"/>
  <c r="O36" i="76"/>
  <c r="O40" i="76"/>
  <c r="O44" i="76"/>
  <c r="O48" i="76"/>
  <c r="O52" i="76"/>
  <c r="O56" i="76"/>
  <c r="O60" i="76"/>
  <c r="O64" i="76"/>
  <c r="O68" i="76"/>
  <c r="O72" i="76"/>
  <c r="O76" i="76"/>
  <c r="O80" i="76"/>
  <c r="O84" i="76"/>
  <c r="O88" i="76"/>
  <c r="O92" i="76"/>
  <c r="O96" i="76"/>
  <c r="O100" i="76"/>
  <c r="O104" i="76"/>
  <c r="O108" i="76"/>
  <c r="O148" i="76"/>
  <c r="O152" i="76"/>
  <c r="O156" i="76"/>
  <c r="O160" i="76"/>
  <c r="O164" i="76"/>
  <c r="O168" i="76"/>
  <c r="O172" i="76"/>
  <c r="O176" i="76"/>
  <c r="O180" i="76"/>
  <c r="O184" i="76"/>
  <c r="O9" i="76"/>
  <c r="O17" i="76"/>
  <c r="O25" i="76"/>
  <c r="O33" i="76"/>
  <c r="O41" i="76"/>
  <c r="O49" i="76"/>
  <c r="O57" i="76"/>
  <c r="O65" i="76"/>
  <c r="O73" i="76"/>
  <c r="O81" i="76"/>
  <c r="O89" i="76"/>
  <c r="O97" i="76"/>
  <c r="O105" i="76"/>
  <c r="O149" i="76"/>
  <c r="O157" i="76"/>
  <c r="O165" i="76"/>
  <c r="O173" i="76"/>
  <c r="O181" i="76"/>
  <c r="O187" i="76"/>
  <c r="O191" i="76"/>
  <c r="O195" i="76"/>
  <c r="O199" i="76"/>
  <c r="O203" i="76"/>
  <c r="O207" i="76"/>
  <c r="O211" i="76"/>
  <c r="O215" i="76"/>
  <c r="O219" i="76"/>
  <c r="O223" i="76"/>
  <c r="O227" i="76"/>
  <c r="O231" i="76"/>
  <c r="O235" i="76"/>
  <c r="O239" i="76"/>
  <c r="O243" i="76"/>
  <c r="O247" i="76"/>
  <c r="O251" i="76"/>
  <c r="O255" i="76"/>
  <c r="O259" i="76"/>
  <c r="O263" i="76"/>
  <c r="O267" i="76"/>
  <c r="O271" i="76"/>
  <c r="O275" i="76"/>
  <c r="O279" i="76"/>
  <c r="O283" i="76"/>
  <c r="O287" i="76"/>
  <c r="O291" i="76"/>
  <c r="O295" i="76"/>
  <c r="O299" i="76"/>
  <c r="O303" i="76"/>
  <c r="O307" i="76"/>
  <c r="O311" i="76"/>
  <c r="O315" i="76"/>
  <c r="O319" i="76"/>
  <c r="O323" i="76"/>
  <c r="O327" i="76"/>
  <c r="O331" i="76"/>
  <c r="O335" i="76"/>
  <c r="O339" i="76"/>
  <c r="O343" i="76"/>
  <c r="O347" i="76"/>
  <c r="O351" i="76"/>
  <c r="O355" i="76"/>
  <c r="O359" i="76"/>
  <c r="O363" i="76"/>
  <c r="O367" i="76"/>
  <c r="O371" i="76"/>
  <c r="O375" i="76"/>
  <c r="O379" i="76"/>
  <c r="O383" i="76"/>
  <c r="O387" i="76"/>
  <c r="O391" i="76"/>
  <c r="O395" i="76"/>
  <c r="O399" i="76"/>
  <c r="O403" i="76"/>
  <c r="O407" i="76"/>
  <c r="O411" i="76"/>
  <c r="O415" i="76"/>
  <c r="O419" i="76"/>
  <c r="O3" i="76"/>
  <c r="O11" i="76"/>
  <c r="O19" i="76"/>
  <c r="O35" i="76"/>
  <c r="O51" i="76"/>
  <c r="O67" i="76"/>
  <c r="O83" i="76"/>
  <c r="O99" i="76"/>
  <c r="O159" i="76"/>
  <c r="O175" i="76"/>
  <c r="O188" i="76"/>
  <c r="O196" i="76"/>
  <c r="O204" i="76"/>
  <c r="O212" i="76"/>
  <c r="O220" i="76"/>
  <c r="O228" i="76"/>
  <c r="O236" i="76"/>
  <c r="O244" i="76"/>
  <c r="O252" i="76"/>
  <c r="O260" i="76"/>
  <c r="O268" i="76"/>
  <c r="O276" i="76"/>
  <c r="O284" i="76"/>
  <c r="O292" i="76"/>
  <c r="O300" i="76"/>
  <c r="O308" i="76"/>
  <c r="O316" i="76"/>
  <c r="O324" i="76"/>
  <c r="O332" i="76"/>
  <c r="O340" i="76"/>
  <c r="O348" i="76"/>
  <c r="O356" i="76"/>
  <c r="O364" i="76"/>
  <c r="O372" i="76"/>
  <c r="O380" i="76"/>
  <c r="O388" i="76"/>
  <c r="O396" i="76"/>
  <c r="O404" i="76"/>
  <c r="O412" i="76"/>
  <c r="O420" i="76"/>
  <c r="O31" i="76"/>
  <c r="O47" i="76"/>
  <c r="O63" i="76"/>
  <c r="O79" i="76"/>
  <c r="O95" i="76"/>
  <c r="O155" i="76"/>
  <c r="O171" i="76"/>
  <c r="O186" i="76"/>
  <c r="O194" i="76"/>
  <c r="O202" i="76"/>
  <c r="O210" i="76"/>
  <c r="O218" i="76"/>
  <c r="O226" i="76"/>
  <c r="O234" i="76"/>
  <c r="O242" i="76"/>
  <c r="O250" i="76"/>
  <c r="O258" i="76"/>
  <c r="O266" i="76"/>
  <c r="O274" i="76"/>
  <c r="O282" i="76"/>
  <c r="O290" i="76"/>
  <c r="O298" i="76"/>
  <c r="O306" i="76"/>
  <c r="O314" i="76"/>
  <c r="O322" i="76"/>
  <c r="O330" i="76"/>
  <c r="O338" i="76"/>
  <c r="O346" i="76"/>
  <c r="O354" i="76"/>
  <c r="O362" i="76"/>
  <c r="O370" i="76"/>
  <c r="O378" i="76"/>
  <c r="O386" i="76"/>
  <c r="O394" i="76"/>
  <c r="O402" i="76"/>
  <c r="O410" i="76"/>
  <c r="O418" i="76"/>
  <c r="O6" i="76"/>
  <c r="O10" i="76"/>
  <c r="O14" i="76"/>
  <c r="O18" i="76"/>
  <c r="O22" i="76"/>
  <c r="O26" i="76"/>
  <c r="O30" i="76"/>
  <c r="O34" i="76"/>
  <c r="O38" i="76"/>
  <c r="O42" i="76"/>
  <c r="O46" i="76"/>
  <c r="O50" i="76"/>
  <c r="O54" i="76"/>
  <c r="O58" i="76"/>
  <c r="O62" i="76"/>
  <c r="O66" i="76"/>
  <c r="O70" i="76"/>
  <c r="O74" i="76"/>
  <c r="O78" i="76"/>
  <c r="O82" i="76"/>
  <c r="O86" i="76"/>
  <c r="O90" i="76"/>
  <c r="O94" i="76"/>
  <c r="O98" i="76"/>
  <c r="O102" i="76"/>
  <c r="O106" i="76"/>
  <c r="O110" i="76"/>
  <c r="O150" i="76"/>
  <c r="O154" i="76"/>
  <c r="O158" i="76"/>
  <c r="O162" i="76"/>
  <c r="O166" i="76"/>
  <c r="O170" i="76"/>
  <c r="O174" i="76"/>
  <c r="O178" i="76"/>
  <c r="O182" i="76"/>
  <c r="O5" i="76"/>
  <c r="O13" i="76"/>
  <c r="O21" i="76"/>
  <c r="O29" i="76"/>
  <c r="O37" i="76"/>
  <c r="O45" i="76"/>
  <c r="O53" i="76"/>
  <c r="O61" i="76"/>
  <c r="O69" i="76"/>
  <c r="O77" i="76"/>
  <c r="O85" i="76"/>
  <c r="O93" i="76"/>
  <c r="O101" i="76"/>
  <c r="O109" i="76"/>
  <c r="O153" i="76"/>
  <c r="O161" i="76"/>
  <c r="O169" i="76"/>
  <c r="O177" i="76"/>
  <c r="O185" i="76"/>
  <c r="O189" i="76"/>
  <c r="O193" i="76"/>
  <c r="O197" i="76"/>
  <c r="O201" i="76"/>
  <c r="O205" i="76"/>
  <c r="O209" i="76"/>
  <c r="O213" i="76"/>
  <c r="O217" i="76"/>
  <c r="O221" i="76"/>
  <c r="O225" i="76"/>
  <c r="O229" i="76"/>
  <c r="O233" i="76"/>
  <c r="O237" i="76"/>
  <c r="O241" i="76"/>
  <c r="O245" i="76"/>
  <c r="O249" i="76"/>
  <c r="O253" i="76"/>
  <c r="O257" i="76"/>
  <c r="O261" i="76"/>
  <c r="O265" i="76"/>
  <c r="O269" i="76"/>
  <c r="O273" i="76"/>
  <c r="O277" i="76"/>
  <c r="O281" i="76"/>
  <c r="O285" i="76"/>
  <c r="O289" i="76"/>
  <c r="O293" i="76"/>
  <c r="O297" i="76"/>
  <c r="O301" i="76"/>
  <c r="O305" i="76"/>
  <c r="O309" i="76"/>
  <c r="O313" i="76"/>
  <c r="O317" i="76"/>
  <c r="O321" i="76"/>
  <c r="O325" i="76"/>
  <c r="O329" i="76"/>
  <c r="O333" i="76"/>
  <c r="O337" i="76"/>
  <c r="O341" i="76"/>
  <c r="O345" i="76"/>
  <c r="O349" i="76"/>
  <c r="O353" i="76"/>
  <c r="O357" i="76"/>
  <c r="O361" i="76"/>
  <c r="O365" i="76"/>
  <c r="O369" i="76"/>
  <c r="O373" i="76"/>
  <c r="O377" i="76"/>
  <c r="O381" i="76"/>
  <c r="O385" i="76"/>
  <c r="O389" i="76"/>
  <c r="O393" i="76"/>
  <c r="O397" i="76"/>
  <c r="O401" i="76"/>
  <c r="O405" i="76"/>
  <c r="O409" i="76"/>
  <c r="O413" i="76"/>
  <c r="O417" i="76"/>
  <c r="O421" i="76"/>
  <c r="O7" i="76"/>
  <c r="O15" i="76"/>
  <c r="O27" i="76"/>
  <c r="O43" i="76"/>
  <c r="O59" i="76"/>
  <c r="O75" i="76"/>
  <c r="O91" i="76"/>
  <c r="O107" i="76"/>
  <c r="O151" i="76"/>
  <c r="O167" i="76"/>
  <c r="O183" i="76"/>
  <c r="O192" i="76"/>
  <c r="O200" i="76"/>
  <c r="O422" i="76"/>
  <c r="O406" i="76"/>
  <c r="O390" i="76"/>
  <c r="O374" i="76"/>
  <c r="O358" i="76"/>
  <c r="O342" i="76"/>
  <c r="O326" i="76"/>
  <c r="O310" i="76"/>
  <c r="O294" i="76"/>
  <c r="O278" i="76"/>
  <c r="O262" i="76"/>
  <c r="O246" i="76"/>
  <c r="O230" i="76"/>
  <c r="O214" i="76"/>
  <c r="O198" i="76"/>
  <c r="O179" i="76"/>
  <c r="O147" i="76"/>
  <c r="O103" i="76"/>
  <c r="O71" i="76"/>
  <c r="O39" i="76"/>
  <c r="O416" i="76"/>
  <c r="O400" i="76"/>
  <c r="O384" i="76"/>
  <c r="O368" i="76"/>
  <c r="O352" i="76"/>
  <c r="O336" i="76"/>
  <c r="O320" i="76"/>
  <c r="O304" i="76"/>
  <c r="O288" i="76"/>
  <c r="O272" i="76"/>
  <c r="O256" i="76"/>
  <c r="O240" i="76"/>
  <c r="O224" i="76"/>
  <c r="O208" i="76"/>
  <c r="B4" i="62"/>
  <c r="H12" i="62" s="1"/>
  <c r="B4" i="58"/>
  <c r="H12" i="58" s="1"/>
  <c r="E39" i="55"/>
  <c r="E48" i="55" s="1"/>
  <c r="DY5" i="42"/>
  <c r="AL90" i="12"/>
  <c r="AH90" i="12"/>
  <c r="F27" i="62"/>
  <c r="F25" i="58"/>
  <c r="E39" i="57"/>
  <c r="M51" i="57" s="1"/>
  <c r="C64" i="57"/>
  <c r="E39" i="26"/>
  <c r="E48" i="26" s="1"/>
  <c r="AE5" i="34" s="1"/>
  <c r="B54" i="60"/>
  <c r="D54" i="60" s="1"/>
  <c r="EJ40" i="18"/>
  <c r="EJ21" i="18"/>
  <c r="EJ41" i="18"/>
  <c r="EJ34" i="18"/>
  <c r="EJ19" i="18"/>
  <c r="EJ26" i="18"/>
  <c r="EJ25" i="18"/>
  <c r="EJ43" i="18"/>
  <c r="EJ20" i="18"/>
  <c r="EJ27" i="18"/>
  <c r="EJ23" i="18"/>
  <c r="EJ39" i="18"/>
  <c r="EJ22" i="18"/>
  <c r="EJ44" i="18"/>
  <c r="EJ24" i="18"/>
  <c r="EJ37" i="18"/>
  <c r="EJ32" i="18"/>
  <c r="EJ28" i="18"/>
  <c r="EJ31" i="18"/>
  <c r="EJ36" i="18"/>
  <c r="EJ33" i="18"/>
  <c r="EJ18" i="18"/>
  <c r="EJ30" i="18"/>
  <c r="EJ42" i="18"/>
  <c r="EJ35" i="18"/>
  <c r="EJ38" i="18"/>
  <c r="Q54" i="25"/>
  <c r="W64" i="25"/>
  <c r="H129" i="25" s="1"/>
  <c r="W56" i="25"/>
  <c r="H121" i="25" s="1"/>
  <c r="H65" i="25"/>
  <c r="C130" i="25" s="1"/>
  <c r="H57" i="25"/>
  <c r="C122" i="25" s="1"/>
  <c r="E64" i="25"/>
  <c r="B129" i="25" s="1"/>
  <c r="E56" i="25"/>
  <c r="B121" i="25" s="1"/>
  <c r="BF9" i="58"/>
  <c r="N56" i="25"/>
  <c r="E121" i="25" s="1"/>
  <c r="K58" i="25"/>
  <c r="D123" i="25" s="1"/>
  <c r="B56" i="25"/>
  <c r="A121" i="25" s="1"/>
  <c r="T58" i="25"/>
  <c r="G123" i="25" s="1"/>
  <c r="Q65" i="25"/>
  <c r="F130" i="25" s="1"/>
  <c r="Q57" i="25"/>
  <c r="F122" i="25" s="1"/>
  <c r="N54" i="25"/>
  <c r="W63" i="25"/>
  <c r="H128" i="25" s="1"/>
  <c r="W55" i="25"/>
  <c r="H120" i="25" s="1"/>
  <c r="H64" i="25"/>
  <c r="C129" i="25" s="1"/>
  <c r="H56" i="25"/>
  <c r="C121" i="25" s="1"/>
  <c r="E63" i="25"/>
  <c r="B128" i="25" s="1"/>
  <c r="E55" i="25"/>
  <c r="B120" i="25" s="1"/>
  <c r="BC14" i="62"/>
  <c r="K59" i="25"/>
  <c r="D124" i="25" s="1"/>
  <c r="B59" i="25"/>
  <c r="A124" i="25" s="1"/>
  <c r="T59" i="25"/>
  <c r="G124" i="25" s="1"/>
  <c r="Q62" i="25"/>
  <c r="F127" i="25" s="1"/>
  <c r="BF10" i="58"/>
  <c r="W62" i="25"/>
  <c r="H127" i="25" s="1"/>
  <c r="W54" i="25"/>
  <c r="H63" i="25"/>
  <c r="C128" i="25" s="1"/>
  <c r="H55" i="25"/>
  <c r="C120" i="25" s="1"/>
  <c r="E62" i="25"/>
  <c r="B127" i="25" s="1"/>
  <c r="E54" i="25"/>
  <c r="K64" i="25"/>
  <c r="D129" i="25" s="1"/>
  <c r="K56" i="25"/>
  <c r="D121" i="25" s="1"/>
  <c r="T64" i="25"/>
  <c r="G129" i="25" s="1"/>
  <c r="T56" i="25"/>
  <c r="G121" i="25" s="1"/>
  <c r="Q63" i="25"/>
  <c r="F128" i="25" s="1"/>
  <c r="Q55" i="25"/>
  <c r="F120" i="25" s="1"/>
  <c r="Q64" i="25"/>
  <c r="F129" i="25" s="1"/>
  <c r="W61" i="25"/>
  <c r="H126" i="25" s="1"/>
  <c r="H54" i="25"/>
  <c r="H62" i="25"/>
  <c r="C127" i="25" s="1"/>
  <c r="B65" i="25"/>
  <c r="A130" i="25" s="1"/>
  <c r="E61" i="25"/>
  <c r="B126" i="25" s="1"/>
  <c r="B64" i="25"/>
  <c r="A129" i="25" s="1"/>
  <c r="K65" i="25"/>
  <c r="D130" i="25" s="1"/>
  <c r="K57" i="25"/>
  <c r="D122" i="25" s="1"/>
  <c r="T65" i="25"/>
  <c r="G130" i="25" s="1"/>
  <c r="T57" i="25"/>
  <c r="G122" i="25" s="1"/>
  <c r="Q60" i="25"/>
  <c r="F125" i="25" s="1"/>
  <c r="N62" i="25"/>
  <c r="E127" i="25" s="1"/>
  <c r="BC13" i="62"/>
  <c r="D13" i="62" s="1"/>
  <c r="W60" i="25"/>
  <c r="H125" i="25" s="1"/>
  <c r="B63" i="25"/>
  <c r="A128" i="25" s="1"/>
  <c r="H61" i="25"/>
  <c r="C126" i="25" s="1"/>
  <c r="B62" i="25"/>
  <c r="A127" i="25" s="1"/>
  <c r="E60" i="25"/>
  <c r="B125" i="25" s="1"/>
  <c r="B61" i="25"/>
  <c r="A126" i="25" s="1"/>
  <c r="K62" i="25"/>
  <c r="D127" i="25" s="1"/>
  <c r="K54" i="25"/>
  <c r="T62" i="25"/>
  <c r="G127" i="25" s="1"/>
  <c r="T54" i="25"/>
  <c r="Q61" i="25"/>
  <c r="F126" i="25" s="1"/>
  <c r="N65" i="25"/>
  <c r="E130" i="25" s="1"/>
  <c r="BC10" i="62"/>
  <c r="W59" i="25"/>
  <c r="H124" i="25" s="1"/>
  <c r="B60" i="25"/>
  <c r="A125" i="25" s="1"/>
  <c r="H60" i="25"/>
  <c r="C125" i="25" s="1"/>
  <c r="B58" i="25"/>
  <c r="A123" i="25" s="1"/>
  <c r="E59" i="25"/>
  <c r="B124" i="25" s="1"/>
  <c r="N58" i="25"/>
  <c r="E123" i="25" s="1"/>
  <c r="K63" i="25"/>
  <c r="D128" i="25" s="1"/>
  <c r="K55" i="25"/>
  <c r="D120" i="25" s="1"/>
  <c r="T63" i="25"/>
  <c r="G128" i="25" s="1"/>
  <c r="T55" i="25"/>
  <c r="G120" i="25" s="1"/>
  <c r="Q58" i="25"/>
  <c r="F123" i="25" s="1"/>
  <c r="B57" i="25"/>
  <c r="A122" i="25" s="1"/>
  <c r="J32" i="51"/>
  <c r="BC9" i="62"/>
  <c r="W58" i="25"/>
  <c r="H123" i="25" s="1"/>
  <c r="N57" i="25"/>
  <c r="E122" i="25" s="1"/>
  <c r="H59" i="25"/>
  <c r="C124" i="25" s="1"/>
  <c r="B54" i="25"/>
  <c r="E58" i="25"/>
  <c r="B123" i="25" s="1"/>
  <c r="N55" i="25"/>
  <c r="E120" i="25" s="1"/>
  <c r="K60" i="25"/>
  <c r="D125" i="25" s="1"/>
  <c r="N61" i="25"/>
  <c r="E126" i="25" s="1"/>
  <c r="T60" i="25"/>
  <c r="G125" i="25" s="1"/>
  <c r="N60" i="25"/>
  <c r="E125" i="25" s="1"/>
  <c r="Q59" i="25"/>
  <c r="F124" i="25" s="1"/>
  <c r="N59" i="25"/>
  <c r="E124" i="25" s="1"/>
  <c r="W65" i="25"/>
  <c r="H130" i="25" s="1"/>
  <c r="W57" i="25"/>
  <c r="H122" i="25" s="1"/>
  <c r="B55" i="25"/>
  <c r="A120" i="25" s="1"/>
  <c r="H58" i="25"/>
  <c r="C123" i="25" s="1"/>
  <c r="E65" i="25"/>
  <c r="B130" i="25" s="1"/>
  <c r="E57" i="25"/>
  <c r="B122" i="25" s="1"/>
  <c r="BF12" i="58"/>
  <c r="K61" i="25"/>
  <c r="D126" i="25" s="1"/>
  <c r="N64" i="25"/>
  <c r="E129" i="25" s="1"/>
  <c r="T61" i="25"/>
  <c r="G126" i="25" s="1"/>
  <c r="N63" i="25"/>
  <c r="E128" i="25" s="1"/>
  <c r="Q56" i="25"/>
  <c r="F121" i="25" s="1"/>
  <c r="BC12" i="62"/>
  <c r="AO5" i="25"/>
  <c r="AO2" i="25"/>
  <c r="AO11" i="25"/>
  <c r="AO10" i="25"/>
  <c r="AO4" i="25"/>
  <c r="AO1" i="25"/>
  <c r="AO6" i="25"/>
  <c r="AO8" i="25"/>
  <c r="AO3" i="25"/>
  <c r="AO7" i="25"/>
  <c r="AO12" i="25"/>
  <c r="AO9" i="25"/>
  <c r="AP22" i="11"/>
  <c r="FZ22" i="11"/>
  <c r="GB22" i="11" s="1"/>
  <c r="FW222" i="34" s="1"/>
  <c r="AP43" i="11"/>
  <c r="FZ43" i="11"/>
  <c r="GB43" i="11" s="1"/>
  <c r="FW243" i="34" s="1"/>
  <c r="AP39" i="11"/>
  <c r="FZ39" i="11"/>
  <c r="GB39" i="11" s="1"/>
  <c r="FW239" i="34" s="1"/>
  <c r="AP20" i="8"/>
  <c r="FZ20" i="8"/>
  <c r="AP38" i="8"/>
  <c r="FZ38" i="8"/>
  <c r="GB38" i="8" s="1"/>
  <c r="FW145" i="34" s="1"/>
  <c r="AP47" i="8"/>
  <c r="FZ47" i="8"/>
  <c r="GB47" i="8" s="1"/>
  <c r="FW154" i="34" s="1"/>
  <c r="AP36" i="7"/>
  <c r="FZ36" i="7"/>
  <c r="GB36" i="7" s="1"/>
  <c r="FW112" i="34" s="1"/>
  <c r="AP35" i="7"/>
  <c r="FZ35" i="7"/>
  <c r="GB35" i="7" s="1"/>
  <c r="FW111" i="34" s="1"/>
  <c r="AP37" i="7"/>
  <c r="FZ37" i="7"/>
  <c r="GB37" i="7" s="1"/>
  <c r="FW113" i="34" s="1"/>
  <c r="AP47" i="7"/>
  <c r="FZ47" i="7"/>
  <c r="GB47" i="7" s="1"/>
  <c r="FW123" i="34" s="1"/>
  <c r="AP30" i="7"/>
  <c r="FZ30" i="7"/>
  <c r="GB30" i="7" s="1"/>
  <c r="FW106" i="34" s="1"/>
  <c r="AP27" i="7"/>
  <c r="FZ27" i="7"/>
  <c r="GB27" i="7" s="1"/>
  <c r="FW103" i="34" s="1"/>
  <c r="AP21" i="7"/>
  <c r="FZ21" i="7"/>
  <c r="GB21" i="7" s="1"/>
  <c r="FW97" i="34" s="1"/>
  <c r="AP37" i="13"/>
  <c r="FZ37" i="13"/>
  <c r="GB37" i="13" s="1"/>
  <c r="FW299" i="34" s="1"/>
  <c r="AP30" i="13"/>
  <c r="FZ30" i="13"/>
  <c r="GB30" i="13" s="1"/>
  <c r="FW292" i="34" s="1"/>
  <c r="AP47" i="13"/>
  <c r="FZ47" i="13"/>
  <c r="GB47" i="13" s="1"/>
  <c r="FW309" i="34" s="1"/>
  <c r="AP26" i="13"/>
  <c r="FZ26" i="13"/>
  <c r="GB26" i="13" s="1"/>
  <c r="FW288" i="34" s="1"/>
  <c r="AP30" i="12"/>
  <c r="FZ30" i="12"/>
  <c r="GB30" i="12" s="1"/>
  <c r="FW261" i="34" s="1"/>
  <c r="AP33" i="12"/>
  <c r="FZ33" i="12"/>
  <c r="GB33" i="12" s="1"/>
  <c r="FW264" i="34" s="1"/>
  <c r="AP36" i="12"/>
  <c r="FZ36" i="12"/>
  <c r="GB36" i="12" s="1"/>
  <c r="FW267" i="34" s="1"/>
  <c r="AP21" i="10"/>
  <c r="FZ21" i="10"/>
  <c r="GB21" i="10" s="1"/>
  <c r="FW190" i="34" s="1"/>
  <c r="AP29" i="10"/>
  <c r="FZ29" i="10"/>
  <c r="GB29" i="10" s="1"/>
  <c r="FW198" i="34" s="1"/>
  <c r="AP35" i="10"/>
  <c r="FZ35" i="10"/>
  <c r="GB35" i="10" s="1"/>
  <c r="FW204" i="34" s="1"/>
  <c r="AP41" i="10"/>
  <c r="FZ41" i="10"/>
  <c r="GB41" i="10" s="1"/>
  <c r="FW210" i="34" s="1"/>
  <c r="AP45" i="14"/>
  <c r="FZ45" i="14"/>
  <c r="GB45" i="14" s="1"/>
  <c r="FW338" i="34" s="1"/>
  <c r="AP26" i="14"/>
  <c r="FZ26" i="14"/>
  <c r="GB26" i="14" s="1"/>
  <c r="FW319" i="34" s="1"/>
  <c r="AP24" i="9"/>
  <c r="FZ24" i="9"/>
  <c r="GB24" i="9" s="1"/>
  <c r="FW162" i="34" s="1"/>
  <c r="AP43" i="9"/>
  <c r="FZ43" i="9"/>
  <c r="GB43" i="9" s="1"/>
  <c r="FW181" i="34" s="1"/>
  <c r="AP20" i="15"/>
  <c r="FZ20" i="15"/>
  <c r="GB20" i="15" s="1"/>
  <c r="FW344" i="34" s="1"/>
  <c r="AP23" i="15"/>
  <c r="FZ23" i="15"/>
  <c r="GB23" i="15" s="1"/>
  <c r="FW347" i="34" s="1"/>
  <c r="AP22" i="15"/>
  <c r="FZ22" i="15"/>
  <c r="GB22" i="15" s="1"/>
  <c r="FW346" i="34" s="1"/>
  <c r="AP46" i="11"/>
  <c r="FZ46" i="11"/>
  <c r="GB46" i="11" s="1"/>
  <c r="FW246" i="34" s="1"/>
  <c r="AP47" i="11"/>
  <c r="FZ47" i="11"/>
  <c r="GB47" i="11" s="1"/>
  <c r="FW247" i="34" s="1"/>
  <c r="AP20" i="11"/>
  <c r="FZ20" i="11"/>
  <c r="AP33" i="11"/>
  <c r="FZ33" i="11"/>
  <c r="GB33" i="11" s="1"/>
  <c r="FW233" i="34" s="1"/>
  <c r="AP35" i="11"/>
  <c r="FZ35" i="11"/>
  <c r="GB35" i="11" s="1"/>
  <c r="FW235" i="34" s="1"/>
  <c r="AP26" i="11"/>
  <c r="FZ26" i="11"/>
  <c r="GB26" i="11" s="1"/>
  <c r="FW226" i="34" s="1"/>
  <c r="AP21" i="11"/>
  <c r="FZ21" i="11"/>
  <c r="GB21" i="11" s="1"/>
  <c r="FW221" i="34" s="1"/>
  <c r="AP39" i="8"/>
  <c r="FZ39" i="8"/>
  <c r="GB39" i="8" s="1"/>
  <c r="FW146" i="34" s="1"/>
  <c r="AP36" i="8"/>
  <c r="FZ36" i="8"/>
  <c r="GB36" i="8" s="1"/>
  <c r="FW143" i="34" s="1"/>
  <c r="AP25" i="8"/>
  <c r="FZ25" i="8"/>
  <c r="GB25" i="8" s="1"/>
  <c r="FW132" i="34" s="1"/>
  <c r="AP22" i="8"/>
  <c r="FZ22" i="8"/>
  <c r="GB22" i="8" s="1"/>
  <c r="FW129" i="34" s="1"/>
  <c r="AP32" i="8"/>
  <c r="FZ32" i="8"/>
  <c r="GB32" i="8" s="1"/>
  <c r="FW139" i="34" s="1"/>
  <c r="AP29" i="7"/>
  <c r="FZ29" i="7"/>
  <c r="GB29" i="7" s="1"/>
  <c r="FW105" i="34" s="1"/>
  <c r="AP22" i="7"/>
  <c r="FZ22" i="7"/>
  <c r="GB22" i="7" s="1"/>
  <c r="FW98" i="34" s="1"/>
  <c r="AP26" i="7"/>
  <c r="FZ26" i="7"/>
  <c r="GB26" i="7" s="1"/>
  <c r="FW102" i="34" s="1"/>
  <c r="AP31" i="7"/>
  <c r="FZ31" i="7"/>
  <c r="GB31" i="7" s="1"/>
  <c r="FW107" i="34" s="1"/>
  <c r="AP20" i="7"/>
  <c r="FZ20" i="7"/>
  <c r="AP45" i="7"/>
  <c r="FZ45" i="7"/>
  <c r="GB45" i="7" s="1"/>
  <c r="FW121" i="34" s="1"/>
  <c r="AP34" i="7"/>
  <c r="FZ34" i="7"/>
  <c r="GB34" i="7" s="1"/>
  <c r="FW110" i="34" s="1"/>
  <c r="AP40" i="13"/>
  <c r="FZ40" i="13"/>
  <c r="GB40" i="13" s="1"/>
  <c r="FW302" i="34" s="1"/>
  <c r="AP28" i="13"/>
  <c r="FZ28" i="13"/>
  <c r="GB28" i="13" s="1"/>
  <c r="FW290" i="34" s="1"/>
  <c r="AP31" i="13"/>
  <c r="FZ31" i="13"/>
  <c r="GB31" i="13" s="1"/>
  <c r="FW293" i="34" s="1"/>
  <c r="AP29" i="13"/>
  <c r="FZ29" i="13"/>
  <c r="GB29" i="13" s="1"/>
  <c r="FW291" i="34" s="1"/>
  <c r="AP20" i="13"/>
  <c r="FZ20" i="13"/>
  <c r="AP42" i="13"/>
  <c r="FZ42" i="13"/>
  <c r="GB42" i="13" s="1"/>
  <c r="FW304" i="34" s="1"/>
  <c r="AP22" i="13"/>
  <c r="FZ22" i="13"/>
  <c r="GB22" i="13" s="1"/>
  <c r="FW284" i="34" s="1"/>
  <c r="AP35" i="13"/>
  <c r="FZ35" i="13"/>
  <c r="GB35" i="13" s="1"/>
  <c r="FW297" i="34" s="1"/>
  <c r="AP32" i="12"/>
  <c r="FZ32" i="12"/>
  <c r="GB32" i="12" s="1"/>
  <c r="FW263" i="34" s="1"/>
  <c r="AP25" i="12"/>
  <c r="FZ25" i="12"/>
  <c r="GB25" i="12" s="1"/>
  <c r="FW256" i="34" s="1"/>
  <c r="AP20" i="12"/>
  <c r="FZ20" i="12"/>
  <c r="AP27" i="12"/>
  <c r="FZ27" i="12"/>
  <c r="GB27" i="12" s="1"/>
  <c r="FW258" i="34" s="1"/>
  <c r="AP35" i="12"/>
  <c r="FZ35" i="12"/>
  <c r="GB35" i="12" s="1"/>
  <c r="FW266" i="34" s="1"/>
  <c r="AP23" i="12"/>
  <c r="FZ23" i="12"/>
  <c r="GB23" i="12" s="1"/>
  <c r="FW254" i="34" s="1"/>
  <c r="AP45" i="12"/>
  <c r="FZ45" i="12"/>
  <c r="GB45" i="12" s="1"/>
  <c r="FW276" i="34" s="1"/>
  <c r="AP44" i="12"/>
  <c r="FZ44" i="12"/>
  <c r="GB44" i="12" s="1"/>
  <c r="FW275" i="34" s="1"/>
  <c r="AP31" i="10"/>
  <c r="FZ31" i="10"/>
  <c r="GB31" i="10" s="1"/>
  <c r="FW200" i="34" s="1"/>
  <c r="AP26" i="10"/>
  <c r="FZ26" i="10"/>
  <c r="GB26" i="10" s="1"/>
  <c r="FW195" i="34" s="1"/>
  <c r="AP22" i="10"/>
  <c r="FZ22" i="10"/>
  <c r="GB22" i="10" s="1"/>
  <c r="FW191" i="34" s="1"/>
  <c r="AP42" i="10"/>
  <c r="FZ42" i="10"/>
  <c r="GB42" i="10" s="1"/>
  <c r="FW211" i="34" s="1"/>
  <c r="AP43" i="10"/>
  <c r="FZ43" i="10"/>
  <c r="GB43" i="10" s="1"/>
  <c r="FW212" i="34" s="1"/>
  <c r="AP36" i="10"/>
  <c r="FZ36" i="10"/>
  <c r="GB36" i="10" s="1"/>
  <c r="FW205" i="34" s="1"/>
  <c r="AP28" i="10"/>
  <c r="FZ28" i="10"/>
  <c r="GB28" i="10" s="1"/>
  <c r="FW197" i="34" s="1"/>
  <c r="AP24" i="6"/>
  <c r="FZ24" i="6"/>
  <c r="GB24" i="6" s="1"/>
  <c r="FW69" i="34" s="1"/>
  <c r="AP36" i="6"/>
  <c r="FZ36" i="6"/>
  <c r="GB36" i="6" s="1"/>
  <c r="FW81" i="34" s="1"/>
  <c r="AP27" i="6"/>
  <c r="FZ27" i="6"/>
  <c r="GB27" i="6" s="1"/>
  <c r="FW72" i="34" s="1"/>
  <c r="AP43" i="6"/>
  <c r="FZ43" i="6"/>
  <c r="GB43" i="6" s="1"/>
  <c r="FW88" i="34" s="1"/>
  <c r="AP21" i="6"/>
  <c r="FZ21" i="6"/>
  <c r="GB21" i="6" s="1"/>
  <c r="FW66" i="34" s="1"/>
  <c r="AP42" i="14"/>
  <c r="FZ42" i="14"/>
  <c r="GB42" i="14" s="1"/>
  <c r="FW335" i="34" s="1"/>
  <c r="AP22" i="14"/>
  <c r="FZ22" i="14"/>
  <c r="GB22" i="14" s="1"/>
  <c r="FW315" i="34" s="1"/>
  <c r="AP33" i="14"/>
  <c r="FZ33" i="14"/>
  <c r="GB33" i="14" s="1"/>
  <c r="FW326" i="34" s="1"/>
  <c r="AP28" i="14"/>
  <c r="FZ28" i="14"/>
  <c r="GB28" i="14" s="1"/>
  <c r="FW321" i="34" s="1"/>
  <c r="AP24" i="14"/>
  <c r="FZ24" i="14"/>
  <c r="GB24" i="14" s="1"/>
  <c r="FW317" i="34" s="1"/>
  <c r="AP44" i="14"/>
  <c r="FZ44" i="14"/>
  <c r="GB44" i="14" s="1"/>
  <c r="FW337" i="34" s="1"/>
  <c r="AP20" i="9"/>
  <c r="FZ20" i="9"/>
  <c r="AP36" i="9"/>
  <c r="FZ36" i="9"/>
  <c r="GB36" i="9" s="1"/>
  <c r="FW174" i="34" s="1"/>
  <c r="AP39" i="9"/>
  <c r="FZ39" i="9"/>
  <c r="GB39" i="9" s="1"/>
  <c r="FW177" i="34" s="1"/>
  <c r="AP35" i="9"/>
  <c r="FZ35" i="9"/>
  <c r="GB35" i="9" s="1"/>
  <c r="FW173" i="34" s="1"/>
  <c r="AP30" i="9"/>
  <c r="FZ30" i="9"/>
  <c r="GB30" i="9" s="1"/>
  <c r="FW168" i="34" s="1"/>
  <c r="AP22" i="9"/>
  <c r="FZ22" i="9"/>
  <c r="GB22" i="9" s="1"/>
  <c r="FW160" i="34" s="1"/>
  <c r="AP33" i="9"/>
  <c r="FZ33" i="9"/>
  <c r="GB33" i="9" s="1"/>
  <c r="FW171" i="34" s="1"/>
  <c r="AP22" i="6"/>
  <c r="FZ22" i="6"/>
  <c r="GB22" i="6" s="1"/>
  <c r="FW67" i="34" s="1"/>
  <c r="AP26" i="8"/>
  <c r="FZ26" i="8"/>
  <c r="GB26" i="8" s="1"/>
  <c r="FW133" i="34" s="1"/>
  <c r="AP27" i="14"/>
  <c r="FZ27" i="14"/>
  <c r="GB27" i="14" s="1"/>
  <c r="FW320" i="34" s="1"/>
  <c r="AP29" i="9"/>
  <c r="FZ29" i="9"/>
  <c r="GB29" i="9" s="1"/>
  <c r="FW167" i="34" s="1"/>
  <c r="AP46" i="15"/>
  <c r="FZ46" i="15"/>
  <c r="GB46" i="15" s="1"/>
  <c r="FW370" i="34" s="1"/>
  <c r="AP27" i="15"/>
  <c r="FZ27" i="15"/>
  <c r="GB27" i="15" s="1"/>
  <c r="FW351" i="34" s="1"/>
  <c r="AP30" i="15"/>
  <c r="FZ30" i="15"/>
  <c r="GB30" i="15" s="1"/>
  <c r="FW354" i="34" s="1"/>
  <c r="AP31" i="15"/>
  <c r="FZ31" i="15"/>
  <c r="GB31" i="15" s="1"/>
  <c r="FW355" i="34" s="1"/>
  <c r="AP45" i="11"/>
  <c r="FZ45" i="11"/>
  <c r="GB45" i="11" s="1"/>
  <c r="FW245" i="34" s="1"/>
  <c r="AP29" i="8"/>
  <c r="FZ29" i="8"/>
  <c r="GB29" i="8" s="1"/>
  <c r="FW136" i="34" s="1"/>
  <c r="AP39" i="7"/>
  <c r="FZ39" i="7"/>
  <c r="GB39" i="7" s="1"/>
  <c r="FW115" i="34" s="1"/>
  <c r="AP46" i="12"/>
  <c r="FZ46" i="12"/>
  <c r="GB46" i="12" s="1"/>
  <c r="FW277" i="34" s="1"/>
  <c r="AP46" i="10"/>
  <c r="FZ46" i="10"/>
  <c r="GB46" i="10" s="1"/>
  <c r="FW215" i="34" s="1"/>
  <c r="AP44" i="10"/>
  <c r="FZ44" i="10"/>
  <c r="GB44" i="10" s="1"/>
  <c r="FW213" i="34" s="1"/>
  <c r="AP40" i="6"/>
  <c r="FZ40" i="6"/>
  <c r="GB40" i="6" s="1"/>
  <c r="FW85" i="34" s="1"/>
  <c r="AP28" i="6"/>
  <c r="FZ28" i="6"/>
  <c r="GB28" i="6" s="1"/>
  <c r="FW73" i="34" s="1"/>
  <c r="AP35" i="14"/>
  <c r="FZ35" i="14"/>
  <c r="GB35" i="14" s="1"/>
  <c r="FW328" i="34" s="1"/>
  <c r="AP43" i="14"/>
  <c r="FZ43" i="14"/>
  <c r="GB43" i="14" s="1"/>
  <c r="FW336" i="34" s="1"/>
  <c r="AP21" i="8"/>
  <c r="FZ21" i="8"/>
  <c r="GB21" i="8" s="1"/>
  <c r="FW128" i="34" s="1"/>
  <c r="AP42" i="15"/>
  <c r="FZ42" i="15"/>
  <c r="GB42" i="15" s="1"/>
  <c r="FW366" i="34" s="1"/>
  <c r="AP42" i="11"/>
  <c r="FZ42" i="11"/>
  <c r="GB42" i="11" s="1"/>
  <c r="FW242" i="34" s="1"/>
  <c r="AP30" i="8"/>
  <c r="FZ30" i="8"/>
  <c r="GB30" i="8" s="1"/>
  <c r="FW137" i="34" s="1"/>
  <c r="AP41" i="7"/>
  <c r="FZ41" i="7"/>
  <c r="GB41" i="7" s="1"/>
  <c r="FW117" i="34" s="1"/>
  <c r="AP42" i="7"/>
  <c r="FZ42" i="7"/>
  <c r="GB42" i="7" s="1"/>
  <c r="FW118" i="34" s="1"/>
  <c r="AP33" i="7"/>
  <c r="FZ33" i="7"/>
  <c r="GB33" i="7" s="1"/>
  <c r="FW109" i="34" s="1"/>
  <c r="AP25" i="7"/>
  <c r="FZ25" i="7"/>
  <c r="GB25" i="7" s="1"/>
  <c r="FW101" i="34" s="1"/>
  <c r="AP32" i="7"/>
  <c r="FZ32" i="7"/>
  <c r="GB32" i="7" s="1"/>
  <c r="FW108" i="34" s="1"/>
  <c r="AP21" i="13"/>
  <c r="FZ21" i="13"/>
  <c r="GB21" i="13" s="1"/>
  <c r="FW283" i="34" s="1"/>
  <c r="AP32" i="13"/>
  <c r="FZ32" i="13"/>
  <c r="GB32" i="13" s="1"/>
  <c r="FW294" i="34" s="1"/>
  <c r="AP45" i="13"/>
  <c r="FZ45" i="13"/>
  <c r="GB45" i="13" s="1"/>
  <c r="FW307" i="34" s="1"/>
  <c r="AP22" i="12"/>
  <c r="FZ22" i="12"/>
  <c r="GB22" i="12" s="1"/>
  <c r="FW253" i="34" s="1"/>
  <c r="AP41" i="12"/>
  <c r="FZ41" i="12"/>
  <c r="GB41" i="12" s="1"/>
  <c r="FW272" i="34" s="1"/>
  <c r="AP46" i="6"/>
  <c r="FZ46" i="6"/>
  <c r="GB46" i="6" s="1"/>
  <c r="FW91" i="34" s="1"/>
  <c r="AP20" i="6"/>
  <c r="FZ20" i="6"/>
  <c r="AP25" i="6"/>
  <c r="FZ25" i="6"/>
  <c r="GB25" i="6" s="1"/>
  <c r="FW70" i="34" s="1"/>
  <c r="AP41" i="14"/>
  <c r="FZ41" i="14"/>
  <c r="GB41" i="14" s="1"/>
  <c r="FW334" i="34" s="1"/>
  <c r="AP31" i="14"/>
  <c r="FZ31" i="14"/>
  <c r="GB31" i="14" s="1"/>
  <c r="FW324" i="34" s="1"/>
  <c r="AP30" i="14"/>
  <c r="FZ30" i="14"/>
  <c r="GB30" i="14" s="1"/>
  <c r="FW323" i="34" s="1"/>
  <c r="AP40" i="14"/>
  <c r="FZ40" i="14"/>
  <c r="GB40" i="14" s="1"/>
  <c r="FW333" i="34" s="1"/>
  <c r="AP27" i="9"/>
  <c r="FZ27" i="9"/>
  <c r="GB27" i="9" s="1"/>
  <c r="FW165" i="34" s="1"/>
  <c r="AP21" i="9"/>
  <c r="FZ21" i="9"/>
  <c r="GB21" i="9" s="1"/>
  <c r="FW159" i="34" s="1"/>
  <c r="AP38" i="9"/>
  <c r="FZ38" i="9"/>
  <c r="GB38" i="9" s="1"/>
  <c r="FW176" i="34" s="1"/>
  <c r="AP47" i="9"/>
  <c r="FZ47" i="9"/>
  <c r="GB47" i="9" s="1"/>
  <c r="FW185" i="34" s="1"/>
  <c r="AP42" i="9"/>
  <c r="FZ42" i="9"/>
  <c r="GB42" i="9" s="1"/>
  <c r="FW180" i="34" s="1"/>
  <c r="AP28" i="9"/>
  <c r="FZ28" i="9"/>
  <c r="GB28" i="9" s="1"/>
  <c r="FW166" i="34" s="1"/>
  <c r="AP32" i="15"/>
  <c r="FZ32" i="15"/>
  <c r="GB32" i="15" s="1"/>
  <c r="FW356" i="34" s="1"/>
  <c r="AP38" i="11"/>
  <c r="FZ38" i="11"/>
  <c r="GB38" i="11" s="1"/>
  <c r="FW238" i="34" s="1"/>
  <c r="AP41" i="11"/>
  <c r="FZ41" i="11"/>
  <c r="GB41" i="11" s="1"/>
  <c r="FW241" i="34" s="1"/>
  <c r="AP23" i="11"/>
  <c r="FZ23" i="11"/>
  <c r="GB23" i="11" s="1"/>
  <c r="FW223" i="34" s="1"/>
  <c r="AP31" i="8"/>
  <c r="FZ31" i="8"/>
  <c r="GB31" i="8" s="1"/>
  <c r="FW138" i="34" s="1"/>
  <c r="AP24" i="8"/>
  <c r="FZ24" i="8"/>
  <c r="GB24" i="8" s="1"/>
  <c r="FW131" i="34" s="1"/>
  <c r="GA49" i="4"/>
  <c r="GB49" i="4" s="1"/>
  <c r="FW32" i="34" s="1"/>
  <c r="AP34" i="13"/>
  <c r="FZ34" i="13"/>
  <c r="GB34" i="13" s="1"/>
  <c r="FW296" i="34" s="1"/>
  <c r="AP27" i="13"/>
  <c r="FZ27" i="13"/>
  <c r="GB27" i="13" s="1"/>
  <c r="FW289" i="34" s="1"/>
  <c r="AP41" i="13"/>
  <c r="FZ41" i="13"/>
  <c r="GB41" i="13" s="1"/>
  <c r="FW303" i="34" s="1"/>
  <c r="AP36" i="13"/>
  <c r="FZ36" i="13"/>
  <c r="GB36" i="13" s="1"/>
  <c r="FW298" i="34" s="1"/>
  <c r="AP24" i="12"/>
  <c r="FZ24" i="12"/>
  <c r="GB24" i="12" s="1"/>
  <c r="FW255" i="34" s="1"/>
  <c r="AP21" i="12"/>
  <c r="FZ21" i="12"/>
  <c r="GB21" i="12" s="1"/>
  <c r="FW252" i="34" s="1"/>
  <c r="AP37" i="12"/>
  <c r="FZ37" i="12"/>
  <c r="GB37" i="12" s="1"/>
  <c r="FW268" i="34" s="1"/>
  <c r="AP33" i="6"/>
  <c r="FZ33" i="6"/>
  <c r="GB33" i="6" s="1"/>
  <c r="FW78" i="34" s="1"/>
  <c r="AP30" i="6"/>
  <c r="FZ30" i="6"/>
  <c r="GB30" i="6" s="1"/>
  <c r="FW75" i="34" s="1"/>
  <c r="AP44" i="6"/>
  <c r="FZ44" i="6"/>
  <c r="GB44" i="6" s="1"/>
  <c r="FW89" i="34" s="1"/>
  <c r="AP42" i="6"/>
  <c r="FZ42" i="6"/>
  <c r="GB42" i="6" s="1"/>
  <c r="FW87" i="34" s="1"/>
  <c r="AP29" i="14"/>
  <c r="FZ29" i="14"/>
  <c r="GB29" i="14" s="1"/>
  <c r="FW322" i="34" s="1"/>
  <c r="AP40" i="9"/>
  <c r="FZ40" i="9"/>
  <c r="GB40" i="9" s="1"/>
  <c r="FW178" i="34" s="1"/>
  <c r="AP46" i="9"/>
  <c r="FZ46" i="9"/>
  <c r="GB46" i="9" s="1"/>
  <c r="FW184" i="34" s="1"/>
  <c r="AP25" i="9"/>
  <c r="FZ25" i="9"/>
  <c r="GB25" i="9" s="1"/>
  <c r="FW163" i="34" s="1"/>
  <c r="AP37" i="9"/>
  <c r="FZ37" i="9"/>
  <c r="GB37" i="9" s="1"/>
  <c r="FW175" i="34" s="1"/>
  <c r="AP45" i="15"/>
  <c r="FZ45" i="15"/>
  <c r="GB45" i="15" s="1"/>
  <c r="FW369" i="34" s="1"/>
  <c r="AP21" i="15"/>
  <c r="FZ21" i="15"/>
  <c r="GB21" i="15" s="1"/>
  <c r="FW345" i="34" s="1"/>
  <c r="AP29" i="11"/>
  <c r="FZ29" i="11"/>
  <c r="GB29" i="11" s="1"/>
  <c r="FW229" i="34" s="1"/>
  <c r="AP34" i="11"/>
  <c r="FZ34" i="11"/>
  <c r="GB34" i="11" s="1"/>
  <c r="FW234" i="34" s="1"/>
  <c r="AP25" i="11"/>
  <c r="FZ25" i="11"/>
  <c r="GB25" i="11" s="1"/>
  <c r="FW225" i="34" s="1"/>
  <c r="AP40" i="11"/>
  <c r="FZ40" i="11"/>
  <c r="GB40" i="11" s="1"/>
  <c r="FW240" i="34" s="1"/>
  <c r="AP28" i="11"/>
  <c r="FZ28" i="11"/>
  <c r="GB28" i="11" s="1"/>
  <c r="FW228" i="34" s="1"/>
  <c r="AP30" i="11"/>
  <c r="FZ30" i="11"/>
  <c r="GB30" i="11" s="1"/>
  <c r="FW230" i="34" s="1"/>
  <c r="AP43" i="8"/>
  <c r="FZ43" i="8"/>
  <c r="GB43" i="8" s="1"/>
  <c r="FW150" i="34" s="1"/>
  <c r="AP45" i="8"/>
  <c r="FZ45" i="8"/>
  <c r="GB45" i="8" s="1"/>
  <c r="FW152" i="34" s="1"/>
  <c r="AP33" i="8"/>
  <c r="FZ33" i="8"/>
  <c r="GB33" i="8" s="1"/>
  <c r="FW140" i="34" s="1"/>
  <c r="AP27" i="8"/>
  <c r="FZ27" i="8"/>
  <c r="GB27" i="8" s="1"/>
  <c r="FW134" i="34" s="1"/>
  <c r="AP46" i="7"/>
  <c r="FZ46" i="7"/>
  <c r="GB46" i="7" s="1"/>
  <c r="FW122" i="34" s="1"/>
  <c r="AP40" i="7"/>
  <c r="FZ40" i="7"/>
  <c r="GB40" i="7" s="1"/>
  <c r="FW116" i="34" s="1"/>
  <c r="GA50" i="4"/>
  <c r="GB50" i="4" s="1"/>
  <c r="FW33" i="34" s="1"/>
  <c r="AP38" i="13"/>
  <c r="FZ38" i="13"/>
  <c r="GB38" i="13" s="1"/>
  <c r="FW300" i="34" s="1"/>
  <c r="AP33" i="13"/>
  <c r="FZ33" i="13"/>
  <c r="GB33" i="13" s="1"/>
  <c r="FW295" i="34" s="1"/>
  <c r="AP23" i="13"/>
  <c r="FZ23" i="13"/>
  <c r="GB23" i="13" s="1"/>
  <c r="FW285" i="34" s="1"/>
  <c r="AP38" i="12"/>
  <c r="FZ38" i="12"/>
  <c r="GB38" i="12" s="1"/>
  <c r="FW269" i="34" s="1"/>
  <c r="AP43" i="12"/>
  <c r="FZ43" i="12"/>
  <c r="GB43" i="12" s="1"/>
  <c r="FW274" i="34" s="1"/>
  <c r="AP31" i="12"/>
  <c r="FZ31" i="12"/>
  <c r="GB31" i="12" s="1"/>
  <c r="FW262" i="34" s="1"/>
  <c r="AP42" i="12"/>
  <c r="FZ42" i="12"/>
  <c r="GB42" i="12" s="1"/>
  <c r="FW273" i="34" s="1"/>
  <c r="AP28" i="12"/>
  <c r="FZ28" i="12"/>
  <c r="GB28" i="12" s="1"/>
  <c r="FW259" i="34" s="1"/>
  <c r="AP23" i="10"/>
  <c r="FZ23" i="10"/>
  <c r="GB23" i="10" s="1"/>
  <c r="FW192" i="34" s="1"/>
  <c r="AP47" i="10"/>
  <c r="FZ47" i="10"/>
  <c r="GB47" i="10" s="1"/>
  <c r="FW216" i="34" s="1"/>
  <c r="AP20" i="10"/>
  <c r="FZ20" i="10"/>
  <c r="AP32" i="10"/>
  <c r="FZ32" i="10"/>
  <c r="GB32" i="10" s="1"/>
  <c r="FW201" i="34" s="1"/>
  <c r="AP40" i="10"/>
  <c r="FZ40" i="10"/>
  <c r="GB40" i="10" s="1"/>
  <c r="FW209" i="34" s="1"/>
  <c r="AP33" i="10"/>
  <c r="FZ33" i="10"/>
  <c r="GB33" i="10" s="1"/>
  <c r="FW202" i="34" s="1"/>
  <c r="AP37" i="10"/>
  <c r="FZ37" i="10"/>
  <c r="GB37" i="10" s="1"/>
  <c r="FW206" i="34" s="1"/>
  <c r="AP30" i="10"/>
  <c r="FZ30" i="10"/>
  <c r="GB30" i="10" s="1"/>
  <c r="FW199" i="34" s="1"/>
  <c r="AP39" i="6"/>
  <c r="FZ39" i="6"/>
  <c r="GB39" i="6" s="1"/>
  <c r="FW84" i="34" s="1"/>
  <c r="AP23" i="6"/>
  <c r="FZ23" i="6"/>
  <c r="GB23" i="6" s="1"/>
  <c r="FW68" i="34" s="1"/>
  <c r="AP37" i="6"/>
  <c r="FZ37" i="6"/>
  <c r="GB37" i="6" s="1"/>
  <c r="FW82" i="34" s="1"/>
  <c r="AP21" i="14"/>
  <c r="FZ21" i="14"/>
  <c r="GB21" i="14" s="1"/>
  <c r="FW314" i="34" s="1"/>
  <c r="AP32" i="14"/>
  <c r="FZ32" i="14"/>
  <c r="GB32" i="14" s="1"/>
  <c r="FW325" i="34" s="1"/>
  <c r="AP36" i="15"/>
  <c r="FZ36" i="15"/>
  <c r="GB36" i="15" s="1"/>
  <c r="FW360" i="34" s="1"/>
  <c r="AP37" i="15"/>
  <c r="FZ37" i="15"/>
  <c r="GB37" i="15" s="1"/>
  <c r="FW361" i="34" s="1"/>
  <c r="AP27" i="11"/>
  <c r="FZ27" i="11"/>
  <c r="GB27" i="11" s="1"/>
  <c r="FW227" i="34" s="1"/>
  <c r="AP32" i="11"/>
  <c r="FZ32" i="11"/>
  <c r="GB32" i="11" s="1"/>
  <c r="FW232" i="34" s="1"/>
  <c r="AP36" i="11"/>
  <c r="FZ36" i="11"/>
  <c r="GB36" i="11" s="1"/>
  <c r="FW236" i="34" s="1"/>
  <c r="AP44" i="11"/>
  <c r="FZ44" i="11"/>
  <c r="GB44" i="11" s="1"/>
  <c r="FW244" i="34" s="1"/>
  <c r="AP24" i="11"/>
  <c r="FZ24" i="11"/>
  <c r="GB24" i="11" s="1"/>
  <c r="FW224" i="34" s="1"/>
  <c r="AP31" i="11"/>
  <c r="FZ31" i="11"/>
  <c r="GB31" i="11" s="1"/>
  <c r="FW231" i="34" s="1"/>
  <c r="AP37" i="11"/>
  <c r="FZ37" i="11"/>
  <c r="GB37" i="11" s="1"/>
  <c r="FW237" i="34" s="1"/>
  <c r="AP40" i="8"/>
  <c r="FZ40" i="8"/>
  <c r="GB40" i="8" s="1"/>
  <c r="FW147" i="34" s="1"/>
  <c r="AP34" i="8"/>
  <c r="FZ34" i="8"/>
  <c r="GB34" i="8" s="1"/>
  <c r="FW141" i="34" s="1"/>
  <c r="AP41" i="8"/>
  <c r="FZ41" i="8"/>
  <c r="GB41" i="8" s="1"/>
  <c r="FW148" i="34" s="1"/>
  <c r="AP44" i="8"/>
  <c r="FZ44" i="8"/>
  <c r="GB44" i="8" s="1"/>
  <c r="FW151" i="34" s="1"/>
  <c r="AP23" i="8"/>
  <c r="FZ23" i="8"/>
  <c r="GB23" i="8" s="1"/>
  <c r="FW130" i="34" s="1"/>
  <c r="AP24" i="7"/>
  <c r="FZ24" i="7"/>
  <c r="GB24" i="7" s="1"/>
  <c r="FW100" i="34" s="1"/>
  <c r="AP44" i="7"/>
  <c r="FZ44" i="7"/>
  <c r="GB44" i="7" s="1"/>
  <c r="FW120" i="34" s="1"/>
  <c r="AP43" i="7"/>
  <c r="FZ43" i="7"/>
  <c r="GB43" i="7" s="1"/>
  <c r="FW119" i="34" s="1"/>
  <c r="AP28" i="7"/>
  <c r="FZ28" i="7"/>
  <c r="GB28" i="7" s="1"/>
  <c r="FW104" i="34" s="1"/>
  <c r="AP38" i="7"/>
  <c r="FZ38" i="7"/>
  <c r="GB38" i="7" s="1"/>
  <c r="FW114" i="34" s="1"/>
  <c r="AP23" i="7"/>
  <c r="FZ23" i="7"/>
  <c r="GB23" i="7" s="1"/>
  <c r="FW99" i="34" s="1"/>
  <c r="AP24" i="13"/>
  <c r="FZ24" i="13"/>
  <c r="GB24" i="13" s="1"/>
  <c r="FW286" i="34" s="1"/>
  <c r="AP46" i="13"/>
  <c r="FZ46" i="13"/>
  <c r="GB46" i="13" s="1"/>
  <c r="FW308" i="34" s="1"/>
  <c r="AP43" i="13"/>
  <c r="FZ43" i="13"/>
  <c r="GB43" i="13" s="1"/>
  <c r="FW305" i="34" s="1"/>
  <c r="AP25" i="13"/>
  <c r="FZ25" i="13"/>
  <c r="GB25" i="13" s="1"/>
  <c r="FW287" i="34" s="1"/>
  <c r="AP44" i="13"/>
  <c r="FZ44" i="13"/>
  <c r="GB44" i="13" s="1"/>
  <c r="FW306" i="34" s="1"/>
  <c r="AP39" i="13"/>
  <c r="FZ39" i="13"/>
  <c r="GB39" i="13" s="1"/>
  <c r="FW301" i="34" s="1"/>
  <c r="AP26" i="12"/>
  <c r="FZ26" i="12"/>
  <c r="GB26" i="12" s="1"/>
  <c r="FW257" i="34" s="1"/>
  <c r="AP47" i="12"/>
  <c r="FZ47" i="12"/>
  <c r="GB47" i="12" s="1"/>
  <c r="FW278" i="34" s="1"/>
  <c r="AP34" i="12"/>
  <c r="FZ34" i="12"/>
  <c r="GB34" i="12" s="1"/>
  <c r="FW265" i="34" s="1"/>
  <c r="AP29" i="12"/>
  <c r="FZ29" i="12"/>
  <c r="GB29" i="12" s="1"/>
  <c r="FW260" i="34" s="1"/>
  <c r="AP39" i="12"/>
  <c r="FZ39" i="12"/>
  <c r="GB39" i="12" s="1"/>
  <c r="FW270" i="34" s="1"/>
  <c r="AP40" i="12"/>
  <c r="FZ40" i="12"/>
  <c r="GB40" i="12" s="1"/>
  <c r="FW271" i="34" s="1"/>
  <c r="AP27" i="10"/>
  <c r="FZ27" i="10"/>
  <c r="GB27" i="10" s="1"/>
  <c r="FW196" i="34" s="1"/>
  <c r="AP34" i="10"/>
  <c r="FZ34" i="10"/>
  <c r="GB34" i="10" s="1"/>
  <c r="FW203" i="34" s="1"/>
  <c r="AP45" i="10"/>
  <c r="FZ45" i="10"/>
  <c r="GB45" i="10" s="1"/>
  <c r="FW214" i="34" s="1"/>
  <c r="AP38" i="10"/>
  <c r="FZ38" i="10"/>
  <c r="GB38" i="10" s="1"/>
  <c r="FW207" i="34" s="1"/>
  <c r="AP25" i="10"/>
  <c r="FZ25" i="10"/>
  <c r="GB25" i="10" s="1"/>
  <c r="FW194" i="34" s="1"/>
  <c r="AP39" i="10"/>
  <c r="FZ39" i="10"/>
  <c r="GB39" i="10" s="1"/>
  <c r="FW208" i="34" s="1"/>
  <c r="AP24" i="10"/>
  <c r="FZ24" i="10"/>
  <c r="GB24" i="10" s="1"/>
  <c r="FW193" i="34" s="1"/>
  <c r="AP35" i="6"/>
  <c r="FZ35" i="6"/>
  <c r="GB35" i="6" s="1"/>
  <c r="FW80" i="34" s="1"/>
  <c r="AP32" i="6"/>
  <c r="FZ32" i="6"/>
  <c r="GB32" i="6" s="1"/>
  <c r="FW77" i="34" s="1"/>
  <c r="AP29" i="6"/>
  <c r="FZ29" i="6"/>
  <c r="GB29" i="6" s="1"/>
  <c r="FW74" i="34" s="1"/>
  <c r="AP47" i="6"/>
  <c r="FZ47" i="6"/>
  <c r="GB47" i="6" s="1"/>
  <c r="FW92" i="34" s="1"/>
  <c r="AP34" i="6"/>
  <c r="FZ34" i="6"/>
  <c r="GB34" i="6" s="1"/>
  <c r="FW79" i="34" s="1"/>
  <c r="AP26" i="6"/>
  <c r="FZ26" i="6"/>
  <c r="GB26" i="6" s="1"/>
  <c r="FW71" i="34" s="1"/>
  <c r="AP38" i="6"/>
  <c r="FZ38" i="6"/>
  <c r="GB38" i="6" s="1"/>
  <c r="FW83" i="34" s="1"/>
  <c r="AP20" i="14"/>
  <c r="FZ20" i="14"/>
  <c r="AP38" i="14"/>
  <c r="FZ38" i="14"/>
  <c r="GB38" i="14" s="1"/>
  <c r="FW331" i="34" s="1"/>
  <c r="AP37" i="14"/>
  <c r="FZ37" i="14"/>
  <c r="GB37" i="14" s="1"/>
  <c r="FW330" i="34" s="1"/>
  <c r="AP34" i="14"/>
  <c r="FZ34" i="14"/>
  <c r="GB34" i="14" s="1"/>
  <c r="FW327" i="34" s="1"/>
  <c r="AP45" i="9"/>
  <c r="FZ45" i="9"/>
  <c r="GB45" i="9" s="1"/>
  <c r="FW183" i="34" s="1"/>
  <c r="AP26" i="9"/>
  <c r="FZ26" i="9"/>
  <c r="GB26" i="9" s="1"/>
  <c r="FW164" i="34" s="1"/>
  <c r="AP31" i="9"/>
  <c r="FZ31" i="9"/>
  <c r="GB31" i="9" s="1"/>
  <c r="FW169" i="34" s="1"/>
  <c r="AP34" i="9"/>
  <c r="FZ34" i="9"/>
  <c r="GB34" i="9" s="1"/>
  <c r="FW172" i="34" s="1"/>
  <c r="AP41" i="9"/>
  <c r="FZ41" i="9"/>
  <c r="GB41" i="9" s="1"/>
  <c r="FW179" i="34" s="1"/>
  <c r="AP44" i="9"/>
  <c r="FZ44" i="9"/>
  <c r="GB44" i="9" s="1"/>
  <c r="FW182" i="34" s="1"/>
  <c r="AP37" i="8"/>
  <c r="FZ37" i="8"/>
  <c r="GB37" i="8" s="1"/>
  <c r="FW144" i="34" s="1"/>
  <c r="AP34" i="15"/>
  <c r="FZ34" i="15"/>
  <c r="GB34" i="15" s="1"/>
  <c r="FW358" i="34" s="1"/>
  <c r="AP39" i="15"/>
  <c r="FZ39" i="15"/>
  <c r="GB39" i="15" s="1"/>
  <c r="FW363" i="34" s="1"/>
  <c r="AP43" i="15"/>
  <c r="FZ43" i="15"/>
  <c r="GB43" i="15" s="1"/>
  <c r="FW367" i="34" s="1"/>
  <c r="AP47" i="15"/>
  <c r="FZ47" i="15"/>
  <c r="GB47" i="15" s="1"/>
  <c r="FW371" i="34" s="1"/>
  <c r="AP39" i="5"/>
  <c r="FZ39" i="5"/>
  <c r="GB39" i="5" s="1"/>
  <c r="FW53" i="34" s="1"/>
  <c r="AP38" i="5"/>
  <c r="FZ38" i="5"/>
  <c r="GB38" i="5" s="1"/>
  <c r="FW52" i="34" s="1"/>
  <c r="AP47" i="5"/>
  <c r="FZ47" i="5"/>
  <c r="GB47" i="5" s="1"/>
  <c r="FW61" i="34" s="1"/>
  <c r="AP27" i="5"/>
  <c r="FZ27" i="5"/>
  <c r="GB27" i="5" s="1"/>
  <c r="FW41" i="34" s="1"/>
  <c r="AP32" i="5"/>
  <c r="FZ32" i="5"/>
  <c r="GB32" i="5" s="1"/>
  <c r="FW46" i="34" s="1"/>
  <c r="AP34" i="5"/>
  <c r="FZ34" i="5"/>
  <c r="GB34" i="5" s="1"/>
  <c r="FW48" i="34" s="1"/>
  <c r="GA34" i="4"/>
  <c r="GB34" i="4" s="1"/>
  <c r="FW17" i="34" s="1"/>
  <c r="AP23" i="5"/>
  <c r="FZ23" i="5"/>
  <c r="GB23" i="5" s="1"/>
  <c r="FW37" i="34" s="1"/>
  <c r="AP25" i="5"/>
  <c r="FZ25" i="5"/>
  <c r="GB25" i="5" s="1"/>
  <c r="FW39" i="34" s="1"/>
  <c r="AP22" i="5"/>
  <c r="FZ22" i="5"/>
  <c r="GB22" i="5" s="1"/>
  <c r="FW36" i="34" s="1"/>
  <c r="AP42" i="5"/>
  <c r="FZ42" i="5"/>
  <c r="GB42" i="5" s="1"/>
  <c r="FW56" i="34" s="1"/>
  <c r="AP40" i="5"/>
  <c r="FZ40" i="5"/>
  <c r="GB40" i="5" s="1"/>
  <c r="FW54" i="34" s="1"/>
  <c r="AP33" i="5"/>
  <c r="FZ33" i="5"/>
  <c r="GB33" i="5" s="1"/>
  <c r="FW47" i="34" s="1"/>
  <c r="AP44" i="5"/>
  <c r="FZ44" i="5"/>
  <c r="GB44" i="5" s="1"/>
  <c r="FW58" i="34" s="1"/>
  <c r="AP35" i="5"/>
  <c r="FZ35" i="5"/>
  <c r="GB35" i="5" s="1"/>
  <c r="FW49" i="34" s="1"/>
  <c r="AP41" i="5"/>
  <c r="FZ41" i="5"/>
  <c r="GB41" i="5" s="1"/>
  <c r="FW55" i="34" s="1"/>
  <c r="AP29" i="5"/>
  <c r="FZ29" i="5"/>
  <c r="GB29" i="5" s="1"/>
  <c r="FW43" i="34" s="1"/>
  <c r="AP28" i="5"/>
  <c r="FZ28" i="5"/>
  <c r="GB28" i="5" s="1"/>
  <c r="FW42" i="34" s="1"/>
  <c r="AP21" i="5"/>
  <c r="FZ21" i="5"/>
  <c r="GB21" i="5" s="1"/>
  <c r="FW35" i="34" s="1"/>
  <c r="AP37" i="5"/>
  <c r="FZ37" i="5"/>
  <c r="GB37" i="5" s="1"/>
  <c r="FW51" i="34" s="1"/>
  <c r="AP24" i="5"/>
  <c r="FZ24" i="5"/>
  <c r="GB24" i="5" s="1"/>
  <c r="FW38" i="34" s="1"/>
  <c r="AP26" i="5"/>
  <c r="FZ26" i="5"/>
  <c r="GB26" i="5" s="1"/>
  <c r="FW40" i="34" s="1"/>
  <c r="AP46" i="5"/>
  <c r="FZ46" i="5"/>
  <c r="GB46" i="5" s="1"/>
  <c r="FW60" i="34" s="1"/>
  <c r="AP31" i="5"/>
  <c r="FZ31" i="5"/>
  <c r="GB31" i="5" s="1"/>
  <c r="FW45" i="34" s="1"/>
  <c r="AP20" i="5"/>
  <c r="FZ20" i="5"/>
  <c r="AP30" i="5"/>
  <c r="FZ30" i="5"/>
  <c r="GB30" i="5" s="1"/>
  <c r="FW44" i="34" s="1"/>
  <c r="AP45" i="5"/>
  <c r="FZ45" i="5"/>
  <c r="GB45" i="5" s="1"/>
  <c r="FW59" i="34" s="1"/>
  <c r="C32" i="72"/>
  <c r="C13" i="72"/>
  <c r="C27" i="72"/>
  <c r="C34" i="72"/>
  <c r="C38" i="72"/>
  <c r="C22" i="72"/>
  <c r="AV33" i="72"/>
  <c r="C33" i="72"/>
  <c r="AL16" i="72"/>
  <c r="C16" i="72"/>
  <c r="AL25" i="72"/>
  <c r="C25" i="72"/>
  <c r="AL23" i="72"/>
  <c r="C23" i="72"/>
  <c r="AL39" i="72"/>
  <c r="C39" i="72"/>
  <c r="C12" i="72"/>
  <c r="C20" i="72"/>
  <c r="C26" i="72"/>
  <c r="C21" i="72"/>
  <c r="C19" i="72"/>
  <c r="C31" i="72"/>
  <c r="C35" i="72"/>
  <c r="C29" i="72"/>
  <c r="AV36" i="72"/>
  <c r="C36" i="72"/>
  <c r="C17" i="72"/>
  <c r="C28" i="72"/>
  <c r="C14" i="72"/>
  <c r="AL30" i="72"/>
  <c r="C30" i="72"/>
  <c r="AL18" i="72"/>
  <c r="C18" i="72"/>
  <c r="AL24" i="72"/>
  <c r="C24" i="72"/>
  <c r="AV37" i="72"/>
  <c r="C37" i="72"/>
  <c r="AL15" i="72"/>
  <c r="C15" i="72"/>
  <c r="Q13" i="74"/>
  <c r="P13" i="74" s="1"/>
  <c r="Q21" i="74"/>
  <c r="P21" i="74" s="1"/>
  <c r="Q19" i="74"/>
  <c r="P19" i="74" s="1"/>
  <c r="Q18" i="74"/>
  <c r="P18" i="74" s="1"/>
  <c r="Q24" i="74"/>
  <c r="P24" i="74" s="1"/>
  <c r="FC50" i="4"/>
  <c r="DC42" i="72" s="1"/>
  <c r="AP50" i="4"/>
  <c r="FC49" i="4"/>
  <c r="DC41" i="72" s="1"/>
  <c r="AP49" i="4"/>
  <c r="AW41" i="6"/>
  <c r="AP41" i="6"/>
  <c r="AW35" i="8"/>
  <c r="AP35" i="8"/>
  <c r="AW45" i="6"/>
  <c r="AP45" i="6"/>
  <c r="AW36" i="14"/>
  <c r="AP36" i="14"/>
  <c r="AW39" i="14"/>
  <c r="AP39" i="14"/>
  <c r="AW24" i="15"/>
  <c r="AP24" i="15"/>
  <c r="AW26" i="15"/>
  <c r="AP26" i="15"/>
  <c r="AW28" i="15"/>
  <c r="AP28" i="15"/>
  <c r="AW47" i="14"/>
  <c r="AP47" i="14"/>
  <c r="AW23" i="14"/>
  <c r="AP23" i="14"/>
  <c r="AW28" i="8"/>
  <c r="AP28" i="8"/>
  <c r="AW29" i="15"/>
  <c r="AP29" i="15"/>
  <c r="AW38" i="15"/>
  <c r="AP38" i="15"/>
  <c r="AW31" i="6"/>
  <c r="AP31" i="6"/>
  <c r="FC48" i="4"/>
  <c r="DC40" i="72" s="1"/>
  <c r="AP48" i="4"/>
  <c r="AW36" i="5"/>
  <c r="AP36" i="5"/>
  <c r="AW43" i="5"/>
  <c r="AP43" i="5"/>
  <c r="AW46" i="8"/>
  <c r="AP46" i="8"/>
  <c r="AW42" i="8"/>
  <c r="AP42" i="8"/>
  <c r="AW32" i="9"/>
  <c r="AP32" i="9"/>
  <c r="AW46" i="14"/>
  <c r="AP46" i="14"/>
  <c r="AW25" i="14"/>
  <c r="AP25" i="14"/>
  <c r="AW41" i="15"/>
  <c r="AP41" i="15"/>
  <c r="AW35" i="15"/>
  <c r="AP35" i="15"/>
  <c r="AW44" i="15"/>
  <c r="AP44" i="15"/>
  <c r="AW23" i="9"/>
  <c r="AP23" i="9"/>
  <c r="AW33" i="15"/>
  <c r="AP33" i="15"/>
  <c r="AW25" i="15"/>
  <c r="AP25" i="15"/>
  <c r="AW40" i="15"/>
  <c r="AP40" i="15"/>
  <c r="D3" i="79"/>
  <c r="G3" i="79" s="1"/>
  <c r="D7" i="79"/>
  <c r="G7" i="79" s="1"/>
  <c r="D5" i="79"/>
  <c r="G5" i="79" s="1"/>
  <c r="N13" i="74"/>
  <c r="M13" i="74" s="1"/>
  <c r="B66" i="6"/>
  <c r="BZ47" i="6"/>
  <c r="BZ44" i="6"/>
  <c r="BQ48" i="6"/>
  <c r="D6" i="79"/>
  <c r="G6" i="79" s="1"/>
  <c r="D4" i="79"/>
  <c r="G4" i="79" s="1"/>
  <c r="BH13" i="18"/>
  <c r="BC45" i="18" s="1"/>
  <c r="BB45" i="18" s="1"/>
  <c r="CQ13" i="18"/>
  <c r="CF47" i="18" s="1"/>
  <c r="CE47" i="18" s="1"/>
  <c r="T38" i="74"/>
  <c r="S38" i="74" s="1"/>
  <c r="Q15" i="74"/>
  <c r="P15" i="74" s="1"/>
  <c r="Q27" i="74"/>
  <c r="P27" i="74" s="1"/>
  <c r="Q12" i="74"/>
  <c r="P12" i="74" s="1"/>
  <c r="Q28" i="74"/>
  <c r="P28" i="74" s="1"/>
  <c r="N417" i="76"/>
  <c r="N24" i="74"/>
  <c r="M24" i="74" s="1"/>
  <c r="N31" i="74"/>
  <c r="M31" i="74" s="1"/>
  <c r="K36" i="74"/>
  <c r="J36" i="74" s="1"/>
  <c r="K22" i="32"/>
  <c r="B16" i="32"/>
  <c r="K22" i="67"/>
  <c r="B21" i="67" s="1"/>
  <c r="B16" i="67"/>
  <c r="K22" i="68"/>
  <c r="B21" i="68" s="1"/>
  <c r="B16" i="68"/>
  <c r="K22" i="26"/>
  <c r="E40" i="26" s="1"/>
  <c r="B16" i="26"/>
  <c r="K22" i="27"/>
  <c r="B21" i="27" s="1"/>
  <c r="B16" i="27"/>
  <c r="K22" i="33"/>
  <c r="B21" i="33" s="1"/>
  <c r="B16" i="33"/>
  <c r="K22" i="71"/>
  <c r="B21" i="71" s="1"/>
  <c r="B16" i="71"/>
  <c r="AG22" i="27"/>
  <c r="X21" i="27" s="1"/>
  <c r="X16" i="27"/>
  <c r="E40" i="67"/>
  <c r="E49" i="31"/>
  <c r="E56" i="31" s="1"/>
  <c r="D39" i="31"/>
  <c r="E40" i="33"/>
  <c r="E40" i="71"/>
  <c r="E49" i="69"/>
  <c r="D39" i="69"/>
  <c r="E40" i="32"/>
  <c r="B21" i="32"/>
  <c r="V22" i="27"/>
  <c r="M21" i="27" s="1"/>
  <c r="M16" i="27"/>
  <c r="N411" i="76"/>
  <c r="N363" i="76"/>
  <c r="N197" i="76"/>
  <c r="N414" i="76"/>
  <c r="N398" i="76"/>
  <c r="N382" i="76"/>
  <c r="N366" i="76"/>
  <c r="N337" i="76"/>
  <c r="N273" i="76"/>
  <c r="N209" i="76"/>
  <c r="N69" i="76"/>
  <c r="N5" i="76"/>
  <c r="N383" i="76"/>
  <c r="N277" i="76"/>
  <c r="N6" i="76"/>
  <c r="N22" i="76"/>
  <c r="N38" i="76"/>
  <c r="N54" i="76"/>
  <c r="N70" i="76"/>
  <c r="N86" i="76"/>
  <c r="N162" i="76"/>
  <c r="N178" i="76"/>
  <c r="N194" i="76"/>
  <c r="N210" i="76"/>
  <c r="N226" i="76"/>
  <c r="N242" i="76"/>
  <c r="N258" i="76"/>
  <c r="N274" i="76"/>
  <c r="N290" i="76"/>
  <c r="N306" i="76"/>
  <c r="N322" i="76"/>
  <c r="N338" i="76"/>
  <c r="N354" i="76"/>
  <c r="N19" i="76"/>
  <c r="N35" i="76"/>
  <c r="N51" i="76"/>
  <c r="N67" i="76"/>
  <c r="N83" i="76"/>
  <c r="N159" i="76"/>
  <c r="N175" i="76"/>
  <c r="N191" i="76"/>
  <c r="N207" i="76"/>
  <c r="N223" i="76"/>
  <c r="N239" i="76"/>
  <c r="N255" i="76"/>
  <c r="N271" i="76"/>
  <c r="N287" i="76"/>
  <c r="N303" i="76"/>
  <c r="N319" i="76"/>
  <c r="N335" i="76"/>
  <c r="N351" i="76"/>
  <c r="N16" i="76"/>
  <c r="N32" i="76"/>
  <c r="N48" i="76"/>
  <c r="N64" i="76"/>
  <c r="N80" i="76"/>
  <c r="N156" i="76"/>
  <c r="N172" i="76"/>
  <c r="N188" i="76"/>
  <c r="N204" i="76"/>
  <c r="N220" i="76"/>
  <c r="N236" i="76"/>
  <c r="N252" i="76"/>
  <c r="N268" i="76"/>
  <c r="N284" i="76"/>
  <c r="N300" i="76"/>
  <c r="N316" i="76"/>
  <c r="N332" i="76"/>
  <c r="N348" i="76"/>
  <c r="N45" i="76"/>
  <c r="N185" i="76"/>
  <c r="N249" i="76"/>
  <c r="N313" i="76"/>
  <c r="N360" i="76"/>
  <c r="N376" i="76"/>
  <c r="N392" i="76"/>
  <c r="N408" i="76"/>
  <c r="N9" i="76"/>
  <c r="N165" i="76"/>
  <c r="N355" i="76"/>
  <c r="N403" i="76"/>
  <c r="N49" i="76"/>
  <c r="N189" i="76"/>
  <c r="N253" i="76"/>
  <c r="N317" i="76"/>
  <c r="N361" i="76"/>
  <c r="N377" i="76"/>
  <c r="N393" i="76"/>
  <c r="N10" i="76"/>
  <c r="N26" i="76"/>
  <c r="N42" i="76"/>
  <c r="N58" i="76"/>
  <c r="N74" i="76"/>
  <c r="N150" i="76"/>
  <c r="N166" i="76"/>
  <c r="N182" i="76"/>
  <c r="N198" i="76"/>
  <c r="N214" i="76"/>
  <c r="N230" i="76"/>
  <c r="N246" i="76"/>
  <c r="N262" i="76"/>
  <c r="N278" i="76"/>
  <c r="N294" i="76"/>
  <c r="N310" i="76"/>
  <c r="N326" i="76"/>
  <c r="N342" i="76"/>
  <c r="N7" i="76"/>
  <c r="N23" i="76"/>
  <c r="N39" i="76"/>
  <c r="N55" i="76"/>
  <c r="N71" i="76"/>
  <c r="N147" i="76"/>
  <c r="N163" i="76"/>
  <c r="N179" i="76"/>
  <c r="N195" i="76"/>
  <c r="N211" i="76"/>
  <c r="N227" i="76"/>
  <c r="N243" i="76"/>
  <c r="N259" i="76"/>
  <c r="N275" i="76"/>
  <c r="N291" i="76"/>
  <c r="N307" i="76"/>
  <c r="N323" i="76"/>
  <c r="N339" i="76"/>
  <c r="N4" i="76"/>
  <c r="N20" i="76"/>
  <c r="N36" i="76"/>
  <c r="N52" i="76"/>
  <c r="N68" i="76"/>
  <c r="N84" i="76"/>
  <c r="N160" i="76"/>
  <c r="N176" i="76"/>
  <c r="N192" i="76"/>
  <c r="N208" i="76"/>
  <c r="N224" i="76"/>
  <c r="N240" i="76"/>
  <c r="N256" i="76"/>
  <c r="N272" i="76"/>
  <c r="N288" i="76"/>
  <c r="N304" i="76"/>
  <c r="N320" i="76"/>
  <c r="N336" i="76"/>
  <c r="N352" i="76"/>
  <c r="N61" i="76"/>
  <c r="N201" i="76"/>
  <c r="N265" i="76"/>
  <c r="N329" i="76"/>
  <c r="N364" i="76"/>
  <c r="N380" i="76"/>
  <c r="N396" i="76"/>
  <c r="N412" i="76"/>
  <c r="N41" i="76"/>
  <c r="N213" i="76"/>
  <c r="N367" i="76"/>
  <c r="N415" i="76"/>
  <c r="N65" i="76"/>
  <c r="N205" i="76"/>
  <c r="N269" i="76"/>
  <c r="N333" i="76"/>
  <c r="N365" i="76"/>
  <c r="N381" i="76"/>
  <c r="N397" i="76"/>
  <c r="N14" i="76"/>
  <c r="N30" i="76"/>
  <c r="N46" i="76"/>
  <c r="N62" i="76"/>
  <c r="N78" i="76"/>
  <c r="N154" i="76"/>
  <c r="N170" i="76"/>
  <c r="N186" i="76"/>
  <c r="N202" i="76"/>
  <c r="N218" i="76"/>
  <c r="N234" i="76"/>
  <c r="N250" i="76"/>
  <c r="N266" i="76"/>
  <c r="N282" i="76"/>
  <c r="N298" i="76"/>
  <c r="N314" i="76"/>
  <c r="N330" i="76"/>
  <c r="N346" i="76"/>
  <c r="N11" i="76"/>
  <c r="N27" i="76"/>
  <c r="N43" i="76"/>
  <c r="N59" i="76"/>
  <c r="N75" i="76"/>
  <c r="N151" i="76"/>
  <c r="N167" i="76"/>
  <c r="N183" i="76"/>
  <c r="N199" i="76"/>
  <c r="N215" i="76"/>
  <c r="N231" i="76"/>
  <c r="N247" i="76"/>
  <c r="N263" i="76"/>
  <c r="N279" i="76"/>
  <c r="N295" i="76"/>
  <c r="N311" i="76"/>
  <c r="N327" i="76"/>
  <c r="N343" i="76"/>
  <c r="N8" i="76"/>
  <c r="N24" i="76"/>
  <c r="N40" i="76"/>
  <c r="N56" i="76"/>
  <c r="N72" i="76"/>
  <c r="N148" i="76"/>
  <c r="N164" i="76"/>
  <c r="N180" i="76"/>
  <c r="N196" i="76"/>
  <c r="N212" i="76"/>
  <c r="N228" i="76"/>
  <c r="N244" i="76"/>
  <c r="N260" i="76"/>
  <c r="N276" i="76"/>
  <c r="N292" i="76"/>
  <c r="N308" i="76"/>
  <c r="N324" i="76"/>
  <c r="N340" i="76"/>
  <c r="N13" i="76"/>
  <c r="N77" i="76"/>
  <c r="N153" i="76"/>
  <c r="N217" i="76"/>
  <c r="N281" i="76"/>
  <c r="N345" i="76"/>
  <c r="N368" i="76"/>
  <c r="N384" i="76"/>
  <c r="N400" i="76"/>
  <c r="N416" i="76"/>
  <c r="N73" i="76"/>
  <c r="N261" i="76"/>
  <c r="N379" i="76"/>
  <c r="N17" i="76"/>
  <c r="N81" i="76"/>
  <c r="N157" i="76"/>
  <c r="N221" i="76"/>
  <c r="N285" i="76"/>
  <c r="N349" i="76"/>
  <c r="N369" i="76"/>
  <c r="N385" i="76"/>
  <c r="N18" i="76"/>
  <c r="N34" i="76"/>
  <c r="N50" i="76"/>
  <c r="N66" i="76"/>
  <c r="N82" i="76"/>
  <c r="N158" i="76"/>
  <c r="N174" i="76"/>
  <c r="N190" i="76"/>
  <c r="N206" i="76"/>
  <c r="N222" i="76"/>
  <c r="N238" i="76"/>
  <c r="N254" i="76"/>
  <c r="N270" i="76"/>
  <c r="N286" i="76"/>
  <c r="N302" i="76"/>
  <c r="N318" i="76"/>
  <c r="N334" i="76"/>
  <c r="N350" i="76"/>
  <c r="N15" i="76"/>
  <c r="N31" i="76"/>
  <c r="N47" i="76"/>
  <c r="N63" i="76"/>
  <c r="N79" i="76"/>
  <c r="N155" i="76"/>
  <c r="N171" i="76"/>
  <c r="N187" i="76"/>
  <c r="N203" i="76"/>
  <c r="N219" i="76"/>
  <c r="N235" i="76"/>
  <c r="N251" i="76"/>
  <c r="N267" i="76"/>
  <c r="N283" i="76"/>
  <c r="N299" i="76"/>
  <c r="N315" i="76"/>
  <c r="N331" i="76"/>
  <c r="N347" i="76"/>
  <c r="N12" i="76"/>
  <c r="N28" i="76"/>
  <c r="N44" i="76"/>
  <c r="N60" i="76"/>
  <c r="N76" i="76"/>
  <c r="N152" i="76"/>
  <c r="N168" i="76"/>
  <c r="N184" i="76"/>
  <c r="N200" i="76"/>
  <c r="N216" i="76"/>
  <c r="N232" i="76"/>
  <c r="N248" i="76"/>
  <c r="N264" i="76"/>
  <c r="N280" i="76"/>
  <c r="N296" i="76"/>
  <c r="N312" i="76"/>
  <c r="N328" i="76"/>
  <c r="N344" i="76"/>
  <c r="N29" i="76"/>
  <c r="N169" i="76"/>
  <c r="N233" i="76"/>
  <c r="N297" i="76"/>
  <c r="N356" i="76"/>
  <c r="N372" i="76"/>
  <c r="N388" i="76"/>
  <c r="N404" i="76"/>
  <c r="N420" i="76"/>
  <c r="N309" i="76"/>
  <c r="N391" i="76"/>
  <c r="N33" i="76"/>
  <c r="N173" i="76"/>
  <c r="N237" i="76"/>
  <c r="N301" i="76"/>
  <c r="N357" i="76"/>
  <c r="N373" i="76"/>
  <c r="N389" i="76"/>
  <c r="N405" i="76"/>
  <c r="N399" i="76"/>
  <c r="N341" i="76"/>
  <c r="N149" i="76"/>
  <c r="N410" i="76"/>
  <c r="N394" i="76"/>
  <c r="N378" i="76"/>
  <c r="N362" i="76"/>
  <c r="N321" i="76"/>
  <c r="N257" i="76"/>
  <c r="N193" i="76"/>
  <c r="N53" i="76"/>
  <c r="N419" i="76"/>
  <c r="N371" i="76"/>
  <c r="N229" i="76"/>
  <c r="N57" i="76"/>
  <c r="N413" i="76"/>
  <c r="N387" i="76"/>
  <c r="N293" i="76"/>
  <c r="N422" i="76"/>
  <c r="N406" i="76"/>
  <c r="N390" i="76"/>
  <c r="N374" i="76"/>
  <c r="N358" i="76"/>
  <c r="N305" i="76"/>
  <c r="N241" i="76"/>
  <c r="N177" i="76"/>
  <c r="N37" i="76"/>
  <c r="N407" i="76"/>
  <c r="N359" i="76"/>
  <c r="N181" i="76"/>
  <c r="N25" i="76"/>
  <c r="N409" i="76"/>
  <c r="N3" i="76"/>
  <c r="N375" i="76"/>
  <c r="N245" i="76"/>
  <c r="N418" i="76"/>
  <c r="N402" i="76"/>
  <c r="N386" i="76"/>
  <c r="N370" i="76"/>
  <c r="N353" i="76"/>
  <c r="N289" i="76"/>
  <c r="N225" i="76"/>
  <c r="N161" i="76"/>
  <c r="N85" i="76"/>
  <c r="N21" i="76"/>
  <c r="N395" i="76"/>
  <c r="N325" i="76"/>
  <c r="N421" i="76"/>
  <c r="N401" i="76"/>
  <c r="K22" i="56"/>
  <c r="B16" i="56"/>
  <c r="K22" i="57"/>
  <c r="E40" i="57" s="1"/>
  <c r="B16" i="57"/>
  <c r="K22" i="55"/>
  <c r="B16" i="55"/>
  <c r="K22" i="2"/>
  <c r="B16" i="2"/>
  <c r="AE6" i="34"/>
  <c r="AE8" i="34"/>
  <c r="AE13" i="34"/>
  <c r="AE14" i="34"/>
  <c r="AE9" i="34"/>
  <c r="AE17" i="34"/>
  <c r="F64" i="60"/>
  <c r="CF42" i="44"/>
  <c r="CE42" i="44" s="1"/>
  <c r="CF41" i="44"/>
  <c r="CE41" i="44" s="1"/>
  <c r="CF38" i="44"/>
  <c r="CE38" i="44" s="1"/>
  <c r="CF36" i="44"/>
  <c r="CE36" i="44" s="1"/>
  <c r="CF35" i="44"/>
  <c r="CE35" i="44" s="1"/>
  <c r="CF33" i="44"/>
  <c r="CE33" i="44" s="1"/>
  <c r="CF30" i="44"/>
  <c r="CE30" i="44" s="1"/>
  <c r="CF28" i="44"/>
  <c r="CE28" i="44" s="1"/>
  <c r="CF27" i="44"/>
  <c r="CE27" i="44" s="1"/>
  <c r="CF25" i="44"/>
  <c r="CE25" i="44" s="1"/>
  <c r="CF22" i="44"/>
  <c r="CE22" i="44" s="1"/>
  <c r="CF20" i="44"/>
  <c r="CE20" i="44" s="1"/>
  <c r="CF19" i="44"/>
  <c r="CE19" i="44" s="1"/>
  <c r="CF18" i="44"/>
  <c r="CE17" i="44"/>
  <c r="CF43" i="44"/>
  <c r="CE43" i="44" s="1"/>
  <c r="CF40" i="44"/>
  <c r="CE40" i="44" s="1"/>
  <c r="CF37" i="44"/>
  <c r="CE37" i="44" s="1"/>
  <c r="CF34" i="44"/>
  <c r="CE34" i="44" s="1"/>
  <c r="CF31" i="44"/>
  <c r="CE31" i="44" s="1"/>
  <c r="CF24" i="44"/>
  <c r="CE24" i="44" s="1"/>
  <c r="CF21" i="44"/>
  <c r="CE21" i="44" s="1"/>
  <c r="CF44" i="44"/>
  <c r="CE44" i="44" s="1"/>
  <c r="CF39" i="44"/>
  <c r="CE39" i="44" s="1"/>
  <c r="CF32" i="44"/>
  <c r="CE32" i="44" s="1"/>
  <c r="CF29" i="44"/>
  <c r="CE29" i="44" s="1"/>
  <c r="CF26" i="44"/>
  <c r="CE26" i="44" s="1"/>
  <c r="CF23" i="44"/>
  <c r="CE23" i="44" s="1"/>
  <c r="BD13" i="39"/>
  <c r="BB18" i="39" s="1"/>
  <c r="CF44" i="39"/>
  <c r="CE44" i="39" s="1"/>
  <c r="CF41" i="39"/>
  <c r="CE41" i="39" s="1"/>
  <c r="CF39" i="39"/>
  <c r="CE39" i="39" s="1"/>
  <c r="CF38" i="39"/>
  <c r="CE38" i="39" s="1"/>
  <c r="CF36" i="39"/>
  <c r="CE36" i="39" s="1"/>
  <c r="CF33" i="39"/>
  <c r="CE33" i="39" s="1"/>
  <c r="CF31" i="39"/>
  <c r="CE31" i="39" s="1"/>
  <c r="CF30" i="39"/>
  <c r="CE30" i="39" s="1"/>
  <c r="CF28" i="39"/>
  <c r="CE28" i="39" s="1"/>
  <c r="CF25" i="39"/>
  <c r="CE25" i="39" s="1"/>
  <c r="CF23" i="39"/>
  <c r="CE23" i="39" s="1"/>
  <c r="CF22" i="39"/>
  <c r="CE22" i="39" s="1"/>
  <c r="CF20" i="39"/>
  <c r="CE20" i="39" s="1"/>
  <c r="CF43" i="39"/>
  <c r="CE43" i="39" s="1"/>
  <c r="CF40" i="39"/>
  <c r="CE40" i="39" s="1"/>
  <c r="CF37" i="39"/>
  <c r="CE37" i="39" s="1"/>
  <c r="CF34" i="39"/>
  <c r="CE34" i="39" s="1"/>
  <c r="CF27" i="39"/>
  <c r="CE27" i="39" s="1"/>
  <c r="CF24" i="39"/>
  <c r="CE24" i="39" s="1"/>
  <c r="CF21" i="39"/>
  <c r="CE21" i="39" s="1"/>
  <c r="CF18" i="39"/>
  <c r="CE17" i="39"/>
  <c r="CF42" i="39"/>
  <c r="CE42" i="39" s="1"/>
  <c r="CF35" i="39"/>
  <c r="CE35" i="39" s="1"/>
  <c r="CF32" i="39"/>
  <c r="CE32" i="39" s="1"/>
  <c r="CF29" i="39"/>
  <c r="CE29" i="39" s="1"/>
  <c r="CF26" i="39"/>
  <c r="CE26" i="39" s="1"/>
  <c r="CF19" i="39"/>
  <c r="CE19" i="39" s="1"/>
  <c r="CF43" i="41"/>
  <c r="CE43" i="41" s="1"/>
  <c r="CF41" i="41"/>
  <c r="CE41" i="41" s="1"/>
  <c r="CF40" i="41"/>
  <c r="CE40" i="41" s="1"/>
  <c r="CF38" i="41"/>
  <c r="CE38" i="41" s="1"/>
  <c r="CF35" i="41"/>
  <c r="CE35" i="41" s="1"/>
  <c r="CF33" i="41"/>
  <c r="CE33" i="41" s="1"/>
  <c r="CF32" i="41"/>
  <c r="CE32" i="41" s="1"/>
  <c r="CF30" i="41"/>
  <c r="CE30" i="41" s="1"/>
  <c r="CF27" i="41"/>
  <c r="CE27" i="41" s="1"/>
  <c r="CF25" i="41"/>
  <c r="CE25" i="41" s="1"/>
  <c r="CF24" i="41"/>
  <c r="CE24" i="41" s="1"/>
  <c r="CF22" i="41"/>
  <c r="CE22" i="41" s="1"/>
  <c r="CF19" i="41"/>
  <c r="CE19" i="41" s="1"/>
  <c r="CF42" i="41"/>
  <c r="CE42" i="41" s="1"/>
  <c r="CF39" i="41"/>
  <c r="CE39" i="41" s="1"/>
  <c r="CF36" i="41"/>
  <c r="CE36" i="41" s="1"/>
  <c r="CF29" i="41"/>
  <c r="CE29" i="41" s="1"/>
  <c r="CF26" i="41"/>
  <c r="CE26" i="41" s="1"/>
  <c r="CF23" i="41"/>
  <c r="CE23" i="41" s="1"/>
  <c r="CF20" i="41"/>
  <c r="CE20" i="41" s="1"/>
  <c r="CF44" i="41"/>
  <c r="CE44" i="41" s="1"/>
  <c r="CF37" i="41"/>
  <c r="CE37" i="41" s="1"/>
  <c r="CF34" i="41"/>
  <c r="CE34" i="41" s="1"/>
  <c r="CF31" i="41"/>
  <c r="CE31" i="41" s="1"/>
  <c r="CF28" i="41"/>
  <c r="CE28" i="41" s="1"/>
  <c r="CF21" i="41"/>
  <c r="CE21" i="41" s="1"/>
  <c r="CF18" i="41"/>
  <c r="CE17" i="41"/>
  <c r="CF44" i="37"/>
  <c r="CE44" i="37" s="1"/>
  <c r="CF42" i="37"/>
  <c r="CE42" i="37" s="1"/>
  <c r="CF39" i="37"/>
  <c r="CE39" i="37" s="1"/>
  <c r="CF37" i="37"/>
  <c r="CE37" i="37" s="1"/>
  <c r="CF36" i="37"/>
  <c r="CE36" i="37" s="1"/>
  <c r="CF34" i="37"/>
  <c r="CE34" i="37" s="1"/>
  <c r="CF31" i="37"/>
  <c r="CE31" i="37" s="1"/>
  <c r="CF30" i="37"/>
  <c r="CE30" i="37" s="1"/>
  <c r="CF27" i="37"/>
  <c r="CE27" i="37" s="1"/>
  <c r="CF25" i="37"/>
  <c r="CE25" i="37" s="1"/>
  <c r="CF24" i="37"/>
  <c r="CE24" i="37" s="1"/>
  <c r="CF21" i="37"/>
  <c r="CE21" i="37" s="1"/>
  <c r="CF20" i="37"/>
  <c r="CE20" i="37" s="1"/>
  <c r="CF43" i="37"/>
  <c r="CE43" i="37" s="1"/>
  <c r="CF40" i="37"/>
  <c r="CE40" i="37" s="1"/>
  <c r="CF33" i="37"/>
  <c r="CE33" i="37" s="1"/>
  <c r="CF28" i="37"/>
  <c r="CE28" i="37" s="1"/>
  <c r="CF22" i="37"/>
  <c r="CE22" i="37" s="1"/>
  <c r="CF19" i="37"/>
  <c r="CE19" i="37" s="1"/>
  <c r="CF41" i="37"/>
  <c r="CE41" i="37" s="1"/>
  <c r="CF38" i="37"/>
  <c r="CE38" i="37" s="1"/>
  <c r="CF35" i="37"/>
  <c r="CE35" i="37" s="1"/>
  <c r="CF32" i="37"/>
  <c r="CE32" i="37" s="1"/>
  <c r="CF29" i="37"/>
  <c r="CE29" i="37" s="1"/>
  <c r="CF26" i="37"/>
  <c r="CE26" i="37" s="1"/>
  <c r="CF23" i="37"/>
  <c r="CE23" i="37" s="1"/>
  <c r="CF18" i="37"/>
  <c r="CE17" i="37"/>
  <c r="CF43" i="43"/>
  <c r="CE43" i="43" s="1"/>
  <c r="CF42" i="43"/>
  <c r="CE42" i="43" s="1"/>
  <c r="CF39" i="43"/>
  <c r="CE39" i="43" s="1"/>
  <c r="CF38" i="43"/>
  <c r="CE38" i="43" s="1"/>
  <c r="CF36" i="43"/>
  <c r="CE36" i="43" s="1"/>
  <c r="CF33" i="43"/>
  <c r="CE33" i="43" s="1"/>
  <c r="CF32" i="43"/>
  <c r="CE32" i="43" s="1"/>
  <c r="CF29" i="43"/>
  <c r="CE29" i="43" s="1"/>
  <c r="CF28" i="43"/>
  <c r="CE28" i="43" s="1"/>
  <c r="CF25" i="43"/>
  <c r="CE25" i="43" s="1"/>
  <c r="CF23" i="43"/>
  <c r="CE23" i="43" s="1"/>
  <c r="CF22" i="43"/>
  <c r="CE22" i="43" s="1"/>
  <c r="CF20" i="43"/>
  <c r="CE20" i="43" s="1"/>
  <c r="CF44" i="43"/>
  <c r="CE44" i="43" s="1"/>
  <c r="CF41" i="43"/>
  <c r="CE41" i="43" s="1"/>
  <c r="CF35" i="43"/>
  <c r="CE35" i="43" s="1"/>
  <c r="CF30" i="43"/>
  <c r="CE30" i="43" s="1"/>
  <c r="CF27" i="43"/>
  <c r="CE27" i="43" s="1"/>
  <c r="CF24" i="43"/>
  <c r="CE24" i="43" s="1"/>
  <c r="CF21" i="43"/>
  <c r="CE21" i="43" s="1"/>
  <c r="CF18" i="43"/>
  <c r="CE17" i="43"/>
  <c r="CF40" i="43"/>
  <c r="CE40" i="43" s="1"/>
  <c r="CF37" i="43"/>
  <c r="CE37" i="43" s="1"/>
  <c r="CF34" i="43"/>
  <c r="CE34" i="43" s="1"/>
  <c r="CF31" i="43"/>
  <c r="CE31" i="43" s="1"/>
  <c r="CF26" i="43"/>
  <c r="CE26" i="43" s="1"/>
  <c r="CF19" i="43"/>
  <c r="CE19" i="43" s="1"/>
  <c r="CF43" i="42"/>
  <c r="CE43" i="42" s="1"/>
  <c r="CF40" i="42"/>
  <c r="CE40" i="42" s="1"/>
  <c r="CF38" i="42"/>
  <c r="CE38" i="42" s="1"/>
  <c r="CF37" i="42"/>
  <c r="CE37" i="42" s="1"/>
  <c r="CF35" i="42"/>
  <c r="CE35" i="42" s="1"/>
  <c r="CF32" i="42"/>
  <c r="CE32" i="42" s="1"/>
  <c r="CF30" i="42"/>
  <c r="CE30" i="42" s="1"/>
  <c r="CF29" i="42"/>
  <c r="CE29" i="42" s="1"/>
  <c r="CF27" i="42"/>
  <c r="CE27" i="42" s="1"/>
  <c r="CF24" i="42"/>
  <c r="CE24" i="42" s="1"/>
  <c r="CF22" i="42"/>
  <c r="CE22" i="42" s="1"/>
  <c r="CF21" i="42"/>
  <c r="CE21" i="42" s="1"/>
  <c r="CF19" i="42"/>
  <c r="CE19" i="42" s="1"/>
  <c r="CF42" i="42"/>
  <c r="CE42" i="42" s="1"/>
  <c r="CF39" i="42"/>
  <c r="CE39" i="42" s="1"/>
  <c r="CF36" i="42"/>
  <c r="CE36" i="42" s="1"/>
  <c r="CF33" i="42"/>
  <c r="CE33" i="42" s="1"/>
  <c r="CF26" i="42"/>
  <c r="CE26" i="42" s="1"/>
  <c r="CF23" i="42"/>
  <c r="CE23" i="42" s="1"/>
  <c r="CF20" i="42"/>
  <c r="CE20" i="42" s="1"/>
  <c r="CF44" i="42"/>
  <c r="CE44" i="42" s="1"/>
  <c r="CF41" i="42"/>
  <c r="CE41" i="42" s="1"/>
  <c r="CF34" i="42"/>
  <c r="CE34" i="42" s="1"/>
  <c r="CF31" i="42"/>
  <c r="CE31" i="42" s="1"/>
  <c r="CF28" i="42"/>
  <c r="CE28" i="42" s="1"/>
  <c r="CF25" i="42"/>
  <c r="CE25" i="42" s="1"/>
  <c r="CF18" i="42"/>
  <c r="CE17" i="42"/>
  <c r="CF42" i="40"/>
  <c r="CE42" i="40" s="1"/>
  <c r="CF40" i="40"/>
  <c r="CE40" i="40" s="1"/>
  <c r="CF39" i="40"/>
  <c r="CE39" i="40" s="1"/>
  <c r="CF37" i="40"/>
  <c r="CE37" i="40" s="1"/>
  <c r="CF34" i="40"/>
  <c r="CE34" i="40" s="1"/>
  <c r="CF32" i="40"/>
  <c r="CE32" i="40" s="1"/>
  <c r="CF31" i="40"/>
  <c r="CE31" i="40" s="1"/>
  <c r="CF29" i="40"/>
  <c r="CE29" i="40" s="1"/>
  <c r="CF26" i="40"/>
  <c r="CE26" i="40" s="1"/>
  <c r="CF25" i="40"/>
  <c r="CE25" i="40" s="1"/>
  <c r="CF22" i="40"/>
  <c r="CE22" i="40" s="1"/>
  <c r="CF20" i="40"/>
  <c r="CE20" i="40" s="1"/>
  <c r="CF19" i="40"/>
  <c r="CE19" i="40" s="1"/>
  <c r="CF43" i="40"/>
  <c r="CE43" i="40" s="1"/>
  <c r="CF36" i="40"/>
  <c r="CE36" i="40" s="1"/>
  <c r="CF33" i="40"/>
  <c r="CE33" i="40" s="1"/>
  <c r="CF30" i="40"/>
  <c r="CE30" i="40" s="1"/>
  <c r="CF27" i="40"/>
  <c r="CE27" i="40" s="1"/>
  <c r="CF24" i="40"/>
  <c r="CE24" i="40" s="1"/>
  <c r="CF21" i="40"/>
  <c r="CE21" i="40" s="1"/>
  <c r="CF18" i="40"/>
  <c r="CE17" i="40"/>
  <c r="CF44" i="40"/>
  <c r="CE44" i="40" s="1"/>
  <c r="CF41" i="40"/>
  <c r="CE41" i="40" s="1"/>
  <c r="CF38" i="40"/>
  <c r="CE38" i="40" s="1"/>
  <c r="CF35" i="40"/>
  <c r="CE35" i="40" s="1"/>
  <c r="CF28" i="40"/>
  <c r="CE28" i="40" s="1"/>
  <c r="CF23" i="40"/>
  <c r="CE23" i="40" s="1"/>
  <c r="CF42" i="36"/>
  <c r="CE42" i="36" s="1"/>
  <c r="CF41" i="36"/>
  <c r="CE41" i="36" s="1"/>
  <c r="CF38" i="36"/>
  <c r="CE38" i="36" s="1"/>
  <c r="CF36" i="36"/>
  <c r="CE36" i="36" s="1"/>
  <c r="CF35" i="36"/>
  <c r="CE35" i="36" s="1"/>
  <c r="CF33" i="36"/>
  <c r="CE33" i="36" s="1"/>
  <c r="CF30" i="36"/>
  <c r="CE30" i="36" s="1"/>
  <c r="CF28" i="36"/>
  <c r="CE28" i="36" s="1"/>
  <c r="CF27" i="36"/>
  <c r="CE27" i="36" s="1"/>
  <c r="CF25" i="36"/>
  <c r="CE25" i="36" s="1"/>
  <c r="CF22" i="36"/>
  <c r="CE22" i="36" s="1"/>
  <c r="CF20" i="36"/>
  <c r="CE20" i="36" s="1"/>
  <c r="CF19" i="36"/>
  <c r="CE19" i="36" s="1"/>
  <c r="CF44" i="36"/>
  <c r="CE44" i="36" s="1"/>
  <c r="CF39" i="36"/>
  <c r="CE39" i="36" s="1"/>
  <c r="CF32" i="36"/>
  <c r="CE32" i="36" s="1"/>
  <c r="CF29" i="36"/>
  <c r="CE29" i="36" s="1"/>
  <c r="CF26" i="36"/>
  <c r="CE26" i="36" s="1"/>
  <c r="CF23" i="36"/>
  <c r="CE23" i="36" s="1"/>
  <c r="CF43" i="36"/>
  <c r="CE43" i="36" s="1"/>
  <c r="CF40" i="36"/>
  <c r="CE40" i="36" s="1"/>
  <c r="CF37" i="36"/>
  <c r="CE37" i="36" s="1"/>
  <c r="CF34" i="36"/>
  <c r="CE34" i="36" s="1"/>
  <c r="CF31" i="36"/>
  <c r="CE31" i="36" s="1"/>
  <c r="CF24" i="36"/>
  <c r="CE24" i="36" s="1"/>
  <c r="CF21" i="36"/>
  <c r="CE21" i="36" s="1"/>
  <c r="CF18" i="36"/>
  <c r="CE17" i="36"/>
  <c r="CF44" i="35"/>
  <c r="CE44" i="35" s="1"/>
  <c r="CF40" i="35"/>
  <c r="CE40" i="35" s="1"/>
  <c r="CF36" i="35"/>
  <c r="CE36" i="35" s="1"/>
  <c r="CF32" i="35"/>
  <c r="CE32" i="35" s="1"/>
  <c r="CF28" i="35"/>
  <c r="CE28" i="35" s="1"/>
  <c r="CF24" i="35"/>
  <c r="CE24" i="35" s="1"/>
  <c r="CF20" i="35"/>
  <c r="CE20" i="35" s="1"/>
  <c r="CF43" i="35"/>
  <c r="CE43" i="35" s="1"/>
  <c r="CF42" i="35"/>
  <c r="CE42" i="35" s="1"/>
  <c r="CF41" i="35"/>
  <c r="CE41" i="35" s="1"/>
  <c r="CF39" i="35"/>
  <c r="CE39" i="35" s="1"/>
  <c r="CF38" i="35"/>
  <c r="CE38" i="35" s="1"/>
  <c r="CF37" i="35"/>
  <c r="CE37" i="35" s="1"/>
  <c r="CF35" i="35"/>
  <c r="CE35" i="35" s="1"/>
  <c r="CF34" i="35"/>
  <c r="CE34" i="35" s="1"/>
  <c r="CF33" i="35"/>
  <c r="CE33" i="35" s="1"/>
  <c r="CF31" i="35"/>
  <c r="CE31" i="35" s="1"/>
  <c r="CF30" i="35"/>
  <c r="CE30" i="35" s="1"/>
  <c r="CF29" i="35"/>
  <c r="CE29" i="35" s="1"/>
  <c r="CF27" i="35"/>
  <c r="CE27" i="35" s="1"/>
  <c r="CF26" i="35"/>
  <c r="CE26" i="35" s="1"/>
  <c r="CF25" i="35"/>
  <c r="CE25" i="35" s="1"/>
  <c r="CF23" i="35"/>
  <c r="CE23" i="35" s="1"/>
  <c r="CF22" i="35"/>
  <c r="CE22" i="35" s="1"/>
  <c r="CF21" i="35"/>
  <c r="CE21" i="35" s="1"/>
  <c r="CF19" i="35"/>
  <c r="CE19" i="35" s="1"/>
  <c r="CF18" i="35"/>
  <c r="CE17" i="35"/>
  <c r="BC34" i="38"/>
  <c r="BB34" i="38" s="1"/>
  <c r="CF44" i="38"/>
  <c r="CE44" i="38" s="1"/>
  <c r="CF42" i="38"/>
  <c r="CE42" i="38" s="1"/>
  <c r="CF41" i="38"/>
  <c r="CE41" i="38" s="1"/>
  <c r="CF39" i="38"/>
  <c r="CE39" i="38" s="1"/>
  <c r="CF36" i="38"/>
  <c r="CE36" i="38" s="1"/>
  <c r="CF34" i="38"/>
  <c r="CE34" i="38" s="1"/>
  <c r="CF33" i="38"/>
  <c r="CE33" i="38" s="1"/>
  <c r="CF31" i="38"/>
  <c r="CE31" i="38" s="1"/>
  <c r="CF28" i="38"/>
  <c r="CE28" i="38" s="1"/>
  <c r="CF26" i="38"/>
  <c r="CE26" i="38" s="1"/>
  <c r="CF25" i="38"/>
  <c r="CE25" i="38" s="1"/>
  <c r="CF23" i="38"/>
  <c r="CE23" i="38" s="1"/>
  <c r="CF20" i="38"/>
  <c r="CE20" i="38" s="1"/>
  <c r="CF18" i="38"/>
  <c r="CE17" i="38"/>
  <c r="CF43" i="38"/>
  <c r="CE43" i="38" s="1"/>
  <c r="CF40" i="38"/>
  <c r="CE40" i="38" s="1"/>
  <c r="CF37" i="38"/>
  <c r="CE37" i="38" s="1"/>
  <c r="CF30" i="38"/>
  <c r="CE30" i="38" s="1"/>
  <c r="CF27" i="38"/>
  <c r="CE27" i="38" s="1"/>
  <c r="CF24" i="38"/>
  <c r="CE24" i="38" s="1"/>
  <c r="CF21" i="38"/>
  <c r="CE21" i="38" s="1"/>
  <c r="CF38" i="38"/>
  <c r="CE38" i="38" s="1"/>
  <c r="CF35" i="38"/>
  <c r="CE35" i="38" s="1"/>
  <c r="CF32" i="38"/>
  <c r="CE32" i="38" s="1"/>
  <c r="CF29" i="38"/>
  <c r="CE29" i="38" s="1"/>
  <c r="CF22" i="38"/>
  <c r="CE22" i="38" s="1"/>
  <c r="CF19" i="38"/>
  <c r="CE19" i="38" s="1"/>
  <c r="B17" i="45"/>
  <c r="B55" i="45" s="1"/>
  <c r="CF41" i="45"/>
  <c r="CE41" i="45" s="1"/>
  <c r="CF40" i="45"/>
  <c r="CE40" i="45" s="1"/>
  <c r="CF39" i="45"/>
  <c r="CE39" i="45" s="1"/>
  <c r="CF44" i="45"/>
  <c r="CE44" i="45" s="1"/>
  <c r="CF42" i="45"/>
  <c r="CE42" i="45" s="1"/>
  <c r="CF37" i="45"/>
  <c r="CE37" i="45" s="1"/>
  <c r="CF36" i="45"/>
  <c r="CE36" i="45" s="1"/>
  <c r="CF35" i="45"/>
  <c r="CE35" i="45" s="1"/>
  <c r="CF34" i="45"/>
  <c r="CE34" i="45" s="1"/>
  <c r="CF30" i="45"/>
  <c r="CE30" i="45" s="1"/>
  <c r="CF28" i="45"/>
  <c r="CE28" i="45" s="1"/>
  <c r="CF27" i="45"/>
  <c r="CE27" i="45" s="1"/>
  <c r="CF25" i="45"/>
  <c r="CE25" i="45" s="1"/>
  <c r="CF24" i="45"/>
  <c r="CE24" i="45" s="1"/>
  <c r="CF23" i="45"/>
  <c r="CE23" i="45" s="1"/>
  <c r="CF22" i="45"/>
  <c r="CE22" i="45" s="1"/>
  <c r="CF19" i="45"/>
  <c r="CE19" i="45" s="1"/>
  <c r="CF43" i="45"/>
  <c r="CE43" i="45" s="1"/>
  <c r="CF38" i="45"/>
  <c r="CE38" i="45" s="1"/>
  <c r="CF33" i="45"/>
  <c r="CE33" i="45" s="1"/>
  <c r="CF32" i="45"/>
  <c r="CE32" i="45" s="1"/>
  <c r="CF31" i="45"/>
  <c r="CE31" i="45" s="1"/>
  <c r="CF29" i="45"/>
  <c r="CE29" i="45" s="1"/>
  <c r="CF26" i="45"/>
  <c r="CE26" i="45" s="1"/>
  <c r="CF21" i="45"/>
  <c r="CE21" i="45" s="1"/>
  <c r="CF20" i="45"/>
  <c r="CE20" i="45" s="1"/>
  <c r="CF18" i="45"/>
  <c r="CE17" i="45"/>
  <c r="BD8" i="18"/>
  <c r="BZ96" i="4"/>
  <c r="A69" i="58"/>
  <c r="B69" i="58" s="1"/>
  <c r="A67" i="58"/>
  <c r="B67" i="58" s="1"/>
  <c r="A65" i="58"/>
  <c r="B65" i="58" s="1"/>
  <c r="A68" i="58"/>
  <c r="B68" i="58" s="1"/>
  <c r="A66" i="58"/>
  <c r="B66" i="58" s="1"/>
  <c r="A89" i="62"/>
  <c r="A87" i="62"/>
  <c r="A90" i="62"/>
  <c r="A88" i="62"/>
  <c r="A86" i="62"/>
  <c r="A121" i="62"/>
  <c r="A122" i="62"/>
  <c r="A120" i="62"/>
  <c r="A119" i="62"/>
  <c r="A118" i="62"/>
  <c r="A60" i="62"/>
  <c r="B60" i="62" s="1"/>
  <c r="A61" i="62"/>
  <c r="B61" i="62" s="1"/>
  <c r="A59" i="62"/>
  <c r="B59" i="62" s="1"/>
  <c r="A58" i="62"/>
  <c r="B58" i="62" s="1"/>
  <c r="BH6" i="62"/>
  <c r="A110" i="62" s="1"/>
  <c r="A57" i="62"/>
  <c r="B57" i="62" s="1"/>
  <c r="AA10" i="34"/>
  <c r="BY4" i="11"/>
  <c r="BY4" i="7"/>
  <c r="BY4" i="13"/>
  <c r="BY4" i="12"/>
  <c r="BY4" i="9"/>
  <c r="BY4" i="10"/>
  <c r="BY4" i="5"/>
  <c r="BY4" i="6"/>
  <c r="BY4" i="8"/>
  <c r="BY4" i="15"/>
  <c r="BY4" i="14"/>
  <c r="T17" i="74"/>
  <c r="S17" i="74" s="1"/>
  <c r="N38" i="74"/>
  <c r="N36" i="74"/>
  <c r="M36" i="74" s="1"/>
  <c r="N35" i="74"/>
  <c r="M35" i="74" s="1"/>
  <c r="Q17" i="74"/>
  <c r="P17" i="74" s="1"/>
  <c r="Q10" i="74"/>
  <c r="P10" i="74" s="1"/>
  <c r="Q20" i="74"/>
  <c r="P20" i="74" s="1"/>
  <c r="Q33" i="74"/>
  <c r="P33" i="74" s="1"/>
  <c r="Q16" i="74"/>
  <c r="P16" i="74" s="1"/>
  <c r="Q31" i="74"/>
  <c r="P31" i="74" s="1"/>
  <c r="Q14" i="74"/>
  <c r="P14" i="74" s="1"/>
  <c r="Q9" i="74"/>
  <c r="P9" i="74" s="1"/>
  <c r="Q22" i="74"/>
  <c r="P22" i="74" s="1"/>
  <c r="Q26" i="74"/>
  <c r="P26" i="74" s="1"/>
  <c r="Q30" i="74"/>
  <c r="P30" i="74" s="1"/>
  <c r="T28" i="74"/>
  <c r="S28" i="74" s="1"/>
  <c r="Q37" i="74"/>
  <c r="P37" i="74" s="1"/>
  <c r="Q38" i="74"/>
  <c r="P38" i="74" s="1"/>
  <c r="T26" i="74"/>
  <c r="S26" i="74" s="1"/>
  <c r="T29" i="74"/>
  <c r="S29" i="74" s="1"/>
  <c r="P171" i="76"/>
  <c r="P34" i="76"/>
  <c r="P67" i="76"/>
  <c r="N21" i="74"/>
  <c r="M21" i="74" s="1"/>
  <c r="N25" i="74"/>
  <c r="M25" i="74" s="1"/>
  <c r="N14" i="74"/>
  <c r="M14" i="74" s="1"/>
  <c r="N11" i="74"/>
  <c r="M11" i="74" s="1"/>
  <c r="P259" i="76"/>
  <c r="Q259" i="76" s="1" a="1"/>
  <c r="Q259" i="76" s="1"/>
  <c r="AE7" i="34"/>
  <c r="E46" i="69"/>
  <c r="C64" i="69"/>
  <c r="E46" i="71"/>
  <c r="C64" i="71"/>
  <c r="E46" i="31"/>
  <c r="C64" i="31"/>
  <c r="E46" i="67"/>
  <c r="C64" i="67"/>
  <c r="E46" i="33"/>
  <c r="C64" i="33"/>
  <c r="AE16" i="34"/>
  <c r="E46" i="68"/>
  <c r="C64" i="68"/>
  <c r="E46" i="70"/>
  <c r="C64" i="70"/>
  <c r="E46" i="32"/>
  <c r="C64" i="32"/>
  <c r="E46" i="27"/>
  <c r="C64" i="27"/>
  <c r="E39" i="2"/>
  <c r="E48" i="2" s="1"/>
  <c r="AE4" i="34" s="1"/>
  <c r="E37" i="2"/>
  <c r="AO4" i="34"/>
  <c r="P257" i="76"/>
  <c r="Q257" i="76" s="1" a="1"/>
  <c r="Q257" i="76" s="1"/>
  <c r="P127" i="76"/>
  <c r="P183" i="76"/>
  <c r="P225" i="76"/>
  <c r="P144" i="76"/>
  <c r="P232" i="76"/>
  <c r="P100" i="76"/>
  <c r="P190" i="76"/>
  <c r="P45" i="76"/>
  <c r="P7" i="76"/>
  <c r="P125" i="76"/>
  <c r="P244" i="76"/>
  <c r="Q244" i="76" s="1" a="1"/>
  <c r="Q244" i="76" s="1"/>
  <c r="P360" i="76"/>
  <c r="Q360" i="76" s="1" a="1"/>
  <c r="Q360" i="76" s="1"/>
  <c r="P73" i="76"/>
  <c r="P91" i="76"/>
  <c r="P261" i="76"/>
  <c r="Q261" i="76" s="1" a="1"/>
  <c r="Q261" i="76" s="1"/>
  <c r="P403" i="76"/>
  <c r="Q403" i="76" s="1" a="1"/>
  <c r="Q403" i="76" s="1"/>
  <c r="P278" i="76"/>
  <c r="Q278" i="76" s="1" a="1"/>
  <c r="Q278" i="76" s="1"/>
  <c r="P246" i="76"/>
  <c r="Q246" i="76" s="1" a="1"/>
  <c r="Q246" i="76" s="1"/>
  <c r="P306" i="76"/>
  <c r="Q306" i="76" s="1" a="1"/>
  <c r="Q306" i="76" s="1"/>
  <c r="P383" i="76"/>
  <c r="Q383" i="76" s="1" a="1"/>
  <c r="Q383" i="76" s="1"/>
  <c r="P350" i="76"/>
  <c r="Q350" i="76" s="1" a="1"/>
  <c r="Q350" i="76" s="1"/>
  <c r="P16" i="76"/>
  <c r="P378" i="76"/>
  <c r="Q378" i="76" s="1" a="1"/>
  <c r="Q378" i="76" s="1"/>
  <c r="P31" i="76"/>
  <c r="P305" i="76"/>
  <c r="Q305" i="76" s="1" a="1"/>
  <c r="Q305" i="76" s="1"/>
  <c r="P141" i="76"/>
  <c r="P392" i="76"/>
  <c r="Q392" i="76" s="1" a="1"/>
  <c r="Q392" i="76" s="1"/>
  <c r="P173" i="76"/>
  <c r="P373" i="76"/>
  <c r="Q373" i="76" s="1" a="1"/>
  <c r="Q373" i="76" s="1"/>
  <c r="P27" i="76"/>
  <c r="P152" i="76"/>
  <c r="P417" i="76"/>
  <c r="Q417" i="76" s="1" a="1"/>
  <c r="Q417" i="76" s="1"/>
  <c r="P189" i="76"/>
  <c r="P157" i="76"/>
  <c r="P172" i="76"/>
  <c r="P374" i="76"/>
  <c r="Q374" i="76" s="1" a="1"/>
  <c r="Q374" i="76" s="1"/>
  <c r="P412" i="76"/>
  <c r="Q412" i="76" s="1" a="1"/>
  <c r="Q412" i="76" s="1"/>
  <c r="P387" i="76"/>
  <c r="Q387" i="76" s="1" a="1"/>
  <c r="Q387" i="76" s="1"/>
  <c r="P109" i="76"/>
  <c r="P117" i="76"/>
  <c r="P118" i="76"/>
  <c r="P62" i="76"/>
  <c r="P74" i="76"/>
  <c r="P36" i="76"/>
  <c r="P255" i="76"/>
  <c r="Q255" i="76" s="1" a="1"/>
  <c r="Q255" i="76" s="1"/>
  <c r="P192" i="76"/>
  <c r="P170" i="76"/>
  <c r="P43" i="76"/>
  <c r="P299" i="76"/>
  <c r="Q299" i="76" s="1" a="1"/>
  <c r="Q299" i="76" s="1"/>
  <c r="P248" i="76"/>
  <c r="Q248" i="76" s="1" a="1"/>
  <c r="Q248" i="76" s="1"/>
  <c r="P258" i="76"/>
  <c r="Q258" i="76" s="1" a="1"/>
  <c r="Q258" i="76" s="1"/>
  <c r="P63" i="76"/>
  <c r="P311" i="76"/>
  <c r="Q311" i="76" s="1" a="1"/>
  <c r="Q311" i="76" s="1"/>
  <c r="P240" i="76"/>
  <c r="P204" i="76"/>
  <c r="P296" i="76"/>
  <c r="Q296" i="76" s="1" a="1"/>
  <c r="Q296" i="76" s="1"/>
  <c r="P201" i="76"/>
  <c r="P285" i="76"/>
  <c r="Q285" i="76" s="1" a="1"/>
  <c r="Q285" i="76" s="1"/>
  <c r="P361" i="76"/>
  <c r="Q361" i="76" s="1" a="1"/>
  <c r="Q361" i="76" s="1"/>
  <c r="P115" i="76"/>
  <c r="P213" i="76"/>
  <c r="P196" i="76"/>
  <c r="P276" i="76"/>
  <c r="Q276" i="76" s="1" a="1"/>
  <c r="Q276" i="76" s="1"/>
  <c r="P218" i="76"/>
  <c r="P229" i="76"/>
  <c r="P386" i="76"/>
  <c r="Q386" i="76" s="1" a="1"/>
  <c r="Q386" i="76" s="1"/>
  <c r="P48" i="76"/>
  <c r="P84" i="76"/>
  <c r="P264" i="76"/>
  <c r="Q264" i="76" s="1" a="1"/>
  <c r="Q264" i="76" s="1"/>
  <c r="P39" i="76"/>
  <c r="P103" i="76"/>
  <c r="T20" i="74"/>
  <c r="S20" i="74" s="1"/>
  <c r="T31" i="74"/>
  <c r="S31" i="74" s="1"/>
  <c r="T25" i="74"/>
  <c r="S25" i="74" s="1"/>
  <c r="T18" i="74"/>
  <c r="S18" i="74" s="1"/>
  <c r="T11" i="74"/>
  <c r="S11" i="74" s="1"/>
  <c r="T9" i="74"/>
  <c r="S9" i="74" s="1"/>
  <c r="T10" i="74"/>
  <c r="S10" i="74" s="1"/>
  <c r="T27" i="74"/>
  <c r="S27" i="74" s="1"/>
  <c r="T16" i="74"/>
  <c r="S16" i="74" s="1"/>
  <c r="T14" i="74"/>
  <c r="S14" i="74" s="1"/>
  <c r="T15" i="74"/>
  <c r="S15" i="74" s="1"/>
  <c r="T32" i="74"/>
  <c r="S32" i="74" s="1"/>
  <c r="T12" i="74"/>
  <c r="S12" i="74" s="1"/>
  <c r="T19" i="74"/>
  <c r="S19" i="74" s="1"/>
  <c r="P362" i="76"/>
  <c r="Q362" i="76" s="1" a="1"/>
  <c r="Q362" i="76" s="1"/>
  <c r="P6" i="76"/>
  <c r="P269" i="76"/>
  <c r="Q269" i="76" s="1" a="1"/>
  <c r="Q269" i="76" s="1"/>
  <c r="P208" i="76"/>
  <c r="P216" i="76"/>
  <c r="P160" i="76"/>
  <c r="P46" i="76"/>
  <c r="P317" i="76"/>
  <c r="Q317" i="76" s="1" a="1"/>
  <c r="Q317" i="76" s="1"/>
  <c r="P168" i="76"/>
  <c r="P51" i="76"/>
  <c r="P14" i="76"/>
  <c r="P96" i="76"/>
  <c r="P231" i="76"/>
  <c r="P8" i="76"/>
  <c r="P90" i="76"/>
  <c r="P88" i="76"/>
  <c r="P219" i="76"/>
  <c r="P398" i="76"/>
  <c r="Q398" i="76" s="1" a="1"/>
  <c r="Q398" i="76" s="1"/>
  <c r="P4" i="76"/>
  <c r="P44" i="76"/>
  <c r="P175" i="76"/>
  <c r="P354" i="76"/>
  <c r="Q354" i="76" s="1" a="1"/>
  <c r="Q354" i="76" s="1"/>
  <c r="P238" i="76"/>
  <c r="P26" i="76"/>
  <c r="P38" i="76"/>
  <c r="P329" i="76"/>
  <c r="Q329" i="76" s="1" a="1"/>
  <c r="Q329" i="76" s="1"/>
  <c r="P420" i="76"/>
  <c r="Q420" i="76" s="1" a="1"/>
  <c r="Q420" i="76" s="1"/>
  <c r="P64" i="76"/>
  <c r="P220" i="76"/>
  <c r="P161" i="76"/>
  <c r="P337" i="76"/>
  <c r="Q337" i="76" s="1" a="1"/>
  <c r="Q337" i="76" s="1"/>
  <c r="P252" i="76"/>
  <c r="Q252" i="76" s="1" a="1"/>
  <c r="Q252" i="76" s="1"/>
  <c r="P272" i="76"/>
  <c r="Q272" i="76" s="1" a="1"/>
  <c r="Q272" i="76" s="1"/>
  <c r="P60" i="76"/>
  <c r="P327" i="76"/>
  <c r="Q327" i="76" s="1" a="1"/>
  <c r="Q327" i="76" s="1"/>
  <c r="P199" i="76"/>
  <c r="P79" i="76"/>
  <c r="P394" i="76"/>
  <c r="Q394" i="76" s="1" a="1"/>
  <c r="Q394" i="76" s="1"/>
  <c r="P266" i="76"/>
  <c r="Q266" i="76" s="1" a="1"/>
  <c r="Q266" i="76" s="1"/>
  <c r="P20" i="76"/>
  <c r="P280" i="76"/>
  <c r="Q280" i="76" s="1" a="1"/>
  <c r="Q280" i="76" s="1"/>
  <c r="P52" i="76"/>
  <c r="P315" i="76"/>
  <c r="Q315" i="76" s="1" a="1"/>
  <c r="Q315" i="76" s="1"/>
  <c r="P187" i="76"/>
  <c r="P59" i="76"/>
  <c r="P366" i="76"/>
  <c r="Q366" i="76" s="1" a="1"/>
  <c r="Q366" i="76" s="1"/>
  <c r="P202" i="76"/>
  <c r="P97" i="76"/>
  <c r="P224" i="76"/>
  <c r="P399" i="76"/>
  <c r="Q399" i="76" s="1" a="1"/>
  <c r="Q399" i="76" s="1"/>
  <c r="P271" i="76"/>
  <c r="Q271" i="76" s="1" a="1"/>
  <c r="Q271" i="76" s="1"/>
  <c r="P143" i="76"/>
  <c r="P68" i="76"/>
  <c r="P322" i="76"/>
  <c r="Q322" i="76" s="1" a="1"/>
  <c r="Q322" i="76" s="1"/>
  <c r="P114" i="76"/>
  <c r="P206" i="76"/>
  <c r="P78" i="76"/>
  <c r="P262" i="76"/>
  <c r="Q262" i="76" s="1" a="1"/>
  <c r="Q262" i="76" s="1"/>
  <c r="P134" i="76"/>
  <c r="P19" i="76"/>
  <c r="P316" i="76"/>
  <c r="Q316" i="76" s="1" a="1"/>
  <c r="Q316" i="76" s="1"/>
  <c r="P339" i="76"/>
  <c r="Q339" i="76" s="1" a="1"/>
  <c r="Q339" i="76" s="1"/>
  <c r="P133" i="76"/>
  <c r="P292" i="76"/>
  <c r="Q292" i="76" s="1" a="1"/>
  <c r="Q292" i="76" s="1"/>
  <c r="P153" i="76"/>
  <c r="P66" i="76"/>
  <c r="P181" i="76"/>
  <c r="P92" i="76"/>
  <c r="P307" i="76"/>
  <c r="Q307" i="76" s="1" a="1"/>
  <c r="Q307" i="76" s="1"/>
  <c r="P147" i="76"/>
  <c r="P364" i="76"/>
  <c r="Q364" i="76" s="1" a="1"/>
  <c r="Q364" i="76" s="1"/>
  <c r="P209" i="76"/>
  <c r="P358" i="76"/>
  <c r="Q358" i="76" s="1" a="1"/>
  <c r="Q358" i="76" s="1"/>
  <c r="P340" i="76"/>
  <c r="Q340" i="76" s="1" a="1"/>
  <c r="Q340" i="76" s="1"/>
  <c r="P124" i="76"/>
  <c r="P212" i="76"/>
  <c r="P405" i="76"/>
  <c r="Q405" i="76" s="1" a="1"/>
  <c r="Q405" i="76" s="1"/>
  <c r="P15" i="76"/>
  <c r="P422" i="76"/>
  <c r="Q422" i="76" s="1" a="1"/>
  <c r="Q422" i="76" s="1"/>
  <c r="P227" i="76"/>
  <c r="P104" i="76"/>
  <c r="P121" i="76"/>
  <c r="P249" i="76"/>
  <c r="Q249" i="76" s="1" a="1"/>
  <c r="Q249" i="76" s="1"/>
  <c r="P377" i="76"/>
  <c r="Q377" i="76" s="1" a="1"/>
  <c r="Q377" i="76" s="1"/>
  <c r="P132" i="76"/>
  <c r="P260" i="76"/>
  <c r="Q260" i="76" s="1" a="1"/>
  <c r="Q260" i="76" s="1"/>
  <c r="P3" i="76"/>
  <c r="Q3" i="76" s="1" a="1"/>
  <c r="Q3" i="76" s="1"/>
  <c r="P47" i="76"/>
  <c r="P418" i="76"/>
  <c r="Q418" i="76" s="1" a="1"/>
  <c r="Q418" i="76" s="1"/>
  <c r="P9" i="76"/>
  <c r="P236" i="76"/>
  <c r="P359" i="76"/>
  <c r="Q359" i="76" s="1" a="1"/>
  <c r="Q359" i="76" s="1"/>
  <c r="P298" i="76"/>
  <c r="Q298" i="76" s="1" a="1"/>
  <c r="Q298" i="76" s="1"/>
  <c r="P347" i="76"/>
  <c r="Q347" i="76" s="1" a="1"/>
  <c r="Q347" i="76" s="1"/>
  <c r="P270" i="76"/>
  <c r="Q270" i="76" s="1" a="1"/>
  <c r="Q270" i="76" s="1"/>
  <c r="P303" i="76"/>
  <c r="Q303" i="76" s="1" a="1"/>
  <c r="Q303" i="76" s="1"/>
  <c r="P178" i="76"/>
  <c r="P166" i="76"/>
  <c r="P389" i="76"/>
  <c r="Q389" i="76" s="1" a="1"/>
  <c r="Q389" i="76" s="1"/>
  <c r="P357" i="76"/>
  <c r="Q357" i="76" s="1" a="1"/>
  <c r="Q357" i="76" s="1"/>
  <c r="P349" i="76"/>
  <c r="Q349" i="76" s="1" a="1"/>
  <c r="Q349" i="76" s="1"/>
  <c r="P400" i="76"/>
  <c r="Q400" i="76" s="1" a="1"/>
  <c r="Q400" i="76" s="1"/>
  <c r="P391" i="76"/>
  <c r="Q391" i="76" s="1" a="1"/>
  <c r="Q391" i="76" s="1"/>
  <c r="P135" i="76"/>
  <c r="P330" i="76"/>
  <c r="Q330" i="76" s="1" a="1"/>
  <c r="Q330" i="76" s="1"/>
  <c r="P408" i="76"/>
  <c r="Q408" i="76" s="1" a="1"/>
  <c r="Q408" i="76" s="1"/>
  <c r="P379" i="76"/>
  <c r="Q379" i="76" s="1" a="1"/>
  <c r="Q379" i="76" s="1"/>
  <c r="P123" i="76"/>
  <c r="P302" i="76"/>
  <c r="Q302" i="76" s="1" a="1"/>
  <c r="Q302" i="76" s="1"/>
  <c r="P352" i="76"/>
  <c r="Q352" i="76" s="1" a="1"/>
  <c r="Q352" i="76" s="1"/>
  <c r="P335" i="76"/>
  <c r="Q335" i="76" s="1" a="1"/>
  <c r="Q335" i="76" s="1"/>
  <c r="P71" i="76"/>
  <c r="P242" i="76"/>
  <c r="P142" i="76"/>
  <c r="P198" i="76"/>
  <c r="P186" i="76"/>
  <c r="P149" i="76"/>
  <c r="P409" i="76"/>
  <c r="Q409" i="76" s="1" a="1"/>
  <c r="Q409" i="76" s="1"/>
  <c r="P342" i="76"/>
  <c r="Q342" i="76" s="1" a="1"/>
  <c r="Q342" i="76" s="1"/>
  <c r="P193" i="76"/>
  <c r="P53" i="76"/>
  <c r="P419" i="76"/>
  <c r="Q419" i="76" s="1" a="1"/>
  <c r="Q419" i="76" s="1"/>
  <c r="P393" i="76"/>
  <c r="Q393" i="76" s="1" a="1"/>
  <c r="Q393" i="76" s="1"/>
  <c r="P188" i="76"/>
  <c r="P294" i="76"/>
  <c r="Q294" i="76" s="1" a="1"/>
  <c r="Q294" i="76" s="1"/>
  <c r="P355" i="76"/>
  <c r="Q355" i="76" s="1" a="1"/>
  <c r="Q355" i="76" s="1"/>
  <c r="P185" i="76"/>
  <c r="P81" i="76"/>
  <c r="P324" i="76"/>
  <c r="Q324" i="76" s="1" a="1"/>
  <c r="Q324" i="76" s="1"/>
  <c r="P253" i="76"/>
  <c r="Q253" i="76" s="1" a="1"/>
  <c r="Q253" i="76" s="1"/>
  <c r="P277" i="76"/>
  <c r="Q277" i="76" s="1" a="1"/>
  <c r="Q277" i="76" s="1"/>
  <c r="P69" i="76"/>
  <c r="P5" i="76"/>
  <c r="P89" i="76"/>
  <c r="P33" i="76"/>
  <c r="P24" i="76"/>
  <c r="P243" i="76"/>
  <c r="Q243" i="76" s="1" a="1"/>
  <c r="Q243" i="76" s="1"/>
  <c r="P136" i="76"/>
  <c r="P169" i="76"/>
  <c r="P297" i="76"/>
  <c r="Q297" i="76" s="1" a="1"/>
  <c r="Q297" i="76" s="1"/>
  <c r="P32" i="76"/>
  <c r="P180" i="76"/>
  <c r="P308" i="76"/>
  <c r="Q308" i="76" s="1" a="1"/>
  <c r="Q308" i="76" s="1"/>
  <c r="P93" i="76"/>
  <c r="P237" i="76"/>
  <c r="P197" i="76"/>
  <c r="P309" i="76"/>
  <c r="Q309" i="76" s="1" a="1"/>
  <c r="Q309" i="76" s="1"/>
  <c r="P328" i="76"/>
  <c r="Q328" i="76" s="1" a="1"/>
  <c r="Q328" i="76" s="1"/>
  <c r="P353" i="76"/>
  <c r="Q353" i="76" s="1" a="1"/>
  <c r="Q353" i="76" s="1"/>
  <c r="P390" i="76"/>
  <c r="Q390" i="76" s="1" a="1"/>
  <c r="Q390" i="76" s="1"/>
  <c r="P195" i="76"/>
  <c r="P72" i="76"/>
  <c r="P113" i="76"/>
  <c r="P241" i="76"/>
  <c r="P369" i="76"/>
  <c r="Q369" i="76" s="1" a="1"/>
  <c r="Q369" i="76" s="1"/>
  <c r="P140" i="76"/>
  <c r="P268" i="76"/>
  <c r="Q268" i="76" s="1" a="1"/>
  <c r="Q268" i="76" s="1"/>
  <c r="P396" i="76"/>
  <c r="Q396" i="76" s="1" a="1"/>
  <c r="Q396" i="76" s="1"/>
  <c r="P77" i="76"/>
  <c r="P304" i="76"/>
  <c r="Q304" i="76" s="1" a="1"/>
  <c r="Q304" i="76" s="1"/>
  <c r="P176" i="76"/>
  <c r="P41" i="76"/>
  <c r="P407" i="76"/>
  <c r="Q407" i="76" s="1" a="1"/>
  <c r="Q407" i="76" s="1"/>
  <c r="P343" i="76"/>
  <c r="Q343" i="76" s="1" a="1"/>
  <c r="Q343" i="76" s="1"/>
  <c r="P279" i="76"/>
  <c r="Q279" i="76" s="1" a="1"/>
  <c r="Q279" i="76" s="1"/>
  <c r="P215" i="76"/>
  <c r="P151" i="76"/>
  <c r="P95" i="76"/>
  <c r="P29" i="76"/>
  <c r="P410" i="76"/>
  <c r="Q410" i="76" s="1" a="1"/>
  <c r="Q410" i="76" s="1"/>
  <c r="P346" i="76"/>
  <c r="Q346" i="76" s="1" a="1"/>
  <c r="Q346" i="76" s="1"/>
  <c r="P282" i="76"/>
  <c r="Q282" i="76" s="1" a="1"/>
  <c r="Q282" i="76" s="1"/>
  <c r="P194" i="76"/>
  <c r="P58" i="76"/>
  <c r="P61" i="76"/>
  <c r="P312" i="76"/>
  <c r="Q312" i="76" s="1" a="1"/>
  <c r="Q312" i="76" s="1"/>
  <c r="P184" i="76"/>
  <c r="P17" i="76"/>
  <c r="P395" i="76"/>
  <c r="Q395" i="76" s="1" a="1"/>
  <c r="Q395" i="76" s="1"/>
  <c r="P331" i="76"/>
  <c r="Q331" i="76" s="1" a="1"/>
  <c r="Q331" i="76" s="1"/>
  <c r="P267" i="76"/>
  <c r="Q267" i="76" s="1" a="1"/>
  <c r="Q267" i="76" s="1"/>
  <c r="P203" i="76"/>
  <c r="P139" i="76"/>
  <c r="P75" i="76"/>
  <c r="P76" i="76"/>
  <c r="P382" i="76"/>
  <c r="Q382" i="76" s="1" a="1"/>
  <c r="Q382" i="76" s="1"/>
  <c r="P318" i="76"/>
  <c r="Q318" i="76" s="1" a="1"/>
  <c r="Q318" i="76" s="1"/>
  <c r="P234" i="76"/>
  <c r="P106" i="76"/>
  <c r="P30" i="76"/>
  <c r="P384" i="76"/>
  <c r="Q384" i="76" s="1" a="1"/>
  <c r="Q384" i="76" s="1"/>
  <c r="P256" i="76"/>
  <c r="Q256" i="76" s="1" a="1"/>
  <c r="Q256" i="76" s="1"/>
  <c r="P128" i="76"/>
  <c r="P415" i="76"/>
  <c r="Q415" i="76" s="1" a="1"/>
  <c r="Q415" i="76" s="1"/>
  <c r="P351" i="76"/>
  <c r="Q351" i="76" s="1" a="1"/>
  <c r="Q351" i="76" s="1"/>
  <c r="P287" i="76"/>
  <c r="Q287" i="76" s="1" a="1"/>
  <c r="Q287" i="76" s="1"/>
  <c r="P223" i="76"/>
  <c r="P159" i="76"/>
  <c r="P87" i="76"/>
  <c r="P13" i="76"/>
  <c r="P402" i="76"/>
  <c r="Q402" i="76" s="1" a="1"/>
  <c r="Q402" i="76" s="1"/>
  <c r="P338" i="76"/>
  <c r="Q338" i="76" s="1" a="1"/>
  <c r="Q338" i="76" s="1"/>
  <c r="P274" i="76"/>
  <c r="Q274" i="76" s="1" a="1"/>
  <c r="Q274" i="76" s="1"/>
  <c r="P146" i="76"/>
  <c r="P23" i="76"/>
  <c r="P222" i="76"/>
  <c r="P158" i="76"/>
  <c r="P94" i="76"/>
  <c r="P28" i="76"/>
  <c r="P10" i="76"/>
  <c r="P214" i="76"/>
  <c r="P150" i="76"/>
  <c r="P86" i="76"/>
  <c r="P12" i="76"/>
  <c r="P98" i="76"/>
  <c r="P404" i="76"/>
  <c r="Q404" i="76" s="1" a="1"/>
  <c r="Q404" i="76" s="1"/>
  <c r="P365" i="76"/>
  <c r="Q365" i="76" s="1" a="1"/>
  <c r="Q365" i="76" s="1"/>
  <c r="P211" i="76"/>
  <c r="P301" i="76"/>
  <c r="Q301" i="76" s="1" a="1"/>
  <c r="Q301" i="76" s="1"/>
  <c r="P245" i="76"/>
  <c r="Q245" i="76" s="1" a="1"/>
  <c r="Q245" i="76" s="1"/>
  <c r="P221" i="76"/>
  <c r="P228" i="76"/>
  <c r="P345" i="76"/>
  <c r="Q345" i="76" s="1" a="1"/>
  <c r="Q345" i="76" s="1"/>
  <c r="P25" i="76"/>
  <c r="P131" i="76"/>
  <c r="P265" i="76"/>
  <c r="Q265" i="76" s="1" a="1"/>
  <c r="Q265" i="76" s="1"/>
  <c r="P85" i="76"/>
  <c r="P421" i="76"/>
  <c r="Q421" i="76" s="1" a="1"/>
  <c r="Q421" i="76" s="1"/>
  <c r="P284" i="76"/>
  <c r="Q284" i="76" s="1" a="1"/>
  <c r="Q284" i="76" s="1"/>
  <c r="P385" i="76"/>
  <c r="Q385" i="76" s="1" a="1"/>
  <c r="Q385" i="76" s="1"/>
  <c r="P129" i="76"/>
  <c r="P179" i="76"/>
  <c r="P289" i="76"/>
  <c r="Q289" i="76" s="1" a="1"/>
  <c r="Q289" i="76" s="1"/>
  <c r="P122" i="76"/>
  <c r="P397" i="76"/>
  <c r="Q397" i="76" s="1" a="1"/>
  <c r="Q397" i="76" s="1"/>
  <c r="P300" i="76"/>
  <c r="Q300" i="76" s="1" a="1"/>
  <c r="Q300" i="76" s="1"/>
  <c r="P401" i="76"/>
  <c r="Q401" i="76" s="1" a="1"/>
  <c r="Q401" i="76" s="1"/>
  <c r="P145" i="76"/>
  <c r="P291" i="76"/>
  <c r="Q291" i="76" s="1" a="1"/>
  <c r="Q291" i="76" s="1"/>
  <c r="P154" i="76"/>
  <c r="P413" i="76"/>
  <c r="Q413" i="76" s="1" a="1"/>
  <c r="Q413" i="76" s="1"/>
  <c r="P325" i="76"/>
  <c r="Q325" i="76" s="1" a="1"/>
  <c r="Q325" i="76" s="1"/>
  <c r="Q35" i="74"/>
  <c r="P35" i="74" s="1"/>
  <c r="Q36" i="74"/>
  <c r="P36" i="74" s="1"/>
  <c r="T30" i="74"/>
  <c r="S30" i="74" s="1"/>
  <c r="T13" i="74"/>
  <c r="S13" i="74" s="1"/>
  <c r="T33" i="74"/>
  <c r="S33" i="74" s="1"/>
  <c r="T22" i="74"/>
  <c r="S22" i="74" s="1"/>
  <c r="T23" i="74"/>
  <c r="S23" i="74" s="1"/>
  <c r="T21" i="74"/>
  <c r="S21" i="74" s="1"/>
  <c r="P380" i="76"/>
  <c r="Q380" i="76" s="1" a="1"/>
  <c r="Q380" i="76" s="1"/>
  <c r="P35" i="76"/>
  <c r="P273" i="76"/>
  <c r="Q273" i="76" s="1" a="1"/>
  <c r="Q273" i="76" s="1"/>
  <c r="P37" i="76"/>
  <c r="P57" i="76"/>
  <c r="P40" i="76"/>
  <c r="P156" i="76"/>
  <c r="P101" i="76"/>
  <c r="P326" i="76"/>
  <c r="Q326" i="76" s="1" a="1"/>
  <c r="Q326" i="76" s="1"/>
  <c r="P217" i="76"/>
  <c r="P356" i="76"/>
  <c r="Q356" i="76" s="1" a="1"/>
  <c r="Q356" i="76" s="1"/>
  <c r="P293" i="76"/>
  <c r="Q293" i="76" s="1" a="1"/>
  <c r="Q293" i="76" s="1"/>
  <c r="P200" i="76"/>
  <c r="P148" i="76"/>
  <c r="P54" i="76"/>
  <c r="P182" i="76"/>
  <c r="P11" i="76"/>
  <c r="P126" i="76"/>
  <c r="P254" i="76"/>
  <c r="Q254" i="76" s="1" a="1"/>
  <c r="Q254" i="76" s="1"/>
  <c r="P210" i="76"/>
  <c r="P370" i="76"/>
  <c r="Q370" i="76" s="1" a="1"/>
  <c r="Q370" i="76" s="1"/>
  <c r="P55" i="76"/>
  <c r="P191" i="76"/>
  <c r="P319" i="76"/>
  <c r="Q319" i="76" s="1" a="1"/>
  <c r="Q319" i="76" s="1"/>
  <c r="P80" i="76"/>
  <c r="P320" i="76"/>
  <c r="Q320" i="76" s="1" a="1"/>
  <c r="Q320" i="76" s="1"/>
  <c r="P50" i="76"/>
  <c r="P286" i="76"/>
  <c r="Q286" i="76" s="1" a="1"/>
  <c r="Q286" i="76" s="1"/>
  <c r="P414" i="76"/>
  <c r="Q414" i="76" s="1" a="1"/>
  <c r="Q414" i="76" s="1"/>
  <c r="P107" i="76"/>
  <c r="P235" i="76"/>
  <c r="P363" i="76"/>
  <c r="Q363" i="76" s="1" a="1"/>
  <c r="Q363" i="76" s="1"/>
  <c r="P120" i="76"/>
  <c r="P376" i="76"/>
  <c r="Q376" i="76" s="1" a="1"/>
  <c r="Q376" i="76" s="1"/>
  <c r="P130" i="76"/>
  <c r="P314" i="76"/>
  <c r="Q314" i="76" s="1" a="1"/>
  <c r="Q314" i="76" s="1"/>
  <c r="P56" i="76"/>
  <c r="P119" i="76"/>
  <c r="P247" i="76"/>
  <c r="Q247" i="76" s="1" a="1"/>
  <c r="Q247" i="76" s="1"/>
  <c r="P375" i="76"/>
  <c r="Q375" i="76" s="1" a="1"/>
  <c r="Q375" i="76" s="1"/>
  <c r="P112" i="76"/>
  <c r="P368" i="76"/>
  <c r="Q368" i="76" s="1" a="1"/>
  <c r="Q368" i="76" s="1"/>
  <c r="P332" i="76"/>
  <c r="Q332" i="76" s="1" a="1"/>
  <c r="Q332" i="76" s="1"/>
  <c r="P49" i="76"/>
  <c r="P177" i="76"/>
  <c r="P323" i="76"/>
  <c r="Q323" i="76" s="1" a="1"/>
  <c r="Q323" i="76" s="1"/>
  <c r="P250" i="76"/>
  <c r="Q250" i="76" s="1" a="1"/>
  <c r="Q250" i="76" s="1"/>
  <c r="P83" i="76"/>
  <c r="P341" i="76"/>
  <c r="Q341" i="76" s="1" a="1"/>
  <c r="Q341" i="76" s="1"/>
  <c r="P372" i="76"/>
  <c r="Q372" i="76" s="1" a="1"/>
  <c r="Q372" i="76" s="1"/>
  <c r="P116" i="76"/>
  <c r="P233" i="76"/>
  <c r="P371" i="76"/>
  <c r="Q371" i="76" s="1" a="1"/>
  <c r="Q371" i="76" s="1"/>
  <c r="P310" i="76"/>
  <c r="Q310" i="76" s="1" a="1"/>
  <c r="Q310" i="76" s="1"/>
  <c r="P275" i="76"/>
  <c r="Q275" i="76" s="1" a="1"/>
  <c r="Q275" i="76" s="1"/>
  <c r="P165" i="76"/>
  <c r="P388" i="76"/>
  <c r="Q388" i="76" s="1" a="1"/>
  <c r="Q388" i="76" s="1"/>
  <c r="P313" i="76"/>
  <c r="Q313" i="76" s="1" a="1"/>
  <c r="Q313" i="76" s="1"/>
  <c r="P99" i="76"/>
  <c r="P205" i="76"/>
  <c r="P108" i="76"/>
  <c r="P348" i="76"/>
  <c r="Q348" i="76" s="1" a="1"/>
  <c r="Q348" i="76" s="1"/>
  <c r="P381" i="76"/>
  <c r="Q381" i="76" s="1" a="1"/>
  <c r="Q381" i="76" s="1"/>
  <c r="P70" i="76"/>
  <c r="P22" i="76"/>
  <c r="P207" i="76"/>
  <c r="P82" i="76"/>
  <c r="P251" i="76"/>
  <c r="Q251" i="76" s="1" a="1"/>
  <c r="Q251" i="76" s="1"/>
  <c r="P162" i="76"/>
  <c r="P263" i="76"/>
  <c r="Q263" i="76" s="1" a="1"/>
  <c r="Q263" i="76" s="1"/>
  <c r="P163" i="76"/>
  <c r="P281" i="76"/>
  <c r="Q281" i="76" s="1" a="1"/>
  <c r="Q281" i="76" s="1"/>
  <c r="P110" i="76"/>
  <c r="P288" i="76"/>
  <c r="Q288" i="76" s="1" a="1"/>
  <c r="Q288" i="76" s="1"/>
  <c r="P344" i="76"/>
  <c r="Q344" i="76" s="1" a="1"/>
  <c r="Q344" i="76" s="1"/>
  <c r="P336" i="76"/>
  <c r="Q336" i="76" s="1" a="1"/>
  <c r="Q336" i="76" s="1"/>
  <c r="P102" i="76"/>
  <c r="P111" i="76"/>
  <c r="P164" i="76"/>
  <c r="P167" i="76"/>
  <c r="P230" i="76"/>
  <c r="P174" i="76"/>
  <c r="P334" i="76"/>
  <c r="Q334" i="76" s="1" a="1"/>
  <c r="Q334" i="76" s="1"/>
  <c r="P42" i="76"/>
  <c r="P239" i="76"/>
  <c r="P138" i="76"/>
  <c r="P283" i="76"/>
  <c r="Q283" i="76" s="1" a="1"/>
  <c r="Q283" i="76" s="1"/>
  <c r="P226" i="76"/>
  <c r="P295" i="76"/>
  <c r="Q295" i="76" s="1" a="1"/>
  <c r="Q295" i="76" s="1"/>
  <c r="P105" i="76"/>
  <c r="P18" i="76"/>
  <c r="P155" i="76"/>
  <c r="P411" i="76"/>
  <c r="Q411" i="76" s="1" a="1"/>
  <c r="Q411" i="76" s="1"/>
  <c r="P406" i="76"/>
  <c r="Q406" i="76" s="1" a="1"/>
  <c r="Q406" i="76" s="1"/>
  <c r="P367" i="76"/>
  <c r="Q367" i="76" s="1" a="1"/>
  <c r="Q367" i="76" s="1"/>
  <c r="P321" i="76"/>
  <c r="Q321" i="76" s="1" a="1"/>
  <c r="Q321" i="76" s="1"/>
  <c r="P416" i="76"/>
  <c r="Q416" i="76" s="1" a="1"/>
  <c r="Q416" i="76" s="1"/>
  <c r="P137" i="76"/>
  <c r="P333" i="76"/>
  <c r="Q333" i="76" s="1" a="1"/>
  <c r="Q333" i="76" s="1"/>
  <c r="P65" i="76"/>
  <c r="P290" i="76"/>
  <c r="Q290" i="76" s="1" a="1"/>
  <c r="Q290" i="76" s="1"/>
  <c r="N30" i="74"/>
  <c r="M30" i="74" s="1"/>
  <c r="N10" i="74"/>
  <c r="M10" i="74" s="1"/>
  <c r="N17" i="74"/>
  <c r="M17" i="74" s="1"/>
  <c r="N27" i="74"/>
  <c r="M27" i="74" s="1"/>
  <c r="N18" i="74"/>
  <c r="M18" i="74" s="1"/>
  <c r="N29" i="74"/>
  <c r="M29" i="74" s="1"/>
  <c r="N16" i="74"/>
  <c r="M16" i="74" s="1"/>
  <c r="N15" i="74"/>
  <c r="M15" i="74" s="1"/>
  <c r="N9" i="74"/>
  <c r="M9" i="74" s="1"/>
  <c r="N20" i="74"/>
  <c r="M20" i="74" s="1"/>
  <c r="N19" i="74"/>
  <c r="M19" i="74" s="1"/>
  <c r="N23" i="74"/>
  <c r="M23" i="74" s="1"/>
  <c r="N26" i="74"/>
  <c r="M26" i="74" s="1"/>
  <c r="N32" i="74"/>
  <c r="M32" i="74" s="1"/>
  <c r="N22" i="74"/>
  <c r="M22" i="74" s="1"/>
  <c r="N33" i="74"/>
  <c r="M33" i="74" s="1"/>
  <c r="N28" i="74"/>
  <c r="M28" i="74" s="1"/>
  <c r="N37" i="74"/>
  <c r="M37" i="74" s="1"/>
  <c r="E221" i="77"/>
  <c r="F221" i="77" s="1" a="1"/>
  <c r="F221" i="77" s="1"/>
  <c r="E301" i="77"/>
  <c r="F301" i="77" s="1" a="1"/>
  <c r="F301" i="77" s="1"/>
  <c r="FD41" i="34"/>
  <c r="FD39" i="34"/>
  <c r="FD38" i="34"/>
  <c r="FD40" i="34"/>
  <c r="FD29" i="34"/>
  <c r="FD27" i="34"/>
  <c r="FD26" i="34"/>
  <c r="FD28" i="34"/>
  <c r="FD9" i="34"/>
  <c r="FD7" i="34"/>
  <c r="FD6" i="34"/>
  <c r="FD8" i="34"/>
  <c r="FD13" i="34"/>
  <c r="FD11" i="34"/>
  <c r="FD10" i="34"/>
  <c r="FD12" i="34"/>
  <c r="FD45" i="34"/>
  <c r="FD43" i="34"/>
  <c r="FD42" i="34"/>
  <c r="FD44" i="34"/>
  <c r="FD25" i="34"/>
  <c r="FD23" i="34"/>
  <c r="FD22" i="34"/>
  <c r="FD24" i="34"/>
  <c r="FG50" i="34"/>
  <c r="FE50" i="34"/>
  <c r="FH50" i="34"/>
  <c r="FD54" i="34"/>
  <c r="FF50" i="34"/>
  <c r="FG53" i="34"/>
  <c r="FE53" i="34"/>
  <c r="FD57" i="34"/>
  <c r="FH53" i="34"/>
  <c r="FF53" i="34"/>
  <c r="FD17" i="34"/>
  <c r="FD15" i="34"/>
  <c r="FD14" i="34"/>
  <c r="FD16" i="34"/>
  <c r="FD33" i="34"/>
  <c r="FD31" i="34"/>
  <c r="FD30" i="34"/>
  <c r="FD32" i="34"/>
  <c r="FD37" i="34"/>
  <c r="FD35" i="34"/>
  <c r="FD34" i="34"/>
  <c r="FD36" i="34"/>
  <c r="B29" i="18"/>
  <c r="B68" i="18" s="1"/>
  <c r="EJ29" i="18"/>
  <c r="FD49" i="34"/>
  <c r="FD47" i="34"/>
  <c r="FD46" i="34"/>
  <c r="FD48" i="34"/>
  <c r="FD21" i="34"/>
  <c r="FD19" i="34"/>
  <c r="FD18" i="34"/>
  <c r="FD20" i="34"/>
  <c r="FG52" i="34"/>
  <c r="FE52" i="34"/>
  <c r="FH52" i="34"/>
  <c r="FF52" i="34"/>
  <c r="FD56" i="34"/>
  <c r="FG51" i="34"/>
  <c r="FE51" i="34"/>
  <c r="FD55" i="34"/>
  <c r="FH51" i="34"/>
  <c r="FF51" i="34"/>
  <c r="E395" i="77"/>
  <c r="F395" i="77" s="1" a="1"/>
  <c r="F395" i="77" s="1"/>
  <c r="E94" i="77"/>
  <c r="E102" i="77"/>
  <c r="F102" i="77" s="1" a="1"/>
  <c r="F102" i="77" s="1"/>
  <c r="E198" i="77"/>
  <c r="F198" i="77" s="1" a="1"/>
  <c r="F198" i="77" s="1"/>
  <c r="E267" i="77"/>
  <c r="F267" i="77" s="1" a="1"/>
  <c r="F267" i="77" s="1"/>
  <c r="E314" i="77"/>
  <c r="F314" i="77" s="1" a="1"/>
  <c r="F314" i="77" s="1"/>
  <c r="E362" i="77"/>
  <c r="F362" i="77" s="1" a="1"/>
  <c r="F362" i="77" s="1"/>
  <c r="E398" i="77"/>
  <c r="F398" i="77" s="1" a="1"/>
  <c r="F398" i="77" s="1"/>
  <c r="E244" i="77"/>
  <c r="F244" i="77" s="1" a="1"/>
  <c r="F244" i="77" s="1"/>
  <c r="E59" i="77"/>
  <c r="E374" i="77"/>
  <c r="F374" i="77" s="1" a="1"/>
  <c r="F374" i="77" s="1"/>
  <c r="E384" i="77"/>
  <c r="F384" i="77" s="1" a="1"/>
  <c r="F384" i="77" s="1"/>
  <c r="E410" i="77"/>
  <c r="F410" i="77" s="1" a="1"/>
  <c r="F410" i="77" s="1"/>
  <c r="E159" i="77"/>
  <c r="F159" i="77" s="1" a="1"/>
  <c r="F159" i="77" s="1"/>
  <c r="E246" i="77"/>
  <c r="F246" i="77" s="1" a="1"/>
  <c r="F246" i="77" s="1"/>
  <c r="E197" i="77"/>
  <c r="F197" i="77" s="1" a="1"/>
  <c r="F197" i="77" s="1"/>
  <c r="E105" i="77"/>
  <c r="F105" i="77" s="1" a="1"/>
  <c r="F105" i="77" s="1"/>
  <c r="E318" i="77"/>
  <c r="F318" i="77" s="1" a="1"/>
  <c r="F318" i="77" s="1"/>
  <c r="E376" i="77"/>
  <c r="F376" i="77" s="1" a="1"/>
  <c r="F376" i="77" s="1"/>
  <c r="E381" i="77"/>
  <c r="F381" i="77" s="1" a="1"/>
  <c r="F381" i="77" s="1"/>
  <c r="E334" i="77"/>
  <c r="F334" i="77" s="1" a="1"/>
  <c r="F334" i="77" s="1"/>
  <c r="E326" i="77"/>
  <c r="F326" i="77" s="1" a="1"/>
  <c r="F326" i="77" s="1"/>
  <c r="E200" i="77"/>
  <c r="F200" i="77" s="1" a="1"/>
  <c r="F200" i="77" s="1"/>
  <c r="E230" i="77"/>
  <c r="F230" i="77" s="1" a="1"/>
  <c r="F230" i="77" s="1"/>
  <c r="E156" i="77"/>
  <c r="F156" i="77" s="1" a="1"/>
  <c r="F156" i="77" s="1"/>
  <c r="E66" i="77"/>
  <c r="E180" i="77"/>
  <c r="F180" i="77" s="1" a="1"/>
  <c r="F180" i="77" s="1"/>
  <c r="E182" i="77"/>
  <c r="F182" i="77" s="1" a="1"/>
  <c r="F182" i="77" s="1"/>
  <c r="E344" i="77"/>
  <c r="F344" i="77" s="1" a="1"/>
  <c r="F344" i="77" s="1"/>
  <c r="E146" i="77"/>
  <c r="F146" i="77" s="1" a="1"/>
  <c r="F146" i="77" s="1"/>
  <c r="E228" i="77"/>
  <c r="F228" i="77" s="1" a="1"/>
  <c r="F228" i="77" s="1"/>
  <c r="E6" i="77"/>
  <c r="E52" i="77"/>
  <c r="E96" i="77"/>
  <c r="E174" i="77"/>
  <c r="F174" i="77" s="1" a="1"/>
  <c r="F174" i="77" s="1"/>
  <c r="E77" i="77"/>
  <c r="E80" i="77"/>
  <c r="E11" i="77"/>
  <c r="E29" i="77"/>
  <c r="E355" i="77"/>
  <c r="F355" i="77" s="1" a="1"/>
  <c r="F355" i="77" s="1"/>
  <c r="E109" i="77"/>
  <c r="F109" i="77" s="1" a="1"/>
  <c r="F109" i="77" s="1"/>
  <c r="E359" i="77"/>
  <c r="F359" i="77" s="1" a="1"/>
  <c r="F359" i="77" s="1"/>
  <c r="E317" i="77"/>
  <c r="F317" i="77" s="1" a="1"/>
  <c r="F317" i="77" s="1"/>
  <c r="E8" i="77"/>
  <c r="E351" i="77"/>
  <c r="F351" i="77" s="1" a="1"/>
  <c r="F351" i="77" s="1"/>
  <c r="E276" i="77"/>
  <c r="F276" i="77" s="1" a="1"/>
  <c r="F276" i="77" s="1"/>
  <c r="E245" i="77"/>
  <c r="F245" i="77" s="1" a="1"/>
  <c r="F245" i="77" s="1"/>
  <c r="E315" i="77"/>
  <c r="F315" i="77" s="1" a="1"/>
  <c r="F315" i="77" s="1"/>
  <c r="E81" i="77"/>
  <c r="E294" i="77"/>
  <c r="F294" i="77" s="1" a="1"/>
  <c r="F294" i="77" s="1"/>
  <c r="E92" i="77"/>
  <c r="E157" i="77"/>
  <c r="F157" i="77" s="1" a="1"/>
  <c r="F157" i="77" s="1"/>
  <c r="E373" i="77"/>
  <c r="F373" i="77" s="1" a="1"/>
  <c r="F373" i="77" s="1"/>
  <c r="E256" i="77"/>
  <c r="F256" i="77" s="1" a="1"/>
  <c r="F256" i="77" s="1"/>
  <c r="E422" i="77"/>
  <c r="F422" i="77" s="1" a="1"/>
  <c r="F422" i="77" s="1"/>
  <c r="E124" i="77"/>
  <c r="F124" i="77" s="1" a="1"/>
  <c r="F124" i="77" s="1"/>
  <c r="E190" i="77"/>
  <c r="F190" i="77" s="1" a="1"/>
  <c r="F190" i="77" s="1"/>
  <c r="E78" i="77"/>
  <c r="E269" i="77"/>
  <c r="F269" i="77" s="1" a="1"/>
  <c r="F269" i="77" s="1"/>
  <c r="E47" i="77"/>
  <c r="E236" i="77"/>
  <c r="F236" i="77" s="1" a="1"/>
  <c r="F236" i="77" s="1"/>
  <c r="E48" i="77"/>
  <c r="E292" i="77"/>
  <c r="F292" i="77" s="1" a="1"/>
  <c r="F292" i="77" s="1"/>
  <c r="E272" i="77"/>
  <c r="F272" i="77" s="1" a="1"/>
  <c r="F272" i="77" s="1"/>
  <c r="E284" i="77"/>
  <c r="F284" i="77" s="1" a="1"/>
  <c r="F284" i="77" s="1"/>
  <c r="E385" i="77"/>
  <c r="F385" i="77" s="1" a="1"/>
  <c r="F385" i="77" s="1"/>
  <c r="E217" i="77"/>
  <c r="F217" i="77" s="1" a="1"/>
  <c r="F217" i="77" s="1"/>
  <c r="E10" i="77"/>
  <c r="E123" i="77"/>
  <c r="F123" i="77" s="1" a="1"/>
  <c r="F123" i="77" s="1"/>
  <c r="E251" i="77"/>
  <c r="F251" i="77" s="1" a="1"/>
  <c r="F251" i="77" s="1"/>
  <c r="E74" i="77"/>
  <c r="E112" i="77"/>
  <c r="F112" i="77" s="1" a="1"/>
  <c r="F112" i="77" s="1"/>
  <c r="E53" i="77"/>
  <c r="E181" i="77"/>
  <c r="F181" i="77" s="1" a="1"/>
  <c r="F181" i="77" s="1"/>
  <c r="E309" i="77"/>
  <c r="F309" i="77" s="1" a="1"/>
  <c r="F309" i="77" s="1"/>
  <c r="E152" i="77"/>
  <c r="F152" i="77" s="1" a="1"/>
  <c r="F152" i="77" s="1"/>
  <c r="E412" i="77"/>
  <c r="F412" i="77" s="1" a="1"/>
  <c r="F412" i="77" s="1"/>
  <c r="E310" i="77"/>
  <c r="F310" i="77" s="1" a="1"/>
  <c r="F310" i="77" s="1"/>
  <c r="E306" i="77"/>
  <c r="F306" i="77" s="1" a="1"/>
  <c r="F306" i="77" s="1"/>
  <c r="E278" i="77"/>
  <c r="F278" i="77" s="1" a="1"/>
  <c r="F278" i="77" s="1"/>
  <c r="E274" i="77"/>
  <c r="F274" i="77" s="1" a="1"/>
  <c r="F274" i="77" s="1"/>
  <c r="E352" i="77"/>
  <c r="F352" i="77" s="1" a="1"/>
  <c r="F352" i="77" s="1"/>
  <c r="E354" i="77"/>
  <c r="F354" i="77" s="1" a="1"/>
  <c r="F354" i="77" s="1"/>
  <c r="E361" i="77"/>
  <c r="F361" i="77" s="1" a="1"/>
  <c r="F361" i="77" s="1"/>
  <c r="E380" i="77"/>
  <c r="F380" i="77" s="1" a="1"/>
  <c r="F380" i="77" s="1"/>
  <c r="E134" i="77"/>
  <c r="F134" i="77" s="1" a="1"/>
  <c r="F134" i="77" s="1"/>
  <c r="E332" i="77"/>
  <c r="F332" i="77" s="1" a="1"/>
  <c r="F332" i="77" s="1"/>
  <c r="E84" i="77"/>
  <c r="E330" i="77"/>
  <c r="F330" i="77" s="1" a="1"/>
  <c r="F330" i="77" s="1"/>
  <c r="E223" i="77"/>
  <c r="F223" i="77" s="1" a="1"/>
  <c r="F223" i="77" s="1"/>
  <c r="E61" i="77"/>
  <c r="E397" i="77"/>
  <c r="F397" i="77" s="1" a="1"/>
  <c r="F397" i="77" s="1"/>
  <c r="E262" i="77"/>
  <c r="F262" i="77" s="1" a="1"/>
  <c r="F262" i="77" s="1"/>
  <c r="E411" i="77"/>
  <c r="F411" i="77" s="1" a="1"/>
  <c r="F411" i="77" s="1"/>
  <c r="E260" i="77"/>
  <c r="F260" i="77" s="1" a="1"/>
  <c r="F260" i="77" s="1"/>
  <c r="E7" i="77"/>
  <c r="E210" i="77"/>
  <c r="F210" i="77" s="1" a="1"/>
  <c r="F210" i="77" s="1"/>
  <c r="E15" i="77"/>
  <c r="E120" i="77"/>
  <c r="F120" i="77" s="1" a="1"/>
  <c r="F120" i="77" s="1"/>
  <c r="E400" i="77"/>
  <c r="F400" i="77" s="1" a="1"/>
  <c r="F400" i="77" s="1"/>
  <c r="E206" i="77"/>
  <c r="F206" i="77" s="1" a="1"/>
  <c r="F206" i="77" s="1"/>
  <c r="E407" i="77"/>
  <c r="F407" i="77" s="1" a="1"/>
  <c r="F407" i="77" s="1"/>
  <c r="E252" i="77"/>
  <c r="F252" i="77" s="1" a="1"/>
  <c r="F252" i="77" s="1"/>
  <c r="E390" i="77"/>
  <c r="F390" i="77" s="1" a="1"/>
  <c r="F390" i="77" s="1"/>
  <c r="E130" i="77"/>
  <c r="F130" i="77" s="1" a="1"/>
  <c r="F130" i="77" s="1"/>
  <c r="E285" i="77"/>
  <c r="F285" i="77" s="1" a="1"/>
  <c r="F285" i="77" s="1"/>
  <c r="E40" i="77"/>
  <c r="E41" i="77"/>
  <c r="E169" i="77"/>
  <c r="F169" i="77" s="1" a="1"/>
  <c r="F169" i="77" s="1"/>
  <c r="E297" i="77"/>
  <c r="F297" i="77" s="1" a="1"/>
  <c r="F297" i="77" s="1"/>
  <c r="E75" i="77"/>
  <c r="E203" i="77"/>
  <c r="F203" i="77" s="1" a="1"/>
  <c r="F203" i="77" s="1"/>
  <c r="E331" i="77"/>
  <c r="F331" i="77" s="1" a="1"/>
  <c r="F331" i="77" s="1"/>
  <c r="E218" i="77"/>
  <c r="F218" i="77" s="1" a="1"/>
  <c r="F218" i="77" s="1"/>
  <c r="E72" i="77"/>
  <c r="E133" i="77"/>
  <c r="F133" i="77" s="1" a="1"/>
  <c r="F133" i="77" s="1"/>
  <c r="E261" i="77"/>
  <c r="F261" i="77" s="1" a="1"/>
  <c r="F261" i="77" s="1"/>
  <c r="E178" i="77"/>
  <c r="F178" i="77" s="1" a="1"/>
  <c r="F178" i="77" s="1"/>
  <c r="E333" i="77"/>
  <c r="F333" i="77" s="1" a="1"/>
  <c r="F333" i="77" s="1"/>
  <c r="E248" i="77"/>
  <c r="F248" i="77" s="1" a="1"/>
  <c r="F248" i="77" s="1"/>
  <c r="E172" i="77"/>
  <c r="F172" i="77" s="1" a="1"/>
  <c r="F172" i="77" s="1"/>
  <c r="E409" i="77"/>
  <c r="F409" i="77" s="1" a="1"/>
  <c r="F409" i="77" s="1"/>
  <c r="E148" i="77"/>
  <c r="F148" i="77" s="1" a="1"/>
  <c r="F148" i="77" s="1"/>
  <c r="E24" i="77"/>
  <c r="E220" i="77"/>
  <c r="F220" i="77" s="1" a="1"/>
  <c r="F220" i="77" s="1"/>
  <c r="E56" i="77"/>
  <c r="E5" i="77"/>
  <c r="E270" i="77"/>
  <c r="F270" i="77" s="1" a="1"/>
  <c r="F270" i="77" s="1"/>
  <c r="E403" i="77"/>
  <c r="F403" i="77" s="1" a="1"/>
  <c r="F403" i="77" s="1"/>
  <c r="E164" i="77"/>
  <c r="F164" i="77" s="1" a="1"/>
  <c r="F164" i="77" s="1"/>
  <c r="E382" i="77"/>
  <c r="F382" i="77" s="1" a="1"/>
  <c r="F382" i="77" s="1"/>
  <c r="E98" i="77"/>
  <c r="E253" i="77"/>
  <c r="F253" i="77" s="1" a="1"/>
  <c r="F253" i="77" s="1"/>
  <c r="E88" i="77"/>
  <c r="E420" i="77"/>
  <c r="F420" i="77" s="1" a="1"/>
  <c r="F420" i="77" s="1"/>
  <c r="E238" i="77"/>
  <c r="F238" i="77" s="1" a="1"/>
  <c r="F238" i="77" s="1"/>
  <c r="E399" i="77"/>
  <c r="F399" i="77" s="1" a="1"/>
  <c r="F399" i="77" s="1"/>
  <c r="E127" i="77"/>
  <c r="F127" i="77" s="1" a="1"/>
  <c r="F127" i="77" s="1"/>
  <c r="E282" i="77"/>
  <c r="F282" i="77" s="1" a="1"/>
  <c r="F282" i="77" s="1"/>
  <c r="E36" i="77"/>
  <c r="E340" i="77"/>
  <c r="F340" i="77" s="1" a="1"/>
  <c r="F340" i="77" s="1"/>
  <c r="E62" i="77"/>
  <c r="E286" i="77"/>
  <c r="F286" i="77" s="1" a="1"/>
  <c r="F286" i="77" s="1"/>
  <c r="E349" i="77"/>
  <c r="F349" i="77" s="1" a="1"/>
  <c r="F349" i="77" s="1"/>
  <c r="E45" i="77"/>
  <c r="E207" i="77"/>
  <c r="F207" i="77" s="1" a="1"/>
  <c r="F207" i="77" s="1"/>
  <c r="E322" i="77"/>
  <c r="F322" i="77" s="1" a="1"/>
  <c r="F322" i="77" s="1"/>
  <c r="E108" i="77"/>
  <c r="F108" i="77" s="1" a="1"/>
  <c r="F108" i="77" s="1"/>
  <c r="E346" i="77"/>
  <c r="F346" i="77" s="1" a="1"/>
  <c r="F346" i="77" s="1"/>
  <c r="E360" i="77"/>
  <c r="F360" i="77" s="1" a="1"/>
  <c r="F360" i="77" s="1"/>
  <c r="E136" i="77"/>
  <c r="F136" i="77" s="1" a="1"/>
  <c r="F136" i="77" s="1"/>
  <c r="E298" i="77"/>
  <c r="F298" i="77" s="1" a="1"/>
  <c r="F298" i="77" s="1"/>
  <c r="E300" i="77"/>
  <c r="F300" i="77" s="1" a="1"/>
  <c r="F300" i="77" s="1"/>
  <c r="E364" i="77"/>
  <c r="F364" i="77" s="1" a="1"/>
  <c r="F364" i="77" s="1"/>
  <c r="E242" i="77"/>
  <c r="F242" i="77" s="1" a="1"/>
  <c r="F242" i="77" s="1"/>
  <c r="E50" i="77"/>
  <c r="E114" i="77"/>
  <c r="F114" i="77" s="1" a="1"/>
  <c r="F114" i="77" s="1"/>
  <c r="E160" i="77"/>
  <c r="F160" i="77" s="1" a="1"/>
  <c r="F160" i="77" s="1"/>
  <c r="E325" i="77"/>
  <c r="F325" i="77" s="1" a="1"/>
  <c r="F325" i="77" s="1"/>
  <c r="E69" i="77"/>
  <c r="E90" i="77"/>
  <c r="E139" i="77"/>
  <c r="F139" i="77" s="1" a="1"/>
  <c r="F139" i="77" s="1"/>
  <c r="E233" i="77"/>
  <c r="F233" i="77" s="1" a="1"/>
  <c r="F233" i="77" s="1"/>
  <c r="E296" i="77"/>
  <c r="F296" i="77" s="1" a="1"/>
  <c r="F296" i="77" s="1"/>
  <c r="E191" i="77"/>
  <c r="F191" i="77" s="1" a="1"/>
  <c r="F191" i="77" s="1"/>
  <c r="E68" i="77"/>
  <c r="E86" i="77"/>
  <c r="E128" i="77"/>
  <c r="F128" i="77" s="1" a="1"/>
  <c r="F128" i="77" s="1"/>
  <c r="E271" i="77"/>
  <c r="F271" i="77" s="1" a="1"/>
  <c r="F271" i="77" s="1"/>
  <c r="E132" i="77"/>
  <c r="F132" i="77" s="1" a="1"/>
  <c r="F132" i="77" s="1"/>
  <c r="E126" i="77"/>
  <c r="F126" i="77" s="1" a="1"/>
  <c r="F126" i="77" s="1"/>
  <c r="E377" i="77"/>
  <c r="F377" i="77" s="1" a="1"/>
  <c r="F377" i="77" s="1"/>
  <c r="E162" i="77"/>
  <c r="F162" i="77" s="1" a="1"/>
  <c r="F162" i="77" s="1"/>
  <c r="E196" i="77"/>
  <c r="F196" i="77" s="1" a="1"/>
  <c r="F196" i="77" s="1"/>
  <c r="E302" i="77"/>
  <c r="F302" i="77" s="1" a="1"/>
  <c r="F302" i="77" s="1"/>
  <c r="E141" i="77"/>
  <c r="F141" i="77" s="1" a="1"/>
  <c r="F141" i="77" s="1"/>
  <c r="E336" i="77"/>
  <c r="F336" i="77" s="1" a="1"/>
  <c r="F336" i="77" s="1"/>
  <c r="E13" i="77"/>
  <c r="E110" i="77"/>
  <c r="F110" i="77" s="1" a="1"/>
  <c r="F110" i="77" s="1"/>
  <c r="E369" i="77"/>
  <c r="F369" i="77" s="1" a="1"/>
  <c r="F369" i="77" s="1"/>
  <c r="E117" i="77"/>
  <c r="F117" i="77" s="1" a="1"/>
  <c r="F117" i="77" s="1"/>
  <c r="E186" i="77"/>
  <c r="F186" i="77" s="1" a="1"/>
  <c r="F186" i="77" s="1"/>
  <c r="E187" i="77"/>
  <c r="F187" i="77" s="1" a="1"/>
  <c r="F187" i="77" s="1"/>
  <c r="E281" i="77"/>
  <c r="F281" i="77" s="1" a="1"/>
  <c r="F281" i="77" s="1"/>
  <c r="E194" i="77"/>
  <c r="F194" i="77" s="1" a="1"/>
  <c r="F194" i="77" s="1"/>
  <c r="E258" i="77"/>
  <c r="F258" i="77" s="1" a="1"/>
  <c r="F258" i="77" s="1"/>
  <c r="E226" i="77"/>
  <c r="F226" i="77" s="1" a="1"/>
  <c r="F226" i="77" s="1"/>
  <c r="E205" i="77"/>
  <c r="F205" i="77" s="1" a="1"/>
  <c r="F205" i="77" s="1"/>
  <c r="E70" i="77"/>
  <c r="E224" i="77"/>
  <c r="F224" i="77" s="1" a="1"/>
  <c r="F224" i="77" s="1"/>
  <c r="E254" i="77"/>
  <c r="F254" i="77" s="1" a="1"/>
  <c r="F254" i="77" s="1"/>
  <c r="E14" i="77"/>
  <c r="E406" i="77"/>
  <c r="F406" i="77" s="1" a="1"/>
  <c r="F406" i="77" s="1"/>
  <c r="E419" i="77"/>
  <c r="F419" i="77" s="1" a="1"/>
  <c r="F419" i="77" s="1"/>
  <c r="E416" i="77"/>
  <c r="F416" i="77" s="1" a="1"/>
  <c r="F416" i="77" s="1"/>
  <c r="E87" i="77"/>
  <c r="E44" i="77"/>
  <c r="E4" i="77"/>
  <c r="E320" i="77"/>
  <c r="F320" i="77" s="1" a="1"/>
  <c r="F320" i="77" s="1"/>
  <c r="E31" i="77"/>
  <c r="E414" i="77"/>
  <c r="F414" i="77" s="1" a="1"/>
  <c r="F414" i="77" s="1"/>
  <c r="E46" i="77"/>
  <c r="E288" i="77"/>
  <c r="F288" i="77" s="1" a="1"/>
  <c r="F288" i="77" s="1"/>
  <c r="E20" i="77"/>
  <c r="E379" i="77"/>
  <c r="F379" i="77" s="1" a="1"/>
  <c r="F379" i="77" s="1"/>
  <c r="E391" i="77"/>
  <c r="F391" i="77" s="1" a="1"/>
  <c r="F391" i="77" s="1"/>
  <c r="E308" i="77"/>
  <c r="F308" i="77" s="1" a="1"/>
  <c r="F308" i="77" s="1"/>
  <c r="E142" i="77"/>
  <c r="F142" i="77" s="1" a="1"/>
  <c r="F142" i="77" s="1"/>
  <c r="E95" i="77"/>
  <c r="E82" i="77"/>
  <c r="E402" i="77"/>
  <c r="F402" i="77" s="1" a="1"/>
  <c r="F402" i="77" s="1"/>
  <c r="E366" i="77"/>
  <c r="F366" i="77" s="1" a="1"/>
  <c r="F366" i="77" s="1"/>
  <c r="E143" i="77"/>
  <c r="F143" i="77" s="1" a="1"/>
  <c r="F143" i="77" s="1"/>
  <c r="E239" i="77"/>
  <c r="F239" i="77" s="1" a="1"/>
  <c r="F239" i="77" s="1"/>
  <c r="E372" i="77"/>
  <c r="F372" i="77" s="1" a="1"/>
  <c r="F372" i="77" s="1"/>
  <c r="E12" i="77"/>
  <c r="E175" i="77"/>
  <c r="F175" i="77" s="1" a="1"/>
  <c r="F175" i="77" s="1"/>
  <c r="E383" i="77"/>
  <c r="F383" i="77" s="1" a="1"/>
  <c r="F383" i="77" s="1"/>
  <c r="E153" i="77"/>
  <c r="F153" i="77" s="1" a="1"/>
  <c r="F153" i="77" s="1"/>
  <c r="E25" i="77"/>
  <c r="E93" i="77"/>
  <c r="E255" i="77"/>
  <c r="F255" i="77" s="1" a="1"/>
  <c r="F255" i="77" s="1"/>
  <c r="E345" i="77"/>
  <c r="F345" i="77" s="1" a="1"/>
  <c r="F345" i="77" s="1"/>
  <c r="E100" i="77"/>
  <c r="F100" i="77" s="1" a="1"/>
  <c r="F100" i="77" s="1"/>
  <c r="E367" i="77"/>
  <c r="F367" i="77" s="1" a="1"/>
  <c r="F367" i="77" s="1"/>
  <c r="E118" i="77"/>
  <c r="F118" i="77" s="1" a="1"/>
  <c r="F118" i="77" s="1"/>
  <c r="E356" i="77"/>
  <c r="F356" i="77" s="1" a="1"/>
  <c r="F356" i="77" s="1"/>
  <c r="E32" i="77"/>
  <c r="E173" i="77"/>
  <c r="F173" i="77" s="1" a="1"/>
  <c r="F173" i="77" s="1"/>
  <c r="E335" i="77"/>
  <c r="F335" i="77" s="1" a="1"/>
  <c r="F335" i="77" s="1"/>
  <c r="E378" i="77"/>
  <c r="F378" i="77" s="1" a="1"/>
  <c r="F378" i="77" s="1"/>
  <c r="E188" i="77"/>
  <c r="F188" i="77" s="1" a="1"/>
  <c r="F188" i="77" s="1"/>
  <c r="E371" i="77"/>
  <c r="F371" i="77" s="1" a="1"/>
  <c r="F371" i="77" s="1"/>
  <c r="E158" i="77"/>
  <c r="F158" i="77" s="1" a="1"/>
  <c r="F158" i="77" s="1"/>
  <c r="E388" i="77"/>
  <c r="F388" i="77" s="1" a="1"/>
  <c r="F388" i="77" s="1"/>
  <c r="E312" i="77"/>
  <c r="F312" i="77" s="1" a="1"/>
  <c r="F312" i="77" s="1"/>
  <c r="E125" i="77"/>
  <c r="F125" i="77" s="1" a="1"/>
  <c r="F125" i="77" s="1"/>
  <c r="E287" i="77"/>
  <c r="F287" i="77" s="1" a="1"/>
  <c r="F287" i="77" s="1"/>
  <c r="E350" i="77"/>
  <c r="F350" i="77" s="1" a="1"/>
  <c r="F350" i="77" s="1"/>
  <c r="E116" i="77"/>
  <c r="F116" i="77" s="1" a="1"/>
  <c r="F116" i="77" s="1"/>
  <c r="E363" i="77"/>
  <c r="F363" i="77" s="1" a="1"/>
  <c r="F363" i="77" s="1"/>
  <c r="E166" i="77"/>
  <c r="F166" i="77" s="1" a="1"/>
  <c r="F166" i="77" s="1"/>
  <c r="E392" i="77"/>
  <c r="F392" i="77" s="1" a="1"/>
  <c r="F392" i="77" s="1"/>
  <c r="E280" i="77"/>
  <c r="F280" i="77" s="1" a="1"/>
  <c r="F280" i="77" s="1"/>
  <c r="E418" i="77"/>
  <c r="F418" i="77" s="1" a="1"/>
  <c r="F418" i="77" s="1"/>
  <c r="E3" i="77"/>
  <c r="F3" i="77" s="1" a="1"/>
  <c r="F3" i="77" s="1"/>
  <c r="E370" i="77"/>
  <c r="F370" i="77" s="1" a="1"/>
  <c r="F370" i="77" s="1"/>
  <c r="E368" i="77"/>
  <c r="F368" i="77" s="1" a="1"/>
  <c r="F368" i="77" s="1"/>
  <c r="E386" i="77"/>
  <c r="F386" i="77" s="1" a="1"/>
  <c r="F386" i="77" s="1"/>
  <c r="E396" i="77"/>
  <c r="F396" i="77" s="1" a="1"/>
  <c r="F396" i="77" s="1"/>
  <c r="E415" i="77"/>
  <c r="F415" i="77" s="1" a="1"/>
  <c r="F415" i="77" s="1"/>
  <c r="E222" i="77"/>
  <c r="F222" i="77" s="1" a="1"/>
  <c r="F222" i="77" s="1"/>
  <c r="E54" i="77"/>
  <c r="E192" i="77"/>
  <c r="F192" i="77" s="1" a="1"/>
  <c r="F192" i="77" s="1"/>
  <c r="E16" i="77"/>
  <c r="E216" i="77"/>
  <c r="F216" i="77" s="1" a="1"/>
  <c r="F216" i="77" s="1"/>
  <c r="E212" i="77"/>
  <c r="F212" i="77" s="1" a="1"/>
  <c r="F212" i="77" s="1"/>
  <c r="E393" i="77"/>
  <c r="F393" i="77" s="1" a="1"/>
  <c r="F393" i="77" s="1"/>
  <c r="E319" i="77"/>
  <c r="F319" i="77" s="1" a="1"/>
  <c r="F319" i="77" s="1"/>
  <c r="E28" i="77"/>
  <c r="E408" i="77"/>
  <c r="F408" i="77" s="1" a="1"/>
  <c r="F408" i="77" s="1"/>
  <c r="E189" i="77"/>
  <c r="F189" i="77" s="1" a="1"/>
  <c r="F189" i="77" s="1"/>
  <c r="E76" i="77"/>
  <c r="E413" i="77"/>
  <c r="F413" i="77" s="1" a="1"/>
  <c r="F413" i="77" s="1"/>
  <c r="E63" i="77"/>
  <c r="E348" i="77"/>
  <c r="F348" i="77" s="1" a="1"/>
  <c r="F348" i="77" s="1"/>
  <c r="E404" i="77"/>
  <c r="F404" i="77" s="1" a="1"/>
  <c r="F404" i="77" s="1"/>
  <c r="E358" i="77"/>
  <c r="F358" i="77" s="1" a="1"/>
  <c r="F358" i="77" s="1"/>
  <c r="E214" i="77"/>
  <c r="F214" i="77" s="1" a="1"/>
  <c r="F214" i="77" s="1"/>
  <c r="E342" i="77"/>
  <c r="F342" i="77" s="1" a="1"/>
  <c r="F342" i="77" s="1"/>
  <c r="E250" i="77"/>
  <c r="F250" i="77" s="1" a="1"/>
  <c r="F250" i="77" s="1"/>
  <c r="E268" i="77"/>
  <c r="F268" i="77" s="1" a="1"/>
  <c r="F268" i="77" s="1"/>
  <c r="E387" i="77"/>
  <c r="F387" i="77" s="1" a="1"/>
  <c r="F387" i="77" s="1"/>
  <c r="E184" i="77"/>
  <c r="F184" i="77" s="1" a="1"/>
  <c r="F184" i="77" s="1"/>
  <c r="E264" i="77"/>
  <c r="F264" i="77" s="1" a="1"/>
  <c r="F264" i="77" s="1"/>
  <c r="E9" i="77"/>
  <c r="E137" i="77"/>
  <c r="F137" i="77" s="1" a="1"/>
  <c r="F137" i="77" s="1"/>
  <c r="E265" i="77"/>
  <c r="F265" i="77" s="1" a="1"/>
  <c r="F265" i="77" s="1"/>
  <c r="E43" i="77"/>
  <c r="E171" i="77"/>
  <c r="F171" i="77" s="1" a="1"/>
  <c r="F171" i="77" s="1"/>
  <c r="E299" i="77"/>
  <c r="F299" i="77" s="1" a="1"/>
  <c r="F299" i="77" s="1"/>
  <c r="E154" i="77"/>
  <c r="F154" i="77" s="1" a="1"/>
  <c r="F154" i="77" s="1"/>
  <c r="E328" i="77"/>
  <c r="F328" i="77" s="1" a="1"/>
  <c r="F328" i="77" s="1"/>
  <c r="E101" i="77"/>
  <c r="F101" i="77" s="1" a="1"/>
  <c r="F101" i="77" s="1"/>
  <c r="E229" i="77"/>
  <c r="F229" i="77" s="1" a="1"/>
  <c r="F229" i="77" s="1"/>
  <c r="E22" i="77"/>
  <c r="E71" i="77"/>
  <c r="E135" i="77"/>
  <c r="F135" i="77" s="1" a="1"/>
  <c r="F135" i="77" s="1"/>
  <c r="E199" i="77"/>
  <c r="F199" i="77" s="1" a="1"/>
  <c r="F199" i="77" s="1"/>
  <c r="E263" i="77"/>
  <c r="F263" i="77" s="1" a="1"/>
  <c r="F263" i="77" s="1"/>
  <c r="E327" i="77"/>
  <c r="F327" i="77" s="1" a="1"/>
  <c r="F327" i="77" s="1"/>
  <c r="E144" i="77"/>
  <c r="F144" i="77" s="1" a="1"/>
  <c r="F144" i="77" s="1"/>
  <c r="E353" i="77"/>
  <c r="F353" i="77" s="1" a="1"/>
  <c r="F353" i="77" s="1"/>
  <c r="E33" i="77"/>
  <c r="E97" i="77"/>
  <c r="E161" i="77"/>
  <c r="F161" i="77" s="1" a="1"/>
  <c r="F161" i="77" s="1"/>
  <c r="E225" i="77"/>
  <c r="F225" i="77" s="1" a="1"/>
  <c r="F225" i="77" s="1"/>
  <c r="E289" i="77"/>
  <c r="F289" i="77" s="1" a="1"/>
  <c r="F289" i="77" s="1"/>
  <c r="E18" i="77"/>
  <c r="E67" i="77"/>
  <c r="E131" i="77"/>
  <c r="F131" i="77" s="1" a="1"/>
  <c r="F131" i="77" s="1"/>
  <c r="E195" i="77"/>
  <c r="F195" i="77" s="1" a="1"/>
  <c r="F195" i="77" s="1"/>
  <c r="E259" i="77"/>
  <c r="F259" i="77" s="1" a="1"/>
  <c r="F259" i="77" s="1"/>
  <c r="E323" i="77"/>
  <c r="F323" i="77" s="1" a="1"/>
  <c r="F323" i="77" s="1"/>
  <c r="E106" i="77"/>
  <c r="F106" i="77" s="1" a="1"/>
  <c r="F106" i="77" s="1"/>
  <c r="E234" i="77"/>
  <c r="F234" i="77" s="1" a="1"/>
  <c r="F234" i="77" s="1"/>
  <c r="E421" i="77"/>
  <c r="F421" i="77" s="1" a="1"/>
  <c r="F421" i="77" s="1"/>
  <c r="E57" i="77"/>
  <c r="E185" i="77"/>
  <c r="F185" i="77" s="1" a="1"/>
  <c r="F185" i="77" s="1"/>
  <c r="E313" i="77"/>
  <c r="F313" i="77" s="1" a="1"/>
  <c r="F313" i="77" s="1"/>
  <c r="E91" i="77"/>
  <c r="E219" i="77"/>
  <c r="F219" i="77" s="1" a="1"/>
  <c r="F219" i="77" s="1"/>
  <c r="E347" i="77"/>
  <c r="F347" i="77" s="1" a="1"/>
  <c r="F347" i="77" s="1"/>
  <c r="E176" i="77"/>
  <c r="F176" i="77" s="1" a="1"/>
  <c r="F176" i="77" s="1"/>
  <c r="E21" i="77"/>
  <c r="E149" i="77"/>
  <c r="F149" i="77" s="1" a="1"/>
  <c r="F149" i="77" s="1"/>
  <c r="E277" i="77"/>
  <c r="F277" i="77" s="1" a="1"/>
  <c r="F277" i="77" s="1"/>
  <c r="E23" i="77"/>
  <c r="E79" i="77"/>
  <c r="E151" i="77"/>
  <c r="F151" i="77" s="1" a="1"/>
  <c r="F151" i="77" s="1"/>
  <c r="E215" i="77"/>
  <c r="F215" i="77" s="1" a="1"/>
  <c r="F215" i="77" s="1"/>
  <c r="E279" i="77"/>
  <c r="F279" i="77" s="1" a="1"/>
  <c r="F279" i="77" s="1"/>
  <c r="E343" i="77"/>
  <c r="F343" i="77" s="1" a="1"/>
  <c r="F343" i="77" s="1"/>
  <c r="E240" i="77"/>
  <c r="F240" i="77" s="1" a="1"/>
  <c r="F240" i="77" s="1"/>
  <c r="E232" i="77"/>
  <c r="F232" i="77" s="1" a="1"/>
  <c r="F232" i="77" s="1"/>
  <c r="E49" i="77"/>
  <c r="E113" i="77"/>
  <c r="F113" i="77" s="1" a="1"/>
  <c r="F113" i="77" s="1"/>
  <c r="E177" i="77"/>
  <c r="F177" i="77" s="1" a="1"/>
  <c r="F177" i="77" s="1"/>
  <c r="E241" i="77"/>
  <c r="F241" i="77" s="1" a="1"/>
  <c r="F241" i="77" s="1"/>
  <c r="E305" i="77"/>
  <c r="F305" i="77" s="1" a="1"/>
  <c r="F305" i="77" s="1"/>
  <c r="E19" i="77"/>
  <c r="E83" i="77"/>
  <c r="E147" i="77"/>
  <c r="F147" i="77" s="1" a="1"/>
  <c r="F147" i="77" s="1"/>
  <c r="E211" i="77"/>
  <c r="F211" i="77" s="1" a="1"/>
  <c r="F211" i="77" s="1"/>
  <c r="E275" i="77"/>
  <c r="F275" i="77" s="1" a="1"/>
  <c r="F275" i="77" s="1"/>
  <c r="E339" i="77"/>
  <c r="F339" i="77" s="1" a="1"/>
  <c r="F339" i="77" s="1"/>
  <c r="E138" i="77"/>
  <c r="F138" i="77" s="1" a="1"/>
  <c r="F138" i="77" s="1"/>
  <c r="E201" i="77"/>
  <c r="F201" i="77" s="1" a="1"/>
  <c r="F201" i="77" s="1"/>
  <c r="E107" i="77"/>
  <c r="F107" i="77" s="1" a="1"/>
  <c r="F107" i="77" s="1"/>
  <c r="E42" i="77"/>
  <c r="E37" i="77"/>
  <c r="E293" i="77"/>
  <c r="F293" i="77" s="1" a="1"/>
  <c r="F293" i="77" s="1"/>
  <c r="E103" i="77"/>
  <c r="F103" i="77" s="1" a="1"/>
  <c r="F103" i="77" s="1"/>
  <c r="E167" i="77"/>
  <c r="F167" i="77" s="1" a="1"/>
  <c r="F167" i="77" s="1"/>
  <c r="E295" i="77"/>
  <c r="F295" i="77" s="1" a="1"/>
  <c r="F295" i="77" s="1"/>
  <c r="E208" i="77"/>
  <c r="F208" i="77" s="1" a="1"/>
  <c r="F208" i="77" s="1"/>
  <c r="E65" i="77"/>
  <c r="E193" i="77"/>
  <c r="F193" i="77" s="1" a="1"/>
  <c r="F193" i="77" s="1"/>
  <c r="E321" i="77"/>
  <c r="F321" i="77" s="1" a="1"/>
  <c r="F321" i="77" s="1"/>
  <c r="E99" i="77"/>
  <c r="F99" i="77" s="1" a="1"/>
  <c r="F99" i="77" s="1"/>
  <c r="E227" i="77"/>
  <c r="F227" i="77" s="1" a="1"/>
  <c r="F227" i="77" s="1"/>
  <c r="E26" i="77"/>
  <c r="E140" i="77"/>
  <c r="F140" i="77" s="1" a="1"/>
  <c r="F140" i="77" s="1"/>
  <c r="E316" i="77"/>
  <c r="F316" i="77" s="1" a="1"/>
  <c r="F316" i="77" s="1"/>
  <c r="E204" i="77"/>
  <c r="F204" i="77" s="1" a="1"/>
  <c r="F204" i="77" s="1"/>
  <c r="E365" i="77"/>
  <c r="F365" i="77" s="1" a="1"/>
  <c r="F365" i="77" s="1"/>
  <c r="E324" i="77"/>
  <c r="F324" i="77" s="1" a="1"/>
  <c r="F324" i="77" s="1"/>
  <c r="E168" i="77"/>
  <c r="F168" i="77" s="1" a="1"/>
  <c r="F168" i="77" s="1"/>
  <c r="E121" i="77"/>
  <c r="F121" i="77" s="1" a="1"/>
  <c r="F121" i="77" s="1"/>
  <c r="E249" i="77"/>
  <c r="F249" i="77" s="1" a="1"/>
  <c r="F249" i="77" s="1"/>
  <c r="E27" i="77"/>
  <c r="E155" i="77"/>
  <c r="F155" i="77" s="1" a="1"/>
  <c r="F155" i="77" s="1"/>
  <c r="E283" i="77"/>
  <c r="F283" i="77" s="1" a="1"/>
  <c r="F283" i="77" s="1"/>
  <c r="E122" i="77"/>
  <c r="F122" i="77" s="1" a="1"/>
  <c r="F122" i="77" s="1"/>
  <c r="E401" i="77"/>
  <c r="F401" i="77" s="1" a="1"/>
  <c r="F401" i="77" s="1"/>
  <c r="E85" i="77"/>
  <c r="E213" i="77"/>
  <c r="F213" i="77" s="1" a="1"/>
  <c r="F213" i="77" s="1"/>
  <c r="E341" i="77"/>
  <c r="F341" i="77" s="1" a="1"/>
  <c r="F341" i="77" s="1"/>
  <c r="E55" i="77"/>
  <c r="E119" i="77"/>
  <c r="F119" i="77" s="1" a="1"/>
  <c r="F119" i="77" s="1"/>
  <c r="E183" i="77"/>
  <c r="F183" i="77" s="1" a="1"/>
  <c r="F183" i="77" s="1"/>
  <c r="E247" i="77"/>
  <c r="F247" i="77" s="1" a="1"/>
  <c r="F247" i="77" s="1"/>
  <c r="E311" i="77"/>
  <c r="F311" i="77" s="1" a="1"/>
  <c r="F311" i="77" s="1"/>
  <c r="E389" i="77"/>
  <c r="F389" i="77" s="1" a="1"/>
  <c r="F389" i="77" s="1"/>
  <c r="E417" i="77"/>
  <c r="F417" i="77" s="1" a="1"/>
  <c r="F417" i="77" s="1"/>
  <c r="E17" i="77"/>
  <c r="E89" i="77"/>
  <c r="E145" i="77"/>
  <c r="F145" i="77" s="1" a="1"/>
  <c r="F145" i="77" s="1"/>
  <c r="E209" i="77"/>
  <c r="F209" i="77" s="1" a="1"/>
  <c r="F209" i="77" s="1"/>
  <c r="E273" i="77"/>
  <c r="F273" i="77" s="1" a="1"/>
  <c r="F273" i="77" s="1"/>
  <c r="E337" i="77"/>
  <c r="F337" i="77" s="1" a="1"/>
  <c r="F337" i="77" s="1"/>
  <c r="E51" i="77"/>
  <c r="E115" i="77"/>
  <c r="F115" i="77" s="1" a="1"/>
  <c r="F115" i="77" s="1"/>
  <c r="E179" i="77"/>
  <c r="F179" i="77" s="1" a="1"/>
  <c r="F179" i="77" s="1"/>
  <c r="E243" i="77"/>
  <c r="F243" i="77" s="1" a="1"/>
  <c r="F243" i="77" s="1"/>
  <c r="E307" i="77"/>
  <c r="F307" i="77" s="1" a="1"/>
  <c r="F307" i="77" s="1"/>
  <c r="E58" i="77"/>
  <c r="E202" i="77"/>
  <c r="F202" i="77" s="1" a="1"/>
  <c r="F202" i="77" s="1"/>
  <c r="E357" i="77"/>
  <c r="F357" i="77" s="1" a="1"/>
  <c r="F357" i="77" s="1"/>
  <c r="E405" i="77"/>
  <c r="F405" i="77" s="1" a="1"/>
  <c r="F405" i="77" s="1"/>
  <c r="E73" i="77"/>
  <c r="E329" i="77"/>
  <c r="F329" i="77" s="1" a="1"/>
  <c r="F329" i="77" s="1"/>
  <c r="E235" i="77"/>
  <c r="F235" i="77" s="1" a="1"/>
  <c r="F235" i="77" s="1"/>
  <c r="E304" i="77"/>
  <c r="F304" i="77" s="1" a="1"/>
  <c r="F304" i="77" s="1"/>
  <c r="E165" i="77"/>
  <c r="F165" i="77" s="1" a="1"/>
  <c r="F165" i="77" s="1"/>
  <c r="E39" i="77"/>
  <c r="E231" i="77"/>
  <c r="F231" i="77" s="1" a="1"/>
  <c r="F231" i="77" s="1"/>
  <c r="E34" i="77"/>
  <c r="E104" i="77"/>
  <c r="F104" i="77" s="1" a="1"/>
  <c r="F104" i="77" s="1"/>
  <c r="E129" i="77"/>
  <c r="F129" i="77" s="1" a="1"/>
  <c r="F129" i="77" s="1"/>
  <c r="E257" i="77"/>
  <c r="F257" i="77" s="1" a="1"/>
  <c r="F257" i="77" s="1"/>
  <c r="E35" i="77"/>
  <c r="E163" i="77"/>
  <c r="F163" i="77" s="1" a="1"/>
  <c r="F163" i="77" s="1"/>
  <c r="E291" i="77"/>
  <c r="F291" i="77" s="1" a="1"/>
  <c r="F291" i="77" s="1"/>
  <c r="E170" i="77"/>
  <c r="F170" i="77" s="1" a="1"/>
  <c r="F170" i="77" s="1"/>
  <c r="E150" i="77"/>
  <c r="F150" i="77" s="1" a="1"/>
  <c r="F150" i="77" s="1"/>
  <c r="E60" i="77"/>
  <c r="E375" i="77"/>
  <c r="F375" i="77" s="1" a="1"/>
  <c r="F375" i="77" s="1"/>
  <c r="E38" i="77"/>
  <c r="E30" i="77"/>
  <c r="E111" i="77"/>
  <c r="F111" i="77" s="1" a="1"/>
  <c r="F111" i="77" s="1"/>
  <c r="E394" i="77"/>
  <c r="F394" i="77" s="1" a="1"/>
  <c r="F394" i="77" s="1"/>
  <c r="E64" i="77"/>
  <c r="E290" i="77"/>
  <c r="F290" i="77" s="1" a="1"/>
  <c r="F290" i="77" s="1"/>
  <c r="E303" i="77"/>
  <c r="F303" i="77" s="1" a="1"/>
  <c r="F303" i="77" s="1"/>
  <c r="E237" i="77"/>
  <c r="F237" i="77" s="1" a="1"/>
  <c r="F237" i="77" s="1"/>
  <c r="E338" i="77"/>
  <c r="F338" i="77" s="1" a="1"/>
  <c r="F338" i="77" s="1"/>
  <c r="AV30" i="72"/>
  <c r="N34" i="74"/>
  <c r="M34" i="74" s="1"/>
  <c r="K37" i="74"/>
  <c r="J37" i="74" s="1"/>
  <c r="AV18" i="72"/>
  <c r="A51" i="60"/>
  <c r="B51" i="60" s="1"/>
  <c r="A86" i="60"/>
  <c r="A80" i="60"/>
  <c r="B80" i="60" s="1"/>
  <c r="A82" i="60"/>
  <c r="B82" i="60" s="1"/>
  <c r="A56" i="60"/>
  <c r="A57" i="60"/>
  <c r="K38" i="74"/>
  <c r="J38" i="74" s="1"/>
  <c r="T35" i="74"/>
  <c r="S35" i="74" s="1"/>
  <c r="K35" i="74"/>
  <c r="J35" i="74" s="1"/>
  <c r="D176" i="80"/>
  <c r="AV39" i="72"/>
  <c r="AB10" i="34"/>
  <c r="P84" i="80"/>
  <c r="D84" i="80" s="1"/>
  <c r="C84" i="80"/>
  <c r="B86" i="80"/>
  <c r="D86" i="80" s="1"/>
  <c r="K25" i="74"/>
  <c r="J25" i="74" s="1"/>
  <c r="K16" i="74"/>
  <c r="J16" i="74" s="1"/>
  <c r="K26" i="74"/>
  <c r="J26" i="74" s="1"/>
  <c r="K31" i="74"/>
  <c r="J31" i="74" s="1"/>
  <c r="K19" i="74"/>
  <c r="J19" i="74" s="1"/>
  <c r="K32" i="74"/>
  <c r="J32" i="74" s="1"/>
  <c r="K29" i="74"/>
  <c r="J29" i="74" s="1"/>
  <c r="K18" i="74"/>
  <c r="J18" i="74" s="1"/>
  <c r="K30" i="74"/>
  <c r="J30" i="74" s="1"/>
  <c r="K10" i="74"/>
  <c r="J10" i="74" s="1"/>
  <c r="K13" i="74"/>
  <c r="J13" i="74" s="1"/>
  <c r="K21" i="74"/>
  <c r="J21" i="74" s="1"/>
  <c r="K33" i="74"/>
  <c r="J33" i="74" s="1"/>
  <c r="K9" i="74"/>
  <c r="J9" i="74" s="1"/>
  <c r="K12" i="74"/>
  <c r="J12" i="74" s="1"/>
  <c r="K20" i="74"/>
  <c r="J20" i="74" s="1"/>
  <c r="K34" i="74"/>
  <c r="J34" i="74" s="1"/>
  <c r="K23" i="74"/>
  <c r="J23" i="74" s="1"/>
  <c r="K15" i="74"/>
  <c r="J15" i="74" s="1"/>
  <c r="K24" i="74"/>
  <c r="J24" i="74" s="1"/>
  <c r="K11" i="74"/>
  <c r="J11" i="74" s="1"/>
  <c r="K14" i="74"/>
  <c r="J14" i="74" s="1"/>
  <c r="K22" i="74"/>
  <c r="J22" i="74" s="1"/>
  <c r="K27" i="74"/>
  <c r="J27" i="74" s="1"/>
  <c r="K17" i="74"/>
  <c r="J17" i="74" s="1"/>
  <c r="K28" i="74"/>
  <c r="J28" i="74" s="1"/>
  <c r="E46" i="26"/>
  <c r="C64" i="26"/>
  <c r="AV24" i="72"/>
  <c r="A49" i="60"/>
  <c r="B49" i="60" s="1"/>
  <c r="A83" i="60"/>
  <c r="B83" i="60" s="1"/>
  <c r="A87" i="60"/>
  <c r="A84" i="60"/>
  <c r="A55" i="60"/>
  <c r="A77" i="60"/>
  <c r="B77" i="60" s="1"/>
  <c r="AV15" i="72"/>
  <c r="AL37" i="72"/>
  <c r="A81" i="60"/>
  <c r="B81" i="60" s="1"/>
  <c r="A53" i="60"/>
  <c r="B53" i="60" s="1"/>
  <c r="A52" i="60"/>
  <c r="B52" i="60" s="1"/>
  <c r="A58" i="60"/>
  <c r="A88" i="60"/>
  <c r="A79" i="60"/>
  <c r="B79" i="60" s="1"/>
  <c r="A59" i="60"/>
  <c r="A78" i="60"/>
  <c r="B78" i="60" s="1"/>
  <c r="A85" i="60"/>
  <c r="A50" i="60"/>
  <c r="B50" i="60" s="1"/>
  <c r="T37" i="74"/>
  <c r="S37" i="74" s="1"/>
  <c r="T36" i="74"/>
  <c r="S36" i="74" s="1"/>
  <c r="X5" i="7"/>
  <c r="C33" i="51" s="1"/>
  <c r="X5" i="12"/>
  <c r="M33" i="51" s="1"/>
  <c r="X5" i="9"/>
  <c r="H33" i="51" s="1"/>
  <c r="X5" i="11"/>
  <c r="B33" i="51" s="1"/>
  <c r="X5" i="14"/>
  <c r="K33" i="51" s="1"/>
  <c r="X5" i="10"/>
  <c r="G33" i="51" s="1"/>
  <c r="X5" i="15"/>
  <c r="D33" i="51" s="1"/>
  <c r="X5" i="8"/>
  <c r="I33" i="51" s="1"/>
  <c r="X5" i="13"/>
  <c r="L33" i="51" s="1"/>
  <c r="X5" i="6"/>
  <c r="J33" i="51" s="1"/>
  <c r="X5" i="5"/>
  <c r="E33" i="51" s="1"/>
  <c r="AI32" i="74"/>
  <c r="AH32" i="74" s="1"/>
  <c r="AI26" i="74"/>
  <c r="AH26" i="74" s="1"/>
  <c r="AI19" i="74"/>
  <c r="AH19" i="74" s="1"/>
  <c r="AI13" i="74"/>
  <c r="AH13" i="74" s="1"/>
  <c r="AI29" i="74"/>
  <c r="AH29" i="74" s="1"/>
  <c r="AI23" i="74"/>
  <c r="AH23" i="74" s="1"/>
  <c r="AI10" i="74"/>
  <c r="AH10" i="74" s="1"/>
  <c r="AI34" i="74"/>
  <c r="AH34" i="74" s="1"/>
  <c r="AI21" i="74"/>
  <c r="AH21" i="74" s="1"/>
  <c r="AI18" i="74"/>
  <c r="AH18" i="74" s="1"/>
  <c r="AI15" i="74"/>
  <c r="AH15" i="74" s="1"/>
  <c r="AI12" i="74"/>
  <c r="AH12" i="74" s="1"/>
  <c r="AI27" i="74"/>
  <c r="AH27" i="74" s="1"/>
  <c r="AI9" i="74"/>
  <c r="AH9" i="74" s="1"/>
  <c r="AI30" i="74"/>
  <c r="AH30" i="74" s="1"/>
  <c r="AI24" i="74"/>
  <c r="AH24" i="74" s="1"/>
  <c r="AI20" i="74"/>
  <c r="AH20" i="74" s="1"/>
  <c r="AI17" i="74"/>
  <c r="AH17" i="74" s="1"/>
  <c r="AI14" i="74"/>
  <c r="AH14" i="74" s="1"/>
  <c r="AI25" i="74"/>
  <c r="AH25" i="74" s="1"/>
  <c r="AI33" i="74"/>
  <c r="AH33" i="74" s="1"/>
  <c r="AI28" i="74"/>
  <c r="AH28" i="74" s="1"/>
  <c r="AI22" i="74"/>
  <c r="AH22" i="74" s="1"/>
  <c r="AI16" i="74"/>
  <c r="AH16" i="74" s="1"/>
  <c r="AI31" i="74"/>
  <c r="AH31" i="74" s="1"/>
  <c r="AI11" i="74"/>
  <c r="AH11" i="74" s="1"/>
  <c r="AI35" i="74"/>
  <c r="AH35" i="74" s="1"/>
  <c r="AI37" i="74"/>
  <c r="AH37" i="74" s="1"/>
  <c r="AI38" i="74"/>
  <c r="AH38" i="74" s="1"/>
  <c r="AI36" i="74"/>
  <c r="AH36" i="74" s="1"/>
  <c r="Z38" i="74"/>
  <c r="Y38" i="74" s="1"/>
  <c r="Z30" i="74"/>
  <c r="Y30" i="74" s="1"/>
  <c r="Z24" i="74"/>
  <c r="Y24" i="74" s="1"/>
  <c r="Z35" i="74"/>
  <c r="Y35" i="74" s="1"/>
  <c r="Z21" i="74"/>
  <c r="Y21" i="74" s="1"/>
  <c r="Z17" i="74"/>
  <c r="Y17" i="74" s="1"/>
  <c r="Z9" i="74"/>
  <c r="Y9" i="74" s="1"/>
  <c r="Z34" i="74"/>
  <c r="Y34" i="74" s="1"/>
  <c r="Z37" i="74"/>
  <c r="Y37" i="74" s="1"/>
  <c r="Z27" i="74"/>
  <c r="Y27" i="74" s="1"/>
  <c r="Z23" i="74"/>
  <c r="Y23" i="74" s="1"/>
  <c r="Z33" i="74"/>
  <c r="Y33" i="74" s="1"/>
  <c r="Z20" i="74"/>
  <c r="Y20" i="74" s="1"/>
  <c r="Z14" i="74"/>
  <c r="Y14" i="74" s="1"/>
  <c r="Z13" i="74"/>
  <c r="Y13" i="74" s="1"/>
  <c r="Z32" i="74"/>
  <c r="Y32" i="74" s="1"/>
  <c r="Z29" i="74"/>
  <c r="Y29" i="74" s="1"/>
  <c r="Z26" i="74"/>
  <c r="Y26" i="74" s="1"/>
  <c r="Z22" i="74"/>
  <c r="Y22" i="74" s="1"/>
  <c r="Z19" i="74"/>
  <c r="Y19" i="74" s="1"/>
  <c r="Z16" i="74"/>
  <c r="Y16" i="74" s="1"/>
  <c r="Z11" i="74"/>
  <c r="Y11" i="74" s="1"/>
  <c r="Z12" i="74"/>
  <c r="Y12" i="74" s="1"/>
  <c r="Z31" i="74"/>
  <c r="Y31" i="74" s="1"/>
  <c r="Z28" i="74"/>
  <c r="Y28" i="74" s="1"/>
  <c r="Z25" i="74"/>
  <c r="Y25" i="74" s="1"/>
  <c r="Z36" i="74"/>
  <c r="Y36" i="74" s="1"/>
  <c r="Z18" i="74"/>
  <c r="Y18" i="74" s="1"/>
  <c r="Z15" i="74"/>
  <c r="Y15" i="74" s="1"/>
  <c r="Z10" i="74"/>
  <c r="Y10" i="74" s="1"/>
  <c r="H14" i="74"/>
  <c r="G14" i="74" s="1"/>
  <c r="H18" i="74"/>
  <c r="G18" i="74" s="1"/>
  <c r="H30" i="74"/>
  <c r="G30" i="74" s="1"/>
  <c r="H31" i="74"/>
  <c r="G31" i="74" s="1"/>
  <c r="E35" i="74"/>
  <c r="D35" i="74" s="1"/>
  <c r="E36" i="74"/>
  <c r="D36" i="74" s="1"/>
  <c r="E37" i="74"/>
  <c r="D37" i="74" s="1"/>
  <c r="H32" i="74"/>
  <c r="G32" i="74" s="1"/>
  <c r="H13" i="74"/>
  <c r="G13" i="74" s="1"/>
  <c r="H29" i="74"/>
  <c r="G29" i="74" s="1"/>
  <c r="H34" i="74"/>
  <c r="G34" i="74" s="1"/>
  <c r="H22" i="74"/>
  <c r="G22" i="74" s="1"/>
  <c r="H15" i="74"/>
  <c r="G15" i="74" s="1"/>
  <c r="H16" i="74"/>
  <c r="G16" i="74" s="1"/>
  <c r="H10" i="74"/>
  <c r="G10" i="74" s="1"/>
  <c r="H24" i="74"/>
  <c r="G24" i="74" s="1"/>
  <c r="H19" i="74"/>
  <c r="G19" i="74" s="1"/>
  <c r="H21" i="74"/>
  <c r="G21" i="74" s="1"/>
  <c r="H37" i="74"/>
  <c r="E38" i="74"/>
  <c r="D38" i="74" s="1"/>
  <c r="H38" i="74"/>
  <c r="H23" i="74"/>
  <c r="G23" i="74" s="1"/>
  <c r="H28" i="74"/>
  <c r="G28" i="74" s="1"/>
  <c r="H17" i="74"/>
  <c r="G17" i="74" s="1"/>
  <c r="H35" i="74"/>
  <c r="G35" i="74" s="1"/>
  <c r="H36" i="74"/>
  <c r="G36" i="74" s="1"/>
  <c r="H25" i="74"/>
  <c r="G25" i="74" s="1"/>
  <c r="H26" i="74"/>
  <c r="G26" i="74" s="1"/>
  <c r="H11" i="74"/>
  <c r="G11" i="74" s="1"/>
  <c r="H20" i="74"/>
  <c r="G20" i="74" s="1"/>
  <c r="H9" i="74"/>
  <c r="G9" i="74" s="1"/>
  <c r="H12" i="74"/>
  <c r="G12" i="74" s="1"/>
  <c r="H27" i="74"/>
  <c r="G27" i="74" s="1"/>
  <c r="H33" i="74"/>
  <c r="G33" i="74" s="1"/>
  <c r="W33" i="74"/>
  <c r="V33" i="74" s="1"/>
  <c r="W25" i="74"/>
  <c r="V25" i="74" s="1"/>
  <c r="W19" i="74"/>
  <c r="V19" i="74" s="1"/>
  <c r="W13" i="74"/>
  <c r="V13" i="74" s="1"/>
  <c r="W24" i="74"/>
  <c r="V24" i="74" s="1"/>
  <c r="W10" i="74"/>
  <c r="V10" i="74" s="1"/>
  <c r="W17" i="74"/>
  <c r="V17" i="74" s="1"/>
  <c r="W35" i="74"/>
  <c r="V35" i="74" s="1"/>
  <c r="W38" i="74"/>
  <c r="V38" i="74" s="1"/>
  <c r="W21" i="74"/>
  <c r="V21" i="74" s="1"/>
  <c r="W15" i="74"/>
  <c r="V15" i="74" s="1"/>
  <c r="W32" i="74"/>
  <c r="V32" i="74" s="1"/>
  <c r="W11" i="74"/>
  <c r="V11" i="74" s="1"/>
  <c r="W29" i="74"/>
  <c r="V29" i="74" s="1"/>
  <c r="W28" i="74"/>
  <c r="V28" i="74" s="1"/>
  <c r="W31" i="74"/>
  <c r="V31" i="74" s="1"/>
  <c r="W18" i="74"/>
  <c r="V18" i="74" s="1"/>
  <c r="W30" i="74"/>
  <c r="V30" i="74" s="1"/>
  <c r="W36" i="74"/>
  <c r="V36" i="74" s="1"/>
  <c r="W27" i="74"/>
  <c r="V27" i="74" s="1"/>
  <c r="W16" i="74"/>
  <c r="V16" i="74" s="1"/>
  <c r="W26" i="74"/>
  <c r="V26" i="74" s="1"/>
  <c r="W37" i="74"/>
  <c r="V37" i="74" s="1"/>
  <c r="W20" i="74"/>
  <c r="V20" i="74" s="1"/>
  <c r="W12" i="74"/>
  <c r="V12" i="74" s="1"/>
  <c r="W22" i="74"/>
  <c r="V22" i="74" s="1"/>
  <c r="W34" i="74"/>
  <c r="V34" i="74" s="1"/>
  <c r="W23" i="74"/>
  <c r="V23" i="74" s="1"/>
  <c r="W14" i="74"/>
  <c r="V14" i="74" s="1"/>
  <c r="W9" i="74"/>
  <c r="V9" i="74" s="1"/>
  <c r="A8" i="83"/>
  <c r="A30" i="83"/>
  <c r="AL23" i="74"/>
  <c r="AK23" i="74" s="1"/>
  <c r="AL10" i="74"/>
  <c r="AK10" i="74" s="1"/>
  <c r="AL25" i="74"/>
  <c r="AK25" i="74" s="1"/>
  <c r="AL13" i="74"/>
  <c r="AK13" i="74" s="1"/>
  <c r="AL27" i="74"/>
  <c r="AK27" i="74" s="1"/>
  <c r="AL15" i="74"/>
  <c r="AK15" i="74" s="1"/>
  <c r="AL26" i="74"/>
  <c r="AK26" i="74" s="1"/>
  <c r="AL14" i="74"/>
  <c r="AK14" i="74" s="1"/>
  <c r="AL34" i="74"/>
  <c r="AK34" i="74" s="1"/>
  <c r="AL12" i="74"/>
  <c r="AK12" i="74" s="1"/>
  <c r="AL22" i="74"/>
  <c r="AK22" i="74" s="1"/>
  <c r="AL9" i="74"/>
  <c r="AK9" i="74" s="1"/>
  <c r="AL24" i="74"/>
  <c r="AK24" i="74" s="1"/>
  <c r="AL11" i="74"/>
  <c r="AK11" i="74" s="1"/>
  <c r="AL36" i="74"/>
  <c r="AK36" i="74" s="1"/>
  <c r="AL35" i="74"/>
  <c r="AK35" i="74" s="1"/>
  <c r="AL28" i="74"/>
  <c r="AK28" i="74" s="1"/>
  <c r="AL16" i="74"/>
  <c r="AK16" i="74" s="1"/>
  <c r="AL30" i="74"/>
  <c r="AK30" i="74" s="1"/>
  <c r="AL18" i="74"/>
  <c r="AK18" i="74" s="1"/>
  <c r="AL20" i="74"/>
  <c r="AK20" i="74" s="1"/>
  <c r="AL29" i="74"/>
  <c r="AK29" i="74" s="1"/>
  <c r="AL17" i="74"/>
  <c r="AK17" i="74" s="1"/>
  <c r="AL31" i="74"/>
  <c r="AK31" i="74" s="1"/>
  <c r="AL19" i="74"/>
  <c r="AK19" i="74" s="1"/>
  <c r="AL21" i="74"/>
  <c r="AK21" i="74" s="1"/>
  <c r="AL32" i="74"/>
  <c r="AK32" i="74" s="1"/>
  <c r="AL38" i="74"/>
  <c r="AK38" i="74" s="1"/>
  <c r="AL33" i="74"/>
  <c r="AK33" i="74" s="1"/>
  <c r="AL37" i="74"/>
  <c r="AK37" i="74" s="1"/>
  <c r="DC27" i="72"/>
  <c r="DC26" i="72"/>
  <c r="DC38" i="72"/>
  <c r="DC25" i="72"/>
  <c r="DC24" i="72"/>
  <c r="FC22" i="10"/>
  <c r="FC26" i="10"/>
  <c r="FC30" i="10"/>
  <c r="FC34" i="10"/>
  <c r="FC38" i="10"/>
  <c r="FC42" i="10"/>
  <c r="FC46" i="10"/>
  <c r="FC23" i="10"/>
  <c r="FC27" i="10"/>
  <c r="FC31" i="10"/>
  <c r="FC35" i="10"/>
  <c r="FC39" i="10"/>
  <c r="FC43" i="10"/>
  <c r="FC24" i="10"/>
  <c r="FC32" i="10"/>
  <c r="FC40" i="10"/>
  <c r="FC47" i="10"/>
  <c r="FC25" i="10"/>
  <c r="FC33" i="10"/>
  <c r="FC41" i="10"/>
  <c r="FC20" i="10"/>
  <c r="FC36" i="10"/>
  <c r="FC21" i="10"/>
  <c r="FC37" i="10"/>
  <c r="FC45" i="10"/>
  <c r="FC29" i="10"/>
  <c r="FC28" i="10"/>
  <c r="FC44" i="10"/>
  <c r="DC34" i="72"/>
  <c r="DC23" i="72"/>
  <c r="DC30" i="72"/>
  <c r="DC37" i="72"/>
  <c r="DC21" i="72"/>
  <c r="DC36" i="72"/>
  <c r="DC20" i="72"/>
  <c r="FC24" i="7"/>
  <c r="FC28" i="7"/>
  <c r="FC32" i="7"/>
  <c r="FC36" i="7"/>
  <c r="FC40" i="7"/>
  <c r="FC44" i="7"/>
  <c r="FC21" i="7"/>
  <c r="FC25" i="7"/>
  <c r="FC29" i="7"/>
  <c r="FC33" i="7"/>
  <c r="FC37" i="7"/>
  <c r="FC41" i="7"/>
  <c r="FC45" i="7"/>
  <c r="FC26" i="7"/>
  <c r="FC34" i="7"/>
  <c r="FC42" i="7"/>
  <c r="FC27" i="7"/>
  <c r="FC35" i="7"/>
  <c r="FC43" i="7"/>
  <c r="FC30" i="7"/>
  <c r="FC46" i="7"/>
  <c r="FC20" i="7"/>
  <c r="FC22" i="7"/>
  <c r="FC38" i="7"/>
  <c r="FC31" i="7"/>
  <c r="FC47" i="7"/>
  <c r="FC39" i="7"/>
  <c r="FC23" i="7"/>
  <c r="FC22" i="5"/>
  <c r="FC26" i="5"/>
  <c r="FC21" i="5"/>
  <c r="FC27" i="5"/>
  <c r="FC31" i="5"/>
  <c r="FC35" i="5"/>
  <c r="FC39" i="5"/>
  <c r="FC43" i="5"/>
  <c r="FC47" i="5"/>
  <c r="FC23" i="5"/>
  <c r="FC28" i="5"/>
  <c r="FC32" i="5"/>
  <c r="FC36" i="5"/>
  <c r="FC40" i="5"/>
  <c r="FC44" i="5"/>
  <c r="FC29" i="5"/>
  <c r="FC37" i="5"/>
  <c r="FC45" i="5"/>
  <c r="FC30" i="5"/>
  <c r="FC38" i="5"/>
  <c r="FC46" i="5"/>
  <c r="FC20" i="5"/>
  <c r="FC34" i="5"/>
  <c r="FC42" i="5"/>
  <c r="FC24" i="5"/>
  <c r="FC41" i="5"/>
  <c r="FC25" i="5"/>
  <c r="FC33" i="5"/>
  <c r="FC22" i="12"/>
  <c r="FC26" i="12"/>
  <c r="FC30" i="12"/>
  <c r="FC34" i="12"/>
  <c r="FC38" i="12"/>
  <c r="FC42" i="12"/>
  <c r="FC46" i="12"/>
  <c r="FC24" i="12"/>
  <c r="FC29" i="12"/>
  <c r="FC35" i="12"/>
  <c r="FC40" i="12"/>
  <c r="FC45" i="12"/>
  <c r="FC25" i="12"/>
  <c r="FC31" i="12"/>
  <c r="FC36" i="12"/>
  <c r="FC41" i="12"/>
  <c r="FC47" i="12"/>
  <c r="FC21" i="12"/>
  <c r="FC32" i="12"/>
  <c r="FC43" i="12"/>
  <c r="FC23" i="12"/>
  <c r="FC33" i="12"/>
  <c r="FC44" i="12"/>
  <c r="FC28" i="12"/>
  <c r="FC37" i="12"/>
  <c r="FC39" i="12"/>
  <c r="FC20" i="12"/>
  <c r="FC27" i="12"/>
  <c r="FC24" i="9"/>
  <c r="FC28" i="9"/>
  <c r="FC32" i="9"/>
  <c r="FC36" i="9"/>
  <c r="FC40" i="9"/>
  <c r="FC44" i="9"/>
  <c r="FC21" i="9"/>
  <c r="FC25" i="9"/>
  <c r="FC29" i="9"/>
  <c r="FC33" i="9"/>
  <c r="FC37" i="9"/>
  <c r="FC41" i="9"/>
  <c r="FC45" i="9"/>
  <c r="FC22" i="9"/>
  <c r="FC30" i="9"/>
  <c r="FC38" i="9"/>
  <c r="FC46" i="9"/>
  <c r="FC20" i="9"/>
  <c r="FC23" i="9"/>
  <c r="FC31" i="9"/>
  <c r="FC39" i="9"/>
  <c r="FC47" i="9"/>
  <c r="FC34" i="9"/>
  <c r="FC35" i="9"/>
  <c r="FC43" i="9"/>
  <c r="FC42" i="9"/>
  <c r="FC26" i="9"/>
  <c r="FC27" i="9"/>
  <c r="FC24" i="11"/>
  <c r="FC28" i="11"/>
  <c r="FC32" i="11"/>
  <c r="FC36" i="11"/>
  <c r="FC40" i="11"/>
  <c r="FC44" i="11"/>
  <c r="FC22" i="11"/>
  <c r="FC27" i="11"/>
  <c r="FC33" i="11"/>
  <c r="FC38" i="11"/>
  <c r="FC43" i="11"/>
  <c r="FC23" i="11"/>
  <c r="FC29" i="11"/>
  <c r="FC34" i="11"/>
  <c r="FC39" i="11"/>
  <c r="FC45" i="11"/>
  <c r="FC30" i="11"/>
  <c r="FC41" i="11"/>
  <c r="FC21" i="11"/>
  <c r="FC31" i="11"/>
  <c r="FC42" i="11"/>
  <c r="FC37" i="11"/>
  <c r="FC47" i="11"/>
  <c r="FC35" i="11"/>
  <c r="FC25" i="11"/>
  <c r="FC46" i="11"/>
  <c r="FC20" i="11"/>
  <c r="FC26" i="11"/>
  <c r="DC31" i="72"/>
  <c r="FC22" i="8"/>
  <c r="FC26" i="8"/>
  <c r="FC30" i="8"/>
  <c r="FC34" i="8"/>
  <c r="FC38" i="8"/>
  <c r="FC42" i="8"/>
  <c r="FC46" i="8"/>
  <c r="FC23" i="8"/>
  <c r="FC27" i="8"/>
  <c r="FC31" i="8"/>
  <c r="FC35" i="8"/>
  <c r="FC39" i="8"/>
  <c r="FC43" i="8"/>
  <c r="FC47" i="8"/>
  <c r="FC28" i="8"/>
  <c r="FC36" i="8"/>
  <c r="FC44" i="8"/>
  <c r="FC21" i="8"/>
  <c r="FC29" i="8"/>
  <c r="FC37" i="8"/>
  <c r="FC45" i="8"/>
  <c r="FC32" i="8"/>
  <c r="FC33" i="8"/>
  <c r="FC20" i="8"/>
  <c r="FC41" i="8"/>
  <c r="FC40" i="8"/>
  <c r="FC24" i="8"/>
  <c r="FC25" i="8"/>
  <c r="FC24" i="13"/>
  <c r="FC28" i="13"/>
  <c r="FC32" i="13"/>
  <c r="FC36" i="13"/>
  <c r="FC40" i="13"/>
  <c r="FC44" i="13"/>
  <c r="FC21" i="13"/>
  <c r="FC26" i="13"/>
  <c r="FC31" i="13"/>
  <c r="FC37" i="13"/>
  <c r="FC42" i="13"/>
  <c r="FC47" i="13"/>
  <c r="FC20" i="13"/>
  <c r="FC22" i="13"/>
  <c r="FC27" i="13"/>
  <c r="FC33" i="13"/>
  <c r="FC38" i="13"/>
  <c r="FC43" i="13"/>
  <c r="FC23" i="13"/>
  <c r="FC34" i="13"/>
  <c r="FC45" i="13"/>
  <c r="FC25" i="13"/>
  <c r="FC35" i="13"/>
  <c r="FC46" i="13"/>
  <c r="FC41" i="13"/>
  <c r="FC30" i="13"/>
  <c r="FC29" i="13"/>
  <c r="FC39" i="13"/>
  <c r="FC22" i="6"/>
  <c r="FC26" i="6"/>
  <c r="FC30" i="6"/>
  <c r="FC34" i="6"/>
  <c r="FC38" i="6"/>
  <c r="FC42" i="6"/>
  <c r="FC46" i="6"/>
  <c r="FC23" i="6"/>
  <c r="FC27" i="6"/>
  <c r="FC31" i="6"/>
  <c r="FC35" i="6"/>
  <c r="FC39" i="6"/>
  <c r="FC43" i="6"/>
  <c r="FC47" i="6"/>
  <c r="FC24" i="6"/>
  <c r="FC32" i="6"/>
  <c r="FC40" i="6"/>
  <c r="FC25" i="6"/>
  <c r="FC33" i="6"/>
  <c r="FC41" i="6"/>
  <c r="FC20" i="6"/>
  <c r="FC28" i="6"/>
  <c r="FC44" i="6"/>
  <c r="FC36" i="6"/>
  <c r="FC29" i="6"/>
  <c r="FC45" i="6"/>
  <c r="FC37" i="6"/>
  <c r="FC21" i="6"/>
  <c r="DC35" i="72"/>
  <c r="DC18" i="72"/>
  <c r="DC15" i="72"/>
  <c r="DC22" i="72"/>
  <c r="DC33" i="72"/>
  <c r="DC17" i="72"/>
  <c r="DC32" i="72"/>
  <c r="DC16" i="72"/>
  <c r="FC24" i="15"/>
  <c r="FC28" i="15"/>
  <c r="FC32" i="15"/>
  <c r="FC36" i="15"/>
  <c r="FC40" i="15"/>
  <c r="FC44" i="15"/>
  <c r="FC25" i="15"/>
  <c r="FC30" i="15"/>
  <c r="FC35" i="15"/>
  <c r="FC41" i="15"/>
  <c r="FC46" i="15"/>
  <c r="FC21" i="15"/>
  <c r="FC26" i="15"/>
  <c r="FC31" i="15"/>
  <c r="FC37" i="15"/>
  <c r="FC42" i="15"/>
  <c r="FC47" i="15"/>
  <c r="FC27" i="15"/>
  <c r="FC38" i="15"/>
  <c r="FC20" i="15"/>
  <c r="FC29" i="15"/>
  <c r="FC39" i="15"/>
  <c r="FC23" i="15"/>
  <c r="FC45" i="15"/>
  <c r="FC34" i="15"/>
  <c r="FC43" i="15"/>
  <c r="FC33" i="15"/>
  <c r="FC22" i="15"/>
  <c r="FC22" i="14"/>
  <c r="FC26" i="14"/>
  <c r="FC30" i="14"/>
  <c r="FC34" i="14"/>
  <c r="FC38" i="14"/>
  <c r="FC42" i="14"/>
  <c r="FC46" i="14"/>
  <c r="FC23" i="14"/>
  <c r="FC28" i="14"/>
  <c r="FC33" i="14"/>
  <c r="FC39" i="14"/>
  <c r="FC44" i="14"/>
  <c r="FC24" i="14"/>
  <c r="FC29" i="14"/>
  <c r="FC35" i="14"/>
  <c r="FC40" i="14"/>
  <c r="FC45" i="14"/>
  <c r="FC20" i="14"/>
  <c r="FC25" i="14"/>
  <c r="FC36" i="14"/>
  <c r="FC47" i="14"/>
  <c r="FC27" i="14"/>
  <c r="FC37" i="14"/>
  <c r="FC32" i="14"/>
  <c r="FC21" i="14"/>
  <c r="FC31" i="14"/>
  <c r="FC41" i="14"/>
  <c r="FC43" i="14"/>
  <c r="DC19" i="72"/>
  <c r="DC39" i="72"/>
  <c r="DC12" i="72"/>
  <c r="DC14" i="72"/>
  <c r="DC29" i="72"/>
  <c r="DC13" i="72"/>
  <c r="DC28" i="72"/>
  <c r="C64" i="2"/>
  <c r="AA4" i="34" s="1"/>
  <c r="BK6" i="58"/>
  <c r="AV16" i="72"/>
  <c r="AV25" i="72"/>
  <c r="AV23" i="72"/>
  <c r="BK46" i="11"/>
  <c r="AW46" i="11"/>
  <c r="BK27" i="11"/>
  <c r="AW27" i="11"/>
  <c r="BK47" i="11"/>
  <c r="AW47" i="11"/>
  <c r="BK32" i="11"/>
  <c r="AW32" i="11"/>
  <c r="BK20" i="11"/>
  <c r="AW20" i="11"/>
  <c r="BK36" i="11"/>
  <c r="AW36" i="11"/>
  <c r="BK33" i="11"/>
  <c r="AW33" i="11"/>
  <c r="BK44" i="11"/>
  <c r="AW44" i="11"/>
  <c r="BK24" i="11"/>
  <c r="AW24" i="11"/>
  <c r="BK35" i="11"/>
  <c r="AW35" i="11"/>
  <c r="BK31" i="11"/>
  <c r="AW31" i="11"/>
  <c r="BK26" i="11"/>
  <c r="AW26" i="11"/>
  <c r="BK37" i="11"/>
  <c r="AW37" i="11"/>
  <c r="BK21" i="11"/>
  <c r="AW21" i="11"/>
  <c r="BK40" i="8"/>
  <c r="AW40" i="8"/>
  <c r="BK39" i="8"/>
  <c r="AW39" i="8"/>
  <c r="BK36" i="8"/>
  <c r="AW36" i="8"/>
  <c r="BK34" i="8"/>
  <c r="AW34" i="8"/>
  <c r="BK25" i="8"/>
  <c r="AW25" i="8"/>
  <c r="BK41" i="8"/>
  <c r="AW41" i="8"/>
  <c r="BK22" i="8"/>
  <c r="AW22" i="8"/>
  <c r="BK44" i="8"/>
  <c r="AW44" i="8"/>
  <c r="BK32" i="8"/>
  <c r="AW32" i="8"/>
  <c r="BK23" i="8"/>
  <c r="AW23" i="8"/>
  <c r="BK29" i="7"/>
  <c r="AW29" i="7"/>
  <c r="BK24" i="7"/>
  <c r="AW24" i="7"/>
  <c r="BK22" i="7"/>
  <c r="AW22" i="7"/>
  <c r="BK26" i="7"/>
  <c r="AW26" i="7"/>
  <c r="BK44" i="7"/>
  <c r="AW44" i="7"/>
  <c r="BK31" i="7"/>
  <c r="AW31" i="7"/>
  <c r="BK43" i="7"/>
  <c r="AW43" i="7"/>
  <c r="BK20" i="7"/>
  <c r="AW20" i="7"/>
  <c r="BK28" i="7"/>
  <c r="AW28" i="7"/>
  <c r="BK38" i="7"/>
  <c r="AW38" i="7"/>
  <c r="BK45" i="7"/>
  <c r="AW45" i="7"/>
  <c r="BK23" i="7"/>
  <c r="AW23" i="7"/>
  <c r="BK34" i="7"/>
  <c r="AW34" i="7"/>
  <c r="BK48" i="4"/>
  <c r="AW48" i="4"/>
  <c r="BK40" i="13"/>
  <c r="AW40" i="13"/>
  <c r="BK24" i="13"/>
  <c r="AW24" i="13"/>
  <c r="BK28" i="13"/>
  <c r="AW28" i="13"/>
  <c r="BK31" i="13"/>
  <c r="AW31" i="13"/>
  <c r="BK46" i="13"/>
  <c r="AW46" i="13"/>
  <c r="BK29" i="13"/>
  <c r="AW29" i="13"/>
  <c r="BK43" i="13"/>
  <c r="AW43" i="13"/>
  <c r="BK20" i="13"/>
  <c r="AW20" i="13"/>
  <c r="BK25" i="13"/>
  <c r="AW25" i="13"/>
  <c r="BK42" i="13"/>
  <c r="AW42" i="13"/>
  <c r="BK44" i="13"/>
  <c r="AW44" i="13"/>
  <c r="BK22" i="13"/>
  <c r="AW22" i="13"/>
  <c r="BK39" i="13"/>
  <c r="AW39" i="13"/>
  <c r="BK35" i="13"/>
  <c r="AW35" i="13"/>
  <c r="BK32" i="12"/>
  <c r="AW32" i="12"/>
  <c r="BK26" i="12"/>
  <c r="AW26" i="12"/>
  <c r="BK25" i="12"/>
  <c r="AW25" i="12"/>
  <c r="BK20" i="12"/>
  <c r="AW20" i="12"/>
  <c r="BK47" i="12"/>
  <c r="AW47" i="12"/>
  <c r="BK27" i="12"/>
  <c r="AW27" i="12"/>
  <c r="BK34" i="12"/>
  <c r="AW34" i="12"/>
  <c r="BK35" i="12"/>
  <c r="AW35" i="12"/>
  <c r="BK29" i="12"/>
  <c r="AW29" i="12"/>
  <c r="BK23" i="12"/>
  <c r="AW23" i="12"/>
  <c r="BK39" i="12"/>
  <c r="AW39" i="12"/>
  <c r="BK45" i="12"/>
  <c r="AW45" i="12"/>
  <c r="BK40" i="12"/>
  <c r="AW40" i="12"/>
  <c r="BK44" i="12"/>
  <c r="AW44" i="12"/>
  <c r="BK31" i="10"/>
  <c r="AW31" i="10"/>
  <c r="BK27" i="10"/>
  <c r="AW27" i="10"/>
  <c r="BK34" i="10"/>
  <c r="AW34" i="10"/>
  <c r="BK26" i="10"/>
  <c r="AW26" i="10"/>
  <c r="BK45" i="10"/>
  <c r="AW45" i="10"/>
  <c r="BK22" i="10"/>
  <c r="AW22" i="10"/>
  <c r="BK38" i="10"/>
  <c r="AW38" i="10"/>
  <c r="BK42" i="10"/>
  <c r="AW42" i="10"/>
  <c r="BK25" i="10"/>
  <c r="AW25" i="10"/>
  <c r="BK43" i="10"/>
  <c r="AW43" i="10"/>
  <c r="BK36" i="10"/>
  <c r="AW36" i="10"/>
  <c r="BK39" i="10"/>
  <c r="AW39" i="10"/>
  <c r="BK28" i="10"/>
  <c r="AW28" i="10"/>
  <c r="BK24" i="10"/>
  <c r="AW24" i="10"/>
  <c r="BK41" i="5"/>
  <c r="AW41" i="5"/>
  <c r="BK39" i="5"/>
  <c r="AW39" i="5"/>
  <c r="BK29" i="5"/>
  <c r="AW29" i="5"/>
  <c r="BK38" i="5"/>
  <c r="AW38" i="5"/>
  <c r="BK28" i="5"/>
  <c r="AW28" i="5"/>
  <c r="BK47" i="5"/>
  <c r="AW47" i="5"/>
  <c r="BK21" i="5"/>
  <c r="AW21" i="5"/>
  <c r="BK27" i="5"/>
  <c r="AW27" i="5"/>
  <c r="BK37" i="5"/>
  <c r="AW37" i="5"/>
  <c r="BK32" i="5"/>
  <c r="AW32" i="5"/>
  <c r="BK24" i="5"/>
  <c r="AW24" i="5"/>
  <c r="BK34" i="5"/>
  <c r="AW34" i="5"/>
  <c r="BK24" i="6"/>
  <c r="AW24" i="6"/>
  <c r="BK35" i="6"/>
  <c r="AW35" i="6"/>
  <c r="BK32" i="6"/>
  <c r="AW32" i="6"/>
  <c r="BK36" i="6"/>
  <c r="AW36" i="6"/>
  <c r="BK29" i="6"/>
  <c r="AW29" i="6"/>
  <c r="BK47" i="6"/>
  <c r="AW47" i="6"/>
  <c r="BK27" i="6"/>
  <c r="AW27" i="6"/>
  <c r="BK34" i="6"/>
  <c r="AW34" i="6"/>
  <c r="BK43" i="6"/>
  <c r="AW43" i="6"/>
  <c r="BK26" i="6"/>
  <c r="AW26" i="6"/>
  <c r="BK21" i="6"/>
  <c r="AW21" i="6"/>
  <c r="BK38" i="6"/>
  <c r="AW38" i="6"/>
  <c r="BK42" i="14"/>
  <c r="AW42" i="14"/>
  <c r="BK20" i="14"/>
  <c r="AW20" i="14"/>
  <c r="BK22" i="14"/>
  <c r="AW22" i="14"/>
  <c r="BK38" i="14"/>
  <c r="AW38" i="14"/>
  <c r="BK33" i="14"/>
  <c r="AW33" i="14"/>
  <c r="BK37" i="14"/>
  <c r="AW37" i="14"/>
  <c r="BK28" i="14"/>
  <c r="AW28" i="14"/>
  <c r="BK24" i="14"/>
  <c r="AW24" i="14"/>
  <c r="BK34" i="14"/>
  <c r="AW34" i="14"/>
  <c r="BK44" i="14"/>
  <c r="AW44" i="14"/>
  <c r="BK20" i="9"/>
  <c r="AW20" i="9"/>
  <c r="BK45" i="9"/>
  <c r="AW45" i="9"/>
  <c r="BK36" i="9"/>
  <c r="AW36" i="9"/>
  <c r="BK26" i="9"/>
  <c r="AW26" i="9"/>
  <c r="BK39" i="9"/>
  <c r="AW39" i="9"/>
  <c r="BK31" i="9"/>
  <c r="AW31" i="9"/>
  <c r="BK35" i="9"/>
  <c r="AW35" i="9"/>
  <c r="BK34" i="9"/>
  <c r="AW34" i="9"/>
  <c r="BK30" i="9"/>
  <c r="AW30" i="9"/>
  <c r="BK41" i="9"/>
  <c r="AW41" i="9"/>
  <c r="BK22" i="9"/>
  <c r="AW22" i="9"/>
  <c r="BK44" i="9"/>
  <c r="AW44" i="9"/>
  <c r="BK33" i="9"/>
  <c r="AW33" i="9"/>
  <c r="BK44" i="5"/>
  <c r="AW44" i="5"/>
  <c r="BK37" i="8"/>
  <c r="AW37" i="8"/>
  <c r="BK26" i="8"/>
  <c r="AW26" i="8"/>
  <c r="BK32" i="14"/>
  <c r="AW32" i="14"/>
  <c r="BK37" i="9"/>
  <c r="AW37" i="9"/>
  <c r="BK29" i="9"/>
  <c r="AW29" i="9"/>
  <c r="BK46" i="15"/>
  <c r="AW46" i="15"/>
  <c r="BK34" i="15"/>
  <c r="AW34" i="15"/>
  <c r="BK27" i="15"/>
  <c r="AW27" i="15"/>
  <c r="BK39" i="15"/>
  <c r="AW39" i="15"/>
  <c r="BK30" i="15"/>
  <c r="AW30" i="15"/>
  <c r="BK43" i="15"/>
  <c r="AW43" i="15"/>
  <c r="BK47" i="15"/>
  <c r="AW47" i="15"/>
  <c r="BK42" i="15"/>
  <c r="AW42" i="15"/>
  <c r="BK21" i="15"/>
  <c r="AW21" i="15"/>
  <c r="BK29" i="11"/>
  <c r="AW29" i="11"/>
  <c r="BK22" i="11"/>
  <c r="AW22" i="11"/>
  <c r="BK34" i="11"/>
  <c r="AW34" i="11"/>
  <c r="BK38" i="11"/>
  <c r="AW38" i="11"/>
  <c r="BK25" i="11"/>
  <c r="AW25" i="11"/>
  <c r="BK43" i="11"/>
  <c r="AW43" i="11"/>
  <c r="BK40" i="11"/>
  <c r="AW40" i="11"/>
  <c r="BK41" i="11"/>
  <c r="AW41" i="11"/>
  <c r="BK28" i="11"/>
  <c r="AW28" i="11"/>
  <c r="BK39" i="11"/>
  <c r="AW39" i="11"/>
  <c r="BK30" i="11"/>
  <c r="AW30" i="11"/>
  <c r="BK45" i="11"/>
  <c r="AW45" i="11"/>
  <c r="BK42" i="11"/>
  <c r="AW42" i="11"/>
  <c r="BK23" i="11"/>
  <c r="AW23" i="11"/>
  <c r="BK43" i="8"/>
  <c r="AW43" i="8"/>
  <c r="BK20" i="8"/>
  <c r="AW20" i="8"/>
  <c r="BK45" i="8"/>
  <c r="AW45" i="8"/>
  <c r="BK31" i="8"/>
  <c r="AW31" i="8"/>
  <c r="BK30" i="8"/>
  <c r="AW30" i="8"/>
  <c r="BK38" i="8"/>
  <c r="AW38" i="8"/>
  <c r="BK33" i="8"/>
  <c r="AW33" i="8"/>
  <c r="BK29" i="8"/>
  <c r="AW29" i="8"/>
  <c r="BK27" i="8"/>
  <c r="AW27" i="8"/>
  <c r="BK47" i="8"/>
  <c r="AW47" i="8"/>
  <c r="BK24" i="8"/>
  <c r="AW24" i="8"/>
  <c r="BK36" i="7"/>
  <c r="AW36" i="7"/>
  <c r="BK41" i="7"/>
  <c r="AW41" i="7"/>
  <c r="BK35" i="7"/>
  <c r="AW35" i="7"/>
  <c r="BK46" i="7"/>
  <c r="AW46" i="7"/>
  <c r="BK37" i="7"/>
  <c r="AW37" i="7"/>
  <c r="BK42" i="7"/>
  <c r="AW42" i="7"/>
  <c r="BK47" i="7"/>
  <c r="AW47" i="7"/>
  <c r="BK33" i="7"/>
  <c r="AW33" i="7"/>
  <c r="BK39" i="7"/>
  <c r="AW39" i="7"/>
  <c r="BK40" i="7"/>
  <c r="AW40" i="7"/>
  <c r="BK30" i="7"/>
  <c r="AW30" i="7"/>
  <c r="BK25" i="7"/>
  <c r="AW25" i="7"/>
  <c r="BK27" i="7"/>
  <c r="AW27" i="7"/>
  <c r="BK32" i="7"/>
  <c r="AW32" i="7"/>
  <c r="BK21" i="7"/>
  <c r="AW21" i="7"/>
  <c r="BK50" i="4"/>
  <c r="AW50" i="4"/>
  <c r="BK49" i="4"/>
  <c r="AW49" i="4"/>
  <c r="BK37" i="13"/>
  <c r="AW37" i="13"/>
  <c r="BK38" i="13"/>
  <c r="AW38" i="13"/>
  <c r="BK34" i="13"/>
  <c r="AW34" i="13"/>
  <c r="BK21" i="13"/>
  <c r="AW21" i="13"/>
  <c r="BK30" i="13"/>
  <c r="AW30" i="13"/>
  <c r="BK32" i="13"/>
  <c r="AW32" i="13"/>
  <c r="BK27" i="13"/>
  <c r="AW27" i="13"/>
  <c r="BK47" i="13"/>
  <c r="AW47" i="13"/>
  <c r="BK33" i="13"/>
  <c r="AW33" i="13"/>
  <c r="BK41" i="13"/>
  <c r="AW41" i="13"/>
  <c r="BK45" i="13"/>
  <c r="AW45" i="13"/>
  <c r="BK26" i="13"/>
  <c r="AW26" i="13"/>
  <c r="BK23" i="13"/>
  <c r="AW23" i="13"/>
  <c r="BK36" i="13"/>
  <c r="AW36" i="13"/>
  <c r="BK22" i="12"/>
  <c r="AW22" i="12"/>
  <c r="BK46" i="12"/>
  <c r="AW46" i="12"/>
  <c r="BK38" i="12"/>
  <c r="AW38" i="12"/>
  <c r="BK24" i="12"/>
  <c r="AW24" i="12"/>
  <c r="BK43" i="12"/>
  <c r="AW43" i="12"/>
  <c r="BK30" i="12"/>
  <c r="AW30" i="12"/>
  <c r="BK31" i="12"/>
  <c r="AW31" i="12"/>
  <c r="BK21" i="12"/>
  <c r="AW21" i="12"/>
  <c r="BK42" i="12"/>
  <c r="AW42" i="12"/>
  <c r="BK33" i="12"/>
  <c r="AW33" i="12"/>
  <c r="BK36" i="12"/>
  <c r="AW36" i="12"/>
  <c r="BK28" i="12"/>
  <c r="AW28" i="12"/>
  <c r="BK37" i="12"/>
  <c r="AW37" i="12"/>
  <c r="BK41" i="12"/>
  <c r="AW41" i="12"/>
  <c r="BK23" i="10"/>
  <c r="AW23" i="10"/>
  <c r="BK21" i="10"/>
  <c r="AW21" i="10"/>
  <c r="BK47" i="10"/>
  <c r="AW47" i="10"/>
  <c r="BK46" i="10"/>
  <c r="AW46" i="10"/>
  <c r="BK20" i="10"/>
  <c r="AW20" i="10"/>
  <c r="BK29" i="10"/>
  <c r="AW29" i="10"/>
  <c r="BK32" i="10"/>
  <c r="AW32" i="10"/>
  <c r="BK40" i="10"/>
  <c r="AW40" i="10"/>
  <c r="BK35" i="10"/>
  <c r="AW35" i="10"/>
  <c r="BK33" i="10"/>
  <c r="AW33" i="10"/>
  <c r="BK41" i="10"/>
  <c r="AW41" i="10"/>
  <c r="BK37" i="10"/>
  <c r="AW37" i="10"/>
  <c r="BK44" i="10"/>
  <c r="AW44" i="10"/>
  <c r="BK30" i="10"/>
  <c r="AW30" i="10"/>
  <c r="BK23" i="5"/>
  <c r="AW23" i="5"/>
  <c r="BK46" i="5"/>
  <c r="AW46" i="5"/>
  <c r="BK25" i="5"/>
  <c r="AW25" i="5"/>
  <c r="BK31" i="5"/>
  <c r="AW31" i="5"/>
  <c r="BK22" i="5"/>
  <c r="AW22" i="5"/>
  <c r="BK42" i="5"/>
  <c r="AW42" i="5"/>
  <c r="BK20" i="5"/>
  <c r="AW20" i="5"/>
  <c r="BK40" i="5"/>
  <c r="AW40" i="5"/>
  <c r="BK30" i="5"/>
  <c r="AW30" i="5"/>
  <c r="BK33" i="5"/>
  <c r="AW33" i="5"/>
  <c r="BK39" i="6"/>
  <c r="AW39" i="6"/>
  <c r="BK33" i="6"/>
  <c r="AW33" i="6"/>
  <c r="BK46" i="6"/>
  <c r="AW46" i="6"/>
  <c r="BK23" i="6"/>
  <c r="AW23" i="6"/>
  <c r="BK30" i="6"/>
  <c r="AW30" i="6"/>
  <c r="BK37" i="6"/>
  <c r="AW37" i="6"/>
  <c r="BK44" i="6"/>
  <c r="AW44" i="6"/>
  <c r="BK20" i="6"/>
  <c r="AW20" i="6"/>
  <c r="BK40" i="6"/>
  <c r="AW40" i="6"/>
  <c r="BK42" i="6"/>
  <c r="AW42" i="6"/>
  <c r="BK25" i="6"/>
  <c r="AW25" i="6"/>
  <c r="BK28" i="6"/>
  <c r="AW28" i="6"/>
  <c r="BK35" i="14"/>
  <c r="AW35" i="14"/>
  <c r="BK21" i="14"/>
  <c r="AW21" i="14"/>
  <c r="BK45" i="14"/>
  <c r="AW45" i="14"/>
  <c r="BK41" i="14"/>
  <c r="AW41" i="14"/>
  <c r="BK26" i="14"/>
  <c r="AW26" i="14"/>
  <c r="BK31" i="14"/>
  <c r="AW31" i="14"/>
  <c r="BK30" i="14"/>
  <c r="AW30" i="14"/>
  <c r="BK43" i="14"/>
  <c r="AW43" i="14"/>
  <c r="BK40" i="14"/>
  <c r="AW40" i="14"/>
  <c r="BK29" i="14"/>
  <c r="AW29" i="14"/>
  <c r="BK40" i="9"/>
  <c r="AW40" i="9"/>
  <c r="BK27" i="9"/>
  <c r="AW27" i="9"/>
  <c r="BK46" i="9"/>
  <c r="AW46" i="9"/>
  <c r="BK21" i="9"/>
  <c r="AW21" i="9"/>
  <c r="BK38" i="9"/>
  <c r="AW38" i="9"/>
  <c r="BK24" i="9"/>
  <c r="AW24" i="9"/>
  <c r="BK47" i="9"/>
  <c r="AW47" i="9"/>
  <c r="BK25" i="9"/>
  <c r="AW25" i="9"/>
  <c r="BK42" i="9"/>
  <c r="AW42" i="9"/>
  <c r="BK43" i="9"/>
  <c r="AW43" i="9"/>
  <c r="BK28" i="9"/>
  <c r="AW28" i="9"/>
  <c r="BK45" i="5"/>
  <c r="AW45" i="5"/>
  <c r="BK22" i="6"/>
  <c r="AW22" i="6"/>
  <c r="BK21" i="8"/>
  <c r="AW21" i="8"/>
  <c r="BK27" i="14"/>
  <c r="AW27" i="14"/>
  <c r="BK20" i="15"/>
  <c r="AT4" i="15" s="1" a="1"/>
  <c r="AT4" i="15" s="1"/>
  <c r="AW20" i="15"/>
  <c r="BK23" i="15"/>
  <c r="AW23" i="15"/>
  <c r="BK32" i="15"/>
  <c r="AW32" i="15"/>
  <c r="BK35" i="5"/>
  <c r="AW35" i="5"/>
  <c r="BK36" i="15"/>
  <c r="AW36" i="15"/>
  <c r="BK22" i="15"/>
  <c r="AW22" i="15"/>
  <c r="BK37" i="15"/>
  <c r="AW37" i="15"/>
  <c r="BK45" i="15"/>
  <c r="AW45" i="15"/>
  <c r="BK26" i="5"/>
  <c r="AW26" i="5"/>
  <c r="BK31" i="15"/>
  <c r="AW31" i="15"/>
  <c r="B73" i="72"/>
  <c r="BK36" i="5"/>
  <c r="B123" i="72"/>
  <c r="BK41" i="6"/>
  <c r="B218" i="72"/>
  <c r="BK46" i="8"/>
  <c r="B214" i="72"/>
  <c r="BK42" i="8"/>
  <c r="BM45" i="6"/>
  <c r="BK45" i="6"/>
  <c r="B478" i="72"/>
  <c r="BK36" i="14"/>
  <c r="B488" i="72"/>
  <c r="BK46" i="14"/>
  <c r="B467" i="72"/>
  <c r="BK25" i="14"/>
  <c r="BM41" i="15"/>
  <c r="BK41" i="15"/>
  <c r="EQ35" i="15"/>
  <c r="EW35" i="15" s="1"/>
  <c r="BK35" i="15"/>
  <c r="B531" i="72"/>
  <c r="BK44" i="15"/>
  <c r="EQ23" i="9"/>
  <c r="EW23" i="9" s="1"/>
  <c r="BK23" i="9"/>
  <c r="BM33" i="15"/>
  <c r="BK33" i="15"/>
  <c r="EQ25" i="15"/>
  <c r="EW25" i="15" s="1"/>
  <c r="BK25" i="15"/>
  <c r="EQ38" i="15"/>
  <c r="EW38" i="15" s="1"/>
  <c r="BK38" i="15"/>
  <c r="EQ31" i="6"/>
  <c r="EW31" i="6" s="1"/>
  <c r="BK31" i="6"/>
  <c r="BC18" i="45"/>
  <c r="EQ43" i="5"/>
  <c r="EW43" i="5" s="1"/>
  <c r="BK43" i="5"/>
  <c r="BM35" i="8"/>
  <c r="BK35" i="8"/>
  <c r="BM32" i="9"/>
  <c r="BK32" i="9"/>
  <c r="B481" i="72"/>
  <c r="BK39" i="14"/>
  <c r="EQ24" i="15"/>
  <c r="EW24" i="15" s="1"/>
  <c r="BK24" i="15"/>
  <c r="EQ26" i="15"/>
  <c r="EW26" i="15" s="1"/>
  <c r="BK26" i="15"/>
  <c r="BM28" i="15"/>
  <c r="BK28" i="15"/>
  <c r="B489" i="72"/>
  <c r="BK47" i="14"/>
  <c r="B465" i="72"/>
  <c r="BK23" i="14"/>
  <c r="B200" i="72"/>
  <c r="BK28" i="8"/>
  <c r="B516" i="72"/>
  <c r="BK29" i="15"/>
  <c r="EQ40" i="15"/>
  <c r="EW40" i="15" s="1"/>
  <c r="BK40" i="15"/>
  <c r="CC3" i="74"/>
  <c r="AK12" i="34"/>
  <c r="E54" i="57"/>
  <c r="E58" i="57" s="1"/>
  <c r="AO30" i="45"/>
  <c r="AL36" i="72"/>
  <c r="B527" i="72"/>
  <c r="C21" i="45"/>
  <c r="C60" i="45" s="1"/>
  <c r="C44" i="45"/>
  <c r="C83" i="45" s="1"/>
  <c r="C30" i="45"/>
  <c r="C69" i="45" s="1"/>
  <c r="BC43" i="45"/>
  <c r="BB43" i="45" s="1"/>
  <c r="BC33" i="45"/>
  <c r="BB33" i="45" s="1"/>
  <c r="C35" i="45"/>
  <c r="C74" i="45" s="1"/>
  <c r="C18" i="45"/>
  <c r="C57" i="45" s="1"/>
  <c r="C37" i="45"/>
  <c r="C76" i="45" s="1"/>
  <c r="BC20" i="45"/>
  <c r="BB20" i="45" s="1"/>
  <c r="BC32" i="45"/>
  <c r="BB32" i="45" s="1"/>
  <c r="BC38" i="45"/>
  <c r="BB38" i="45" s="1"/>
  <c r="BC40" i="45"/>
  <c r="BB40" i="45" s="1"/>
  <c r="C28" i="45"/>
  <c r="C67" i="45" s="1"/>
  <c r="C19" i="45"/>
  <c r="C58" i="45" s="1"/>
  <c r="C38" i="45"/>
  <c r="C22" i="45"/>
  <c r="C61" i="45" s="1"/>
  <c r="C29" i="45"/>
  <c r="C68" i="45" s="1"/>
  <c r="BC31" i="45"/>
  <c r="BB31" i="45" s="1"/>
  <c r="BC30" i="45"/>
  <c r="BB30" i="45" s="1"/>
  <c r="BC37" i="45"/>
  <c r="BB37" i="45" s="1"/>
  <c r="BC42" i="45"/>
  <c r="BB42" i="45" s="1"/>
  <c r="BC19" i="45"/>
  <c r="BB19" i="45" s="1"/>
  <c r="BC26" i="45"/>
  <c r="BB26" i="45" s="1"/>
  <c r="BC23" i="45"/>
  <c r="BB23" i="45" s="1"/>
  <c r="BC34" i="45"/>
  <c r="BB34" i="45" s="1"/>
  <c r="C36" i="45"/>
  <c r="C75" i="45" s="1"/>
  <c r="C43" i="45"/>
  <c r="C82" i="45" s="1"/>
  <c r="C27" i="45"/>
  <c r="C66" i="45" s="1"/>
  <c r="C20" i="45"/>
  <c r="C59" i="45" s="1"/>
  <c r="EQ21" i="15"/>
  <c r="EW21" i="15" s="1"/>
  <c r="C42" i="45"/>
  <c r="C34" i="45"/>
  <c r="C73" i="45" s="1"/>
  <c r="C26" i="45"/>
  <c r="C65" i="45" s="1"/>
  <c r="C41" i="45"/>
  <c r="C80" i="45" s="1"/>
  <c r="C33" i="45"/>
  <c r="C72" i="45" s="1"/>
  <c r="C25" i="45"/>
  <c r="C64" i="45" s="1"/>
  <c r="BG13" i="45"/>
  <c r="BC44" i="45"/>
  <c r="BB44" i="45" s="1"/>
  <c r="BC21" i="45"/>
  <c r="BB21" i="45" s="1"/>
  <c r="BC35" i="45"/>
  <c r="BB35" i="45" s="1"/>
  <c r="BC25" i="45"/>
  <c r="BB25" i="45" s="1"/>
  <c r="BC22" i="45"/>
  <c r="BB22" i="45" s="1"/>
  <c r="BC36" i="45"/>
  <c r="BB36" i="45" s="1"/>
  <c r="N13" i="45"/>
  <c r="O13" i="45" s="1"/>
  <c r="BD13" i="45"/>
  <c r="BB18" i="45" s="1"/>
  <c r="BC24" i="45"/>
  <c r="BB24" i="45" s="1"/>
  <c r="BB17" i="45"/>
  <c r="BC28" i="45"/>
  <c r="BB28" i="45" s="1"/>
  <c r="BC41" i="45"/>
  <c r="BB41" i="45" s="1"/>
  <c r="BC27" i="45"/>
  <c r="BB27" i="45" s="1"/>
  <c r="BC29" i="45"/>
  <c r="BB29" i="45" s="1"/>
  <c r="BC39" i="45"/>
  <c r="BB39" i="45" s="1"/>
  <c r="C40" i="45"/>
  <c r="C79" i="45" s="1"/>
  <c r="C32" i="45"/>
  <c r="C71" i="45" s="1"/>
  <c r="C24" i="45"/>
  <c r="C39" i="45"/>
  <c r="C78" i="45" s="1"/>
  <c r="C31" i="45"/>
  <c r="C70" i="45" s="1"/>
  <c r="C23" i="45"/>
  <c r="C62" i="45" s="1"/>
  <c r="B18" i="45"/>
  <c r="B57" i="45" s="1"/>
  <c r="BW41" i="7"/>
  <c r="C29" i="38"/>
  <c r="C68" i="38" s="1"/>
  <c r="BC20" i="39"/>
  <c r="BB20" i="39" s="1"/>
  <c r="BM35" i="15"/>
  <c r="B469" i="72"/>
  <c r="BM40" i="15"/>
  <c r="BY9" i="7"/>
  <c r="B113" i="72"/>
  <c r="BM23" i="9"/>
  <c r="BM25" i="15"/>
  <c r="EQ42" i="15"/>
  <c r="EW42" i="15" s="1"/>
  <c r="C23" i="38"/>
  <c r="C62" i="38" s="1"/>
  <c r="BM31" i="6"/>
  <c r="B508" i="72"/>
  <c r="B529" i="72"/>
  <c r="BY8" i="7"/>
  <c r="B240" i="72"/>
  <c r="BM21" i="15"/>
  <c r="BM42" i="15"/>
  <c r="BM38" i="15"/>
  <c r="BM37" i="9"/>
  <c r="EQ36" i="14"/>
  <c r="EW36" i="14" s="1"/>
  <c r="BM28" i="8"/>
  <c r="C44" i="38"/>
  <c r="C83" i="38" s="1"/>
  <c r="C34" i="39"/>
  <c r="C73" i="39" s="1"/>
  <c r="BM44" i="5"/>
  <c r="EQ23" i="14"/>
  <c r="EW23" i="14" s="1"/>
  <c r="EQ28" i="8"/>
  <c r="EW28" i="8" s="1"/>
  <c r="EQ29" i="15"/>
  <c r="EW29" i="15" s="1"/>
  <c r="BM31" i="15"/>
  <c r="EQ46" i="15"/>
  <c r="EW46" i="15" s="1"/>
  <c r="EQ31" i="15"/>
  <c r="EW31" i="15" s="1"/>
  <c r="CC44" i="7"/>
  <c r="K65" i="6"/>
  <c r="B528" i="72"/>
  <c r="BM26" i="5"/>
  <c r="EQ47" i="14"/>
  <c r="EW47" i="14" s="1"/>
  <c r="BM27" i="14"/>
  <c r="BM29" i="15"/>
  <c r="B518" i="72"/>
  <c r="H12" i="60"/>
  <c r="B525" i="72"/>
  <c r="A64" i="58"/>
  <c r="B64" i="58" s="1"/>
  <c r="A59" i="58"/>
  <c r="B59" i="58" s="1"/>
  <c r="A58" i="58"/>
  <c r="B58" i="58" s="1"/>
  <c r="A63" i="58"/>
  <c r="B63" i="58" s="1"/>
  <c r="A61" i="58"/>
  <c r="B61" i="58" s="1"/>
  <c r="A62" i="58"/>
  <c r="B62" i="58" s="1"/>
  <c r="A60" i="58"/>
  <c r="B60" i="58" s="1"/>
  <c r="A115" i="62"/>
  <c r="A51" i="62"/>
  <c r="B51" i="62" s="1"/>
  <c r="A81" i="62"/>
  <c r="A85" i="62"/>
  <c r="A113" i="62"/>
  <c r="A117" i="62"/>
  <c r="A82" i="62"/>
  <c r="A114" i="62"/>
  <c r="A53" i="62"/>
  <c r="B53" i="62" s="1"/>
  <c r="A79" i="62"/>
  <c r="A54" i="62"/>
  <c r="B54" i="62" s="1"/>
  <c r="A84" i="62"/>
  <c r="A111" i="62"/>
  <c r="A116" i="62"/>
  <c r="A80" i="62"/>
  <c r="A50" i="62"/>
  <c r="A112" i="62"/>
  <c r="A52" i="62"/>
  <c r="B52" i="62" s="1"/>
  <c r="A83" i="62"/>
  <c r="A56" i="62"/>
  <c r="B56" i="62" s="1"/>
  <c r="A55" i="62"/>
  <c r="B55" i="62" s="1"/>
  <c r="B512" i="72"/>
  <c r="EQ33" i="15"/>
  <c r="EW33" i="15" s="1"/>
  <c r="B520" i="72"/>
  <c r="BM42" i="8"/>
  <c r="EQ35" i="8"/>
  <c r="EW35" i="8" s="1"/>
  <c r="EQ41" i="6"/>
  <c r="EW41" i="6" s="1"/>
  <c r="BM41" i="6"/>
  <c r="B207" i="72"/>
  <c r="EQ37" i="9"/>
  <c r="EW37" i="9" s="1"/>
  <c r="EQ42" i="8"/>
  <c r="EW42" i="8" s="1"/>
  <c r="EQ39" i="14"/>
  <c r="EW39" i="14" s="1"/>
  <c r="EQ41" i="15"/>
  <c r="EW41" i="15" s="1"/>
  <c r="C258" i="77"/>
  <c r="BM23" i="14"/>
  <c r="BM39" i="14"/>
  <c r="B254" i="72"/>
  <c r="EQ27" i="14"/>
  <c r="EW27" i="14" s="1"/>
  <c r="D196" i="77"/>
  <c r="M419" i="76"/>
  <c r="M218" i="76"/>
  <c r="I295" i="76"/>
  <c r="F318" i="76"/>
  <c r="D175" i="77"/>
  <c r="D338" i="77"/>
  <c r="E273" i="76"/>
  <c r="D249" i="77"/>
  <c r="F242" i="76"/>
  <c r="C243" i="77"/>
  <c r="L267" i="76"/>
  <c r="E284" i="76"/>
  <c r="C159" i="77"/>
  <c r="D140" i="77"/>
  <c r="C308" i="77"/>
  <c r="C140" i="77"/>
  <c r="D385" i="77"/>
  <c r="D217" i="77"/>
  <c r="D37" i="77"/>
  <c r="E225" i="76"/>
  <c r="G280" i="76"/>
  <c r="H339" i="76"/>
  <c r="I175" i="76"/>
  <c r="G412" i="76"/>
  <c r="G192" i="76"/>
  <c r="I253" i="76"/>
  <c r="C274" i="76"/>
  <c r="I197" i="76"/>
  <c r="H202" i="76"/>
  <c r="C343" i="77"/>
  <c r="C237" i="77"/>
  <c r="C403" i="77"/>
  <c r="C147" i="77"/>
  <c r="C313" i="77"/>
  <c r="C45" i="77"/>
  <c r="D378" i="77"/>
  <c r="D314" i="77"/>
  <c r="D250" i="77"/>
  <c r="D186" i="77"/>
  <c r="D46" i="77"/>
  <c r="C362" i="77"/>
  <c r="C298" i="77"/>
  <c r="C234" i="77"/>
  <c r="C170" i="77"/>
  <c r="C30" i="77"/>
  <c r="D407" i="77"/>
  <c r="D343" i="77"/>
  <c r="D279" i="77"/>
  <c r="D215" i="77"/>
  <c r="D151" i="77"/>
  <c r="D11" i="77"/>
  <c r="G380" i="76"/>
  <c r="K292" i="76"/>
  <c r="L268" i="76"/>
  <c r="E171" i="76"/>
  <c r="D182" i="76"/>
  <c r="C222" i="76"/>
  <c r="F392" i="76"/>
  <c r="M226" i="76"/>
  <c r="E303" i="76"/>
  <c r="L343" i="76"/>
  <c r="J225" i="76"/>
  <c r="M277" i="76"/>
  <c r="L234" i="76"/>
  <c r="F219" i="76"/>
  <c r="L187" i="76"/>
  <c r="D173" i="76"/>
  <c r="E54" i="60"/>
  <c r="J200" i="76"/>
  <c r="I190" i="76"/>
  <c r="C277" i="77"/>
  <c r="D396" i="77"/>
  <c r="D56" i="77"/>
  <c r="C252" i="77"/>
  <c r="D337" i="77"/>
  <c r="D161" i="77"/>
  <c r="T19" i="25"/>
  <c r="G84" i="25" s="1"/>
  <c r="C417" i="76"/>
  <c r="F162" i="76"/>
  <c r="J227" i="76"/>
  <c r="E374" i="76"/>
  <c r="C272" i="76"/>
  <c r="E24" i="76"/>
  <c r="G172" i="76"/>
  <c r="J185" i="76"/>
  <c r="G235" i="76"/>
  <c r="M174" i="76"/>
  <c r="D178" i="76"/>
  <c r="C311" i="77"/>
  <c r="C43" i="77"/>
  <c r="C205" i="77"/>
  <c r="C371" i="77"/>
  <c r="C281" i="77"/>
  <c r="C13" i="77"/>
  <c r="D370" i="77"/>
  <c r="D306" i="77"/>
  <c r="D242" i="77"/>
  <c r="D178" i="77"/>
  <c r="D38" i="77"/>
  <c r="C418" i="77"/>
  <c r="C354" i="77"/>
  <c r="C290" i="77"/>
  <c r="C226" i="77"/>
  <c r="C162" i="77"/>
  <c r="C22" i="77"/>
  <c r="D399" i="77"/>
  <c r="D335" i="77"/>
  <c r="D271" i="77"/>
  <c r="D207" i="77"/>
  <c r="D143" i="77"/>
  <c r="F336" i="76"/>
  <c r="F198" i="76"/>
  <c r="K182" i="76"/>
  <c r="H252" i="76"/>
  <c r="M231" i="76"/>
  <c r="F176" i="76"/>
  <c r="K233" i="76"/>
  <c r="F152" i="76"/>
  <c r="C203" i="76"/>
  <c r="E206" i="76"/>
  <c r="F253" i="76"/>
  <c r="H179" i="76"/>
  <c r="M219" i="76"/>
  <c r="M316" i="76"/>
  <c r="D327" i="76"/>
  <c r="C332" i="76"/>
  <c r="C41" i="77"/>
  <c r="D268" i="77"/>
  <c r="C220" i="77"/>
  <c r="C40" i="77"/>
  <c r="D305" i="77"/>
  <c r="J375" i="76"/>
  <c r="F258" i="76"/>
  <c r="K152" i="76"/>
  <c r="K298" i="76"/>
  <c r="K257" i="76"/>
  <c r="H303" i="76"/>
  <c r="H213" i="76"/>
  <c r="G336" i="76"/>
  <c r="I169" i="76"/>
  <c r="L224" i="76"/>
  <c r="K231" i="76"/>
  <c r="N22" i="25"/>
  <c r="E87" i="25" s="1"/>
  <c r="C215" i="77"/>
  <c r="C365" i="77"/>
  <c r="C275" i="77"/>
  <c r="C7" i="77"/>
  <c r="C185" i="77"/>
  <c r="D410" i="77"/>
  <c r="D346" i="77"/>
  <c r="D282" i="77"/>
  <c r="D218" i="77"/>
  <c r="D154" i="77"/>
  <c r="D14" i="77"/>
  <c r="C394" i="77"/>
  <c r="C330" i="77"/>
  <c r="C266" i="77"/>
  <c r="C202" i="77"/>
  <c r="C138" i="77"/>
  <c r="C62" i="77"/>
  <c r="D375" i="77"/>
  <c r="D311" i="77"/>
  <c r="D247" i="77"/>
  <c r="D183" i="77"/>
  <c r="D43" i="77"/>
  <c r="C354" i="76"/>
  <c r="D335" i="76"/>
  <c r="F232" i="76"/>
  <c r="M216" i="76"/>
  <c r="J267" i="76"/>
  <c r="H234" i="76"/>
  <c r="E377" i="76"/>
  <c r="H228" i="76"/>
  <c r="G215" i="76"/>
  <c r="G151" i="76"/>
  <c r="F180" i="76"/>
  <c r="G276" i="76"/>
  <c r="D340" i="76"/>
  <c r="K196" i="76"/>
  <c r="G259" i="76"/>
  <c r="D247" i="76"/>
  <c r="BM36" i="5"/>
  <c r="EQ36" i="5"/>
  <c r="EW36" i="5" s="1"/>
  <c r="B80" i="72"/>
  <c r="BM43" i="5"/>
  <c r="BC21" i="38"/>
  <c r="BB21" i="38" s="1"/>
  <c r="C18" i="38"/>
  <c r="BC38" i="38"/>
  <c r="BB38" i="38" s="1"/>
  <c r="C39" i="38"/>
  <c r="C78" i="38" s="1"/>
  <c r="C34" i="38"/>
  <c r="C73" i="38" s="1"/>
  <c r="C24" i="38"/>
  <c r="C63" i="38" s="1"/>
  <c r="BC23" i="38"/>
  <c r="BB23" i="38" s="1"/>
  <c r="BC24" i="38"/>
  <c r="BB24" i="38" s="1"/>
  <c r="BB17" i="38"/>
  <c r="C40" i="38"/>
  <c r="C79" i="38" s="1"/>
  <c r="BC27" i="38"/>
  <c r="BB27" i="38" s="1"/>
  <c r="BC26" i="38"/>
  <c r="BB26" i="38" s="1"/>
  <c r="L164" i="76"/>
  <c r="M7" i="76"/>
  <c r="K23" i="25"/>
  <c r="D88" i="25" s="1"/>
  <c r="C322" i="77"/>
  <c r="D402" i="77"/>
  <c r="K208" i="76"/>
  <c r="G41" i="76"/>
  <c r="D417" i="77"/>
  <c r="C385" i="77"/>
  <c r="M186" i="76"/>
  <c r="K178" i="76"/>
  <c r="D239" i="77"/>
  <c r="C54" i="77"/>
  <c r="D146" i="77"/>
  <c r="D189" i="76"/>
  <c r="D193" i="76"/>
  <c r="J283" i="76"/>
  <c r="M249" i="76"/>
  <c r="H156" i="76"/>
  <c r="D35" i="77"/>
  <c r="D303" i="77"/>
  <c r="C386" i="77"/>
  <c r="D210" i="77"/>
  <c r="C153" i="77"/>
  <c r="C333" i="77"/>
  <c r="D184" i="76"/>
  <c r="G326" i="76"/>
  <c r="D278" i="76"/>
  <c r="C172" i="77"/>
  <c r="F186" i="76"/>
  <c r="K161" i="76"/>
  <c r="E246" i="76"/>
  <c r="G319" i="76"/>
  <c r="M260" i="76"/>
  <c r="D367" i="77"/>
  <c r="C194" i="77"/>
  <c r="D6" i="77"/>
  <c r="D274" i="77"/>
  <c r="C409" i="77"/>
  <c r="C183" i="77"/>
  <c r="D291" i="76"/>
  <c r="M278" i="76"/>
  <c r="I283" i="76"/>
  <c r="C364" i="77"/>
  <c r="I245" i="76"/>
  <c r="C43" i="39"/>
  <c r="C82" i="39" s="1"/>
  <c r="BC18" i="39"/>
  <c r="BC42" i="39"/>
  <c r="BB42" i="39" s="1"/>
  <c r="BM47" i="14"/>
  <c r="BC23" i="39"/>
  <c r="BB23" i="39" s="1"/>
  <c r="C38" i="39"/>
  <c r="C77" i="39" s="1"/>
  <c r="C29" i="39"/>
  <c r="C68" i="39" s="1"/>
  <c r="BC38" i="39"/>
  <c r="BB38" i="39" s="1"/>
  <c r="C31" i="39"/>
  <c r="C70" i="39" s="1"/>
  <c r="BC33" i="39"/>
  <c r="BB33" i="39" s="1"/>
  <c r="C334" i="77"/>
  <c r="J254" i="76"/>
  <c r="C383" i="77"/>
  <c r="C188" i="76"/>
  <c r="D379" i="77"/>
  <c r="D251" i="77"/>
  <c r="D324" i="77"/>
  <c r="C187" i="77"/>
  <c r="H176" i="76"/>
  <c r="L238" i="76"/>
  <c r="L332" i="76"/>
  <c r="C62" i="76"/>
  <c r="C262" i="76"/>
  <c r="L191" i="76"/>
  <c r="K362" i="76"/>
  <c r="C206" i="77"/>
  <c r="C234" i="76"/>
  <c r="E215" i="76"/>
  <c r="G160" i="76"/>
  <c r="J250" i="76"/>
  <c r="G258" i="76"/>
  <c r="C156" i="76"/>
  <c r="J352" i="76"/>
  <c r="H153" i="76"/>
  <c r="M191" i="76"/>
  <c r="G150" i="76"/>
  <c r="F179" i="76"/>
  <c r="L206" i="76"/>
  <c r="M39" i="76"/>
  <c r="J218" i="76"/>
  <c r="E308" i="76"/>
  <c r="I226" i="76"/>
  <c r="B82" i="72"/>
  <c r="BM45" i="5"/>
  <c r="EQ23" i="15"/>
  <c r="EW23" i="15" s="1"/>
  <c r="BM22" i="15"/>
  <c r="B509" i="72"/>
  <c r="B81" i="72"/>
  <c r="EQ45" i="5"/>
  <c r="EW45" i="5" s="1"/>
  <c r="D39" i="77"/>
  <c r="D307" i="77"/>
  <c r="C390" i="77"/>
  <c r="D215" i="76"/>
  <c r="H189" i="76"/>
  <c r="J9" i="76"/>
  <c r="H150" i="76"/>
  <c r="F178" i="76"/>
  <c r="H247" i="76"/>
  <c r="F321" i="76"/>
  <c r="I178" i="76"/>
  <c r="I160" i="76"/>
  <c r="D259" i="76"/>
  <c r="BM37" i="8"/>
  <c r="B209" i="72"/>
  <c r="EQ45" i="15"/>
  <c r="EW45" i="15" s="1"/>
  <c r="BM45" i="15"/>
  <c r="EQ26" i="5"/>
  <c r="EW26" i="5" s="1"/>
  <c r="B63" i="72"/>
  <c r="EQ44" i="5"/>
  <c r="EW44" i="5" s="1"/>
  <c r="B127" i="72"/>
  <c r="BM35" i="5"/>
  <c r="K159" i="76"/>
  <c r="J307" i="76"/>
  <c r="F155" i="76"/>
  <c r="D196" i="76"/>
  <c r="K302" i="76"/>
  <c r="F196" i="76"/>
  <c r="C214" i="76"/>
  <c r="C5" i="76"/>
  <c r="M163" i="76"/>
  <c r="J380" i="76"/>
  <c r="C256" i="76"/>
  <c r="D235" i="76"/>
  <c r="D160" i="76"/>
  <c r="C218" i="76"/>
  <c r="F226" i="76"/>
  <c r="C285" i="76"/>
  <c r="G302" i="76"/>
  <c r="K209" i="76"/>
  <c r="F361" i="76"/>
  <c r="H217" i="76"/>
  <c r="M242" i="76"/>
  <c r="C236" i="76"/>
  <c r="M314" i="76"/>
  <c r="E402" i="76"/>
  <c r="L265" i="76"/>
  <c r="K226" i="76"/>
  <c r="K189" i="76"/>
  <c r="I288" i="76"/>
  <c r="C364" i="76"/>
  <c r="J48" i="76"/>
  <c r="L359" i="76"/>
  <c r="L306" i="76"/>
  <c r="E250" i="76"/>
  <c r="K291" i="76"/>
  <c r="L256" i="76"/>
  <c r="K309" i="76"/>
  <c r="H292" i="76"/>
  <c r="M227" i="76"/>
  <c r="C326" i="77"/>
  <c r="C198" i="77"/>
  <c r="C58" i="77"/>
  <c r="D371" i="77"/>
  <c r="D243" i="77"/>
  <c r="H15" i="76"/>
  <c r="K260" i="76"/>
  <c r="K157" i="76"/>
  <c r="G331" i="76"/>
  <c r="K247" i="76"/>
  <c r="E165" i="76"/>
  <c r="J258" i="76"/>
  <c r="I170" i="76"/>
  <c r="C9" i="77"/>
  <c r="C353" i="77"/>
  <c r="D388" i="77"/>
  <c r="D260" i="77"/>
  <c r="C300" i="77"/>
  <c r="C212" i="77"/>
  <c r="C32" i="77"/>
  <c r="D377" i="77"/>
  <c r="D289" i="77"/>
  <c r="D209" i="77"/>
  <c r="D21" i="77"/>
  <c r="M401" i="76"/>
  <c r="D329" i="76"/>
  <c r="F243" i="76"/>
  <c r="H220" i="76"/>
  <c r="C300" i="76"/>
  <c r="E307" i="76"/>
  <c r="D326" i="76"/>
  <c r="K265" i="76"/>
  <c r="L217" i="76"/>
  <c r="F153" i="76"/>
  <c r="L214" i="76"/>
  <c r="I234" i="76"/>
  <c r="E393" i="76"/>
  <c r="F188" i="76"/>
  <c r="K54" i="76"/>
  <c r="M232" i="76"/>
  <c r="C273" i="76"/>
  <c r="F187" i="76"/>
  <c r="H154" i="76"/>
  <c r="H236" i="76"/>
  <c r="L198" i="76"/>
  <c r="F264" i="76"/>
  <c r="G240" i="76"/>
  <c r="L390" i="76"/>
  <c r="J239" i="76"/>
  <c r="E266" i="76"/>
  <c r="I282" i="76"/>
  <c r="H312" i="76"/>
  <c r="H6" i="76"/>
  <c r="J234" i="76"/>
  <c r="M223" i="76"/>
  <c r="J169" i="76"/>
  <c r="L311" i="76"/>
  <c r="M309" i="76"/>
  <c r="K345" i="76"/>
  <c r="J378" i="76"/>
  <c r="H323" i="76"/>
  <c r="D209" i="76"/>
  <c r="D18" i="76"/>
  <c r="J214" i="76"/>
  <c r="L278" i="76"/>
  <c r="E306" i="76"/>
  <c r="H205" i="76"/>
  <c r="C398" i="77"/>
  <c r="C270" i="77"/>
  <c r="C142" i="77"/>
  <c r="D315" i="77"/>
  <c r="D187" i="77"/>
  <c r="D47" i="77"/>
  <c r="M315" i="76"/>
  <c r="F301" i="76"/>
  <c r="E197" i="76"/>
  <c r="E211" i="76"/>
  <c r="C359" i="76"/>
  <c r="D231" i="76"/>
  <c r="M220" i="76"/>
  <c r="G157" i="76"/>
  <c r="Q18" i="25"/>
  <c r="F83" i="25" s="1"/>
  <c r="C415" i="77"/>
  <c r="C309" i="77"/>
  <c r="C219" i="77"/>
  <c r="D332" i="77"/>
  <c r="D204" i="77"/>
  <c r="C372" i="77"/>
  <c r="C268" i="77"/>
  <c r="C180" i="77"/>
  <c r="D345" i="77"/>
  <c r="D257" i="77"/>
  <c r="D177" i="77"/>
  <c r="I44" i="76"/>
  <c r="G214" i="76"/>
  <c r="G201" i="76"/>
  <c r="E166" i="76"/>
  <c r="D268" i="76"/>
  <c r="K220" i="76"/>
  <c r="C172" i="76"/>
  <c r="G220" i="76"/>
  <c r="K237" i="76"/>
  <c r="D319" i="76"/>
  <c r="F161" i="76"/>
  <c r="C270" i="76"/>
  <c r="J288" i="76"/>
  <c r="G310" i="76"/>
  <c r="C219" i="76"/>
  <c r="D249" i="76"/>
  <c r="L422" i="76"/>
  <c r="I264" i="76"/>
  <c r="I225" i="76"/>
  <c r="L184" i="76"/>
  <c r="I357" i="76"/>
  <c r="D232" i="76"/>
  <c r="G181" i="76"/>
  <c r="G57" i="76"/>
  <c r="C241" i="76"/>
  <c r="C155" i="76"/>
  <c r="I299" i="76"/>
  <c r="M356" i="76"/>
  <c r="L168" i="76"/>
  <c r="J320" i="76"/>
  <c r="K238" i="76"/>
  <c r="J231" i="76"/>
  <c r="H281" i="76"/>
  <c r="G405" i="76"/>
  <c r="K295" i="76"/>
  <c r="H183" i="76"/>
  <c r="F257" i="76"/>
  <c r="I208" i="76"/>
  <c r="F151" i="76"/>
  <c r="D253" i="76"/>
  <c r="E152" i="76"/>
  <c r="D208" i="76"/>
  <c r="BM29" i="9"/>
  <c r="F305" i="76"/>
  <c r="C159" i="76"/>
  <c r="D179" i="77"/>
  <c r="C262" i="77"/>
  <c r="M246" i="76"/>
  <c r="M281" i="76"/>
  <c r="M254" i="76"/>
  <c r="H330" i="76"/>
  <c r="K375" i="76"/>
  <c r="D214" i="76"/>
  <c r="E257" i="76"/>
  <c r="H313" i="76"/>
  <c r="G243" i="76"/>
  <c r="BM26" i="15"/>
  <c r="C30" i="39"/>
  <c r="C69" i="39" s="1"/>
  <c r="C20" i="39"/>
  <c r="C59" i="39" s="1"/>
  <c r="BB17" i="39"/>
  <c r="AO30" i="39"/>
  <c r="C21" i="39"/>
  <c r="C60" i="39" s="1"/>
  <c r="BC31" i="39"/>
  <c r="BB31" i="39" s="1"/>
  <c r="B18" i="39"/>
  <c r="B57" i="39" s="1"/>
  <c r="C28" i="39"/>
  <c r="C67" i="39" s="1"/>
  <c r="BC21" i="39"/>
  <c r="BB21" i="39" s="1"/>
  <c r="B17" i="39"/>
  <c r="B55" i="39" s="1"/>
  <c r="N13" i="39"/>
  <c r="O13" i="39" s="1"/>
  <c r="BC44" i="39"/>
  <c r="BB44" i="39" s="1"/>
  <c r="B511" i="72"/>
  <c r="AV28" i="72"/>
  <c r="AL28" i="72"/>
  <c r="B249" i="72"/>
  <c r="EQ32" i="9"/>
  <c r="EW32" i="9" s="1"/>
  <c r="F332" i="76"/>
  <c r="G351" i="76"/>
  <c r="E346" i="76"/>
  <c r="K386" i="76"/>
  <c r="F248" i="76"/>
  <c r="T22" i="25"/>
  <c r="G87" i="25" s="1"/>
  <c r="G299" i="76"/>
  <c r="K24" i="76"/>
  <c r="L399" i="76"/>
  <c r="Q16" i="25"/>
  <c r="F81" i="25" s="1"/>
  <c r="N17" i="25"/>
  <c r="E82" i="25" s="1"/>
  <c r="I388" i="76"/>
  <c r="K148" i="76"/>
  <c r="J270" i="76"/>
  <c r="F314" i="76"/>
  <c r="G391" i="76"/>
  <c r="J50" i="76"/>
  <c r="Q22" i="25"/>
  <c r="F87" i="25" s="1"/>
  <c r="W23" i="25"/>
  <c r="H88" i="25" s="1"/>
  <c r="W15" i="25"/>
  <c r="H80" i="25" s="1"/>
  <c r="L415" i="76"/>
  <c r="K414" i="76"/>
  <c r="I262" i="76"/>
  <c r="J311" i="76"/>
  <c r="L394" i="76"/>
  <c r="L408" i="76"/>
  <c r="E53" i="76"/>
  <c r="G337" i="76"/>
  <c r="H18" i="25"/>
  <c r="C83" i="25" s="1"/>
  <c r="T20" i="25"/>
  <c r="G85" i="25" s="1"/>
  <c r="T26" i="25"/>
  <c r="G91" i="25" s="1"/>
  <c r="K171" i="76"/>
  <c r="L192" i="76"/>
  <c r="I214" i="76"/>
  <c r="I237" i="76"/>
  <c r="E276" i="76"/>
  <c r="C293" i="76"/>
  <c r="D153" i="76"/>
  <c r="K150" i="76"/>
  <c r="J229" i="76"/>
  <c r="E170" i="76"/>
  <c r="G191" i="76"/>
  <c r="K236" i="76"/>
  <c r="E244" i="76"/>
  <c r="I291" i="76"/>
  <c r="E153" i="76"/>
  <c r="D163" i="76"/>
  <c r="C240" i="76"/>
  <c r="G271" i="76"/>
  <c r="D336" i="76"/>
  <c r="D324" i="76"/>
  <c r="D365" i="76"/>
  <c r="L324" i="76"/>
  <c r="G61" i="76"/>
  <c r="J248" i="76"/>
  <c r="F365" i="76"/>
  <c r="K21" i="25"/>
  <c r="D86" i="25" s="1"/>
  <c r="H165" i="76"/>
  <c r="M370" i="76"/>
  <c r="C47" i="76"/>
  <c r="C39" i="76"/>
  <c r="T16" i="25"/>
  <c r="G81" i="25" s="1"/>
  <c r="N19" i="25"/>
  <c r="E84" i="25" s="1"/>
  <c r="D48" i="76"/>
  <c r="E296" i="76"/>
  <c r="G377" i="76"/>
  <c r="E42" i="76"/>
  <c r="H350" i="76"/>
  <c r="K16" i="25"/>
  <c r="D81" i="25" s="1"/>
  <c r="T18" i="25"/>
  <c r="G83" i="25" s="1"/>
  <c r="N26" i="25"/>
  <c r="E91" i="25" s="1"/>
  <c r="G43" i="76"/>
  <c r="H239" i="76"/>
  <c r="L341" i="76"/>
  <c r="L39" i="76"/>
  <c r="L53" i="76"/>
  <c r="M9" i="76"/>
  <c r="Q19" i="25"/>
  <c r="F84" i="25" s="1"/>
  <c r="W19" i="25"/>
  <c r="H84" i="25" s="1"/>
  <c r="E163" i="76"/>
  <c r="I187" i="76"/>
  <c r="M208" i="76"/>
  <c r="E229" i="76"/>
  <c r="L260" i="76"/>
  <c r="G286" i="76"/>
  <c r="F316" i="76"/>
  <c r="G176" i="76"/>
  <c r="G196" i="76"/>
  <c r="I219" i="76"/>
  <c r="F170" i="76"/>
  <c r="E216" i="76"/>
  <c r="F267" i="76"/>
  <c r="K274" i="76"/>
  <c r="C229" i="76"/>
  <c r="H163" i="76"/>
  <c r="E228" i="76"/>
  <c r="F263" i="76"/>
  <c r="E240" i="76"/>
  <c r="L166" i="76"/>
  <c r="E191" i="76"/>
  <c r="I212" i="76"/>
  <c r="D233" i="76"/>
  <c r="H264" i="76"/>
  <c r="C290" i="76"/>
  <c r="M319" i="76"/>
  <c r="C215" i="76"/>
  <c r="M286" i="76"/>
  <c r="H365" i="76"/>
  <c r="G164" i="76"/>
  <c r="I185" i="76"/>
  <c r="M230" i="76"/>
  <c r="G238" i="76"/>
  <c r="K285" i="76"/>
  <c r="L177" i="76"/>
  <c r="C199" i="76"/>
  <c r="J235" i="76"/>
  <c r="C267" i="76"/>
  <c r="I292" i="76"/>
  <c r="C171" i="76"/>
  <c r="D192" i="76"/>
  <c r="L213" i="76"/>
  <c r="L236" i="76"/>
  <c r="H275" i="76"/>
  <c r="F292" i="76"/>
  <c r="M215" i="76"/>
  <c r="H298" i="76"/>
  <c r="L337" i="76"/>
  <c r="L364" i="76"/>
  <c r="E379" i="76"/>
  <c r="F53" i="76"/>
  <c r="H22" i="76"/>
  <c r="L158" i="76"/>
  <c r="I172" i="76"/>
  <c r="H191" i="76"/>
  <c r="H256" i="76"/>
  <c r="I312" i="76"/>
  <c r="L170" i="76"/>
  <c r="C192" i="76"/>
  <c r="M214" i="76"/>
  <c r="G239" i="76"/>
  <c r="M209" i="76"/>
  <c r="L173" i="76"/>
  <c r="L193" i="76"/>
  <c r="C217" i="76"/>
  <c r="M270" i="76"/>
  <c r="L247" i="76"/>
  <c r="K204" i="76"/>
  <c r="H159" i="76"/>
  <c r="G306" i="76"/>
  <c r="M225" i="76"/>
  <c r="E337" i="76"/>
  <c r="I368" i="76"/>
  <c r="J25" i="76"/>
  <c r="F154" i="76"/>
  <c r="L159" i="76"/>
  <c r="G154" i="76"/>
  <c r="E375" i="76"/>
  <c r="C419" i="76"/>
  <c r="F256" i="76"/>
  <c r="H26" i="25"/>
  <c r="C91" i="25" s="1"/>
  <c r="E330" i="76"/>
  <c r="F18" i="76"/>
  <c r="H23" i="25"/>
  <c r="C88" i="25" s="1"/>
  <c r="N24" i="25"/>
  <c r="E89" i="25" s="1"/>
  <c r="L354" i="76"/>
  <c r="H306" i="76"/>
  <c r="K49" i="76"/>
  <c r="H391" i="76"/>
  <c r="Q23" i="25"/>
  <c r="F88" i="25" s="1"/>
  <c r="N15" i="25"/>
  <c r="E80" i="25" s="1"/>
  <c r="M198" i="76"/>
  <c r="C276" i="76"/>
  <c r="I243" i="76"/>
  <c r="C185" i="76"/>
  <c r="H170" i="76"/>
  <c r="D213" i="76"/>
  <c r="E324" i="76"/>
  <c r="H155" i="76"/>
  <c r="D248" i="76"/>
  <c r="F159" i="76"/>
  <c r="D151" i="76"/>
  <c r="E218" i="76"/>
  <c r="F233" i="76"/>
  <c r="D258" i="76"/>
  <c r="L195" i="76"/>
  <c r="C312" i="76"/>
  <c r="M345" i="76"/>
  <c r="G184" i="76"/>
  <c r="H261" i="76"/>
  <c r="L287" i="76"/>
  <c r="J176" i="76"/>
  <c r="G222" i="76"/>
  <c r="E282" i="76"/>
  <c r="K241" i="76"/>
  <c r="L186" i="76"/>
  <c r="G170" i="76"/>
  <c r="F275" i="76"/>
  <c r="J285" i="76"/>
  <c r="K172" i="76"/>
  <c r="D315" i="76"/>
  <c r="D361" i="76"/>
  <c r="J349" i="76"/>
  <c r="C30" i="76"/>
  <c r="K45" i="76"/>
  <c r="J158" i="76"/>
  <c r="I192" i="76"/>
  <c r="I232" i="76"/>
  <c r="M311" i="76"/>
  <c r="E195" i="76"/>
  <c r="F231" i="76"/>
  <c r="H231" i="76"/>
  <c r="I150" i="76"/>
  <c r="K187" i="76"/>
  <c r="F210" i="76"/>
  <c r="C211" i="76"/>
  <c r="M287" i="76"/>
  <c r="G252" i="76"/>
  <c r="F303" i="76"/>
  <c r="H360" i="76"/>
  <c r="D398" i="76"/>
  <c r="H161" i="76"/>
  <c r="J198" i="76"/>
  <c r="F235" i="76"/>
  <c r="J266" i="76"/>
  <c r="E292" i="76"/>
  <c r="J206" i="76"/>
  <c r="K151" i="76"/>
  <c r="E202" i="76"/>
  <c r="G225" i="76"/>
  <c r="C179" i="76"/>
  <c r="H223" i="76"/>
  <c r="I274" i="76"/>
  <c r="D246" i="76"/>
  <c r="H258" i="76"/>
  <c r="I183" i="76"/>
  <c r="L199" i="76"/>
  <c r="D269" i="76"/>
  <c r="C246" i="76"/>
  <c r="J172" i="76"/>
  <c r="C197" i="76"/>
  <c r="G218" i="76"/>
  <c r="M238" i="76"/>
  <c r="F270" i="76"/>
  <c r="L295" i="76"/>
  <c r="E151" i="76"/>
  <c r="L248" i="76"/>
  <c r="I294" i="76"/>
  <c r="F371" i="76"/>
  <c r="J171" i="76"/>
  <c r="F194" i="76"/>
  <c r="E238" i="76"/>
  <c r="J245" i="76"/>
  <c r="H294" i="76"/>
  <c r="J154" i="76"/>
  <c r="C182" i="76"/>
  <c r="H241" i="76"/>
  <c r="L272" i="76"/>
  <c r="G298" i="76"/>
  <c r="L176" i="76"/>
  <c r="M197" i="76"/>
  <c r="J219" i="76"/>
  <c r="J242" i="76"/>
  <c r="G237" i="76"/>
  <c r="D298" i="76"/>
  <c r="G208" i="76"/>
  <c r="D310" i="76"/>
  <c r="J343" i="76"/>
  <c r="J370" i="76"/>
  <c r="C385" i="76"/>
  <c r="D59" i="76"/>
  <c r="F28" i="76"/>
  <c r="D166" i="76"/>
  <c r="L185" i="76"/>
  <c r="E210" i="76"/>
  <c r="K263" i="76"/>
  <c r="L319" i="76"/>
  <c r="I179" i="76"/>
  <c r="F199" i="76"/>
  <c r="E222" i="76"/>
  <c r="E245" i="76"/>
  <c r="I247" i="76"/>
  <c r="J179" i="76"/>
  <c r="J199" i="76"/>
  <c r="L222" i="76"/>
  <c r="K276" i="76"/>
  <c r="J253" i="76"/>
  <c r="H246" i="76"/>
  <c r="I198" i="76"/>
  <c r="C318" i="76"/>
  <c r="E289" i="76"/>
  <c r="C343" i="76"/>
  <c r="G374" i="76"/>
  <c r="H31" i="76"/>
  <c r="J419" i="76"/>
  <c r="L388" i="76"/>
  <c r="J184" i="76"/>
  <c r="G198" i="76"/>
  <c r="F222" i="76"/>
  <c r="H283" i="76"/>
  <c r="I286" i="76"/>
  <c r="D198" i="76"/>
  <c r="J216" i="76"/>
  <c r="F279" i="76"/>
  <c r="E256" i="76"/>
  <c r="C152" i="76"/>
  <c r="E207" i="76"/>
  <c r="I228" i="76"/>
  <c r="C170" i="76"/>
  <c r="F380" i="76"/>
  <c r="E376" i="76"/>
  <c r="K10" i="76"/>
  <c r="W25" i="25"/>
  <c r="H90" i="25" s="1"/>
  <c r="C410" i="76"/>
  <c r="F158" i="76"/>
  <c r="G22" i="76"/>
  <c r="L40" i="76"/>
  <c r="N23" i="25"/>
  <c r="E88" i="25" s="1"/>
  <c r="N18" i="25"/>
  <c r="E83" i="25" s="1"/>
  <c r="F50" i="76"/>
  <c r="K154" i="76"/>
  <c r="K339" i="76"/>
  <c r="M61" i="76"/>
  <c r="K19" i="25"/>
  <c r="D84" i="25" s="1"/>
  <c r="H16" i="25"/>
  <c r="C81" i="25" s="1"/>
  <c r="J155" i="76"/>
  <c r="M180" i="76"/>
  <c r="H229" i="76"/>
  <c r="C282" i="76"/>
  <c r="F190" i="76"/>
  <c r="L194" i="76"/>
  <c r="D236" i="76"/>
  <c r="M151" i="76"/>
  <c r="L226" i="76"/>
  <c r="H263" i="76"/>
  <c r="D152" i="76"/>
  <c r="H196" i="76"/>
  <c r="G256" i="76"/>
  <c r="I256" i="76"/>
  <c r="J296" i="76"/>
  <c r="E264" i="76"/>
  <c r="L300" i="76"/>
  <c r="J164" i="76"/>
  <c r="G210" i="76"/>
  <c r="F230" i="76"/>
  <c r="G318" i="76"/>
  <c r="M177" i="76"/>
  <c r="C221" i="76"/>
  <c r="K243" i="76"/>
  <c r="H162" i="76"/>
  <c r="C158" i="76"/>
  <c r="G221" i="76"/>
  <c r="D260" i="76"/>
  <c r="M308" i="76"/>
  <c r="K192" i="76"/>
  <c r="I280" i="76"/>
  <c r="F298" i="76"/>
  <c r="M372" i="76"/>
  <c r="F364" i="76"/>
  <c r="D334" i="76"/>
  <c r="E183" i="76"/>
  <c r="E213" i="76"/>
  <c r="D263" i="76"/>
  <c r="D285" i="76"/>
  <c r="E193" i="76"/>
  <c r="I254" i="76"/>
  <c r="K254" i="76"/>
  <c r="J166" i="76"/>
  <c r="M200" i="76"/>
  <c r="J247" i="76"/>
  <c r="D271" i="76"/>
  <c r="E311" i="76"/>
  <c r="L228" i="76"/>
  <c r="H333" i="76"/>
  <c r="E313" i="76"/>
  <c r="C325" i="76"/>
  <c r="L30" i="76"/>
  <c r="F148" i="76"/>
  <c r="H19" i="25"/>
  <c r="C84" i="25" s="1"/>
  <c r="K404" i="76"/>
  <c r="M160" i="76"/>
  <c r="J309" i="76"/>
  <c r="C212" i="76"/>
  <c r="J293" i="76"/>
  <c r="D212" i="76"/>
  <c r="H175" i="76"/>
  <c r="E241" i="76"/>
  <c r="L180" i="76"/>
  <c r="K315" i="76"/>
  <c r="C207" i="76"/>
  <c r="M290" i="76"/>
  <c r="M258" i="76"/>
  <c r="E178" i="76"/>
  <c r="C252" i="76"/>
  <c r="I315" i="76"/>
  <c r="G283" i="76"/>
  <c r="K6" i="76"/>
  <c r="I158" i="76"/>
  <c r="J210" i="76"/>
  <c r="D172" i="76"/>
  <c r="J262" i="76"/>
  <c r="K205" i="76"/>
  <c r="K255" i="76"/>
  <c r="E176" i="76"/>
  <c r="E280" i="76"/>
  <c r="M48" i="76"/>
  <c r="H181" i="76"/>
  <c r="I258" i="76"/>
  <c r="K258" i="76"/>
  <c r="L298" i="76"/>
  <c r="C175" i="76"/>
  <c r="E212" i="76"/>
  <c r="H177" i="76"/>
  <c r="J220" i="76"/>
  <c r="G275" i="76"/>
  <c r="F300" i="76"/>
  <c r="L179" i="76"/>
  <c r="J197" i="76"/>
  <c r="I200" i="76"/>
  <c r="D165" i="76"/>
  <c r="G174" i="76"/>
  <c r="C224" i="76"/>
  <c r="D239" i="76"/>
  <c r="C278" i="76"/>
  <c r="L225" i="76"/>
  <c r="L317" i="76"/>
  <c r="K351" i="76"/>
  <c r="J191" i="76"/>
  <c r="K268" i="76"/>
  <c r="D295" i="76"/>
  <c r="I154" i="76"/>
  <c r="I164" i="76"/>
  <c r="M217" i="76"/>
  <c r="C265" i="76"/>
  <c r="J192" i="76"/>
  <c r="F201" i="76"/>
  <c r="D281" i="76"/>
  <c r="H291" i="76"/>
  <c r="I165" i="76"/>
  <c r="K326" i="76"/>
  <c r="M366" i="76"/>
  <c r="H355" i="76"/>
  <c r="L35" i="76"/>
  <c r="I51" i="76"/>
  <c r="G167" i="76"/>
  <c r="C209" i="76"/>
  <c r="L239" i="76"/>
  <c r="E319" i="76"/>
  <c r="M203" i="76"/>
  <c r="D237" i="76"/>
  <c r="F237" i="76"/>
  <c r="G156" i="76"/>
  <c r="I193" i="76"/>
  <c r="E230" i="76"/>
  <c r="G230" i="76"/>
  <c r="K293" i="76"/>
  <c r="J275" i="76"/>
  <c r="D309" i="76"/>
  <c r="F366" i="76"/>
  <c r="M403" i="76"/>
  <c r="G396" i="76"/>
  <c r="F160" i="76"/>
  <c r="J182" i="76"/>
  <c r="D257" i="76"/>
  <c r="C314" i="76"/>
  <c r="H173" i="76"/>
  <c r="H219" i="76"/>
  <c r="L240" i="76"/>
  <c r="J289" i="76"/>
  <c r="M183" i="76"/>
  <c r="H218" i="76"/>
  <c r="G272" i="76"/>
  <c r="F249" i="76"/>
  <c r="F228" i="76"/>
  <c r="D181" i="76"/>
  <c r="F309" i="76"/>
  <c r="I251" i="76"/>
  <c r="J338" i="76"/>
  <c r="C370" i="76"/>
  <c r="D27" i="76"/>
  <c r="F415" i="76"/>
  <c r="H384" i="76"/>
  <c r="I151" i="76"/>
  <c r="C162" i="76"/>
  <c r="F157" i="76"/>
  <c r="E226" i="76"/>
  <c r="E249" i="76"/>
  <c r="I263" i="76"/>
  <c r="J304" i="76"/>
  <c r="K164" i="76"/>
  <c r="K184" i="76"/>
  <c r="L207" i="76"/>
  <c r="K155" i="76"/>
  <c r="G186" i="76"/>
  <c r="F251" i="76"/>
  <c r="E260" i="76"/>
  <c r="I307" i="76"/>
  <c r="K167" i="76"/>
  <c r="J213" i="76"/>
  <c r="J251" i="76"/>
  <c r="C227" i="76"/>
  <c r="E155" i="76"/>
  <c r="I176" i="76"/>
  <c r="F189" i="76"/>
  <c r="D179" i="76"/>
  <c r="L252" i="76"/>
  <c r="L276" i="76"/>
  <c r="F308" i="76"/>
  <c r="K240" i="76"/>
  <c r="K249" i="76"/>
  <c r="L353" i="76"/>
  <c r="E179" i="76"/>
  <c r="G200" i="76"/>
  <c r="F223" i="76"/>
  <c r="K194" i="76"/>
  <c r="G249" i="76"/>
  <c r="L161" i="76"/>
  <c r="C183" i="76"/>
  <c r="L208" i="76"/>
  <c r="G255" i="76"/>
  <c r="F280" i="76"/>
  <c r="G159" i="76"/>
  <c r="E180" i="76"/>
  <c r="G194" i="76"/>
  <c r="I213" i="76"/>
  <c r="L263" i="76"/>
  <c r="M279" i="76"/>
  <c r="I196" i="76"/>
  <c r="G265" i="76"/>
  <c r="K325" i="76"/>
  <c r="E353" i="76"/>
  <c r="M347" i="76"/>
  <c r="J41" i="76"/>
  <c r="L10" i="76"/>
  <c r="C399" i="76"/>
  <c r="K197" i="76"/>
  <c r="K217" i="76"/>
  <c r="H240" i="76"/>
  <c r="I296" i="76"/>
  <c r="F156" i="76"/>
  <c r="G162" i="76"/>
  <c r="F181" i="76"/>
  <c r="K223" i="76"/>
  <c r="G266" i="76"/>
  <c r="E162" i="76"/>
  <c r="E182" i="76"/>
  <c r="H204" i="76"/>
  <c r="F259" i="76"/>
  <c r="E236" i="76"/>
  <c r="E316" i="76"/>
  <c r="G171" i="76"/>
  <c r="L275" i="76"/>
  <c r="I23" i="76"/>
  <c r="I37" i="76"/>
  <c r="F239" i="76"/>
  <c r="H411" i="76"/>
  <c r="Q15" i="25"/>
  <c r="F80" i="25" s="1"/>
  <c r="G287" i="76"/>
  <c r="J202" i="76"/>
  <c r="M53" i="76"/>
  <c r="N25" i="25"/>
  <c r="E90" i="25" s="1"/>
  <c r="D222" i="76"/>
  <c r="J160" i="76"/>
  <c r="E190" i="76"/>
  <c r="J151" i="76"/>
  <c r="E259" i="76"/>
  <c r="H195" i="76"/>
  <c r="I231" i="76"/>
  <c r="L323" i="76"/>
  <c r="H164" i="76"/>
  <c r="F262" i="76"/>
  <c r="C201" i="76"/>
  <c r="L235" i="76"/>
  <c r="E198" i="76"/>
  <c r="D228" i="76"/>
  <c r="L269" i="76"/>
  <c r="I341" i="76"/>
  <c r="M394" i="76"/>
  <c r="F177" i="76"/>
  <c r="K281" i="76"/>
  <c r="I216" i="76"/>
  <c r="E288" i="76"/>
  <c r="D227" i="76"/>
  <c r="L280" i="76"/>
  <c r="K289" i="76"/>
  <c r="F345" i="76"/>
  <c r="C169" i="76"/>
  <c r="K214" i="76"/>
  <c r="L281" i="76"/>
  <c r="F240" i="76"/>
  <c r="C288" i="76"/>
  <c r="L190" i="76"/>
  <c r="C194" i="76"/>
  <c r="D202" i="76"/>
  <c r="L221" i="76"/>
  <c r="H251" i="76"/>
  <c r="E159" i="76"/>
  <c r="I181" i="76"/>
  <c r="L245" i="76"/>
  <c r="F269" i="76"/>
  <c r="M157" i="76"/>
  <c r="F202" i="76"/>
  <c r="E262" i="76"/>
  <c r="G262" i="76"/>
  <c r="H302" i="76"/>
  <c r="D262" i="76"/>
  <c r="L322" i="76"/>
  <c r="M171" i="76"/>
  <c r="J217" i="76"/>
  <c r="C239" i="76"/>
  <c r="J325" i="76"/>
  <c r="F169" i="76"/>
  <c r="E160" i="76"/>
  <c r="I249" i="76"/>
  <c r="F168" i="76"/>
  <c r="K180" i="76"/>
  <c r="E227" i="76"/>
  <c r="M265" i="76"/>
  <c r="K314" i="76"/>
  <c r="J186" i="76"/>
  <c r="K288" i="76"/>
  <c r="I321" i="76"/>
  <c r="J322" i="76"/>
  <c r="H377" i="76"/>
  <c r="G357" i="76"/>
  <c r="H190" i="76"/>
  <c r="G232" i="76"/>
  <c r="L271" i="76"/>
  <c r="G292" i="76"/>
  <c r="H200" i="76"/>
  <c r="G260" i="76"/>
  <c r="I260" i="76"/>
  <c r="H172" i="76"/>
  <c r="J209" i="76"/>
  <c r="H253" i="76"/>
  <c r="M276" i="76"/>
  <c r="C317" i="76"/>
  <c r="I252" i="76"/>
  <c r="F339" i="76"/>
  <c r="L327" i="76"/>
  <c r="E8" i="76"/>
  <c r="M23" i="76"/>
  <c r="C160" i="76"/>
  <c r="F205" i="76"/>
  <c r="M257" i="76"/>
  <c r="L282" i="76"/>
  <c r="I173" i="76"/>
  <c r="G216" i="76"/>
  <c r="D264" i="76"/>
  <c r="I159" i="76"/>
  <c r="F195" i="76"/>
  <c r="M210" i="76"/>
  <c r="M233" i="76"/>
  <c r="I272" i="76"/>
  <c r="G289" i="76"/>
  <c r="I202" i="76"/>
  <c r="J292" i="76"/>
  <c r="M334" i="76"/>
  <c r="M361" i="76"/>
  <c r="F376" i="76"/>
  <c r="G50" i="76"/>
  <c r="I19" i="76"/>
  <c r="I336" i="76"/>
  <c r="L174" i="76"/>
  <c r="E199" i="76"/>
  <c r="I220" i="76"/>
  <c r="D241" i="76"/>
  <c r="H272" i="76"/>
  <c r="C298" i="76"/>
  <c r="L246" i="76"/>
  <c r="I157" i="76"/>
  <c r="M172" i="76"/>
  <c r="D187" i="76"/>
  <c r="J173" i="76"/>
  <c r="K158" i="76"/>
  <c r="J181" i="76"/>
  <c r="E275" i="76"/>
  <c r="D280" i="76"/>
  <c r="F192" i="76"/>
  <c r="L210" i="76"/>
  <c r="M274" i="76"/>
  <c r="L251" i="76"/>
  <c r="H178" i="76"/>
  <c r="L202" i="76"/>
  <c r="E224" i="76"/>
  <c r="K244" i="76"/>
  <c r="D183" i="76"/>
  <c r="J301" i="76"/>
  <c r="H174" i="76"/>
  <c r="D272" i="76"/>
  <c r="G300" i="76"/>
  <c r="G241" i="76"/>
  <c r="G180" i="76"/>
  <c r="I201" i="76"/>
  <c r="H245" i="76"/>
  <c r="G254" i="76"/>
  <c r="K301" i="76"/>
  <c r="M161" i="76"/>
  <c r="K207" i="76"/>
  <c r="F247" i="76"/>
  <c r="I209" i="76"/>
  <c r="L150" i="76"/>
  <c r="D159" i="76"/>
  <c r="K203" i="76"/>
  <c r="H225" i="76"/>
  <c r="H248" i="76"/>
  <c r="J260" i="76"/>
  <c r="M303" i="76"/>
  <c r="E205" i="76"/>
  <c r="G190" i="76"/>
  <c r="H349" i="76"/>
  <c r="D284" i="76"/>
  <c r="G245" i="76"/>
  <c r="H17" i="25"/>
  <c r="C82" i="25" s="1"/>
  <c r="F387" i="76"/>
  <c r="T25" i="25"/>
  <c r="G90" i="25" s="1"/>
  <c r="M178" i="76"/>
  <c r="L205" i="76"/>
  <c r="D225" i="76"/>
  <c r="J279" i="76"/>
  <c r="E342" i="76"/>
  <c r="K317" i="76"/>
  <c r="M154" i="76"/>
  <c r="J240" i="76"/>
  <c r="H402" i="76"/>
  <c r="J255" i="76"/>
  <c r="L277" i="76"/>
  <c r="H232" i="76"/>
  <c r="K356" i="76"/>
  <c r="G193" i="76"/>
  <c r="H235" i="76"/>
  <c r="M158" i="76"/>
  <c r="K177" i="76"/>
  <c r="L244" i="76"/>
  <c r="H160" i="76"/>
  <c r="M253" i="76"/>
  <c r="D185" i="76"/>
  <c r="C247" i="76"/>
  <c r="H151" i="76"/>
  <c r="H328" i="76"/>
  <c r="C216" i="76"/>
  <c r="G153" i="76"/>
  <c r="K264" i="76"/>
  <c r="I153" i="76"/>
  <c r="L257" i="76"/>
  <c r="G321" i="76"/>
  <c r="J306" i="76"/>
  <c r="I12" i="76"/>
  <c r="L165" i="76"/>
  <c r="E233" i="76"/>
  <c r="G179" i="76"/>
  <c r="H268" i="76"/>
  <c r="L163" i="76"/>
  <c r="I261" i="76"/>
  <c r="K221" i="76"/>
  <c r="D304" i="76"/>
  <c r="D370" i="76"/>
  <c r="G178" i="76"/>
  <c r="C266" i="76"/>
  <c r="J194" i="76"/>
  <c r="D230" i="76"/>
  <c r="G204" i="76"/>
  <c r="L216" i="76"/>
  <c r="D161" i="76"/>
  <c r="K304" i="76"/>
  <c r="K346" i="76"/>
  <c r="C392" i="76"/>
  <c r="E323" i="76"/>
  <c r="E181" i="76"/>
  <c r="H216" i="76"/>
  <c r="M280" i="76"/>
  <c r="J196" i="76"/>
  <c r="E154" i="76"/>
  <c r="D229" i="76"/>
  <c r="J272" i="76"/>
  <c r="L188" i="76"/>
  <c r="K259" i="76"/>
  <c r="K163" i="76"/>
  <c r="C206" i="76"/>
  <c r="E268" i="76"/>
  <c r="E220" i="76"/>
  <c r="I330" i="76"/>
  <c r="I203" i="76"/>
  <c r="F246" i="76"/>
  <c r="D162" i="76"/>
  <c r="H203" i="76"/>
  <c r="K270" i="76"/>
  <c r="I186" i="76"/>
  <c r="J263" i="76"/>
  <c r="I320" i="76"/>
  <c r="G279" i="76"/>
  <c r="M329" i="76"/>
  <c r="D414" i="76"/>
  <c r="I406" i="76"/>
  <c r="G173" i="76"/>
  <c r="K195" i="76"/>
  <c r="J271" i="76"/>
  <c r="E217" i="76"/>
  <c r="D156" i="76"/>
  <c r="G182" i="76"/>
  <c r="C251" i="76"/>
  <c r="L299" i="76"/>
  <c r="D194" i="76"/>
  <c r="C166" i="76"/>
  <c r="D244" i="76"/>
  <c r="M292" i="76"/>
  <c r="H192" i="76"/>
  <c r="C313" i="76"/>
  <c r="D345" i="76"/>
  <c r="E231" i="76"/>
  <c r="H386" i="76"/>
  <c r="I60" i="76"/>
  <c r="K29" i="76"/>
  <c r="I167" i="76"/>
  <c r="K188" i="76"/>
  <c r="J211" i="76"/>
  <c r="E265" i="76"/>
  <c r="K322" i="76"/>
  <c r="E150" i="76"/>
  <c r="K200" i="76"/>
  <c r="J223" i="76"/>
  <c r="J246" i="76"/>
  <c r="G253" i="76"/>
  <c r="J150" i="76"/>
  <c r="D201" i="76"/>
  <c r="F224" i="76"/>
  <c r="E278" i="76"/>
  <c r="D255" i="76"/>
  <c r="F252" i="76"/>
  <c r="G158" i="76"/>
  <c r="M320" i="76"/>
  <c r="C295" i="76"/>
  <c r="H344" i="76"/>
  <c r="G273" i="76"/>
  <c r="M32" i="76"/>
  <c r="D421" i="76"/>
  <c r="F390" i="76"/>
  <c r="G363" i="76"/>
  <c r="C37" i="76"/>
  <c r="K393" i="76"/>
  <c r="G352" i="76"/>
  <c r="M234" i="76"/>
  <c r="F272" i="76"/>
  <c r="G228" i="76"/>
  <c r="K170" i="76"/>
  <c r="E221" i="76"/>
  <c r="K210" i="76"/>
  <c r="D306" i="76"/>
  <c r="L249" i="76"/>
  <c r="L152" i="76"/>
  <c r="I390" i="76"/>
  <c r="J327" i="76"/>
  <c r="F265" i="76"/>
  <c r="L160" i="76"/>
  <c r="M185" i="76"/>
  <c r="K224" i="76"/>
  <c r="C341" i="76"/>
  <c r="C257" i="76"/>
  <c r="F254" i="76"/>
  <c r="J156" i="76"/>
  <c r="J170" i="76"/>
  <c r="E192" i="76"/>
  <c r="M240" i="76"/>
  <c r="I250" i="76"/>
  <c r="J257" i="76"/>
  <c r="H289" i="76"/>
  <c r="D186" i="76"/>
  <c r="D270" i="76"/>
  <c r="G226" i="76"/>
  <c r="C414" i="77"/>
  <c r="C382" i="77"/>
  <c r="C350" i="77"/>
  <c r="C318" i="77"/>
  <c r="C286" i="77"/>
  <c r="C254" i="77"/>
  <c r="C222" i="77"/>
  <c r="C190" i="77"/>
  <c r="C158" i="77"/>
  <c r="C50" i="77"/>
  <c r="C18" i="77"/>
  <c r="D395" i="77"/>
  <c r="D363" i="77"/>
  <c r="D331" i="77"/>
  <c r="D299" i="77"/>
  <c r="D267" i="77"/>
  <c r="D235" i="77"/>
  <c r="D203" i="77"/>
  <c r="D171" i="77"/>
  <c r="D139" i="77"/>
  <c r="D31" i="77"/>
  <c r="K24" i="25"/>
  <c r="D89" i="25" s="1"/>
  <c r="E31" i="76"/>
  <c r="M387" i="76"/>
  <c r="I346" i="76"/>
  <c r="C220" i="76"/>
  <c r="C249" i="76"/>
  <c r="I222" i="76"/>
  <c r="K179" i="76"/>
  <c r="H167" i="76"/>
  <c r="H199" i="76"/>
  <c r="G297" i="76"/>
  <c r="I242" i="76"/>
  <c r="C176" i="76"/>
  <c r="K384" i="76"/>
  <c r="K320" i="76"/>
  <c r="C242" i="76"/>
  <c r="C168" i="76"/>
  <c r="F183" i="76"/>
  <c r="C225" i="76"/>
  <c r="H47" i="76"/>
  <c r="L286" i="76"/>
  <c r="C231" i="76"/>
  <c r="K286" i="76"/>
  <c r="D169" i="76"/>
  <c r="H171" i="76"/>
  <c r="C264" i="76"/>
  <c r="M221" i="76"/>
  <c r="G234" i="76"/>
  <c r="L314" i="76"/>
  <c r="C163" i="76"/>
  <c r="H310" i="76"/>
  <c r="C198" i="76"/>
  <c r="Q17" i="25"/>
  <c r="F82" i="25" s="1"/>
  <c r="C351" i="77"/>
  <c r="C223" i="77"/>
  <c r="C373" i="77"/>
  <c r="C245" i="77"/>
  <c r="C411" i="77"/>
  <c r="C283" i="77"/>
  <c r="C155" i="77"/>
  <c r="C15" i="77"/>
  <c r="C321" i="77"/>
  <c r="C193" i="77"/>
  <c r="C53" i="77"/>
  <c r="D412" i="77"/>
  <c r="D380" i="77"/>
  <c r="D348" i="77"/>
  <c r="D316" i="77"/>
  <c r="D284" i="77"/>
  <c r="D252" i="77"/>
  <c r="D220" i="77"/>
  <c r="D188" i="77"/>
  <c r="D156" i="77"/>
  <c r="D48" i="77"/>
  <c r="D16" i="77"/>
  <c r="C420" i="77"/>
  <c r="C388" i="77"/>
  <c r="C356" i="77"/>
  <c r="C324" i="77"/>
  <c r="C292" i="77"/>
  <c r="C260" i="77"/>
  <c r="C228" i="77"/>
  <c r="C196" i="77"/>
  <c r="C164" i="77"/>
  <c r="C56" i="77"/>
  <c r="C24" i="77"/>
  <c r="D393" i="77"/>
  <c r="D361" i="77"/>
  <c r="D329" i="77"/>
  <c r="D297" i="77"/>
  <c r="D265" i="77"/>
  <c r="D233" i="77"/>
  <c r="D201" i="77"/>
  <c r="D169" i="77"/>
  <c r="D137" i="77"/>
  <c r="D61" i="77"/>
  <c r="D29" i="77"/>
  <c r="K330" i="76"/>
  <c r="E386" i="76"/>
  <c r="M340" i="76"/>
  <c r="M298" i="76"/>
  <c r="J168" i="76"/>
  <c r="J274" i="76"/>
  <c r="K222" i="76"/>
  <c r="C177" i="76"/>
  <c r="H273" i="76"/>
  <c r="G189" i="76"/>
  <c r="G269" i="76"/>
  <c r="F229" i="76"/>
  <c r="C383" i="76"/>
  <c r="I415" i="76"/>
  <c r="H260" i="76"/>
  <c r="L241" i="76"/>
  <c r="M248" i="76"/>
  <c r="K275" i="76"/>
  <c r="E156" i="76"/>
  <c r="D367" i="76"/>
  <c r="J204" i="76"/>
  <c r="I215" i="76"/>
  <c r="G247" i="76"/>
  <c r="H3" i="76"/>
  <c r="H311" i="76"/>
  <c r="H25" i="25"/>
  <c r="C90" i="25" s="1"/>
  <c r="K252" i="76"/>
  <c r="G213" i="76"/>
  <c r="M296" i="76"/>
  <c r="F313" i="76"/>
  <c r="C189" i="76"/>
  <c r="L197" i="76"/>
  <c r="E208" i="76"/>
  <c r="K246" i="76"/>
  <c r="E418" i="76"/>
  <c r="C279" i="76"/>
  <c r="D158" i="76"/>
  <c r="I304" i="76"/>
  <c r="F374" i="76"/>
  <c r="F203" i="76"/>
  <c r="H315" i="76"/>
  <c r="C174" i="76"/>
  <c r="H197" i="76"/>
  <c r="M300" i="76"/>
  <c r="L203" i="76"/>
  <c r="G278" i="76"/>
  <c r="F208" i="76"/>
  <c r="L254" i="76"/>
  <c r="K253" i="76"/>
  <c r="E173" i="76"/>
  <c r="I269" i="76"/>
  <c r="I156" i="76"/>
  <c r="J241" i="76"/>
  <c r="M156" i="76"/>
  <c r="K234" i="76"/>
  <c r="G231" i="76"/>
  <c r="G347" i="76"/>
  <c r="K400" i="76"/>
  <c r="H188" i="76"/>
  <c r="F289" i="76"/>
  <c r="F225" i="76"/>
  <c r="C294" i="76"/>
  <c r="L183" i="76"/>
  <c r="D287" i="76"/>
  <c r="G301" i="76"/>
  <c r="D351" i="76"/>
  <c r="E47" i="76"/>
  <c r="K202" i="76"/>
  <c r="G313" i="76"/>
  <c r="K232" i="76"/>
  <c r="F175" i="76"/>
  <c r="D216" i="76"/>
  <c r="K282" i="76"/>
  <c r="E258" i="76"/>
  <c r="E358" i="76"/>
  <c r="I399" i="76"/>
  <c r="L42" i="76"/>
  <c r="F167" i="76"/>
  <c r="H210" i="76"/>
  <c r="F241" i="76"/>
  <c r="L293" i="76"/>
  <c r="M201" i="76"/>
  <c r="D155" i="76"/>
  <c r="D252" i="76"/>
  <c r="M167" i="76"/>
  <c r="I210" i="76"/>
  <c r="D275" i="76"/>
  <c r="M190" i="76"/>
  <c r="C268" i="76"/>
  <c r="M324" i="76"/>
  <c r="J297" i="76"/>
  <c r="F334" i="76"/>
  <c r="M224" i="76"/>
  <c r="M251" i="76"/>
  <c r="H186" i="76"/>
  <c r="I270" i="76"/>
  <c r="D174" i="76"/>
  <c r="L219" i="76"/>
  <c r="K271" i="76"/>
  <c r="C157" i="76"/>
  <c r="C296" i="76"/>
  <c r="C338" i="76"/>
  <c r="G18" i="76"/>
  <c r="D34" i="76"/>
  <c r="I174" i="76"/>
  <c r="D219" i="76"/>
  <c r="C271" i="76"/>
  <c r="M295" i="76"/>
  <c r="I180" i="76"/>
  <c r="C228" i="76"/>
  <c r="F274" i="76"/>
  <c r="K169" i="76"/>
  <c r="K162" i="76"/>
  <c r="D221" i="76"/>
  <c r="G267" i="76"/>
  <c r="K269" i="76"/>
  <c r="E214" i="76"/>
  <c r="I290" i="76"/>
  <c r="G368" i="76"/>
  <c r="J333" i="76"/>
  <c r="K409" i="76"/>
  <c r="M378" i="76"/>
  <c r="C53" i="76"/>
  <c r="K168" i="76"/>
  <c r="M189" i="76"/>
  <c r="L233" i="76"/>
  <c r="K242" i="76"/>
  <c r="D290" i="76"/>
  <c r="F150" i="76"/>
  <c r="G203" i="76"/>
  <c r="I238" i="76"/>
  <c r="M269" i="76"/>
  <c r="H295" i="76"/>
  <c r="M173" i="76"/>
  <c r="C195" i="76"/>
  <c r="K216" i="76"/>
  <c r="K239" i="76"/>
  <c r="K215" i="76"/>
  <c r="E295" i="76"/>
  <c r="I227" i="76"/>
  <c r="F304" i="76"/>
  <c r="K340" i="76"/>
  <c r="K367" i="76"/>
  <c r="D382" i="76"/>
  <c r="E56" i="76"/>
  <c r="G25" i="76"/>
  <c r="G389" i="76"/>
  <c r="E348" i="76"/>
  <c r="H409" i="76"/>
  <c r="E364" i="76"/>
  <c r="E322" i="76"/>
  <c r="C193" i="76"/>
  <c r="H243" i="76"/>
  <c r="J212" i="76"/>
  <c r="H169" i="76"/>
  <c r="C235" i="76"/>
  <c r="E186" i="76"/>
  <c r="K306" i="76"/>
  <c r="H226" i="76"/>
  <c r="C153" i="76"/>
  <c r="D43" i="76"/>
  <c r="F276" i="76"/>
  <c r="G219" i="76"/>
  <c r="F282" i="76"/>
  <c r="F163" i="76"/>
  <c r="L201" i="76"/>
  <c r="J396" i="76"/>
  <c r="I246" i="76"/>
  <c r="M202" i="76"/>
  <c r="M229" i="76"/>
  <c r="C309" i="76"/>
  <c r="E157" i="76"/>
  <c r="M166" i="76"/>
  <c r="C230" i="76"/>
  <c r="K280" i="76"/>
  <c r="M284" i="76"/>
  <c r="I205" i="76"/>
  <c r="L303" i="76"/>
  <c r="C205" i="76"/>
  <c r="C406" i="77"/>
  <c r="C374" i="77"/>
  <c r="C342" i="77"/>
  <c r="C310" i="77"/>
  <c r="C278" i="77"/>
  <c r="C246" i="77"/>
  <c r="C214" i="77"/>
  <c r="C182" i="77"/>
  <c r="C150" i="77"/>
  <c r="C42" i="77"/>
  <c r="C10" i="77"/>
  <c r="D419" i="77"/>
  <c r="D387" i="77"/>
  <c r="D355" i="77"/>
  <c r="D323" i="77"/>
  <c r="D291" i="77"/>
  <c r="D259" i="77"/>
  <c r="D227" i="77"/>
  <c r="D195" i="77"/>
  <c r="D163" i="77"/>
  <c r="D55" i="77"/>
  <c r="D23" i="77"/>
  <c r="H371" i="76"/>
  <c r="J403" i="76"/>
  <c r="G358" i="76"/>
  <c r="G316" i="76"/>
  <c r="E177" i="76"/>
  <c r="J237" i="76"/>
  <c r="G206" i="76"/>
  <c r="J163" i="76"/>
  <c r="J228" i="76"/>
  <c r="E168" i="76"/>
  <c r="H299" i="76"/>
  <c r="E219" i="76"/>
  <c r="H400" i="76"/>
  <c r="L19" i="76"/>
  <c r="C286" i="76"/>
  <c r="D265" i="76"/>
  <c r="E272" i="76"/>
  <c r="I163" i="76"/>
  <c r="H206" i="76"/>
  <c r="E371" i="76"/>
  <c r="C226" i="76"/>
  <c r="C208" i="76"/>
  <c r="E261" i="76"/>
  <c r="C277" i="76"/>
  <c r="D157" i="76"/>
  <c r="D314" i="76"/>
  <c r="F206" i="76"/>
  <c r="H257" i="76"/>
  <c r="H267" i="76"/>
  <c r="K213" i="76"/>
  <c r="L279" i="76"/>
  <c r="K181" i="76"/>
  <c r="H21" i="25"/>
  <c r="C86" i="25" s="1"/>
  <c r="C319" i="77"/>
  <c r="C191" i="77"/>
  <c r="C51" i="77"/>
  <c r="C341" i="77"/>
  <c r="C213" i="77"/>
  <c r="C379" i="77"/>
  <c r="C251" i="77"/>
  <c r="C417" i="77"/>
  <c r="C289" i="77"/>
  <c r="C161" i="77"/>
  <c r="C21" i="77"/>
  <c r="D404" i="77"/>
  <c r="D372" i="77"/>
  <c r="D340" i="77"/>
  <c r="D308" i="77"/>
  <c r="D276" i="77"/>
  <c r="D244" i="77"/>
  <c r="D212" i="77"/>
  <c r="D180" i="77"/>
  <c r="D148" i="77"/>
  <c r="D40" i="77"/>
  <c r="D8" i="77"/>
  <c r="C412" i="77"/>
  <c r="C380" i="77"/>
  <c r="C348" i="77"/>
  <c r="C316" i="77"/>
  <c r="B530" i="72"/>
  <c r="BM43" i="15"/>
  <c r="EQ43" i="15"/>
  <c r="EW43" i="15" s="1"/>
  <c r="B534" i="72"/>
  <c r="EQ47" i="15"/>
  <c r="EW47" i="15" s="1"/>
  <c r="BM47" i="15"/>
  <c r="EQ44" i="15"/>
  <c r="EW44" i="15" s="1"/>
  <c r="F216" i="76"/>
  <c r="L154" i="76"/>
  <c r="M182" i="76"/>
  <c r="E175" i="76"/>
  <c r="M235" i="76"/>
  <c r="L273" i="76"/>
  <c r="E312" i="76"/>
  <c r="K186" i="76"/>
  <c r="K193" i="76"/>
  <c r="M179" i="76"/>
  <c r="E204" i="76"/>
  <c r="L301" i="76"/>
  <c r="D389" i="76"/>
  <c r="G248" i="76"/>
  <c r="F209" i="76"/>
  <c r="M164" i="76"/>
  <c r="H266" i="76"/>
  <c r="M350" i="76"/>
  <c r="C408" i="76"/>
  <c r="D176" i="76"/>
  <c r="D273" i="76"/>
  <c r="J252" i="76"/>
  <c r="E188" i="76"/>
  <c r="I244" i="76"/>
  <c r="I195" i="76"/>
  <c r="H237" i="76"/>
  <c r="G294" i="76"/>
  <c r="C243" i="76"/>
  <c r="L369" i="76"/>
  <c r="E411" i="76"/>
  <c r="H54" i="76"/>
  <c r="D19" i="77"/>
  <c r="D51" i="77"/>
  <c r="D159" i="77"/>
  <c r="D191" i="77"/>
  <c r="D223" i="77"/>
  <c r="D255" i="77"/>
  <c r="D287" i="77"/>
  <c r="D319" i="77"/>
  <c r="D351" i="77"/>
  <c r="D383" i="77"/>
  <c r="D415" i="77"/>
  <c r="C6" i="77"/>
  <c r="C38" i="77"/>
  <c r="C146" i="77"/>
  <c r="C178" i="77"/>
  <c r="C210" i="77"/>
  <c r="C242" i="77"/>
  <c r="C274" i="77"/>
  <c r="C306" i="77"/>
  <c r="C338" i="77"/>
  <c r="C370" i="77"/>
  <c r="C402" i="77"/>
  <c r="D22" i="77"/>
  <c r="D54" i="77"/>
  <c r="D162" i="77"/>
  <c r="D194" i="77"/>
  <c r="D226" i="77"/>
  <c r="D258" i="77"/>
  <c r="D290" i="77"/>
  <c r="D322" i="77"/>
  <c r="D354" i="77"/>
  <c r="D386" i="77"/>
  <c r="D418" i="77"/>
  <c r="C217" i="77"/>
  <c r="C345" i="77"/>
  <c r="C39" i="77"/>
  <c r="C179" i="77"/>
  <c r="C307" i="77"/>
  <c r="C141" i="77"/>
  <c r="C269" i="77"/>
  <c r="C397" i="77"/>
  <c r="C247" i="77"/>
  <c r="C375" i="77"/>
  <c r="M165" i="76"/>
  <c r="G270" i="76"/>
  <c r="L223" i="76"/>
  <c r="M236" i="76"/>
  <c r="E234" i="76"/>
  <c r="J190" i="76"/>
  <c r="L290" i="76"/>
  <c r="M155" i="76"/>
  <c r="D311" i="76"/>
  <c r="M237" i="76"/>
  <c r="H269" i="76"/>
  <c r="D325" i="76"/>
  <c r="I381" i="76"/>
  <c r="M187" i="76"/>
  <c r="M199" i="76"/>
  <c r="L162" i="76"/>
  <c r="L346" i="76"/>
  <c r="L167" i="76"/>
  <c r="K219" i="76"/>
  <c r="G187" i="76"/>
  <c r="G250" i="76"/>
  <c r="G183" i="76"/>
  <c r="K266" i="76"/>
  <c r="F266" i="76"/>
  <c r="D356" i="76"/>
  <c r="K13" i="76"/>
  <c r="C24" i="39"/>
  <c r="C63" i="39" s="1"/>
  <c r="BC43" i="39"/>
  <c r="BB43" i="39" s="1"/>
  <c r="BC22" i="39"/>
  <c r="BB22" i="39" s="1"/>
  <c r="C25" i="39"/>
  <c r="C64" i="39" s="1"/>
  <c r="C44" i="39"/>
  <c r="C83" i="39" s="1"/>
  <c r="BC36" i="39"/>
  <c r="BB36" i="39" s="1"/>
  <c r="C32" i="39"/>
  <c r="C71" i="39" s="1"/>
  <c r="BC24" i="39"/>
  <c r="BB24" i="39" s="1"/>
  <c r="BC25" i="39"/>
  <c r="BB25" i="39" s="1"/>
  <c r="C33" i="39"/>
  <c r="C72" i="39" s="1"/>
  <c r="BC28" i="39"/>
  <c r="BB28" i="39" s="1"/>
  <c r="B522" i="72"/>
  <c r="D5" i="77"/>
  <c r="D45" i="77"/>
  <c r="D145" i="77"/>
  <c r="D185" i="77"/>
  <c r="D225" i="77"/>
  <c r="D273" i="77"/>
  <c r="D313" i="77"/>
  <c r="D353" i="77"/>
  <c r="D401" i="77"/>
  <c r="C8" i="77"/>
  <c r="C48" i="77"/>
  <c r="C148" i="77"/>
  <c r="C188" i="77"/>
  <c r="C236" i="77"/>
  <c r="C276" i="77"/>
  <c r="C332" i="77"/>
  <c r="C396" i="77"/>
  <c r="D24" i="77"/>
  <c r="D164" i="77"/>
  <c r="D228" i="77"/>
  <c r="D292" i="77"/>
  <c r="D356" i="77"/>
  <c r="D420" i="77"/>
  <c r="C225" i="77"/>
  <c r="C47" i="77"/>
  <c r="C315" i="77"/>
  <c r="C149" i="77"/>
  <c r="C405" i="77"/>
  <c r="C255" i="77"/>
  <c r="D207" i="76"/>
  <c r="F207" i="76"/>
  <c r="C161" i="76"/>
  <c r="J277" i="76"/>
  <c r="K191" i="76"/>
  <c r="J269" i="76"/>
  <c r="J16" i="76"/>
  <c r="H207" i="76"/>
  <c r="C322" i="76"/>
  <c r="F12" i="76"/>
  <c r="M241" i="76"/>
  <c r="M192" i="76"/>
  <c r="J183" i="76"/>
  <c r="J317" i="76"/>
  <c r="M326" i="76"/>
  <c r="C369" i="76"/>
  <c r="D7" i="77"/>
  <c r="D147" i="77"/>
  <c r="D211" i="77"/>
  <c r="D275" i="77"/>
  <c r="D339" i="77"/>
  <c r="D403" i="77"/>
  <c r="C26" i="77"/>
  <c r="C166" i="77"/>
  <c r="C230" i="77"/>
  <c r="C294" i="77"/>
  <c r="C358" i="77"/>
  <c r="C422" i="77"/>
  <c r="G163" i="76"/>
  <c r="I199" i="76"/>
  <c r="J222" i="76"/>
  <c r="E254" i="76"/>
  <c r="C181" i="76"/>
  <c r="F355" i="76"/>
  <c r="M213" i="76"/>
  <c r="M181" i="76"/>
  <c r="J354" i="76"/>
  <c r="M207" i="76"/>
  <c r="C165" i="76"/>
  <c r="J273" i="76"/>
  <c r="I266" i="76"/>
  <c r="L291" i="76"/>
  <c r="F21" i="76"/>
  <c r="K377" i="76"/>
  <c r="L397" i="76"/>
  <c r="I352" i="76"/>
  <c r="I310" i="76"/>
  <c r="M153" i="76"/>
  <c r="L231" i="76"/>
  <c r="J189" i="76"/>
  <c r="L157" i="76"/>
  <c r="J205" i="76"/>
  <c r="G205" i="76"/>
  <c r="K290" i="76"/>
  <c r="M211" i="76"/>
  <c r="J394" i="76"/>
  <c r="F37" i="76"/>
  <c r="L348" i="76"/>
  <c r="H230" i="76"/>
  <c r="E243" i="76"/>
  <c r="H215" i="76"/>
  <c r="L270" i="76"/>
  <c r="J193" i="76"/>
  <c r="G227" i="76"/>
  <c r="I194" i="76"/>
  <c r="F383" i="76"/>
  <c r="K372" i="76"/>
  <c r="F297" i="76"/>
  <c r="H198" i="76"/>
  <c r="C204" i="76"/>
  <c r="H277" i="76"/>
  <c r="J323" i="76"/>
  <c r="M244" i="76"/>
  <c r="M170" i="76"/>
  <c r="J187" i="76"/>
  <c r="J177" i="76"/>
  <c r="L151" i="76"/>
  <c r="G264" i="76"/>
  <c r="E369" i="76"/>
  <c r="C319" i="76"/>
  <c r="J312" i="76"/>
  <c r="E189" i="76"/>
  <c r="H193" i="76"/>
  <c r="I161" i="76"/>
  <c r="I362" i="76"/>
  <c r="F238" i="76"/>
  <c r="H187" i="76"/>
  <c r="M262" i="76"/>
  <c r="F408" i="76"/>
  <c r="M263" i="76"/>
  <c r="K160" i="76"/>
  <c r="E235" i="76"/>
  <c r="C348" i="76"/>
  <c r="J207" i="76"/>
  <c r="J230" i="76"/>
  <c r="C244" i="76"/>
  <c r="H166" i="76"/>
  <c r="I177" i="76"/>
  <c r="H209" i="76"/>
  <c r="D203" i="76"/>
  <c r="E252" i="76"/>
  <c r="M268" i="76"/>
  <c r="K225" i="76"/>
  <c r="E169" i="76"/>
  <c r="H22" i="25"/>
  <c r="C87" i="25" s="1"/>
  <c r="Q20" i="25"/>
  <c r="F85" i="25" s="1"/>
  <c r="EQ26" i="8"/>
  <c r="EW26" i="8" s="1"/>
  <c r="BM26" i="8"/>
  <c r="B474" i="72"/>
  <c r="EQ32" i="14"/>
  <c r="EW32" i="14" s="1"/>
  <c r="AL19" i="72"/>
  <c r="AV19" i="72"/>
  <c r="EQ46" i="14"/>
  <c r="EW46" i="14" s="1"/>
  <c r="AV13" i="72"/>
  <c r="AL13" i="72"/>
  <c r="BC39" i="39"/>
  <c r="BB39" i="39" s="1"/>
  <c r="C39" i="39"/>
  <c r="C78" i="39" s="1"/>
  <c r="C26" i="39"/>
  <c r="C65" i="39" s="1"/>
  <c r="BC35" i="39"/>
  <c r="BB35" i="39" s="1"/>
  <c r="BC37" i="39"/>
  <c r="BB37" i="39" s="1"/>
  <c r="C36" i="39"/>
  <c r="C75" i="39" s="1"/>
  <c r="C19" i="39"/>
  <c r="C58" i="39" s="1"/>
  <c r="C22" i="39"/>
  <c r="C61" i="39" s="1"/>
  <c r="BG13" i="39"/>
  <c r="C37" i="39"/>
  <c r="C76" i="39" s="1"/>
  <c r="C41" i="39"/>
  <c r="C80" i="39" s="1"/>
  <c r="BC34" i="39"/>
  <c r="BB34" i="39" s="1"/>
  <c r="BC40" i="39"/>
  <c r="BB40" i="39" s="1"/>
  <c r="BC32" i="39"/>
  <c r="BB32" i="39" s="1"/>
  <c r="C40" i="39"/>
  <c r="C79" i="39" s="1"/>
  <c r="EQ32" i="15"/>
  <c r="EW32" i="15" s="1"/>
  <c r="BM32" i="15"/>
  <c r="B519" i="72"/>
  <c r="B523" i="72"/>
  <c r="BM36" i="15"/>
  <c r="EQ36" i="15"/>
  <c r="EW36" i="15" s="1"/>
  <c r="B524" i="72"/>
  <c r="EQ37" i="15"/>
  <c r="EW37" i="15" s="1"/>
  <c r="BM37" i="15"/>
  <c r="EQ28" i="15"/>
  <c r="EW28" i="15" s="1"/>
  <c r="B515" i="72"/>
  <c r="AL14" i="72"/>
  <c r="AV14" i="72"/>
  <c r="AL27" i="72"/>
  <c r="AV27" i="72"/>
  <c r="BM46" i="14"/>
  <c r="AL22" i="72"/>
  <c r="AV22" i="72"/>
  <c r="AB48" i="15"/>
  <c r="AB49" i="15"/>
  <c r="AB50" i="15"/>
  <c r="BM20" i="15"/>
  <c r="BM34" i="15"/>
  <c r="EQ34" i="15"/>
  <c r="EW34" i="15" s="1"/>
  <c r="B521" i="72"/>
  <c r="EQ39" i="15"/>
  <c r="EW39" i="15" s="1"/>
  <c r="BM39" i="15"/>
  <c r="B526" i="72"/>
  <c r="AV29" i="72"/>
  <c r="AL29" i="72"/>
  <c r="E270" i="76"/>
  <c r="D175" i="76"/>
  <c r="D205" i="76"/>
  <c r="M194" i="76"/>
  <c r="K176" i="76"/>
  <c r="K250" i="76"/>
  <c r="L274" i="76"/>
  <c r="J203" i="76"/>
  <c r="F212" i="76"/>
  <c r="F204" i="76"/>
  <c r="D303" i="76"/>
  <c r="J264" i="76"/>
  <c r="H238" i="76"/>
  <c r="L255" i="76"/>
  <c r="K248" i="76"/>
  <c r="M168" i="76"/>
  <c r="G305" i="76"/>
  <c r="M289" i="76"/>
  <c r="I35" i="76"/>
  <c r="C196" i="76"/>
  <c r="M273" i="76"/>
  <c r="H157" i="76"/>
  <c r="L155" i="76"/>
  <c r="D276" i="76"/>
  <c r="I168" i="76"/>
  <c r="F193" i="76"/>
  <c r="I275" i="76"/>
  <c r="D242" i="76"/>
  <c r="F350" i="76"/>
  <c r="K38" i="76"/>
  <c r="D396" i="76"/>
  <c r="W16" i="25"/>
  <c r="H81" i="25" s="1"/>
  <c r="D27" i="77"/>
  <c r="D59" i="77"/>
  <c r="D135" i="77"/>
  <c r="D167" i="77"/>
  <c r="D199" i="77"/>
  <c r="D231" i="77"/>
  <c r="D263" i="77"/>
  <c r="D295" i="77"/>
  <c r="D327" i="77"/>
  <c r="D359" i="77"/>
  <c r="D391" i="77"/>
  <c r="C3" i="77"/>
  <c r="C14" i="77"/>
  <c r="C46" i="77"/>
  <c r="C154" i="77"/>
  <c r="C186" i="77"/>
  <c r="C218" i="77"/>
  <c r="C250" i="77"/>
  <c r="C282" i="77"/>
  <c r="C314" i="77"/>
  <c r="C346" i="77"/>
  <c r="C378" i="77"/>
  <c r="C410" i="77"/>
  <c r="D30" i="77"/>
  <c r="D62" i="77"/>
  <c r="D138" i="77"/>
  <c r="D170" i="77"/>
  <c r="D202" i="77"/>
  <c r="D234" i="77"/>
  <c r="D266" i="77"/>
  <c r="D298" i="77"/>
  <c r="D330" i="77"/>
  <c r="D362" i="77"/>
  <c r="D394" i="77"/>
  <c r="C249" i="77"/>
  <c r="C377" i="77"/>
  <c r="C211" i="77"/>
  <c r="C339" i="77"/>
  <c r="C33" i="77"/>
  <c r="C173" i="77"/>
  <c r="C301" i="77"/>
  <c r="C11" i="77"/>
  <c r="C151" i="77"/>
  <c r="C279" i="77"/>
  <c r="C407" i="77"/>
  <c r="N21" i="25"/>
  <c r="E86" i="25" s="1"/>
  <c r="C187" i="76"/>
  <c r="E287" i="76"/>
  <c r="M162" i="76"/>
  <c r="F284" i="76"/>
  <c r="I265" i="76"/>
  <c r="G212" i="76"/>
  <c r="D210" i="76"/>
  <c r="K166" i="76"/>
  <c r="G169" i="76"/>
  <c r="I276" i="76"/>
  <c r="G246" i="76"/>
  <c r="K335" i="76"/>
  <c r="L227" i="76"/>
  <c r="M205" i="76"/>
  <c r="F221" i="76"/>
  <c r="H297" i="76"/>
  <c r="L413" i="76"/>
  <c r="C154" i="76"/>
  <c r="C261" i="76"/>
  <c r="G209" i="76"/>
  <c r="L283" i="76"/>
  <c r="D204" i="76"/>
  <c r="E300" i="76"/>
  <c r="H280" i="76"/>
  <c r="I359" i="76"/>
  <c r="F60" i="76"/>
  <c r="BM36" i="14"/>
  <c r="C27" i="39"/>
  <c r="C66" i="39" s="1"/>
  <c r="BC26" i="39"/>
  <c r="BB26" i="39" s="1"/>
  <c r="BC27" i="39"/>
  <c r="BB27" i="39" s="1"/>
  <c r="C18" i="39"/>
  <c r="C23" i="39"/>
  <c r="C62" i="39" s="1"/>
  <c r="BC41" i="39"/>
  <c r="BB41" i="39" s="1"/>
  <c r="C35" i="39"/>
  <c r="C74" i="39" s="1"/>
  <c r="BC19" i="39"/>
  <c r="BB19" i="39" s="1"/>
  <c r="BC30" i="39"/>
  <c r="BB30" i="39" s="1"/>
  <c r="C42" i="39"/>
  <c r="C81" i="39" s="1"/>
  <c r="BC29" i="39"/>
  <c r="BB29" i="39" s="1"/>
  <c r="BM24" i="15"/>
  <c r="W24" i="25"/>
  <c r="H89" i="25" s="1"/>
  <c r="D13" i="77"/>
  <c r="D53" i="77"/>
  <c r="D153" i="77"/>
  <c r="D193" i="77"/>
  <c r="D241" i="77"/>
  <c r="D281" i="77"/>
  <c r="D321" i="77"/>
  <c r="D369" i="77"/>
  <c r="D409" i="77"/>
  <c r="C16" i="77"/>
  <c r="C156" i="77"/>
  <c r="C204" i="77"/>
  <c r="C244" i="77"/>
  <c r="C284" i="77"/>
  <c r="C340" i="77"/>
  <c r="C404" i="77"/>
  <c r="D32" i="77"/>
  <c r="D172" i="77"/>
  <c r="D236" i="77"/>
  <c r="D300" i="77"/>
  <c r="D364" i="77"/>
  <c r="C257" i="77"/>
  <c r="C347" i="77"/>
  <c r="C181" i="77"/>
  <c r="C19" i="77"/>
  <c r="C287" i="77"/>
  <c r="C255" i="76"/>
  <c r="C260" i="76"/>
  <c r="G185" i="76"/>
  <c r="J359" i="76"/>
  <c r="K229" i="76"/>
  <c r="H286" i="76"/>
  <c r="D150" i="76"/>
  <c r="I233" i="76"/>
  <c r="E187" i="76"/>
  <c r="L58" i="76"/>
  <c r="C250" i="76"/>
  <c r="G244" i="76"/>
  <c r="L200" i="76"/>
  <c r="C301" i="76"/>
  <c r="H254" i="76"/>
  <c r="D342" i="76"/>
  <c r="B198" i="72"/>
  <c r="BM44" i="15"/>
  <c r="D15" i="77"/>
  <c r="D155" i="77"/>
  <c r="D219" i="77"/>
  <c r="D283" i="77"/>
  <c r="D347" i="77"/>
  <c r="D411" i="77"/>
  <c r="C34" i="77"/>
  <c r="C174" i="77"/>
  <c r="C238" i="77"/>
  <c r="C302" i="77"/>
  <c r="C366" i="77"/>
  <c r="J180" i="76"/>
  <c r="H184" i="76"/>
  <c r="D218" i="76"/>
  <c r="H307" i="76"/>
  <c r="J261" i="76"/>
  <c r="D195" i="76"/>
  <c r="G307" i="76"/>
  <c r="E255" i="76"/>
  <c r="E200" i="76"/>
  <c r="K353" i="76"/>
  <c r="H180" i="76"/>
  <c r="F166" i="76"/>
  <c r="K153" i="76"/>
  <c r="G251" i="76"/>
  <c r="H242" i="76"/>
  <c r="G329" i="76"/>
  <c r="BM32" i="14"/>
  <c r="J276" i="76"/>
  <c r="K373" i="76"/>
  <c r="F329" i="76"/>
  <c r="K284" i="76"/>
  <c r="H318" i="76"/>
  <c r="C263" i="76"/>
  <c r="D211" i="76"/>
  <c r="G165" i="76"/>
  <c r="L261" i="76"/>
  <c r="J157" i="76"/>
  <c r="F273" i="76"/>
  <c r="F213" i="76"/>
  <c r="E363" i="76"/>
  <c r="C14" i="76"/>
  <c r="H324" i="76"/>
  <c r="E237" i="76"/>
  <c r="H259" i="76"/>
  <c r="G199" i="76"/>
  <c r="D243" i="76"/>
  <c r="D167" i="76"/>
  <c r="I248" i="76"/>
  <c r="J174" i="76"/>
  <c r="D296" i="76"/>
  <c r="F319" i="76"/>
  <c r="I240" i="76"/>
  <c r="I166" i="76"/>
  <c r="L181" i="76"/>
  <c r="I223" i="76"/>
  <c r="M283" i="76"/>
  <c r="G229" i="76"/>
  <c r="F285" i="76"/>
  <c r="J167" i="76"/>
  <c r="J165" i="76"/>
  <c r="F172" i="76"/>
  <c r="F197" i="76"/>
  <c r="C315" i="76"/>
  <c r="J286" i="76"/>
  <c r="C306" i="76"/>
  <c r="D168" i="76"/>
  <c r="K173" i="76"/>
  <c r="M339" i="76"/>
  <c r="M282" i="76"/>
  <c r="F215" i="76"/>
  <c r="H222" i="76"/>
  <c r="L211" i="76"/>
  <c r="E332" i="76"/>
  <c r="C258" i="76"/>
  <c r="M264" i="76"/>
  <c r="C202" i="76"/>
  <c r="L318" i="76"/>
  <c r="I188" i="76"/>
  <c r="K198" i="76"/>
  <c r="D200" i="76"/>
  <c r="L266" i="76"/>
  <c r="G421" i="76"/>
  <c r="H182" i="76"/>
  <c r="G387" i="76"/>
  <c r="K227" i="76"/>
  <c r="G207" i="76"/>
  <c r="G175" i="76"/>
  <c r="M252" i="76"/>
  <c r="L347" i="76"/>
  <c r="C357" i="76"/>
  <c r="AV17" i="72"/>
  <c r="AL17" i="72"/>
  <c r="J28" i="76"/>
  <c r="I289" i="76"/>
  <c r="I363" i="76"/>
  <c r="D4" i="76"/>
  <c r="G35" i="76"/>
  <c r="D36" i="76"/>
  <c r="E61" i="76"/>
  <c r="I218" i="76"/>
  <c r="I387" i="76"/>
  <c r="J326" i="76"/>
  <c r="C19" i="76"/>
  <c r="T23" i="25"/>
  <c r="G88" i="25" s="1"/>
  <c r="G55" i="76"/>
  <c r="H185" i="76"/>
  <c r="L250" i="76"/>
  <c r="D300" i="76"/>
  <c r="L14" i="76"/>
  <c r="J148" i="76"/>
  <c r="K22" i="25"/>
  <c r="D87" i="25" s="1"/>
  <c r="T24" i="25"/>
  <c r="G89" i="25" s="1"/>
  <c r="W18" i="25"/>
  <c r="H83" i="25" s="1"/>
  <c r="K422" i="76"/>
  <c r="E148" i="76"/>
  <c r="J381" i="76"/>
  <c r="L288" i="76"/>
  <c r="F389" i="76"/>
  <c r="F317" i="76"/>
  <c r="E33" i="76"/>
  <c r="E315" i="76"/>
  <c r="J61" i="76"/>
  <c r="M367" i="76"/>
  <c r="J208" i="76"/>
  <c r="D379" i="76"/>
  <c r="F3" i="76"/>
  <c r="W21" i="25"/>
  <c r="H86" i="25" s="1"/>
  <c r="G224" i="76"/>
  <c r="E286" i="76"/>
  <c r="J340" i="76"/>
  <c r="H372" i="76"/>
  <c r="G402" i="76"/>
  <c r="L338" i="76"/>
  <c r="H52" i="76"/>
  <c r="W20" i="25"/>
  <c r="H85" i="25" s="1"/>
  <c r="T17" i="25"/>
  <c r="G82" i="25" s="1"/>
  <c r="H20" i="25"/>
  <c r="C85" i="25" s="1"/>
  <c r="I331" i="76"/>
  <c r="K149" i="76"/>
  <c r="L175" i="76"/>
  <c r="E283" i="76"/>
  <c r="G330" i="76"/>
  <c r="F32" i="76"/>
  <c r="I3" i="76"/>
  <c r="W22" i="25"/>
  <c r="H87" i="25" s="1"/>
  <c r="C30" i="38"/>
  <c r="C69" i="38" s="1"/>
  <c r="BC30" i="38"/>
  <c r="BB30" i="38" s="1"/>
  <c r="BC36" i="38"/>
  <c r="BB36" i="38" s="1"/>
  <c r="BC32" i="38"/>
  <c r="BB32" i="38" s="1"/>
  <c r="C35" i="38"/>
  <c r="C74" i="38" s="1"/>
  <c r="C19" i="38"/>
  <c r="C58" i="38" s="1"/>
  <c r="BC37" i="38"/>
  <c r="BB37" i="38" s="1"/>
  <c r="BC25" i="38"/>
  <c r="BB25" i="38" s="1"/>
  <c r="BC43" i="38"/>
  <c r="BB43" i="38" s="1"/>
  <c r="BC44" i="38"/>
  <c r="BB44" i="38" s="1"/>
  <c r="C36" i="38"/>
  <c r="C75" i="38" s="1"/>
  <c r="C20" i="38"/>
  <c r="C59" i="38" s="1"/>
  <c r="C41" i="38"/>
  <c r="C80" i="38" s="1"/>
  <c r="C25" i="38"/>
  <c r="C64" i="38" s="1"/>
  <c r="BC33" i="38"/>
  <c r="BB33" i="38" s="1"/>
  <c r="EQ35" i="5"/>
  <c r="EW35" i="5" s="1"/>
  <c r="B246" i="72"/>
  <c r="EQ25" i="14"/>
  <c r="EW25" i="14" s="1"/>
  <c r="B513" i="72"/>
  <c r="B532" i="72"/>
  <c r="BM23" i="15"/>
  <c r="AL33" i="72"/>
  <c r="C42" i="38"/>
  <c r="C81" i="38" s="1"/>
  <c r="C26" i="38"/>
  <c r="C65" i="38" s="1"/>
  <c r="BG13" i="38"/>
  <c r="BC41" i="38"/>
  <c r="BB41" i="38" s="1"/>
  <c r="BC39" i="38"/>
  <c r="BB39" i="38" s="1"/>
  <c r="C31" i="38"/>
  <c r="C70" i="38" s="1"/>
  <c r="B18" i="38"/>
  <c r="B57" i="38" s="1"/>
  <c r="BC42" i="38"/>
  <c r="BB42" i="38" s="1"/>
  <c r="BC19" i="38"/>
  <c r="BB19" i="38" s="1"/>
  <c r="BC22" i="38"/>
  <c r="BB22" i="38" s="1"/>
  <c r="BD13" i="38"/>
  <c r="BB18" i="38" s="1"/>
  <c r="C32" i="38"/>
  <c r="C71" i="38" s="1"/>
  <c r="AO30" i="38"/>
  <c r="C37" i="38"/>
  <c r="C76" i="38" s="1"/>
  <c r="C21" i="38"/>
  <c r="C60" i="38" s="1"/>
  <c r="BC40" i="38"/>
  <c r="BB40" i="38" s="1"/>
  <c r="EQ45" i="6"/>
  <c r="EW45" i="6" s="1"/>
  <c r="B72" i="72"/>
  <c r="EQ29" i="9"/>
  <c r="EW29" i="9" s="1"/>
  <c r="EQ37" i="8"/>
  <c r="EW37" i="8" s="1"/>
  <c r="BM25" i="14"/>
  <c r="EQ22" i="15"/>
  <c r="EW22" i="15" s="1"/>
  <c r="B510" i="72"/>
  <c r="C38" i="38"/>
  <c r="C77" i="38" s="1"/>
  <c r="C22" i="38"/>
  <c r="C61" i="38" s="1"/>
  <c r="BC35" i="38"/>
  <c r="BB35" i="38" s="1"/>
  <c r="BC20" i="38"/>
  <c r="BB20" i="38" s="1"/>
  <c r="C43" i="38"/>
  <c r="C82" i="38" s="1"/>
  <c r="C27" i="38"/>
  <c r="C66" i="38" s="1"/>
  <c r="BC28" i="38"/>
  <c r="BB28" i="38" s="1"/>
  <c r="BC18" i="38"/>
  <c r="BC31" i="38"/>
  <c r="BB31" i="38" s="1"/>
  <c r="BC29" i="38"/>
  <c r="BB29" i="38" s="1"/>
  <c r="N13" i="38"/>
  <c r="O13" i="38" s="1"/>
  <c r="C28" i="38"/>
  <c r="C67" i="38" s="1"/>
  <c r="B17" i="38"/>
  <c r="B55" i="38" s="1"/>
  <c r="C33" i="38"/>
  <c r="C72" i="38" s="1"/>
  <c r="J336" i="76"/>
  <c r="J30" i="76"/>
  <c r="D20" i="76"/>
  <c r="H15" i="25"/>
  <c r="C80" i="25" s="1"/>
  <c r="N16" i="25"/>
  <c r="E81" i="25" s="1"/>
  <c r="T15" i="25"/>
  <c r="G80" i="25" s="1"/>
  <c r="Q21" i="25"/>
  <c r="F86" i="25" s="1"/>
  <c r="G416" i="76"/>
  <c r="C363" i="76"/>
  <c r="D323" i="76"/>
  <c r="G197" i="76"/>
  <c r="H36" i="76"/>
  <c r="G390" i="76"/>
  <c r="K395" i="76"/>
  <c r="I7" i="76"/>
  <c r="G38" i="76"/>
  <c r="L334" i="76"/>
  <c r="M349" i="76"/>
  <c r="L316" i="76"/>
  <c r="E239" i="76"/>
  <c r="L196" i="76"/>
  <c r="J360" i="76"/>
  <c r="M408" i="76"/>
  <c r="M398" i="76"/>
  <c r="K218" i="76"/>
  <c r="G410" i="76"/>
  <c r="L12" i="76"/>
  <c r="D32" i="76"/>
  <c r="M321" i="76"/>
  <c r="C16" i="76"/>
  <c r="J368" i="76"/>
  <c r="M365" i="76"/>
  <c r="D177" i="76"/>
  <c r="I41" i="76"/>
  <c r="G375" i="76"/>
  <c r="E17" i="76"/>
  <c r="E359" i="76"/>
  <c r="M382" i="76"/>
  <c r="C186" i="76"/>
  <c r="E30" i="76"/>
  <c r="D26" i="76"/>
  <c r="L27" i="76"/>
  <c r="J341" i="76"/>
  <c r="H341" i="76"/>
  <c r="K310" i="76"/>
  <c r="I171" i="76"/>
  <c r="F15" i="76"/>
  <c r="H342" i="76"/>
  <c r="E248" i="76"/>
  <c r="G378" i="76"/>
  <c r="I392" i="76"/>
  <c r="N20" i="25"/>
  <c r="E85" i="25" s="1"/>
  <c r="T21" i="25"/>
  <c r="G86" i="25" s="1"/>
  <c r="K20" i="25"/>
  <c r="D85" i="25" s="1"/>
  <c r="G27" i="76"/>
  <c r="E396" i="76"/>
  <c r="F57" i="76"/>
  <c r="F359" i="76"/>
  <c r="K262" i="76"/>
  <c r="C173" i="76"/>
  <c r="L60" i="76"/>
  <c r="E13" i="76"/>
  <c r="I46" i="76"/>
  <c r="I367" i="76"/>
  <c r="F403" i="76"/>
  <c r="D15" i="76"/>
  <c r="C358" i="76"/>
  <c r="H326" i="76"/>
  <c r="C316" i="76"/>
  <c r="C233" i="76"/>
  <c r="K175" i="76"/>
  <c r="E28" i="76"/>
  <c r="D362" i="76"/>
  <c r="I408" i="76"/>
  <c r="L147" i="76"/>
  <c r="L395" i="76"/>
  <c r="K411" i="76"/>
  <c r="G54" i="76"/>
  <c r="J342" i="76"/>
  <c r="G369" i="76"/>
  <c r="E343" i="76"/>
  <c r="C18" i="76"/>
  <c r="M6" i="76"/>
  <c r="L421" i="76"/>
  <c r="I4" i="76"/>
  <c r="J298" i="76"/>
  <c r="M297" i="76"/>
  <c r="C238" i="76"/>
  <c r="E405" i="76"/>
  <c r="I24" i="76"/>
  <c r="H67" i="6"/>
  <c r="N67" i="6" s="1"/>
  <c r="DK38" i="6" s="1"/>
  <c r="H24" i="25"/>
  <c r="C89" i="25" s="1"/>
  <c r="G382" i="76"/>
  <c r="F7" i="76"/>
  <c r="F412" i="76"/>
  <c r="F323" i="76"/>
  <c r="E209" i="76"/>
  <c r="H149" i="76"/>
  <c r="J14" i="76"/>
  <c r="F14" i="76"/>
  <c r="F23" i="76"/>
  <c r="D54" i="76"/>
  <c r="C380" i="76"/>
  <c r="L410" i="76"/>
  <c r="K334" i="76"/>
  <c r="H369" i="76"/>
  <c r="C292" i="76"/>
  <c r="I241" i="76"/>
  <c r="F381" i="76"/>
  <c r="M18" i="76"/>
  <c r="J294" i="76"/>
  <c r="M147" i="76"/>
  <c r="G59" i="76"/>
  <c r="F385" i="76"/>
  <c r="L46" i="76"/>
  <c r="I403" i="76"/>
  <c r="K308" i="76"/>
  <c r="H406" i="76"/>
  <c r="E26" i="76"/>
  <c r="L352" i="76"/>
  <c r="I62" i="76"/>
  <c r="I45" i="76"/>
  <c r="E385" i="76"/>
  <c r="M386" i="76"/>
  <c r="L382" i="76"/>
  <c r="G339" i="76"/>
  <c r="J299" i="76"/>
  <c r="E184" i="76"/>
  <c r="K261" i="76"/>
  <c r="I332" i="76"/>
  <c r="D226" i="76"/>
  <c r="AF16" i="74"/>
  <c r="AE16" i="74" s="1"/>
  <c r="AF10" i="74"/>
  <c r="AE10" i="74" s="1"/>
  <c r="AF25" i="74"/>
  <c r="AE25" i="74" s="1"/>
  <c r="AF29" i="74"/>
  <c r="AE29" i="74" s="1"/>
  <c r="AF15" i="74"/>
  <c r="AE15" i="74" s="1"/>
  <c r="AF27" i="74"/>
  <c r="AE27" i="74" s="1"/>
  <c r="AC38" i="74"/>
  <c r="AB38" i="74" s="1"/>
  <c r="AF36" i="74"/>
  <c r="AE36" i="74" s="1"/>
  <c r="AF14" i="74"/>
  <c r="AE14" i="74" s="1"/>
  <c r="AF20" i="74"/>
  <c r="AE20" i="74" s="1"/>
  <c r="AF30" i="74"/>
  <c r="AE30" i="74" s="1"/>
  <c r="AF26" i="74"/>
  <c r="AE26" i="74" s="1"/>
  <c r="AF13" i="74"/>
  <c r="AE13" i="74" s="1"/>
  <c r="AF34" i="74"/>
  <c r="AE34" i="74" s="1"/>
  <c r="AF31" i="74"/>
  <c r="AE31" i="74" s="1"/>
  <c r="AF37" i="74"/>
  <c r="AE37" i="74" s="1"/>
  <c r="AC35" i="74"/>
  <c r="AB35" i="74" s="1"/>
  <c r="AF12" i="74"/>
  <c r="AE12" i="74" s="1"/>
  <c r="AF9" i="74"/>
  <c r="AE9" i="74" s="1"/>
  <c r="AF17" i="74"/>
  <c r="AE17" i="74" s="1"/>
  <c r="AF22" i="74"/>
  <c r="AE22" i="74" s="1"/>
  <c r="AF33" i="74"/>
  <c r="AE33" i="74" s="1"/>
  <c r="AF18" i="74"/>
  <c r="AE18" i="74" s="1"/>
  <c r="AF19" i="74"/>
  <c r="AE19" i="74" s="1"/>
  <c r="AF35" i="74"/>
  <c r="AE35" i="74" s="1"/>
  <c r="AC37" i="74"/>
  <c r="AB37" i="74" s="1"/>
  <c r="AF21" i="74"/>
  <c r="AE21" i="74" s="1"/>
  <c r="AF28" i="74"/>
  <c r="AE28" i="74" s="1"/>
  <c r="AF32" i="74"/>
  <c r="AE32" i="74" s="1"/>
  <c r="AF24" i="74"/>
  <c r="AE24" i="74" s="1"/>
  <c r="AF11" i="74"/>
  <c r="AE11" i="74" s="1"/>
  <c r="AF23" i="74"/>
  <c r="AE23" i="74" s="1"/>
  <c r="AC36" i="74"/>
  <c r="AB36" i="74" s="1"/>
  <c r="AF38" i="74"/>
  <c r="AE38" i="74" s="1"/>
  <c r="BM22" i="6"/>
  <c r="EQ22" i="6"/>
  <c r="EW22" i="6" s="1"/>
  <c r="B104" i="72"/>
  <c r="EQ21" i="8"/>
  <c r="EW21" i="8" s="1"/>
  <c r="BM21" i="8"/>
  <c r="B193" i="72"/>
  <c r="F200" i="76"/>
  <c r="M288" i="76"/>
  <c r="L262" i="76"/>
  <c r="K43" i="76"/>
  <c r="E41" i="76"/>
  <c r="C43" i="76"/>
  <c r="C308" i="76"/>
  <c r="K347" i="76"/>
  <c r="I325" i="76"/>
  <c r="E36" i="76"/>
  <c r="F395" i="76"/>
  <c r="F40" i="76"/>
  <c r="L358" i="76"/>
  <c r="L416" i="76"/>
  <c r="I38" i="76"/>
  <c r="E9" i="76"/>
  <c r="L156" i="76"/>
  <c r="F217" i="76"/>
  <c r="D261" i="76"/>
  <c r="F261" i="76"/>
  <c r="G282" i="76"/>
  <c r="H276" i="76"/>
  <c r="F311" i="76"/>
  <c r="L329" i="76"/>
  <c r="M358" i="76"/>
  <c r="L312" i="76"/>
  <c r="L356" i="76"/>
  <c r="K321" i="76"/>
  <c r="F353" i="76"/>
  <c r="H362" i="76"/>
  <c r="F400" i="76"/>
  <c r="G10" i="76"/>
  <c r="F45" i="76"/>
  <c r="I355" i="76"/>
  <c r="I398" i="76"/>
  <c r="H14" i="76"/>
  <c r="I43" i="76"/>
  <c r="J348" i="76"/>
  <c r="J402" i="76"/>
  <c r="K12" i="76"/>
  <c r="L41" i="76"/>
  <c r="C418" i="76"/>
  <c r="M3" i="76"/>
  <c r="I412" i="76"/>
  <c r="C178" i="76"/>
  <c r="H262" i="76"/>
  <c r="D349" i="76"/>
  <c r="M360" i="76"/>
  <c r="F41" i="76"/>
  <c r="H10" i="76"/>
  <c r="J398" i="76"/>
  <c r="C402" i="76"/>
  <c r="H44" i="76"/>
  <c r="J389" i="76"/>
  <c r="J62" i="76"/>
  <c r="E357" i="76"/>
  <c r="I410" i="76"/>
  <c r="J310" i="76"/>
  <c r="F220" i="76"/>
  <c r="J300" i="76"/>
  <c r="M338" i="76"/>
  <c r="F352" i="76"/>
  <c r="C366" i="76"/>
  <c r="I20" i="76"/>
  <c r="K56" i="76"/>
  <c r="D380" i="76"/>
  <c r="C248" i="76"/>
  <c r="L349" i="76"/>
  <c r="L308" i="76"/>
  <c r="C397" i="76"/>
  <c r="H59" i="76"/>
  <c r="I418" i="76"/>
  <c r="D46" i="76"/>
  <c r="K387" i="76"/>
  <c r="H9" i="76"/>
  <c r="G44" i="76"/>
  <c r="K55" i="76"/>
  <c r="M195" i="76"/>
  <c r="M206" i="76"/>
  <c r="D199" i="76"/>
  <c r="K294" i="76"/>
  <c r="D294" i="76"/>
  <c r="L285" i="76"/>
  <c r="M322" i="76"/>
  <c r="J335" i="76"/>
  <c r="K364" i="76"/>
  <c r="I333" i="76"/>
  <c r="J362" i="76"/>
  <c r="C330" i="76"/>
  <c r="M364" i="76"/>
  <c r="C377" i="76"/>
  <c r="D406" i="76"/>
  <c r="C22" i="76"/>
  <c r="D51" i="76"/>
  <c r="D375" i="76"/>
  <c r="E410" i="76"/>
  <c r="F20" i="76"/>
  <c r="G49" i="76"/>
  <c r="G379" i="76"/>
  <c r="H408" i="76"/>
  <c r="I18" i="76"/>
  <c r="H53" i="76"/>
  <c r="F22" i="76"/>
  <c r="I404" i="76"/>
  <c r="L16" i="76"/>
  <c r="K190" i="76"/>
  <c r="C321" i="76"/>
  <c r="I329" i="76"/>
  <c r="H346" i="76"/>
  <c r="F290" i="76"/>
  <c r="K33" i="76"/>
  <c r="M421" i="76"/>
  <c r="E416" i="76"/>
  <c r="M148" i="76"/>
  <c r="M412" i="76"/>
  <c r="C149" i="76"/>
  <c r="E277" i="76"/>
  <c r="H359" i="76"/>
  <c r="I55" i="76"/>
  <c r="H20" i="76"/>
  <c r="E274" i="76"/>
  <c r="H282" i="76"/>
  <c r="E362" i="76"/>
  <c r="H327" i="76"/>
  <c r="BM27" i="15"/>
  <c r="EQ27" i="15"/>
  <c r="EW27" i="15" s="1"/>
  <c r="EQ30" i="15"/>
  <c r="EW30" i="15" s="1"/>
  <c r="B517" i="72"/>
  <c r="BM30" i="15"/>
  <c r="AV31" i="72"/>
  <c r="AL31" i="72"/>
  <c r="EF12" i="15"/>
  <c r="EI20" i="15"/>
  <c r="EH12" i="15"/>
  <c r="EI12" i="15" s="1"/>
  <c r="AV35" i="72"/>
  <c r="AL35" i="72"/>
  <c r="B514" i="72"/>
  <c r="K35" i="76"/>
  <c r="H316" i="76"/>
  <c r="H388" i="76"/>
  <c r="F419" i="76"/>
  <c r="D31" i="76"/>
  <c r="C374" i="76"/>
  <c r="J302" i="76"/>
  <c r="D251" i="76"/>
  <c r="E281" i="76"/>
  <c r="H420" i="76"/>
  <c r="C269" i="76"/>
  <c r="E45" i="76"/>
  <c r="C57" i="76"/>
  <c r="H390" i="76"/>
  <c r="M318" i="76"/>
  <c r="C51" i="76"/>
  <c r="F59" i="76"/>
  <c r="F414" i="76"/>
  <c r="C61" i="76"/>
  <c r="C416" i="76"/>
  <c r="M56" i="76"/>
  <c r="K417" i="76"/>
  <c r="K370" i="76"/>
  <c r="H368" i="76"/>
  <c r="I229" i="76"/>
  <c r="E263" i="76"/>
  <c r="K305" i="76"/>
  <c r="E269" i="76"/>
  <c r="C184" i="76"/>
  <c r="F244" i="76"/>
  <c r="I393" i="76"/>
  <c r="G5" i="76"/>
  <c r="J408" i="76"/>
  <c r="F367" i="76"/>
  <c r="D25" i="76"/>
  <c r="D24" i="76"/>
  <c r="K408" i="76"/>
  <c r="C291" i="76"/>
  <c r="E408" i="76"/>
  <c r="F39" i="76"/>
  <c r="H338" i="76"/>
  <c r="C396" i="76"/>
  <c r="L7" i="76"/>
  <c r="K350" i="76"/>
  <c r="K287" i="76"/>
  <c r="D197" i="76"/>
  <c r="H51" i="76"/>
  <c r="L149" i="76"/>
  <c r="M5" i="76"/>
  <c r="H40" i="76"/>
  <c r="M416" i="76"/>
  <c r="H49" i="76"/>
  <c r="E406" i="76"/>
  <c r="J282" i="76"/>
  <c r="G277" i="76"/>
  <c r="C36" i="76"/>
  <c r="C391" i="76"/>
  <c r="K37" i="76"/>
  <c r="K392" i="76"/>
  <c r="J33" i="76"/>
  <c r="H394" i="76"/>
  <c r="H347" i="76"/>
  <c r="E345" i="76"/>
  <c r="D353" i="76"/>
  <c r="H305" i="76"/>
  <c r="G322" i="76"/>
  <c r="L237" i="76"/>
  <c r="C164" i="76"/>
  <c r="K32" i="76"/>
  <c r="I335" i="76"/>
  <c r="H389" i="76"/>
  <c r="H367" i="76"/>
  <c r="C281" i="76"/>
  <c r="C25" i="76"/>
  <c r="D190" i="76"/>
  <c r="F406" i="76"/>
  <c r="I354" i="76"/>
  <c r="H244" i="76"/>
  <c r="H337" i="76"/>
  <c r="M380" i="76"/>
  <c r="C324" i="76"/>
  <c r="I395" i="76"/>
  <c r="C8" i="76"/>
  <c r="C232" i="76"/>
  <c r="D332" i="76"/>
  <c r="E326" i="76"/>
  <c r="H5" i="76"/>
  <c r="H383" i="76"/>
  <c r="H35" i="76"/>
  <c r="D407" i="76"/>
  <c r="F25" i="76"/>
  <c r="H379" i="76"/>
  <c r="I375" i="76"/>
  <c r="G367" i="76"/>
  <c r="E413" i="76"/>
  <c r="J365" i="76"/>
  <c r="L420" i="76"/>
  <c r="G353" i="76"/>
  <c r="M150" i="76"/>
  <c r="L232" i="76"/>
  <c r="F268" i="76"/>
  <c r="G296" i="76"/>
  <c r="F326" i="76"/>
  <c r="H361" i="76"/>
  <c r="K299" i="76"/>
  <c r="M341" i="76"/>
  <c r="E365" i="76"/>
  <c r="I326" i="76"/>
  <c r="C350" i="76"/>
  <c r="F373" i="76"/>
  <c r="I379" i="76"/>
  <c r="L402" i="76"/>
  <c r="D7" i="76"/>
  <c r="G30" i="76"/>
  <c r="E44" i="76"/>
  <c r="D348" i="76"/>
  <c r="K26" i="76"/>
  <c r="E242" i="76"/>
  <c r="C303" i="76"/>
  <c r="F411" i="76"/>
  <c r="H321" i="76"/>
  <c r="C393" i="76"/>
  <c r="F36" i="76"/>
  <c r="C326" i="76"/>
  <c r="C390" i="76"/>
  <c r="F356" i="76"/>
  <c r="E384" i="76"/>
  <c r="L336" i="76"/>
  <c r="J382" i="76"/>
  <c r="I303" i="76"/>
  <c r="L55" i="76"/>
  <c r="J401" i="76"/>
  <c r="M410" i="76"/>
  <c r="G48" i="76"/>
  <c r="H227" i="76"/>
  <c r="F281" i="76"/>
  <c r="L212" i="76"/>
  <c r="J319" i="76"/>
  <c r="C344" i="76"/>
  <c r="D373" i="76"/>
  <c r="F330" i="76"/>
  <c r="I353" i="76"/>
  <c r="I285" i="76"/>
  <c r="G338" i="76"/>
  <c r="J361" i="76"/>
  <c r="G349" i="76"/>
  <c r="E391" i="76"/>
  <c r="H414" i="76"/>
  <c r="K18" i="76"/>
  <c r="C42" i="76"/>
  <c r="M301" i="76"/>
  <c r="J383" i="76"/>
  <c r="M406" i="76"/>
  <c r="E11" i="76"/>
  <c r="H34" i="76"/>
  <c r="K57" i="76"/>
  <c r="D376" i="76"/>
  <c r="G399" i="76"/>
  <c r="J422" i="76"/>
  <c r="M26" i="76"/>
  <c r="E50" i="76"/>
  <c r="M404" i="76"/>
  <c r="F5" i="76"/>
  <c r="M418" i="76"/>
  <c r="E251" i="76"/>
  <c r="L38" i="76"/>
  <c r="J351" i="76"/>
  <c r="M377" i="76"/>
  <c r="C347" i="76"/>
  <c r="E368" i="76"/>
  <c r="G340" i="76"/>
  <c r="J397" i="76"/>
  <c r="L315" i="76"/>
  <c r="L284" i="76"/>
  <c r="H270" i="76"/>
  <c r="G359" i="76"/>
  <c r="E344" i="76"/>
  <c r="D372" i="76"/>
  <c r="F420" i="76"/>
  <c r="L47" i="76"/>
  <c r="K365" i="76"/>
  <c r="D401" i="76"/>
  <c r="C17" i="76"/>
  <c r="K324" i="76"/>
  <c r="L391" i="76"/>
  <c r="E354" i="76"/>
  <c r="I54" i="76"/>
  <c r="H363" i="76"/>
  <c r="C52" i="76"/>
  <c r="L392" i="76"/>
  <c r="C342" i="76"/>
  <c r="H413" i="76"/>
  <c r="I53" i="76"/>
  <c r="K381" i="76"/>
  <c r="K22" i="76"/>
  <c r="D206" i="76"/>
  <c r="E299" i="76"/>
  <c r="E338" i="76"/>
  <c r="F322" i="76"/>
  <c r="C371" i="76"/>
  <c r="L355" i="76"/>
  <c r="G385" i="76"/>
  <c r="M12" i="76"/>
  <c r="J53" i="76"/>
  <c r="L377" i="76"/>
  <c r="K412" i="76"/>
  <c r="L22" i="76"/>
  <c r="M51" i="76"/>
  <c r="M381" i="76"/>
  <c r="C411" i="76"/>
  <c r="D21" i="76"/>
  <c r="C56" i="76"/>
  <c r="H32" i="76"/>
  <c r="H148" i="76"/>
  <c r="D180" i="76"/>
  <c r="E201" i="76"/>
  <c r="M222" i="76"/>
  <c r="M245" i="76"/>
  <c r="H250" i="76"/>
  <c r="M247" i="76"/>
  <c r="G317" i="76"/>
  <c r="H293" i="76"/>
  <c r="D317" i="76"/>
  <c r="E321" i="76"/>
  <c r="F347" i="76"/>
  <c r="I370" i="76"/>
  <c r="K327" i="76"/>
  <c r="C351" i="76"/>
  <c r="D266" i="76"/>
  <c r="L335" i="76"/>
  <c r="D359" i="76"/>
  <c r="E339" i="76"/>
  <c r="J388" i="76"/>
  <c r="M411" i="76"/>
  <c r="E16" i="76"/>
  <c r="H39" i="76"/>
  <c r="K62" i="76"/>
  <c r="D381" i="76"/>
  <c r="G404" i="76"/>
  <c r="J8" i="76"/>
  <c r="M31" i="76"/>
  <c r="E55" i="76"/>
  <c r="K371" i="76"/>
  <c r="L396" i="76"/>
  <c r="D420" i="76"/>
  <c r="G24" i="76"/>
  <c r="J47" i="76"/>
  <c r="K394" i="76"/>
  <c r="K341" i="76"/>
  <c r="D40" i="76"/>
  <c r="I155" i="76"/>
  <c r="E253" i="76"/>
  <c r="J295" i="76"/>
  <c r="G372" i="76"/>
  <c r="J337" i="76"/>
  <c r="K413" i="76"/>
  <c r="L51" i="76"/>
  <c r="EQ20" i="15"/>
  <c r="EW20" i="15" s="1"/>
  <c r="B507" i="72"/>
  <c r="C45" i="18"/>
  <c r="C84" i="18" s="1"/>
  <c r="EI20" i="5"/>
  <c r="BM46" i="15"/>
  <c r="B533" i="72"/>
  <c r="C329" i="76"/>
  <c r="BZ90" i="5"/>
  <c r="E14" i="51" s="1"/>
  <c r="DK38" i="5"/>
  <c r="L292" i="76"/>
  <c r="D238" i="76"/>
  <c r="H380" i="76"/>
  <c r="D23" i="76"/>
  <c r="J334" i="76"/>
  <c r="D299" i="76"/>
  <c r="E37" i="76"/>
  <c r="I397" i="76"/>
  <c r="I308" i="76"/>
  <c r="I411" i="76"/>
  <c r="K67" i="8"/>
  <c r="H67" i="7"/>
  <c r="N67" i="7" s="1"/>
  <c r="F165" i="76"/>
  <c r="E419" i="76"/>
  <c r="I9" i="76"/>
  <c r="M149" i="76"/>
  <c r="I13" i="76"/>
  <c r="D293" i="76"/>
  <c r="K380" i="76"/>
  <c r="I189" i="76"/>
  <c r="J373" i="76"/>
  <c r="D58" i="76"/>
  <c r="I17" i="76"/>
  <c r="L378" i="76"/>
  <c r="M11" i="76"/>
  <c r="C414" i="76"/>
  <c r="K245" i="76"/>
  <c r="M414" i="76"/>
  <c r="C27" i="76"/>
  <c r="C55" i="76"/>
  <c r="E6" i="76"/>
  <c r="G19" i="76"/>
  <c r="K398" i="76"/>
  <c r="F182" i="76"/>
  <c r="L220" i="76"/>
  <c r="I324" i="76"/>
  <c r="F287" i="76"/>
  <c r="F302" i="76"/>
  <c r="L365" i="76"/>
  <c r="F346" i="76"/>
  <c r="D331" i="76"/>
  <c r="F306" i="76"/>
  <c r="E407" i="76"/>
  <c r="K34" i="76"/>
  <c r="G376" i="76"/>
  <c r="M422" i="76"/>
  <c r="H50" i="76"/>
  <c r="D392" i="76"/>
  <c r="J19" i="76"/>
  <c r="L375" i="76"/>
  <c r="H201" i="76"/>
  <c r="I278" i="76"/>
  <c r="H319" i="76"/>
  <c r="C284" i="76"/>
  <c r="D292" i="76"/>
  <c r="F363" i="76"/>
  <c r="K343" i="76"/>
  <c r="I328" i="76"/>
  <c r="D220" i="76"/>
  <c r="J404" i="76"/>
  <c r="E32" i="76"/>
  <c r="F372" i="76"/>
  <c r="G420" i="76"/>
  <c r="M47" i="76"/>
  <c r="I389" i="76"/>
  <c r="D17" i="76"/>
  <c r="F340" i="76"/>
  <c r="C11" i="76"/>
  <c r="G288" i="76"/>
  <c r="L331" i="76"/>
  <c r="D377" i="76"/>
  <c r="G20" i="76"/>
  <c r="F405" i="76"/>
  <c r="J34" i="76"/>
  <c r="L56" i="76"/>
  <c r="J147" i="76"/>
  <c r="C34" i="76"/>
  <c r="J153" i="76"/>
  <c r="E196" i="76"/>
  <c r="H57" i="76"/>
  <c r="H279" i="76"/>
  <c r="H335" i="76"/>
  <c r="C24" i="76"/>
  <c r="I309" i="76"/>
  <c r="L59" i="76"/>
  <c r="E293" i="76"/>
  <c r="H214" i="76"/>
  <c r="I29" i="76"/>
  <c r="H381" i="76"/>
  <c r="F327" i="76"/>
  <c r="C59" i="76"/>
  <c r="M176" i="76"/>
  <c r="J369" i="76"/>
  <c r="E58" i="76"/>
  <c r="G9" i="76"/>
  <c r="K52" i="76"/>
  <c r="J409" i="76"/>
  <c r="E161" i="76"/>
  <c r="J201" i="76"/>
  <c r="J265" i="76"/>
  <c r="M307" i="76"/>
  <c r="G312" i="76"/>
  <c r="I342" i="76"/>
  <c r="E317" i="76"/>
  <c r="I369" i="76"/>
  <c r="G354" i="76"/>
  <c r="M383" i="76"/>
  <c r="H11" i="76"/>
  <c r="C58" i="76"/>
  <c r="J399" i="76"/>
  <c r="E27" i="76"/>
  <c r="C353" i="76"/>
  <c r="G415" i="76"/>
  <c r="M42" i="76"/>
  <c r="M49" i="76"/>
  <c r="C151" i="76"/>
  <c r="J224" i="76"/>
  <c r="H255" i="76"/>
  <c r="L302" i="76"/>
  <c r="L309" i="76"/>
  <c r="C340" i="76"/>
  <c r="C307" i="76"/>
  <c r="C367" i="76"/>
  <c r="L351" i="76"/>
  <c r="G381" i="76"/>
  <c r="M8" i="76"/>
  <c r="H55" i="76"/>
  <c r="D397" i="76"/>
  <c r="J24" i="76"/>
  <c r="L342" i="76"/>
  <c r="L412" i="76"/>
  <c r="G40" i="76"/>
  <c r="K39" i="76"/>
  <c r="I33" i="76"/>
  <c r="L229" i="76"/>
  <c r="I366" i="76"/>
  <c r="M407" i="76"/>
  <c r="E51" i="76"/>
  <c r="L304" i="76"/>
  <c r="J347" i="76"/>
  <c r="C48" i="76"/>
  <c r="J405" i="76"/>
  <c r="J305" i="76"/>
  <c r="J355" i="76"/>
  <c r="G332" i="76"/>
  <c r="H325" i="76"/>
  <c r="E302" i="76"/>
  <c r="M259" i="76"/>
  <c r="I287" i="76"/>
  <c r="E304" i="76"/>
  <c r="H212" i="76"/>
  <c r="L209" i="76"/>
  <c r="C167" i="76"/>
  <c r="H415" i="76"/>
  <c r="C60" i="76"/>
  <c r="H13" i="76"/>
  <c r="H38" i="76"/>
  <c r="E395" i="76"/>
  <c r="D411" i="76"/>
  <c r="K40" i="76"/>
  <c r="H397" i="76"/>
  <c r="E352" i="76"/>
  <c r="E310" i="76"/>
  <c r="H152" i="76"/>
  <c r="J414" i="76"/>
  <c r="C333" i="76"/>
  <c r="C7" i="76"/>
  <c r="E10" i="76"/>
  <c r="G345" i="76"/>
  <c r="K311" i="76"/>
  <c r="M250" i="76"/>
  <c r="D318" i="76"/>
  <c r="J4" i="76"/>
  <c r="E305" i="76"/>
  <c r="I57" i="76"/>
  <c r="K28" i="76"/>
  <c r="I59" i="76"/>
  <c r="H385" i="76"/>
  <c r="F416" i="76"/>
  <c r="E340" i="76"/>
  <c r="M374" i="76"/>
  <c r="E298" i="76"/>
  <c r="G263" i="76"/>
  <c r="K165" i="76"/>
  <c r="G422" i="76"/>
  <c r="K403" i="76"/>
  <c r="I15" i="76"/>
  <c r="G46" i="76"/>
  <c r="L366" i="76"/>
  <c r="M357" i="76"/>
  <c r="M330" i="76"/>
  <c r="J284" i="76"/>
  <c r="J221" i="76"/>
  <c r="H29" i="76"/>
  <c r="F338" i="76"/>
  <c r="K206" i="76"/>
  <c r="L414" i="76"/>
  <c r="L54" i="76"/>
  <c r="L24" i="76"/>
  <c r="H353" i="76"/>
  <c r="H62" i="76"/>
  <c r="D308" i="76"/>
  <c r="L313" i="76"/>
  <c r="D289" i="76"/>
  <c r="L310" i="76"/>
  <c r="I184" i="76"/>
  <c r="H271" i="76"/>
  <c r="F271" i="76"/>
  <c r="D188" i="76"/>
  <c r="L411" i="76"/>
  <c r="E25" i="76"/>
  <c r="K36" i="76"/>
  <c r="E409" i="76"/>
  <c r="E335" i="76"/>
  <c r="I301" i="76"/>
  <c r="F344" i="76"/>
  <c r="F9" i="76"/>
  <c r="H308" i="76"/>
  <c r="M256" i="76"/>
  <c r="J353" i="76"/>
  <c r="K11" i="76"/>
  <c r="C41" i="76"/>
  <c r="K397" i="76"/>
  <c r="G356" i="76"/>
  <c r="C35" i="76"/>
  <c r="M43" i="76"/>
  <c r="D147" i="76"/>
  <c r="K378" i="76"/>
  <c r="M317" i="76"/>
  <c r="E185" i="76"/>
  <c r="L148" i="76"/>
  <c r="E412" i="76"/>
  <c r="E401" i="76"/>
  <c r="C13" i="76"/>
  <c r="L43" i="76"/>
  <c r="J356" i="76"/>
  <c r="G355" i="76"/>
  <c r="G328" i="76"/>
  <c r="H278" i="76"/>
  <c r="H211" i="76"/>
  <c r="F31" i="76"/>
  <c r="D62" i="76"/>
  <c r="C388" i="76"/>
  <c r="L418" i="76"/>
  <c r="K342" i="76"/>
  <c r="E247" i="76"/>
  <c r="K300" i="76"/>
  <c r="I273" i="76"/>
  <c r="M175" i="76"/>
  <c r="D330" i="76"/>
  <c r="E40" i="76"/>
  <c r="D384" i="76"/>
  <c r="L407" i="76"/>
  <c r="D22" i="76"/>
  <c r="E417" i="76"/>
  <c r="G211" i="76"/>
  <c r="E370" i="76"/>
  <c r="G398" i="76"/>
  <c r="G23" i="76"/>
  <c r="M368" i="76"/>
  <c r="D256" i="76"/>
  <c r="K211" i="76"/>
  <c r="G202" i="76"/>
  <c r="L182" i="76"/>
  <c r="H158" i="76"/>
  <c r="K19" i="76"/>
  <c r="F58" i="76"/>
  <c r="H48" i="76"/>
  <c r="G373" i="76"/>
  <c r="I42" i="76"/>
  <c r="F19" i="76"/>
  <c r="C415" i="76"/>
  <c r="K61" i="76"/>
  <c r="J387" i="76"/>
  <c r="H418" i="76"/>
  <c r="G342" i="76"/>
  <c r="J38" i="76"/>
  <c r="D346" i="76"/>
  <c r="M389" i="76"/>
  <c r="K420" i="76"/>
  <c r="I32" i="76"/>
  <c r="D250" i="76"/>
  <c r="D344" i="76"/>
  <c r="I293" i="76"/>
  <c r="E320" i="76"/>
  <c r="I152" i="76"/>
  <c r="K23" i="76"/>
  <c r="D418" i="76"/>
  <c r="F397" i="76"/>
  <c r="F30" i="76"/>
  <c r="I396" i="76"/>
  <c r="H33" i="76"/>
  <c r="M285" i="76"/>
  <c r="E390" i="76"/>
  <c r="C421" i="76"/>
  <c r="M344" i="76"/>
  <c r="F278" i="76"/>
  <c r="M302" i="76"/>
  <c r="D224" i="76"/>
  <c r="L153" i="76"/>
  <c r="K59" i="76"/>
  <c r="J6" i="76"/>
  <c r="C403" i="76"/>
  <c r="C389" i="76"/>
  <c r="H317" i="76"/>
  <c r="H407" i="76"/>
  <c r="G11" i="76"/>
  <c r="F26" i="76"/>
  <c r="I267" i="76"/>
  <c r="L52" i="76"/>
  <c r="D416" i="76"/>
  <c r="M27" i="76"/>
  <c r="K58" i="76"/>
  <c r="J384" i="76"/>
  <c r="F370" i="76"/>
  <c r="F343" i="76"/>
  <c r="G309" i="76"/>
  <c r="I206" i="76"/>
  <c r="K406" i="76"/>
  <c r="M392" i="76"/>
  <c r="H16" i="76"/>
  <c r="L57" i="76"/>
  <c r="I34" i="76"/>
  <c r="F11" i="76"/>
  <c r="C407" i="76"/>
  <c r="K383" i="76"/>
  <c r="G303" i="76"/>
  <c r="D42" i="76"/>
  <c r="L18" i="76"/>
  <c r="I414" i="76"/>
  <c r="F391" i="76"/>
  <c r="K349" i="76"/>
  <c r="J49" i="76"/>
  <c r="G26" i="76"/>
  <c r="D422" i="76"/>
  <c r="L398" i="76"/>
  <c r="H375" i="76"/>
  <c r="F369" i="76"/>
  <c r="C346" i="76"/>
  <c r="D316" i="76"/>
  <c r="E361" i="76"/>
  <c r="M337" i="76"/>
  <c r="K283" i="76"/>
  <c r="H357" i="76"/>
  <c r="E334" i="76"/>
  <c r="M239" i="76"/>
  <c r="C304" i="76"/>
  <c r="J268" i="76"/>
  <c r="E291" i="76"/>
  <c r="L307" i="76"/>
  <c r="E232" i="76"/>
  <c r="F255" i="76"/>
  <c r="D191" i="76"/>
  <c r="D171" i="76"/>
  <c r="E158" i="76"/>
  <c r="J26" i="76"/>
  <c r="G60" i="76"/>
  <c r="D37" i="76"/>
  <c r="L13" i="76"/>
  <c r="I409" i="76"/>
  <c r="F386" i="76"/>
  <c r="K329" i="76"/>
  <c r="J44" i="76"/>
  <c r="G21" i="76"/>
  <c r="D417" i="76"/>
  <c r="L393" i="76"/>
  <c r="M359" i="76"/>
  <c r="E52" i="76"/>
  <c r="M28" i="76"/>
  <c r="J5" i="76"/>
  <c r="G401" i="76"/>
  <c r="D378" i="76"/>
  <c r="L371" i="76"/>
  <c r="I348" i="76"/>
  <c r="M323" i="76"/>
  <c r="K363" i="76"/>
  <c r="H340" i="76"/>
  <c r="M293" i="76"/>
  <c r="C360" i="76"/>
  <c r="K336" i="76"/>
  <c r="K277" i="76"/>
  <c r="I306" i="76"/>
  <c r="J278" i="76"/>
  <c r="F296" i="76"/>
  <c r="M312" i="76"/>
  <c r="G242" i="76"/>
  <c r="H265" i="76"/>
  <c r="I211" i="76"/>
  <c r="G188" i="76"/>
  <c r="G168" i="76"/>
  <c r="H60" i="76"/>
  <c r="G386" i="76"/>
  <c r="I149" i="76"/>
  <c r="D415" i="76"/>
  <c r="F35" i="76"/>
  <c r="K407" i="76"/>
  <c r="M255" i="76"/>
  <c r="E404" i="76"/>
  <c r="C150" i="76"/>
  <c r="G407" i="76"/>
  <c r="C50" i="76"/>
  <c r="I361" i="76"/>
  <c r="M291" i="76"/>
  <c r="J20" i="76"/>
  <c r="M396" i="76"/>
  <c r="E149" i="76"/>
  <c r="K42" i="76"/>
  <c r="D274" i="76"/>
  <c r="D328" i="76"/>
  <c r="F410" i="76"/>
  <c r="H364" i="76"/>
  <c r="F27" i="76"/>
  <c r="C29" i="76"/>
  <c r="K30" i="76"/>
  <c r="M332" i="76"/>
  <c r="L289" i="76"/>
  <c r="H396" i="76"/>
  <c r="D39" i="76"/>
  <c r="J350" i="76"/>
  <c r="C245" i="76"/>
  <c r="L33" i="76"/>
  <c r="I401" i="76"/>
  <c r="I384" i="76"/>
  <c r="C412" i="76"/>
  <c r="J31" i="76"/>
  <c r="D343" i="76"/>
  <c r="E414" i="76"/>
  <c r="EW32" i="4"/>
  <c r="I28" i="76"/>
  <c r="C21" i="76"/>
  <c r="L404" i="76"/>
  <c r="D9" i="76"/>
  <c r="G32" i="76"/>
  <c r="J55" i="76"/>
  <c r="K7" i="76"/>
  <c r="D3" i="76"/>
  <c r="C398" i="76"/>
  <c r="C180" i="76"/>
  <c r="C200" i="76"/>
  <c r="E223" i="76"/>
  <c r="D277" i="76"/>
  <c r="C254" i="76"/>
  <c r="K318" i="76"/>
  <c r="D302" i="76"/>
  <c r="F283" i="76"/>
  <c r="H309" i="76"/>
  <c r="J290" i="76"/>
  <c r="J339" i="76"/>
  <c r="M362" i="76"/>
  <c r="I305" i="76"/>
  <c r="G343" i="76"/>
  <c r="J366" i="76"/>
  <c r="E328" i="76"/>
  <c r="H351" i="76"/>
  <c r="K374" i="76"/>
  <c r="C381" i="76"/>
  <c r="F404" i="76"/>
  <c r="I8" i="76"/>
  <c r="L31" i="76"/>
  <c r="D55" i="76"/>
  <c r="I371" i="76"/>
  <c r="K396" i="76"/>
  <c r="C420" i="76"/>
  <c r="F24" i="76"/>
  <c r="I47" i="76"/>
  <c r="G341" i="76"/>
  <c r="E389" i="76"/>
  <c r="H412" i="76"/>
  <c r="K16" i="76"/>
  <c r="C40" i="76"/>
  <c r="H334" i="76"/>
  <c r="F38" i="76"/>
  <c r="L169" i="76"/>
  <c r="L189" i="76"/>
  <c r="C213" i="76"/>
  <c r="M266" i="76"/>
  <c r="L243" i="76"/>
  <c r="J313" i="76"/>
  <c r="C297" i="76"/>
  <c r="D279" i="76"/>
  <c r="M306" i="76"/>
  <c r="K279" i="76"/>
  <c r="D337" i="76"/>
  <c r="G360" i="76"/>
  <c r="G295" i="76"/>
  <c r="L340" i="76"/>
  <c r="D364" i="76"/>
  <c r="J324" i="76"/>
  <c r="M348" i="76"/>
  <c r="E372" i="76"/>
  <c r="H378" i="76"/>
  <c r="K401" i="76"/>
  <c r="C6" i="76"/>
  <c r="F29" i="76"/>
  <c r="I52" i="76"/>
  <c r="G361" i="76"/>
  <c r="E394" i="76"/>
  <c r="H417" i="76"/>
  <c r="K21" i="76"/>
  <c r="C45" i="76"/>
  <c r="E331" i="76"/>
  <c r="J386" i="76"/>
  <c r="M409" i="76"/>
  <c r="E14" i="76"/>
  <c r="H37" i="76"/>
  <c r="K60" i="76"/>
  <c r="D28" i="76"/>
  <c r="D419" i="76"/>
  <c r="G418" i="76"/>
  <c r="I224" i="76"/>
  <c r="D286" i="76"/>
  <c r="J331" i="76"/>
  <c r="J358" i="76"/>
  <c r="K369" i="76"/>
  <c r="D47" i="76"/>
  <c r="F16" i="76"/>
  <c r="H404" i="76"/>
  <c r="F6" i="76"/>
  <c r="K147" i="76"/>
  <c r="D56" i="76"/>
  <c r="H395" i="76"/>
  <c r="C190" i="76"/>
  <c r="M271" i="76"/>
  <c r="C9" i="76"/>
  <c r="J372" i="76"/>
  <c r="K212" i="76"/>
  <c r="F312" i="76"/>
  <c r="K344" i="76"/>
  <c r="F214" i="76"/>
  <c r="D386" i="76"/>
  <c r="E60" i="76"/>
  <c r="G29" i="76"/>
  <c r="I417" i="76"/>
  <c r="J58" i="76"/>
  <c r="H4" i="76"/>
  <c r="F149" i="76"/>
  <c r="G414" i="76"/>
  <c r="G149" i="76"/>
  <c r="L368" i="76"/>
  <c r="K379" i="76"/>
  <c r="L44" i="76"/>
  <c r="H358" i="76"/>
  <c r="F44" i="76"/>
  <c r="J410" i="76"/>
  <c r="M14" i="76"/>
  <c r="E38" i="76"/>
  <c r="H61" i="76"/>
  <c r="C31" i="76"/>
  <c r="L8" i="76"/>
  <c r="F421" i="76"/>
  <c r="L172" i="76"/>
  <c r="M193" i="76"/>
  <c r="J215" i="76"/>
  <c r="J238" i="76"/>
  <c r="F173" i="76"/>
  <c r="G233" i="76"/>
  <c r="K313" i="76"/>
  <c r="F291" i="76"/>
  <c r="F315" i="76"/>
  <c r="M313" i="76"/>
  <c r="H345" i="76"/>
  <c r="K368" i="76"/>
  <c r="E325" i="76"/>
  <c r="E349" i="76"/>
  <c r="C237" i="76"/>
  <c r="C334" i="76"/>
  <c r="F357" i="76"/>
  <c r="M331" i="76"/>
  <c r="L386" i="76"/>
  <c r="D410" i="76"/>
  <c r="G14" i="76"/>
  <c r="J37" i="76"/>
  <c r="M60" i="76"/>
  <c r="F379" i="76"/>
  <c r="I402" i="76"/>
  <c r="L6" i="76"/>
  <c r="D30" i="76"/>
  <c r="G53" i="76"/>
  <c r="J364" i="76"/>
  <c r="C395" i="76"/>
  <c r="F418" i="76"/>
  <c r="I22" i="76"/>
  <c r="L45" i="76"/>
  <c r="H387" i="76"/>
  <c r="I61" i="76"/>
  <c r="J162" i="76"/>
  <c r="K183" i="76"/>
  <c r="I204" i="76"/>
  <c r="J226" i="76"/>
  <c r="D267" i="76"/>
  <c r="F325" i="76"/>
  <c r="J308" i="76"/>
  <c r="J287" i="76"/>
  <c r="K312" i="76"/>
  <c r="K303" i="76"/>
  <c r="M342" i="76"/>
  <c r="E366" i="76"/>
  <c r="J318" i="76"/>
  <c r="J346" i="76"/>
  <c r="M369" i="76"/>
  <c r="H331" i="76"/>
  <c r="K354" i="76"/>
  <c r="D312" i="76"/>
  <c r="F384" i="76"/>
  <c r="I407" i="76"/>
  <c r="L11" i="76"/>
  <c r="D35" i="76"/>
  <c r="G58" i="76"/>
  <c r="K376" i="76"/>
  <c r="C400" i="76"/>
  <c r="F4" i="76"/>
  <c r="I27" i="76"/>
  <c r="L50" i="76"/>
  <c r="H354" i="76"/>
  <c r="H392" i="76"/>
  <c r="K415" i="76"/>
  <c r="C20" i="76"/>
  <c r="F43" i="76"/>
  <c r="F377" i="76"/>
  <c r="G51" i="76"/>
  <c r="J22" i="76"/>
  <c r="D245" i="76"/>
  <c r="I255" i="76"/>
  <c r="M354" i="76"/>
  <c r="M305" i="76"/>
  <c r="F396" i="76"/>
  <c r="I339" i="76"/>
  <c r="I39" i="76"/>
  <c r="K8" i="76"/>
  <c r="E29" i="76"/>
  <c r="C406" i="76"/>
  <c r="K418" i="76"/>
  <c r="G3" i="76"/>
  <c r="E294" i="76"/>
  <c r="D371" i="76"/>
  <c r="D350" i="76"/>
  <c r="I347" i="76"/>
  <c r="I148" i="76"/>
  <c r="K235" i="76"/>
  <c r="E290" i="76"/>
  <c r="C368" i="76"/>
  <c r="F333" i="76"/>
  <c r="G409" i="76"/>
  <c r="I378" i="76"/>
  <c r="J52" i="76"/>
  <c r="L21" i="76"/>
  <c r="L370" i="76"/>
  <c r="I49" i="76"/>
  <c r="J18" i="76"/>
  <c r="M376" i="76"/>
  <c r="E383" i="76"/>
  <c r="G36" i="76"/>
  <c r="I420" i="76"/>
  <c r="E167" i="76"/>
  <c r="C401" i="76"/>
  <c r="H393" i="76"/>
  <c r="F328" i="76"/>
  <c r="H416" i="76"/>
  <c r="K20" i="76"/>
  <c r="C44" i="76"/>
  <c r="E380" i="76"/>
  <c r="F54" i="76"/>
  <c r="I25" i="76"/>
  <c r="F164" i="76"/>
  <c r="J188" i="76"/>
  <c r="C210" i="76"/>
  <c r="I230" i="76"/>
  <c r="M261" i="76"/>
  <c r="H287" i="76"/>
  <c r="I277" i="76"/>
  <c r="J236" i="76"/>
  <c r="L297" i="76"/>
  <c r="D321" i="76"/>
  <c r="C328" i="76"/>
  <c r="F351" i="76"/>
  <c r="I374" i="76"/>
  <c r="K331" i="76"/>
  <c r="C355" i="76"/>
  <c r="G291" i="76"/>
  <c r="L339" i="76"/>
  <c r="D363" i="76"/>
  <c r="E355" i="76"/>
  <c r="J392" i="76"/>
  <c r="M415" i="76"/>
  <c r="E20" i="76"/>
  <c r="H43" i="76"/>
  <c r="G323" i="76"/>
  <c r="D385" i="76"/>
  <c r="G408" i="76"/>
  <c r="J12" i="76"/>
  <c r="M35" i="76"/>
  <c r="E59" i="76"/>
  <c r="I377" i="76"/>
  <c r="L400" i="76"/>
  <c r="D5" i="76"/>
  <c r="G28" i="76"/>
  <c r="J51" i="76"/>
  <c r="K410" i="76"/>
  <c r="D154" i="76"/>
  <c r="E172" i="76"/>
  <c r="M184" i="76"/>
  <c r="K228" i="76"/>
  <c r="K251" i="76"/>
  <c r="K273" i="76"/>
  <c r="I259" i="76"/>
  <c r="F320" i="76"/>
  <c r="F295" i="76"/>
  <c r="I318" i="76"/>
  <c r="F324" i="76"/>
  <c r="K348" i="76"/>
  <c r="C372" i="76"/>
  <c r="E329" i="76"/>
  <c r="K416" i="76"/>
  <c r="L49" i="76"/>
  <c r="F185" i="76"/>
  <c r="H290" i="76"/>
  <c r="L333" i="76"/>
  <c r="L360" i="76"/>
  <c r="C375" i="76"/>
  <c r="F49" i="76"/>
  <c r="H18" i="76"/>
  <c r="J406" i="76"/>
  <c r="C15" i="76"/>
  <c r="G177" i="76"/>
  <c r="C275" i="76"/>
  <c r="D301" i="76"/>
  <c r="C253" i="76"/>
  <c r="J280" i="76"/>
  <c r="I360" i="76"/>
  <c r="D390" i="76"/>
  <c r="J17" i="76"/>
  <c r="H284" i="76"/>
  <c r="L405" i="76"/>
  <c r="G33" i="76"/>
  <c r="J374" i="76"/>
  <c r="I421" i="76"/>
  <c r="D49" i="76"/>
  <c r="C365" i="76"/>
  <c r="M188" i="76"/>
  <c r="L258" i="76"/>
  <c r="I419" i="76"/>
  <c r="L62" i="76"/>
  <c r="M62" i="76"/>
  <c r="D322" i="76"/>
  <c r="D13" i="76"/>
  <c r="I376" i="76"/>
  <c r="G274" i="76"/>
  <c r="K323" i="76"/>
  <c r="J13" i="76"/>
  <c r="K361" i="76"/>
  <c r="C349" i="76"/>
  <c r="J45" i="76"/>
  <c r="H233" i="76"/>
  <c r="I239" i="76"/>
  <c r="C352" i="76"/>
  <c r="F294" i="76"/>
  <c r="G393" i="76"/>
  <c r="M327" i="76"/>
  <c r="J36" i="76"/>
  <c r="L5" i="76"/>
  <c r="J46" i="76"/>
  <c r="J417" i="76"/>
  <c r="J421" i="76"/>
  <c r="J344" i="76"/>
  <c r="L406" i="76"/>
  <c r="C376" i="76"/>
  <c r="D50" i="76"/>
  <c r="D412" i="76"/>
  <c r="G16" i="76"/>
  <c r="J39" i="76"/>
  <c r="J328" i="76"/>
  <c r="L36" i="76"/>
  <c r="G31" i="76"/>
  <c r="D170" i="76"/>
  <c r="H194" i="76"/>
  <c r="L215" i="76"/>
  <c r="G236" i="76"/>
  <c r="K267" i="76"/>
  <c r="F293" i="76"/>
  <c r="G281" i="76"/>
  <c r="M243" i="76"/>
  <c r="F299" i="76"/>
  <c r="I322" i="76"/>
  <c r="H329" i="76"/>
  <c r="K352" i="76"/>
  <c r="H208" i="76"/>
  <c r="E333" i="76"/>
  <c r="H356" i="76"/>
  <c r="E297" i="76"/>
  <c r="F341" i="76"/>
  <c r="I364" i="76"/>
  <c r="C361" i="76"/>
  <c r="D394" i="76"/>
  <c r="G417" i="76"/>
  <c r="J21" i="76"/>
  <c r="M44" i="76"/>
  <c r="L330" i="76"/>
  <c r="I386" i="76"/>
  <c r="L409" i="76"/>
  <c r="D14" i="76"/>
  <c r="G37" i="76"/>
  <c r="J60" i="76"/>
  <c r="C379" i="76"/>
  <c r="F402" i="76"/>
  <c r="I6" i="76"/>
  <c r="L29" i="76"/>
  <c r="D53" i="76"/>
  <c r="I416" i="76"/>
  <c r="M159" i="76"/>
  <c r="F184" i="76"/>
  <c r="L204" i="76"/>
  <c r="I217" i="76"/>
  <c r="I257" i="76"/>
  <c r="D283" i="76"/>
  <c r="E271" i="76"/>
  <c r="H224" i="76"/>
  <c r="K296" i="76"/>
  <c r="C320" i="76"/>
  <c r="L326" i="76"/>
  <c r="E350" i="76"/>
  <c r="H373" i="76"/>
  <c r="J330" i="76"/>
  <c r="M353" i="76"/>
  <c r="C287" i="76"/>
  <c r="K338" i="76"/>
  <c r="M385" i="76"/>
  <c r="H403" i="76"/>
  <c r="L253" i="76"/>
  <c r="E267" i="76"/>
  <c r="D357" i="76"/>
  <c r="J314" i="76"/>
  <c r="H398" i="76"/>
  <c r="F348" i="76"/>
  <c r="K41" i="76"/>
  <c r="M10" i="76"/>
  <c r="K201" i="76"/>
  <c r="I300" i="76"/>
  <c r="G324" i="76"/>
  <c r="C335" i="76"/>
  <c r="H304" i="76"/>
  <c r="G366" i="76"/>
  <c r="M395" i="76"/>
  <c r="H23" i="76"/>
  <c r="D338" i="76"/>
  <c r="J411" i="76"/>
  <c r="E39" i="76"/>
  <c r="L380" i="76"/>
  <c r="G8" i="76"/>
  <c r="M54" i="76"/>
  <c r="D395" i="76"/>
  <c r="C302" i="76"/>
  <c r="G335" i="76"/>
  <c r="L23" i="76"/>
  <c r="E381" i="76"/>
  <c r="H366" i="76"/>
  <c r="D149" i="76"/>
  <c r="I235" i="76"/>
  <c r="H419" i="76"/>
  <c r="I21" i="76"/>
  <c r="C223" i="76"/>
  <c r="H348" i="76"/>
  <c r="M36" i="76"/>
  <c r="F394" i="76"/>
  <c r="D391" i="76"/>
  <c r="E422" i="76"/>
  <c r="E388" i="76"/>
  <c r="L264" i="76"/>
  <c r="I298" i="76"/>
  <c r="F375" i="76"/>
  <c r="I340" i="76"/>
  <c r="J416" i="76"/>
  <c r="L385" i="76"/>
  <c r="M59" i="76"/>
  <c r="D29" i="76"/>
  <c r="L387" i="76"/>
  <c r="M25" i="76"/>
  <c r="E400" i="76"/>
  <c r="D11" i="76"/>
  <c r="F399" i="76"/>
  <c r="I351" i="76"/>
  <c r="M417" i="76"/>
  <c r="E22" i="76"/>
  <c r="H45" i="76"/>
  <c r="C386" i="76"/>
  <c r="D60" i="76"/>
  <c r="D148" i="76"/>
  <c r="I380" i="76"/>
  <c r="J54" i="76"/>
  <c r="I162" i="76"/>
  <c r="I182" i="76"/>
  <c r="M204" i="76"/>
  <c r="J259" i="76"/>
  <c r="I236" i="76"/>
  <c r="C310" i="76"/>
  <c r="G293" i="76"/>
  <c r="H274" i="76"/>
  <c r="D305" i="76"/>
  <c r="G257" i="76"/>
  <c r="F335" i="76"/>
  <c r="I358" i="76"/>
  <c r="D288" i="76"/>
  <c r="C339" i="76"/>
  <c r="F362" i="76"/>
  <c r="H320" i="76"/>
  <c r="D347" i="76"/>
  <c r="G370" i="76"/>
  <c r="J376" i="76"/>
  <c r="M399" i="76"/>
  <c r="E4" i="76"/>
  <c r="H27" i="76"/>
  <c r="K50" i="76"/>
  <c r="D354" i="76"/>
  <c r="G392" i="76"/>
  <c r="J415" i="76"/>
  <c r="M19" i="76"/>
  <c r="E43" i="76"/>
  <c r="L320" i="76"/>
  <c r="L384" i="76"/>
  <c r="D408" i="76"/>
  <c r="G12" i="76"/>
  <c r="J35" i="76"/>
  <c r="M58" i="76"/>
  <c r="L20" i="76"/>
  <c r="G152" i="76"/>
  <c r="I207" i="76"/>
  <c r="M228" i="76"/>
  <c r="H249" i="76"/>
  <c r="F218" i="76"/>
  <c r="M304" i="76"/>
  <c r="F288" i="76"/>
  <c r="G261" i="76"/>
  <c r="I302" i="76"/>
  <c r="L325" i="76"/>
  <c r="K332" i="76"/>
  <c r="C356" i="76"/>
  <c r="M275" i="76"/>
  <c r="H336" i="76"/>
  <c r="K359" i="76"/>
  <c r="F310" i="76"/>
  <c r="I344" i="76"/>
  <c r="L367" i="76"/>
  <c r="L372" i="76"/>
  <c r="G397" i="76"/>
  <c r="J420" i="76"/>
  <c r="M24" i="76"/>
  <c r="E48" i="76"/>
  <c r="M343" i="76"/>
  <c r="L389" i="76"/>
  <c r="D413" i="76"/>
  <c r="G17" i="76"/>
  <c r="J40" i="76"/>
  <c r="E279" i="76"/>
  <c r="F382" i="76"/>
  <c r="I405" i="76"/>
  <c r="L9" i="76"/>
  <c r="D33" i="76"/>
  <c r="G56" i="76"/>
  <c r="J10" i="76"/>
  <c r="F422" i="76"/>
  <c r="D374" i="76"/>
  <c r="K230" i="76"/>
  <c r="D282" i="76"/>
  <c r="K421" i="76"/>
  <c r="I297" i="76"/>
  <c r="G285" i="76"/>
  <c r="H352" i="76"/>
  <c r="C345" i="76"/>
  <c r="M40" i="76"/>
  <c r="D10" i="76"/>
  <c r="F398" i="76"/>
  <c r="I400" i="76"/>
  <c r="L178" i="76"/>
  <c r="H343" i="76"/>
  <c r="C32" i="76"/>
  <c r="M4" i="76"/>
  <c r="I314" i="76"/>
  <c r="L401" i="76"/>
  <c r="L419" i="76"/>
  <c r="M41" i="76"/>
  <c r="F10" i="76"/>
  <c r="I191" i="76"/>
  <c r="L321" i="76"/>
  <c r="L363" i="76"/>
  <c r="D409" i="76"/>
  <c r="G52" i="76"/>
  <c r="G15" i="76"/>
  <c r="E49" i="76"/>
  <c r="H300" i="76"/>
  <c r="I422" i="76"/>
  <c r="K4" i="76"/>
  <c r="F51" i="76"/>
  <c r="L403" i="76"/>
  <c r="G155" i="76"/>
  <c r="L171" i="76"/>
  <c r="L259" i="76"/>
  <c r="C305" i="76"/>
  <c r="M310" i="76"/>
  <c r="D341" i="76"/>
  <c r="G311" i="76"/>
  <c r="D368" i="76"/>
  <c r="M352" i="76"/>
  <c r="H382" i="76"/>
  <c r="C10" i="76"/>
  <c r="I56" i="76"/>
  <c r="E398" i="76"/>
  <c r="K25" i="76"/>
  <c r="E347" i="76"/>
  <c r="M413" i="76"/>
  <c r="H41" i="76"/>
  <c r="D44" i="76"/>
  <c r="J175" i="76"/>
  <c r="L218" i="76"/>
  <c r="J249" i="76"/>
  <c r="M299" i="76"/>
  <c r="G308" i="76"/>
  <c r="I338" i="76"/>
  <c r="E301" i="76"/>
  <c r="I365" i="76"/>
  <c r="G350" i="76"/>
  <c r="I327" i="76"/>
  <c r="I391" i="76"/>
  <c r="H7" i="76"/>
  <c r="I36" i="76"/>
  <c r="K307" i="76"/>
  <c r="J395" i="76"/>
  <c r="K5" i="76"/>
  <c r="L34" i="76"/>
  <c r="C337" i="76"/>
  <c r="M393" i="76"/>
  <c r="C4" i="76"/>
  <c r="M38" i="76"/>
  <c r="D383" i="76"/>
  <c r="H28" i="76"/>
  <c r="G268" i="76"/>
  <c r="I279" i="76"/>
  <c r="K360" i="76"/>
  <c r="G325" i="76"/>
  <c r="D402" i="76"/>
  <c r="L362" i="76"/>
  <c r="G45" i="76"/>
  <c r="I14" i="76"/>
  <c r="E62" i="76"/>
  <c r="G7" i="76"/>
  <c r="I5" i="76"/>
  <c r="E327" i="76"/>
  <c r="L294" i="76"/>
  <c r="H322" i="76"/>
  <c r="H26" i="76"/>
  <c r="D403" i="76"/>
  <c r="G223" i="76"/>
  <c r="L230" i="76"/>
  <c r="I350" i="76"/>
  <c r="H288" i="76"/>
  <c r="M391" i="76"/>
  <c r="I313" i="76"/>
  <c r="E35" i="76"/>
  <c r="G4" i="76"/>
  <c r="M37" i="76"/>
  <c r="F413" i="76"/>
  <c r="E420" i="76"/>
  <c r="C3" i="76"/>
  <c r="E336" i="76"/>
  <c r="E397" i="76"/>
  <c r="H56" i="76"/>
  <c r="K256" i="76"/>
  <c r="I271" i="76"/>
  <c r="L357" i="76"/>
  <c r="I317" i="76"/>
  <c r="E399" i="76"/>
  <c r="E351" i="76"/>
  <c r="H42" i="76"/>
  <c r="J11" i="76"/>
  <c r="D16" i="76"/>
  <c r="H8" i="76"/>
  <c r="J412" i="76"/>
  <c r="L381" i="76"/>
  <c r="M55" i="76"/>
  <c r="I413" i="76"/>
  <c r="L17" i="76"/>
  <c r="D41" i="76"/>
  <c r="M351" i="76"/>
  <c r="I26" i="76"/>
  <c r="L48" i="76"/>
  <c r="D307" i="76"/>
  <c r="I337" i="76"/>
  <c r="C26" i="76"/>
  <c r="G383" i="76"/>
  <c r="D254" i="76"/>
  <c r="F358" i="76"/>
  <c r="F368" i="76"/>
  <c r="K46" i="76"/>
  <c r="M15" i="76"/>
  <c r="D404" i="76"/>
  <c r="L4" i="76"/>
  <c r="J149" i="76"/>
  <c r="E203" i="76"/>
  <c r="K366" i="76"/>
  <c r="F55" i="76"/>
  <c r="K333" i="76"/>
  <c r="C311" i="76"/>
  <c r="D6" i="76"/>
  <c r="G47" i="76"/>
  <c r="M212" i="76"/>
  <c r="K328" i="76"/>
  <c r="D358" i="76"/>
  <c r="G13" i="76"/>
  <c r="J413" i="76"/>
  <c r="L61" i="76"/>
  <c r="I383" i="76"/>
  <c r="L26" i="76"/>
  <c r="I10" i="76"/>
  <c r="D57" i="76"/>
  <c r="D8" i="76"/>
  <c r="J178" i="76"/>
  <c r="H221" i="76"/>
  <c r="J244" i="76"/>
  <c r="J316" i="76"/>
  <c r="K316" i="76"/>
  <c r="M346" i="76"/>
  <c r="G327" i="76"/>
  <c r="F260" i="76"/>
  <c r="K358" i="76"/>
  <c r="F388" i="76"/>
  <c r="L15" i="76"/>
  <c r="G62" i="76"/>
  <c r="C404" i="76"/>
  <c r="I31" i="76"/>
  <c r="H370" i="76"/>
  <c r="K419" i="76"/>
  <c r="F47" i="76"/>
  <c r="H168" i="76"/>
  <c r="F211" i="76"/>
  <c r="M272" i="76"/>
  <c r="I311" i="76"/>
  <c r="E314" i="76"/>
  <c r="G344" i="76"/>
  <c r="C323" i="76"/>
  <c r="G371" i="76"/>
  <c r="E356" i="76"/>
  <c r="L350" i="76"/>
  <c r="E403" i="76"/>
  <c r="F13" i="76"/>
  <c r="G42" i="76"/>
  <c r="E367" i="76"/>
  <c r="H401" i="76"/>
  <c r="I11" i="76"/>
  <c r="H46" i="76"/>
  <c r="F360" i="76"/>
  <c r="K399" i="76"/>
  <c r="J15" i="76"/>
  <c r="K44" i="76"/>
  <c r="G406" i="76"/>
  <c r="G147" i="76"/>
  <c r="J377" i="76"/>
  <c r="K51" i="76"/>
  <c r="F171" i="76"/>
  <c r="F245" i="76"/>
  <c r="F307" i="76"/>
  <c r="L296" i="76"/>
  <c r="F349" i="76"/>
  <c r="G6" i="76"/>
  <c r="I394" i="76"/>
  <c r="J332" i="76"/>
  <c r="L37" i="76"/>
  <c r="J393" i="76"/>
  <c r="L28" i="76"/>
  <c r="G394" i="76"/>
  <c r="L305" i="76"/>
  <c r="M363" i="76"/>
  <c r="I385" i="76"/>
  <c r="K390" i="76"/>
  <c r="C422" i="76"/>
  <c r="G161" i="76"/>
  <c r="C259" i="76"/>
  <c r="D297" i="76"/>
  <c r="L373" i="76"/>
  <c r="D339" i="76"/>
  <c r="E415" i="76"/>
  <c r="G384" i="76"/>
  <c r="H58" i="76"/>
  <c r="J27" i="76"/>
  <c r="M384" i="76"/>
  <c r="H24" i="76"/>
  <c r="J385" i="76"/>
  <c r="J400" i="76"/>
  <c r="J59" i="76"/>
  <c r="J159" i="76"/>
  <c r="J233" i="76"/>
  <c r="G304" i="76"/>
  <c r="E285" i="76"/>
  <c r="G346" i="76"/>
  <c r="H422" i="76"/>
  <c r="J391" i="76"/>
  <c r="E309" i="76"/>
  <c r="M34" i="76"/>
  <c r="H399" i="76"/>
  <c r="K31" i="76"/>
  <c r="M16" i="76"/>
  <c r="D405" i="76"/>
  <c r="E373" i="76"/>
  <c r="G419" i="76"/>
  <c r="J23" i="76"/>
  <c r="M46" i="76"/>
  <c r="K156" i="76"/>
  <c r="J303" i="76"/>
  <c r="J345" i="76"/>
  <c r="M390" i="76"/>
  <c r="E34" i="76"/>
  <c r="D223" i="76"/>
  <c r="F331" i="76"/>
  <c r="F337" i="76"/>
  <c r="G413" i="76"/>
  <c r="I382" i="76"/>
  <c r="J56" i="76"/>
  <c r="L25" i="76"/>
  <c r="M45" i="76"/>
  <c r="H301" i="76"/>
  <c r="K388" i="76"/>
  <c r="C382" i="76"/>
  <c r="C23" i="76"/>
  <c r="K382" i="76"/>
  <c r="M169" i="76"/>
  <c r="I356" i="76"/>
  <c r="D45" i="76"/>
  <c r="F147" i="76"/>
  <c r="G290" i="76"/>
  <c r="H332" i="76"/>
  <c r="M20" i="76"/>
  <c r="F378" i="76"/>
  <c r="L374" i="76"/>
  <c r="G34" i="76"/>
  <c r="K391" i="76"/>
  <c r="C28" i="76"/>
  <c r="F409" i="76"/>
  <c r="D387" i="76"/>
  <c r="E164" i="76"/>
  <c r="J161" i="76"/>
  <c r="J321" i="76"/>
  <c r="H285" i="76"/>
  <c r="H296" i="76"/>
  <c r="G364" i="76"/>
  <c r="L344" i="76"/>
  <c r="J329" i="76"/>
  <c r="C283" i="76"/>
  <c r="K405" i="76"/>
  <c r="F33" i="76"/>
  <c r="H374" i="76"/>
  <c r="H421" i="76"/>
  <c r="C49" i="76"/>
  <c r="J390" i="76"/>
  <c r="E18" i="76"/>
  <c r="K357" i="76"/>
  <c r="J195" i="76"/>
  <c r="K272" i="76"/>
  <c r="I316" i="76"/>
  <c r="I281" i="76"/>
  <c r="F286" i="76"/>
  <c r="L361" i="76"/>
  <c r="F342" i="76"/>
  <c r="C327" i="76"/>
  <c r="C362" i="76"/>
  <c r="M379" i="76"/>
  <c r="C409" i="76"/>
  <c r="D19" i="76"/>
  <c r="C54" i="76"/>
  <c r="E378" i="76"/>
  <c r="F407" i="76"/>
  <c r="E23" i="76"/>
  <c r="F52" i="76"/>
  <c r="H376" i="76"/>
  <c r="G411" i="76"/>
  <c r="H21" i="76"/>
  <c r="I50" i="76"/>
  <c r="M33" i="76"/>
  <c r="L379" i="76"/>
  <c r="M400" i="76"/>
  <c r="F191" i="76"/>
  <c r="G314" i="76"/>
  <c r="J281" i="76"/>
  <c r="E341" i="76"/>
  <c r="I372" i="76"/>
  <c r="J29" i="76"/>
  <c r="L417" i="76"/>
  <c r="C387" i="76"/>
  <c r="D61" i="76"/>
  <c r="E21" i="76"/>
  <c r="C378" i="76"/>
  <c r="D52" i="76"/>
  <c r="G39" i="76"/>
  <c r="C336" i="76"/>
  <c r="I16" i="76"/>
  <c r="I30" i="76"/>
  <c r="C394" i="76"/>
  <c r="K185" i="76"/>
  <c r="I284" i="76"/>
  <c r="G320" i="76"/>
  <c r="C331" i="76"/>
  <c r="G362" i="76"/>
  <c r="H19" i="76"/>
  <c r="J407" i="76"/>
  <c r="L376" i="76"/>
  <c r="M50" i="76"/>
  <c r="H12" i="76"/>
  <c r="M371" i="76"/>
  <c r="K47" i="76"/>
  <c r="K27" i="76"/>
  <c r="J232" i="76"/>
  <c r="M21" i="76"/>
  <c r="J3" i="76"/>
  <c r="G217" i="76"/>
  <c r="E194" i="76"/>
  <c r="E174" i="76"/>
  <c r="E392" i="76"/>
  <c r="E3" i="76"/>
  <c r="M420" i="76"/>
  <c r="E54" i="76"/>
  <c r="M30" i="76"/>
  <c r="J7" i="76"/>
  <c r="G403" i="76"/>
  <c r="E15" i="76"/>
  <c r="C46" i="76"/>
  <c r="G365" i="76"/>
  <c r="M335" i="76"/>
  <c r="H17" i="76"/>
  <c r="F48" i="76"/>
  <c r="C373" i="76"/>
  <c r="C405" i="76"/>
  <c r="M328" i="76"/>
  <c r="J363" i="76"/>
  <c r="G284" i="76"/>
  <c r="C280" i="76"/>
  <c r="K3" i="76"/>
  <c r="K15" i="76"/>
  <c r="M29" i="76"/>
  <c r="D38" i="76"/>
  <c r="M333" i="76"/>
  <c r="K402" i="76"/>
  <c r="L3" i="76"/>
  <c r="D12" i="76"/>
  <c r="M405" i="76"/>
  <c r="K17" i="76"/>
  <c r="I48" i="76"/>
  <c r="I373" i="76"/>
  <c r="D360" i="76"/>
  <c r="D333" i="76"/>
  <c r="C289" i="76"/>
  <c r="M152" i="76"/>
  <c r="E147" i="76"/>
  <c r="D393" i="76"/>
  <c r="I345" i="76"/>
  <c r="I147" i="76"/>
  <c r="M57" i="76"/>
  <c r="L383" i="76"/>
  <c r="L32" i="76"/>
  <c r="J43" i="76"/>
  <c r="M355" i="76"/>
  <c r="G400" i="76"/>
  <c r="E12" i="76"/>
  <c r="D355" i="76"/>
  <c r="D320" i="76"/>
  <c r="D313" i="76"/>
  <c r="I268" i="76"/>
  <c r="D164" i="76"/>
  <c r="F34" i="76"/>
  <c r="C299" i="76"/>
  <c r="F62" i="76"/>
  <c r="M388" i="76"/>
  <c r="E46" i="76"/>
  <c r="M22" i="76"/>
  <c r="J418" i="76"/>
  <c r="G395" i="76"/>
  <c r="D366" i="76"/>
  <c r="K53" i="76"/>
  <c r="H30" i="76"/>
  <c r="E7" i="76"/>
  <c r="M402" i="76"/>
  <c r="J379" i="76"/>
  <c r="F61" i="76"/>
  <c r="C38" i="76"/>
  <c r="K14" i="76"/>
  <c r="H410" i="76"/>
  <c r="E387" i="76"/>
  <c r="G333" i="76"/>
  <c r="J357" i="76"/>
  <c r="G334" i="76"/>
  <c r="L242" i="76"/>
  <c r="I349" i="76"/>
  <c r="M325" i="76"/>
  <c r="D369" i="76"/>
  <c r="L345" i="76"/>
  <c r="G315" i="76"/>
  <c r="J315" i="76"/>
  <c r="J291" i="76"/>
  <c r="H314" i="76"/>
  <c r="F236" i="76"/>
  <c r="I221" i="76"/>
  <c r="D240" i="76"/>
  <c r="D217" i="76"/>
  <c r="G195" i="76"/>
  <c r="F174" i="76"/>
  <c r="C147" i="76"/>
  <c r="D399" i="76"/>
  <c r="K48" i="76"/>
  <c r="H25" i="76"/>
  <c r="E421" i="76"/>
  <c r="M397" i="76"/>
  <c r="M373" i="76"/>
  <c r="F56" i="76"/>
  <c r="C33" i="76"/>
  <c r="K9" i="76"/>
  <c r="H405" i="76"/>
  <c r="E382" i="76"/>
  <c r="F277" i="76"/>
  <c r="I40" i="76"/>
  <c r="F17" i="76"/>
  <c r="C413" i="76"/>
  <c r="K389" i="76"/>
  <c r="I343" i="76"/>
  <c r="E360" i="76"/>
  <c r="M336" i="76"/>
  <c r="K278" i="76"/>
  <c r="D352" i="76"/>
  <c r="L328" i="76"/>
  <c r="J371" i="76"/>
  <c r="G348" i="76"/>
  <c r="I323" i="76"/>
  <c r="E318" i="76"/>
  <c r="M294" i="76"/>
  <c r="I319" i="76"/>
  <c r="J256" i="76"/>
  <c r="M267" i="76"/>
  <c r="F250" i="76"/>
  <c r="F227" i="76"/>
  <c r="K174" i="76"/>
  <c r="G166" i="76"/>
  <c r="J152" i="76"/>
  <c r="M13" i="76"/>
  <c r="F42" i="76"/>
  <c r="J42" i="76"/>
  <c r="I58" i="76"/>
  <c r="C12" i="76"/>
  <c r="J32" i="76"/>
  <c r="M17" i="76"/>
  <c r="E19" i="76"/>
  <c r="M375" i="76"/>
  <c r="I334" i="76"/>
  <c r="M196" i="76"/>
  <c r="F417" i="76"/>
  <c r="D400" i="76"/>
  <c r="F354" i="76"/>
  <c r="G148" i="76"/>
  <c r="C148" i="76"/>
  <c r="F401" i="76"/>
  <c r="H147" i="76"/>
  <c r="M52" i="76"/>
  <c r="K297" i="76"/>
  <c r="E5" i="76"/>
  <c r="E57" i="76"/>
  <c r="D388" i="76"/>
  <c r="C384" i="76"/>
  <c r="K385" i="76"/>
  <c r="J367" i="76"/>
  <c r="F234" i="76"/>
  <c r="F393" i="76"/>
  <c r="F8" i="76"/>
  <c r="K337" i="76"/>
  <c r="K319" i="76"/>
  <c r="K199" i="76"/>
  <c r="J57" i="76"/>
  <c r="K355" i="76"/>
  <c r="C191" i="76"/>
  <c r="F46" i="76"/>
  <c r="G388" i="76"/>
  <c r="J243" i="76"/>
  <c r="D234" i="76"/>
  <c r="BM46" i="8"/>
  <c r="EQ46" i="8"/>
  <c r="EW46" i="8" s="1"/>
  <c r="AL32" i="72"/>
  <c r="AV32" i="72"/>
  <c r="EW38" i="4"/>
  <c r="EW42" i="4"/>
  <c r="EX13" i="12"/>
  <c r="EW20" i="4"/>
  <c r="EW28" i="4"/>
  <c r="EW34" i="4"/>
  <c r="B43" i="18"/>
  <c r="B82" i="18" s="1"/>
  <c r="B40" i="18"/>
  <c r="B79" i="18" s="1"/>
  <c r="B20" i="18"/>
  <c r="B59" i="18" s="1"/>
  <c r="B21" i="18"/>
  <c r="B60" i="18" s="1"/>
  <c r="B33" i="18"/>
  <c r="B72" i="18" s="1"/>
  <c r="B19" i="18"/>
  <c r="B58" i="18" s="1"/>
  <c r="B42" i="18"/>
  <c r="B81" i="18" s="1"/>
  <c r="B44" i="18"/>
  <c r="B83" i="18" s="1"/>
  <c r="B32" i="18"/>
  <c r="B71" i="18" s="1"/>
  <c r="B28" i="18"/>
  <c r="B67" i="18" s="1"/>
  <c r="B31" i="18"/>
  <c r="B70" i="18" s="1"/>
  <c r="B34" i="18"/>
  <c r="B73" i="18" s="1"/>
  <c r="B30" i="18"/>
  <c r="B69" i="18" s="1"/>
  <c r="B26" i="18"/>
  <c r="B65" i="18" s="1"/>
  <c r="C46" i="18"/>
  <c r="C85" i="18" s="1"/>
  <c r="B25" i="18"/>
  <c r="B64" i="18" s="1"/>
  <c r="B27" i="18"/>
  <c r="B66" i="18" s="1"/>
  <c r="B41" i="18"/>
  <c r="B80" i="18" s="1"/>
  <c r="B39" i="18"/>
  <c r="B78" i="18" s="1"/>
  <c r="B35" i="18"/>
  <c r="B74" i="18" s="1"/>
  <c r="B38" i="18"/>
  <c r="B77" i="18" s="1"/>
  <c r="B24" i="18"/>
  <c r="B63" i="18" s="1"/>
  <c r="B37" i="18"/>
  <c r="B76" i="18" s="1"/>
  <c r="B36" i="18"/>
  <c r="B75" i="18" s="1"/>
  <c r="B23" i="18"/>
  <c r="B62" i="18" s="1"/>
  <c r="B22" i="18"/>
  <c r="B61" i="18" s="1"/>
  <c r="C48" i="18"/>
  <c r="C87" i="18" s="1"/>
  <c r="C47" i="18"/>
  <c r="C86" i="18" s="1"/>
  <c r="AL38" i="72"/>
  <c r="AV38" i="72"/>
  <c r="AL21" i="72"/>
  <c r="AV21" i="72"/>
  <c r="EG12" i="4"/>
  <c r="AR13" i="13"/>
  <c r="K68" i="8"/>
  <c r="H68" i="7"/>
  <c r="N68" i="7" s="1"/>
  <c r="EQ27" i="11"/>
  <c r="B334" i="72"/>
  <c r="BM27" i="11"/>
  <c r="EQ32" i="11"/>
  <c r="BM32" i="11"/>
  <c r="B339" i="72"/>
  <c r="EQ36" i="11"/>
  <c r="B343" i="72"/>
  <c r="BM36" i="11"/>
  <c r="EQ40" i="11"/>
  <c r="B347" i="72"/>
  <c r="BM40" i="11"/>
  <c r="EQ28" i="11"/>
  <c r="B335" i="72"/>
  <c r="BM28" i="11"/>
  <c r="EQ30" i="11"/>
  <c r="B337" i="72"/>
  <c r="BM30" i="11"/>
  <c r="EQ42" i="11"/>
  <c r="B349" i="72"/>
  <c r="BM42" i="11"/>
  <c r="EQ20" i="8"/>
  <c r="AB50" i="8"/>
  <c r="AB48" i="8"/>
  <c r="AB49" i="8"/>
  <c r="BM20" i="8"/>
  <c r="B192" i="72"/>
  <c r="EQ31" i="8"/>
  <c r="B203" i="72"/>
  <c r="BM31" i="8"/>
  <c r="EQ38" i="8"/>
  <c r="B210" i="72"/>
  <c r="BM38" i="8"/>
  <c r="EQ29" i="8"/>
  <c r="BM29" i="8"/>
  <c r="B201" i="72"/>
  <c r="EQ23" i="8"/>
  <c r="B195" i="72"/>
  <c r="BM23" i="8"/>
  <c r="EQ29" i="7"/>
  <c r="B156" i="72"/>
  <c r="BM29" i="7"/>
  <c r="EQ22" i="7"/>
  <c r="B149" i="72"/>
  <c r="BM22" i="7"/>
  <c r="EQ26" i="7"/>
  <c r="B153" i="72"/>
  <c r="BM26" i="7"/>
  <c r="EQ31" i="7"/>
  <c r="B158" i="72"/>
  <c r="BM31" i="7"/>
  <c r="EQ20" i="7"/>
  <c r="B147" i="72"/>
  <c r="AB50" i="7"/>
  <c r="AB49" i="7"/>
  <c r="BM20" i="7"/>
  <c r="AB48" i="7"/>
  <c r="EQ27" i="7"/>
  <c r="B154" i="72"/>
  <c r="BM27" i="7"/>
  <c r="EQ21" i="7"/>
  <c r="B148" i="72"/>
  <c r="BM21" i="7"/>
  <c r="BC36" i="37"/>
  <c r="BB36" i="37" s="1"/>
  <c r="BC32" i="37"/>
  <c r="BB32" i="37" s="1"/>
  <c r="BC25" i="37"/>
  <c r="BB25" i="37" s="1"/>
  <c r="BC18" i="37"/>
  <c r="BC37" i="37"/>
  <c r="BB37" i="37" s="1"/>
  <c r="BC40" i="37"/>
  <c r="BB40" i="37" s="1"/>
  <c r="BC28" i="37"/>
  <c r="BB28" i="37" s="1"/>
  <c r="BC44" i="37"/>
  <c r="BB44" i="37" s="1"/>
  <c r="BC31" i="37"/>
  <c r="BB31" i="37" s="1"/>
  <c r="BC26" i="37"/>
  <c r="BB26" i="37" s="1"/>
  <c r="BC41" i="37"/>
  <c r="BB41" i="37" s="1"/>
  <c r="BC34" i="37"/>
  <c r="BB34" i="37" s="1"/>
  <c r="BC29" i="37"/>
  <c r="BB29" i="37" s="1"/>
  <c r="BC23" i="37"/>
  <c r="BB23" i="37" s="1"/>
  <c r="BC42" i="37"/>
  <c r="BB42" i="37" s="1"/>
  <c r="BC20" i="37"/>
  <c r="BB20" i="37" s="1"/>
  <c r="BC33" i="37"/>
  <c r="BB33" i="37" s="1"/>
  <c r="BC21" i="37"/>
  <c r="BB21" i="37" s="1"/>
  <c r="BC38" i="37"/>
  <c r="BB38" i="37" s="1"/>
  <c r="BC43" i="37"/>
  <c r="BB43" i="37" s="1"/>
  <c r="BC22" i="37"/>
  <c r="BB22" i="37" s="1"/>
  <c r="BC27" i="37"/>
  <c r="BB27" i="37" s="1"/>
  <c r="BC24" i="37"/>
  <c r="BB24" i="37" s="1"/>
  <c r="B18" i="37"/>
  <c r="B57" i="37" s="1"/>
  <c r="C21" i="37"/>
  <c r="C25" i="37"/>
  <c r="C29" i="37"/>
  <c r="C33" i="37"/>
  <c r="C37" i="37"/>
  <c r="C41" i="37"/>
  <c r="C18" i="37"/>
  <c r="C26" i="37"/>
  <c r="C34" i="37"/>
  <c r="C42" i="37"/>
  <c r="BC19" i="37"/>
  <c r="BB19" i="37" s="1"/>
  <c r="BB17" i="37"/>
  <c r="BG13" i="37"/>
  <c r="BC35" i="37"/>
  <c r="BB35" i="37" s="1"/>
  <c r="C19" i="37"/>
  <c r="C23" i="37"/>
  <c r="C27" i="37"/>
  <c r="C31" i="37"/>
  <c r="C35" i="37"/>
  <c r="C39" i="37"/>
  <c r="C43" i="37"/>
  <c r="C22" i="37"/>
  <c r="C30" i="37"/>
  <c r="C38" i="37"/>
  <c r="N13" i="37"/>
  <c r="O13" i="37" s="1"/>
  <c r="BD13" i="37"/>
  <c r="BB18" i="37" s="1"/>
  <c r="C20" i="37"/>
  <c r="C36" i="37"/>
  <c r="B17" i="37"/>
  <c r="B55" i="37" s="1"/>
  <c r="C24" i="37"/>
  <c r="C40" i="37"/>
  <c r="BC39" i="37"/>
  <c r="BB39" i="37" s="1"/>
  <c r="AO30" i="37"/>
  <c r="C28" i="37"/>
  <c r="C44" i="37"/>
  <c r="BC30" i="37"/>
  <c r="BB30" i="37" s="1"/>
  <c r="C32" i="37"/>
  <c r="AT4" i="4" a="1"/>
  <c r="AT4" i="4" s="1"/>
  <c r="EQ37" i="13"/>
  <c r="B434" i="72"/>
  <c r="BM37" i="13"/>
  <c r="EQ34" i="13"/>
  <c r="BM34" i="13"/>
  <c r="B431" i="72"/>
  <c r="EQ30" i="13"/>
  <c r="B427" i="72"/>
  <c r="BM30" i="13"/>
  <c r="EQ27" i="13"/>
  <c r="B424" i="72"/>
  <c r="BM27" i="13"/>
  <c r="EQ47" i="13"/>
  <c r="B444" i="72"/>
  <c r="BM47" i="13"/>
  <c r="EQ41" i="13"/>
  <c r="B438" i="72"/>
  <c r="BM41" i="13"/>
  <c r="EQ26" i="13"/>
  <c r="B423" i="72"/>
  <c r="BM26" i="13"/>
  <c r="EQ32" i="12"/>
  <c r="B384" i="72"/>
  <c r="BM32" i="12"/>
  <c r="EQ25" i="12"/>
  <c r="B377" i="72"/>
  <c r="BM25" i="12"/>
  <c r="EQ20" i="12"/>
  <c r="B372" i="72"/>
  <c r="AB50" i="12"/>
  <c r="HI280" i="34" s="1"/>
  <c r="AB48" i="12"/>
  <c r="AB49" i="12"/>
  <c r="BM20" i="12"/>
  <c r="EQ27" i="12"/>
  <c r="BM27" i="12"/>
  <c r="B379" i="72"/>
  <c r="EQ35" i="12"/>
  <c r="B387" i="72"/>
  <c r="BM35" i="12"/>
  <c r="EQ23" i="12"/>
  <c r="B375" i="72"/>
  <c r="BM23" i="12"/>
  <c r="EQ45" i="12"/>
  <c r="BM45" i="12"/>
  <c r="B397" i="72"/>
  <c r="EF12" i="12"/>
  <c r="EI20" i="12"/>
  <c r="EH12" i="12"/>
  <c r="EI12" i="12" s="1"/>
  <c r="EQ23" i="10"/>
  <c r="B285" i="72"/>
  <c r="BM23" i="10"/>
  <c r="EQ47" i="10"/>
  <c r="B309" i="72"/>
  <c r="BM47" i="10"/>
  <c r="AB50" i="10"/>
  <c r="AB48" i="10"/>
  <c r="AB49" i="10"/>
  <c r="BM20" i="10"/>
  <c r="B282" i="72"/>
  <c r="EQ20" i="10"/>
  <c r="EQ32" i="10"/>
  <c r="B294" i="72"/>
  <c r="BM32" i="10"/>
  <c r="EQ42" i="10"/>
  <c r="B304" i="72"/>
  <c r="BM42" i="10"/>
  <c r="EQ43" i="10"/>
  <c r="B305" i="72"/>
  <c r="BM43" i="10"/>
  <c r="EQ36" i="10"/>
  <c r="BM36" i="10"/>
  <c r="B298" i="72"/>
  <c r="EQ28" i="10"/>
  <c r="B290" i="72"/>
  <c r="BM28" i="10"/>
  <c r="EQ41" i="5"/>
  <c r="B78" i="72"/>
  <c r="BM41" i="5"/>
  <c r="EQ29" i="5"/>
  <c r="B66" i="72"/>
  <c r="BM29" i="5"/>
  <c r="EQ28" i="5"/>
  <c r="BM28" i="5"/>
  <c r="B65" i="72"/>
  <c r="EQ21" i="5"/>
  <c r="BM21" i="5"/>
  <c r="B58" i="72"/>
  <c r="EQ37" i="5"/>
  <c r="B74" i="72"/>
  <c r="BM37" i="5"/>
  <c r="EQ24" i="5"/>
  <c r="B61" i="72"/>
  <c r="BM24" i="5"/>
  <c r="EQ24" i="6"/>
  <c r="B106" i="72"/>
  <c r="BM24" i="6"/>
  <c r="EQ33" i="6"/>
  <c r="BM33" i="6"/>
  <c r="B115" i="72"/>
  <c r="BM30" i="6"/>
  <c r="EQ30" i="6"/>
  <c r="B112" i="72"/>
  <c r="EQ44" i="6"/>
  <c r="BM44" i="6"/>
  <c r="B126" i="72"/>
  <c r="EQ40" i="6"/>
  <c r="BM40" i="6"/>
  <c r="B122" i="72"/>
  <c r="EQ26" i="6"/>
  <c r="BM26" i="6"/>
  <c r="B108" i="72"/>
  <c r="EQ38" i="6"/>
  <c r="BM38" i="6"/>
  <c r="B120" i="72"/>
  <c r="EQ42" i="14"/>
  <c r="B484" i="72"/>
  <c r="BM42" i="14"/>
  <c r="EQ22" i="14"/>
  <c r="B464" i="72"/>
  <c r="BM22" i="14"/>
  <c r="EQ33" i="14"/>
  <c r="B475" i="72"/>
  <c r="BM33" i="14"/>
  <c r="EQ28" i="14"/>
  <c r="B470" i="72"/>
  <c r="BM28" i="14"/>
  <c r="EQ24" i="14"/>
  <c r="B466" i="72"/>
  <c r="BM24" i="14"/>
  <c r="EH12" i="14"/>
  <c r="EI12" i="14" s="1"/>
  <c r="EF12" i="14"/>
  <c r="EI20" i="14"/>
  <c r="EQ45" i="9"/>
  <c r="B262" i="72"/>
  <c r="BM45" i="9"/>
  <c r="EQ26" i="9"/>
  <c r="B243" i="72"/>
  <c r="BM26" i="9"/>
  <c r="EQ38" i="9"/>
  <c r="B255" i="72"/>
  <c r="BM38" i="9"/>
  <c r="EQ47" i="9"/>
  <c r="B264" i="72"/>
  <c r="BM47" i="9"/>
  <c r="EQ42" i="9"/>
  <c r="B259" i="72"/>
  <c r="BM42" i="9"/>
  <c r="EQ28" i="9"/>
  <c r="B245" i="72"/>
  <c r="BM28" i="9"/>
  <c r="EQ22" i="11"/>
  <c r="BM22" i="11"/>
  <c r="B329" i="72"/>
  <c r="EQ38" i="11"/>
  <c r="B345" i="72"/>
  <c r="BM38" i="11"/>
  <c r="EQ44" i="11"/>
  <c r="B351" i="72"/>
  <c r="BM44" i="11"/>
  <c r="EQ24" i="11"/>
  <c r="B331" i="72"/>
  <c r="BM24" i="11"/>
  <c r="EQ31" i="11"/>
  <c r="B338" i="72"/>
  <c r="BM31" i="11"/>
  <c r="EQ37" i="11"/>
  <c r="B344" i="72"/>
  <c r="BM37" i="11"/>
  <c r="EF12" i="11"/>
  <c r="EH12" i="11"/>
  <c r="EI12" i="11" s="1"/>
  <c r="EI20" i="11"/>
  <c r="EQ39" i="8"/>
  <c r="B211" i="72"/>
  <c r="BM39" i="8"/>
  <c r="EQ36" i="8"/>
  <c r="BM36" i="8"/>
  <c r="B208" i="72"/>
  <c r="EQ25" i="8"/>
  <c r="BM25" i="8"/>
  <c r="B197" i="72"/>
  <c r="EQ22" i="8"/>
  <c r="B194" i="72"/>
  <c r="BM22" i="8"/>
  <c r="EQ47" i="8"/>
  <c r="B219" i="72"/>
  <c r="BM47" i="8"/>
  <c r="EQ24" i="8"/>
  <c r="BM24" i="8"/>
  <c r="B196" i="72"/>
  <c r="EQ41" i="7"/>
  <c r="B168" i="72"/>
  <c r="BM41" i="7"/>
  <c r="EQ46" i="7"/>
  <c r="B173" i="72"/>
  <c r="BM46" i="7"/>
  <c r="EQ42" i="7"/>
  <c r="B169" i="72"/>
  <c r="BM42" i="7"/>
  <c r="EQ33" i="7"/>
  <c r="B160" i="72"/>
  <c r="BM33" i="7"/>
  <c r="EQ40" i="7"/>
  <c r="B167" i="72"/>
  <c r="BM40" i="7"/>
  <c r="EI20" i="7"/>
  <c r="EF12" i="7"/>
  <c r="EH12" i="7"/>
  <c r="EI12" i="7" s="1"/>
  <c r="EQ45" i="7"/>
  <c r="B172" i="72"/>
  <c r="BM45" i="7"/>
  <c r="EQ34" i="7"/>
  <c r="B161" i="72"/>
  <c r="BM34" i="7"/>
  <c r="EQ48" i="4"/>
  <c r="BM48" i="4"/>
  <c r="B40" i="72"/>
  <c r="EG40" i="72" s="1"/>
  <c r="EQ40" i="13"/>
  <c r="B437" i="72"/>
  <c r="BM40" i="13"/>
  <c r="EQ28" i="13"/>
  <c r="B425" i="72"/>
  <c r="BM28" i="13"/>
  <c r="EQ31" i="13"/>
  <c r="B428" i="72"/>
  <c r="BM31" i="13"/>
  <c r="EQ29" i="13"/>
  <c r="B426" i="72"/>
  <c r="BM29" i="13"/>
  <c r="EQ20" i="13"/>
  <c r="EW20" i="13" s="1"/>
  <c r="B417" i="72"/>
  <c r="AB50" i="13"/>
  <c r="AB48" i="13"/>
  <c r="AB49" i="13"/>
  <c r="BM20" i="13"/>
  <c r="EQ42" i="13"/>
  <c r="B439" i="72"/>
  <c r="BM42" i="13"/>
  <c r="EQ22" i="13"/>
  <c r="B419" i="72"/>
  <c r="BM22" i="13"/>
  <c r="EQ35" i="13"/>
  <c r="BM35" i="13"/>
  <c r="B432" i="72"/>
  <c r="EQ36" i="13"/>
  <c r="BM36" i="13"/>
  <c r="B433" i="72"/>
  <c r="EQ22" i="12"/>
  <c r="B374" i="72"/>
  <c r="BM22" i="12"/>
  <c r="EQ38" i="12"/>
  <c r="B390" i="72"/>
  <c r="BM38" i="12"/>
  <c r="EQ43" i="12"/>
  <c r="B395" i="72"/>
  <c r="BM43" i="12"/>
  <c r="EQ31" i="12"/>
  <c r="B383" i="72"/>
  <c r="BM31" i="12"/>
  <c r="EQ42" i="12"/>
  <c r="B394" i="72"/>
  <c r="BM42" i="12"/>
  <c r="EQ28" i="12"/>
  <c r="B380" i="72"/>
  <c r="BM28" i="12"/>
  <c r="EQ41" i="12"/>
  <c r="B393" i="72"/>
  <c r="BM41" i="12"/>
  <c r="EQ44" i="12"/>
  <c r="BM44" i="12"/>
  <c r="B396" i="72"/>
  <c r="AL26" i="72"/>
  <c r="AV26" i="72"/>
  <c r="EQ27" i="10"/>
  <c r="B289" i="72"/>
  <c r="BM27" i="10"/>
  <c r="EQ34" i="10"/>
  <c r="BM34" i="10"/>
  <c r="B296" i="72"/>
  <c r="EQ45" i="10"/>
  <c r="B307" i="72"/>
  <c r="BM45" i="10"/>
  <c r="EQ38" i="10"/>
  <c r="BM38" i="10"/>
  <c r="B300" i="72"/>
  <c r="EQ40" i="10"/>
  <c r="B302" i="72"/>
  <c r="BM40" i="10"/>
  <c r="EQ33" i="10"/>
  <c r="B295" i="72"/>
  <c r="BM33" i="10"/>
  <c r="EQ37" i="10"/>
  <c r="BM37" i="10"/>
  <c r="B299" i="72"/>
  <c r="EQ30" i="10"/>
  <c r="B292" i="72"/>
  <c r="BM30" i="10"/>
  <c r="EQ46" i="5"/>
  <c r="B83" i="72"/>
  <c r="BM46" i="5"/>
  <c r="EQ31" i="5"/>
  <c r="B68" i="72"/>
  <c r="BM31" i="5"/>
  <c r="EF12" i="5"/>
  <c r="EH12" i="5"/>
  <c r="EI12" i="5" s="1"/>
  <c r="AB49" i="5"/>
  <c r="AB48" i="5"/>
  <c r="BM20" i="5"/>
  <c r="AB50" i="5"/>
  <c r="B57" i="72"/>
  <c r="EQ20" i="5"/>
  <c r="EQ30" i="5"/>
  <c r="B67" i="72"/>
  <c r="BM30" i="5"/>
  <c r="BC37" i="35"/>
  <c r="BB37" i="35" s="1"/>
  <c r="BG13" i="35"/>
  <c r="BC33" i="35"/>
  <c r="BB33" i="35" s="1"/>
  <c r="BC29" i="35"/>
  <c r="BB29" i="35" s="1"/>
  <c r="BC24" i="35"/>
  <c r="BB24" i="35" s="1"/>
  <c r="BC38" i="35"/>
  <c r="BB38" i="35" s="1"/>
  <c r="BC41" i="35"/>
  <c r="BB41" i="35" s="1"/>
  <c r="AO30" i="35"/>
  <c r="BC42" i="35"/>
  <c r="BB42" i="35" s="1"/>
  <c r="BC21" i="35"/>
  <c r="BB21" i="35" s="1"/>
  <c r="BC40" i="35"/>
  <c r="BB40" i="35" s="1"/>
  <c r="BC32" i="35"/>
  <c r="BB32" i="35" s="1"/>
  <c r="BC26" i="35"/>
  <c r="BB26" i="35" s="1"/>
  <c r="BD13" i="35"/>
  <c r="BB18" i="35" s="1"/>
  <c r="BC23" i="35"/>
  <c r="BB23" i="35" s="1"/>
  <c r="BC35" i="35"/>
  <c r="BB35" i="35" s="1"/>
  <c r="BC30" i="35"/>
  <c r="BB30" i="35" s="1"/>
  <c r="BB17" i="35"/>
  <c r="BC43" i="35"/>
  <c r="BB43" i="35" s="1"/>
  <c r="N13" i="35"/>
  <c r="O13" i="35" s="1"/>
  <c r="B17" i="35"/>
  <c r="B55" i="35" s="1"/>
  <c r="C22" i="35"/>
  <c r="C26" i="35"/>
  <c r="C30" i="35"/>
  <c r="C34" i="35"/>
  <c r="C38" i="35"/>
  <c r="C42" i="35"/>
  <c r="C21" i="35"/>
  <c r="C25" i="35"/>
  <c r="C29" i="35"/>
  <c r="C33" i="35"/>
  <c r="C37" i="35"/>
  <c r="C41" i="35"/>
  <c r="BC44" i="35"/>
  <c r="BB44" i="35" s="1"/>
  <c r="BC28" i="35"/>
  <c r="BB28" i="35" s="1"/>
  <c r="BC39" i="35"/>
  <c r="BB39" i="35" s="1"/>
  <c r="BC19" i="35"/>
  <c r="BB19" i="35" s="1"/>
  <c r="BC36" i="35"/>
  <c r="BB36" i="35" s="1"/>
  <c r="BC27" i="35"/>
  <c r="BB27" i="35" s="1"/>
  <c r="BC31" i="35"/>
  <c r="BB31" i="35" s="1"/>
  <c r="BC20" i="35"/>
  <c r="BB20" i="35" s="1"/>
  <c r="C44" i="35"/>
  <c r="C20" i="35"/>
  <c r="C24" i="35"/>
  <c r="C28" i="35"/>
  <c r="C32" i="35"/>
  <c r="C36" i="35"/>
  <c r="C40" i="35"/>
  <c r="C19" i="35"/>
  <c r="C23" i="35"/>
  <c r="C27" i="35"/>
  <c r="C31" i="35"/>
  <c r="C35" i="35"/>
  <c r="C39" i="35"/>
  <c r="C43" i="35"/>
  <c r="BC22" i="35"/>
  <c r="BB22" i="35" s="1"/>
  <c r="BC25" i="35"/>
  <c r="BB25" i="35" s="1"/>
  <c r="C18" i="35"/>
  <c r="BC34" i="35"/>
  <c r="BB34" i="35" s="1"/>
  <c r="BC18" i="35"/>
  <c r="B18" i="35"/>
  <c r="B57" i="35" s="1"/>
  <c r="EQ36" i="6"/>
  <c r="BM36" i="6"/>
  <c r="B118" i="72"/>
  <c r="C19" i="36"/>
  <c r="BD13" i="36"/>
  <c r="BB18" i="36" s="1"/>
  <c r="BC36" i="36"/>
  <c r="BB36" i="36" s="1"/>
  <c r="BC22" i="36"/>
  <c r="BB22" i="36" s="1"/>
  <c r="BC43" i="36"/>
  <c r="BB43" i="36" s="1"/>
  <c r="BC34" i="36"/>
  <c r="BB34" i="36" s="1"/>
  <c r="BC26" i="36"/>
  <c r="BB26" i="36" s="1"/>
  <c r="BC38" i="36"/>
  <c r="BB38" i="36" s="1"/>
  <c r="BC24" i="36"/>
  <c r="BB24" i="36" s="1"/>
  <c r="BC23" i="36"/>
  <c r="BB23" i="36" s="1"/>
  <c r="C20" i="36"/>
  <c r="BC41" i="36"/>
  <c r="BB41" i="36" s="1"/>
  <c r="BC30" i="36"/>
  <c r="BB30" i="36" s="1"/>
  <c r="BC42" i="36"/>
  <c r="BB42" i="36" s="1"/>
  <c r="BC37" i="36"/>
  <c r="BB37" i="36" s="1"/>
  <c r="BC29" i="36"/>
  <c r="BB29" i="36" s="1"/>
  <c r="BG13" i="36"/>
  <c r="BC25" i="36"/>
  <c r="BB25" i="36" s="1"/>
  <c r="BC28" i="36"/>
  <c r="BB28" i="36" s="1"/>
  <c r="BC31" i="36"/>
  <c r="BB31" i="36" s="1"/>
  <c r="BC40" i="36"/>
  <c r="BB40" i="36" s="1"/>
  <c r="BC18" i="36"/>
  <c r="BC21" i="36"/>
  <c r="BB21" i="36" s="1"/>
  <c r="C39" i="36"/>
  <c r="C28" i="36"/>
  <c r="C26" i="36"/>
  <c r="C42" i="36"/>
  <c r="C18" i="36"/>
  <c r="C37" i="36"/>
  <c r="C29" i="36"/>
  <c r="C34" i="36"/>
  <c r="B17" i="36"/>
  <c r="B55" i="36" s="1"/>
  <c r="N13" i="36"/>
  <c r="O13" i="36" s="1"/>
  <c r="BC27" i="36"/>
  <c r="BB27" i="36" s="1"/>
  <c r="BC35" i="36"/>
  <c r="BB35" i="36" s="1"/>
  <c r="BC44" i="36"/>
  <c r="BB44" i="36" s="1"/>
  <c r="BC20" i="36"/>
  <c r="BB20" i="36" s="1"/>
  <c r="BC32" i="36"/>
  <c r="BB32" i="36" s="1"/>
  <c r="C44" i="36"/>
  <c r="C36" i="36"/>
  <c r="C22" i="36"/>
  <c r="C30" i="36"/>
  <c r="C40" i="36"/>
  <c r="C35" i="36"/>
  <c r="C21" i="36"/>
  <c r="C24" i="36"/>
  <c r="BC19" i="36"/>
  <c r="BB19" i="36" s="1"/>
  <c r="C31" i="36"/>
  <c r="B18" i="36"/>
  <c r="B57" i="36" s="1"/>
  <c r="C25" i="36"/>
  <c r="AO30" i="36"/>
  <c r="BC33" i="36"/>
  <c r="BB33" i="36" s="1"/>
  <c r="C33" i="36"/>
  <c r="C32" i="36"/>
  <c r="C41" i="36"/>
  <c r="BC39" i="36"/>
  <c r="BB39" i="36" s="1"/>
  <c r="BB17" i="36"/>
  <c r="C43" i="36"/>
  <c r="C23" i="36"/>
  <c r="C27" i="36"/>
  <c r="C38" i="36"/>
  <c r="EQ27" i="6"/>
  <c r="BM27" i="6"/>
  <c r="B109" i="72"/>
  <c r="EQ42" i="6"/>
  <c r="B124" i="72"/>
  <c r="BM42" i="6"/>
  <c r="BM28" i="6"/>
  <c r="EQ28" i="6"/>
  <c r="B110" i="72"/>
  <c r="AL34" i="72"/>
  <c r="AV34" i="72"/>
  <c r="EQ21" i="14"/>
  <c r="BM21" i="14"/>
  <c r="B463" i="72"/>
  <c r="EQ41" i="14"/>
  <c r="B483" i="72"/>
  <c r="BM41" i="14"/>
  <c r="EQ31" i="14"/>
  <c r="B473" i="72"/>
  <c r="BM31" i="14"/>
  <c r="EQ30" i="14"/>
  <c r="B472" i="72"/>
  <c r="BM30" i="14"/>
  <c r="EQ40" i="14"/>
  <c r="B482" i="72"/>
  <c r="BM40" i="14"/>
  <c r="EQ44" i="14"/>
  <c r="B486" i="72"/>
  <c r="BM44" i="14"/>
  <c r="EQ40" i="9"/>
  <c r="B257" i="72"/>
  <c r="BM40" i="9"/>
  <c r="EQ46" i="9"/>
  <c r="B263" i="72"/>
  <c r="BM46" i="9"/>
  <c r="EQ31" i="9"/>
  <c r="B248" i="72"/>
  <c r="BM31" i="9"/>
  <c r="EQ34" i="9"/>
  <c r="B251" i="72"/>
  <c r="BM34" i="9"/>
  <c r="EQ41" i="9"/>
  <c r="B258" i="72"/>
  <c r="BM41" i="9"/>
  <c r="EQ44" i="9"/>
  <c r="BM44" i="9"/>
  <c r="B261" i="72"/>
  <c r="EF12" i="9"/>
  <c r="EI20" i="9"/>
  <c r="EH12" i="9"/>
  <c r="EI12" i="9" s="1"/>
  <c r="EQ46" i="11"/>
  <c r="B353" i="72"/>
  <c r="BM46" i="11"/>
  <c r="EQ47" i="11"/>
  <c r="B354" i="72"/>
  <c r="BM47" i="11"/>
  <c r="AB50" i="11"/>
  <c r="AB48" i="11"/>
  <c r="AB49" i="11"/>
  <c r="BM20" i="11"/>
  <c r="EQ20" i="11"/>
  <c r="B327" i="72"/>
  <c r="EQ43" i="11"/>
  <c r="B350" i="72"/>
  <c r="BM43" i="11"/>
  <c r="EQ41" i="11"/>
  <c r="B348" i="72"/>
  <c r="BM41" i="11"/>
  <c r="EQ39" i="11"/>
  <c r="B346" i="72"/>
  <c r="BM39" i="11"/>
  <c r="EQ45" i="11"/>
  <c r="B352" i="72"/>
  <c r="BM45" i="11"/>
  <c r="EQ23" i="11"/>
  <c r="B330" i="72"/>
  <c r="BM23" i="11"/>
  <c r="EQ43" i="8"/>
  <c r="B215" i="72"/>
  <c r="BM43" i="8"/>
  <c r="EQ45" i="8"/>
  <c r="BM45" i="8"/>
  <c r="B217" i="72"/>
  <c r="EQ30" i="8"/>
  <c r="B202" i="72"/>
  <c r="BM30" i="8"/>
  <c r="EQ33" i="8"/>
  <c r="B205" i="72"/>
  <c r="BM33" i="8"/>
  <c r="EQ27" i="8"/>
  <c r="B199" i="72"/>
  <c r="BM27" i="8"/>
  <c r="EQ32" i="8"/>
  <c r="B204" i="72"/>
  <c r="BM32" i="8"/>
  <c r="EQ24" i="7"/>
  <c r="B151" i="72"/>
  <c r="BM24" i="7"/>
  <c r="EQ44" i="7"/>
  <c r="B171" i="72"/>
  <c r="BM44" i="7"/>
  <c r="EQ43" i="7"/>
  <c r="B170" i="72"/>
  <c r="BM43" i="7"/>
  <c r="EQ28" i="7"/>
  <c r="BM28" i="7"/>
  <c r="B155" i="72"/>
  <c r="EQ25" i="7"/>
  <c r="B152" i="72"/>
  <c r="BM25" i="7"/>
  <c r="EQ32" i="7"/>
  <c r="B159" i="72"/>
  <c r="BM32" i="7"/>
  <c r="EQ49" i="4"/>
  <c r="B41" i="72"/>
  <c r="EG41" i="72" s="1"/>
  <c r="BM49" i="4"/>
  <c r="EI20" i="13"/>
  <c r="EH12" i="13"/>
  <c r="EI12" i="13" s="1"/>
  <c r="EF12" i="13"/>
  <c r="EQ38" i="13"/>
  <c r="B435" i="72"/>
  <c r="BM38" i="13"/>
  <c r="EQ21" i="13"/>
  <c r="EW21" i="13" s="1"/>
  <c r="BM21" i="13"/>
  <c r="B418" i="72"/>
  <c r="EQ32" i="13"/>
  <c r="B429" i="72"/>
  <c r="BM32" i="13"/>
  <c r="EQ33" i="13"/>
  <c r="B430" i="72"/>
  <c r="BM33" i="13"/>
  <c r="EQ45" i="13"/>
  <c r="B442" i="72"/>
  <c r="BM45" i="13"/>
  <c r="EQ23" i="13"/>
  <c r="B420" i="72"/>
  <c r="BM23" i="13"/>
  <c r="BC33" i="43"/>
  <c r="BB33" i="43" s="1"/>
  <c r="BC42" i="43"/>
  <c r="BB42" i="43" s="1"/>
  <c r="BC34" i="43"/>
  <c r="BB34" i="43" s="1"/>
  <c r="BG13" i="43"/>
  <c r="BC22" i="43"/>
  <c r="BB22" i="43" s="1"/>
  <c r="BC39" i="43"/>
  <c r="BB39" i="43" s="1"/>
  <c r="BC35" i="43"/>
  <c r="BB35" i="43" s="1"/>
  <c r="BC26" i="43"/>
  <c r="BB26" i="43" s="1"/>
  <c r="BB17" i="43"/>
  <c r="BC20" i="43"/>
  <c r="BB20" i="43" s="1"/>
  <c r="B17" i="43"/>
  <c r="B55" i="43" s="1"/>
  <c r="C22" i="43"/>
  <c r="C26" i="43"/>
  <c r="C30" i="43"/>
  <c r="C34" i="43"/>
  <c r="C38" i="43"/>
  <c r="C42" i="43"/>
  <c r="B18" i="43"/>
  <c r="B57" i="43" s="1"/>
  <c r="C25" i="43"/>
  <c r="C33" i="43"/>
  <c r="C41" i="43"/>
  <c r="BC44" i="43"/>
  <c r="BB44" i="43" s="1"/>
  <c r="BC29" i="43"/>
  <c r="BB29" i="43" s="1"/>
  <c r="BC38" i="43"/>
  <c r="BB38" i="43" s="1"/>
  <c r="BC19" i="43"/>
  <c r="BB19" i="43" s="1"/>
  <c r="BC32" i="43"/>
  <c r="BB32" i="43" s="1"/>
  <c r="BC43" i="43"/>
  <c r="BB43" i="43" s="1"/>
  <c r="BC37" i="43"/>
  <c r="BB37" i="43" s="1"/>
  <c r="BC30" i="43"/>
  <c r="BB30" i="43" s="1"/>
  <c r="BC23" i="43"/>
  <c r="BB23" i="43" s="1"/>
  <c r="BC21" i="43"/>
  <c r="BB21" i="43" s="1"/>
  <c r="C44" i="43"/>
  <c r="C20" i="43"/>
  <c r="C24" i="43"/>
  <c r="C28" i="43"/>
  <c r="C32" i="43"/>
  <c r="C36" i="43"/>
  <c r="C40" i="43"/>
  <c r="N13" i="43"/>
  <c r="O13" i="43" s="1"/>
  <c r="C21" i="43"/>
  <c r="C29" i="43"/>
  <c r="C37" i="43"/>
  <c r="BC24" i="43"/>
  <c r="BB24" i="43" s="1"/>
  <c r="BC25" i="43"/>
  <c r="BB25" i="43" s="1"/>
  <c r="BD13" i="43"/>
  <c r="BB18" i="43" s="1"/>
  <c r="BC40" i="43"/>
  <c r="BB40" i="43" s="1"/>
  <c r="C18" i="43"/>
  <c r="C27" i="43"/>
  <c r="C43" i="43"/>
  <c r="BC18" i="43"/>
  <c r="BC41" i="43"/>
  <c r="BB41" i="43" s="1"/>
  <c r="BC36" i="43"/>
  <c r="BB36" i="43" s="1"/>
  <c r="C31" i="43"/>
  <c r="BC31" i="43"/>
  <c r="BB31" i="43" s="1"/>
  <c r="BC27" i="43"/>
  <c r="BB27" i="43" s="1"/>
  <c r="BC28" i="43"/>
  <c r="BB28" i="43" s="1"/>
  <c r="AO30" i="43"/>
  <c r="C19" i="43"/>
  <c r="C35" i="43"/>
  <c r="C23" i="43"/>
  <c r="C39" i="43"/>
  <c r="EQ26" i="12"/>
  <c r="B378" i="72"/>
  <c r="BM26" i="12"/>
  <c r="EQ47" i="12"/>
  <c r="B399" i="72"/>
  <c r="BM47" i="12"/>
  <c r="EQ34" i="12"/>
  <c r="BM34" i="12"/>
  <c r="B386" i="72"/>
  <c r="EQ29" i="12"/>
  <c r="B381" i="72"/>
  <c r="BM29" i="12"/>
  <c r="EQ39" i="12"/>
  <c r="BM39" i="12"/>
  <c r="B391" i="72"/>
  <c r="EQ40" i="12"/>
  <c r="B392" i="72"/>
  <c r="BM40" i="12"/>
  <c r="B17" i="42"/>
  <c r="B55" i="42" s="1"/>
  <c r="BC31" i="42"/>
  <c r="BB31" i="42" s="1"/>
  <c r="BC42" i="42"/>
  <c r="BB42" i="42" s="1"/>
  <c r="BC29" i="42"/>
  <c r="BB29" i="42" s="1"/>
  <c r="BC41" i="42"/>
  <c r="BB41" i="42" s="1"/>
  <c r="BC22" i="42"/>
  <c r="BB22" i="42" s="1"/>
  <c r="C31" i="42"/>
  <c r="N13" i="42"/>
  <c r="O13" i="42" s="1"/>
  <c r="C29" i="42"/>
  <c r="C38" i="42"/>
  <c r="C22" i="42"/>
  <c r="C43" i="42"/>
  <c r="C27" i="42"/>
  <c r="C36" i="42"/>
  <c r="C20" i="42"/>
  <c r="C33" i="42"/>
  <c r="C26" i="42"/>
  <c r="BC44" i="42"/>
  <c r="BB44" i="42" s="1"/>
  <c r="BC23" i="42"/>
  <c r="BB23" i="42" s="1"/>
  <c r="BC34" i="42"/>
  <c r="BB34" i="42" s="1"/>
  <c r="BC24" i="42"/>
  <c r="BB24" i="42" s="1"/>
  <c r="BB17" i="42"/>
  <c r="BG13" i="42"/>
  <c r="BC25" i="42"/>
  <c r="BB25" i="42" s="1"/>
  <c r="C39" i="42"/>
  <c r="C23" i="42"/>
  <c r="C37" i="42"/>
  <c r="C21" i="42"/>
  <c r="C30" i="42"/>
  <c r="C44" i="42"/>
  <c r="C35" i="42"/>
  <c r="C19" i="42"/>
  <c r="C28" i="42"/>
  <c r="B18" i="42"/>
  <c r="B57" i="42" s="1"/>
  <c r="C42" i="42"/>
  <c r="BC28" i="42"/>
  <c r="BB28" i="42" s="1"/>
  <c r="BC27" i="42"/>
  <c r="BB27" i="42" s="1"/>
  <c r="BC40" i="42"/>
  <c r="BB40" i="42" s="1"/>
  <c r="BC18" i="42"/>
  <c r="C32" i="42"/>
  <c r="C34" i="42"/>
  <c r="BC36" i="42"/>
  <c r="BB36" i="42" s="1"/>
  <c r="BC21" i="42"/>
  <c r="BB21" i="42" s="1"/>
  <c r="BC20" i="42"/>
  <c r="BB20" i="42" s="1"/>
  <c r="BC37" i="42"/>
  <c r="BB37" i="42" s="1"/>
  <c r="BC39" i="42"/>
  <c r="BB39" i="42" s="1"/>
  <c r="C24" i="42"/>
  <c r="C18" i="42"/>
  <c r="BD13" i="42"/>
  <c r="BB18" i="42" s="1"/>
  <c r="BC38" i="42"/>
  <c r="BB38" i="42" s="1"/>
  <c r="BC26" i="42"/>
  <c r="BB26" i="42" s="1"/>
  <c r="BC33" i="42"/>
  <c r="BB33" i="42" s="1"/>
  <c r="BC35" i="42"/>
  <c r="BB35" i="42" s="1"/>
  <c r="AO30" i="42"/>
  <c r="C41" i="42"/>
  <c r="BC19" i="42"/>
  <c r="BB19" i="42" s="1"/>
  <c r="C40" i="42"/>
  <c r="BC32" i="42"/>
  <c r="BB32" i="42" s="1"/>
  <c r="C25" i="42"/>
  <c r="BC43" i="42"/>
  <c r="BB43" i="42" s="1"/>
  <c r="BC30" i="42"/>
  <c r="BB30" i="42" s="1"/>
  <c r="EQ21" i="10"/>
  <c r="B283" i="72"/>
  <c r="BM21" i="10"/>
  <c r="EQ46" i="10"/>
  <c r="B308" i="72"/>
  <c r="BM46" i="10"/>
  <c r="EQ29" i="10"/>
  <c r="BM29" i="10"/>
  <c r="B291" i="72"/>
  <c r="EQ25" i="10"/>
  <c r="B287" i="72"/>
  <c r="BM25" i="10"/>
  <c r="BC42" i="40"/>
  <c r="BB42" i="40" s="1"/>
  <c r="BC37" i="40"/>
  <c r="BB37" i="40" s="1"/>
  <c r="BC26" i="40"/>
  <c r="BB26" i="40" s="1"/>
  <c r="BC22" i="40"/>
  <c r="BB22" i="40" s="1"/>
  <c r="BC19" i="40"/>
  <c r="BB19" i="40" s="1"/>
  <c r="BC31" i="40"/>
  <c r="BB31" i="40" s="1"/>
  <c r="BC18" i="40"/>
  <c r="C44" i="40"/>
  <c r="C22" i="40"/>
  <c r="C30" i="40"/>
  <c r="C38" i="40"/>
  <c r="C21" i="40"/>
  <c r="C29" i="40"/>
  <c r="C37" i="40"/>
  <c r="N13" i="40"/>
  <c r="O13" i="40" s="1"/>
  <c r="BC44" i="40"/>
  <c r="BB44" i="40" s="1"/>
  <c r="BC39" i="40"/>
  <c r="BB39" i="40" s="1"/>
  <c r="BC32" i="40"/>
  <c r="BB32" i="40" s="1"/>
  <c r="BC24" i="40"/>
  <c r="BB24" i="40" s="1"/>
  <c r="BC20" i="40"/>
  <c r="BB20" i="40" s="1"/>
  <c r="BB17" i="40"/>
  <c r="BC23" i="40"/>
  <c r="BB23" i="40" s="1"/>
  <c r="B17" i="40"/>
  <c r="B55" i="40" s="1"/>
  <c r="C18" i="40"/>
  <c r="C26" i="40"/>
  <c r="C34" i="40"/>
  <c r="C42" i="40"/>
  <c r="C25" i="40"/>
  <c r="C33" i="40"/>
  <c r="C41" i="40"/>
  <c r="BC36" i="40"/>
  <c r="BB36" i="40" s="1"/>
  <c r="BD13" i="40"/>
  <c r="BB18" i="40" s="1"/>
  <c r="BC28" i="40"/>
  <c r="BB28" i="40" s="1"/>
  <c r="BC30" i="40"/>
  <c r="BB30" i="40" s="1"/>
  <c r="BC38" i="40"/>
  <c r="BB38" i="40" s="1"/>
  <c r="BC41" i="40"/>
  <c r="BB41" i="40" s="1"/>
  <c r="C24" i="40"/>
  <c r="C40" i="40"/>
  <c r="C31" i="40"/>
  <c r="BC43" i="40"/>
  <c r="BB43" i="40" s="1"/>
  <c r="BC21" i="40"/>
  <c r="BB21" i="40" s="1"/>
  <c r="BC27" i="40"/>
  <c r="BB27" i="40" s="1"/>
  <c r="BC33" i="40"/>
  <c r="BB33" i="40" s="1"/>
  <c r="BC35" i="40"/>
  <c r="BB35" i="40" s="1"/>
  <c r="B18" i="40"/>
  <c r="B57" i="40" s="1"/>
  <c r="C28" i="40"/>
  <c r="C19" i="40"/>
  <c r="C35" i="40"/>
  <c r="BC25" i="40"/>
  <c r="BB25" i="40" s="1"/>
  <c r="BC40" i="40"/>
  <c r="BB40" i="40" s="1"/>
  <c r="BG13" i="40"/>
  <c r="BC29" i="40"/>
  <c r="BB29" i="40" s="1"/>
  <c r="AO30" i="40"/>
  <c r="C32" i="40"/>
  <c r="C23" i="40"/>
  <c r="C39" i="40"/>
  <c r="BC34" i="40"/>
  <c r="BB34" i="40" s="1"/>
  <c r="C20" i="40"/>
  <c r="C36" i="40"/>
  <c r="C27" i="40"/>
  <c r="C43" i="40"/>
  <c r="EQ39" i="10"/>
  <c r="B301" i="72"/>
  <c r="BM39" i="10"/>
  <c r="EQ24" i="10"/>
  <c r="B286" i="72"/>
  <c r="BM24" i="10"/>
  <c r="EQ39" i="5"/>
  <c r="BM39" i="5"/>
  <c r="B76" i="72"/>
  <c r="EQ38" i="5"/>
  <c r="B75" i="72"/>
  <c r="BM38" i="5"/>
  <c r="EQ47" i="5"/>
  <c r="B84" i="72"/>
  <c r="BM47" i="5"/>
  <c r="EQ27" i="5"/>
  <c r="B64" i="72"/>
  <c r="BM27" i="5"/>
  <c r="EQ32" i="5"/>
  <c r="B69" i="72"/>
  <c r="BM32" i="5"/>
  <c r="EQ34" i="5"/>
  <c r="B71" i="72"/>
  <c r="BM34" i="5"/>
  <c r="EQ39" i="6"/>
  <c r="B121" i="72"/>
  <c r="BM39" i="6"/>
  <c r="EQ46" i="6"/>
  <c r="B128" i="72"/>
  <c r="BM46" i="6"/>
  <c r="BM23" i="6"/>
  <c r="EQ23" i="6"/>
  <c r="B105" i="72"/>
  <c r="BM37" i="6"/>
  <c r="EQ37" i="6"/>
  <c r="B119" i="72"/>
  <c r="EQ20" i="6"/>
  <c r="B102" i="72"/>
  <c r="AB48" i="6"/>
  <c r="AB50" i="6"/>
  <c r="BM20" i="6"/>
  <c r="AB49" i="6"/>
  <c r="EF12" i="6"/>
  <c r="EH12" i="6"/>
  <c r="EI12" i="6" s="1"/>
  <c r="EI20" i="6"/>
  <c r="EQ43" i="6"/>
  <c r="BM43" i="6"/>
  <c r="B125" i="72"/>
  <c r="EQ21" i="6"/>
  <c r="BM21" i="6"/>
  <c r="B103" i="72"/>
  <c r="EQ20" i="14"/>
  <c r="AB49" i="14"/>
  <c r="BM20" i="14"/>
  <c r="AB48" i="14"/>
  <c r="AB50" i="14"/>
  <c r="HI342" i="34" s="1"/>
  <c r="B462" i="72"/>
  <c r="EQ38" i="14"/>
  <c r="B480" i="72"/>
  <c r="BM38" i="14"/>
  <c r="EQ37" i="14"/>
  <c r="B479" i="72"/>
  <c r="BM37" i="14"/>
  <c r="BC40" i="44"/>
  <c r="BB40" i="44" s="1"/>
  <c r="BC25" i="44"/>
  <c r="BB25" i="44" s="1"/>
  <c r="BC38" i="44"/>
  <c r="BB38" i="44" s="1"/>
  <c r="BC26" i="44"/>
  <c r="BB26" i="44" s="1"/>
  <c r="C41" i="44"/>
  <c r="C30" i="44"/>
  <c r="C34" i="44"/>
  <c r="C35" i="44"/>
  <c r="C36" i="44"/>
  <c r="C37" i="44"/>
  <c r="C38" i="44"/>
  <c r="C31" i="44"/>
  <c r="AO30" i="44"/>
  <c r="BD13" i="44"/>
  <c r="BB18" i="44" s="1"/>
  <c r="BC31" i="44"/>
  <c r="BB31" i="44" s="1"/>
  <c r="BC19" i="44"/>
  <c r="BB19" i="44" s="1"/>
  <c r="BC33" i="44"/>
  <c r="BB33" i="44" s="1"/>
  <c r="BB17" i="44"/>
  <c r="C26" i="44"/>
  <c r="C29" i="44"/>
  <c r="C33" i="44"/>
  <c r="C25" i="44"/>
  <c r="C24" i="44"/>
  <c r="C20" i="44"/>
  <c r="C19" i="44"/>
  <c r="C18" i="44"/>
  <c r="C40" i="44"/>
  <c r="BC43" i="44"/>
  <c r="BB43" i="44" s="1"/>
  <c r="BC37" i="44"/>
  <c r="BB37" i="44" s="1"/>
  <c r="BC35" i="44"/>
  <c r="BB35" i="44" s="1"/>
  <c r="BC41" i="44"/>
  <c r="BB41" i="44" s="1"/>
  <c r="BC28" i="44"/>
  <c r="BB28" i="44" s="1"/>
  <c r="BG13" i="44"/>
  <c r="C28" i="44"/>
  <c r="C22" i="44"/>
  <c r="C21" i="44"/>
  <c r="BC34" i="44"/>
  <c r="BB34" i="44" s="1"/>
  <c r="BC27" i="44"/>
  <c r="BB27" i="44" s="1"/>
  <c r="BC30" i="44"/>
  <c r="BB30" i="44" s="1"/>
  <c r="BC39" i="44"/>
  <c r="BB39" i="44" s="1"/>
  <c r="BC23" i="44"/>
  <c r="BB23" i="44" s="1"/>
  <c r="BC29" i="44"/>
  <c r="BB29" i="44" s="1"/>
  <c r="C43" i="44"/>
  <c r="B17" i="44"/>
  <c r="B55" i="44" s="1"/>
  <c r="C39" i="44"/>
  <c r="BC42" i="44"/>
  <c r="BB42" i="44" s="1"/>
  <c r="BC20" i="44"/>
  <c r="BB20" i="44" s="1"/>
  <c r="BC21" i="44"/>
  <c r="BB21" i="44" s="1"/>
  <c r="BC24" i="44"/>
  <c r="BB24" i="44" s="1"/>
  <c r="BC36" i="44"/>
  <c r="BB36" i="44" s="1"/>
  <c r="BC22" i="44"/>
  <c r="BB22" i="44" s="1"/>
  <c r="BC32" i="44"/>
  <c r="BB32" i="44" s="1"/>
  <c r="C27" i="44"/>
  <c r="C23" i="44"/>
  <c r="B18" i="44"/>
  <c r="B57" i="44" s="1"/>
  <c r="BC44" i="44"/>
  <c r="BB44" i="44" s="1"/>
  <c r="BC18" i="44"/>
  <c r="C42" i="44"/>
  <c r="C44" i="44"/>
  <c r="N13" i="44"/>
  <c r="O13" i="44" s="1"/>
  <c r="C32" i="44"/>
  <c r="EQ34" i="14"/>
  <c r="B476" i="72"/>
  <c r="BM34" i="14"/>
  <c r="AB50" i="9"/>
  <c r="AB48" i="9"/>
  <c r="AB49" i="9"/>
  <c r="BM20" i="9"/>
  <c r="B237" i="72"/>
  <c r="EQ20" i="9"/>
  <c r="EQ36" i="9"/>
  <c r="B253" i="72"/>
  <c r="BM36" i="9"/>
  <c r="EQ39" i="9"/>
  <c r="B256" i="72"/>
  <c r="BM39" i="9"/>
  <c r="EQ24" i="9"/>
  <c r="BM24" i="9"/>
  <c r="B241" i="72"/>
  <c r="EQ25" i="9"/>
  <c r="B242" i="72"/>
  <c r="BM25" i="9"/>
  <c r="EQ43" i="9"/>
  <c r="B260" i="72"/>
  <c r="BM43" i="9"/>
  <c r="EQ29" i="11"/>
  <c r="B336" i="72"/>
  <c r="BM29" i="11"/>
  <c r="EQ34" i="11"/>
  <c r="B341" i="72"/>
  <c r="BM34" i="11"/>
  <c r="EQ25" i="11"/>
  <c r="B332" i="72"/>
  <c r="BM25" i="11"/>
  <c r="EQ33" i="11"/>
  <c r="BM33" i="11"/>
  <c r="B340" i="72"/>
  <c r="EQ35" i="11"/>
  <c r="B342" i="72"/>
  <c r="BM35" i="11"/>
  <c r="EQ26" i="11"/>
  <c r="BM26" i="11"/>
  <c r="B333" i="72"/>
  <c r="EQ21" i="11"/>
  <c r="B328" i="72"/>
  <c r="BM21" i="11"/>
  <c r="BC38" i="41"/>
  <c r="BB38" i="41" s="1"/>
  <c r="BC21" i="41"/>
  <c r="BB21" i="41" s="1"/>
  <c r="BC32" i="41"/>
  <c r="BB32" i="41" s="1"/>
  <c r="BC24" i="41"/>
  <c r="BB24" i="41" s="1"/>
  <c r="BC37" i="41"/>
  <c r="BB37" i="41" s="1"/>
  <c r="BC26" i="41"/>
  <c r="BB26" i="41" s="1"/>
  <c r="BC33" i="41"/>
  <c r="BB33" i="41" s="1"/>
  <c r="BC25" i="41"/>
  <c r="BB25" i="41" s="1"/>
  <c r="BC19" i="41"/>
  <c r="BB19" i="41" s="1"/>
  <c r="BC42" i="41"/>
  <c r="BB42" i="41" s="1"/>
  <c r="BC18" i="41"/>
  <c r="C18" i="41"/>
  <c r="BC44" i="41"/>
  <c r="BB44" i="41" s="1"/>
  <c r="BC31" i="41"/>
  <c r="BB31" i="41" s="1"/>
  <c r="BC39" i="41"/>
  <c r="BB39" i="41" s="1"/>
  <c r="BC28" i="41"/>
  <c r="BB28" i="41" s="1"/>
  <c r="BC40" i="41"/>
  <c r="BB40" i="41" s="1"/>
  <c r="BC34" i="41"/>
  <c r="BB34" i="41" s="1"/>
  <c r="BC43" i="41"/>
  <c r="BB43" i="41" s="1"/>
  <c r="BC30" i="41"/>
  <c r="BB30" i="41" s="1"/>
  <c r="BC22" i="41"/>
  <c r="BB22" i="41" s="1"/>
  <c r="BG13" i="41"/>
  <c r="BC20" i="41"/>
  <c r="BB20" i="41" s="1"/>
  <c r="BC27" i="41"/>
  <c r="BB27" i="41" s="1"/>
  <c r="B18" i="41"/>
  <c r="B57" i="41" s="1"/>
  <c r="BC36" i="41"/>
  <c r="BB36" i="41" s="1"/>
  <c r="BC35" i="41"/>
  <c r="BB35" i="41" s="1"/>
  <c r="B17" i="41"/>
  <c r="B55" i="41" s="1"/>
  <c r="C24" i="41"/>
  <c r="C32" i="41"/>
  <c r="C40" i="41"/>
  <c r="C23" i="41"/>
  <c r="C31" i="41"/>
  <c r="C39" i="41"/>
  <c r="N13" i="41"/>
  <c r="O13" i="41" s="1"/>
  <c r="BC29" i="41"/>
  <c r="BB29" i="41" s="1"/>
  <c r="BC23" i="41"/>
  <c r="BB23" i="41" s="1"/>
  <c r="AO30" i="41"/>
  <c r="C26" i="41"/>
  <c r="C34" i="41"/>
  <c r="C42" i="41"/>
  <c r="C25" i="41"/>
  <c r="C33" i="41"/>
  <c r="C41" i="41"/>
  <c r="BD13" i="41"/>
  <c r="BB18" i="41" s="1"/>
  <c r="BB17" i="41"/>
  <c r="C20" i="41"/>
  <c r="C28" i="41"/>
  <c r="C36" i="41"/>
  <c r="C19" i="41"/>
  <c r="C27" i="41"/>
  <c r="C35" i="41"/>
  <c r="C43" i="41"/>
  <c r="BC41" i="41"/>
  <c r="BB41" i="41" s="1"/>
  <c r="C22" i="41"/>
  <c r="C29" i="41"/>
  <c r="C30" i="41"/>
  <c r="C37" i="41"/>
  <c r="C38" i="41"/>
  <c r="C44" i="41"/>
  <c r="C21" i="41"/>
  <c r="EQ40" i="8"/>
  <c r="B212" i="72"/>
  <c r="BM40" i="8"/>
  <c r="EQ34" i="8"/>
  <c r="B206" i="72"/>
  <c r="BM34" i="8"/>
  <c r="EQ41" i="8"/>
  <c r="B213" i="72"/>
  <c r="BM41" i="8"/>
  <c r="EQ44" i="8"/>
  <c r="B216" i="72"/>
  <c r="BM44" i="8"/>
  <c r="EF12" i="8"/>
  <c r="EH12" i="8"/>
  <c r="EI12" i="8" s="1"/>
  <c r="EI20" i="8"/>
  <c r="EQ36" i="7"/>
  <c r="B163" i="72"/>
  <c r="BM36" i="7"/>
  <c r="EQ35" i="7"/>
  <c r="B162" i="72"/>
  <c r="BM35" i="7"/>
  <c r="EQ37" i="7"/>
  <c r="B164" i="72"/>
  <c r="BM37" i="7"/>
  <c r="EQ47" i="7"/>
  <c r="B174" i="72"/>
  <c r="BM47" i="7"/>
  <c r="EQ39" i="7"/>
  <c r="B166" i="72"/>
  <c r="BM39" i="7"/>
  <c r="EQ30" i="7"/>
  <c r="B157" i="72"/>
  <c r="BM30" i="7"/>
  <c r="EQ38" i="7"/>
  <c r="B165" i="72"/>
  <c r="BM38" i="7"/>
  <c r="EQ23" i="7"/>
  <c r="B150" i="72"/>
  <c r="BM23" i="7"/>
  <c r="EQ50" i="4"/>
  <c r="B42" i="72"/>
  <c r="EG42" i="72" s="1"/>
  <c r="BM50" i="4"/>
  <c r="AL12" i="72"/>
  <c r="AV12" i="72"/>
  <c r="EQ24" i="13"/>
  <c r="B421" i="72"/>
  <c r="BM24" i="13"/>
  <c r="EQ46" i="13"/>
  <c r="B443" i="72"/>
  <c r="BM46" i="13"/>
  <c r="EQ43" i="13"/>
  <c r="BM43" i="13"/>
  <c r="B440" i="72"/>
  <c r="EQ25" i="13"/>
  <c r="B422" i="72"/>
  <c r="BM25" i="13"/>
  <c r="EQ44" i="13"/>
  <c r="B441" i="72"/>
  <c r="BM44" i="13"/>
  <c r="EQ39" i="13"/>
  <c r="B436" i="72"/>
  <c r="BM39" i="13"/>
  <c r="EQ46" i="12"/>
  <c r="B398" i="72"/>
  <c r="BM46" i="12"/>
  <c r="EQ24" i="12"/>
  <c r="B376" i="72"/>
  <c r="BM24" i="12"/>
  <c r="EQ30" i="12"/>
  <c r="B382" i="72"/>
  <c r="BM30" i="12"/>
  <c r="EQ21" i="12"/>
  <c r="B373" i="72"/>
  <c r="BM21" i="12"/>
  <c r="EQ33" i="12"/>
  <c r="B385" i="72"/>
  <c r="BM33" i="12"/>
  <c r="EQ36" i="12"/>
  <c r="B388" i="72"/>
  <c r="BM36" i="12"/>
  <c r="EQ37" i="12"/>
  <c r="B389" i="72"/>
  <c r="BM37" i="12"/>
  <c r="AL20" i="72"/>
  <c r="AV20" i="72"/>
  <c r="EQ31" i="10"/>
  <c r="B293" i="72"/>
  <c r="BM31" i="10"/>
  <c r="EH12" i="10"/>
  <c r="EI12" i="10" s="1"/>
  <c r="EI20" i="10"/>
  <c r="EF12" i="10"/>
  <c r="EQ26" i="10"/>
  <c r="B288" i="72"/>
  <c r="BM26" i="10"/>
  <c r="EQ22" i="10"/>
  <c r="B284" i="72"/>
  <c r="BM22" i="10"/>
  <c r="EQ35" i="10"/>
  <c r="B297" i="72"/>
  <c r="BM35" i="10"/>
  <c r="EQ41" i="10"/>
  <c r="B303" i="72"/>
  <c r="BM41" i="10"/>
  <c r="EQ44" i="10"/>
  <c r="B306" i="72"/>
  <c r="BM44" i="10"/>
  <c r="EQ23" i="5"/>
  <c r="B60" i="72"/>
  <c r="BM23" i="5"/>
  <c r="EQ25" i="5"/>
  <c r="B62" i="72"/>
  <c r="BM25" i="5"/>
  <c r="EQ22" i="5"/>
  <c r="BM22" i="5"/>
  <c r="B59" i="72"/>
  <c r="EQ42" i="5"/>
  <c r="B79" i="72"/>
  <c r="BM42" i="5"/>
  <c r="EQ40" i="5"/>
  <c r="B77" i="72"/>
  <c r="BM40" i="5"/>
  <c r="EQ33" i="5"/>
  <c r="B70" i="72"/>
  <c r="BM33" i="5"/>
  <c r="Q24" i="25"/>
  <c r="F89" i="25" s="1"/>
  <c r="D25" i="77"/>
  <c r="D57" i="77"/>
  <c r="D165" i="77"/>
  <c r="D197" i="77"/>
  <c r="D229" i="77"/>
  <c r="D261" i="77"/>
  <c r="D293" i="77"/>
  <c r="D325" i="77"/>
  <c r="D357" i="77"/>
  <c r="D389" i="77"/>
  <c r="D421" i="77"/>
  <c r="C12" i="77"/>
  <c r="C44" i="77"/>
  <c r="C152" i="77"/>
  <c r="C184" i="77"/>
  <c r="C216" i="77"/>
  <c r="C248" i="77"/>
  <c r="C280" i="77"/>
  <c r="C312" i="77"/>
  <c r="C344" i="77"/>
  <c r="C376" i="77"/>
  <c r="C408" i="77"/>
  <c r="D4" i="77"/>
  <c r="D20" i="77"/>
  <c r="D36" i="77"/>
  <c r="D52" i="77"/>
  <c r="D144" i="77"/>
  <c r="D160" i="77"/>
  <c r="D176" i="77"/>
  <c r="D192" i="77"/>
  <c r="D208" i="77"/>
  <c r="D224" i="77"/>
  <c r="D240" i="77"/>
  <c r="D256" i="77"/>
  <c r="D272" i="77"/>
  <c r="D288" i="77"/>
  <c r="D304" i="77"/>
  <c r="D320" i="77"/>
  <c r="D336" i="77"/>
  <c r="D352" i="77"/>
  <c r="D368" i="77"/>
  <c r="D384" i="77"/>
  <c r="D400" i="77"/>
  <c r="D416" i="77"/>
  <c r="C37" i="77"/>
  <c r="C177" i="77"/>
  <c r="C241" i="77"/>
  <c r="C305" i="77"/>
  <c r="C369" i="77"/>
  <c r="C139" i="77"/>
  <c r="C203" i="77"/>
  <c r="C267" i="77"/>
  <c r="C331" i="77"/>
  <c r="C395" i="77"/>
  <c r="C25" i="77"/>
  <c r="C165" i="77"/>
  <c r="C229" i="77"/>
  <c r="C293" i="77"/>
  <c r="C357" i="77"/>
  <c r="C421" i="77"/>
  <c r="C143" i="77"/>
  <c r="C207" i="77"/>
  <c r="C271" i="77"/>
  <c r="C335" i="77"/>
  <c r="C399" i="77"/>
  <c r="K18" i="25"/>
  <c r="D83" i="25" s="1"/>
  <c r="K17" i="25"/>
  <c r="D82" i="25" s="1"/>
  <c r="K15" i="25"/>
  <c r="D80" i="25" s="1"/>
  <c r="D33" i="77"/>
  <c r="D141" i="77"/>
  <c r="D173" i="77"/>
  <c r="D205" i="77"/>
  <c r="D237" i="77"/>
  <c r="D269" i="77"/>
  <c r="D301" i="77"/>
  <c r="D333" i="77"/>
  <c r="D365" i="77"/>
  <c r="D397" i="77"/>
  <c r="C20" i="77"/>
  <c r="C52" i="77"/>
  <c r="C160" i="77"/>
  <c r="C192" i="77"/>
  <c r="C224" i="77"/>
  <c r="C256" i="77"/>
  <c r="C288" i="77"/>
  <c r="C320" i="77"/>
  <c r="C352" i="77"/>
  <c r="C384" i="77"/>
  <c r="C416" i="77"/>
  <c r="D10" i="77"/>
  <c r="D26" i="77"/>
  <c r="D42" i="77"/>
  <c r="D58" i="77"/>
  <c r="D150" i="77"/>
  <c r="D166" i="77"/>
  <c r="D182" i="77"/>
  <c r="D198" i="77"/>
  <c r="D214" i="77"/>
  <c r="D230" i="77"/>
  <c r="D246" i="77"/>
  <c r="D262" i="77"/>
  <c r="D278" i="77"/>
  <c r="D294" i="77"/>
  <c r="D310" i="77"/>
  <c r="D326" i="77"/>
  <c r="D342" i="77"/>
  <c r="D358" i="77"/>
  <c r="D374" i="77"/>
  <c r="D390" i="77"/>
  <c r="D406" i="77"/>
  <c r="D422" i="77"/>
  <c r="C61" i="77"/>
  <c r="C137" i="77"/>
  <c r="C201" i="77"/>
  <c r="C265" i="77"/>
  <c r="C329" i="77"/>
  <c r="C393" i="77"/>
  <c r="C23" i="77"/>
  <c r="C163" i="77"/>
  <c r="C227" i="77"/>
  <c r="C291" i="77"/>
  <c r="C355" i="77"/>
  <c r="C419" i="77"/>
  <c r="C49" i="77"/>
  <c r="C189" i="77"/>
  <c r="C253" i="77"/>
  <c r="C317" i="77"/>
  <c r="C381" i="77"/>
  <c r="C27" i="77"/>
  <c r="C167" i="77"/>
  <c r="C231" i="77"/>
  <c r="C295" i="77"/>
  <c r="C359" i="77"/>
  <c r="D3" i="77"/>
  <c r="K26" i="25"/>
  <c r="D91" i="25" s="1"/>
  <c r="K25" i="25"/>
  <c r="D90" i="25" s="1"/>
  <c r="D9" i="77"/>
  <c r="D41" i="77"/>
  <c r="D149" i="77"/>
  <c r="D181" i="77"/>
  <c r="D213" i="77"/>
  <c r="D245" i="77"/>
  <c r="D277" i="77"/>
  <c r="D309" i="77"/>
  <c r="D341" i="77"/>
  <c r="D373" i="77"/>
  <c r="D405" i="77"/>
  <c r="C28" i="77"/>
  <c r="C60" i="77"/>
  <c r="C136" i="77"/>
  <c r="C168" i="77"/>
  <c r="C200" i="77"/>
  <c r="C232" i="77"/>
  <c r="C264" i="77"/>
  <c r="C296" i="77"/>
  <c r="C328" i="77"/>
  <c r="C360" i="77"/>
  <c r="C392" i="77"/>
  <c r="D12" i="77"/>
  <c r="D28" i="77"/>
  <c r="D44" i="77"/>
  <c r="D60" i="77"/>
  <c r="D136" i="77"/>
  <c r="D152" i="77"/>
  <c r="D168" i="77"/>
  <c r="D184" i="77"/>
  <c r="D200" i="77"/>
  <c r="D216" i="77"/>
  <c r="D232" i="77"/>
  <c r="D248" i="77"/>
  <c r="D264" i="77"/>
  <c r="D280" i="77"/>
  <c r="D296" i="77"/>
  <c r="D312" i="77"/>
  <c r="D328" i="77"/>
  <c r="D344" i="77"/>
  <c r="D360" i="77"/>
  <c r="D376" i="77"/>
  <c r="D392" i="77"/>
  <c r="D408" i="77"/>
  <c r="C5" i="77"/>
  <c r="C145" i="77"/>
  <c r="C209" i="77"/>
  <c r="C273" i="77"/>
  <c r="C337" i="77"/>
  <c r="C401" i="77"/>
  <c r="C31" i="77"/>
  <c r="C171" i="77"/>
  <c r="C235" i="77"/>
  <c r="C299" i="77"/>
  <c r="C363" i="77"/>
  <c r="C57" i="77"/>
  <c r="C197" i="77"/>
  <c r="C261" i="77"/>
  <c r="C325" i="77"/>
  <c r="C389" i="77"/>
  <c r="C35" i="77"/>
  <c r="C175" i="77"/>
  <c r="C239" i="77"/>
  <c r="C303" i="77"/>
  <c r="C367" i="77"/>
  <c r="Q26" i="25"/>
  <c r="F91" i="25" s="1"/>
  <c r="Q25" i="25"/>
  <c r="F90" i="25" s="1"/>
  <c r="D17" i="77"/>
  <c r="D49" i="77"/>
  <c r="D157" i="77"/>
  <c r="D189" i="77"/>
  <c r="D221" i="77"/>
  <c r="D253" i="77"/>
  <c r="D285" i="77"/>
  <c r="D317" i="77"/>
  <c r="D349" i="77"/>
  <c r="D381" i="77"/>
  <c r="D413" i="77"/>
  <c r="C4" i="77"/>
  <c r="C36" i="77"/>
  <c r="C144" i="77"/>
  <c r="C176" i="77"/>
  <c r="C208" i="77"/>
  <c r="C240" i="77"/>
  <c r="C272" i="77"/>
  <c r="C304" i="77"/>
  <c r="C336" i="77"/>
  <c r="C368" i="77"/>
  <c r="C400" i="77"/>
  <c r="D18" i="77"/>
  <c r="D34" i="77"/>
  <c r="D50" i="77"/>
  <c r="D142" i="77"/>
  <c r="D158" i="77"/>
  <c r="D174" i="77"/>
  <c r="D190" i="77"/>
  <c r="D206" i="77"/>
  <c r="D222" i="77"/>
  <c r="D238" i="77"/>
  <c r="D254" i="77"/>
  <c r="D270" i="77"/>
  <c r="D286" i="77"/>
  <c r="D302" i="77"/>
  <c r="D318" i="77"/>
  <c r="D334" i="77"/>
  <c r="D350" i="77"/>
  <c r="D366" i="77"/>
  <c r="D382" i="77"/>
  <c r="D398" i="77"/>
  <c r="D414" i="77"/>
  <c r="C29" i="77"/>
  <c r="C169" i="77"/>
  <c r="C233" i="77"/>
  <c r="C297" i="77"/>
  <c r="C361" i="77"/>
  <c r="C55" i="77"/>
  <c r="C195" i="77"/>
  <c r="C259" i="77"/>
  <c r="C323" i="77"/>
  <c r="C387" i="77"/>
  <c r="C17" i="77"/>
  <c r="C157" i="77"/>
  <c r="C221" i="77"/>
  <c r="C285" i="77"/>
  <c r="C349" i="77"/>
  <c r="C413" i="77"/>
  <c r="C59" i="77"/>
  <c r="C135" i="77"/>
  <c r="C199" i="77"/>
  <c r="C263" i="77"/>
  <c r="C327" i="77"/>
  <c r="C391" i="77"/>
  <c r="W26" i="25"/>
  <c r="H91" i="25" s="1"/>
  <c r="W17" i="25"/>
  <c r="H82" i="25" s="1"/>
  <c r="BM35" i="6"/>
  <c r="EQ35" i="6"/>
  <c r="B117" i="72"/>
  <c r="EQ32" i="6"/>
  <c r="B114" i="72"/>
  <c r="BM32" i="6"/>
  <c r="BM29" i="6"/>
  <c r="EQ29" i="6"/>
  <c r="B111" i="72"/>
  <c r="BM47" i="6"/>
  <c r="EQ47" i="6"/>
  <c r="B129" i="72"/>
  <c r="BM34" i="6"/>
  <c r="EQ34" i="6"/>
  <c r="B116" i="72"/>
  <c r="EQ25" i="6"/>
  <c r="BM25" i="6"/>
  <c r="B107" i="72"/>
  <c r="EQ35" i="14"/>
  <c r="B477" i="72"/>
  <c r="BM35" i="14"/>
  <c r="EQ45" i="14"/>
  <c r="BM45" i="14"/>
  <c r="B487" i="72"/>
  <c r="EQ26" i="14"/>
  <c r="BM26" i="14"/>
  <c r="B468" i="72"/>
  <c r="EQ43" i="14"/>
  <c r="B485" i="72"/>
  <c r="BM43" i="14"/>
  <c r="EQ29" i="14"/>
  <c r="B471" i="72"/>
  <c r="BM29" i="14"/>
  <c r="EQ27" i="9"/>
  <c r="B244" i="72"/>
  <c r="BM27" i="9"/>
  <c r="EQ21" i="9"/>
  <c r="BM21" i="9"/>
  <c r="B238" i="72"/>
  <c r="EQ35" i="9"/>
  <c r="B252" i="72"/>
  <c r="BM35" i="9"/>
  <c r="EQ30" i="9"/>
  <c r="B247" i="72"/>
  <c r="BM30" i="9"/>
  <c r="EQ22" i="9"/>
  <c r="B239" i="72"/>
  <c r="BM22" i="9"/>
  <c r="EQ33" i="9"/>
  <c r="B250" i="72"/>
  <c r="BM33" i="9"/>
  <c r="FZ49" i="14" l="1"/>
  <c r="GB49" i="14" s="1"/>
  <c r="FW342" i="34" s="1"/>
  <c r="HI341" i="34"/>
  <c r="FZ49" i="11"/>
  <c r="GB49" i="11" s="1"/>
  <c r="FW249" i="34" s="1"/>
  <c r="HI248" i="34"/>
  <c r="FZ50" i="13"/>
  <c r="GB50" i="13" s="1"/>
  <c r="FW312" i="34" s="1"/>
  <c r="HI311" i="34"/>
  <c r="FZ50" i="10"/>
  <c r="GB50" i="10" s="1"/>
  <c r="FW219" i="34" s="1"/>
  <c r="HI218" i="34"/>
  <c r="FZ48" i="12"/>
  <c r="GB48" i="12" s="1"/>
  <c r="FW279" i="34" s="1"/>
  <c r="HI278" i="34"/>
  <c r="FZ50" i="7"/>
  <c r="GB50" i="7" s="1"/>
  <c r="FW126" i="34" s="1"/>
  <c r="HI125" i="34"/>
  <c r="FZ49" i="15"/>
  <c r="GB49" i="15" s="1"/>
  <c r="FW373" i="34" s="1"/>
  <c r="HI372" i="34"/>
  <c r="FZ48" i="9"/>
  <c r="GB48" i="9" s="1"/>
  <c r="FW186" i="34" s="1"/>
  <c r="HI185" i="34"/>
  <c r="FZ48" i="14"/>
  <c r="GB48" i="14" s="1"/>
  <c r="FW341" i="34" s="1"/>
  <c r="HI340" i="34"/>
  <c r="FZ48" i="6"/>
  <c r="GB48" i="6" s="1"/>
  <c r="FW93" i="34" s="1"/>
  <c r="HI92" i="34"/>
  <c r="FZ50" i="11"/>
  <c r="GB50" i="11" s="1"/>
  <c r="FW250" i="34" s="1"/>
  <c r="HI249" i="34"/>
  <c r="FZ49" i="5"/>
  <c r="HI62" i="34"/>
  <c r="FZ49" i="13"/>
  <c r="GB49" i="13" s="1"/>
  <c r="FW311" i="34" s="1"/>
  <c r="HI310" i="34"/>
  <c r="FZ49" i="10"/>
  <c r="GB49" i="10" s="1"/>
  <c r="FW218" i="34" s="1"/>
  <c r="HI217" i="34"/>
  <c r="FZ48" i="8"/>
  <c r="GB48" i="8" s="1"/>
  <c r="FW155" i="34" s="1"/>
  <c r="HI154" i="34"/>
  <c r="FZ49" i="9"/>
  <c r="GB49" i="9" s="1"/>
  <c r="FW187" i="34" s="1"/>
  <c r="HI186" i="34"/>
  <c r="FZ50" i="9"/>
  <c r="GB50" i="9" s="1"/>
  <c r="FW188" i="34" s="1"/>
  <c r="HI187" i="34"/>
  <c r="HK342" i="34"/>
  <c r="FZ49" i="6"/>
  <c r="GB49" i="6" s="1"/>
  <c r="FW94" i="34" s="1"/>
  <c r="HI93" i="34"/>
  <c r="FZ50" i="6"/>
  <c r="GB50" i="6" s="1"/>
  <c r="FW95" i="34" s="1"/>
  <c r="HI94" i="34"/>
  <c r="FZ48" i="11"/>
  <c r="GB48" i="11" s="1"/>
  <c r="FW248" i="34" s="1"/>
  <c r="HI247" i="34"/>
  <c r="FZ50" i="5"/>
  <c r="HI63" i="34"/>
  <c r="FZ48" i="5"/>
  <c r="GB48" i="5" s="1"/>
  <c r="FW62" i="34" s="1"/>
  <c r="HI61" i="34"/>
  <c r="FZ48" i="13"/>
  <c r="GB48" i="13" s="1"/>
  <c r="FW310" i="34" s="1"/>
  <c r="HI309" i="34"/>
  <c r="FZ48" i="10"/>
  <c r="GB48" i="10" s="1"/>
  <c r="FW217" i="34" s="1"/>
  <c r="HI216" i="34"/>
  <c r="FZ49" i="12"/>
  <c r="GB49" i="12" s="1"/>
  <c r="FW280" i="34" s="1"/>
  <c r="HI279" i="34"/>
  <c r="HK280" i="34"/>
  <c r="FZ48" i="7"/>
  <c r="GB48" i="7" s="1"/>
  <c r="FW124" i="34" s="1"/>
  <c r="HI123" i="34"/>
  <c r="FZ49" i="7"/>
  <c r="GB49" i="7" s="1"/>
  <c r="FW125" i="34" s="1"/>
  <c r="HI124" i="34"/>
  <c r="FZ49" i="8"/>
  <c r="GB49" i="8" s="1"/>
  <c r="FW156" i="34" s="1"/>
  <c r="HI155" i="34"/>
  <c r="FZ50" i="8"/>
  <c r="GB50" i="8" s="1"/>
  <c r="FW157" i="34" s="1"/>
  <c r="HI156" i="34"/>
  <c r="FZ50" i="15"/>
  <c r="GB50" i="15" s="1"/>
  <c r="FW374" i="34" s="1"/>
  <c r="HI373" i="34"/>
  <c r="FZ48" i="15"/>
  <c r="GB48" i="15" s="1"/>
  <c r="FW372" i="34" s="1"/>
  <c r="HI371" i="34"/>
  <c r="E49" i="70"/>
  <c r="D39" i="70"/>
  <c r="D43" i="62"/>
  <c r="M51" i="55"/>
  <c r="B21" i="56"/>
  <c r="E40" i="56"/>
  <c r="D51" i="58"/>
  <c r="E40" i="68"/>
  <c r="B21" i="55"/>
  <c r="E40" i="55"/>
  <c r="E49" i="55" s="1"/>
  <c r="L50" i="55" s="1"/>
  <c r="L51" i="55" s="1"/>
  <c r="L52" i="55" s="1"/>
  <c r="BC46" i="18"/>
  <c r="BB46" i="18" s="1"/>
  <c r="DY5" i="43"/>
  <c r="AL90" i="13"/>
  <c r="AH90" i="13"/>
  <c r="EJ38" i="41"/>
  <c r="C77" i="41"/>
  <c r="EJ27" i="41"/>
  <c r="C66" i="41"/>
  <c r="EJ33" i="41"/>
  <c r="C72" i="41"/>
  <c r="EJ40" i="41"/>
  <c r="C79" i="41"/>
  <c r="EJ33" i="44"/>
  <c r="C72" i="44"/>
  <c r="EJ43" i="40"/>
  <c r="C82" i="40"/>
  <c r="EJ24" i="40"/>
  <c r="C63" i="40"/>
  <c r="EJ33" i="40"/>
  <c r="C72" i="40"/>
  <c r="EJ22" i="40"/>
  <c r="C61" i="40"/>
  <c r="EJ23" i="42"/>
  <c r="C62" i="42"/>
  <c r="EJ36" i="42"/>
  <c r="C75" i="42"/>
  <c r="EJ43" i="43"/>
  <c r="C82" i="43"/>
  <c r="EJ29" i="43"/>
  <c r="C68" i="43"/>
  <c r="EJ20" i="43"/>
  <c r="C59" i="43"/>
  <c r="EJ42" i="43"/>
  <c r="C81" i="43"/>
  <c r="EJ23" i="36"/>
  <c r="C62" i="36"/>
  <c r="EJ20" i="36"/>
  <c r="C59" i="36"/>
  <c r="EJ43" i="35"/>
  <c r="C82" i="35"/>
  <c r="EJ36" i="35"/>
  <c r="C75" i="35"/>
  <c r="EJ20" i="35"/>
  <c r="C59" i="35"/>
  <c r="EJ33" i="35"/>
  <c r="C72" i="35"/>
  <c r="EJ26" i="35"/>
  <c r="C65" i="35"/>
  <c r="EJ40" i="37"/>
  <c r="C79" i="37"/>
  <c r="EJ30" i="37"/>
  <c r="C69" i="37"/>
  <c r="EJ29" i="37"/>
  <c r="C68" i="37"/>
  <c r="EJ19" i="41"/>
  <c r="C58" i="41"/>
  <c r="EJ39" i="41"/>
  <c r="C78" i="41"/>
  <c r="EJ39" i="40"/>
  <c r="C78" i="40"/>
  <c r="EJ40" i="42"/>
  <c r="C79" i="42"/>
  <c r="EJ34" i="42"/>
  <c r="C73" i="42"/>
  <c r="EJ28" i="42"/>
  <c r="C67" i="42"/>
  <c r="EJ30" i="42"/>
  <c r="C69" i="42"/>
  <c r="EJ39" i="42"/>
  <c r="C78" i="42"/>
  <c r="EJ26" i="42"/>
  <c r="C65" i="42"/>
  <c r="EJ27" i="42"/>
  <c r="C66" i="42"/>
  <c r="EJ29" i="42"/>
  <c r="C68" i="42"/>
  <c r="EJ23" i="43"/>
  <c r="C62" i="43"/>
  <c r="EJ27" i="43"/>
  <c r="C66" i="43"/>
  <c r="EJ21" i="43"/>
  <c r="C60" i="43"/>
  <c r="EJ32" i="43"/>
  <c r="C71" i="43"/>
  <c r="EJ44" i="43"/>
  <c r="C83" i="43"/>
  <c r="EJ33" i="43"/>
  <c r="C72" i="43"/>
  <c r="EJ43" i="36"/>
  <c r="C82" i="36"/>
  <c r="EJ32" i="36"/>
  <c r="C71" i="36"/>
  <c r="EJ25" i="36"/>
  <c r="C64" i="36"/>
  <c r="EJ24" i="36"/>
  <c r="C63" i="36"/>
  <c r="EJ30" i="36"/>
  <c r="C69" i="36"/>
  <c r="EJ29" i="36"/>
  <c r="C68" i="36"/>
  <c r="EJ26" i="36"/>
  <c r="C65" i="36"/>
  <c r="EJ18" i="35"/>
  <c r="C57" i="35"/>
  <c r="EJ39" i="35"/>
  <c r="C78" i="35"/>
  <c r="EJ23" i="35"/>
  <c r="C62" i="35"/>
  <c r="EJ32" i="35"/>
  <c r="C71" i="35"/>
  <c r="EJ44" i="35"/>
  <c r="C83" i="35"/>
  <c r="EJ29" i="35"/>
  <c r="C68" i="35"/>
  <c r="EJ38" i="35"/>
  <c r="C77" i="35"/>
  <c r="EJ22" i="35"/>
  <c r="C61" i="35"/>
  <c r="EJ28" i="37"/>
  <c r="C67" i="37"/>
  <c r="EJ24" i="37"/>
  <c r="C63" i="37"/>
  <c r="EJ22" i="37"/>
  <c r="C61" i="37"/>
  <c r="EJ31" i="37"/>
  <c r="C70" i="37"/>
  <c r="EJ42" i="37"/>
  <c r="C81" i="37"/>
  <c r="EJ41" i="37"/>
  <c r="C80" i="37"/>
  <c r="EJ25" i="37"/>
  <c r="C64" i="37"/>
  <c r="EJ18" i="38"/>
  <c r="C57" i="38"/>
  <c r="EJ22" i="41"/>
  <c r="C61" i="41"/>
  <c r="EJ20" i="41"/>
  <c r="C59" i="41"/>
  <c r="EJ26" i="41"/>
  <c r="C65" i="41"/>
  <c r="EJ32" i="44"/>
  <c r="C71" i="44"/>
  <c r="EJ36" i="44"/>
  <c r="C75" i="44"/>
  <c r="EJ41" i="44"/>
  <c r="C80" i="44"/>
  <c r="EJ26" i="40"/>
  <c r="C65" i="40"/>
  <c r="EJ29" i="40"/>
  <c r="C68" i="40"/>
  <c r="EJ44" i="42"/>
  <c r="C83" i="42"/>
  <c r="EJ38" i="42"/>
  <c r="C77" i="42"/>
  <c r="EJ39" i="43"/>
  <c r="C78" i="43"/>
  <c r="EJ31" i="43"/>
  <c r="C70" i="43"/>
  <c r="EJ36" i="43"/>
  <c r="C75" i="43"/>
  <c r="EJ41" i="43"/>
  <c r="C80" i="43"/>
  <c r="EJ26" i="43"/>
  <c r="C65" i="43"/>
  <c r="EJ41" i="36"/>
  <c r="C80" i="36"/>
  <c r="EJ40" i="36"/>
  <c r="C79" i="36"/>
  <c r="EJ34" i="36"/>
  <c r="C73" i="36"/>
  <c r="EJ44" i="37"/>
  <c r="C83" i="37"/>
  <c r="EJ20" i="37"/>
  <c r="C59" i="37"/>
  <c r="EJ35" i="37"/>
  <c r="C74" i="37"/>
  <c r="EJ19" i="37"/>
  <c r="C58" i="37"/>
  <c r="EJ18" i="37"/>
  <c r="C57" i="37"/>
  <c r="EJ25" i="41"/>
  <c r="C64" i="41"/>
  <c r="EJ32" i="41"/>
  <c r="C71" i="41"/>
  <c r="EJ27" i="40"/>
  <c r="C66" i="40"/>
  <c r="EJ21" i="40"/>
  <c r="C60" i="40"/>
  <c r="EJ38" i="43"/>
  <c r="C77" i="43"/>
  <c r="EJ21" i="41"/>
  <c r="C60" i="41"/>
  <c r="EJ30" i="41"/>
  <c r="C69" i="41"/>
  <c r="EJ43" i="41"/>
  <c r="C82" i="41"/>
  <c r="EJ36" i="41"/>
  <c r="C75" i="41"/>
  <c r="EJ42" i="41"/>
  <c r="C81" i="41"/>
  <c r="EJ31" i="41"/>
  <c r="C70" i="41"/>
  <c r="EJ24" i="41"/>
  <c r="C63" i="41"/>
  <c r="EJ44" i="44"/>
  <c r="C83" i="44"/>
  <c r="EJ43" i="44"/>
  <c r="C82" i="44"/>
  <c r="EJ22" i="44"/>
  <c r="C61" i="44"/>
  <c r="EJ40" i="44"/>
  <c r="C79" i="44"/>
  <c r="EJ24" i="44"/>
  <c r="C63" i="44"/>
  <c r="EJ26" i="44"/>
  <c r="C65" i="44"/>
  <c r="EJ38" i="44"/>
  <c r="C77" i="44"/>
  <c r="EJ34" i="44"/>
  <c r="C73" i="44"/>
  <c r="EJ36" i="40"/>
  <c r="C75" i="40"/>
  <c r="EJ23" i="40"/>
  <c r="C62" i="40"/>
  <c r="EJ19" i="40"/>
  <c r="C58" i="40"/>
  <c r="EJ31" i="40"/>
  <c r="C70" i="40"/>
  <c r="EJ42" i="40"/>
  <c r="C81" i="40"/>
  <c r="EJ38" i="40"/>
  <c r="C77" i="40"/>
  <c r="EJ18" i="42"/>
  <c r="C57" i="42"/>
  <c r="EJ32" i="42"/>
  <c r="C71" i="42"/>
  <c r="EJ19" i="42"/>
  <c r="C58" i="42"/>
  <c r="EJ21" i="42"/>
  <c r="C60" i="42"/>
  <c r="EJ33" i="42"/>
  <c r="C72" i="42"/>
  <c r="EJ43" i="42"/>
  <c r="C82" i="42"/>
  <c r="EJ35" i="43"/>
  <c r="C74" i="43"/>
  <c r="EJ18" i="43"/>
  <c r="C57" i="43"/>
  <c r="EJ28" i="43"/>
  <c r="C67" i="43"/>
  <c r="EJ25" i="43"/>
  <c r="C64" i="43"/>
  <c r="EJ34" i="43"/>
  <c r="C73" i="43"/>
  <c r="EJ38" i="36"/>
  <c r="C77" i="36"/>
  <c r="EJ33" i="36"/>
  <c r="C72" i="36"/>
  <c r="EJ21" i="36"/>
  <c r="C60" i="36"/>
  <c r="EJ22" i="36"/>
  <c r="C61" i="36"/>
  <c r="EJ37" i="36"/>
  <c r="C76" i="36"/>
  <c r="EJ28" i="36"/>
  <c r="C67" i="36"/>
  <c r="EJ19" i="36"/>
  <c r="C58" i="36"/>
  <c r="EJ35" i="35"/>
  <c r="C74" i="35"/>
  <c r="EJ19" i="35"/>
  <c r="C58" i="35"/>
  <c r="EJ28" i="35"/>
  <c r="C67" i="35"/>
  <c r="EJ41" i="35"/>
  <c r="C80" i="35"/>
  <c r="EJ25" i="35"/>
  <c r="C64" i="35"/>
  <c r="EJ34" i="35"/>
  <c r="C73" i="35"/>
  <c r="EJ32" i="37"/>
  <c r="C71" i="37"/>
  <c r="EJ43" i="37"/>
  <c r="C82" i="37"/>
  <c r="EJ27" i="37"/>
  <c r="C66" i="37"/>
  <c r="EJ34" i="37"/>
  <c r="C73" i="37"/>
  <c r="EJ37" i="37"/>
  <c r="C76" i="37"/>
  <c r="EJ21" i="37"/>
  <c r="C60" i="37"/>
  <c r="EJ24" i="45"/>
  <c r="C63" i="45"/>
  <c r="EJ42" i="45"/>
  <c r="C81" i="45"/>
  <c r="EJ38" i="45"/>
  <c r="C77" i="45"/>
  <c r="EJ27" i="44"/>
  <c r="C66" i="44"/>
  <c r="EJ39" i="44"/>
  <c r="C78" i="44"/>
  <c r="EJ19" i="44"/>
  <c r="C58" i="44"/>
  <c r="EJ44" i="36"/>
  <c r="C83" i="36"/>
  <c r="EJ42" i="36"/>
  <c r="C81" i="36"/>
  <c r="EJ27" i="35"/>
  <c r="C66" i="35"/>
  <c r="EJ42" i="35"/>
  <c r="C81" i="35"/>
  <c r="EJ37" i="41"/>
  <c r="C76" i="41"/>
  <c r="EJ21" i="44"/>
  <c r="C60" i="44"/>
  <c r="EJ20" i="44"/>
  <c r="C59" i="44"/>
  <c r="EJ29" i="44"/>
  <c r="C68" i="44"/>
  <c r="EJ31" i="44"/>
  <c r="C70" i="44"/>
  <c r="EJ35" i="44"/>
  <c r="C74" i="44"/>
  <c r="EJ35" i="40"/>
  <c r="C74" i="40"/>
  <c r="EJ25" i="40"/>
  <c r="C64" i="40"/>
  <c r="EJ18" i="40"/>
  <c r="C57" i="40"/>
  <c r="EJ44" i="40"/>
  <c r="C83" i="40"/>
  <c r="EJ22" i="43"/>
  <c r="C61" i="43"/>
  <c r="EJ44" i="41"/>
  <c r="C83" i="41"/>
  <c r="EJ29" i="41"/>
  <c r="C68" i="41"/>
  <c r="EJ35" i="41"/>
  <c r="C74" i="41"/>
  <c r="EJ28" i="41"/>
  <c r="C67" i="41"/>
  <c r="EJ41" i="41"/>
  <c r="C80" i="41"/>
  <c r="EJ34" i="41"/>
  <c r="C73" i="41"/>
  <c r="EJ23" i="41"/>
  <c r="C62" i="41"/>
  <c r="EJ18" i="41"/>
  <c r="C57" i="41"/>
  <c r="EJ42" i="44"/>
  <c r="C81" i="44"/>
  <c r="EJ23" i="44"/>
  <c r="C62" i="44"/>
  <c r="EJ28" i="44"/>
  <c r="C67" i="44"/>
  <c r="EJ18" i="44"/>
  <c r="C57" i="44"/>
  <c r="EJ25" i="44"/>
  <c r="C64" i="44"/>
  <c r="EJ37" i="44"/>
  <c r="C76" i="44"/>
  <c r="EJ30" i="44"/>
  <c r="C69" i="44"/>
  <c r="EJ20" i="40"/>
  <c r="C59" i="40"/>
  <c r="EJ32" i="40"/>
  <c r="C71" i="40"/>
  <c r="EJ28" i="40"/>
  <c r="C67" i="40"/>
  <c r="EJ40" i="40"/>
  <c r="C79" i="40"/>
  <c r="EJ41" i="40"/>
  <c r="C80" i="40"/>
  <c r="EJ34" i="40"/>
  <c r="C73" i="40"/>
  <c r="EJ37" i="40"/>
  <c r="C76" i="40"/>
  <c r="EJ30" i="40"/>
  <c r="C69" i="40"/>
  <c r="EJ25" i="42"/>
  <c r="C64" i="42"/>
  <c r="EJ41" i="42"/>
  <c r="C80" i="42"/>
  <c r="EJ24" i="42"/>
  <c r="C63" i="42"/>
  <c r="EJ42" i="42"/>
  <c r="C81" i="42"/>
  <c r="EJ35" i="42"/>
  <c r="C74" i="42"/>
  <c r="EJ37" i="42"/>
  <c r="C76" i="42"/>
  <c r="EJ20" i="42"/>
  <c r="C59" i="42"/>
  <c r="EJ22" i="42"/>
  <c r="C61" i="42"/>
  <c r="EJ31" i="42"/>
  <c r="C70" i="42"/>
  <c r="EJ19" i="43"/>
  <c r="C58" i="43"/>
  <c r="EJ37" i="43"/>
  <c r="C76" i="43"/>
  <c r="EJ40" i="43"/>
  <c r="C79" i="43"/>
  <c r="EJ24" i="43"/>
  <c r="C63" i="43"/>
  <c r="EJ30" i="43"/>
  <c r="C69" i="43"/>
  <c r="EJ27" i="36"/>
  <c r="C66" i="36"/>
  <c r="EJ31" i="36"/>
  <c r="C70" i="36"/>
  <c r="EJ35" i="36"/>
  <c r="C74" i="36"/>
  <c r="EJ36" i="36"/>
  <c r="C75" i="36"/>
  <c r="EJ18" i="36"/>
  <c r="C57" i="36"/>
  <c r="EJ39" i="36"/>
  <c r="C78" i="36"/>
  <c r="EJ31" i="35"/>
  <c r="C70" i="35"/>
  <c r="EJ40" i="35"/>
  <c r="C79" i="35"/>
  <c r="EJ24" i="35"/>
  <c r="C63" i="35"/>
  <c r="EJ37" i="35"/>
  <c r="C76" i="35"/>
  <c r="EJ21" i="35"/>
  <c r="C60" i="35"/>
  <c r="EJ30" i="35"/>
  <c r="C69" i="35"/>
  <c r="EJ36" i="37"/>
  <c r="C75" i="37"/>
  <c r="EJ38" i="37"/>
  <c r="C77" i="37"/>
  <c r="EJ39" i="37"/>
  <c r="C78" i="37"/>
  <c r="EJ23" i="37"/>
  <c r="C62" i="37"/>
  <c r="EJ26" i="37"/>
  <c r="C65" i="37"/>
  <c r="EJ33" i="37"/>
  <c r="C72" i="37"/>
  <c r="EJ18" i="39"/>
  <c r="C57" i="39"/>
  <c r="AA12" i="34"/>
  <c r="AF7" i="34"/>
  <c r="E40" i="27"/>
  <c r="E49" i="27" s="1"/>
  <c r="D48" i="27" s="1"/>
  <c r="E50" i="62"/>
  <c r="B50" i="62"/>
  <c r="D49" i="60"/>
  <c r="B48" i="60"/>
  <c r="D48" i="60" s="1"/>
  <c r="EJ48" i="18"/>
  <c r="EJ46" i="18"/>
  <c r="EJ47" i="18"/>
  <c r="BA107" i="15"/>
  <c r="BA142" i="15"/>
  <c r="BA142" i="4"/>
  <c r="BA107" i="4"/>
  <c r="BC47" i="18"/>
  <c r="BB47" i="18" s="1"/>
  <c r="BC48" i="18"/>
  <c r="BB48" i="18" s="1"/>
  <c r="BE5" i="58"/>
  <c r="D78" i="58"/>
  <c r="A87" i="58"/>
  <c r="A1" i="58"/>
  <c r="D162" i="58"/>
  <c r="BF11" i="58"/>
  <c r="D15" i="58"/>
  <c r="D137" i="58"/>
  <c r="D101" i="58"/>
  <c r="B103" i="58"/>
  <c r="B17" i="58"/>
  <c r="BC11" i="62"/>
  <c r="A1" i="62"/>
  <c r="BC6" i="62"/>
  <c r="D70" i="62"/>
  <c r="GD52" i="4" a="1"/>
  <c r="GD52" i="4" s="1"/>
  <c r="C32" i="51"/>
  <c r="A119" i="25"/>
  <c r="B67" i="25"/>
  <c r="G119" i="25"/>
  <c r="T67" i="25"/>
  <c r="E119" i="25"/>
  <c r="N67" i="25"/>
  <c r="C119" i="25"/>
  <c r="H67" i="25"/>
  <c r="F119" i="25"/>
  <c r="Q67" i="25"/>
  <c r="H119" i="25"/>
  <c r="W67" i="25"/>
  <c r="D119" i="25"/>
  <c r="K67" i="25"/>
  <c r="B119" i="25"/>
  <c r="E67" i="25"/>
  <c r="GD52" i="14"/>
  <c r="GB20" i="14"/>
  <c r="FW313" i="34" s="1"/>
  <c r="GD52" i="7"/>
  <c r="GB20" i="7"/>
  <c r="FW96" i="34" s="1"/>
  <c r="GD52" i="11"/>
  <c r="GB20" i="11"/>
  <c r="FW220" i="34" s="1"/>
  <c r="GD52" i="8"/>
  <c r="GB20" i="8"/>
  <c r="FW127" i="34" s="1"/>
  <c r="BH9" i="4"/>
  <c r="BG9" i="4" s="1"/>
  <c r="BH9" i="15"/>
  <c r="BG9" i="15" s="1"/>
  <c r="GD52" i="10"/>
  <c r="GB20" i="10"/>
  <c r="FW189" i="34" s="1"/>
  <c r="GD52" i="6"/>
  <c r="GB20" i="6"/>
  <c r="FW65" i="34" s="1"/>
  <c r="GD52" i="9"/>
  <c r="GB20" i="9"/>
  <c r="FW158" i="34" s="1"/>
  <c r="GD52" i="12"/>
  <c r="GB20" i="12"/>
  <c r="FW251" i="34" s="1"/>
  <c r="GD52" i="13"/>
  <c r="GB20" i="13"/>
  <c r="FW282" i="34" s="1"/>
  <c r="GB50" i="5"/>
  <c r="FW64" i="34" s="1"/>
  <c r="GB49" i="5"/>
  <c r="FW63" i="34" s="1"/>
  <c r="GB20" i="5"/>
  <c r="FW34" i="34" s="1"/>
  <c r="GD52" i="5"/>
  <c r="DN15" i="72"/>
  <c r="DN20" i="72"/>
  <c r="DN38" i="72"/>
  <c r="DN13" i="72"/>
  <c r="DN39" i="72"/>
  <c r="DN17" i="72"/>
  <c r="DN18" i="72"/>
  <c r="DN36" i="72"/>
  <c r="DN23" i="72"/>
  <c r="DN40" i="72"/>
  <c r="DN26" i="72"/>
  <c r="DN28" i="72"/>
  <c r="DN12" i="72"/>
  <c r="DN29" i="72"/>
  <c r="DN19" i="72"/>
  <c r="DN33" i="72"/>
  <c r="DN35" i="72"/>
  <c r="DN21" i="72"/>
  <c r="DN34" i="72"/>
  <c r="DN25" i="72"/>
  <c r="DN27" i="72"/>
  <c r="DN32" i="72"/>
  <c r="DN30" i="72"/>
  <c r="DN24" i="72"/>
  <c r="DN14" i="72"/>
  <c r="DN16" i="72"/>
  <c r="DN22" i="72"/>
  <c r="DN31" i="72"/>
  <c r="DN37" i="72"/>
  <c r="DN42" i="72"/>
  <c r="DN41" i="72"/>
  <c r="EJ18" i="45"/>
  <c r="EG238" i="72"/>
  <c r="AV238" i="72"/>
  <c r="BS238" i="72" s="1"/>
  <c r="BT238" i="72" s="1"/>
  <c r="EG468" i="72"/>
  <c r="AV468" i="72"/>
  <c r="BS468" i="72" s="1"/>
  <c r="BT468" i="72" s="1"/>
  <c r="EG116" i="72"/>
  <c r="AV116" i="72"/>
  <c r="BS116" i="72" s="1"/>
  <c r="BT116" i="72" s="1"/>
  <c r="EG117" i="72"/>
  <c r="AV117" i="72"/>
  <c r="BS117" i="72" s="1"/>
  <c r="BT117" i="72" s="1"/>
  <c r="EG250" i="72"/>
  <c r="AV250" i="72"/>
  <c r="BS250" i="72" s="1"/>
  <c r="BT250" i="72" s="1"/>
  <c r="EG107" i="72"/>
  <c r="AV107" i="72"/>
  <c r="BS107" i="72" s="1"/>
  <c r="BT107" i="72" s="1"/>
  <c r="EG79" i="72"/>
  <c r="AV79" i="72"/>
  <c r="BS79" i="72" s="1"/>
  <c r="BT79" i="72" s="1"/>
  <c r="EG306" i="72"/>
  <c r="AV306" i="72"/>
  <c r="BS306" i="72" s="1"/>
  <c r="BT306" i="72" s="1"/>
  <c r="EG288" i="72"/>
  <c r="AV288" i="72"/>
  <c r="BS288" i="72" s="1"/>
  <c r="BT288" i="72" s="1"/>
  <c r="AX20" i="72"/>
  <c r="BS20" i="72"/>
  <c r="BT20" i="72" s="1"/>
  <c r="EG373" i="72"/>
  <c r="AV373" i="72"/>
  <c r="BS373" i="72" s="1"/>
  <c r="BT373" i="72" s="1"/>
  <c r="EG436" i="72"/>
  <c r="AV436" i="72"/>
  <c r="BS436" i="72" s="1"/>
  <c r="BT436" i="72" s="1"/>
  <c r="EG440" i="72"/>
  <c r="AV440" i="72"/>
  <c r="BS440" i="72" s="1"/>
  <c r="BT440" i="72" s="1"/>
  <c r="EG443" i="72"/>
  <c r="AV443" i="72"/>
  <c r="BS443" i="72" s="1"/>
  <c r="BT443" i="72" s="1"/>
  <c r="C42" i="72"/>
  <c r="EG166" i="72"/>
  <c r="AV166" i="72"/>
  <c r="BS166" i="72" s="1"/>
  <c r="BT166" i="72" s="1"/>
  <c r="EG163" i="72"/>
  <c r="AV163" i="72"/>
  <c r="BS163" i="72" s="1"/>
  <c r="BT163" i="72" s="1"/>
  <c r="EG206" i="72"/>
  <c r="AV206" i="72"/>
  <c r="BS206" i="72" s="1"/>
  <c r="BT206" i="72" s="1"/>
  <c r="EG260" i="72"/>
  <c r="AV260" i="72"/>
  <c r="BS260" i="72" s="1"/>
  <c r="BT260" i="72" s="1"/>
  <c r="EG253" i="72"/>
  <c r="AV253" i="72"/>
  <c r="BS253" i="72" s="1"/>
  <c r="BT253" i="72" s="1"/>
  <c r="EG480" i="72"/>
  <c r="AV480" i="72"/>
  <c r="BS480" i="72" s="1"/>
  <c r="BT480" i="72" s="1"/>
  <c r="EG103" i="72"/>
  <c r="AV103" i="72"/>
  <c r="BS103" i="72" s="1"/>
  <c r="BT103" i="72" s="1"/>
  <c r="EG71" i="72"/>
  <c r="AV71" i="72"/>
  <c r="BS71" i="72" s="1"/>
  <c r="BT71" i="72" s="1"/>
  <c r="EG75" i="72"/>
  <c r="AV75" i="72"/>
  <c r="BS75" i="72" s="1"/>
  <c r="BT75" i="72" s="1"/>
  <c r="EG391" i="72"/>
  <c r="AV391" i="72"/>
  <c r="BS391" i="72" s="1"/>
  <c r="BT391" i="72" s="1"/>
  <c r="EG381" i="72"/>
  <c r="AV381" i="72"/>
  <c r="BS381" i="72" s="1"/>
  <c r="BT381" i="72" s="1"/>
  <c r="EG442" i="72"/>
  <c r="AV442" i="72"/>
  <c r="BS442" i="72" s="1"/>
  <c r="BT442" i="72" s="1"/>
  <c r="EG418" i="72"/>
  <c r="AV418" i="72"/>
  <c r="BS418" i="72" s="1"/>
  <c r="BT418" i="72" s="1"/>
  <c r="EG435" i="72"/>
  <c r="AV435" i="72"/>
  <c r="BS435" i="72" s="1"/>
  <c r="BT435" i="72" s="1"/>
  <c r="EG152" i="72"/>
  <c r="AV152" i="72"/>
  <c r="BS152" i="72" s="1"/>
  <c r="BT152" i="72" s="1"/>
  <c r="EG151" i="72"/>
  <c r="AV151" i="72"/>
  <c r="BS151" i="72" s="1"/>
  <c r="BT151" i="72" s="1"/>
  <c r="EG202" i="72"/>
  <c r="AV202" i="72"/>
  <c r="BS202" i="72" s="1"/>
  <c r="BT202" i="72" s="1"/>
  <c r="EG352" i="72"/>
  <c r="AV352" i="72"/>
  <c r="BS352" i="72" s="1"/>
  <c r="BT352" i="72" s="1"/>
  <c r="EG248" i="72"/>
  <c r="AV248" i="72"/>
  <c r="BS248" i="72" s="1"/>
  <c r="BT248" i="72" s="1"/>
  <c r="EG482" i="72"/>
  <c r="AV482" i="72"/>
  <c r="BS482" i="72" s="1"/>
  <c r="BT482" i="72" s="1"/>
  <c r="EG110" i="72"/>
  <c r="AV110" i="72"/>
  <c r="BS110" i="72" s="1"/>
  <c r="BT110" i="72" s="1"/>
  <c r="EG124" i="72"/>
  <c r="AV124" i="72"/>
  <c r="BS124" i="72" s="1"/>
  <c r="BT124" i="72" s="1"/>
  <c r="EG292" i="72"/>
  <c r="AV292" i="72"/>
  <c r="BS292" i="72" s="1"/>
  <c r="BT292" i="72" s="1"/>
  <c r="EG380" i="72"/>
  <c r="AV380" i="72"/>
  <c r="BS380" i="72" s="1"/>
  <c r="BT380" i="72" s="1"/>
  <c r="EG390" i="72"/>
  <c r="AV390" i="72"/>
  <c r="BS390" i="72" s="1"/>
  <c r="BT390" i="72" s="1"/>
  <c r="EG432" i="72"/>
  <c r="AV432" i="72"/>
  <c r="BS432" i="72" s="1"/>
  <c r="BT432" i="72" s="1"/>
  <c r="EG419" i="72"/>
  <c r="AV419" i="72"/>
  <c r="BS419" i="72" s="1"/>
  <c r="BT419" i="72" s="1"/>
  <c r="EG426" i="72"/>
  <c r="AV426" i="72"/>
  <c r="BS426" i="72" s="1"/>
  <c r="BT426" i="72" s="1"/>
  <c r="EG167" i="72"/>
  <c r="AV167" i="72"/>
  <c r="BS167" i="72" s="1"/>
  <c r="BT167" i="72" s="1"/>
  <c r="EG168" i="72"/>
  <c r="AV168" i="72"/>
  <c r="BS168" i="72" s="1"/>
  <c r="BT168" i="72" s="1"/>
  <c r="EG344" i="72"/>
  <c r="AV344" i="72"/>
  <c r="BS344" i="72" s="1"/>
  <c r="BT344" i="72" s="1"/>
  <c r="EG345" i="72"/>
  <c r="AV345" i="72"/>
  <c r="BS345" i="72" s="1"/>
  <c r="BT345" i="72" s="1"/>
  <c r="EG264" i="72"/>
  <c r="AV264" i="72"/>
  <c r="BS264" i="72" s="1"/>
  <c r="BT264" i="72" s="1"/>
  <c r="EG464" i="72"/>
  <c r="AV464" i="72"/>
  <c r="BS464" i="72" s="1"/>
  <c r="BT464" i="72" s="1"/>
  <c r="EG108" i="72"/>
  <c r="AV108" i="72"/>
  <c r="BS108" i="72" s="1"/>
  <c r="BT108" i="72" s="1"/>
  <c r="EG115" i="72"/>
  <c r="AV115" i="72"/>
  <c r="BS115" i="72" s="1"/>
  <c r="BT115" i="72" s="1"/>
  <c r="EG106" i="72"/>
  <c r="AV106" i="72"/>
  <c r="BS106" i="72" s="1"/>
  <c r="BT106" i="72" s="1"/>
  <c r="AV58" i="72"/>
  <c r="BS58" i="72" s="1"/>
  <c r="BT58" i="72" s="1"/>
  <c r="EG58" i="72"/>
  <c r="EG282" i="72"/>
  <c r="AV282" i="72"/>
  <c r="BS282" i="72" s="1"/>
  <c r="BT282" i="72" s="1"/>
  <c r="EG384" i="72"/>
  <c r="AV384" i="72"/>
  <c r="BS384" i="72" s="1"/>
  <c r="BT384" i="72" s="1"/>
  <c r="EG424" i="72"/>
  <c r="AV424" i="72"/>
  <c r="BS424" i="72" s="1"/>
  <c r="BT424" i="72" s="1"/>
  <c r="EG149" i="72"/>
  <c r="AV149" i="72"/>
  <c r="BS149" i="72" s="1"/>
  <c r="BT149" i="72" s="1"/>
  <c r="EG201" i="72"/>
  <c r="AV201" i="72"/>
  <c r="BS201" i="72" s="1"/>
  <c r="BT201" i="72" s="1"/>
  <c r="EG210" i="72"/>
  <c r="AV210" i="72"/>
  <c r="BS210" i="72" s="1"/>
  <c r="BT210" i="72" s="1"/>
  <c r="EG349" i="72"/>
  <c r="AV349" i="72"/>
  <c r="BS349" i="72" s="1"/>
  <c r="BT349" i="72" s="1"/>
  <c r="EG343" i="72"/>
  <c r="AV343" i="72"/>
  <c r="BS343" i="72" s="1"/>
  <c r="BT343" i="72" s="1"/>
  <c r="AX21" i="72"/>
  <c r="BS21" i="72"/>
  <c r="BT21" i="72" s="1"/>
  <c r="EG533" i="72"/>
  <c r="AV533" i="72"/>
  <c r="BS533" i="72" s="1"/>
  <c r="BT533" i="72" s="1"/>
  <c r="EG507" i="72"/>
  <c r="AV507" i="72"/>
  <c r="BS507" i="72" s="1"/>
  <c r="BT507" i="72" s="1"/>
  <c r="AX31" i="72"/>
  <c r="BS31" i="72"/>
  <c r="BT31" i="72" s="1"/>
  <c r="EG72" i="72"/>
  <c r="AV72" i="72"/>
  <c r="BS72" i="72" s="1"/>
  <c r="BT72" i="72" s="1"/>
  <c r="AL532" i="72"/>
  <c r="EG532" i="72"/>
  <c r="AV532" i="72"/>
  <c r="BS532" i="72" s="1"/>
  <c r="BT532" i="72" s="1"/>
  <c r="AX17" i="72"/>
  <c r="BS17" i="72"/>
  <c r="BT17" i="72" s="1"/>
  <c r="EG526" i="72"/>
  <c r="AV526" i="72"/>
  <c r="BS526" i="72" s="1"/>
  <c r="BT526" i="72" s="1"/>
  <c r="AL523" i="72"/>
  <c r="EG523" i="72"/>
  <c r="AV523" i="72"/>
  <c r="BS523" i="72" s="1"/>
  <c r="BT523" i="72" s="1"/>
  <c r="AX13" i="72"/>
  <c r="BS13" i="72"/>
  <c r="BT13" i="72" s="1"/>
  <c r="AL249" i="72"/>
  <c r="EG249" i="72"/>
  <c r="AV249" i="72"/>
  <c r="BS249" i="72" s="1"/>
  <c r="BT249" i="72" s="1"/>
  <c r="EG509" i="72"/>
  <c r="AV509" i="72"/>
  <c r="BS509" i="72" s="1"/>
  <c r="BT509" i="72" s="1"/>
  <c r="AL82" i="72"/>
  <c r="AV82" i="72"/>
  <c r="BS82" i="72" s="1"/>
  <c r="BT82" i="72" s="1"/>
  <c r="EG82" i="72"/>
  <c r="EG254" i="72"/>
  <c r="AV254" i="72"/>
  <c r="BS254" i="72" s="1"/>
  <c r="BT254" i="72" s="1"/>
  <c r="AL207" i="72"/>
  <c r="EG207" i="72"/>
  <c r="AV207" i="72"/>
  <c r="BS207" i="72" s="1"/>
  <c r="BT207" i="72" s="1"/>
  <c r="AL240" i="72"/>
  <c r="EG240" i="72"/>
  <c r="AV240" i="72"/>
  <c r="BS240" i="72" s="1"/>
  <c r="BT240" i="72" s="1"/>
  <c r="EG469" i="72"/>
  <c r="AV469" i="72"/>
  <c r="BS469" i="72" s="1"/>
  <c r="BT469" i="72" s="1"/>
  <c r="AL527" i="72"/>
  <c r="EG527" i="72"/>
  <c r="AV527" i="72"/>
  <c r="BS527" i="72" s="1"/>
  <c r="BT527" i="72" s="1"/>
  <c r="AL516" i="72"/>
  <c r="EG516" i="72"/>
  <c r="AV516" i="72"/>
  <c r="BS516" i="72" s="1"/>
  <c r="BT516" i="72" s="1"/>
  <c r="AL465" i="72"/>
  <c r="EG465" i="72"/>
  <c r="AV465" i="72"/>
  <c r="BS465" i="72" s="1"/>
  <c r="BT465" i="72" s="1"/>
  <c r="AX23" i="72"/>
  <c r="BS23" i="72"/>
  <c r="BT23" i="72" s="1"/>
  <c r="AX24" i="72"/>
  <c r="BS24" i="72"/>
  <c r="BT24" i="72" s="1"/>
  <c r="AX18" i="72"/>
  <c r="BS18" i="72"/>
  <c r="BT18" i="72" s="1"/>
  <c r="AX37" i="72"/>
  <c r="BS37" i="72"/>
  <c r="BT37" i="72" s="1"/>
  <c r="EG252" i="72"/>
  <c r="AV252" i="72"/>
  <c r="BS252" i="72" s="1"/>
  <c r="BT252" i="72" s="1"/>
  <c r="EG485" i="72"/>
  <c r="AV485" i="72"/>
  <c r="BS485" i="72" s="1"/>
  <c r="BT485" i="72" s="1"/>
  <c r="AV111" i="72"/>
  <c r="BS111" i="72" s="1"/>
  <c r="BT111" i="72" s="1"/>
  <c r="EG111" i="72"/>
  <c r="AV77" i="72"/>
  <c r="BS77" i="72" s="1"/>
  <c r="BT77" i="72" s="1"/>
  <c r="EG77" i="72"/>
  <c r="EG60" i="72"/>
  <c r="AV60" i="72"/>
  <c r="BS60" i="72" s="1"/>
  <c r="BT60" i="72" s="1"/>
  <c r="EG284" i="72"/>
  <c r="AV284" i="72"/>
  <c r="BS284" i="72" s="1"/>
  <c r="BT284" i="72" s="1"/>
  <c r="EG385" i="72"/>
  <c r="AV385" i="72"/>
  <c r="BS385" i="72" s="1"/>
  <c r="BT385" i="72" s="1"/>
  <c r="EG398" i="72"/>
  <c r="AV398" i="72"/>
  <c r="BS398" i="72" s="1"/>
  <c r="BT398" i="72" s="1"/>
  <c r="AX12" i="72"/>
  <c r="BS12" i="72"/>
  <c r="BT12" i="72" s="1"/>
  <c r="EG157" i="72"/>
  <c r="AV157" i="72"/>
  <c r="BS157" i="72" s="1"/>
  <c r="BT157" i="72" s="1"/>
  <c r="EG162" i="72"/>
  <c r="AV162" i="72"/>
  <c r="BS162" i="72" s="1"/>
  <c r="BT162" i="72" s="1"/>
  <c r="EG213" i="72"/>
  <c r="AV213" i="72"/>
  <c r="BS213" i="72" s="1"/>
  <c r="BT213" i="72" s="1"/>
  <c r="EG333" i="72"/>
  <c r="AV333" i="72"/>
  <c r="BS333" i="72" s="1"/>
  <c r="BT333" i="72" s="1"/>
  <c r="EG342" i="72"/>
  <c r="AV342" i="72"/>
  <c r="BS342" i="72" s="1"/>
  <c r="BT342" i="72" s="1"/>
  <c r="EG336" i="72"/>
  <c r="AV336" i="72"/>
  <c r="BS336" i="72" s="1"/>
  <c r="BT336" i="72" s="1"/>
  <c r="EG241" i="72"/>
  <c r="AV241" i="72"/>
  <c r="BS241" i="72" s="1"/>
  <c r="BT241" i="72" s="1"/>
  <c r="EG256" i="72"/>
  <c r="AV256" i="72"/>
  <c r="BS256" i="72" s="1"/>
  <c r="BT256" i="72" s="1"/>
  <c r="EG476" i="72"/>
  <c r="AV476" i="72"/>
  <c r="BS476" i="72" s="1"/>
  <c r="BT476" i="72" s="1"/>
  <c r="EG479" i="72"/>
  <c r="AV479" i="72"/>
  <c r="BS479" i="72" s="1"/>
  <c r="BT479" i="72" s="1"/>
  <c r="EG102" i="72"/>
  <c r="AV102" i="72"/>
  <c r="BS102" i="72" s="1"/>
  <c r="BT102" i="72" s="1"/>
  <c r="EG121" i="72"/>
  <c r="AV121" i="72"/>
  <c r="BS121" i="72" s="1"/>
  <c r="BT121" i="72" s="1"/>
  <c r="EG84" i="72"/>
  <c r="AV84" i="72"/>
  <c r="BS84" i="72" s="1"/>
  <c r="BT84" i="72" s="1"/>
  <c r="EG301" i="72"/>
  <c r="AV301" i="72"/>
  <c r="BS301" i="72" s="1"/>
  <c r="BT301" i="72" s="1"/>
  <c r="EG287" i="72"/>
  <c r="AV287" i="72"/>
  <c r="BS287" i="72" s="1"/>
  <c r="BT287" i="72" s="1"/>
  <c r="EG378" i="72"/>
  <c r="AV378" i="72"/>
  <c r="BS378" i="72" s="1"/>
  <c r="BT378" i="72" s="1"/>
  <c r="EG420" i="72"/>
  <c r="AV420" i="72"/>
  <c r="BS420" i="72" s="1"/>
  <c r="BT420" i="72" s="1"/>
  <c r="EG159" i="72"/>
  <c r="AV159" i="72"/>
  <c r="BS159" i="72" s="1"/>
  <c r="BT159" i="72" s="1"/>
  <c r="EG171" i="72"/>
  <c r="AV171" i="72"/>
  <c r="BS171" i="72" s="1"/>
  <c r="BT171" i="72" s="1"/>
  <c r="EG205" i="72"/>
  <c r="AV205" i="72"/>
  <c r="BS205" i="72" s="1"/>
  <c r="BT205" i="72" s="1"/>
  <c r="EG330" i="72"/>
  <c r="AV330" i="72"/>
  <c r="BS330" i="72" s="1"/>
  <c r="BT330" i="72" s="1"/>
  <c r="EG350" i="72"/>
  <c r="AV350" i="72"/>
  <c r="BS350" i="72" s="1"/>
  <c r="BT350" i="72" s="1"/>
  <c r="EG353" i="72"/>
  <c r="AV353" i="72"/>
  <c r="BS353" i="72" s="1"/>
  <c r="BT353" i="72" s="1"/>
  <c r="EG251" i="72"/>
  <c r="AV251" i="72"/>
  <c r="BS251" i="72" s="1"/>
  <c r="BT251" i="72" s="1"/>
  <c r="EG486" i="72"/>
  <c r="AV486" i="72"/>
  <c r="BS486" i="72" s="1"/>
  <c r="BT486" i="72" s="1"/>
  <c r="EG483" i="72"/>
  <c r="AV483" i="72"/>
  <c r="BS483" i="72" s="1"/>
  <c r="BT483" i="72" s="1"/>
  <c r="EG83" i="72"/>
  <c r="AV83" i="72"/>
  <c r="BS83" i="72" s="1"/>
  <c r="BT83" i="72" s="1"/>
  <c r="EG302" i="72"/>
  <c r="AV302" i="72"/>
  <c r="BS302" i="72" s="1"/>
  <c r="BT302" i="72" s="1"/>
  <c r="EG296" i="72"/>
  <c r="AV296" i="72"/>
  <c r="BS296" i="72" s="1"/>
  <c r="BT296" i="72" s="1"/>
  <c r="EG289" i="72"/>
  <c r="AV289" i="72"/>
  <c r="BS289" i="72" s="1"/>
  <c r="BT289" i="72" s="1"/>
  <c r="EG396" i="72"/>
  <c r="AV396" i="72"/>
  <c r="BS396" i="72" s="1"/>
  <c r="BT396" i="72" s="1"/>
  <c r="EG393" i="72"/>
  <c r="AV393" i="72"/>
  <c r="BS393" i="72" s="1"/>
  <c r="BT393" i="72" s="1"/>
  <c r="EG395" i="72"/>
  <c r="AV395" i="72"/>
  <c r="BS395" i="72" s="1"/>
  <c r="BT395" i="72" s="1"/>
  <c r="EG433" i="72"/>
  <c r="AV433" i="72"/>
  <c r="BS433" i="72" s="1"/>
  <c r="BT433" i="72" s="1"/>
  <c r="EG417" i="72"/>
  <c r="AV417" i="72"/>
  <c r="BS417" i="72" s="1"/>
  <c r="BT417" i="72" s="1"/>
  <c r="EG437" i="72"/>
  <c r="AV437" i="72"/>
  <c r="BS437" i="72" s="1"/>
  <c r="BT437" i="72" s="1"/>
  <c r="EG173" i="72"/>
  <c r="AV173" i="72"/>
  <c r="BS173" i="72" s="1"/>
  <c r="BT173" i="72" s="1"/>
  <c r="EG194" i="72"/>
  <c r="AV194" i="72"/>
  <c r="BS194" i="72" s="1"/>
  <c r="BT194" i="72" s="1"/>
  <c r="EG351" i="72"/>
  <c r="AV351" i="72"/>
  <c r="BS351" i="72" s="1"/>
  <c r="BT351" i="72" s="1"/>
  <c r="EG259" i="72"/>
  <c r="AV259" i="72"/>
  <c r="BS259" i="72" s="1"/>
  <c r="BT259" i="72" s="1"/>
  <c r="EG262" i="72"/>
  <c r="AV262" i="72"/>
  <c r="BS262" i="72" s="1"/>
  <c r="BT262" i="72" s="1"/>
  <c r="EG475" i="72"/>
  <c r="AV475" i="72"/>
  <c r="BS475" i="72" s="1"/>
  <c r="BT475" i="72" s="1"/>
  <c r="EG120" i="72"/>
  <c r="AV120" i="72"/>
  <c r="BS120" i="72" s="1"/>
  <c r="BT120" i="72" s="1"/>
  <c r="EG112" i="72"/>
  <c r="AV112" i="72"/>
  <c r="BS112" i="72" s="1"/>
  <c r="BT112" i="72" s="1"/>
  <c r="EG290" i="72"/>
  <c r="AV290" i="72"/>
  <c r="BS290" i="72" s="1"/>
  <c r="BT290" i="72" s="1"/>
  <c r="EG294" i="72"/>
  <c r="AV294" i="72"/>
  <c r="BS294" i="72" s="1"/>
  <c r="BT294" i="72" s="1"/>
  <c r="EG285" i="72"/>
  <c r="AV285" i="72"/>
  <c r="BS285" i="72" s="1"/>
  <c r="BT285" i="72" s="1"/>
  <c r="EG387" i="72"/>
  <c r="AV387" i="72"/>
  <c r="BS387" i="72" s="1"/>
  <c r="BT387" i="72" s="1"/>
  <c r="EG377" i="72"/>
  <c r="AV377" i="72"/>
  <c r="BS377" i="72" s="1"/>
  <c r="BT377" i="72" s="1"/>
  <c r="EG444" i="72"/>
  <c r="AV444" i="72"/>
  <c r="BS444" i="72" s="1"/>
  <c r="BT444" i="72" s="1"/>
  <c r="EG431" i="72"/>
  <c r="AV431" i="72"/>
  <c r="BS431" i="72" s="1"/>
  <c r="BT431" i="72" s="1"/>
  <c r="EG434" i="72"/>
  <c r="AV434" i="72"/>
  <c r="BS434" i="72" s="1"/>
  <c r="BT434" i="72" s="1"/>
  <c r="EG154" i="72"/>
  <c r="AV154" i="72"/>
  <c r="BS154" i="72" s="1"/>
  <c r="BT154" i="72" s="1"/>
  <c r="EG153" i="72"/>
  <c r="AV153" i="72"/>
  <c r="BS153" i="72" s="1"/>
  <c r="BT153" i="72" s="1"/>
  <c r="EG192" i="72"/>
  <c r="AV192" i="72"/>
  <c r="BS192" i="72" s="1"/>
  <c r="BT192" i="72" s="1"/>
  <c r="EG347" i="72"/>
  <c r="AV347" i="72"/>
  <c r="BS347" i="72" s="1"/>
  <c r="BT347" i="72" s="1"/>
  <c r="EG514" i="72"/>
  <c r="AV514" i="72"/>
  <c r="BS514" i="72" s="1"/>
  <c r="BT514" i="72" s="1"/>
  <c r="EG104" i="72"/>
  <c r="AV104" i="72"/>
  <c r="BS104" i="72" s="1"/>
  <c r="BT104" i="72" s="1"/>
  <c r="AL513" i="72"/>
  <c r="EG513" i="72"/>
  <c r="AV513" i="72"/>
  <c r="BS513" i="72" s="1"/>
  <c r="BT513" i="72" s="1"/>
  <c r="EG198" i="72"/>
  <c r="AV198" i="72"/>
  <c r="BS198" i="72" s="1"/>
  <c r="BT198" i="72" s="1"/>
  <c r="AX27" i="72"/>
  <c r="BS27" i="72"/>
  <c r="BT27" i="72" s="1"/>
  <c r="AL515" i="72"/>
  <c r="EG515" i="72"/>
  <c r="AV515" i="72"/>
  <c r="BS515" i="72" s="1"/>
  <c r="BT515" i="72" s="1"/>
  <c r="AL524" i="72"/>
  <c r="EG524" i="72"/>
  <c r="AV524" i="72"/>
  <c r="BS524" i="72" s="1"/>
  <c r="BT524" i="72" s="1"/>
  <c r="EG519" i="72"/>
  <c r="AV519" i="72"/>
  <c r="BS519" i="72" s="1"/>
  <c r="BT519" i="72" s="1"/>
  <c r="EG474" i="72"/>
  <c r="AV474" i="72"/>
  <c r="BS474" i="72" s="1"/>
  <c r="BT474" i="72" s="1"/>
  <c r="EG530" i="72"/>
  <c r="AV530" i="72"/>
  <c r="BS530" i="72" s="1"/>
  <c r="BT530" i="72" s="1"/>
  <c r="AL127" i="72"/>
  <c r="EG127" i="72"/>
  <c r="AV127" i="72"/>
  <c r="BS127" i="72" s="1"/>
  <c r="BT127" i="72" s="1"/>
  <c r="AL520" i="72"/>
  <c r="EG520" i="72"/>
  <c r="AV520" i="72"/>
  <c r="BS520" i="72" s="1"/>
  <c r="BT520" i="72" s="1"/>
  <c r="EG518" i="72"/>
  <c r="AV518" i="72"/>
  <c r="BS518" i="72" s="1"/>
  <c r="BT518" i="72" s="1"/>
  <c r="EG113" i="72"/>
  <c r="AV113" i="72"/>
  <c r="BS113" i="72" s="1"/>
  <c r="BT113" i="72" s="1"/>
  <c r="EG531" i="72"/>
  <c r="AV531" i="72"/>
  <c r="BS531" i="72" s="1"/>
  <c r="BT531" i="72" s="1"/>
  <c r="EG488" i="72"/>
  <c r="AV488" i="72"/>
  <c r="BS488" i="72" s="1"/>
  <c r="BT488" i="72" s="1"/>
  <c r="AL218" i="72"/>
  <c r="EG218" i="72"/>
  <c r="AV218" i="72"/>
  <c r="BS218" i="72" s="1"/>
  <c r="BT218" i="72" s="1"/>
  <c r="AL73" i="72"/>
  <c r="AV73" i="72"/>
  <c r="BS73" i="72" s="1"/>
  <c r="BT73" i="72" s="1"/>
  <c r="EG73" i="72"/>
  <c r="AX25" i="72"/>
  <c r="BS25" i="72"/>
  <c r="BT25" i="72" s="1"/>
  <c r="AX15" i="72"/>
  <c r="BS15" i="72"/>
  <c r="BT15" i="72" s="1"/>
  <c r="AX39" i="72"/>
  <c r="BS39" i="72"/>
  <c r="BT39" i="72" s="1"/>
  <c r="EG114" i="72"/>
  <c r="AV114" i="72"/>
  <c r="BS114" i="72" s="1"/>
  <c r="BT114" i="72" s="1"/>
  <c r="EG247" i="72"/>
  <c r="AV247" i="72"/>
  <c r="BS247" i="72" s="1"/>
  <c r="BT247" i="72" s="1"/>
  <c r="EG471" i="72"/>
  <c r="AV471" i="72"/>
  <c r="BS471" i="72" s="1"/>
  <c r="BT471" i="72" s="1"/>
  <c r="EG487" i="72"/>
  <c r="AV487" i="72"/>
  <c r="BS487" i="72" s="1"/>
  <c r="BT487" i="72" s="1"/>
  <c r="EG477" i="72"/>
  <c r="AV477" i="72"/>
  <c r="BS477" i="72" s="1"/>
  <c r="BT477" i="72" s="1"/>
  <c r="EG129" i="72"/>
  <c r="AV129" i="72"/>
  <c r="BS129" i="72" s="1"/>
  <c r="BT129" i="72" s="1"/>
  <c r="AV70" i="72"/>
  <c r="BS70" i="72" s="1"/>
  <c r="BT70" i="72" s="1"/>
  <c r="EG70" i="72"/>
  <c r="EG59" i="72"/>
  <c r="AV59" i="72"/>
  <c r="BS59" i="72" s="1"/>
  <c r="BT59" i="72" s="1"/>
  <c r="AV62" i="72"/>
  <c r="BS62" i="72" s="1"/>
  <c r="BT62" i="72" s="1"/>
  <c r="EG62" i="72"/>
  <c r="EG297" i="72"/>
  <c r="AV297" i="72"/>
  <c r="BS297" i="72" s="1"/>
  <c r="BT297" i="72" s="1"/>
  <c r="EG293" i="72"/>
  <c r="AV293" i="72"/>
  <c r="BS293" i="72" s="1"/>
  <c r="BT293" i="72" s="1"/>
  <c r="EG388" i="72"/>
  <c r="AV388" i="72"/>
  <c r="BS388" i="72" s="1"/>
  <c r="BT388" i="72" s="1"/>
  <c r="EG376" i="72"/>
  <c r="AV376" i="72"/>
  <c r="BS376" i="72" s="1"/>
  <c r="BT376" i="72" s="1"/>
  <c r="EG422" i="72"/>
  <c r="AV422" i="72"/>
  <c r="BS422" i="72" s="1"/>
  <c r="BT422" i="72" s="1"/>
  <c r="EG165" i="72"/>
  <c r="AV165" i="72"/>
  <c r="BS165" i="72" s="1"/>
  <c r="BT165" i="72" s="1"/>
  <c r="EG164" i="72"/>
  <c r="AV164" i="72"/>
  <c r="BS164" i="72" s="1"/>
  <c r="BT164" i="72" s="1"/>
  <c r="EG216" i="72"/>
  <c r="AV216" i="72"/>
  <c r="BS216" i="72" s="1"/>
  <c r="BT216" i="72" s="1"/>
  <c r="EG341" i="72"/>
  <c r="AV341" i="72"/>
  <c r="BS341" i="72" s="1"/>
  <c r="BT341" i="72" s="1"/>
  <c r="EG462" i="72"/>
  <c r="AV462" i="72"/>
  <c r="BS462" i="72" s="1"/>
  <c r="BT462" i="72" s="1"/>
  <c r="EG105" i="72"/>
  <c r="AV105" i="72"/>
  <c r="BS105" i="72" s="1"/>
  <c r="BT105" i="72" s="1"/>
  <c r="EG128" i="72"/>
  <c r="AV128" i="72"/>
  <c r="BS128" i="72" s="1"/>
  <c r="BT128" i="72" s="1"/>
  <c r="EG64" i="72"/>
  <c r="AV64" i="72"/>
  <c r="BS64" i="72" s="1"/>
  <c r="BT64" i="72" s="1"/>
  <c r="EG76" i="72"/>
  <c r="AV76" i="72"/>
  <c r="BS76" i="72" s="1"/>
  <c r="BT76" i="72" s="1"/>
  <c r="EG286" i="72"/>
  <c r="AV286" i="72"/>
  <c r="BS286" i="72" s="1"/>
  <c r="BT286" i="72" s="1"/>
  <c r="EG283" i="72"/>
  <c r="AV283" i="72"/>
  <c r="BS283" i="72" s="1"/>
  <c r="BT283" i="72" s="1"/>
  <c r="EG392" i="72"/>
  <c r="AV392" i="72"/>
  <c r="BS392" i="72" s="1"/>
  <c r="BT392" i="72" s="1"/>
  <c r="EG386" i="72"/>
  <c r="AV386" i="72"/>
  <c r="BS386" i="72" s="1"/>
  <c r="BT386" i="72" s="1"/>
  <c r="EG399" i="72"/>
  <c r="AV399" i="72"/>
  <c r="BS399" i="72" s="1"/>
  <c r="BT399" i="72" s="1"/>
  <c r="EG429" i="72"/>
  <c r="AV429" i="72"/>
  <c r="BS429" i="72" s="1"/>
  <c r="BT429" i="72" s="1"/>
  <c r="AL41" i="72"/>
  <c r="C41" i="72"/>
  <c r="EG155" i="72"/>
  <c r="AV155" i="72"/>
  <c r="BS155" i="72" s="1"/>
  <c r="BT155" i="72" s="1"/>
  <c r="EG170" i="72"/>
  <c r="AV170" i="72"/>
  <c r="BS170" i="72" s="1"/>
  <c r="BT170" i="72" s="1"/>
  <c r="EG199" i="72"/>
  <c r="AV199" i="72"/>
  <c r="BS199" i="72" s="1"/>
  <c r="BT199" i="72" s="1"/>
  <c r="EG217" i="72"/>
  <c r="AV217" i="72"/>
  <c r="BS217" i="72" s="1"/>
  <c r="BT217" i="72" s="1"/>
  <c r="EG215" i="72"/>
  <c r="AV215" i="72"/>
  <c r="BS215" i="72" s="1"/>
  <c r="BT215" i="72" s="1"/>
  <c r="EG348" i="72"/>
  <c r="AV348" i="72"/>
  <c r="BS348" i="72" s="1"/>
  <c r="BT348" i="72" s="1"/>
  <c r="EG354" i="72"/>
  <c r="AV354" i="72"/>
  <c r="BS354" i="72" s="1"/>
  <c r="BT354" i="72" s="1"/>
  <c r="EG261" i="72"/>
  <c r="AV261" i="72"/>
  <c r="BS261" i="72" s="1"/>
  <c r="BT261" i="72" s="1"/>
  <c r="EG258" i="72"/>
  <c r="AV258" i="72"/>
  <c r="BS258" i="72" s="1"/>
  <c r="BT258" i="72" s="1"/>
  <c r="EG257" i="72"/>
  <c r="AV257" i="72"/>
  <c r="BS257" i="72" s="1"/>
  <c r="BT257" i="72" s="1"/>
  <c r="EG473" i="72"/>
  <c r="AV473" i="72"/>
  <c r="BS473" i="72" s="1"/>
  <c r="BT473" i="72" s="1"/>
  <c r="AX34" i="72"/>
  <c r="BS34" i="72"/>
  <c r="BT34" i="72" s="1"/>
  <c r="EG109" i="72"/>
  <c r="AV109" i="72"/>
  <c r="BS109" i="72" s="1"/>
  <c r="BT109" i="72" s="1"/>
  <c r="EG118" i="72"/>
  <c r="AV118" i="72"/>
  <c r="BS118" i="72" s="1"/>
  <c r="BT118" i="72" s="1"/>
  <c r="AV57" i="72"/>
  <c r="BS57" i="72" s="1"/>
  <c r="BT57" i="72" s="1"/>
  <c r="EG57" i="72"/>
  <c r="EG68" i="72"/>
  <c r="AV68" i="72"/>
  <c r="BS68" i="72" s="1"/>
  <c r="BT68" i="72" s="1"/>
  <c r="EG299" i="72"/>
  <c r="AV299" i="72"/>
  <c r="BS299" i="72" s="1"/>
  <c r="BT299" i="72" s="1"/>
  <c r="EG295" i="72"/>
  <c r="AV295" i="72"/>
  <c r="BS295" i="72" s="1"/>
  <c r="BT295" i="72" s="1"/>
  <c r="EG383" i="72"/>
  <c r="AV383" i="72"/>
  <c r="BS383" i="72" s="1"/>
  <c r="BT383" i="72" s="1"/>
  <c r="EG425" i="72"/>
  <c r="AV425" i="72"/>
  <c r="BS425" i="72" s="1"/>
  <c r="BT425" i="72" s="1"/>
  <c r="EG172" i="72"/>
  <c r="AV172" i="72"/>
  <c r="BS172" i="72" s="1"/>
  <c r="BT172" i="72" s="1"/>
  <c r="EG169" i="72"/>
  <c r="AV169" i="72"/>
  <c r="BS169" i="72" s="1"/>
  <c r="BT169" i="72" s="1"/>
  <c r="EG196" i="72"/>
  <c r="AV196" i="72"/>
  <c r="BS196" i="72" s="1"/>
  <c r="BT196" i="72" s="1"/>
  <c r="EG219" i="72"/>
  <c r="AV219" i="72"/>
  <c r="BS219" i="72" s="1"/>
  <c r="BT219" i="72" s="1"/>
  <c r="EG208" i="72"/>
  <c r="AV208" i="72"/>
  <c r="BS208" i="72" s="1"/>
  <c r="BT208" i="72" s="1"/>
  <c r="EG211" i="72"/>
  <c r="AV211" i="72"/>
  <c r="BS211" i="72" s="1"/>
  <c r="BT211" i="72" s="1"/>
  <c r="EG331" i="72"/>
  <c r="AV331" i="72"/>
  <c r="BS331" i="72" s="1"/>
  <c r="BT331" i="72" s="1"/>
  <c r="EG329" i="72"/>
  <c r="AV329" i="72"/>
  <c r="BS329" i="72" s="1"/>
  <c r="BT329" i="72" s="1"/>
  <c r="EG245" i="72"/>
  <c r="AV245" i="72"/>
  <c r="BS245" i="72" s="1"/>
  <c r="BT245" i="72" s="1"/>
  <c r="EG243" i="72"/>
  <c r="AV243" i="72"/>
  <c r="BS243" i="72" s="1"/>
  <c r="BT243" i="72" s="1"/>
  <c r="EG470" i="72"/>
  <c r="AV470" i="72"/>
  <c r="BS470" i="72" s="1"/>
  <c r="BT470" i="72" s="1"/>
  <c r="EG126" i="72"/>
  <c r="AV126" i="72"/>
  <c r="BS126" i="72" s="1"/>
  <c r="BT126" i="72" s="1"/>
  <c r="AV74" i="72"/>
  <c r="BS74" i="72" s="1"/>
  <c r="BT74" i="72" s="1"/>
  <c r="EG74" i="72"/>
  <c r="AV78" i="72"/>
  <c r="BS78" i="72" s="1"/>
  <c r="BT78" i="72" s="1"/>
  <c r="EG78" i="72"/>
  <c r="EG304" i="72"/>
  <c r="AV304" i="72"/>
  <c r="BS304" i="72" s="1"/>
  <c r="BT304" i="72" s="1"/>
  <c r="EG309" i="72"/>
  <c r="AV309" i="72"/>
  <c r="BS309" i="72" s="1"/>
  <c r="BT309" i="72" s="1"/>
  <c r="EG397" i="72"/>
  <c r="AV397" i="72"/>
  <c r="BS397" i="72" s="1"/>
  <c r="BT397" i="72" s="1"/>
  <c r="EG375" i="72"/>
  <c r="AV375" i="72"/>
  <c r="BS375" i="72" s="1"/>
  <c r="BT375" i="72" s="1"/>
  <c r="EG372" i="72"/>
  <c r="AV372" i="72"/>
  <c r="BS372" i="72" s="1"/>
  <c r="BT372" i="72" s="1"/>
  <c r="EG438" i="72"/>
  <c r="AV438" i="72"/>
  <c r="BS438" i="72" s="1"/>
  <c r="BT438" i="72" s="1"/>
  <c r="EG148" i="72"/>
  <c r="AV148" i="72"/>
  <c r="BS148" i="72" s="1"/>
  <c r="BT148" i="72" s="1"/>
  <c r="EG158" i="72"/>
  <c r="AV158" i="72"/>
  <c r="BS158" i="72" s="1"/>
  <c r="BT158" i="72" s="1"/>
  <c r="EG195" i="72"/>
  <c r="AV195" i="72"/>
  <c r="BS195" i="72" s="1"/>
  <c r="BT195" i="72" s="1"/>
  <c r="EG335" i="72"/>
  <c r="AV335" i="72"/>
  <c r="BS335" i="72" s="1"/>
  <c r="BT335" i="72" s="1"/>
  <c r="EG339" i="72"/>
  <c r="AV339" i="72"/>
  <c r="BS339" i="72" s="1"/>
  <c r="BT339" i="72" s="1"/>
  <c r="EG334" i="72"/>
  <c r="AV334" i="72"/>
  <c r="BS334" i="72" s="1"/>
  <c r="BT334" i="72" s="1"/>
  <c r="AX38" i="72"/>
  <c r="BS38" i="72"/>
  <c r="BT38" i="72" s="1"/>
  <c r="AX32" i="72"/>
  <c r="BS32" i="72"/>
  <c r="BT32" i="72" s="1"/>
  <c r="EG517" i="72"/>
  <c r="AV517" i="72"/>
  <c r="BS517" i="72" s="1"/>
  <c r="BT517" i="72" s="1"/>
  <c r="AL193" i="72"/>
  <c r="EG193" i="72"/>
  <c r="AV193" i="72"/>
  <c r="BS193" i="72" s="1"/>
  <c r="BT193" i="72" s="1"/>
  <c r="AX22" i="72"/>
  <c r="BS22" i="72"/>
  <c r="BT22" i="72" s="1"/>
  <c r="AX19" i="72"/>
  <c r="BS19" i="72"/>
  <c r="BT19" i="72" s="1"/>
  <c r="AL534" i="72"/>
  <c r="EG534" i="72"/>
  <c r="AV534" i="72"/>
  <c r="BS534" i="72" s="1"/>
  <c r="BT534" i="72" s="1"/>
  <c r="AX28" i="72"/>
  <c r="BS28" i="72"/>
  <c r="BT28" i="72" s="1"/>
  <c r="EG80" i="72"/>
  <c r="AV80" i="72"/>
  <c r="BS80" i="72" s="1"/>
  <c r="BT80" i="72" s="1"/>
  <c r="EG528" i="72"/>
  <c r="AV528" i="72"/>
  <c r="BS528" i="72" s="1"/>
  <c r="BT528" i="72" s="1"/>
  <c r="AL529" i="72"/>
  <c r="EG529" i="72"/>
  <c r="AV529" i="72"/>
  <c r="BS529" i="72" s="1"/>
  <c r="BT529" i="72" s="1"/>
  <c r="AL200" i="72"/>
  <c r="EG200" i="72"/>
  <c r="AV200" i="72"/>
  <c r="BS200" i="72" s="1"/>
  <c r="BT200" i="72" s="1"/>
  <c r="AL489" i="72"/>
  <c r="EG489" i="72"/>
  <c r="AV489" i="72"/>
  <c r="BS489" i="72" s="1"/>
  <c r="BT489" i="72" s="1"/>
  <c r="AL481" i="72"/>
  <c r="EG481" i="72"/>
  <c r="AV481" i="72"/>
  <c r="BS481" i="72" s="1"/>
  <c r="BT481" i="72" s="1"/>
  <c r="AX16" i="72"/>
  <c r="BS16" i="72"/>
  <c r="BT16" i="72" s="1"/>
  <c r="AX36" i="72"/>
  <c r="BS36" i="72"/>
  <c r="BT36" i="72" s="1"/>
  <c r="EG239" i="72"/>
  <c r="AV239" i="72"/>
  <c r="BS239" i="72" s="1"/>
  <c r="BT239" i="72" s="1"/>
  <c r="EG244" i="72"/>
  <c r="AV244" i="72"/>
  <c r="BS244" i="72" s="1"/>
  <c r="BT244" i="72" s="1"/>
  <c r="EG303" i="72"/>
  <c r="AV303" i="72"/>
  <c r="BS303" i="72" s="1"/>
  <c r="BT303" i="72" s="1"/>
  <c r="EG389" i="72"/>
  <c r="AV389" i="72"/>
  <c r="BS389" i="72" s="1"/>
  <c r="BT389" i="72" s="1"/>
  <c r="EG382" i="72"/>
  <c r="AV382" i="72"/>
  <c r="BS382" i="72" s="1"/>
  <c r="BT382" i="72" s="1"/>
  <c r="EG441" i="72"/>
  <c r="AV441" i="72"/>
  <c r="BS441" i="72" s="1"/>
  <c r="BT441" i="72" s="1"/>
  <c r="EG421" i="72"/>
  <c r="AV421" i="72"/>
  <c r="BS421" i="72" s="1"/>
  <c r="BT421" i="72" s="1"/>
  <c r="EG150" i="72"/>
  <c r="AV150" i="72"/>
  <c r="BS150" i="72" s="1"/>
  <c r="BT150" i="72" s="1"/>
  <c r="EG174" i="72"/>
  <c r="AV174" i="72"/>
  <c r="BS174" i="72" s="1"/>
  <c r="BT174" i="72" s="1"/>
  <c r="EG212" i="72"/>
  <c r="AV212" i="72"/>
  <c r="BS212" i="72" s="1"/>
  <c r="BT212" i="72" s="1"/>
  <c r="EG328" i="72"/>
  <c r="AV328" i="72"/>
  <c r="BS328" i="72" s="1"/>
  <c r="BT328" i="72" s="1"/>
  <c r="EG340" i="72"/>
  <c r="AV340" i="72"/>
  <c r="BS340" i="72" s="1"/>
  <c r="BT340" i="72" s="1"/>
  <c r="EG332" i="72"/>
  <c r="AV332" i="72"/>
  <c r="BS332" i="72" s="1"/>
  <c r="BT332" i="72" s="1"/>
  <c r="EG242" i="72"/>
  <c r="AV242" i="72"/>
  <c r="BS242" i="72" s="1"/>
  <c r="BT242" i="72" s="1"/>
  <c r="EG237" i="72"/>
  <c r="AV237" i="72"/>
  <c r="BS237" i="72" s="1"/>
  <c r="BT237" i="72" s="1"/>
  <c r="EG125" i="72"/>
  <c r="AV125" i="72"/>
  <c r="BS125" i="72" s="1"/>
  <c r="BT125" i="72" s="1"/>
  <c r="AV119" i="72"/>
  <c r="BS119" i="72" s="1"/>
  <c r="BT119" i="72" s="1"/>
  <c r="EG119" i="72"/>
  <c r="AV69" i="72"/>
  <c r="BS69" i="72" s="1"/>
  <c r="BT69" i="72" s="1"/>
  <c r="EG69" i="72"/>
  <c r="EG291" i="72"/>
  <c r="AV291" i="72"/>
  <c r="BS291" i="72" s="1"/>
  <c r="BT291" i="72" s="1"/>
  <c r="EG308" i="72"/>
  <c r="AV308" i="72"/>
  <c r="BS308" i="72" s="1"/>
  <c r="BT308" i="72" s="1"/>
  <c r="EG430" i="72"/>
  <c r="AV430" i="72"/>
  <c r="BS430" i="72" s="1"/>
  <c r="BT430" i="72" s="1"/>
  <c r="EG204" i="72"/>
  <c r="AV204" i="72"/>
  <c r="BS204" i="72" s="1"/>
  <c r="BT204" i="72" s="1"/>
  <c r="EG346" i="72"/>
  <c r="AV346" i="72"/>
  <c r="BS346" i="72" s="1"/>
  <c r="BT346" i="72" s="1"/>
  <c r="EG327" i="72"/>
  <c r="AV327" i="72"/>
  <c r="BS327" i="72" s="1"/>
  <c r="BT327" i="72" s="1"/>
  <c r="EG263" i="72"/>
  <c r="AV263" i="72"/>
  <c r="BS263" i="72" s="1"/>
  <c r="BT263" i="72" s="1"/>
  <c r="EG472" i="72"/>
  <c r="AV472" i="72"/>
  <c r="BS472" i="72" s="1"/>
  <c r="BT472" i="72" s="1"/>
  <c r="EG463" i="72"/>
  <c r="AV463" i="72"/>
  <c r="BS463" i="72" s="1"/>
  <c r="BT463" i="72" s="1"/>
  <c r="EG67" i="72"/>
  <c r="AV67" i="72"/>
  <c r="BS67" i="72" s="1"/>
  <c r="BT67" i="72" s="1"/>
  <c r="EG300" i="72"/>
  <c r="AV300" i="72"/>
  <c r="BS300" i="72" s="1"/>
  <c r="BT300" i="72" s="1"/>
  <c r="EG307" i="72"/>
  <c r="AV307" i="72"/>
  <c r="BS307" i="72" s="1"/>
  <c r="BT307" i="72" s="1"/>
  <c r="AX26" i="72"/>
  <c r="BS26" i="72"/>
  <c r="BT26" i="72" s="1"/>
  <c r="EG394" i="72"/>
  <c r="AV394" i="72"/>
  <c r="BS394" i="72" s="1"/>
  <c r="BT394" i="72" s="1"/>
  <c r="EG374" i="72"/>
  <c r="AV374" i="72"/>
  <c r="BS374" i="72" s="1"/>
  <c r="BT374" i="72" s="1"/>
  <c r="EG439" i="72"/>
  <c r="AV439" i="72"/>
  <c r="BS439" i="72" s="1"/>
  <c r="BT439" i="72" s="1"/>
  <c r="EG428" i="72"/>
  <c r="AV428" i="72"/>
  <c r="BS428" i="72" s="1"/>
  <c r="BT428" i="72" s="1"/>
  <c r="C40" i="72"/>
  <c r="EG161" i="72"/>
  <c r="AV161" i="72"/>
  <c r="BS161" i="72" s="1"/>
  <c r="BT161" i="72" s="1"/>
  <c r="EG160" i="72"/>
  <c r="AV160" i="72"/>
  <c r="BS160" i="72" s="1"/>
  <c r="BT160" i="72" s="1"/>
  <c r="EG197" i="72"/>
  <c r="AV197" i="72"/>
  <c r="BS197" i="72" s="1"/>
  <c r="BT197" i="72" s="1"/>
  <c r="EG338" i="72"/>
  <c r="AV338" i="72"/>
  <c r="BS338" i="72" s="1"/>
  <c r="BT338" i="72" s="1"/>
  <c r="EG255" i="72"/>
  <c r="AV255" i="72"/>
  <c r="BS255" i="72" s="1"/>
  <c r="BT255" i="72" s="1"/>
  <c r="EG466" i="72"/>
  <c r="AV466" i="72"/>
  <c r="BS466" i="72" s="1"/>
  <c r="BT466" i="72" s="1"/>
  <c r="EG484" i="72"/>
  <c r="AV484" i="72"/>
  <c r="BS484" i="72" s="1"/>
  <c r="BT484" i="72" s="1"/>
  <c r="EG122" i="72"/>
  <c r="AV122" i="72"/>
  <c r="BS122" i="72" s="1"/>
  <c r="BT122" i="72" s="1"/>
  <c r="AV61" i="72"/>
  <c r="BS61" i="72" s="1"/>
  <c r="BT61" i="72" s="1"/>
  <c r="EG61" i="72"/>
  <c r="AV65" i="72"/>
  <c r="BS65" i="72" s="1"/>
  <c r="BT65" i="72" s="1"/>
  <c r="EG65" i="72"/>
  <c r="AV66" i="72"/>
  <c r="BS66" i="72" s="1"/>
  <c r="BT66" i="72" s="1"/>
  <c r="EG66" i="72"/>
  <c r="EG298" i="72"/>
  <c r="AV298" i="72"/>
  <c r="BS298" i="72" s="1"/>
  <c r="BT298" i="72" s="1"/>
  <c r="EG305" i="72"/>
  <c r="AV305" i="72"/>
  <c r="BS305" i="72" s="1"/>
  <c r="BT305" i="72" s="1"/>
  <c r="EG379" i="72"/>
  <c r="AV379" i="72"/>
  <c r="BS379" i="72" s="1"/>
  <c r="BT379" i="72" s="1"/>
  <c r="EG423" i="72"/>
  <c r="AV423" i="72"/>
  <c r="BS423" i="72" s="1"/>
  <c r="BT423" i="72" s="1"/>
  <c r="EG427" i="72"/>
  <c r="AV427" i="72"/>
  <c r="BS427" i="72" s="1"/>
  <c r="BT427" i="72" s="1"/>
  <c r="EG147" i="72"/>
  <c r="AV147" i="72"/>
  <c r="BS147" i="72" s="1"/>
  <c r="BT147" i="72" s="1"/>
  <c r="EG156" i="72"/>
  <c r="AV156" i="72"/>
  <c r="BS156" i="72" s="1"/>
  <c r="BT156" i="72" s="1"/>
  <c r="EG203" i="72"/>
  <c r="AV203" i="72"/>
  <c r="BS203" i="72" s="1"/>
  <c r="BT203" i="72" s="1"/>
  <c r="EG337" i="72"/>
  <c r="AV337" i="72"/>
  <c r="BS337" i="72" s="1"/>
  <c r="BT337" i="72" s="1"/>
  <c r="AX35" i="72"/>
  <c r="BS35" i="72"/>
  <c r="BT35" i="72" s="1"/>
  <c r="EG510" i="72"/>
  <c r="AV510" i="72"/>
  <c r="BS510" i="72" s="1"/>
  <c r="BT510" i="72" s="1"/>
  <c r="AL246" i="72"/>
  <c r="EG246" i="72"/>
  <c r="AV246" i="72"/>
  <c r="BS246" i="72" s="1"/>
  <c r="BT246" i="72" s="1"/>
  <c r="AX29" i="72"/>
  <c r="BS29" i="72"/>
  <c r="BT29" i="72" s="1"/>
  <c r="AL521" i="72"/>
  <c r="EG521" i="72"/>
  <c r="AV521" i="72"/>
  <c r="BS521" i="72" s="1"/>
  <c r="BT521" i="72" s="1"/>
  <c r="AX14" i="72"/>
  <c r="BS14" i="72"/>
  <c r="BT14" i="72" s="1"/>
  <c r="AL522" i="72"/>
  <c r="EG522" i="72"/>
  <c r="AV522" i="72"/>
  <c r="BS522" i="72" s="1"/>
  <c r="BT522" i="72" s="1"/>
  <c r="AL511" i="72"/>
  <c r="EG511" i="72"/>
  <c r="AV511" i="72"/>
  <c r="BS511" i="72" s="1"/>
  <c r="BT511" i="72" s="1"/>
  <c r="AL63" i="72"/>
  <c r="EG63" i="72"/>
  <c r="AV63" i="72"/>
  <c r="BS63" i="72" s="1"/>
  <c r="BT63" i="72" s="1"/>
  <c r="EG209" i="72"/>
  <c r="AV209" i="72"/>
  <c r="BS209" i="72" s="1"/>
  <c r="BT209" i="72" s="1"/>
  <c r="AV81" i="72"/>
  <c r="BS81" i="72" s="1"/>
  <c r="BT81" i="72" s="1"/>
  <c r="EG81" i="72"/>
  <c r="EG512" i="72"/>
  <c r="AV512" i="72"/>
  <c r="BS512" i="72" s="1"/>
  <c r="BT512" i="72" s="1"/>
  <c r="AL525" i="72"/>
  <c r="EG525" i="72"/>
  <c r="AV525" i="72"/>
  <c r="BS525" i="72" s="1"/>
  <c r="BT525" i="72" s="1"/>
  <c r="AL508" i="72"/>
  <c r="EG508" i="72"/>
  <c r="AV508" i="72"/>
  <c r="BS508" i="72" s="1"/>
  <c r="BT508" i="72" s="1"/>
  <c r="AL467" i="72"/>
  <c r="EG467" i="72"/>
  <c r="AV467" i="72"/>
  <c r="BS467" i="72" s="1"/>
  <c r="BT467" i="72" s="1"/>
  <c r="AL478" i="72"/>
  <c r="EG478" i="72"/>
  <c r="AV478" i="72"/>
  <c r="BS478" i="72" s="1"/>
  <c r="BT478" i="72" s="1"/>
  <c r="EG214" i="72"/>
  <c r="AV214" i="72"/>
  <c r="BS214" i="72" s="1"/>
  <c r="BT214" i="72" s="1"/>
  <c r="AL123" i="72"/>
  <c r="EG123" i="72"/>
  <c r="AV123" i="72"/>
  <c r="BS123" i="72" s="1"/>
  <c r="BT123" i="72" s="1"/>
  <c r="AX30" i="72"/>
  <c r="BS30" i="72"/>
  <c r="BT30" i="72" s="1"/>
  <c r="EK2" i="72" a="1"/>
  <c r="EK2" i="72" s="1"/>
  <c r="AX33" i="72"/>
  <c r="BS33" i="72"/>
  <c r="BT33" i="72" s="1"/>
  <c r="FC48" i="14"/>
  <c r="AP48" i="14"/>
  <c r="FC50" i="11"/>
  <c r="AP50" i="11"/>
  <c r="FC50" i="13"/>
  <c r="AP50" i="13"/>
  <c r="FC49" i="10"/>
  <c r="AP49" i="10"/>
  <c r="FC48" i="12"/>
  <c r="AP48" i="12"/>
  <c r="FC50" i="7"/>
  <c r="AP50" i="7"/>
  <c r="FC48" i="8"/>
  <c r="AP48" i="8"/>
  <c r="FC48" i="9"/>
  <c r="DC265" i="72" s="1"/>
  <c r="AP48" i="9"/>
  <c r="FC49" i="14"/>
  <c r="AP49" i="14"/>
  <c r="FC48" i="6"/>
  <c r="AP48" i="6"/>
  <c r="FC49" i="11"/>
  <c r="AP49" i="11"/>
  <c r="FC49" i="5"/>
  <c r="AP49" i="5"/>
  <c r="FC49" i="13"/>
  <c r="AP49" i="13"/>
  <c r="FC50" i="10"/>
  <c r="AP50" i="10"/>
  <c r="AW49" i="15"/>
  <c r="AP49" i="15"/>
  <c r="FC49" i="9"/>
  <c r="AP49" i="9"/>
  <c r="FC50" i="9"/>
  <c r="AP50" i="9"/>
  <c r="FC50" i="14"/>
  <c r="DC492" i="72" s="1"/>
  <c r="AP50" i="14"/>
  <c r="FC49" i="6"/>
  <c r="AP49" i="6"/>
  <c r="FC50" i="6"/>
  <c r="AP50" i="6"/>
  <c r="FC48" i="11"/>
  <c r="AP48" i="11"/>
  <c r="FC50" i="5"/>
  <c r="AP50" i="5"/>
  <c r="FC48" i="5"/>
  <c r="DC85" i="72" s="1"/>
  <c r="AP48" i="5"/>
  <c r="FC48" i="13"/>
  <c r="AP48" i="13"/>
  <c r="FC48" i="10"/>
  <c r="AP48" i="10"/>
  <c r="FC49" i="12"/>
  <c r="AP49" i="12"/>
  <c r="FC50" i="12"/>
  <c r="AP50" i="12"/>
  <c r="FC48" i="7"/>
  <c r="AP48" i="7"/>
  <c r="FC49" i="7"/>
  <c r="AP49" i="7"/>
  <c r="FC49" i="8"/>
  <c r="AP49" i="8"/>
  <c r="FC50" i="8"/>
  <c r="AP50" i="8"/>
  <c r="AW50" i="15"/>
  <c r="AP50" i="15"/>
  <c r="AW48" i="15"/>
  <c r="AP48" i="15"/>
  <c r="CF45" i="18"/>
  <c r="CE45" i="18" s="1"/>
  <c r="B66" i="7"/>
  <c r="BZ47" i="7"/>
  <c r="BZ44" i="7"/>
  <c r="BQ48" i="7"/>
  <c r="BH13" i="40"/>
  <c r="BC46" i="40" s="1"/>
  <c r="BB46" i="40" s="1"/>
  <c r="CQ13" i="40"/>
  <c r="CF46" i="40" s="1"/>
  <c r="CE46" i="40" s="1"/>
  <c r="BH13" i="36"/>
  <c r="BC48" i="36" s="1"/>
  <c r="BB48" i="36" s="1"/>
  <c r="CQ13" i="36"/>
  <c r="CF46" i="36" s="1"/>
  <c r="CE46" i="36" s="1"/>
  <c r="CF48" i="18"/>
  <c r="CE48" i="18" s="1"/>
  <c r="BH13" i="35"/>
  <c r="BC47" i="35" s="1"/>
  <c r="BB47" i="35" s="1"/>
  <c r="CQ13" i="35"/>
  <c r="CF48" i="35" s="1"/>
  <c r="CE48" i="35" s="1"/>
  <c r="BH13" i="37"/>
  <c r="BC46" i="37" s="1"/>
  <c r="BB46" i="37" s="1"/>
  <c r="CQ13" i="37"/>
  <c r="CF45" i="37" s="1"/>
  <c r="CE45" i="37" s="1"/>
  <c r="BH13" i="42"/>
  <c r="BC45" i="42" s="1"/>
  <c r="BB45" i="42" s="1"/>
  <c r="CQ13" i="42"/>
  <c r="CF48" i="42" s="1"/>
  <c r="CE48" i="42" s="1"/>
  <c r="BH13" i="39"/>
  <c r="BC46" i="39" s="1"/>
  <c r="BB46" i="39" s="1"/>
  <c r="CQ13" i="39"/>
  <c r="CF48" i="39" s="1"/>
  <c r="CE48" i="39" s="1"/>
  <c r="CF46" i="18"/>
  <c r="CE46" i="18" s="1"/>
  <c r="BH13" i="41"/>
  <c r="BC48" i="41" s="1"/>
  <c r="BB48" i="41" s="1"/>
  <c r="CQ13" i="41"/>
  <c r="CF46" i="41" s="1"/>
  <c r="CE46" i="41" s="1"/>
  <c r="BH13" i="43"/>
  <c r="BC45" i="43" s="1"/>
  <c r="BB45" i="43" s="1"/>
  <c r="CQ13" i="43"/>
  <c r="CF45" i="43" s="1"/>
  <c r="CE45" i="43" s="1"/>
  <c r="BH13" i="44"/>
  <c r="BC48" i="44" s="1"/>
  <c r="BB48" i="44" s="1"/>
  <c r="CQ13" i="44"/>
  <c r="CF46" i="44" s="1"/>
  <c r="CE46" i="44" s="1"/>
  <c r="BH13" i="38"/>
  <c r="BC46" i="38" s="1"/>
  <c r="BB46" i="38" s="1"/>
  <c r="CQ13" i="38"/>
  <c r="CF46" i="38" s="1"/>
  <c r="CE46" i="38" s="1"/>
  <c r="BH13" i="45"/>
  <c r="BC48" i="45" s="1"/>
  <c r="BB48" i="45" s="1"/>
  <c r="CQ13" i="45"/>
  <c r="CF46" i="45" s="1"/>
  <c r="CE46" i="45" s="1"/>
  <c r="B21" i="26"/>
  <c r="E50" i="31"/>
  <c r="E52" i="31"/>
  <c r="D48" i="31"/>
  <c r="E50" i="27"/>
  <c r="D39" i="27"/>
  <c r="D48" i="69"/>
  <c r="E52" i="69"/>
  <c r="AF15" i="34"/>
  <c r="E50" i="69"/>
  <c r="E56" i="69"/>
  <c r="E49" i="33"/>
  <c r="D39" i="33"/>
  <c r="E49" i="68"/>
  <c r="D39" i="68"/>
  <c r="E49" i="32"/>
  <c r="D39" i="32"/>
  <c r="E49" i="71"/>
  <c r="D39" i="71"/>
  <c r="E49" i="26"/>
  <c r="D39" i="26"/>
  <c r="E49" i="67"/>
  <c r="D39" i="67"/>
  <c r="CD3" i="74"/>
  <c r="B21" i="57"/>
  <c r="E40" i="2"/>
  <c r="B21" i="2"/>
  <c r="AL113" i="72"/>
  <c r="E103" i="62"/>
  <c r="BW41" i="8"/>
  <c r="BW41" i="9" s="1"/>
  <c r="M52" i="55"/>
  <c r="BG6" i="62"/>
  <c r="B100" i="62" s="1"/>
  <c r="H16" i="62" s="1"/>
  <c r="BJ6" i="58"/>
  <c r="D115" i="58"/>
  <c r="BL6" i="58"/>
  <c r="F111" i="58" s="1"/>
  <c r="H115" i="58" s="1"/>
  <c r="B42" i="45"/>
  <c r="B81" i="45" s="1"/>
  <c r="B88" i="80"/>
  <c r="D88" i="80" s="1"/>
  <c r="BZ96" i="8"/>
  <c r="BZ96" i="9"/>
  <c r="BZ96" i="11"/>
  <c r="BZ96" i="6"/>
  <c r="BZ96" i="12"/>
  <c r="BZ96" i="14"/>
  <c r="BZ96" i="5"/>
  <c r="BZ96" i="13"/>
  <c r="BZ96" i="15"/>
  <c r="BZ96" i="10"/>
  <c r="BZ96" i="7"/>
  <c r="E52" i="60"/>
  <c r="D52" i="60"/>
  <c r="E51" i="60"/>
  <c r="D51" i="60"/>
  <c r="E50" i="60"/>
  <c r="E53" i="60"/>
  <c r="AA16" i="34"/>
  <c r="AA14" i="34"/>
  <c r="AA17" i="34"/>
  <c r="AA15" i="34"/>
  <c r="AA6" i="34"/>
  <c r="AA8" i="34"/>
  <c r="AA9" i="34"/>
  <c r="AA13" i="34"/>
  <c r="AA7" i="34"/>
  <c r="Q4" i="76" a="1"/>
  <c r="Q4" i="76" s="1"/>
  <c r="B38" i="45"/>
  <c r="B77" i="45" s="1"/>
  <c r="B24" i="45"/>
  <c r="B63" i="45" s="1"/>
  <c r="B45" i="18"/>
  <c r="B84" i="18" s="1"/>
  <c r="EJ45" i="18"/>
  <c r="B33" i="38"/>
  <c r="B72" i="38" s="1"/>
  <c r="EJ33" i="38"/>
  <c r="B28" i="38"/>
  <c r="B67" i="38" s="1"/>
  <c r="EJ28" i="38"/>
  <c r="B27" i="38"/>
  <c r="B66" i="38" s="1"/>
  <c r="EJ27" i="38"/>
  <c r="B22" i="38"/>
  <c r="B61" i="38" s="1"/>
  <c r="EJ22" i="38"/>
  <c r="B21" i="38"/>
  <c r="B60" i="38" s="1"/>
  <c r="EJ21" i="38"/>
  <c r="B42" i="38"/>
  <c r="B81" i="38" s="1"/>
  <c r="EJ42" i="38"/>
  <c r="B41" i="38"/>
  <c r="B80" i="38" s="1"/>
  <c r="EJ41" i="38"/>
  <c r="B36" i="38"/>
  <c r="B75" i="38" s="1"/>
  <c r="EJ36" i="38"/>
  <c r="B35" i="38"/>
  <c r="B74" i="38" s="1"/>
  <c r="EJ35" i="38"/>
  <c r="B30" i="38"/>
  <c r="B69" i="38" s="1"/>
  <c r="EJ30" i="38"/>
  <c r="B35" i="39"/>
  <c r="B74" i="39" s="1"/>
  <c r="EJ35" i="39"/>
  <c r="B23" i="39"/>
  <c r="B62" i="39" s="1"/>
  <c r="EJ23" i="39"/>
  <c r="B27" i="39"/>
  <c r="B66" i="39" s="1"/>
  <c r="EJ27" i="39"/>
  <c r="B40" i="39"/>
  <c r="B79" i="39" s="1"/>
  <c r="EJ40" i="39"/>
  <c r="B41" i="39"/>
  <c r="B80" i="39" s="1"/>
  <c r="EJ41" i="39"/>
  <c r="B19" i="39"/>
  <c r="B58" i="39" s="1"/>
  <c r="EJ19" i="39"/>
  <c r="B26" i="39"/>
  <c r="B65" i="39" s="1"/>
  <c r="EJ26" i="39"/>
  <c r="B32" i="39"/>
  <c r="B71" i="39" s="1"/>
  <c r="EJ32" i="39"/>
  <c r="B44" i="39"/>
  <c r="B83" i="39" s="1"/>
  <c r="EJ44" i="39"/>
  <c r="B24" i="39"/>
  <c r="B63" i="39" s="1"/>
  <c r="EJ24" i="39"/>
  <c r="B28" i="39"/>
  <c r="B67" i="39" s="1"/>
  <c r="EJ28" i="39"/>
  <c r="B20" i="39"/>
  <c r="B59" i="39" s="1"/>
  <c r="EJ20" i="39"/>
  <c r="B38" i="39"/>
  <c r="B77" i="39" s="1"/>
  <c r="EJ38" i="39"/>
  <c r="B40" i="38"/>
  <c r="B79" i="38" s="1"/>
  <c r="EJ40" i="38"/>
  <c r="B24" i="38"/>
  <c r="B63" i="38" s="1"/>
  <c r="EJ24" i="38"/>
  <c r="B39" i="38"/>
  <c r="B78" i="38" s="1"/>
  <c r="EJ39" i="38"/>
  <c r="B44" i="38"/>
  <c r="B83" i="38" s="1"/>
  <c r="EJ44" i="38"/>
  <c r="B23" i="38"/>
  <c r="B62" i="38" s="1"/>
  <c r="EJ23" i="38"/>
  <c r="B29" i="38"/>
  <c r="B68" i="38" s="1"/>
  <c r="EJ29" i="38"/>
  <c r="B31" i="45"/>
  <c r="B70" i="45" s="1"/>
  <c r="EJ31" i="45"/>
  <c r="B40" i="45"/>
  <c r="B79" i="45" s="1"/>
  <c r="EJ40" i="45"/>
  <c r="B33" i="45"/>
  <c r="B72" i="45" s="1"/>
  <c r="EJ33" i="45"/>
  <c r="B26" i="45"/>
  <c r="B65" i="45" s="1"/>
  <c r="EJ26" i="45"/>
  <c r="B20" i="45"/>
  <c r="B59" i="45" s="1"/>
  <c r="EJ20" i="45"/>
  <c r="B43" i="45"/>
  <c r="B82" i="45" s="1"/>
  <c r="EJ43" i="45"/>
  <c r="B29" i="45"/>
  <c r="B68" i="45" s="1"/>
  <c r="EJ29" i="45"/>
  <c r="B28" i="45"/>
  <c r="B67" i="45" s="1"/>
  <c r="EJ28" i="45"/>
  <c r="B30" i="45"/>
  <c r="B69" i="45" s="1"/>
  <c r="EJ30" i="45"/>
  <c r="B21" i="45"/>
  <c r="B60" i="45" s="1"/>
  <c r="EJ21" i="45"/>
  <c r="FB51" i="34"/>
  <c r="FC51" i="34"/>
  <c r="FG56" i="34"/>
  <c r="FE56" i="34"/>
  <c r="FH56" i="34"/>
  <c r="FF56" i="34"/>
  <c r="FD60" i="34"/>
  <c r="FG57" i="34"/>
  <c r="FE57" i="34"/>
  <c r="FD61" i="34"/>
  <c r="FH57" i="34"/>
  <c r="FF57" i="34"/>
  <c r="FG54" i="34"/>
  <c r="FE54" i="34"/>
  <c r="FH54" i="34"/>
  <c r="FD58" i="34"/>
  <c r="FF54" i="34"/>
  <c r="FB50" i="34"/>
  <c r="FC50" i="34"/>
  <c r="B43" i="38"/>
  <c r="B82" i="38" s="1"/>
  <c r="EJ43" i="38"/>
  <c r="B38" i="38"/>
  <c r="B77" i="38" s="1"/>
  <c r="EJ38" i="38"/>
  <c r="B37" i="38"/>
  <c r="B76" i="38" s="1"/>
  <c r="EJ37" i="38"/>
  <c r="B32" i="38"/>
  <c r="B71" i="38" s="1"/>
  <c r="EJ32" i="38"/>
  <c r="B31" i="38"/>
  <c r="B70" i="38" s="1"/>
  <c r="EJ31" i="38"/>
  <c r="B26" i="38"/>
  <c r="B65" i="38" s="1"/>
  <c r="EJ26" i="38"/>
  <c r="B25" i="38"/>
  <c r="B64" i="38" s="1"/>
  <c r="EJ25" i="38"/>
  <c r="B20" i="38"/>
  <c r="B59" i="38" s="1"/>
  <c r="EJ20" i="38"/>
  <c r="B19" i="38"/>
  <c r="B58" i="38" s="1"/>
  <c r="EJ19" i="38"/>
  <c r="B42" i="39"/>
  <c r="B81" i="39" s="1"/>
  <c r="EJ42" i="39"/>
  <c r="B37" i="39"/>
  <c r="B76" i="39" s="1"/>
  <c r="EJ37" i="39"/>
  <c r="B22" i="39"/>
  <c r="B61" i="39" s="1"/>
  <c r="EJ22" i="39"/>
  <c r="B36" i="39"/>
  <c r="B75" i="39" s="1"/>
  <c r="EJ36" i="39"/>
  <c r="B39" i="39"/>
  <c r="B78" i="39" s="1"/>
  <c r="EJ39" i="39"/>
  <c r="B33" i="39"/>
  <c r="B72" i="39" s="1"/>
  <c r="EJ33" i="39"/>
  <c r="B25" i="39"/>
  <c r="B64" i="39" s="1"/>
  <c r="EJ25" i="39"/>
  <c r="B21" i="39"/>
  <c r="B60" i="39" s="1"/>
  <c r="EJ21" i="39"/>
  <c r="B30" i="39"/>
  <c r="B69" i="39" s="1"/>
  <c r="EJ30" i="39"/>
  <c r="B31" i="39"/>
  <c r="B70" i="39" s="1"/>
  <c r="EJ31" i="39"/>
  <c r="B29" i="39"/>
  <c r="B68" i="39" s="1"/>
  <c r="EJ29" i="39"/>
  <c r="B43" i="39"/>
  <c r="B82" i="39" s="1"/>
  <c r="EJ43" i="39"/>
  <c r="B34" i="38"/>
  <c r="B73" i="38" s="1"/>
  <c r="EJ34" i="38"/>
  <c r="B34" i="39"/>
  <c r="B73" i="39" s="1"/>
  <c r="EJ34" i="39"/>
  <c r="B23" i="45"/>
  <c r="B62" i="45" s="1"/>
  <c r="EJ23" i="45"/>
  <c r="B39" i="45"/>
  <c r="B78" i="45" s="1"/>
  <c r="EJ39" i="45"/>
  <c r="B32" i="45"/>
  <c r="B71" i="45" s="1"/>
  <c r="EJ32" i="45"/>
  <c r="B25" i="45"/>
  <c r="B64" i="45" s="1"/>
  <c r="EJ25" i="45"/>
  <c r="B41" i="45"/>
  <c r="B80" i="45" s="1"/>
  <c r="EJ41" i="45"/>
  <c r="B34" i="45"/>
  <c r="B73" i="45" s="1"/>
  <c r="EJ34" i="45"/>
  <c r="B27" i="45"/>
  <c r="B66" i="45" s="1"/>
  <c r="EJ27" i="45"/>
  <c r="B36" i="45"/>
  <c r="B75" i="45" s="1"/>
  <c r="EJ36" i="45"/>
  <c r="B22" i="45"/>
  <c r="B61" i="45" s="1"/>
  <c r="EJ22" i="45"/>
  <c r="B19" i="45"/>
  <c r="B58" i="45" s="1"/>
  <c r="EJ19" i="45"/>
  <c r="B37" i="45"/>
  <c r="B76" i="45" s="1"/>
  <c r="EJ37" i="45"/>
  <c r="B35" i="45"/>
  <c r="B74" i="45" s="1"/>
  <c r="EJ35" i="45"/>
  <c r="B44" i="45"/>
  <c r="B83" i="45" s="1"/>
  <c r="EJ44" i="45"/>
  <c r="FG55" i="34"/>
  <c r="FE55" i="34"/>
  <c r="FD59" i="34"/>
  <c r="FH55" i="34"/>
  <c r="FF55" i="34"/>
  <c r="FB52" i="34"/>
  <c r="FC52" i="34"/>
  <c r="FB53" i="34"/>
  <c r="FC53" i="34"/>
  <c r="F4" i="77" a="1"/>
  <c r="F4" i="77" s="1"/>
  <c r="BY9" i="8"/>
  <c r="AG48" i="45"/>
  <c r="AG34" i="45"/>
  <c r="CH28" i="15"/>
  <c r="AG48" i="18"/>
  <c r="CE28" i="4"/>
  <c r="AG34" i="18"/>
  <c r="AL214" i="72"/>
  <c r="BS28" i="4"/>
  <c r="W34" i="18" s="1"/>
  <c r="W48" i="18" s="1"/>
  <c r="CI48" i="18" s="1"/>
  <c r="AL488" i="72"/>
  <c r="AL254" i="72"/>
  <c r="BY8" i="8"/>
  <c r="C86" i="80"/>
  <c r="AE10" i="34"/>
  <c r="E49" i="60"/>
  <c r="AA5" i="34"/>
  <c r="AL518" i="72"/>
  <c r="AL531" i="72"/>
  <c r="E48" i="60"/>
  <c r="FC50" i="15"/>
  <c r="FC49" i="15"/>
  <c r="AT4" i="5" a="1"/>
  <c r="AT4" i="5" s="1"/>
  <c r="FC48" i="15"/>
  <c r="BS28" i="15"/>
  <c r="W34" i="45" s="1"/>
  <c r="W48" i="45" s="1"/>
  <c r="CI48" i="45" s="1"/>
  <c r="A9" i="83"/>
  <c r="A31" i="83"/>
  <c r="DC102" i="72"/>
  <c r="DC103" i="72"/>
  <c r="DC485" i="72"/>
  <c r="DC474" i="72"/>
  <c r="DC489" i="72"/>
  <c r="DC487" i="72"/>
  <c r="DC466" i="72"/>
  <c r="DC475" i="72"/>
  <c r="DC488" i="72"/>
  <c r="DC472" i="72"/>
  <c r="DC509" i="72"/>
  <c r="DC532" i="72"/>
  <c r="DC516" i="72"/>
  <c r="DC514" i="72"/>
  <c r="DC518" i="72"/>
  <c r="DC528" i="72"/>
  <c r="DC519" i="72"/>
  <c r="DC118" i="72"/>
  <c r="DC129" i="72"/>
  <c r="DC113" i="72"/>
  <c r="DC128" i="72"/>
  <c r="DC112" i="72"/>
  <c r="DC436" i="72"/>
  <c r="DC438" i="72"/>
  <c r="DC442" i="72"/>
  <c r="DC440" i="72"/>
  <c r="DC419" i="72"/>
  <c r="DC434" i="72"/>
  <c r="DC429" i="72"/>
  <c r="DC197" i="72"/>
  <c r="DC192" i="72"/>
  <c r="DC204" i="72"/>
  <c r="DC193" i="72"/>
  <c r="DC219" i="72"/>
  <c r="DC203" i="72"/>
  <c r="DC218" i="72"/>
  <c r="DC202" i="72"/>
  <c r="DC353" i="72"/>
  <c r="DC344" i="72"/>
  <c r="DC348" i="72"/>
  <c r="DC346" i="72"/>
  <c r="DC334" i="72"/>
  <c r="DC347" i="72"/>
  <c r="DC331" i="72"/>
  <c r="DC259" i="72"/>
  <c r="DC251" i="72"/>
  <c r="DC240" i="72"/>
  <c r="DC247" i="72"/>
  <c r="DC258" i="72"/>
  <c r="DC242" i="72"/>
  <c r="DC257" i="72"/>
  <c r="DC241" i="72"/>
  <c r="DC391" i="72"/>
  <c r="DC380" i="72"/>
  <c r="DC395" i="72"/>
  <c r="DC393" i="72"/>
  <c r="DC397" i="72"/>
  <c r="DC376" i="72"/>
  <c r="DC390" i="72"/>
  <c r="DC374" i="72"/>
  <c r="DC78" i="72"/>
  <c r="DC75" i="72"/>
  <c r="DC66" i="72"/>
  <c r="DC73" i="72"/>
  <c r="DC84" i="72"/>
  <c r="DC68" i="72"/>
  <c r="DC59" i="72"/>
  <c r="DC174" i="72"/>
  <c r="DC147" i="72"/>
  <c r="DC162" i="72"/>
  <c r="DC161" i="72"/>
  <c r="DC168" i="72"/>
  <c r="DC152" i="72"/>
  <c r="DC167" i="72"/>
  <c r="DC151" i="72"/>
  <c r="DC291" i="72"/>
  <c r="DC303" i="72"/>
  <c r="DC302" i="72"/>
  <c r="DC301" i="72"/>
  <c r="DC285" i="72"/>
  <c r="DC300" i="72"/>
  <c r="DC284" i="72"/>
  <c r="DC158" i="72"/>
  <c r="DC173" i="72"/>
  <c r="DC154" i="72"/>
  <c r="DC153" i="72"/>
  <c r="DC164" i="72"/>
  <c r="DC148" i="72"/>
  <c r="DC163" i="72"/>
  <c r="DC307" i="72"/>
  <c r="DC298" i="72"/>
  <c r="DC295" i="72"/>
  <c r="DC294" i="72"/>
  <c r="DC297" i="72"/>
  <c r="DC296" i="72"/>
  <c r="DC483" i="72"/>
  <c r="DC478" i="72"/>
  <c r="DC482" i="72"/>
  <c r="DC470" i="72"/>
  <c r="DC484" i="72"/>
  <c r="DC468" i="72"/>
  <c r="DC510" i="72"/>
  <c r="DC534" i="72"/>
  <c r="DC522" i="72"/>
  <c r="DC515" i="72"/>
  <c r="DC126" i="72"/>
  <c r="DC122" i="72"/>
  <c r="DC124" i="72"/>
  <c r="DC431" i="72"/>
  <c r="DC417" i="72"/>
  <c r="DC441" i="72"/>
  <c r="DC196" i="72"/>
  <c r="DC216" i="72"/>
  <c r="DC199" i="72"/>
  <c r="DC198" i="72"/>
  <c r="DC349" i="72"/>
  <c r="DC341" i="72"/>
  <c r="DC329" i="72"/>
  <c r="DC237" i="72"/>
  <c r="DC254" i="72"/>
  <c r="DC253" i="72"/>
  <c r="DC389" i="72"/>
  <c r="DC388" i="72"/>
  <c r="DC61" i="72"/>
  <c r="DC80" i="72"/>
  <c r="DC473" i="72"/>
  <c r="DC479" i="72"/>
  <c r="DC467" i="72"/>
  <c r="DC477" i="72"/>
  <c r="DC486" i="72"/>
  <c r="DC465" i="72"/>
  <c r="DC480" i="72"/>
  <c r="DC464" i="72"/>
  <c r="DC530" i="72"/>
  <c r="DC529" i="72"/>
  <c r="DC508" i="72"/>
  <c r="DC517" i="72"/>
  <c r="DC527" i="72"/>
  <c r="DC511" i="72"/>
  <c r="DC127" i="72"/>
  <c r="DC110" i="72"/>
  <c r="DC115" i="72"/>
  <c r="DC114" i="72"/>
  <c r="DC121" i="72"/>
  <c r="DC105" i="72"/>
  <c r="DC120" i="72"/>
  <c r="DC104" i="72"/>
  <c r="DC426" i="72"/>
  <c r="DC432" i="72"/>
  <c r="DC420" i="72"/>
  <c r="DC430" i="72"/>
  <c r="DC444" i="72"/>
  <c r="DC423" i="72"/>
  <c r="DC437" i="72"/>
  <c r="DC421" i="72"/>
  <c r="DC212" i="72"/>
  <c r="DC205" i="72"/>
  <c r="DC209" i="72"/>
  <c r="DC208" i="72"/>
  <c r="DC211" i="72"/>
  <c r="DC195" i="72"/>
  <c r="DC210" i="72"/>
  <c r="DC194" i="72"/>
  <c r="DC333" i="72"/>
  <c r="DC342" i="72"/>
  <c r="DC338" i="72"/>
  <c r="DC336" i="72"/>
  <c r="DC345" i="72"/>
  <c r="DC339" i="72"/>
  <c r="DC244" i="72"/>
  <c r="DC252" i="72"/>
  <c r="DC256" i="72"/>
  <c r="DC263" i="72"/>
  <c r="DC250" i="72"/>
  <c r="DC249" i="72"/>
  <c r="DC379" i="72"/>
  <c r="DC385" i="72"/>
  <c r="DC373" i="72"/>
  <c r="DC383" i="72"/>
  <c r="DC387" i="72"/>
  <c r="DC398" i="72"/>
  <c r="DC382" i="72"/>
  <c r="DC70" i="72"/>
  <c r="DC57" i="72"/>
  <c r="DC82" i="72"/>
  <c r="DC81" i="72"/>
  <c r="DC65" i="72"/>
  <c r="DC76" i="72"/>
  <c r="DC58" i="72"/>
  <c r="DC150" i="72"/>
  <c r="DC165" i="72"/>
  <c r="DC157" i="72"/>
  <c r="DC160" i="72"/>
  <c r="DC159" i="72"/>
  <c r="DC306" i="72"/>
  <c r="DC299" i="72"/>
  <c r="DC282" i="72"/>
  <c r="DC287" i="72"/>
  <c r="DC286" i="72"/>
  <c r="DC293" i="72"/>
  <c r="DC308" i="72"/>
  <c r="DC292" i="72"/>
  <c r="DC520" i="72"/>
  <c r="DC507" i="72"/>
  <c r="DC513" i="72"/>
  <c r="DC531" i="72"/>
  <c r="DC119" i="72"/>
  <c r="DC123" i="72"/>
  <c r="DC125" i="72"/>
  <c r="DC109" i="72"/>
  <c r="DC108" i="72"/>
  <c r="DC443" i="72"/>
  <c r="DC435" i="72"/>
  <c r="DC428" i="72"/>
  <c r="DC425" i="72"/>
  <c r="DC217" i="72"/>
  <c r="DC215" i="72"/>
  <c r="DC214" i="72"/>
  <c r="DC332" i="72"/>
  <c r="DC337" i="72"/>
  <c r="DC350" i="72"/>
  <c r="DC343" i="72"/>
  <c r="DC260" i="72"/>
  <c r="DC264" i="72"/>
  <c r="DC239" i="72"/>
  <c r="DC238" i="72"/>
  <c r="DC396" i="72"/>
  <c r="DC384" i="72"/>
  <c r="DC392" i="72"/>
  <c r="DC386" i="72"/>
  <c r="DC71" i="72"/>
  <c r="DC67" i="72"/>
  <c r="DC69" i="72"/>
  <c r="DC64" i="72"/>
  <c r="DC463" i="72"/>
  <c r="DC469" i="72"/>
  <c r="DC462" i="72"/>
  <c r="DC471" i="72"/>
  <c r="DC481" i="72"/>
  <c r="DC476" i="72"/>
  <c r="DC521" i="72"/>
  <c r="DC526" i="72"/>
  <c r="DC525" i="72"/>
  <c r="DC524" i="72"/>
  <c r="DC533" i="72"/>
  <c r="DC512" i="72"/>
  <c r="DC523" i="72"/>
  <c r="DC111" i="72"/>
  <c r="DC107" i="72"/>
  <c r="DC106" i="72"/>
  <c r="DC117" i="72"/>
  <c r="DC116" i="72"/>
  <c r="DC427" i="72"/>
  <c r="DC422" i="72"/>
  <c r="DC424" i="72"/>
  <c r="DC439" i="72"/>
  <c r="DC418" i="72"/>
  <c r="DC433" i="72"/>
  <c r="DC213" i="72"/>
  <c r="DC201" i="72"/>
  <c r="DC200" i="72"/>
  <c r="DC207" i="72"/>
  <c r="DC206" i="72"/>
  <c r="DC327" i="72"/>
  <c r="DC354" i="72"/>
  <c r="DC328" i="72"/>
  <c r="DC352" i="72"/>
  <c r="DC330" i="72"/>
  <c r="DC340" i="72"/>
  <c r="DC351" i="72"/>
  <c r="DC335" i="72"/>
  <c r="DC243" i="72"/>
  <c r="DC248" i="72"/>
  <c r="DC255" i="72"/>
  <c r="DC262" i="72"/>
  <c r="DC246" i="72"/>
  <c r="DC261" i="72"/>
  <c r="DC245" i="72"/>
  <c r="DC372" i="72"/>
  <c r="DC375" i="72"/>
  <c r="DC399" i="72"/>
  <c r="DC377" i="72"/>
  <c r="DC381" i="72"/>
  <c r="DC394" i="72"/>
  <c r="DC378" i="72"/>
  <c r="DC62" i="72"/>
  <c r="DC79" i="72"/>
  <c r="DC83" i="72"/>
  <c r="DC74" i="72"/>
  <c r="DC77" i="72"/>
  <c r="DC60" i="72"/>
  <c r="DC72" i="72"/>
  <c r="DC63" i="72"/>
  <c r="DC166" i="72"/>
  <c r="DC149" i="72"/>
  <c r="DC170" i="72"/>
  <c r="DC169" i="72"/>
  <c r="DC172" i="72"/>
  <c r="DC156" i="72"/>
  <c r="DC171" i="72"/>
  <c r="DC155" i="72"/>
  <c r="DC290" i="72"/>
  <c r="DC283" i="72"/>
  <c r="DC309" i="72"/>
  <c r="DC305" i="72"/>
  <c r="DC289" i="72"/>
  <c r="DC304" i="72"/>
  <c r="DC288" i="72"/>
  <c r="C46" i="38"/>
  <c r="C85" i="38" s="1"/>
  <c r="W16" i="58"/>
  <c r="BL20" i="4"/>
  <c r="BG18" i="18" s="1"/>
  <c r="C47" i="45"/>
  <c r="C86" i="45" s="1"/>
  <c r="AL469" i="72"/>
  <c r="AL80" i="72"/>
  <c r="AL512" i="72"/>
  <c r="BK48" i="10"/>
  <c r="AW48" i="10"/>
  <c r="BK49" i="12"/>
  <c r="AW49" i="12"/>
  <c r="BK50" i="12"/>
  <c r="AW50" i="12"/>
  <c r="BK48" i="7"/>
  <c r="AW48" i="7"/>
  <c r="BK50" i="8"/>
  <c r="AW50" i="8"/>
  <c r="BK49" i="9"/>
  <c r="AW49" i="9"/>
  <c r="BK50" i="9"/>
  <c r="AW50" i="9"/>
  <c r="BK50" i="14"/>
  <c r="AW50" i="14"/>
  <c r="BK49" i="6"/>
  <c r="AW49" i="6"/>
  <c r="BK50" i="6"/>
  <c r="AW50" i="6"/>
  <c r="BK49" i="11"/>
  <c r="AW49" i="11"/>
  <c r="BK50" i="11"/>
  <c r="AW50" i="11"/>
  <c r="BK49" i="5"/>
  <c r="AW49" i="5"/>
  <c r="BK48" i="13"/>
  <c r="AW48" i="13"/>
  <c r="BK49" i="7"/>
  <c r="AW49" i="7"/>
  <c r="BK49" i="8"/>
  <c r="AW49" i="8"/>
  <c r="BK48" i="9"/>
  <c r="AW48" i="9"/>
  <c r="BK48" i="14"/>
  <c r="AW48" i="14"/>
  <c r="BK49" i="14"/>
  <c r="AW49" i="14"/>
  <c r="BK48" i="6"/>
  <c r="AW48" i="6"/>
  <c r="BK48" i="11"/>
  <c r="AW48" i="11"/>
  <c r="BK50" i="5"/>
  <c r="AW50" i="5"/>
  <c r="BK48" i="5"/>
  <c r="AW48" i="5"/>
  <c r="BK49" i="13"/>
  <c r="AW49" i="13"/>
  <c r="BK50" i="13"/>
  <c r="AW50" i="13"/>
  <c r="BK49" i="10"/>
  <c r="AW49" i="10"/>
  <c r="BK50" i="10"/>
  <c r="AW50" i="10"/>
  <c r="BK48" i="12"/>
  <c r="AW48" i="12"/>
  <c r="BK50" i="7"/>
  <c r="AW50" i="7"/>
  <c r="BK48" i="8"/>
  <c r="AW48" i="8"/>
  <c r="C47" i="39"/>
  <c r="C86" i="39" s="1"/>
  <c r="B537" i="72"/>
  <c r="BK50" i="15"/>
  <c r="BM48" i="15"/>
  <c r="BK48" i="15"/>
  <c r="BM49" i="15"/>
  <c r="BK49" i="15"/>
  <c r="C48" i="45"/>
  <c r="C87" i="45" s="1"/>
  <c r="C48" i="38"/>
  <c r="C87" i="38" s="1"/>
  <c r="AL528" i="72"/>
  <c r="AL81" i="72"/>
  <c r="C46" i="45"/>
  <c r="C85" i="45" s="1"/>
  <c r="C45" i="45"/>
  <c r="C84" i="45" s="1"/>
  <c r="AL209" i="72"/>
  <c r="C45" i="38"/>
  <c r="C84" i="38" s="1"/>
  <c r="AL530" i="72"/>
  <c r="AL519" i="72"/>
  <c r="AL517" i="72"/>
  <c r="EQ50" i="15"/>
  <c r="EW50" i="15" s="1"/>
  <c r="CC44" i="8"/>
  <c r="K65" i="7"/>
  <c r="AL510" i="72"/>
  <c r="BM50" i="15"/>
  <c r="S8" i="60"/>
  <c r="S3" i="60"/>
  <c r="AL509" i="72"/>
  <c r="AL526" i="72"/>
  <c r="BF18" i="18"/>
  <c r="GH20" i="4" s="1"/>
  <c r="BF31" i="18"/>
  <c r="GH33" i="4" s="1"/>
  <c r="BF24" i="18"/>
  <c r="GH26" i="4" s="1"/>
  <c r="BF40" i="18"/>
  <c r="GH42" i="4" s="1"/>
  <c r="BF34" i="18"/>
  <c r="GH36" i="4" s="1"/>
  <c r="BF33" i="18"/>
  <c r="GH35" i="4" s="1"/>
  <c r="BF22" i="18"/>
  <c r="GH24" i="4" s="1"/>
  <c r="BF20" i="18"/>
  <c r="GH22" i="4" s="1"/>
  <c r="BF26" i="18"/>
  <c r="GH28" i="4" s="1"/>
  <c r="BF45" i="18"/>
  <c r="GH47" i="4" s="1"/>
  <c r="BF19" i="18"/>
  <c r="GH21" i="4" s="1"/>
  <c r="BF35" i="18"/>
  <c r="GH37" i="4" s="1"/>
  <c r="BF30" i="18"/>
  <c r="GH32" i="4" s="1"/>
  <c r="BF28" i="18"/>
  <c r="GH30" i="4" s="1"/>
  <c r="BF44" i="18"/>
  <c r="GH46" i="4" s="1"/>
  <c r="BF21" i="18"/>
  <c r="GH23" i="4" s="1"/>
  <c r="BF37" i="18"/>
  <c r="GH39" i="4" s="1"/>
  <c r="BF38" i="18"/>
  <c r="GH40" i="4" s="1"/>
  <c r="BF23" i="18"/>
  <c r="GH25" i="4" s="1"/>
  <c r="BF39" i="18"/>
  <c r="GH41" i="4" s="1"/>
  <c r="BF42" i="18"/>
  <c r="GH44" i="4" s="1"/>
  <c r="BF32" i="18"/>
  <c r="GH34" i="4" s="1"/>
  <c r="BF25" i="18"/>
  <c r="GH27" i="4" s="1"/>
  <c r="BF41" i="18"/>
  <c r="GH43" i="4" s="1"/>
  <c r="BF27" i="18"/>
  <c r="GH29" i="4" s="1"/>
  <c r="BF43" i="18"/>
  <c r="GH45" i="4" s="1"/>
  <c r="BF36" i="18"/>
  <c r="GH38" i="4" s="1"/>
  <c r="BF29" i="18"/>
  <c r="GH31" i="4" s="1"/>
  <c r="AL104" i="72"/>
  <c r="AL474" i="72"/>
  <c r="AL72" i="72"/>
  <c r="AL198" i="72"/>
  <c r="EG12" i="15"/>
  <c r="C46" i="39"/>
  <c r="C85" i="39" s="1"/>
  <c r="BZ90" i="6"/>
  <c r="J14" i="51" s="1"/>
  <c r="H28" i="25"/>
  <c r="C47" i="38"/>
  <c r="C86" i="38" s="1"/>
  <c r="B536" i="72"/>
  <c r="AT5" i="15" a="1"/>
  <c r="AT5" i="15" s="1"/>
  <c r="EQ49" i="15"/>
  <c r="EW49" i="15" s="1"/>
  <c r="C48" i="39"/>
  <c r="C87" i="39" s="1"/>
  <c r="EQ48" i="15"/>
  <c r="EW48" i="15" s="1"/>
  <c r="N28" i="25"/>
  <c r="T28" i="25"/>
  <c r="C45" i="39"/>
  <c r="C84" i="39" s="1"/>
  <c r="AL514" i="72"/>
  <c r="B535" i="72"/>
  <c r="AL533" i="72"/>
  <c r="AL507" i="72"/>
  <c r="EG12" i="8"/>
  <c r="H67" i="8"/>
  <c r="N67" i="8" s="1"/>
  <c r="K67" i="9"/>
  <c r="EW33" i="9"/>
  <c r="EW22" i="9"/>
  <c r="EW30" i="9"/>
  <c r="EW35" i="9"/>
  <c r="EW21" i="9"/>
  <c r="EW27" i="9"/>
  <c r="EW29" i="14"/>
  <c r="EW43" i="14"/>
  <c r="EW26" i="14"/>
  <c r="EW45" i="14"/>
  <c r="EW35" i="14"/>
  <c r="EW25" i="6"/>
  <c r="EW32" i="6"/>
  <c r="EW37" i="12"/>
  <c r="EW36" i="12"/>
  <c r="EW33" i="12"/>
  <c r="EW21" i="12"/>
  <c r="EW30" i="12"/>
  <c r="EW24" i="12"/>
  <c r="EW46" i="12"/>
  <c r="EW39" i="13"/>
  <c r="EW44" i="13"/>
  <c r="EW25" i="13"/>
  <c r="EW43" i="13"/>
  <c r="EW46" i="13"/>
  <c r="EW24" i="13"/>
  <c r="EW34" i="14"/>
  <c r="EW20" i="14"/>
  <c r="EW21" i="6"/>
  <c r="EW43" i="6"/>
  <c r="EW37" i="6"/>
  <c r="EW23" i="6"/>
  <c r="EW20" i="11"/>
  <c r="EW42" i="6"/>
  <c r="EW27" i="6"/>
  <c r="EW40" i="7"/>
  <c r="EW33" i="7"/>
  <c r="EW42" i="7"/>
  <c r="EW46" i="7"/>
  <c r="EW41" i="7"/>
  <c r="EW24" i="8"/>
  <c r="EW47" i="8"/>
  <c r="EW22" i="8"/>
  <c r="EW25" i="8"/>
  <c r="EW36" i="8"/>
  <c r="EW39" i="8"/>
  <c r="EW30" i="6"/>
  <c r="EW45" i="12"/>
  <c r="EW23" i="12"/>
  <c r="EW35" i="12"/>
  <c r="EW27" i="12"/>
  <c r="EW44" i="8"/>
  <c r="EW41" i="8"/>
  <c r="EW34" i="8"/>
  <c r="EW40" i="8"/>
  <c r="EW43" i="9"/>
  <c r="EW25" i="9"/>
  <c r="EW24" i="9"/>
  <c r="EW39" i="9"/>
  <c r="EW36" i="9"/>
  <c r="EW37" i="14"/>
  <c r="EW38" i="14"/>
  <c r="EW47" i="11"/>
  <c r="EW46" i="11"/>
  <c r="EW36" i="6"/>
  <c r="EW34" i="7"/>
  <c r="EW45" i="7"/>
  <c r="EW24" i="14"/>
  <c r="EW28" i="14"/>
  <c r="EW33" i="14"/>
  <c r="EW22" i="14"/>
  <c r="EW42" i="14"/>
  <c r="EW47" i="10"/>
  <c r="EW23" i="10"/>
  <c r="EW20" i="8"/>
  <c r="EW42" i="11"/>
  <c r="EW30" i="11"/>
  <c r="EW28" i="11"/>
  <c r="EW40" i="11"/>
  <c r="EW36" i="11"/>
  <c r="EW32" i="11"/>
  <c r="EW27" i="11"/>
  <c r="FD28" i="4"/>
  <c r="FD42" i="4"/>
  <c r="FD38" i="4"/>
  <c r="EW34" i="6"/>
  <c r="EW47" i="6"/>
  <c r="EW29" i="6"/>
  <c r="EW35" i="6"/>
  <c r="EW31" i="10"/>
  <c r="FD33" i="4"/>
  <c r="FD23" i="4"/>
  <c r="FD37" i="4"/>
  <c r="FD27" i="4"/>
  <c r="FD40" i="4"/>
  <c r="FD26" i="4"/>
  <c r="FD24" i="4"/>
  <c r="FD30" i="4"/>
  <c r="FD47" i="4"/>
  <c r="FD39" i="4"/>
  <c r="FD46" i="4"/>
  <c r="FD43" i="4"/>
  <c r="FD36" i="4"/>
  <c r="FD22" i="4"/>
  <c r="FD35" i="4"/>
  <c r="FD25" i="4"/>
  <c r="FD21" i="4"/>
  <c r="FD29" i="4"/>
  <c r="FD44" i="4"/>
  <c r="FD45" i="4"/>
  <c r="FD41" i="4"/>
  <c r="EW23" i="7"/>
  <c r="EW38" i="7"/>
  <c r="EW30" i="7"/>
  <c r="EW39" i="7"/>
  <c r="EW47" i="7"/>
  <c r="EW37" i="7"/>
  <c r="EW35" i="7"/>
  <c r="EW36" i="7"/>
  <c r="EW21" i="11"/>
  <c r="EW26" i="11"/>
  <c r="EW35" i="11"/>
  <c r="EW33" i="11"/>
  <c r="EW25" i="11"/>
  <c r="EW34" i="11"/>
  <c r="EW29" i="11"/>
  <c r="EW20" i="9"/>
  <c r="EW20" i="6"/>
  <c r="EW46" i="6"/>
  <c r="EW39" i="6"/>
  <c r="EW34" i="5"/>
  <c r="EW32" i="5"/>
  <c r="EW27" i="5"/>
  <c r="EW47" i="5"/>
  <c r="EW38" i="5"/>
  <c r="EW39" i="5"/>
  <c r="EW24" i="10"/>
  <c r="EW39" i="10"/>
  <c r="EW40" i="12"/>
  <c r="EW39" i="12"/>
  <c r="EW29" i="12"/>
  <c r="EW34" i="12"/>
  <c r="EW47" i="12"/>
  <c r="EW26" i="12"/>
  <c r="EW32" i="7"/>
  <c r="EW25" i="7"/>
  <c r="EW28" i="7"/>
  <c r="EW43" i="7"/>
  <c r="EW44" i="7"/>
  <c r="EW24" i="7"/>
  <c r="EW32" i="8"/>
  <c r="EW27" i="8"/>
  <c r="EW33" i="8"/>
  <c r="EW30" i="8"/>
  <c r="EW45" i="8"/>
  <c r="EW43" i="8"/>
  <c r="EW23" i="11"/>
  <c r="EW45" i="11"/>
  <c r="EW39" i="11"/>
  <c r="EW41" i="11"/>
  <c r="EW43" i="11"/>
  <c r="EW44" i="9"/>
  <c r="EW41" i="9"/>
  <c r="EW34" i="9"/>
  <c r="EW31" i="9"/>
  <c r="EW46" i="9"/>
  <c r="EW40" i="9"/>
  <c r="EW44" i="14"/>
  <c r="EW40" i="14"/>
  <c r="EW30" i="14"/>
  <c r="EW31" i="14"/>
  <c r="EW41" i="14"/>
  <c r="EW21" i="14"/>
  <c r="EW28" i="6"/>
  <c r="EW30" i="5"/>
  <c r="EW29" i="13"/>
  <c r="EW31" i="13"/>
  <c r="EW28" i="13"/>
  <c r="EW40" i="13"/>
  <c r="EW28" i="9"/>
  <c r="EW42" i="9"/>
  <c r="EW47" i="9"/>
  <c r="EW38" i="9"/>
  <c r="EW26" i="9"/>
  <c r="EW45" i="9"/>
  <c r="EW38" i="6"/>
  <c r="EW26" i="6"/>
  <c r="EW40" i="6"/>
  <c r="EW44" i="6"/>
  <c r="EW33" i="6"/>
  <c r="EW24" i="6"/>
  <c r="EW24" i="5"/>
  <c r="EW37" i="5"/>
  <c r="EW28" i="5"/>
  <c r="EW29" i="5"/>
  <c r="EW41" i="5"/>
  <c r="EW28" i="10"/>
  <c r="EW36" i="10"/>
  <c r="EW43" i="10"/>
  <c r="EW42" i="10"/>
  <c r="EW32" i="10"/>
  <c r="EW20" i="7"/>
  <c r="EW31" i="7"/>
  <c r="EW26" i="7"/>
  <c r="EW22" i="7"/>
  <c r="EW29" i="7"/>
  <c r="EW23" i="8"/>
  <c r="EW29" i="8"/>
  <c r="EW38" i="8"/>
  <c r="EW31" i="8"/>
  <c r="EX13" i="13"/>
  <c r="EW33" i="5"/>
  <c r="EW40" i="5"/>
  <c r="EW42" i="5"/>
  <c r="EW44" i="10"/>
  <c r="EW41" i="10"/>
  <c r="EW35" i="10"/>
  <c r="EW22" i="10"/>
  <c r="EW26" i="10"/>
  <c r="EW25" i="10"/>
  <c r="EW29" i="10"/>
  <c r="EW46" i="10"/>
  <c r="EW21" i="10"/>
  <c r="EW23" i="13"/>
  <c r="EW45" i="13"/>
  <c r="EW33" i="13"/>
  <c r="EW32" i="13"/>
  <c r="EW38" i="13"/>
  <c r="EW31" i="5"/>
  <c r="EW46" i="5"/>
  <c r="EW30" i="10"/>
  <c r="EW37" i="10"/>
  <c r="EW33" i="10"/>
  <c r="EW40" i="10"/>
  <c r="EW38" i="10"/>
  <c r="EW45" i="10"/>
  <c r="EW34" i="10"/>
  <c r="EW27" i="10"/>
  <c r="EW44" i="12"/>
  <c r="EW41" i="12"/>
  <c r="EW28" i="12"/>
  <c r="EW42" i="12"/>
  <c r="EW31" i="12"/>
  <c r="EW43" i="12"/>
  <c r="EW38" i="12"/>
  <c r="EW22" i="12"/>
  <c r="EW36" i="13"/>
  <c r="EW35" i="13"/>
  <c r="EW22" i="13"/>
  <c r="EW42" i="13"/>
  <c r="EW37" i="11"/>
  <c r="EW31" i="11"/>
  <c r="EW24" i="11"/>
  <c r="EW44" i="11"/>
  <c r="EW38" i="11"/>
  <c r="EW22" i="11"/>
  <c r="EW20" i="10"/>
  <c r="EW20" i="12"/>
  <c r="EW25" i="12"/>
  <c r="EW32" i="12"/>
  <c r="EW26" i="13"/>
  <c r="EW41" i="13"/>
  <c r="EW47" i="13"/>
  <c r="EW27" i="13"/>
  <c r="EW30" i="13"/>
  <c r="EW34" i="13"/>
  <c r="EW37" i="13"/>
  <c r="EW21" i="7"/>
  <c r="EW27" i="7"/>
  <c r="FD31" i="4"/>
  <c r="FD34" i="4"/>
  <c r="FD20" i="4"/>
  <c r="FD32" i="4"/>
  <c r="B44" i="40"/>
  <c r="B83" i="40" s="1"/>
  <c r="B48" i="18"/>
  <c r="B87" i="18" s="1"/>
  <c r="B46" i="18"/>
  <c r="B85" i="18" s="1"/>
  <c r="B37" i="41"/>
  <c r="B76" i="41" s="1"/>
  <c r="B19" i="41"/>
  <c r="B58" i="41" s="1"/>
  <c r="B25" i="41"/>
  <c r="B64" i="41" s="1"/>
  <c r="B39" i="41"/>
  <c r="B78" i="41" s="1"/>
  <c r="B32" i="41"/>
  <c r="B71" i="41" s="1"/>
  <c r="B32" i="44"/>
  <c r="B71" i="44" s="1"/>
  <c r="B27" i="44"/>
  <c r="B66" i="44" s="1"/>
  <c r="B39" i="44"/>
  <c r="B78" i="44" s="1"/>
  <c r="B19" i="44"/>
  <c r="B58" i="44" s="1"/>
  <c r="B33" i="44"/>
  <c r="B72" i="44" s="1"/>
  <c r="B36" i="44"/>
  <c r="B75" i="44" s="1"/>
  <c r="B41" i="44"/>
  <c r="B80" i="44" s="1"/>
  <c r="B36" i="40"/>
  <c r="B75" i="40" s="1"/>
  <c r="B23" i="40"/>
  <c r="B62" i="40" s="1"/>
  <c r="B19" i="40"/>
  <c r="B58" i="40" s="1"/>
  <c r="B31" i="40"/>
  <c r="B70" i="40" s="1"/>
  <c r="B42" i="40"/>
  <c r="B81" i="40" s="1"/>
  <c r="B38" i="40"/>
  <c r="B77" i="40" s="1"/>
  <c r="B44" i="42"/>
  <c r="B83" i="42" s="1"/>
  <c r="B23" i="42"/>
  <c r="B62" i="42" s="1"/>
  <c r="B36" i="42"/>
  <c r="B75" i="42" s="1"/>
  <c r="B38" i="42"/>
  <c r="B77" i="42" s="1"/>
  <c r="B35" i="43"/>
  <c r="B74" i="43" s="1"/>
  <c r="B28" i="43"/>
  <c r="B67" i="43" s="1"/>
  <c r="B25" i="43"/>
  <c r="B64" i="43" s="1"/>
  <c r="B34" i="43"/>
  <c r="B73" i="43" s="1"/>
  <c r="B38" i="36"/>
  <c r="B77" i="36" s="1"/>
  <c r="B33" i="36"/>
  <c r="B72" i="36" s="1"/>
  <c r="B21" i="36"/>
  <c r="B60" i="36" s="1"/>
  <c r="B22" i="36"/>
  <c r="B61" i="36" s="1"/>
  <c r="B37" i="36"/>
  <c r="B76" i="36" s="1"/>
  <c r="B28" i="36"/>
  <c r="B67" i="36" s="1"/>
  <c r="B19" i="36"/>
  <c r="B58" i="36" s="1"/>
  <c r="B39" i="35"/>
  <c r="B78" i="35" s="1"/>
  <c r="B23" i="35"/>
  <c r="B62" i="35" s="1"/>
  <c r="B32" i="35"/>
  <c r="B71" i="35" s="1"/>
  <c r="B44" i="35"/>
  <c r="B83" i="35" s="1"/>
  <c r="B29" i="35"/>
  <c r="B68" i="35" s="1"/>
  <c r="B38" i="35"/>
  <c r="B77" i="35" s="1"/>
  <c r="B22" i="35"/>
  <c r="B61" i="35" s="1"/>
  <c r="B36" i="37"/>
  <c r="B75" i="37" s="1"/>
  <c r="B38" i="37"/>
  <c r="B77" i="37" s="1"/>
  <c r="B39" i="37"/>
  <c r="B78" i="37" s="1"/>
  <c r="B23" i="37"/>
  <c r="B62" i="37" s="1"/>
  <c r="B26" i="37"/>
  <c r="B65" i="37" s="1"/>
  <c r="B33" i="37"/>
  <c r="B72" i="37" s="1"/>
  <c r="B38" i="41"/>
  <c r="B77" i="41" s="1"/>
  <c r="B20" i="41"/>
  <c r="B59" i="41" s="1"/>
  <c r="B42" i="44"/>
  <c r="B81" i="44" s="1"/>
  <c r="B23" i="44"/>
  <c r="B62" i="44" s="1"/>
  <c r="B28" i="44"/>
  <c r="B67" i="44" s="1"/>
  <c r="B25" i="44"/>
  <c r="B64" i="44" s="1"/>
  <c r="B37" i="44"/>
  <c r="B76" i="44" s="1"/>
  <c r="B30" i="44"/>
  <c r="B69" i="44" s="1"/>
  <c r="B27" i="40"/>
  <c r="B66" i="40" s="1"/>
  <c r="B39" i="40"/>
  <c r="B78" i="40" s="1"/>
  <c r="B35" i="40"/>
  <c r="B74" i="40" s="1"/>
  <c r="B25" i="40"/>
  <c r="B64" i="40" s="1"/>
  <c r="B32" i="37"/>
  <c r="B71" i="37" s="1"/>
  <c r="B43" i="37"/>
  <c r="B82" i="37" s="1"/>
  <c r="B27" i="37"/>
  <c r="B66" i="37" s="1"/>
  <c r="B34" i="37"/>
  <c r="B73" i="37" s="1"/>
  <c r="B37" i="37"/>
  <c r="B76" i="37" s="1"/>
  <c r="B21" i="37"/>
  <c r="B60" i="37" s="1"/>
  <c r="B22" i="41"/>
  <c r="B61" i="41" s="1"/>
  <c r="B27" i="41"/>
  <c r="B66" i="41" s="1"/>
  <c r="B33" i="41"/>
  <c r="B72" i="41" s="1"/>
  <c r="B26" i="41"/>
  <c r="B65" i="41" s="1"/>
  <c r="B40" i="41"/>
  <c r="B79" i="41" s="1"/>
  <c r="B21" i="40"/>
  <c r="B60" i="40" s="1"/>
  <c r="B25" i="42"/>
  <c r="B64" i="42" s="1"/>
  <c r="B41" i="42"/>
  <c r="B80" i="42" s="1"/>
  <c r="B24" i="42"/>
  <c r="B63" i="42" s="1"/>
  <c r="B42" i="42"/>
  <c r="B81" i="42" s="1"/>
  <c r="B35" i="42"/>
  <c r="B74" i="42" s="1"/>
  <c r="B37" i="42"/>
  <c r="B76" i="42" s="1"/>
  <c r="B20" i="42"/>
  <c r="B59" i="42" s="1"/>
  <c r="B22" i="42"/>
  <c r="B61" i="42" s="1"/>
  <c r="B31" i="42"/>
  <c r="B70" i="42" s="1"/>
  <c r="B23" i="43"/>
  <c r="B62" i="43" s="1"/>
  <c r="B27" i="43"/>
  <c r="B66" i="43" s="1"/>
  <c r="B21" i="43"/>
  <c r="B60" i="43" s="1"/>
  <c r="B32" i="43"/>
  <c r="B71" i="43" s="1"/>
  <c r="B44" i="43"/>
  <c r="B83" i="43" s="1"/>
  <c r="B33" i="43"/>
  <c r="B72" i="43" s="1"/>
  <c r="B38" i="43"/>
  <c r="B77" i="43" s="1"/>
  <c r="B22" i="43"/>
  <c r="B61" i="43" s="1"/>
  <c r="B43" i="36"/>
  <c r="B82" i="36" s="1"/>
  <c r="B32" i="36"/>
  <c r="B71" i="36" s="1"/>
  <c r="B25" i="36"/>
  <c r="B64" i="36" s="1"/>
  <c r="B24" i="36"/>
  <c r="B63" i="36" s="1"/>
  <c r="B30" i="36"/>
  <c r="B69" i="36" s="1"/>
  <c r="B29" i="36"/>
  <c r="B68" i="36" s="1"/>
  <c r="B26" i="36"/>
  <c r="B65" i="36" s="1"/>
  <c r="B43" i="35"/>
  <c r="B82" i="35" s="1"/>
  <c r="B27" i="35"/>
  <c r="B66" i="35" s="1"/>
  <c r="B36" i="35"/>
  <c r="B75" i="35" s="1"/>
  <c r="B20" i="35"/>
  <c r="B59" i="35" s="1"/>
  <c r="B33" i="35"/>
  <c r="B72" i="35" s="1"/>
  <c r="B42" i="35"/>
  <c r="B81" i="35" s="1"/>
  <c r="B26" i="35"/>
  <c r="B65" i="35" s="1"/>
  <c r="B21" i="41"/>
  <c r="B60" i="41" s="1"/>
  <c r="B30" i="41"/>
  <c r="B69" i="41" s="1"/>
  <c r="B43" i="41"/>
  <c r="B82" i="41" s="1"/>
  <c r="B36" i="41"/>
  <c r="B75" i="41" s="1"/>
  <c r="B42" i="41"/>
  <c r="B81" i="41" s="1"/>
  <c r="B31" i="41"/>
  <c r="B70" i="41" s="1"/>
  <c r="B24" i="41"/>
  <c r="B63" i="41" s="1"/>
  <c r="B21" i="44"/>
  <c r="B60" i="44" s="1"/>
  <c r="B20" i="44"/>
  <c r="B59" i="44" s="1"/>
  <c r="B29" i="44"/>
  <c r="B68" i="44" s="1"/>
  <c r="B31" i="44"/>
  <c r="B70" i="44" s="1"/>
  <c r="B35" i="44"/>
  <c r="B74" i="44" s="1"/>
  <c r="B20" i="40"/>
  <c r="B59" i="40" s="1"/>
  <c r="B32" i="40"/>
  <c r="B71" i="40" s="1"/>
  <c r="B28" i="40"/>
  <c r="B67" i="40" s="1"/>
  <c r="B40" i="40"/>
  <c r="B79" i="40" s="1"/>
  <c r="B41" i="40"/>
  <c r="B80" i="40" s="1"/>
  <c r="B34" i="40"/>
  <c r="B73" i="40" s="1"/>
  <c r="B37" i="40"/>
  <c r="B76" i="40" s="1"/>
  <c r="B30" i="40"/>
  <c r="B69" i="40" s="1"/>
  <c r="B40" i="42"/>
  <c r="B79" i="42" s="1"/>
  <c r="B34" i="42"/>
  <c r="B73" i="42" s="1"/>
  <c r="B28" i="42"/>
  <c r="B67" i="42" s="1"/>
  <c r="B30" i="42"/>
  <c r="B69" i="42" s="1"/>
  <c r="B39" i="42"/>
  <c r="B78" i="42" s="1"/>
  <c r="B26" i="42"/>
  <c r="B65" i="42" s="1"/>
  <c r="B27" i="42"/>
  <c r="B66" i="42" s="1"/>
  <c r="B29" i="42"/>
  <c r="B68" i="42" s="1"/>
  <c r="B19" i="43"/>
  <c r="B58" i="43" s="1"/>
  <c r="B37" i="43"/>
  <c r="B76" i="43" s="1"/>
  <c r="B40" i="43"/>
  <c r="B79" i="43" s="1"/>
  <c r="B24" i="43"/>
  <c r="B63" i="43" s="1"/>
  <c r="B30" i="43"/>
  <c r="B69" i="43" s="1"/>
  <c r="B27" i="36"/>
  <c r="B66" i="36" s="1"/>
  <c r="B31" i="36"/>
  <c r="B70" i="36" s="1"/>
  <c r="B35" i="36"/>
  <c r="B74" i="36" s="1"/>
  <c r="B36" i="36"/>
  <c r="B75" i="36" s="1"/>
  <c r="B39" i="36"/>
  <c r="B78" i="36" s="1"/>
  <c r="B35" i="35"/>
  <c r="B74" i="35" s="1"/>
  <c r="B19" i="35"/>
  <c r="B58" i="35" s="1"/>
  <c r="B28" i="35"/>
  <c r="B67" i="35" s="1"/>
  <c r="B41" i="35"/>
  <c r="B80" i="35" s="1"/>
  <c r="B25" i="35"/>
  <c r="B64" i="35" s="1"/>
  <c r="B34" i="35"/>
  <c r="B73" i="35" s="1"/>
  <c r="B44" i="37"/>
  <c r="B83" i="37" s="1"/>
  <c r="B40" i="37"/>
  <c r="B79" i="37" s="1"/>
  <c r="B20" i="37"/>
  <c r="B59" i="37" s="1"/>
  <c r="B30" i="37"/>
  <c r="B69" i="37" s="1"/>
  <c r="B35" i="37"/>
  <c r="B74" i="37" s="1"/>
  <c r="B19" i="37"/>
  <c r="B58" i="37" s="1"/>
  <c r="B29" i="37"/>
  <c r="B68" i="37" s="1"/>
  <c r="B44" i="41"/>
  <c r="B83" i="41" s="1"/>
  <c r="B29" i="41"/>
  <c r="B68" i="41" s="1"/>
  <c r="B35" i="41"/>
  <c r="B74" i="41" s="1"/>
  <c r="B28" i="41"/>
  <c r="B67" i="41" s="1"/>
  <c r="B41" i="41"/>
  <c r="B80" i="41" s="1"/>
  <c r="B34" i="41"/>
  <c r="B73" i="41" s="1"/>
  <c r="B23" i="41"/>
  <c r="B62" i="41" s="1"/>
  <c r="B44" i="44"/>
  <c r="B83" i="44" s="1"/>
  <c r="B43" i="44"/>
  <c r="B82" i="44" s="1"/>
  <c r="B22" i="44"/>
  <c r="B61" i="44" s="1"/>
  <c r="B40" i="44"/>
  <c r="B79" i="44" s="1"/>
  <c r="B24" i="44"/>
  <c r="B63" i="44" s="1"/>
  <c r="B26" i="44"/>
  <c r="B65" i="44" s="1"/>
  <c r="B38" i="44"/>
  <c r="B77" i="44" s="1"/>
  <c r="B34" i="44"/>
  <c r="B73" i="44" s="1"/>
  <c r="B43" i="40"/>
  <c r="B82" i="40" s="1"/>
  <c r="B24" i="40"/>
  <c r="B63" i="40" s="1"/>
  <c r="B33" i="40"/>
  <c r="B72" i="40" s="1"/>
  <c r="B26" i="40"/>
  <c r="B65" i="40" s="1"/>
  <c r="B29" i="40"/>
  <c r="B68" i="40" s="1"/>
  <c r="B22" i="40"/>
  <c r="B61" i="40" s="1"/>
  <c r="B32" i="42"/>
  <c r="B71" i="42" s="1"/>
  <c r="B19" i="42"/>
  <c r="B58" i="42" s="1"/>
  <c r="B21" i="42"/>
  <c r="B60" i="42" s="1"/>
  <c r="B33" i="42"/>
  <c r="B72" i="42" s="1"/>
  <c r="B43" i="42"/>
  <c r="B82" i="42" s="1"/>
  <c r="B39" i="43"/>
  <c r="B78" i="43" s="1"/>
  <c r="B31" i="43"/>
  <c r="B70" i="43" s="1"/>
  <c r="B43" i="43"/>
  <c r="B82" i="43" s="1"/>
  <c r="B29" i="43"/>
  <c r="B68" i="43" s="1"/>
  <c r="B36" i="43"/>
  <c r="B75" i="43" s="1"/>
  <c r="B20" i="43"/>
  <c r="B59" i="43" s="1"/>
  <c r="B41" i="43"/>
  <c r="B80" i="43" s="1"/>
  <c r="B42" i="43"/>
  <c r="B81" i="43" s="1"/>
  <c r="B26" i="43"/>
  <c r="B65" i="43" s="1"/>
  <c r="B23" i="36"/>
  <c r="B62" i="36" s="1"/>
  <c r="B41" i="36"/>
  <c r="B80" i="36" s="1"/>
  <c r="B40" i="36"/>
  <c r="B79" i="36" s="1"/>
  <c r="B44" i="36"/>
  <c r="B83" i="36" s="1"/>
  <c r="B34" i="36"/>
  <c r="B73" i="36" s="1"/>
  <c r="B42" i="36"/>
  <c r="B81" i="36" s="1"/>
  <c r="B20" i="36"/>
  <c r="B59" i="36" s="1"/>
  <c r="B31" i="35"/>
  <c r="B70" i="35" s="1"/>
  <c r="B40" i="35"/>
  <c r="B79" i="35" s="1"/>
  <c r="B24" i="35"/>
  <c r="B63" i="35" s="1"/>
  <c r="B37" i="35"/>
  <c r="B76" i="35" s="1"/>
  <c r="B21" i="35"/>
  <c r="B60" i="35" s="1"/>
  <c r="B30" i="35"/>
  <c r="B69" i="35" s="1"/>
  <c r="B28" i="37"/>
  <c r="B67" i="37" s="1"/>
  <c r="B24" i="37"/>
  <c r="B63" i="37" s="1"/>
  <c r="B22" i="37"/>
  <c r="B61" i="37" s="1"/>
  <c r="B31" i="37"/>
  <c r="B70" i="37" s="1"/>
  <c r="B42" i="37"/>
  <c r="B81" i="37" s="1"/>
  <c r="B41" i="37"/>
  <c r="B80" i="37" s="1"/>
  <c r="B25" i="37"/>
  <c r="B64" i="37" s="1"/>
  <c r="B47" i="18"/>
  <c r="B86" i="18" s="1"/>
  <c r="EG12" i="9"/>
  <c r="C45" i="35"/>
  <c r="BL20" i="15"/>
  <c r="BG18" i="45" s="1"/>
  <c r="EG12" i="7"/>
  <c r="EG12" i="10"/>
  <c r="AR13" i="14"/>
  <c r="BZ90" i="7"/>
  <c r="C14" i="51" s="1"/>
  <c r="DK38" i="7"/>
  <c r="EG12" i="14"/>
  <c r="K68" i="9"/>
  <c r="H68" i="8"/>
  <c r="N68" i="8" s="1"/>
  <c r="Q28" i="25"/>
  <c r="W28" i="25"/>
  <c r="K28" i="25"/>
  <c r="AL238" i="72"/>
  <c r="AL468" i="72"/>
  <c r="AL487" i="72"/>
  <c r="AL107" i="72"/>
  <c r="AL116" i="72"/>
  <c r="AL129" i="72"/>
  <c r="AL111" i="72"/>
  <c r="AL117" i="72"/>
  <c r="EW22" i="5"/>
  <c r="EW25" i="5"/>
  <c r="EW23" i="5"/>
  <c r="AL216" i="72"/>
  <c r="AL213" i="72"/>
  <c r="AL206" i="72"/>
  <c r="AL212" i="72"/>
  <c r="C47" i="41"/>
  <c r="C48" i="41"/>
  <c r="C45" i="41"/>
  <c r="C46" i="41"/>
  <c r="AL333" i="72"/>
  <c r="AL340" i="72"/>
  <c r="AL260" i="72"/>
  <c r="AL242" i="72"/>
  <c r="AL256" i="72"/>
  <c r="AL253" i="72"/>
  <c r="AL237" i="72"/>
  <c r="EQ48" i="9"/>
  <c r="B265" i="72"/>
  <c r="BM48" i="9"/>
  <c r="AL479" i="72"/>
  <c r="AL480" i="72"/>
  <c r="EQ50" i="14"/>
  <c r="B492" i="72"/>
  <c r="BM50" i="14"/>
  <c r="AT4" i="14" a="1"/>
  <c r="AT4" i="14" s="1"/>
  <c r="EG12" i="6"/>
  <c r="AT4" i="6" a="1"/>
  <c r="AT4" i="6" s="1"/>
  <c r="AL119" i="72"/>
  <c r="AL105" i="72"/>
  <c r="AL76" i="72"/>
  <c r="C48" i="42"/>
  <c r="C47" i="42"/>
  <c r="C46" i="42"/>
  <c r="C45" i="42"/>
  <c r="AL391" i="72"/>
  <c r="AL386" i="72"/>
  <c r="AV41" i="72"/>
  <c r="EQ50" i="11"/>
  <c r="BM50" i="11"/>
  <c r="B357" i="72"/>
  <c r="AL258" i="72"/>
  <c r="AL251" i="72"/>
  <c r="AL248" i="72"/>
  <c r="AL263" i="72"/>
  <c r="AL257" i="72"/>
  <c r="AL486" i="72"/>
  <c r="AL482" i="72"/>
  <c r="AL472" i="72"/>
  <c r="AL473" i="72"/>
  <c r="AL483" i="72"/>
  <c r="AL67" i="72"/>
  <c r="AL57" i="72"/>
  <c r="EQ48" i="5"/>
  <c r="BM48" i="5"/>
  <c r="B85" i="72"/>
  <c r="AL299" i="72"/>
  <c r="AL300" i="72"/>
  <c r="AL296" i="72"/>
  <c r="AT4" i="13" a="1"/>
  <c r="AT4" i="13" s="1"/>
  <c r="EW48" i="4"/>
  <c r="AL196" i="72"/>
  <c r="AL197" i="72"/>
  <c r="AL208" i="72"/>
  <c r="AL344" i="72"/>
  <c r="AL338" i="72"/>
  <c r="AL331" i="72"/>
  <c r="AL351" i="72"/>
  <c r="AL345" i="72"/>
  <c r="AL466" i="72"/>
  <c r="AL470" i="72"/>
  <c r="AL475" i="72"/>
  <c r="AL464" i="72"/>
  <c r="AL484" i="72"/>
  <c r="AL120" i="72"/>
  <c r="AL108" i="72"/>
  <c r="AL122" i="72"/>
  <c r="AL126" i="72"/>
  <c r="AL112" i="72"/>
  <c r="AL115" i="72"/>
  <c r="AL58" i="72"/>
  <c r="AL65" i="72"/>
  <c r="AL298" i="72"/>
  <c r="EQ49" i="10"/>
  <c r="B311" i="72"/>
  <c r="BM49" i="10"/>
  <c r="AL309" i="72"/>
  <c r="AL285" i="72"/>
  <c r="EQ48" i="12"/>
  <c r="BM48" i="12"/>
  <c r="B400" i="72"/>
  <c r="EQ50" i="7"/>
  <c r="B177" i="72"/>
  <c r="BM50" i="7"/>
  <c r="AL201" i="72"/>
  <c r="AL192" i="72"/>
  <c r="EQ48" i="8"/>
  <c r="B220" i="72"/>
  <c r="BM48" i="8"/>
  <c r="AL349" i="72"/>
  <c r="AL337" i="72"/>
  <c r="AL335" i="72"/>
  <c r="AL347" i="72"/>
  <c r="AL343" i="72"/>
  <c r="AL334" i="72"/>
  <c r="AL250" i="72"/>
  <c r="AL239" i="72"/>
  <c r="AL247" i="72"/>
  <c r="AL252" i="72"/>
  <c r="AL244" i="72"/>
  <c r="AL471" i="72"/>
  <c r="AL485" i="72"/>
  <c r="AL477" i="72"/>
  <c r="AL59" i="72"/>
  <c r="AL293" i="72"/>
  <c r="AL150" i="72"/>
  <c r="AL165" i="72"/>
  <c r="AL157" i="72"/>
  <c r="AL166" i="72"/>
  <c r="AL174" i="72"/>
  <c r="AL164" i="72"/>
  <c r="AL162" i="72"/>
  <c r="AL163" i="72"/>
  <c r="AL328" i="72"/>
  <c r="AL342" i="72"/>
  <c r="AL332" i="72"/>
  <c r="AL341" i="72"/>
  <c r="AL336" i="72"/>
  <c r="EQ50" i="9"/>
  <c r="BM50" i="9"/>
  <c r="B267" i="72"/>
  <c r="C46" i="44"/>
  <c r="C47" i="44"/>
  <c r="C48" i="44"/>
  <c r="C45" i="44"/>
  <c r="EQ48" i="14"/>
  <c r="B490" i="72"/>
  <c r="BM48" i="14"/>
  <c r="EQ49" i="6"/>
  <c r="B131" i="72"/>
  <c r="BM49" i="6"/>
  <c r="EQ48" i="6"/>
  <c r="B130" i="72"/>
  <c r="BM48" i="6"/>
  <c r="AL121" i="72"/>
  <c r="AL71" i="72"/>
  <c r="AL69" i="72"/>
  <c r="AL64" i="72"/>
  <c r="AL84" i="72"/>
  <c r="AL75" i="72"/>
  <c r="AL286" i="72"/>
  <c r="AL301" i="72"/>
  <c r="C47" i="40"/>
  <c r="C48" i="40"/>
  <c r="C45" i="40"/>
  <c r="C46" i="40"/>
  <c r="AL291" i="72"/>
  <c r="AL392" i="72"/>
  <c r="AL381" i="72"/>
  <c r="AL399" i="72"/>
  <c r="AL378" i="72"/>
  <c r="AL418" i="72"/>
  <c r="EG12" i="13"/>
  <c r="EW49" i="4"/>
  <c r="EQ49" i="11"/>
  <c r="BM49" i="11"/>
  <c r="B356" i="72"/>
  <c r="AL110" i="72"/>
  <c r="AL109" i="72"/>
  <c r="C48" i="35"/>
  <c r="C46" i="35"/>
  <c r="C47" i="35"/>
  <c r="EQ50" i="5"/>
  <c r="BM50" i="5"/>
  <c r="B87" i="72"/>
  <c r="EQ49" i="5"/>
  <c r="BM49" i="5"/>
  <c r="B86" i="72"/>
  <c r="AL68" i="72"/>
  <c r="AL83" i="72"/>
  <c r="AL292" i="72"/>
  <c r="AL295" i="72"/>
  <c r="AL302" i="72"/>
  <c r="AL307" i="72"/>
  <c r="AL289" i="72"/>
  <c r="AL396" i="72"/>
  <c r="AL433" i="72"/>
  <c r="AL432" i="72"/>
  <c r="EQ50" i="13"/>
  <c r="BM50" i="13"/>
  <c r="B447" i="72"/>
  <c r="AL426" i="72"/>
  <c r="AL428" i="72"/>
  <c r="AL425" i="72"/>
  <c r="AL437" i="72"/>
  <c r="AV40" i="72"/>
  <c r="AL40" i="72"/>
  <c r="AL167" i="72"/>
  <c r="AL160" i="72"/>
  <c r="AL169" i="72"/>
  <c r="AL173" i="72"/>
  <c r="AL168" i="72"/>
  <c r="AL219" i="72"/>
  <c r="AL194" i="72"/>
  <c r="AL211" i="72"/>
  <c r="AL245" i="72"/>
  <c r="AL259" i="72"/>
  <c r="AL264" i="72"/>
  <c r="AL255" i="72"/>
  <c r="AL243" i="72"/>
  <c r="AL262" i="72"/>
  <c r="AL106" i="72"/>
  <c r="AL61" i="72"/>
  <c r="AL74" i="72"/>
  <c r="AL66" i="72"/>
  <c r="AL78" i="72"/>
  <c r="AL290" i="72"/>
  <c r="AL305" i="72"/>
  <c r="AL304" i="72"/>
  <c r="AL294" i="72"/>
  <c r="AL282" i="72"/>
  <c r="EQ48" i="10"/>
  <c r="B310" i="72"/>
  <c r="BM48" i="10"/>
  <c r="EG12" i="12"/>
  <c r="AT4" i="12" a="1"/>
  <c r="AT4" i="12" s="1"/>
  <c r="AL431" i="72"/>
  <c r="AT5" i="4" a="1"/>
  <c r="AT5" i="4" s="1"/>
  <c r="EQ48" i="7"/>
  <c r="B175" i="72"/>
  <c r="BM48" i="7"/>
  <c r="AT4" i="7" a="1"/>
  <c r="AT4" i="7" s="1"/>
  <c r="AL158" i="72"/>
  <c r="AL153" i="72"/>
  <c r="AL149" i="72"/>
  <c r="AL156" i="72"/>
  <c r="AL195" i="72"/>
  <c r="AL210" i="72"/>
  <c r="AL203" i="72"/>
  <c r="AT4" i="8" a="1"/>
  <c r="AT4" i="8" s="1"/>
  <c r="EQ50" i="8"/>
  <c r="B222" i="72"/>
  <c r="BM50" i="8"/>
  <c r="AL114" i="72"/>
  <c r="AL70" i="72"/>
  <c r="AL77" i="72"/>
  <c r="AL79" i="72"/>
  <c r="AL62" i="72"/>
  <c r="AL60" i="72"/>
  <c r="AL306" i="72"/>
  <c r="AL303" i="72"/>
  <c r="AL297" i="72"/>
  <c r="AL284" i="72"/>
  <c r="AL288" i="72"/>
  <c r="AL440" i="72"/>
  <c r="AL42" i="72"/>
  <c r="BF48" i="18" s="1"/>
  <c r="GH50" i="4" s="1"/>
  <c r="AV42" i="72"/>
  <c r="AT4" i="9" a="1"/>
  <c r="AT4" i="9" s="1"/>
  <c r="AL125" i="72"/>
  <c r="AL102" i="72"/>
  <c r="AL128" i="72"/>
  <c r="AL287" i="72"/>
  <c r="AL308" i="72"/>
  <c r="AL283" i="72"/>
  <c r="C48" i="43"/>
  <c r="C45" i="43"/>
  <c r="C47" i="43"/>
  <c r="C46" i="43"/>
  <c r="AL420" i="72"/>
  <c r="AL442" i="72"/>
  <c r="AL430" i="72"/>
  <c r="AL429" i="72"/>
  <c r="AL435" i="72"/>
  <c r="AL155" i="72"/>
  <c r="AL217" i="72"/>
  <c r="AL327" i="72"/>
  <c r="EQ48" i="11"/>
  <c r="BM48" i="11"/>
  <c r="B355" i="72"/>
  <c r="AL354" i="72"/>
  <c r="AL353" i="72"/>
  <c r="C47" i="36"/>
  <c r="C48" i="36"/>
  <c r="C46" i="36"/>
  <c r="C45" i="36"/>
  <c r="AL118" i="72"/>
  <c r="AL393" i="72"/>
  <c r="AL380" i="72"/>
  <c r="AL394" i="72"/>
  <c r="AL383" i="72"/>
  <c r="AL395" i="72"/>
  <c r="AL390" i="72"/>
  <c r="AL374" i="72"/>
  <c r="AL419" i="72"/>
  <c r="AL439" i="72"/>
  <c r="EQ49" i="13"/>
  <c r="BM49" i="13"/>
  <c r="B446" i="72"/>
  <c r="AL417" i="72"/>
  <c r="AL161" i="72"/>
  <c r="AL172" i="72"/>
  <c r="EG12" i="11"/>
  <c r="AT4" i="10" a="1"/>
  <c r="AT4" i="10" s="1"/>
  <c r="EQ50" i="10"/>
  <c r="B312" i="72"/>
  <c r="BM50" i="10"/>
  <c r="AL397" i="72"/>
  <c r="AL379" i="72"/>
  <c r="EQ50" i="12"/>
  <c r="BM50" i="12"/>
  <c r="B402" i="72"/>
  <c r="AL377" i="72"/>
  <c r="AL384" i="72"/>
  <c r="AL423" i="72"/>
  <c r="AL438" i="72"/>
  <c r="AL444" i="72"/>
  <c r="AL424" i="72"/>
  <c r="AL427" i="72"/>
  <c r="AL434" i="72"/>
  <c r="C45" i="37"/>
  <c r="C47" i="37"/>
  <c r="C48" i="37"/>
  <c r="C46" i="37"/>
  <c r="AL148" i="72"/>
  <c r="AL154" i="72"/>
  <c r="AL147" i="72"/>
  <c r="AL389" i="72"/>
  <c r="AL388" i="72"/>
  <c r="AL385" i="72"/>
  <c r="AL373" i="72"/>
  <c r="AL382" i="72"/>
  <c r="AL376" i="72"/>
  <c r="AL398" i="72"/>
  <c r="AL436" i="72"/>
  <c r="AL441" i="72"/>
  <c r="AL422" i="72"/>
  <c r="AL443" i="72"/>
  <c r="AL421" i="72"/>
  <c r="ET39" i="4"/>
  <c r="AJ39" i="4" s="1"/>
  <c r="ES30" i="4"/>
  <c r="AG30" i="4" s="1"/>
  <c r="ES28" i="4"/>
  <c r="AG28" i="4" s="1"/>
  <c r="ET24" i="4"/>
  <c r="AJ24" i="4" s="1"/>
  <c r="ES44" i="4"/>
  <c r="AG44" i="4" s="1"/>
  <c r="ES26" i="4"/>
  <c r="AG26" i="4" s="1"/>
  <c r="ES43" i="4"/>
  <c r="AG43" i="4" s="1"/>
  <c r="ES46" i="4"/>
  <c r="AG46" i="4" s="1"/>
  <c r="ES32" i="4"/>
  <c r="AG32" i="4" s="1"/>
  <c r="ET33" i="4"/>
  <c r="AJ33" i="4" s="1"/>
  <c r="ES35" i="4"/>
  <c r="AG35" i="4" s="1"/>
  <c r="ET28" i="4"/>
  <c r="AJ28" i="4" s="1"/>
  <c r="ET23" i="4"/>
  <c r="AJ23" i="4" s="1"/>
  <c r="ET30" i="4"/>
  <c r="AJ30" i="4" s="1"/>
  <c r="ES37" i="4"/>
  <c r="AG37" i="4" s="1"/>
  <c r="ES41" i="4"/>
  <c r="AG41" i="4" s="1"/>
  <c r="ET26" i="4"/>
  <c r="AJ26" i="4" s="1"/>
  <c r="ES27" i="4"/>
  <c r="AG27" i="4" s="1"/>
  <c r="ET34" i="4"/>
  <c r="AJ34" i="4" s="1"/>
  <c r="ES20" i="4"/>
  <c r="AG20" i="4" s="1"/>
  <c r="ET47" i="4"/>
  <c r="AJ47" i="4" s="1"/>
  <c r="ET22" i="4"/>
  <c r="AJ22" i="4" s="1"/>
  <c r="ES45" i="4"/>
  <c r="AG45" i="4" s="1"/>
  <c r="ET46" i="4"/>
  <c r="AJ46" i="4" s="1"/>
  <c r="ES36" i="4"/>
  <c r="AG36" i="4" s="1"/>
  <c r="ES40" i="4"/>
  <c r="AG40" i="4" s="1"/>
  <c r="ES42" i="4"/>
  <c r="AG42" i="4" s="1"/>
  <c r="ES23" i="4"/>
  <c r="AG23" i="4" s="1"/>
  <c r="ES39" i="4"/>
  <c r="AG39" i="4" s="1"/>
  <c r="ET38" i="4"/>
  <c r="AJ38" i="4" s="1"/>
  <c r="ES21" i="4"/>
  <c r="AG21" i="4" s="1"/>
  <c r="ET37" i="4"/>
  <c r="AJ37" i="4" s="1"/>
  <c r="ES25" i="4"/>
  <c r="AG25" i="4" s="1"/>
  <c r="ET41" i="4"/>
  <c r="AJ41" i="4" s="1"/>
  <c r="ET43" i="4"/>
  <c r="AJ43" i="4" s="1"/>
  <c r="ET31" i="4"/>
  <c r="AJ31" i="4" s="1"/>
  <c r="ES47" i="4"/>
  <c r="AG47" i="4" s="1"/>
  <c r="ES22" i="4"/>
  <c r="AG22" i="4" s="1"/>
  <c r="ES34" i="4"/>
  <c r="AG34" i="4" s="1"/>
  <c r="ES29" i="4"/>
  <c r="AG29" i="4" s="1"/>
  <c r="ET45" i="4"/>
  <c r="AJ45" i="4" s="1"/>
  <c r="ET36" i="4"/>
  <c r="AJ36" i="4" s="1"/>
  <c r="ET35" i="4"/>
  <c r="AJ35" i="4" s="1"/>
  <c r="ET40" i="4"/>
  <c r="AJ40" i="4" s="1"/>
  <c r="ET44" i="4"/>
  <c r="AJ44" i="4" s="1"/>
  <c r="ET21" i="4"/>
  <c r="AJ21" i="4" s="1"/>
  <c r="ES24" i="4"/>
  <c r="AG24" i="4" s="1"/>
  <c r="ES38" i="4"/>
  <c r="AG38" i="4" s="1"/>
  <c r="ET25" i="4"/>
  <c r="AJ25" i="4" s="1"/>
  <c r="ET27" i="4"/>
  <c r="AJ27" i="4" s="1"/>
  <c r="ES31" i="4"/>
  <c r="AG31" i="4" s="1"/>
  <c r="ET32" i="4"/>
  <c r="AJ32" i="4" s="1"/>
  <c r="ET42" i="4"/>
  <c r="AJ42" i="4" s="1"/>
  <c r="ET29" i="4"/>
  <c r="AJ29" i="4" s="1"/>
  <c r="ET20" i="4"/>
  <c r="AJ20" i="4" s="1"/>
  <c r="ES33" i="4"/>
  <c r="AG33" i="4" s="1"/>
  <c r="EW50" i="4"/>
  <c r="AL241" i="72"/>
  <c r="EQ49" i="9"/>
  <c r="BM49" i="9"/>
  <c r="B266" i="72"/>
  <c r="AL476" i="72"/>
  <c r="AL462" i="72"/>
  <c r="EQ49" i="14"/>
  <c r="B491" i="72"/>
  <c r="BM49" i="14"/>
  <c r="AL103" i="72"/>
  <c r="EQ50" i="6"/>
  <c r="B132" i="72"/>
  <c r="BM50" i="6"/>
  <c r="AL159" i="72"/>
  <c r="AL152" i="72"/>
  <c r="AL170" i="72"/>
  <c r="AL171" i="72"/>
  <c r="AL151" i="72"/>
  <c r="AL204" i="72"/>
  <c r="AL199" i="72"/>
  <c r="AL205" i="72"/>
  <c r="AL202" i="72"/>
  <c r="AL215" i="72"/>
  <c r="AL330" i="72"/>
  <c r="AL352" i="72"/>
  <c r="AL346" i="72"/>
  <c r="AL348" i="72"/>
  <c r="AL350" i="72"/>
  <c r="AT4" i="11" a="1"/>
  <c r="AT4" i="11" s="1"/>
  <c r="AL261" i="72"/>
  <c r="AL463" i="72"/>
  <c r="AL124" i="72"/>
  <c r="EW20" i="5"/>
  <c r="EG12" i="5"/>
  <c r="EQ48" i="13"/>
  <c r="B445" i="72"/>
  <c r="BM48" i="13"/>
  <c r="AL329" i="72"/>
  <c r="EW21" i="5"/>
  <c r="AL375" i="72"/>
  <c r="AL387" i="72"/>
  <c r="EQ49" i="12"/>
  <c r="BM49" i="12"/>
  <c r="B401" i="72"/>
  <c r="AL372" i="72"/>
  <c r="EQ49" i="7"/>
  <c r="B176" i="72"/>
  <c r="BM49" i="7"/>
  <c r="EQ49" i="8"/>
  <c r="BM49" i="8"/>
  <c r="B221" i="72"/>
  <c r="AL339" i="72"/>
  <c r="E50" i="55" l="1"/>
  <c r="E52" i="55"/>
  <c r="E54" i="55" s="1"/>
  <c r="HK61" i="34"/>
  <c r="HK63" i="34"/>
  <c r="HK187" i="34"/>
  <c r="HK62" i="34"/>
  <c r="HK125" i="34"/>
  <c r="AF6" i="34"/>
  <c r="E52" i="27"/>
  <c r="E54" i="27" s="1"/>
  <c r="D48" i="70"/>
  <c r="AF16" i="34"/>
  <c r="E50" i="70"/>
  <c r="E56" i="70"/>
  <c r="E52" i="70"/>
  <c r="AX257" i="72"/>
  <c r="AX391" i="72"/>
  <c r="AF10" i="34"/>
  <c r="M56" i="55"/>
  <c r="M50" i="55"/>
  <c r="E49" i="56"/>
  <c r="D39" i="56"/>
  <c r="M55" i="56"/>
  <c r="E56" i="55"/>
  <c r="D48" i="55"/>
  <c r="AX478" i="72"/>
  <c r="BE6" i="58"/>
  <c r="B90" i="58"/>
  <c r="AX516" i="72"/>
  <c r="D39" i="55"/>
  <c r="M55" i="55"/>
  <c r="DY5" i="44"/>
  <c r="AL90" i="14"/>
  <c r="AH90" i="14"/>
  <c r="AX352" i="72"/>
  <c r="AX392" i="72"/>
  <c r="AX286" i="72"/>
  <c r="AX64" i="72"/>
  <c r="AX219" i="72"/>
  <c r="EJ48" i="40"/>
  <c r="C87" i="40"/>
  <c r="EJ48" i="42"/>
  <c r="C87" i="42"/>
  <c r="AZ107" i="4"/>
  <c r="AZ142" i="4"/>
  <c r="AX348" i="72"/>
  <c r="EJ46" i="37"/>
  <c r="C85" i="37"/>
  <c r="BC48" i="37"/>
  <c r="BB48" i="37" s="1"/>
  <c r="EJ47" i="40"/>
  <c r="C86" i="40"/>
  <c r="AX164" i="72"/>
  <c r="EJ48" i="41"/>
  <c r="C87" i="41"/>
  <c r="AX129" i="72"/>
  <c r="AX487" i="72"/>
  <c r="AX63" i="72"/>
  <c r="EJ45" i="37"/>
  <c r="C84" i="37"/>
  <c r="EJ45" i="36"/>
  <c r="C84" i="36"/>
  <c r="EJ48" i="43"/>
  <c r="C87" i="43"/>
  <c r="EJ46" i="44"/>
  <c r="C85" i="44"/>
  <c r="EJ45" i="35"/>
  <c r="C84" i="35"/>
  <c r="EJ47" i="35"/>
  <c r="C86" i="35"/>
  <c r="EJ45" i="44"/>
  <c r="C84" i="44"/>
  <c r="AX163" i="72"/>
  <c r="EJ45" i="42"/>
  <c r="C84" i="42"/>
  <c r="EJ48" i="37"/>
  <c r="C87" i="37"/>
  <c r="EJ48" i="36"/>
  <c r="C87" i="36"/>
  <c r="EJ47" i="43"/>
  <c r="C86" i="43"/>
  <c r="EJ46" i="35"/>
  <c r="C85" i="35"/>
  <c r="EJ46" i="40"/>
  <c r="C85" i="40"/>
  <c r="EJ48" i="44"/>
  <c r="C87" i="44"/>
  <c r="EJ46" i="42"/>
  <c r="C85" i="42"/>
  <c r="EJ47" i="41"/>
  <c r="C86" i="41"/>
  <c r="EJ45" i="41"/>
  <c r="C84" i="41"/>
  <c r="AX380" i="72"/>
  <c r="EJ46" i="36"/>
  <c r="C85" i="36"/>
  <c r="EJ46" i="43"/>
  <c r="C85" i="43"/>
  <c r="AX243" i="72"/>
  <c r="AX124" i="72"/>
  <c r="EJ47" i="37"/>
  <c r="C86" i="37"/>
  <c r="EJ47" i="36"/>
  <c r="C86" i="36"/>
  <c r="EJ45" i="43"/>
  <c r="C84" i="43"/>
  <c r="AX295" i="72"/>
  <c r="EJ48" i="35"/>
  <c r="C87" i="35"/>
  <c r="EJ45" i="40"/>
  <c r="C84" i="40"/>
  <c r="EJ47" i="44"/>
  <c r="C86" i="44"/>
  <c r="EJ47" i="42"/>
  <c r="C86" i="42"/>
  <c r="AX480" i="72"/>
  <c r="EJ46" i="41"/>
  <c r="C85" i="41"/>
  <c r="AZ107" i="15"/>
  <c r="AZ142" i="15"/>
  <c r="E56" i="27"/>
  <c r="S2" i="60"/>
  <c r="BA142" i="6"/>
  <c r="BA107" i="6"/>
  <c r="BA142" i="10"/>
  <c r="BA107" i="10"/>
  <c r="BA142" i="8"/>
  <c r="BA107" i="8"/>
  <c r="BA142" i="7"/>
  <c r="BA107" i="7"/>
  <c r="BA107" i="5"/>
  <c r="BA142" i="5"/>
  <c r="BA143" i="4"/>
  <c r="BA108" i="4"/>
  <c r="BA107" i="13"/>
  <c r="BA142" i="13"/>
  <c r="BA142" i="14"/>
  <c r="BA107" i="14"/>
  <c r="BA107" i="12"/>
  <c r="BA142" i="12"/>
  <c r="BL21" i="15"/>
  <c r="BG19" i="45" s="1"/>
  <c r="BA108" i="15"/>
  <c r="BA143" i="15"/>
  <c r="BA107" i="11"/>
  <c r="BA142" i="11"/>
  <c r="BA142" i="9"/>
  <c r="BA107" i="9"/>
  <c r="AX285" i="72"/>
  <c r="BC47" i="40"/>
  <c r="BB47" i="40" s="1"/>
  <c r="BC47" i="38"/>
  <c r="BB47" i="38" s="1"/>
  <c r="AX83" i="72"/>
  <c r="AX250" i="72"/>
  <c r="AX338" i="72"/>
  <c r="AX296" i="72"/>
  <c r="AX73" i="72"/>
  <c r="AX431" i="72"/>
  <c r="AX69" i="72"/>
  <c r="AX171" i="72"/>
  <c r="BC46" i="43"/>
  <c r="BB46" i="43" s="1"/>
  <c r="AX440" i="72"/>
  <c r="AX298" i="72"/>
  <c r="CF46" i="35"/>
  <c r="CE46" i="35" s="1"/>
  <c r="AX375" i="72"/>
  <c r="AX463" i="72"/>
  <c r="AX151" i="72"/>
  <c r="AX118" i="72"/>
  <c r="AX435" i="72"/>
  <c r="AX297" i="72"/>
  <c r="AX77" i="72"/>
  <c r="AX158" i="72"/>
  <c r="AX343" i="72"/>
  <c r="AX345" i="72"/>
  <c r="AX482" i="72"/>
  <c r="AX105" i="72"/>
  <c r="AX260" i="72"/>
  <c r="AX246" i="72"/>
  <c r="AX261" i="72"/>
  <c r="AX170" i="72"/>
  <c r="AX422" i="72"/>
  <c r="AX438" i="72"/>
  <c r="AX217" i="72"/>
  <c r="AX210" i="72"/>
  <c r="AX149" i="72"/>
  <c r="AX168" i="72"/>
  <c r="AX426" i="72"/>
  <c r="AX71" i="72"/>
  <c r="AX341" i="72"/>
  <c r="AX59" i="72"/>
  <c r="AX247" i="72"/>
  <c r="AX334" i="72"/>
  <c r="AX115" i="72"/>
  <c r="AX126" i="72"/>
  <c r="AX520" i="72"/>
  <c r="AX329" i="72"/>
  <c r="AX388" i="72"/>
  <c r="AX384" i="72"/>
  <c r="AX442" i="72"/>
  <c r="AX211" i="72"/>
  <c r="AX169" i="72"/>
  <c r="AX425" i="72"/>
  <c r="AX432" i="72"/>
  <c r="AX68" i="72"/>
  <c r="AX399" i="72"/>
  <c r="AX335" i="72"/>
  <c r="AX309" i="72"/>
  <c r="AX65" i="72"/>
  <c r="AX464" i="72"/>
  <c r="AX533" i="72"/>
  <c r="AX524" i="72"/>
  <c r="AX523" i="72"/>
  <c r="DZ18" i="18"/>
  <c r="GL20" i="4"/>
  <c r="DZ40" i="18"/>
  <c r="GL42" i="4"/>
  <c r="DY29" i="18"/>
  <c r="GK31" i="4"/>
  <c r="DZ23" i="18"/>
  <c r="GL25" i="4"/>
  <c r="DY22" i="18"/>
  <c r="GK24" i="4"/>
  <c r="DZ42" i="18"/>
  <c r="GL44" i="4"/>
  <c r="DZ33" i="18"/>
  <c r="GL35" i="4"/>
  <c r="DZ43" i="18"/>
  <c r="GL45" i="4"/>
  <c r="DY32" i="18"/>
  <c r="GK34" i="4"/>
  <c r="DY45" i="18"/>
  <c r="GK47" i="4"/>
  <c r="DZ41" i="18"/>
  <c r="GL43" i="4"/>
  <c r="DY23" i="18"/>
  <c r="GK25" i="4"/>
  <c r="DY19" i="18"/>
  <c r="GK21" i="4"/>
  <c r="DY37" i="18"/>
  <c r="GK39" i="4"/>
  <c r="DY40" i="18"/>
  <c r="GK42" i="4"/>
  <c r="DY34" i="18"/>
  <c r="GK36" i="4"/>
  <c r="DY43" i="18"/>
  <c r="GK45" i="4"/>
  <c r="DZ45" i="18"/>
  <c r="GL47" i="4"/>
  <c r="DZ32" i="18"/>
  <c r="GL34" i="4"/>
  <c r="DZ24" i="18"/>
  <c r="GL26" i="4"/>
  <c r="DY35" i="18"/>
  <c r="GK37" i="4"/>
  <c r="DZ21" i="18"/>
  <c r="GL23" i="4"/>
  <c r="DY33" i="18"/>
  <c r="GK35" i="4"/>
  <c r="DY30" i="18"/>
  <c r="GK32" i="4"/>
  <c r="DY41" i="18"/>
  <c r="GK43" i="4"/>
  <c r="DY42" i="18"/>
  <c r="GK44" i="4"/>
  <c r="DY26" i="18"/>
  <c r="GK28" i="4"/>
  <c r="DZ37" i="18"/>
  <c r="GL39" i="4"/>
  <c r="DY31" i="18"/>
  <c r="GK33" i="4"/>
  <c r="DZ27" i="18"/>
  <c r="GL29" i="4"/>
  <c r="DZ30" i="18"/>
  <c r="GL32" i="4"/>
  <c r="DZ25" i="18"/>
  <c r="GL27" i="4"/>
  <c r="DY36" i="18"/>
  <c r="GK38" i="4"/>
  <c r="DZ19" i="18"/>
  <c r="GL21" i="4"/>
  <c r="DZ38" i="18"/>
  <c r="GL40" i="4"/>
  <c r="DZ34" i="18"/>
  <c r="GL36" i="4"/>
  <c r="DY27" i="18"/>
  <c r="GK29" i="4"/>
  <c r="DY20" i="18"/>
  <c r="GK22" i="4"/>
  <c r="DZ29" i="18"/>
  <c r="GL31" i="4"/>
  <c r="DZ39" i="18"/>
  <c r="GL41" i="4"/>
  <c r="DZ35" i="18"/>
  <c r="GL37" i="4"/>
  <c r="DZ36" i="18"/>
  <c r="GL38" i="4"/>
  <c r="DY21" i="18"/>
  <c r="GK23" i="4"/>
  <c r="DY38" i="18"/>
  <c r="GK40" i="4"/>
  <c r="DZ44" i="18"/>
  <c r="GL46" i="4"/>
  <c r="DZ20" i="18"/>
  <c r="GL22" i="4"/>
  <c r="DY18" i="18"/>
  <c r="GK20" i="4"/>
  <c r="DY25" i="18"/>
  <c r="GK27" i="4"/>
  <c r="DY39" i="18"/>
  <c r="GK41" i="4"/>
  <c r="DZ28" i="18"/>
  <c r="GL30" i="4"/>
  <c r="DZ26" i="18"/>
  <c r="GL28" i="4"/>
  <c r="DZ31" i="18"/>
  <c r="GL33" i="4"/>
  <c r="DY44" i="18"/>
  <c r="GK46" i="4"/>
  <c r="DY24" i="18"/>
  <c r="GK26" i="4"/>
  <c r="DZ22" i="18"/>
  <c r="GL24" i="4"/>
  <c r="DY28" i="18"/>
  <c r="GK30" i="4"/>
  <c r="I32" i="51"/>
  <c r="E70" i="25"/>
  <c r="BH9" i="10"/>
  <c r="BG9" i="10" s="1"/>
  <c r="BH9" i="8"/>
  <c r="BG9" i="8" s="1"/>
  <c r="BH10" i="4"/>
  <c r="BG10" i="4" s="1"/>
  <c r="BH9" i="13"/>
  <c r="BG9" i="13" s="1"/>
  <c r="BH9" i="11"/>
  <c r="BG9" i="11" s="1"/>
  <c r="BH9" i="6"/>
  <c r="BG9" i="6" s="1"/>
  <c r="BL23" i="15"/>
  <c r="BG21" i="45" s="1"/>
  <c r="BH10" i="15"/>
  <c r="BG10" i="15" s="1"/>
  <c r="BH9" i="9"/>
  <c r="BG9" i="9" s="1"/>
  <c r="BH9" i="7"/>
  <c r="BG9" i="7" s="1"/>
  <c r="BH9" i="12"/>
  <c r="BG9" i="12" s="1"/>
  <c r="BH9" i="14"/>
  <c r="BG9" i="14" s="1"/>
  <c r="BH9" i="5"/>
  <c r="BG9" i="5" s="1"/>
  <c r="BE45" i="18"/>
  <c r="BE26" i="18"/>
  <c r="A144" i="58"/>
  <c r="CF47" i="37"/>
  <c r="CE47" i="37" s="1"/>
  <c r="AX259" i="72"/>
  <c r="AX336" i="72"/>
  <c r="AX107" i="72"/>
  <c r="BC46" i="36"/>
  <c r="BB46" i="36" s="1"/>
  <c r="AX333" i="72"/>
  <c r="BC47" i="44"/>
  <c r="BB47" i="44" s="1"/>
  <c r="BC45" i="41"/>
  <c r="BB45" i="41" s="1"/>
  <c r="BC45" i="45"/>
  <c r="BB45" i="45" s="1"/>
  <c r="AX443" i="72"/>
  <c r="AX436" i="72"/>
  <c r="BC46" i="44"/>
  <c r="BB46" i="44" s="1"/>
  <c r="AX78" i="72"/>
  <c r="BC46" i="41"/>
  <c r="BB46" i="41" s="1"/>
  <c r="AX162" i="72"/>
  <c r="AX58" i="72"/>
  <c r="BC45" i="36"/>
  <c r="BB45" i="36" s="1"/>
  <c r="AX251" i="72"/>
  <c r="AX117" i="72"/>
  <c r="AX218" i="72"/>
  <c r="AX123" i="72"/>
  <c r="AX393" i="72"/>
  <c r="BC45" i="44"/>
  <c r="BB45" i="44" s="1"/>
  <c r="AX489" i="72"/>
  <c r="BC47" i="41"/>
  <c r="BB47" i="41" s="1"/>
  <c r="BC47" i="36"/>
  <c r="BB47" i="36" s="1"/>
  <c r="AX483" i="72"/>
  <c r="AX350" i="72"/>
  <c r="AX306" i="72"/>
  <c r="AX153" i="72"/>
  <c r="AX119" i="72"/>
  <c r="AX468" i="72"/>
  <c r="BC47" i="45"/>
  <c r="BB47" i="45" s="1"/>
  <c r="AX207" i="72"/>
  <c r="AX467" i="72"/>
  <c r="CF47" i="35"/>
  <c r="CE47" i="35" s="1"/>
  <c r="DN156" i="72"/>
  <c r="DN60" i="72"/>
  <c r="DN381" i="72"/>
  <c r="DN335" i="72"/>
  <c r="DN213" i="72"/>
  <c r="DN117" i="72"/>
  <c r="DN492" i="72"/>
  <c r="DN67" i="72"/>
  <c r="DN337" i="72"/>
  <c r="DN443" i="72"/>
  <c r="DN507" i="72"/>
  <c r="DN299" i="72"/>
  <c r="DN76" i="72"/>
  <c r="DN387" i="72"/>
  <c r="DN339" i="72"/>
  <c r="DN195" i="72"/>
  <c r="DN423" i="72"/>
  <c r="DN105" i="72"/>
  <c r="DN517" i="72"/>
  <c r="DN477" i="72"/>
  <c r="DN253" i="72"/>
  <c r="DN216" i="72"/>
  <c r="DN431" i="72"/>
  <c r="DN468" i="72"/>
  <c r="DN294" i="72"/>
  <c r="DN154" i="72"/>
  <c r="DN303" i="72"/>
  <c r="DN152" i="72"/>
  <c r="DN84" i="72"/>
  <c r="DN397" i="72"/>
  <c r="DN258" i="72"/>
  <c r="DN346" i="72"/>
  <c r="DN202" i="72"/>
  <c r="DN429" i="72"/>
  <c r="DN442" i="72"/>
  <c r="DN128" i="72"/>
  <c r="DN519" i="72"/>
  <c r="DN516" i="72"/>
  <c r="DN489" i="72"/>
  <c r="DN102" i="72"/>
  <c r="AX284" i="72"/>
  <c r="AX62" i="72"/>
  <c r="AX193" i="72"/>
  <c r="AX521" i="72"/>
  <c r="AX465" i="72"/>
  <c r="DN289" i="72"/>
  <c r="DN290" i="72"/>
  <c r="DN172" i="72"/>
  <c r="DN166" i="72"/>
  <c r="DN77" i="72"/>
  <c r="DN62" i="72"/>
  <c r="DN377" i="72"/>
  <c r="DN245" i="72"/>
  <c r="DN255" i="72"/>
  <c r="DN351" i="72"/>
  <c r="DN328" i="72"/>
  <c r="DN207" i="72"/>
  <c r="DN433" i="72"/>
  <c r="DN422" i="72"/>
  <c r="DN106" i="72"/>
  <c r="DN512" i="72"/>
  <c r="DN526" i="72"/>
  <c r="DN481" i="72"/>
  <c r="DN463" i="72"/>
  <c r="DN71" i="72"/>
  <c r="DN396" i="72"/>
  <c r="DN260" i="72"/>
  <c r="DN332" i="72"/>
  <c r="DN425" i="72"/>
  <c r="DN108" i="72"/>
  <c r="DN119" i="72"/>
  <c r="DN520" i="72"/>
  <c r="DN286" i="72"/>
  <c r="DN306" i="72"/>
  <c r="DN165" i="72"/>
  <c r="DN65" i="72"/>
  <c r="DN70" i="72"/>
  <c r="DN383" i="72"/>
  <c r="DN249" i="72"/>
  <c r="DN256" i="72"/>
  <c r="DN345" i="72"/>
  <c r="DN333" i="72"/>
  <c r="DN211" i="72"/>
  <c r="DN212" i="72"/>
  <c r="DN444" i="72"/>
  <c r="DN426" i="72"/>
  <c r="DN121" i="72"/>
  <c r="DN127" i="72"/>
  <c r="DN508" i="72"/>
  <c r="DN480" i="72"/>
  <c r="DN467" i="72"/>
  <c r="DN61" i="72"/>
  <c r="DN254" i="72"/>
  <c r="DN349" i="72"/>
  <c r="DN196" i="72"/>
  <c r="DN124" i="72"/>
  <c r="DN522" i="72"/>
  <c r="DN484" i="72"/>
  <c r="DN483" i="72"/>
  <c r="DN295" i="72"/>
  <c r="DN148" i="72"/>
  <c r="DN173" i="72"/>
  <c r="DN285" i="72"/>
  <c r="DN291" i="72"/>
  <c r="DN168" i="72"/>
  <c r="DN174" i="72"/>
  <c r="DN73" i="72"/>
  <c r="DN374" i="72"/>
  <c r="DN393" i="72"/>
  <c r="DN241" i="72"/>
  <c r="DN247" i="72"/>
  <c r="DN331" i="72"/>
  <c r="DN348" i="72"/>
  <c r="DN218" i="72"/>
  <c r="DN204" i="72"/>
  <c r="DN434" i="72"/>
  <c r="DN438" i="72"/>
  <c r="DN113" i="72"/>
  <c r="DN528" i="72"/>
  <c r="DN532" i="72"/>
  <c r="DN475" i="72"/>
  <c r="DN474" i="72"/>
  <c r="DN283" i="72"/>
  <c r="DN79" i="72"/>
  <c r="DN262" i="72"/>
  <c r="DN206" i="72"/>
  <c r="DN523" i="72"/>
  <c r="DN264" i="72"/>
  <c r="DN263" i="72"/>
  <c r="DN488" i="72"/>
  <c r="AX398" i="72"/>
  <c r="AX154" i="72"/>
  <c r="AX157" i="72"/>
  <c r="AX485" i="72"/>
  <c r="AX466" i="72"/>
  <c r="AX351" i="72"/>
  <c r="AX330" i="72"/>
  <c r="BC48" i="43"/>
  <c r="BB48" i="43" s="1"/>
  <c r="AX373" i="72"/>
  <c r="AX377" i="72"/>
  <c r="AX379" i="72"/>
  <c r="AX395" i="72"/>
  <c r="BC48" i="40"/>
  <c r="BB48" i="40" s="1"/>
  <c r="AX288" i="72"/>
  <c r="AX79" i="72"/>
  <c r="AX156" i="72"/>
  <c r="AX342" i="72"/>
  <c r="AX337" i="72"/>
  <c r="AX120" i="72"/>
  <c r="AX213" i="72"/>
  <c r="AX116" i="72"/>
  <c r="AX238" i="72"/>
  <c r="BC48" i="38"/>
  <c r="BB48" i="38" s="1"/>
  <c r="BC45" i="38"/>
  <c r="BB45" i="38" s="1"/>
  <c r="AX515" i="72"/>
  <c r="AX82" i="72"/>
  <c r="DN305" i="72"/>
  <c r="DN155" i="72"/>
  <c r="DN169" i="72"/>
  <c r="DN63" i="72"/>
  <c r="DN74" i="72"/>
  <c r="DN378" i="72"/>
  <c r="DN399" i="72"/>
  <c r="DN261" i="72"/>
  <c r="DN248" i="72"/>
  <c r="DN340" i="72"/>
  <c r="DN354" i="72"/>
  <c r="DN200" i="72"/>
  <c r="DN418" i="72"/>
  <c r="DN427" i="72"/>
  <c r="DN107" i="72"/>
  <c r="DN533" i="72"/>
  <c r="DN521" i="72"/>
  <c r="DN471" i="72"/>
  <c r="DN64" i="72"/>
  <c r="DN386" i="72"/>
  <c r="DN238" i="72"/>
  <c r="DN343" i="72"/>
  <c r="DN214" i="72"/>
  <c r="DN428" i="72"/>
  <c r="DN109" i="72"/>
  <c r="DN531" i="72"/>
  <c r="DN292" i="72"/>
  <c r="DN287" i="72"/>
  <c r="DN159" i="72"/>
  <c r="DN150" i="72"/>
  <c r="DN81" i="72"/>
  <c r="DN382" i="72"/>
  <c r="DN373" i="72"/>
  <c r="DN265" i="72"/>
  <c r="DN252" i="72"/>
  <c r="DN336" i="72"/>
  <c r="DN194" i="72"/>
  <c r="DN208" i="72"/>
  <c r="DN421" i="72"/>
  <c r="DN430" i="72"/>
  <c r="DN104" i="72"/>
  <c r="DN114" i="72"/>
  <c r="DN511" i="72"/>
  <c r="DN529" i="72"/>
  <c r="DN465" i="72"/>
  <c r="DN479" i="72"/>
  <c r="DN388" i="72"/>
  <c r="DN237" i="72"/>
  <c r="DN198" i="72"/>
  <c r="DN441" i="72"/>
  <c r="DN122" i="72"/>
  <c r="DN534" i="72"/>
  <c r="DN470" i="72"/>
  <c r="DN296" i="72"/>
  <c r="DN298" i="72"/>
  <c r="DN164" i="72"/>
  <c r="DN158" i="72"/>
  <c r="DN301" i="72"/>
  <c r="DN151" i="72"/>
  <c r="DN161" i="72"/>
  <c r="DN59" i="72"/>
  <c r="DN66" i="72"/>
  <c r="DN390" i="72"/>
  <c r="DN395" i="72"/>
  <c r="DN257" i="72"/>
  <c r="DN240" i="72"/>
  <c r="DN347" i="72"/>
  <c r="DN344" i="72"/>
  <c r="DN203" i="72"/>
  <c r="DN192" i="72"/>
  <c r="DN419" i="72"/>
  <c r="DN436" i="72"/>
  <c r="DN129" i="72"/>
  <c r="DN518" i="72"/>
  <c r="DN509" i="72"/>
  <c r="DN466" i="72"/>
  <c r="DN485" i="72"/>
  <c r="AX525" i="72"/>
  <c r="DN304" i="72"/>
  <c r="DN149" i="72"/>
  <c r="DN372" i="72"/>
  <c r="DN352" i="72"/>
  <c r="DN424" i="72"/>
  <c r="DN525" i="72"/>
  <c r="DN469" i="72"/>
  <c r="DN384" i="72"/>
  <c r="DN217" i="72"/>
  <c r="DN123" i="72"/>
  <c r="DN293" i="72"/>
  <c r="DN157" i="72"/>
  <c r="DN57" i="72"/>
  <c r="DN379" i="72"/>
  <c r="DN342" i="72"/>
  <c r="DN205" i="72"/>
  <c r="DN432" i="72"/>
  <c r="DN110" i="72"/>
  <c r="DN464" i="72"/>
  <c r="DN80" i="72"/>
  <c r="DN341" i="72"/>
  <c r="DN515" i="72"/>
  <c r="DN478" i="72"/>
  <c r="DN163" i="72"/>
  <c r="DN300" i="72"/>
  <c r="DN147" i="72"/>
  <c r="DN78" i="72"/>
  <c r="DN391" i="72"/>
  <c r="DN259" i="72"/>
  <c r="DN193" i="72"/>
  <c r="BC47" i="43"/>
  <c r="BB47" i="43" s="1"/>
  <c r="AX476" i="72"/>
  <c r="AX427" i="72"/>
  <c r="AX417" i="72"/>
  <c r="BC45" i="40"/>
  <c r="BB45" i="40" s="1"/>
  <c r="AX241" i="72"/>
  <c r="AX353" i="72"/>
  <c r="AX420" i="72"/>
  <c r="AX287" i="72"/>
  <c r="AX102" i="72"/>
  <c r="AX70" i="72"/>
  <c r="AX290" i="72"/>
  <c r="AX262" i="72"/>
  <c r="AX173" i="72"/>
  <c r="AX160" i="72"/>
  <c r="AX396" i="72"/>
  <c r="AX84" i="72"/>
  <c r="AX192" i="72"/>
  <c r="AX122" i="72"/>
  <c r="AX486" i="72"/>
  <c r="AX511" i="72"/>
  <c r="AX529" i="72"/>
  <c r="DN288" i="72"/>
  <c r="DN309" i="72"/>
  <c r="DN171" i="72"/>
  <c r="DN170" i="72"/>
  <c r="DN72" i="72"/>
  <c r="DN83" i="72"/>
  <c r="DN394" i="72"/>
  <c r="DN375" i="72"/>
  <c r="DN246" i="72"/>
  <c r="DN243" i="72"/>
  <c r="DN330" i="72"/>
  <c r="DN327" i="72"/>
  <c r="DN201" i="72"/>
  <c r="DN439" i="72"/>
  <c r="DN116" i="72"/>
  <c r="DN111" i="72"/>
  <c r="DN524" i="72"/>
  <c r="DN476" i="72"/>
  <c r="DN462" i="72"/>
  <c r="DN69" i="72"/>
  <c r="DN392" i="72"/>
  <c r="DN239" i="72"/>
  <c r="DN350" i="72"/>
  <c r="DN215" i="72"/>
  <c r="DN435" i="72"/>
  <c r="DN125" i="72"/>
  <c r="DN513" i="72"/>
  <c r="DN308" i="72"/>
  <c r="DN282" i="72"/>
  <c r="DN160" i="72"/>
  <c r="DN58" i="72"/>
  <c r="DN82" i="72"/>
  <c r="DN398" i="72"/>
  <c r="DN385" i="72"/>
  <c r="DN250" i="72"/>
  <c r="DN244" i="72"/>
  <c r="DN338" i="72"/>
  <c r="DN210" i="72"/>
  <c r="DN209" i="72"/>
  <c r="DN437" i="72"/>
  <c r="DN420" i="72"/>
  <c r="DN120" i="72"/>
  <c r="DN115" i="72"/>
  <c r="DN527" i="72"/>
  <c r="DN530" i="72"/>
  <c r="DN486" i="72"/>
  <c r="DN473" i="72"/>
  <c r="DN389" i="72"/>
  <c r="DN329" i="72"/>
  <c r="DN199" i="72"/>
  <c r="DN417" i="72"/>
  <c r="DN126" i="72"/>
  <c r="DN510" i="72"/>
  <c r="DN482" i="72"/>
  <c r="DN297" i="72"/>
  <c r="DN307" i="72"/>
  <c r="DN153" i="72"/>
  <c r="DN284" i="72"/>
  <c r="DN302" i="72"/>
  <c r="DN167" i="72"/>
  <c r="DN162" i="72"/>
  <c r="DN68" i="72"/>
  <c r="DN75" i="72"/>
  <c r="DN376" i="72"/>
  <c r="DN380" i="72"/>
  <c r="DN242" i="72"/>
  <c r="DN251" i="72"/>
  <c r="DN334" i="72"/>
  <c r="DN353" i="72"/>
  <c r="DN219" i="72"/>
  <c r="DN197" i="72"/>
  <c r="DN440" i="72"/>
  <c r="DN112" i="72"/>
  <c r="DN118" i="72"/>
  <c r="DN514" i="72"/>
  <c r="DN472" i="72"/>
  <c r="DN487" i="72"/>
  <c r="DN103" i="72"/>
  <c r="CF48" i="37"/>
  <c r="CE48" i="37" s="1"/>
  <c r="DN85" i="72"/>
  <c r="AX386" i="72"/>
  <c r="AX76" i="72"/>
  <c r="AX253" i="72"/>
  <c r="AX114" i="72"/>
  <c r="AX244" i="72"/>
  <c r="AX349" i="72"/>
  <c r="AX201" i="72"/>
  <c r="AX108" i="72"/>
  <c r="AX204" i="72"/>
  <c r="AX152" i="72"/>
  <c r="AX513" i="72"/>
  <c r="AX282" i="72"/>
  <c r="AX167" i="72"/>
  <c r="BC45" i="35"/>
  <c r="BB45" i="35" s="1"/>
  <c r="AX390" i="72"/>
  <c r="AX106" i="72"/>
  <c r="AX418" i="72"/>
  <c r="AX208" i="72"/>
  <c r="AX199" i="72"/>
  <c r="AX103" i="72"/>
  <c r="AX439" i="72"/>
  <c r="AX327" i="72"/>
  <c r="AX283" i="72"/>
  <c r="AX66" i="72"/>
  <c r="AX264" i="72"/>
  <c r="AX307" i="72"/>
  <c r="AX166" i="72"/>
  <c r="AX344" i="72"/>
  <c r="AX206" i="72"/>
  <c r="AX481" i="72"/>
  <c r="AX462" i="72"/>
  <c r="AX150" i="72"/>
  <c r="AX477" i="72"/>
  <c r="AX67" i="72"/>
  <c r="AX472" i="72"/>
  <c r="AX441" i="72"/>
  <c r="AX304" i="72"/>
  <c r="AX340" i="72"/>
  <c r="AX212" i="72"/>
  <c r="AX202" i="72"/>
  <c r="AX389" i="72"/>
  <c r="AX424" i="72"/>
  <c r="AX397" i="72"/>
  <c r="AX419" i="72"/>
  <c r="AX394" i="72"/>
  <c r="AX308" i="72"/>
  <c r="AX125" i="72"/>
  <c r="AX61" i="72"/>
  <c r="AX292" i="72"/>
  <c r="AX110" i="72"/>
  <c r="AX381" i="72"/>
  <c r="AX75" i="72"/>
  <c r="AX248" i="72"/>
  <c r="AX242" i="72"/>
  <c r="AX111" i="72"/>
  <c r="AX507" i="72"/>
  <c r="AX240" i="72"/>
  <c r="BC48" i="35"/>
  <c r="BB48" i="35" s="1"/>
  <c r="CF46" i="39"/>
  <c r="CE46" i="39" s="1"/>
  <c r="AX517" i="72"/>
  <c r="BC47" i="42"/>
  <c r="BB47" i="42" s="1"/>
  <c r="CF45" i="39"/>
  <c r="CE45" i="39" s="1"/>
  <c r="CF45" i="42"/>
  <c r="CE45" i="42" s="1"/>
  <c r="CF46" i="42"/>
  <c r="CE46" i="42" s="1"/>
  <c r="DC222" i="72"/>
  <c r="DC176" i="72"/>
  <c r="DC402" i="72"/>
  <c r="DC310" i="72"/>
  <c r="DC355" i="72"/>
  <c r="DC131" i="72"/>
  <c r="DC267" i="72"/>
  <c r="DC446" i="72"/>
  <c r="DC356" i="72"/>
  <c r="DC491" i="72"/>
  <c r="DC220" i="72"/>
  <c r="DC400" i="72"/>
  <c r="DC447" i="72"/>
  <c r="DC490" i="72"/>
  <c r="DC221" i="72"/>
  <c r="DC175" i="72"/>
  <c r="DC401" i="72"/>
  <c r="DC445" i="72"/>
  <c r="DC87" i="72"/>
  <c r="DC132" i="72"/>
  <c r="DC266" i="72"/>
  <c r="DC312" i="72"/>
  <c r="DC86" i="72"/>
  <c r="DC130" i="72"/>
  <c r="DC177" i="72"/>
  <c r="DC311" i="72"/>
  <c r="DC357" i="72"/>
  <c r="AX255" i="72"/>
  <c r="BC46" i="42"/>
  <c r="BB46" i="42" s="1"/>
  <c r="AX165" i="72"/>
  <c r="AX293" i="72"/>
  <c r="AX471" i="72"/>
  <c r="AX249" i="72"/>
  <c r="AX198" i="72"/>
  <c r="AX74" i="72"/>
  <c r="AX512" i="72"/>
  <c r="AX530" i="72"/>
  <c r="AX469" i="72"/>
  <c r="BC46" i="35"/>
  <c r="BB46" i="35" s="1"/>
  <c r="AX374" i="72"/>
  <c r="AX429" i="72"/>
  <c r="BC48" i="42"/>
  <c r="BB48" i="42" s="1"/>
  <c r="AX216" i="72"/>
  <c r="AX376" i="72"/>
  <c r="AX128" i="72"/>
  <c r="AX174" i="72"/>
  <c r="AX57" i="72"/>
  <c r="AX237" i="72"/>
  <c r="AX534" i="72"/>
  <c r="AX372" i="72"/>
  <c r="AX346" i="72"/>
  <c r="AX159" i="72"/>
  <c r="AX421" i="72"/>
  <c r="AX147" i="72"/>
  <c r="AX148" i="72"/>
  <c r="AX444" i="72"/>
  <c r="AX423" i="72"/>
  <c r="AX161" i="72"/>
  <c r="AX383" i="72"/>
  <c r="AX430" i="72"/>
  <c r="AX303" i="72"/>
  <c r="AX195" i="72"/>
  <c r="BC45" i="37"/>
  <c r="BB45" i="37" s="1"/>
  <c r="AX245" i="72"/>
  <c r="AX437" i="72"/>
  <c r="AX428" i="72"/>
  <c r="AX378" i="72"/>
  <c r="AX291" i="72"/>
  <c r="AX121" i="72"/>
  <c r="AX347" i="72"/>
  <c r="AX470" i="72"/>
  <c r="AX197" i="72"/>
  <c r="AX263" i="72"/>
  <c r="AX532" i="72"/>
  <c r="BC48" i="39"/>
  <c r="BB48" i="39" s="1"/>
  <c r="BC45" i="39"/>
  <c r="BB45" i="39" s="1"/>
  <c r="AX527" i="72"/>
  <c r="AX508" i="72"/>
  <c r="AX339" i="72"/>
  <c r="AX172" i="72"/>
  <c r="AX354" i="72"/>
  <c r="AX60" i="72"/>
  <c r="AX203" i="72"/>
  <c r="BC47" i="37"/>
  <c r="BB47" i="37" s="1"/>
  <c r="AX294" i="72"/>
  <c r="AX305" i="72"/>
  <c r="AX194" i="72"/>
  <c r="AX433" i="72"/>
  <c r="AX289" i="72"/>
  <c r="AX109" i="72"/>
  <c r="AX252" i="72"/>
  <c r="AX239" i="72"/>
  <c r="AX112" i="72"/>
  <c r="AX331" i="72"/>
  <c r="AX300" i="72"/>
  <c r="AX473" i="72"/>
  <c r="AX479" i="72"/>
  <c r="AX522" i="72"/>
  <c r="A152" i="58"/>
  <c r="B152" i="58" s="1"/>
  <c r="AX127" i="72"/>
  <c r="AX200" i="72"/>
  <c r="AX80" i="72"/>
  <c r="AX113" i="72"/>
  <c r="AX254" i="72"/>
  <c r="AX387" i="72"/>
  <c r="AX215" i="72"/>
  <c r="AX205" i="72"/>
  <c r="AX382" i="72"/>
  <c r="AX385" i="72"/>
  <c r="AX434" i="72"/>
  <c r="AX155" i="72"/>
  <c r="AX302" i="72"/>
  <c r="AX301" i="72"/>
  <c r="AX332" i="72"/>
  <c r="AX328" i="72"/>
  <c r="AX484" i="72"/>
  <c r="AX475" i="72"/>
  <c r="AX196" i="72"/>
  <c r="AX299" i="72"/>
  <c r="AX258" i="72"/>
  <c r="AX256" i="72"/>
  <c r="A145" i="58"/>
  <c r="CF47" i="40"/>
  <c r="CE47" i="40" s="1"/>
  <c r="AX81" i="72"/>
  <c r="AX510" i="72"/>
  <c r="AX531" i="72"/>
  <c r="EG445" i="72"/>
  <c r="AV445" i="72"/>
  <c r="BS445" i="72" s="1"/>
  <c r="BT445" i="72" s="1"/>
  <c r="EG266" i="72"/>
  <c r="AV266" i="72"/>
  <c r="BS266" i="72" s="1"/>
  <c r="BT266" i="72" s="1"/>
  <c r="EG221" i="72"/>
  <c r="AV221" i="72"/>
  <c r="BS221" i="72" s="1"/>
  <c r="BT221" i="72" s="1"/>
  <c r="EG176" i="72"/>
  <c r="AV176" i="72"/>
  <c r="BS176" i="72" s="1"/>
  <c r="BT176" i="72" s="1"/>
  <c r="EG401" i="72"/>
  <c r="AV401" i="72"/>
  <c r="BS401" i="72" s="1"/>
  <c r="BT401" i="72" s="1"/>
  <c r="EG132" i="72"/>
  <c r="AV132" i="72"/>
  <c r="BS132" i="72" s="1"/>
  <c r="BT132" i="72" s="1"/>
  <c r="EG355" i="72"/>
  <c r="AV355" i="72"/>
  <c r="BS355" i="72" s="1"/>
  <c r="BT355" i="72" s="1"/>
  <c r="AX42" i="72"/>
  <c r="BS42" i="72"/>
  <c r="BT42" i="72" s="1"/>
  <c r="EG87" i="72"/>
  <c r="AV87" i="72"/>
  <c r="BS87" i="72" s="1"/>
  <c r="BT87" i="72" s="1"/>
  <c r="EG131" i="72"/>
  <c r="AV131" i="72"/>
  <c r="BS131" i="72" s="1"/>
  <c r="BT131" i="72" s="1"/>
  <c r="EG400" i="72"/>
  <c r="AV400" i="72"/>
  <c r="BS400" i="72" s="1"/>
  <c r="BT400" i="72" s="1"/>
  <c r="EG311" i="72"/>
  <c r="AV311" i="72"/>
  <c r="BS311" i="72" s="1"/>
  <c r="BT311" i="72" s="1"/>
  <c r="AX41" i="72"/>
  <c r="BS41" i="72"/>
  <c r="BT41" i="72" s="1"/>
  <c r="AL535" i="72"/>
  <c r="EG535" i="72"/>
  <c r="AV535" i="72"/>
  <c r="BS535" i="72" s="1"/>
  <c r="BT535" i="72" s="1"/>
  <c r="AL537" i="72"/>
  <c r="EG537" i="72"/>
  <c r="AV537" i="72"/>
  <c r="BS537" i="72" s="1"/>
  <c r="BT537" i="72" s="1"/>
  <c r="CF48" i="41"/>
  <c r="CE48" i="41" s="1"/>
  <c r="CF45" i="38"/>
  <c r="CE45" i="38" s="1"/>
  <c r="EJ2" i="72"/>
  <c r="BU2" i="72" s="1"/>
  <c r="EK317" i="72" a="1"/>
  <c r="EK317" i="72" s="1"/>
  <c r="EK318" i="72" s="1" a="1"/>
  <c r="EK318" i="72" s="1"/>
  <c r="EK47" i="72" a="1"/>
  <c r="EK47" i="72" s="1"/>
  <c r="EK48" i="72" s="1" a="1"/>
  <c r="EK48" i="72" s="1"/>
  <c r="EK49" i="72" s="1" a="1"/>
  <c r="EK49" i="72" s="1"/>
  <c r="AX40" i="72"/>
  <c r="BS40" i="72"/>
  <c r="BT40" i="72" s="1"/>
  <c r="EG86" i="72"/>
  <c r="AV86" i="72"/>
  <c r="BS86" i="72" s="1"/>
  <c r="BT86" i="72" s="1"/>
  <c r="EG130" i="72"/>
  <c r="AV130" i="72"/>
  <c r="BS130" i="72" s="1"/>
  <c r="BT130" i="72" s="1"/>
  <c r="EG267" i="72"/>
  <c r="AV267" i="72"/>
  <c r="BS267" i="72" s="1"/>
  <c r="BT267" i="72" s="1"/>
  <c r="EG357" i="72"/>
  <c r="AV357" i="72"/>
  <c r="BS357" i="72" s="1"/>
  <c r="BT357" i="72" s="1"/>
  <c r="EK3" i="72" a="1"/>
  <c r="EK3" i="72" s="1"/>
  <c r="EK4" i="72" s="1" a="1"/>
  <c r="EK4" i="72" s="1"/>
  <c r="EK5" i="72" s="1" a="1"/>
  <c r="EK5" i="72" s="1"/>
  <c r="AX214" i="72"/>
  <c r="AX528" i="72"/>
  <c r="EK362" i="72" a="1"/>
  <c r="EK362" i="72" s="1"/>
  <c r="EK363" i="72" s="1" a="1"/>
  <c r="EK363" i="72" s="1"/>
  <c r="AX488" i="72"/>
  <c r="AX519" i="72"/>
  <c r="AX514" i="72"/>
  <c r="EK182" i="72" a="1"/>
  <c r="EK182" i="72" s="1"/>
  <c r="EK183" i="72" s="1" a="1"/>
  <c r="EK183" i="72" s="1"/>
  <c r="EK407" i="72" a="1"/>
  <c r="EK407" i="72" s="1"/>
  <c r="EK408" i="72" s="1" a="1"/>
  <c r="EK408" i="72" s="1"/>
  <c r="EK92" i="72" a="1"/>
  <c r="EK92" i="72" s="1"/>
  <c r="AX526" i="72"/>
  <c r="AX72" i="72"/>
  <c r="EK497" i="72" a="1"/>
  <c r="EK497" i="72" s="1"/>
  <c r="EK272" i="72" a="1"/>
  <c r="EK272" i="72" s="1"/>
  <c r="EK273" i="72" s="1" a="1"/>
  <c r="EK273" i="72" s="1"/>
  <c r="EK274" i="72" s="1" a="1"/>
  <c r="EK274" i="72" s="1"/>
  <c r="EG446" i="72"/>
  <c r="AV446" i="72"/>
  <c r="BS446" i="72" s="1"/>
  <c r="BT446" i="72" s="1"/>
  <c r="EG175" i="72"/>
  <c r="AV175" i="72"/>
  <c r="BS175" i="72" s="1"/>
  <c r="BT175" i="72" s="1"/>
  <c r="EG310" i="72"/>
  <c r="AV310" i="72"/>
  <c r="BS310" i="72" s="1"/>
  <c r="BT310" i="72" s="1"/>
  <c r="EG447" i="72"/>
  <c r="AV447" i="72"/>
  <c r="BS447" i="72" s="1"/>
  <c r="BT447" i="72" s="1"/>
  <c r="EG177" i="72"/>
  <c r="AV177" i="72"/>
  <c r="BS177" i="72" s="1"/>
  <c r="BT177" i="72" s="1"/>
  <c r="EG85" i="72"/>
  <c r="AV85" i="72"/>
  <c r="BS85" i="72" s="1"/>
  <c r="BT85" i="72" s="1"/>
  <c r="EG265" i="72"/>
  <c r="AV265" i="72"/>
  <c r="BS265" i="72" s="1"/>
  <c r="BT265" i="72" s="1"/>
  <c r="EG536" i="72"/>
  <c r="AV536" i="72"/>
  <c r="BS536" i="72" s="1"/>
  <c r="BT536" i="72" s="1"/>
  <c r="AX209" i="72"/>
  <c r="EK137" i="72" a="1"/>
  <c r="EK137" i="72" s="1"/>
  <c r="EK138" i="72" s="1" a="1"/>
  <c r="EK138" i="72" s="1"/>
  <c r="EK227" i="72" a="1"/>
  <c r="EK227" i="72" s="1"/>
  <c r="EK228" i="72" s="1" a="1"/>
  <c r="EK228" i="72" s="1"/>
  <c r="EK452" i="72" a="1"/>
  <c r="EK452" i="72" s="1"/>
  <c r="AX518" i="72"/>
  <c r="AX474" i="72"/>
  <c r="AX104" i="72"/>
  <c r="AX509" i="72"/>
  <c r="EG491" i="72"/>
  <c r="AV491" i="72"/>
  <c r="BS491" i="72" s="1"/>
  <c r="BT491" i="72" s="1"/>
  <c r="EG402" i="72"/>
  <c r="AV402" i="72"/>
  <c r="BS402" i="72" s="1"/>
  <c r="BT402" i="72" s="1"/>
  <c r="EG312" i="72"/>
  <c r="AV312" i="72"/>
  <c r="BS312" i="72" s="1"/>
  <c r="BT312" i="72" s="1"/>
  <c r="EG222" i="72"/>
  <c r="AV222" i="72"/>
  <c r="BS222" i="72" s="1"/>
  <c r="BT222" i="72" s="1"/>
  <c r="EG356" i="72"/>
  <c r="AV356" i="72"/>
  <c r="BS356" i="72" s="1"/>
  <c r="BT356" i="72" s="1"/>
  <c r="EG490" i="72"/>
  <c r="AV490" i="72"/>
  <c r="BS490" i="72" s="1"/>
  <c r="BT490" i="72" s="1"/>
  <c r="EG220" i="72"/>
  <c r="AV220" i="72"/>
  <c r="BS220" i="72" s="1"/>
  <c r="BT220" i="72" s="1"/>
  <c r="EG492" i="72"/>
  <c r="AV492" i="72"/>
  <c r="BS492" i="72" s="1"/>
  <c r="BT492" i="72" s="1"/>
  <c r="BC47" i="39"/>
  <c r="BB47" i="39" s="1"/>
  <c r="H13" i="58"/>
  <c r="A148" i="58"/>
  <c r="A154" i="58"/>
  <c r="B154" i="58" s="1"/>
  <c r="CF47" i="44"/>
  <c r="CE47" i="44" s="1"/>
  <c r="CF47" i="43"/>
  <c r="CE47" i="43" s="1"/>
  <c r="CF47" i="36"/>
  <c r="CE47" i="36" s="1"/>
  <c r="CF45" i="45"/>
  <c r="CE45" i="45" s="1"/>
  <c r="CF45" i="44"/>
  <c r="CE45" i="44" s="1"/>
  <c r="CF47" i="41"/>
  <c r="CE47" i="41" s="1"/>
  <c r="CF48" i="43"/>
  <c r="CE48" i="43" s="1"/>
  <c r="CF45" i="40"/>
  <c r="CE45" i="40" s="1"/>
  <c r="CF45" i="36"/>
  <c r="CE45" i="36" s="1"/>
  <c r="CF48" i="38"/>
  <c r="CE48" i="38" s="1"/>
  <c r="CF48" i="45"/>
  <c r="CE48" i="45" s="1"/>
  <c r="CF48" i="44"/>
  <c r="CE48" i="44" s="1"/>
  <c r="CF45" i="41"/>
  <c r="CE45" i="41" s="1"/>
  <c r="CF46" i="43"/>
  <c r="CE46" i="43" s="1"/>
  <c r="CF48" i="40"/>
  <c r="CE48" i="40" s="1"/>
  <c r="CF48" i="36"/>
  <c r="CE48" i="36" s="1"/>
  <c r="CF47" i="38"/>
  <c r="CE47" i="38" s="1"/>
  <c r="CF47" i="45"/>
  <c r="CE47" i="45" s="1"/>
  <c r="CP49" i="45"/>
  <c r="A151" i="58"/>
  <c r="B151" i="58" s="1"/>
  <c r="A147" i="58"/>
  <c r="A146" i="58"/>
  <c r="A149" i="58"/>
  <c r="A143" i="58"/>
  <c r="A153" i="58"/>
  <c r="B153" i="58" s="1"/>
  <c r="BC46" i="45"/>
  <c r="BB46" i="45" s="1"/>
  <c r="CF47" i="39"/>
  <c r="CE47" i="39" s="1"/>
  <c r="CF46" i="37"/>
  <c r="CE46" i="37" s="1"/>
  <c r="CF47" i="42"/>
  <c r="CE47" i="42" s="1"/>
  <c r="CF45" i="35"/>
  <c r="CE45" i="35" s="1"/>
  <c r="B66" i="8"/>
  <c r="BZ47" i="8"/>
  <c r="BZ44" i="8"/>
  <c r="BQ48" i="8"/>
  <c r="BQ45" i="6"/>
  <c r="S4" i="60"/>
  <c r="D50" i="60"/>
  <c r="S7" i="60"/>
  <c r="D53" i="60"/>
  <c r="AK7" i="34"/>
  <c r="E54" i="31"/>
  <c r="E58" i="31" s="1"/>
  <c r="AK6" i="34"/>
  <c r="D48" i="67"/>
  <c r="E52" i="67"/>
  <c r="AF13" i="34"/>
  <c r="E50" i="67"/>
  <c r="E56" i="67"/>
  <c r="D48" i="71"/>
  <c r="E52" i="71"/>
  <c r="E50" i="71"/>
  <c r="E56" i="71"/>
  <c r="AF17" i="34"/>
  <c r="E56" i="68"/>
  <c r="D48" i="68"/>
  <c r="E52" i="68"/>
  <c r="E50" i="68"/>
  <c r="AF14" i="34"/>
  <c r="D48" i="26"/>
  <c r="E56" i="26"/>
  <c r="E50" i="26"/>
  <c r="E52" i="26"/>
  <c r="AF5" i="34"/>
  <c r="AF8" i="34"/>
  <c r="E56" i="32"/>
  <c r="D48" i="32"/>
  <c r="E52" i="32"/>
  <c r="E50" i="32"/>
  <c r="D48" i="33"/>
  <c r="E52" i="33"/>
  <c r="E56" i="33"/>
  <c r="AF9" i="34"/>
  <c r="E50" i="33"/>
  <c r="E54" i="69"/>
  <c r="E58" i="69" s="1"/>
  <c r="AK15" i="34"/>
  <c r="CE3" i="74"/>
  <c r="M55" i="57"/>
  <c r="D39" i="57"/>
  <c r="E49" i="2"/>
  <c r="D39" i="2"/>
  <c r="C88" i="80"/>
  <c r="CQ48" i="18"/>
  <c r="B90" i="80"/>
  <c r="D90" i="80" s="1"/>
  <c r="BC7" i="62"/>
  <c r="A150" i="58"/>
  <c r="B150" i="58" s="1"/>
  <c r="AD49" i="45"/>
  <c r="CQ48" i="40"/>
  <c r="AE48" i="40"/>
  <c r="CQ48" i="39"/>
  <c r="AE48" i="39"/>
  <c r="CQ48" i="38"/>
  <c r="AE48" i="38"/>
  <c r="CQ48" i="42"/>
  <c r="AE48" i="42"/>
  <c r="CQ48" i="43"/>
  <c r="AE48" i="43"/>
  <c r="CQ48" i="36"/>
  <c r="AE48" i="36"/>
  <c r="CQ48" i="44"/>
  <c r="AE48" i="44"/>
  <c r="AE48" i="18"/>
  <c r="CQ48" i="41"/>
  <c r="AE48" i="41"/>
  <c r="CQ48" i="37"/>
  <c r="AE48" i="37"/>
  <c r="CQ49" i="18"/>
  <c r="AE49" i="18"/>
  <c r="CQ48" i="35"/>
  <c r="AE48" i="35"/>
  <c r="BY8" i="9"/>
  <c r="BY9" i="9"/>
  <c r="F5" i="77" a="1"/>
  <c r="F5" i="77" s="1"/>
  <c r="F6" i="77" s="1" a="1"/>
  <c r="F6" i="77" s="1"/>
  <c r="F7" i="77" s="1" a="1"/>
  <c r="F7" i="77" s="1"/>
  <c r="Q5" i="76" a="1"/>
  <c r="Q5" i="76" s="1"/>
  <c r="S5" i="60"/>
  <c r="B45" i="39"/>
  <c r="B84" i="39" s="1"/>
  <c r="EJ45" i="39"/>
  <c r="B46" i="39"/>
  <c r="B85" i="39" s="1"/>
  <c r="EJ46" i="39"/>
  <c r="B45" i="45"/>
  <c r="B84" i="45" s="1"/>
  <c r="EJ45" i="45"/>
  <c r="B48" i="38"/>
  <c r="B87" i="38" s="1"/>
  <c r="EJ48" i="38"/>
  <c r="B47" i="45"/>
  <c r="B86" i="45" s="1"/>
  <c r="EJ47" i="45"/>
  <c r="FD63" i="34"/>
  <c r="FG59" i="34"/>
  <c r="FE59" i="34"/>
  <c r="FH59" i="34"/>
  <c r="FF59" i="34"/>
  <c r="FG58" i="34"/>
  <c r="FE58" i="34"/>
  <c r="FH58" i="34"/>
  <c r="FD62" i="34"/>
  <c r="FF58" i="34"/>
  <c r="FB54" i="34"/>
  <c r="FC54" i="34"/>
  <c r="FD65" i="34"/>
  <c r="FG61" i="34"/>
  <c r="FE61" i="34"/>
  <c r="FH61" i="34"/>
  <c r="FF61" i="34"/>
  <c r="FB56" i="34"/>
  <c r="FC56" i="34"/>
  <c r="B48" i="39"/>
  <c r="B87" i="39" s="1"/>
  <c r="EJ48" i="39"/>
  <c r="B47" i="38"/>
  <c r="B86" i="38" s="1"/>
  <c r="EJ47" i="38"/>
  <c r="B45" i="38"/>
  <c r="B84" i="38" s="1"/>
  <c r="EJ45" i="38"/>
  <c r="B46" i="45"/>
  <c r="B85" i="45" s="1"/>
  <c r="EJ46" i="45"/>
  <c r="B48" i="45"/>
  <c r="B87" i="45" s="1"/>
  <c r="EJ48" i="45"/>
  <c r="B47" i="39"/>
  <c r="B86" i="39" s="1"/>
  <c r="EJ47" i="39"/>
  <c r="B46" i="38"/>
  <c r="B85" i="38" s="1"/>
  <c r="EJ46" i="38"/>
  <c r="FB55" i="34"/>
  <c r="FC55" i="34"/>
  <c r="FB57" i="34"/>
  <c r="FC57" i="34"/>
  <c r="FD64" i="34"/>
  <c r="FG60" i="34"/>
  <c r="FE60" i="34"/>
  <c r="FH60" i="34"/>
  <c r="FF60" i="34"/>
  <c r="BL22" i="15"/>
  <c r="BG20" i="45" s="1"/>
  <c r="AG35" i="45"/>
  <c r="AD35" i="45"/>
  <c r="CH29" i="15"/>
  <c r="AG49" i="45"/>
  <c r="BL21" i="4"/>
  <c r="BG19" i="18" s="1"/>
  <c r="CE29" i="4"/>
  <c r="AG35" i="18"/>
  <c r="AG49" i="18"/>
  <c r="AE34" i="38"/>
  <c r="BL24" i="15"/>
  <c r="BG22" i="45" s="1"/>
  <c r="AE34" i="43"/>
  <c r="AE34" i="36"/>
  <c r="AE34" i="35"/>
  <c r="AE34" i="18"/>
  <c r="AE34" i="39"/>
  <c r="AE34" i="42"/>
  <c r="AE34" i="40"/>
  <c r="AE34" i="41"/>
  <c r="AE34" i="37"/>
  <c r="BS29" i="4"/>
  <c r="W35" i="18" s="1"/>
  <c r="W49" i="18" s="1"/>
  <c r="CI49" i="18" s="1"/>
  <c r="AE35" i="18"/>
  <c r="AE34" i="44"/>
  <c r="AK10" i="34"/>
  <c r="S6" i="60"/>
  <c r="BL22" i="4"/>
  <c r="BG20" i="18" s="1"/>
  <c r="DC535" i="72"/>
  <c r="DC537" i="72"/>
  <c r="DC536" i="72"/>
  <c r="BS28" i="7"/>
  <c r="W34" i="37" s="1"/>
  <c r="W48" i="37" s="1"/>
  <c r="CI48" i="37" s="1"/>
  <c r="CD29" i="4"/>
  <c r="A10" i="83"/>
  <c r="A32" i="83"/>
  <c r="AT5" i="5" a="1"/>
  <c r="AT5" i="5" s="1"/>
  <c r="BL23" i="5" s="1"/>
  <c r="BW41" i="10"/>
  <c r="CD28" i="5"/>
  <c r="BS28" i="5"/>
  <c r="W34" i="35" s="1"/>
  <c r="W48" i="35" s="1"/>
  <c r="CI48" i="35" s="1"/>
  <c r="CD28" i="8"/>
  <c r="BS28" i="8"/>
  <c r="W34" i="38" s="1"/>
  <c r="W48" i="38" s="1"/>
  <c r="CI48" i="38" s="1"/>
  <c r="BS28" i="12"/>
  <c r="W34" i="42" s="1"/>
  <c r="W48" i="42" s="1"/>
  <c r="CI48" i="42" s="1"/>
  <c r="CD28" i="12"/>
  <c r="BS28" i="6"/>
  <c r="W34" i="36" s="1"/>
  <c r="W48" i="36" s="1"/>
  <c r="CI48" i="36" s="1"/>
  <c r="CD28" i="6"/>
  <c r="BS28" i="14"/>
  <c r="W34" i="44" s="1"/>
  <c r="W48" i="44" s="1"/>
  <c r="CI48" i="44" s="1"/>
  <c r="CD28" i="14"/>
  <c r="CC29" i="15"/>
  <c r="BS29" i="15"/>
  <c r="W35" i="45" s="1"/>
  <c r="W49" i="45" s="1"/>
  <c r="CI49" i="45" s="1"/>
  <c r="BS28" i="11"/>
  <c r="W34" i="41" s="1"/>
  <c r="W48" i="41" s="1"/>
  <c r="CI48" i="41" s="1"/>
  <c r="CD28" i="11"/>
  <c r="CD28" i="10"/>
  <c r="BS28" i="10"/>
  <c r="W34" i="40" s="1"/>
  <c r="W48" i="40" s="1"/>
  <c r="CI48" i="40" s="1"/>
  <c r="CD28" i="9"/>
  <c r="BS28" i="9"/>
  <c r="W34" i="39" s="1"/>
  <c r="W48" i="39" s="1"/>
  <c r="CI48" i="39" s="1"/>
  <c r="CD28" i="13"/>
  <c r="BS28" i="13"/>
  <c r="W34" i="43" s="1"/>
  <c r="W48" i="43" s="1"/>
  <c r="CI48" i="43" s="1"/>
  <c r="CD28" i="4"/>
  <c r="CD28" i="7"/>
  <c r="BL26" i="4"/>
  <c r="BG24" i="18" s="1"/>
  <c r="AT5" i="13" a="1"/>
  <c r="AT5" i="13" s="1"/>
  <c r="BL20" i="8"/>
  <c r="BG18" i="38" s="1"/>
  <c r="BL20" i="6"/>
  <c r="BG18" i="36" s="1"/>
  <c r="BL20" i="14"/>
  <c r="BG18" i="44" s="1"/>
  <c r="BL20" i="9"/>
  <c r="BG18" i="39" s="1"/>
  <c r="BL26" i="15"/>
  <c r="BG24" i="45" s="1"/>
  <c r="CC44" i="9"/>
  <c r="K65" i="8"/>
  <c r="AL536" i="72"/>
  <c r="BL25" i="15"/>
  <c r="BG23" i="45" s="1"/>
  <c r="BL27" i="15"/>
  <c r="BG25" i="45" s="1"/>
  <c r="AT6" i="15" a="1"/>
  <c r="AT6" i="15" s="1"/>
  <c r="BF21" i="35"/>
  <c r="GH23" i="5" s="1"/>
  <c r="BF41" i="35"/>
  <c r="GH43" i="5" s="1"/>
  <c r="BF19" i="35"/>
  <c r="GH21" i="5" s="1"/>
  <c r="BF27" i="35"/>
  <c r="GH29" i="5" s="1"/>
  <c r="BF44" i="35"/>
  <c r="GH46" i="5" s="1"/>
  <c r="BF22" i="35"/>
  <c r="GH24" i="5" s="1"/>
  <c r="BF20" i="35"/>
  <c r="GH22" i="5" s="1"/>
  <c r="BF34" i="35"/>
  <c r="GH36" i="5" s="1"/>
  <c r="BF38" i="35"/>
  <c r="GH40" i="5" s="1"/>
  <c r="BF31" i="35"/>
  <c r="GH33" i="5" s="1"/>
  <c r="BF25" i="35"/>
  <c r="GH27" i="5" s="1"/>
  <c r="BF18" i="35"/>
  <c r="GH20" i="5" s="1"/>
  <c r="BF42" i="35"/>
  <c r="GH44" i="5" s="1"/>
  <c r="BF46" i="18"/>
  <c r="GH48" i="4" s="1"/>
  <c r="BF47" i="18"/>
  <c r="GH49" i="4" s="1"/>
  <c r="BF23" i="35"/>
  <c r="GH25" i="5" s="1"/>
  <c r="BF32" i="35"/>
  <c r="GH34" i="5" s="1"/>
  <c r="BF45" i="35"/>
  <c r="GH47" i="5" s="1"/>
  <c r="BF40" i="35"/>
  <c r="GH42" i="5" s="1"/>
  <c r="BF36" i="35"/>
  <c r="GH38" i="5" s="1"/>
  <c r="BF24" i="35"/>
  <c r="GH26" i="5" s="1"/>
  <c r="BF26" i="35"/>
  <c r="GH28" i="5" s="1"/>
  <c r="BF33" i="35"/>
  <c r="GH35" i="5" s="1"/>
  <c r="BF35" i="35"/>
  <c r="GH37" i="5" s="1"/>
  <c r="BF29" i="35"/>
  <c r="GH31" i="5" s="1"/>
  <c r="BF28" i="35"/>
  <c r="GH30" i="5" s="1"/>
  <c r="BF30" i="35"/>
  <c r="GH32" i="5" s="1"/>
  <c r="BF39" i="35"/>
  <c r="GH41" i="5" s="1"/>
  <c r="BF43" i="35"/>
  <c r="GH45" i="5" s="1"/>
  <c r="BF37" i="35"/>
  <c r="GH39" i="5" s="1"/>
  <c r="BE18" i="18"/>
  <c r="BL27" i="4"/>
  <c r="BG25" i="18" s="1"/>
  <c r="ET49" i="4"/>
  <c r="AJ49" i="4" s="1"/>
  <c r="BL21" i="7"/>
  <c r="BG19" i="37" s="1"/>
  <c r="H67" i="9"/>
  <c r="N67" i="9" s="1"/>
  <c r="K67" i="10"/>
  <c r="BL21" i="10"/>
  <c r="BG19" i="40" s="1"/>
  <c r="AT6" i="4" a="1"/>
  <c r="AT6" i="4" s="1"/>
  <c r="BL25" i="4"/>
  <c r="BG23" i="18" s="1"/>
  <c r="BL24" i="4"/>
  <c r="BG22" i="18" s="1"/>
  <c r="BL23" i="4"/>
  <c r="EW49" i="12"/>
  <c r="EW50" i="10"/>
  <c r="EW48" i="11"/>
  <c r="EW48" i="6"/>
  <c r="EW49" i="6"/>
  <c r="EW50" i="9"/>
  <c r="EW48" i="9"/>
  <c r="FD44" i="5"/>
  <c r="FD22" i="5"/>
  <c r="FD35" i="5"/>
  <c r="FD29" i="5"/>
  <c r="FD21" i="5"/>
  <c r="FD38" i="5"/>
  <c r="FD27" i="5"/>
  <c r="FD34" i="5"/>
  <c r="FD50" i="4"/>
  <c r="EW49" i="13"/>
  <c r="EW48" i="10"/>
  <c r="EW50" i="13"/>
  <c r="EW50" i="5"/>
  <c r="EW48" i="8"/>
  <c r="EW50" i="7"/>
  <c r="EX13" i="14"/>
  <c r="FD26" i="5"/>
  <c r="FD31" i="5"/>
  <c r="FD42" i="5"/>
  <c r="FD33" i="5"/>
  <c r="FD36" i="5"/>
  <c r="FD37" i="5"/>
  <c r="FD49" i="4"/>
  <c r="FD43" i="5"/>
  <c r="EW50" i="8"/>
  <c r="EW48" i="7"/>
  <c r="EW49" i="11"/>
  <c r="FD45" i="5"/>
  <c r="FD23" i="5"/>
  <c r="FD41" i="5"/>
  <c r="FD28" i="5"/>
  <c r="FD39" i="5"/>
  <c r="FD47" i="5"/>
  <c r="FD32" i="5"/>
  <c r="FD48" i="4"/>
  <c r="EW49" i="8"/>
  <c r="EW49" i="7"/>
  <c r="EW48" i="13"/>
  <c r="EW48" i="12"/>
  <c r="EW49" i="10"/>
  <c r="EW50" i="11"/>
  <c r="FD46" i="5"/>
  <c r="FD20" i="5"/>
  <c r="FD25" i="5"/>
  <c r="FD40" i="5"/>
  <c r="FD24" i="5"/>
  <c r="FD30" i="5"/>
  <c r="B48" i="44"/>
  <c r="B87" i="44" s="1"/>
  <c r="B46" i="42"/>
  <c r="B85" i="42" s="1"/>
  <c r="B46" i="37"/>
  <c r="B85" i="37" s="1"/>
  <c r="B46" i="36"/>
  <c r="B85" i="36" s="1"/>
  <c r="B48" i="43"/>
  <c r="B87" i="43" s="1"/>
  <c r="B47" i="35"/>
  <c r="B86" i="35" s="1"/>
  <c r="B48" i="40"/>
  <c r="B87" i="40" s="1"/>
  <c r="B47" i="44"/>
  <c r="B86" i="44" s="1"/>
  <c r="B47" i="42"/>
  <c r="B86" i="42" s="1"/>
  <c r="B47" i="41"/>
  <c r="B86" i="41" s="1"/>
  <c r="B45" i="35"/>
  <c r="B84" i="35" s="1"/>
  <c r="B45" i="43"/>
  <c r="B84" i="43" s="1"/>
  <c r="B48" i="41"/>
  <c r="B87" i="41" s="1"/>
  <c r="B48" i="37"/>
  <c r="B87" i="37" s="1"/>
  <c r="B48" i="36"/>
  <c r="B87" i="36" s="1"/>
  <c r="B46" i="43"/>
  <c r="B85" i="43" s="1"/>
  <c r="B46" i="35"/>
  <c r="B85" i="35" s="1"/>
  <c r="B47" i="40"/>
  <c r="B86" i="40" s="1"/>
  <c r="B46" i="44"/>
  <c r="B85" i="44" s="1"/>
  <c r="B48" i="42"/>
  <c r="B87" i="42" s="1"/>
  <c r="B46" i="41"/>
  <c r="B85" i="41" s="1"/>
  <c r="B45" i="37"/>
  <c r="B84" i="37" s="1"/>
  <c r="B45" i="36"/>
  <c r="B84" i="36" s="1"/>
  <c r="B45" i="40"/>
  <c r="B84" i="40" s="1"/>
  <c r="B47" i="37"/>
  <c r="B86" i="37" s="1"/>
  <c r="B47" i="36"/>
  <c r="B86" i="36" s="1"/>
  <c r="B47" i="43"/>
  <c r="B86" i="43" s="1"/>
  <c r="B48" i="35"/>
  <c r="B87" i="35" s="1"/>
  <c r="B46" i="40"/>
  <c r="B85" i="40" s="1"/>
  <c r="B45" i="44"/>
  <c r="B84" i="44" s="1"/>
  <c r="B45" i="42"/>
  <c r="B84" i="42" s="1"/>
  <c r="B45" i="41"/>
  <c r="B84" i="41" s="1"/>
  <c r="ES38" i="5"/>
  <c r="AG38" i="5" s="1"/>
  <c r="ES46" i="5"/>
  <c r="AG46" i="5" s="1"/>
  <c r="ET35" i="5"/>
  <c r="AJ35" i="5" s="1"/>
  <c r="ET33" i="5"/>
  <c r="AJ33" i="5" s="1"/>
  <c r="ES37" i="5"/>
  <c r="AG37" i="5" s="1"/>
  <c r="ET34" i="5"/>
  <c r="AJ34" i="5" s="1"/>
  <c r="ES30" i="5"/>
  <c r="AG30" i="5" s="1"/>
  <c r="ET30" i="5"/>
  <c r="AJ30" i="5" s="1"/>
  <c r="ES29" i="5"/>
  <c r="AG29" i="5" s="1"/>
  <c r="ET50" i="4"/>
  <c r="AJ50" i="4" s="1"/>
  <c r="ET47" i="5"/>
  <c r="AJ47" i="5" s="1"/>
  <c r="ES40" i="5"/>
  <c r="AG40" i="5" s="1"/>
  <c r="ET32" i="5"/>
  <c r="AJ32" i="5" s="1"/>
  <c r="ES27" i="5"/>
  <c r="AG27" i="5" s="1"/>
  <c r="ES36" i="5"/>
  <c r="AG36" i="5" s="1"/>
  <c r="ET42" i="5"/>
  <c r="AJ42" i="5" s="1"/>
  <c r="ES28" i="5"/>
  <c r="AG28" i="5" s="1"/>
  <c r="ET27" i="5"/>
  <c r="AJ27" i="5" s="1"/>
  <c r="ET36" i="5"/>
  <c r="AJ36" i="5" s="1"/>
  <c r="ET45" i="5"/>
  <c r="AJ45" i="5" s="1"/>
  <c r="ES41" i="5"/>
  <c r="AG41" i="5" s="1"/>
  <c r="ET31" i="5"/>
  <c r="AJ31" i="5" s="1"/>
  <c r="ES31" i="5"/>
  <c r="AG31" i="5" s="1"/>
  <c r="ES47" i="5"/>
  <c r="AG47" i="5" s="1"/>
  <c r="ES42" i="5"/>
  <c r="AG42" i="5" s="1"/>
  <c r="ES20" i="5"/>
  <c r="AG20" i="5" s="1"/>
  <c r="ES50" i="4"/>
  <c r="AG50" i="4" s="1"/>
  <c r="ET20" i="5"/>
  <c r="AJ20" i="5" s="1"/>
  <c r="ET28" i="5"/>
  <c r="AJ28" i="5" s="1"/>
  <c r="ES45" i="5"/>
  <c r="AG45" i="5" s="1"/>
  <c r="ET40" i="5"/>
  <c r="AJ40" i="5" s="1"/>
  <c r="ET38" i="5"/>
  <c r="AJ38" i="5" s="1"/>
  <c r="ET41" i="5"/>
  <c r="AJ41" i="5" s="1"/>
  <c r="ES34" i="5"/>
  <c r="AG34" i="5" s="1"/>
  <c r="ES21" i="5"/>
  <c r="AG21" i="5" s="1"/>
  <c r="AT5" i="10" a="1"/>
  <c r="AT5" i="10" s="1"/>
  <c r="AR13" i="15"/>
  <c r="BL20" i="5"/>
  <c r="BG18" i="35" s="1"/>
  <c r="BZ90" i="8"/>
  <c r="I14" i="51" s="1"/>
  <c r="DK38" i="8"/>
  <c r="AT5" i="11" a="1"/>
  <c r="AT5" i="11" s="1"/>
  <c r="ES23" i="5"/>
  <c r="AG23" i="5" s="1"/>
  <c r="K68" i="10"/>
  <c r="H68" i="9"/>
  <c r="N68" i="9" s="1"/>
  <c r="AL176" i="72"/>
  <c r="EW50" i="6"/>
  <c r="AL266" i="72"/>
  <c r="BL20" i="10"/>
  <c r="BG18" i="40" s="1"/>
  <c r="AL446" i="72"/>
  <c r="AL310" i="72"/>
  <c r="AL267" i="72"/>
  <c r="AL400" i="72"/>
  <c r="AL311" i="72"/>
  <c r="ET48" i="4"/>
  <c r="AJ48" i="4" s="1"/>
  <c r="EW48" i="5"/>
  <c r="AL401" i="72"/>
  <c r="AL491" i="72"/>
  <c r="AL312" i="72"/>
  <c r="AL355" i="72"/>
  <c r="AX355" i="72"/>
  <c r="BL20" i="7"/>
  <c r="ET24" i="5"/>
  <c r="AJ24" i="5" s="1"/>
  <c r="ET21" i="5"/>
  <c r="AJ21" i="5" s="1"/>
  <c r="ET29" i="5"/>
  <c r="AJ29" i="5" s="1"/>
  <c r="ES26" i="5"/>
  <c r="AG26" i="5" s="1"/>
  <c r="ET37" i="5"/>
  <c r="AJ37" i="5" s="1"/>
  <c r="ET43" i="5"/>
  <c r="AJ43" i="5" s="1"/>
  <c r="ES35" i="5"/>
  <c r="AG35" i="5" s="1"/>
  <c r="ET44" i="5"/>
  <c r="AJ44" i="5" s="1"/>
  <c r="ES32" i="5"/>
  <c r="AG32" i="5" s="1"/>
  <c r="ES39" i="5"/>
  <c r="AG39" i="5" s="1"/>
  <c r="ES33" i="5"/>
  <c r="AG33" i="5" s="1"/>
  <c r="ES25" i="5"/>
  <c r="AG25" i="5" s="1"/>
  <c r="ES24" i="5"/>
  <c r="AG24" i="5" s="1"/>
  <c r="ET26" i="5"/>
  <c r="AJ26" i="5" s="1"/>
  <c r="ET46" i="5"/>
  <c r="AJ46" i="5" s="1"/>
  <c r="ES44" i="5"/>
  <c r="AG44" i="5" s="1"/>
  <c r="ET39" i="5"/>
  <c r="AJ39" i="5" s="1"/>
  <c r="ES43" i="5"/>
  <c r="AG43" i="5" s="1"/>
  <c r="EW49" i="5"/>
  <c r="AX130" i="72"/>
  <c r="AL130" i="72"/>
  <c r="AL131" i="72"/>
  <c r="AL490" i="72"/>
  <c r="AL220" i="72"/>
  <c r="AL177" i="72"/>
  <c r="AL85" i="72"/>
  <c r="AL357" i="72"/>
  <c r="AL492" i="72"/>
  <c r="AL265" i="72"/>
  <c r="ET23" i="5"/>
  <c r="AJ23" i="5" s="1"/>
  <c r="ES22" i="5"/>
  <c r="AG22" i="5" s="1"/>
  <c r="EW49" i="14"/>
  <c r="EW49" i="9"/>
  <c r="EW50" i="12"/>
  <c r="AT5" i="9" a="1"/>
  <c r="AT5" i="9" s="1"/>
  <c r="AL222" i="72"/>
  <c r="AT5" i="8" a="1"/>
  <c r="AT5" i="8" s="1"/>
  <c r="AT5" i="7" a="1"/>
  <c r="AT5" i="7" s="1"/>
  <c r="BL20" i="12"/>
  <c r="BG18" i="42" s="1"/>
  <c r="AL447" i="72"/>
  <c r="AL86" i="72"/>
  <c r="AL87" i="72"/>
  <c r="EW48" i="14"/>
  <c r="AT5" i="14" a="1"/>
  <c r="AT5" i="14" s="1"/>
  <c r="EW50" i="14"/>
  <c r="ET22" i="5"/>
  <c r="AJ22" i="5" s="1"/>
  <c r="AL221" i="72"/>
  <c r="AL445" i="72"/>
  <c r="BL20" i="11"/>
  <c r="BG18" i="41" s="1"/>
  <c r="AL132" i="72"/>
  <c r="AL402" i="72"/>
  <c r="AL175" i="72"/>
  <c r="AT5" i="12" a="1"/>
  <c r="AT5" i="12" s="1"/>
  <c r="AL356" i="72"/>
  <c r="ES49" i="4"/>
  <c r="AG49" i="4" s="1"/>
  <c r="ES48" i="4"/>
  <c r="AG48" i="4" s="1"/>
  <c r="BL20" i="13"/>
  <c r="BG18" i="43" s="1"/>
  <c r="AT5" i="6" a="1"/>
  <c r="AT5" i="6" s="1"/>
  <c r="BL21" i="6" s="1"/>
  <c r="BG19" i="36" s="1"/>
  <c r="ET25" i="5"/>
  <c r="AJ25" i="5" s="1"/>
  <c r="E58" i="55" l="1"/>
  <c r="BL21" i="5"/>
  <c r="BL22" i="5"/>
  <c r="BG20" i="35" s="1"/>
  <c r="AK16" i="34"/>
  <c r="E54" i="70"/>
  <c r="E58" i="70" s="1"/>
  <c r="E58" i="27"/>
  <c r="L50" i="56"/>
  <c r="L51" i="56" s="1"/>
  <c r="L52" i="56" s="1"/>
  <c r="D48" i="56"/>
  <c r="E56" i="56"/>
  <c r="E50" i="56"/>
  <c r="M50" i="56"/>
  <c r="M56" i="56"/>
  <c r="AF11" i="34"/>
  <c r="E52" i="56"/>
  <c r="AD49" i="35"/>
  <c r="CP49" i="35"/>
  <c r="AD35" i="35"/>
  <c r="BF52" i="18"/>
  <c r="BF51" i="18"/>
  <c r="AL90" i="15"/>
  <c r="AH90" i="15"/>
  <c r="AZ108" i="4"/>
  <c r="AZ143" i="4"/>
  <c r="AZ107" i="7"/>
  <c r="AZ142" i="7"/>
  <c r="AZ142" i="6"/>
  <c r="AZ107" i="6"/>
  <c r="AZ142" i="8"/>
  <c r="AZ107" i="8"/>
  <c r="AZ142" i="12"/>
  <c r="AZ107" i="12"/>
  <c r="AZ107" i="5"/>
  <c r="AZ142" i="5"/>
  <c r="AZ142" i="9"/>
  <c r="AZ107" i="9"/>
  <c r="AZ142" i="11"/>
  <c r="AZ107" i="11"/>
  <c r="AZ142" i="10"/>
  <c r="AZ107" i="10"/>
  <c r="AZ142" i="14"/>
  <c r="AZ107" i="14"/>
  <c r="AZ143" i="15"/>
  <c r="AZ108" i="15"/>
  <c r="AZ107" i="13"/>
  <c r="AZ142" i="13"/>
  <c r="B143" i="58"/>
  <c r="W143" i="58" s="1"/>
  <c r="B149" i="58"/>
  <c r="W149" i="58" s="1"/>
  <c r="B148" i="58"/>
  <c r="W148" i="58" s="1"/>
  <c r="B145" i="58"/>
  <c r="W145" i="58" s="1"/>
  <c r="B144" i="58"/>
  <c r="W144" i="58" s="1"/>
  <c r="B146" i="58"/>
  <c r="W146" i="58" s="1"/>
  <c r="B147" i="58"/>
  <c r="W147" i="58" s="1"/>
  <c r="BA108" i="6"/>
  <c r="BA143" i="6"/>
  <c r="BA108" i="11"/>
  <c r="BA143" i="11"/>
  <c r="BA108" i="8"/>
  <c r="BA143" i="8"/>
  <c r="BA108" i="7"/>
  <c r="BA143" i="7"/>
  <c r="BA143" i="10"/>
  <c r="BA108" i="10"/>
  <c r="BA108" i="13"/>
  <c r="BA143" i="13"/>
  <c r="BA143" i="14"/>
  <c r="BA108" i="14"/>
  <c r="BA108" i="12"/>
  <c r="BA143" i="12"/>
  <c r="BL29" i="15"/>
  <c r="BG27" i="45" s="1"/>
  <c r="BA144" i="15"/>
  <c r="BA109" i="15"/>
  <c r="BA109" i="4"/>
  <c r="BA144" i="4"/>
  <c r="BL24" i="5"/>
  <c r="BG22" i="35" s="1"/>
  <c r="BA108" i="5"/>
  <c r="BA143" i="5"/>
  <c r="BA108" i="9"/>
  <c r="BA143" i="9"/>
  <c r="AX87" i="72"/>
  <c r="AX445" i="72"/>
  <c r="DZ23" i="35"/>
  <c r="GL25" i="5"/>
  <c r="DY47" i="18"/>
  <c r="GK49" i="4"/>
  <c r="DZ20" i="35"/>
  <c r="GL22" i="5"/>
  <c r="DY20" i="35"/>
  <c r="GK22" i="5"/>
  <c r="DZ37" i="35"/>
  <c r="GL39" i="5"/>
  <c r="DZ44" i="35"/>
  <c r="GL46" i="5"/>
  <c r="DY22" i="35"/>
  <c r="GK24" i="5"/>
  <c r="DY31" i="35"/>
  <c r="GK33" i="5"/>
  <c r="DY30" i="35"/>
  <c r="GK32" i="5"/>
  <c r="DY33" i="35"/>
  <c r="GK35" i="5"/>
  <c r="DZ35" i="35"/>
  <c r="GL37" i="5"/>
  <c r="DZ27" i="35"/>
  <c r="GL29" i="5"/>
  <c r="DZ22" i="35"/>
  <c r="GL24" i="5"/>
  <c r="DZ46" i="18"/>
  <c r="GL48" i="4"/>
  <c r="DY21" i="35"/>
  <c r="GK23" i="5"/>
  <c r="DY32" i="35"/>
  <c r="GK34" i="5"/>
  <c r="DZ36" i="35"/>
  <c r="GL38" i="5"/>
  <c r="DY43" i="35"/>
  <c r="GK45" i="5"/>
  <c r="DZ18" i="35"/>
  <c r="GL20" i="5"/>
  <c r="DY18" i="35"/>
  <c r="GK20" i="5"/>
  <c r="DY45" i="35"/>
  <c r="GK47" i="5"/>
  <c r="DZ29" i="35"/>
  <c r="GL31" i="5"/>
  <c r="DZ43" i="35"/>
  <c r="GL45" i="5"/>
  <c r="DZ25" i="35"/>
  <c r="GL27" i="5"/>
  <c r="DZ40" i="35"/>
  <c r="GL42" i="5"/>
  <c r="DY25" i="35"/>
  <c r="GK27" i="5"/>
  <c r="DY38" i="35"/>
  <c r="GK40" i="5"/>
  <c r="DZ48" i="18"/>
  <c r="GL50" i="4"/>
  <c r="DZ28" i="35"/>
  <c r="GL30" i="5"/>
  <c r="DZ32" i="35"/>
  <c r="GL34" i="5"/>
  <c r="DZ31" i="35"/>
  <c r="GL33" i="5"/>
  <c r="DY44" i="35"/>
  <c r="GK46" i="5"/>
  <c r="DZ47" i="18"/>
  <c r="GL49" i="4"/>
  <c r="DY46" i="18"/>
  <c r="GK48" i="4"/>
  <c r="DZ21" i="35"/>
  <c r="GL23" i="5"/>
  <c r="DY41" i="35"/>
  <c r="GK43" i="5"/>
  <c r="DY42" i="35"/>
  <c r="GK44" i="5"/>
  <c r="DZ24" i="35"/>
  <c r="GL26" i="5"/>
  <c r="DY23" i="35"/>
  <c r="GK25" i="5"/>
  <c r="DY37" i="35"/>
  <c r="GK39" i="5"/>
  <c r="DZ42" i="35"/>
  <c r="GL44" i="5"/>
  <c r="DZ41" i="35"/>
  <c r="GL43" i="5"/>
  <c r="DY24" i="35"/>
  <c r="GK26" i="5"/>
  <c r="DZ19" i="35"/>
  <c r="GL21" i="5"/>
  <c r="DY19" i="35"/>
  <c r="GK21" i="5"/>
  <c r="DZ39" i="35"/>
  <c r="GL41" i="5"/>
  <c r="DZ38" i="35"/>
  <c r="GL40" i="5"/>
  <c r="DZ26" i="35"/>
  <c r="GL28" i="5"/>
  <c r="DY48" i="18"/>
  <c r="GK50" i="4"/>
  <c r="DY40" i="35"/>
  <c r="GK42" i="5"/>
  <c r="DY29" i="35"/>
  <c r="GK31" i="5"/>
  <c r="DY39" i="35"/>
  <c r="GK41" i="5"/>
  <c r="DZ34" i="35"/>
  <c r="GL36" i="5"/>
  <c r="DY26" i="35"/>
  <c r="GK28" i="5"/>
  <c r="DY34" i="35"/>
  <c r="GK36" i="5"/>
  <c r="DZ30" i="35"/>
  <c r="GL32" i="5"/>
  <c r="DZ45" i="35"/>
  <c r="GL47" i="5"/>
  <c r="DY27" i="35"/>
  <c r="GK29" i="5"/>
  <c r="DY28" i="35"/>
  <c r="GK30" i="5"/>
  <c r="DY35" i="35"/>
  <c r="GK37" i="5"/>
  <c r="DZ33" i="35"/>
  <c r="GL35" i="5"/>
  <c r="DY36" i="35"/>
  <c r="GK38" i="5"/>
  <c r="DY5" i="45"/>
  <c r="H32" i="51"/>
  <c r="I70" i="25"/>
  <c r="H71" i="25"/>
  <c r="ET50" i="12"/>
  <c r="AJ50" i="12" s="1"/>
  <c r="BH10" i="7"/>
  <c r="BG10" i="7" s="1"/>
  <c r="BL25" i="5"/>
  <c r="BG23" i="35" s="1"/>
  <c r="BH10" i="5"/>
  <c r="BG10" i="5" s="1"/>
  <c r="BH10" i="9"/>
  <c r="BG10" i="9" s="1"/>
  <c r="BH10" i="14"/>
  <c r="BG10" i="14" s="1"/>
  <c r="BH10" i="8"/>
  <c r="BG10" i="8" s="1"/>
  <c r="BH10" i="11"/>
  <c r="BG10" i="11" s="1"/>
  <c r="BH10" i="6"/>
  <c r="BG10" i="6" s="1"/>
  <c r="BL22" i="10"/>
  <c r="BG20" i="40" s="1"/>
  <c r="BH10" i="10"/>
  <c r="BG10" i="10" s="1"/>
  <c r="CP50" i="45"/>
  <c r="BH11" i="15"/>
  <c r="BG11" i="15" s="1"/>
  <c r="BH10" i="13"/>
  <c r="BG10" i="13" s="1"/>
  <c r="BH10" i="12"/>
  <c r="BG10" i="12" s="1"/>
  <c r="BE30" i="35"/>
  <c r="BE40" i="35"/>
  <c r="BE25" i="35"/>
  <c r="BE19" i="35"/>
  <c r="BE37" i="35"/>
  <c r="BE28" i="35"/>
  <c r="BE26" i="35"/>
  <c r="BE45" i="35"/>
  <c r="BE46" i="18"/>
  <c r="BE31" i="35"/>
  <c r="BE22" i="35"/>
  <c r="BE41" i="35"/>
  <c r="BE33" i="35"/>
  <c r="BE43" i="35"/>
  <c r="BE29" i="35"/>
  <c r="BE24" i="35"/>
  <c r="BE32" i="35"/>
  <c r="BE42" i="35"/>
  <c r="BE38" i="35"/>
  <c r="BE44" i="35"/>
  <c r="BE21" i="35"/>
  <c r="BE47" i="18"/>
  <c r="BE20" i="35"/>
  <c r="BE39" i="35"/>
  <c r="BE35" i="35"/>
  <c r="BE36" i="35"/>
  <c r="BE23" i="35"/>
  <c r="BE34" i="35"/>
  <c r="BE27" i="35"/>
  <c r="BL28" i="4"/>
  <c r="BG26" i="18" s="1"/>
  <c r="BH11" i="4"/>
  <c r="BG11" i="4" s="1"/>
  <c r="AX86" i="72"/>
  <c r="AX177" i="72"/>
  <c r="AX491" i="72"/>
  <c r="AX310" i="72"/>
  <c r="AX311" i="72"/>
  <c r="AX537" i="72"/>
  <c r="AX132" i="72"/>
  <c r="AX131" i="72"/>
  <c r="DN221" i="72"/>
  <c r="DN357" i="72"/>
  <c r="DN220" i="72"/>
  <c r="AX175" i="72"/>
  <c r="AX447" i="72"/>
  <c r="DN536" i="72"/>
  <c r="DN311" i="72"/>
  <c r="DN312" i="72"/>
  <c r="DN445" i="72"/>
  <c r="DN490" i="72"/>
  <c r="DN491" i="72"/>
  <c r="DN131" i="72"/>
  <c r="DN176" i="72"/>
  <c r="DN537" i="72"/>
  <c r="DN177" i="72"/>
  <c r="DN266" i="72"/>
  <c r="DN401" i="72"/>
  <c r="DN447" i="72"/>
  <c r="DN356" i="72"/>
  <c r="DN355" i="72"/>
  <c r="DN222" i="72"/>
  <c r="DN86" i="72"/>
  <c r="DN87" i="72"/>
  <c r="DN267" i="72"/>
  <c r="DN402" i="72"/>
  <c r="AX85" i="72"/>
  <c r="AX267" i="72"/>
  <c r="DN535" i="72"/>
  <c r="DN130" i="72"/>
  <c r="DN132" i="72"/>
  <c r="DN175" i="72"/>
  <c r="DN400" i="72"/>
  <c r="DN446" i="72"/>
  <c r="DN310" i="72"/>
  <c r="AX221" i="72"/>
  <c r="AX400" i="72"/>
  <c r="AX401" i="72"/>
  <c r="AX176" i="72"/>
  <c r="AX266" i="72"/>
  <c r="AX357" i="72"/>
  <c r="AX312" i="72"/>
  <c r="AX356" i="72"/>
  <c r="AX265" i="72"/>
  <c r="AX446" i="72"/>
  <c r="AX220" i="72"/>
  <c r="AX222" i="72"/>
  <c r="AX490" i="72"/>
  <c r="AX402" i="72"/>
  <c r="AX492" i="72"/>
  <c r="AX535" i="72"/>
  <c r="AX536" i="72"/>
  <c r="EJ274" i="72"/>
  <c r="BU274" i="72" s="1"/>
  <c r="EJ363" i="72"/>
  <c r="BU363" i="72" s="1"/>
  <c r="EJ318" i="72"/>
  <c r="BU318" i="72" s="1"/>
  <c r="EJ183" i="72"/>
  <c r="BU183" i="72" s="1"/>
  <c r="EJ49" i="72"/>
  <c r="BU49" i="72" s="1"/>
  <c r="EK139" i="72" a="1"/>
  <c r="EK139" i="72" s="1"/>
  <c r="EK140" i="72" s="1" a="1"/>
  <c r="EK140" i="72" s="1"/>
  <c r="EK141" i="72" s="1" a="1"/>
  <c r="EK141" i="72" s="1"/>
  <c r="EJ138" i="72"/>
  <c r="BU138" i="72" s="1"/>
  <c r="EJ228" i="72"/>
  <c r="BU228" i="72" s="1"/>
  <c r="EJ452" i="72"/>
  <c r="BU452" i="72" s="1"/>
  <c r="EJ497" i="72"/>
  <c r="BU497" i="72" s="1"/>
  <c r="EJ92" i="72"/>
  <c r="BU92" i="72" s="1"/>
  <c r="EJ3" i="72"/>
  <c r="BU3" i="72" s="1"/>
  <c r="EJ47" i="72"/>
  <c r="BU47" i="72" s="1"/>
  <c r="EK319" i="72" a="1"/>
  <c r="EK319" i="72" s="1"/>
  <c r="EK320" i="72" s="1" a="1"/>
  <c r="EK320" i="72" s="1"/>
  <c r="EJ227" i="72"/>
  <c r="BU227" i="72" s="1"/>
  <c r="EJ137" i="72"/>
  <c r="BU137" i="72" s="1"/>
  <c r="EJ273" i="72"/>
  <c r="BU273" i="72" s="1"/>
  <c r="EJ182" i="72"/>
  <c r="BU182" i="72" s="1"/>
  <c r="EJ362" i="72"/>
  <c r="BU362" i="72" s="1"/>
  <c r="EK6" i="72" a="1"/>
  <c r="EK6" i="72" s="1"/>
  <c r="EK50" i="72" a="1"/>
  <c r="EK50" i="72" s="1"/>
  <c r="EJ272" i="72"/>
  <c r="BU272" i="72" s="1"/>
  <c r="EK498" i="72" a="1"/>
  <c r="EK498" i="72" s="1"/>
  <c r="EK499" i="72" s="1" a="1"/>
  <c r="EK499" i="72" s="1"/>
  <c r="EK409" i="72" a="1"/>
  <c r="EK409" i="72" s="1"/>
  <c r="EJ408" i="72"/>
  <c r="BU408" i="72" s="1"/>
  <c r="EJ317" i="72"/>
  <c r="BU317" i="72" s="1"/>
  <c r="EJ5" i="72"/>
  <c r="BU5" i="72" s="1"/>
  <c r="EK453" i="72" a="1"/>
  <c r="EK453" i="72" s="1"/>
  <c r="EK229" i="72" a="1"/>
  <c r="EK229" i="72" s="1"/>
  <c r="EK230" i="72" s="1" a="1"/>
  <c r="EK230" i="72" s="1"/>
  <c r="EJ4" i="72"/>
  <c r="BU4" i="72" s="1"/>
  <c r="EK275" i="72" a="1"/>
  <c r="EK275" i="72" s="1"/>
  <c r="EK93" i="72" a="1"/>
  <c r="EK93" i="72" s="1"/>
  <c r="EK94" i="72" s="1" a="1"/>
  <c r="EK94" i="72" s="1"/>
  <c r="EJ407" i="72"/>
  <c r="BU407" i="72" s="1"/>
  <c r="EK184" i="72" a="1"/>
  <c r="EK184" i="72" s="1"/>
  <c r="EK364" i="72" a="1"/>
  <c r="EK364" i="72" s="1"/>
  <c r="EJ48" i="72"/>
  <c r="BU48" i="72" s="1"/>
  <c r="BQ45" i="7"/>
  <c r="B66" i="9"/>
  <c r="BZ47" i="9"/>
  <c r="BZ44" i="9"/>
  <c r="BQ48" i="9"/>
  <c r="AK8" i="34"/>
  <c r="E54" i="32"/>
  <c r="E58" i="32" s="1"/>
  <c r="AK9" i="34"/>
  <c r="E54" i="33"/>
  <c r="E58" i="33" s="1"/>
  <c r="AK5" i="34"/>
  <c r="E54" i="26"/>
  <c r="E58" i="26" s="1"/>
  <c r="AK17" i="34"/>
  <c r="E54" i="71"/>
  <c r="E58" i="71" s="1"/>
  <c r="AK13" i="34"/>
  <c r="E54" i="67"/>
  <c r="E58" i="67" s="1"/>
  <c r="AK14" i="34"/>
  <c r="E54" i="68"/>
  <c r="E58" i="68" s="1"/>
  <c r="CF3" i="74"/>
  <c r="C90" i="80"/>
  <c r="B92" i="80"/>
  <c r="E56" i="2"/>
  <c r="D48" i="2"/>
  <c r="AF4" i="34"/>
  <c r="E50" i="2"/>
  <c r="E52" i="2"/>
  <c r="BY8" i="10"/>
  <c r="BY9" i="11" s="1"/>
  <c r="BW41" i="11"/>
  <c r="BW41" i="12" s="1"/>
  <c r="BY9" i="10"/>
  <c r="BL22" i="7"/>
  <c r="BG20" i="37" s="1"/>
  <c r="CP49" i="37"/>
  <c r="CQ49" i="37"/>
  <c r="AE49" i="37"/>
  <c r="AD49" i="37"/>
  <c r="BL22" i="9"/>
  <c r="BG20" i="39" s="1"/>
  <c r="CP49" i="39"/>
  <c r="CQ49" i="39"/>
  <c r="AE49" i="39"/>
  <c r="AD49" i="39"/>
  <c r="CQ49" i="40"/>
  <c r="CP49" i="40"/>
  <c r="AD49" i="40"/>
  <c r="AE49" i="40"/>
  <c r="BL31" i="15"/>
  <c r="BG29" i="45" s="1"/>
  <c r="AD50" i="45"/>
  <c r="BL21" i="13"/>
  <c r="BG19" i="43" s="1"/>
  <c r="CP49" i="43"/>
  <c r="CQ49" i="43"/>
  <c r="AE49" i="43"/>
  <c r="AD49" i="43"/>
  <c r="BL26" i="5"/>
  <c r="BG24" i="35" s="1"/>
  <c r="CQ49" i="35"/>
  <c r="AE49" i="35"/>
  <c r="BL23" i="6"/>
  <c r="BG21" i="36" s="1"/>
  <c r="CP49" i="36"/>
  <c r="CQ49" i="36"/>
  <c r="AE49" i="36"/>
  <c r="AD49" i="36"/>
  <c r="BL23" i="12"/>
  <c r="BG21" i="42" s="1"/>
  <c r="CP49" i="42"/>
  <c r="CQ49" i="42"/>
  <c r="AE49" i="42"/>
  <c r="AD49" i="42"/>
  <c r="CP49" i="44"/>
  <c r="CQ49" i="44"/>
  <c r="AE49" i="44"/>
  <c r="AD49" i="44"/>
  <c r="CP49" i="38"/>
  <c r="CQ49" i="38"/>
  <c r="AE49" i="38"/>
  <c r="AD49" i="38"/>
  <c r="CP49" i="41"/>
  <c r="CQ49" i="41"/>
  <c r="AE49" i="41"/>
  <c r="AD49" i="41"/>
  <c r="CQ50" i="18"/>
  <c r="AE50" i="18"/>
  <c r="Q6" i="76" a="1"/>
  <c r="Q6" i="76" s="1"/>
  <c r="F8" i="77" a="1"/>
  <c r="F8" i="77" s="1"/>
  <c r="F9" i="77" s="1" a="1"/>
  <c r="F9" i="77" s="1"/>
  <c r="F10" i="77" s="1" a="1"/>
  <c r="F10" i="77" s="1"/>
  <c r="FB60" i="34"/>
  <c r="FC60" i="34"/>
  <c r="FD68" i="34"/>
  <c r="FG64" i="34"/>
  <c r="FE64" i="34"/>
  <c r="FH64" i="34"/>
  <c r="FF64" i="34"/>
  <c r="FB61" i="34"/>
  <c r="FC61" i="34"/>
  <c r="FD69" i="34"/>
  <c r="FG65" i="34"/>
  <c r="FE65" i="34"/>
  <c r="FH65" i="34"/>
  <c r="FF65" i="34"/>
  <c r="FD66" i="34"/>
  <c r="FG62" i="34"/>
  <c r="FE62" i="34"/>
  <c r="FH62" i="34"/>
  <c r="FF62" i="34"/>
  <c r="FB58" i="34"/>
  <c r="FC58" i="34"/>
  <c r="FB59" i="34"/>
  <c r="FC59" i="34"/>
  <c r="FD67" i="34"/>
  <c r="FG63" i="34"/>
  <c r="FE63" i="34"/>
  <c r="FH63" i="34"/>
  <c r="FF63" i="34"/>
  <c r="BL29" i="4"/>
  <c r="BG27" i="18" s="1"/>
  <c r="AG50" i="18"/>
  <c r="CE30" i="4"/>
  <c r="AG36" i="18"/>
  <c r="AG50" i="45"/>
  <c r="AD36" i="45"/>
  <c r="AG36" i="45"/>
  <c r="CH30" i="15"/>
  <c r="BL22" i="6"/>
  <c r="BG20" i="36" s="1"/>
  <c r="BL24" i="6"/>
  <c r="BG22" i="36" s="1"/>
  <c r="BL21" i="9"/>
  <c r="BG19" i="39" s="1"/>
  <c r="BL21" i="12"/>
  <c r="BG19" i="42" s="1"/>
  <c r="BL23" i="9"/>
  <c r="BG21" i="39" s="1"/>
  <c r="BL24" i="9"/>
  <c r="BG22" i="39" s="1"/>
  <c r="BL28" i="15"/>
  <c r="BG26" i="45" s="1"/>
  <c r="BL22" i="12"/>
  <c r="BG20" i="42" s="1"/>
  <c r="BL30" i="15"/>
  <c r="BG28" i="45" s="1"/>
  <c r="BL21" i="8"/>
  <c r="BG19" i="38" s="1"/>
  <c r="AE35" i="38"/>
  <c r="AD35" i="38"/>
  <c r="BL26" i="14"/>
  <c r="BG24" i="44" s="1"/>
  <c r="AE35" i="44"/>
  <c r="AD35" i="44"/>
  <c r="BL22" i="14"/>
  <c r="BG20" i="44" s="1"/>
  <c r="BL21" i="14"/>
  <c r="BG19" i="44" s="1"/>
  <c r="BL25" i="9"/>
  <c r="BG23" i="39" s="1"/>
  <c r="AD35" i="39"/>
  <c r="AE35" i="39"/>
  <c r="BL24" i="12"/>
  <c r="BG22" i="42" s="1"/>
  <c r="AD35" i="42"/>
  <c r="AE35" i="42"/>
  <c r="BL23" i="14"/>
  <c r="BG21" i="44" s="1"/>
  <c r="BL23" i="10"/>
  <c r="BG21" i="40" s="1"/>
  <c r="AD35" i="40"/>
  <c r="AE35" i="40"/>
  <c r="BS30" i="4"/>
  <c r="W36" i="18" s="1"/>
  <c r="W50" i="18" s="1"/>
  <c r="CI50" i="18" s="1"/>
  <c r="AE36" i="18"/>
  <c r="AE35" i="35"/>
  <c r="AD35" i="41"/>
  <c r="AE35" i="41"/>
  <c r="BL22" i="13"/>
  <c r="BG20" i="43" s="1"/>
  <c r="AD35" i="43"/>
  <c r="AE35" i="43"/>
  <c r="BL24" i="14"/>
  <c r="BG22" i="44" s="1"/>
  <c r="BL26" i="6"/>
  <c r="BG24" i="36" s="1"/>
  <c r="AD35" i="36"/>
  <c r="AE35" i="36"/>
  <c r="BL25" i="14"/>
  <c r="BG23" i="44" s="1"/>
  <c r="BL23" i="7"/>
  <c r="BG21" i="37" s="1"/>
  <c r="AE35" i="37"/>
  <c r="AD35" i="37"/>
  <c r="BL25" i="6"/>
  <c r="BG23" i="36" s="1"/>
  <c r="BL24" i="13"/>
  <c r="BG22" i="43" s="1"/>
  <c r="CD30" i="4"/>
  <c r="AT6" i="13" a="1"/>
  <c r="AT6" i="13" s="1"/>
  <c r="A11" i="83"/>
  <c r="A33" i="83"/>
  <c r="AT6" i="5" a="1"/>
  <c r="AT6" i="5" s="1"/>
  <c r="BL30" i="5" s="1"/>
  <c r="BG28" i="35" s="1"/>
  <c r="CC29" i="12"/>
  <c r="BS29" i="12"/>
  <c r="W35" i="42" s="1"/>
  <c r="W49" i="42" s="1"/>
  <c r="CI49" i="42" s="1"/>
  <c r="CD29" i="12"/>
  <c r="CC29" i="7"/>
  <c r="BS29" i="7"/>
  <c r="W35" i="37" s="1"/>
  <c r="W49" i="37" s="1"/>
  <c r="CI49" i="37" s="1"/>
  <c r="CD29" i="9"/>
  <c r="CC29" i="9"/>
  <c r="BS29" i="9"/>
  <c r="W35" i="39" s="1"/>
  <c r="W49" i="39" s="1"/>
  <c r="CI49" i="39" s="1"/>
  <c r="CD29" i="10"/>
  <c r="CC29" i="10"/>
  <c r="BS29" i="10"/>
  <c r="W35" i="40" s="1"/>
  <c r="W49" i="40" s="1"/>
  <c r="CI49" i="40" s="1"/>
  <c r="CD29" i="13"/>
  <c r="CC29" i="13"/>
  <c r="BS29" i="13"/>
  <c r="W35" i="43" s="1"/>
  <c r="W49" i="43" s="1"/>
  <c r="CI49" i="43" s="1"/>
  <c r="CD29" i="6"/>
  <c r="BS29" i="6"/>
  <c r="W35" i="36" s="1"/>
  <c r="W49" i="36" s="1"/>
  <c r="CI49" i="36" s="1"/>
  <c r="CC29" i="6"/>
  <c r="CC29" i="5"/>
  <c r="CD29" i="5"/>
  <c r="BS29" i="5"/>
  <c r="W35" i="35" s="1"/>
  <c r="W49" i="35" s="1"/>
  <c r="CI49" i="35" s="1"/>
  <c r="CC29" i="14"/>
  <c r="BS29" i="14"/>
  <c r="W35" i="44" s="1"/>
  <c r="W49" i="44" s="1"/>
  <c r="CI49" i="44" s="1"/>
  <c r="CD29" i="14"/>
  <c r="CD29" i="8"/>
  <c r="BS29" i="8"/>
  <c r="W35" i="38" s="1"/>
  <c r="W49" i="38" s="1"/>
  <c r="CI49" i="38" s="1"/>
  <c r="CC29" i="8"/>
  <c r="CC29" i="11"/>
  <c r="CD29" i="11"/>
  <c r="BS29" i="11"/>
  <c r="W35" i="41" s="1"/>
  <c r="W49" i="41" s="1"/>
  <c r="CI49" i="41" s="1"/>
  <c r="BS30" i="15"/>
  <c r="W36" i="45" s="1"/>
  <c r="W50" i="45" s="1"/>
  <c r="CI50" i="45" s="1"/>
  <c r="CC30" i="15"/>
  <c r="BL23" i="13"/>
  <c r="BG21" i="43" s="1"/>
  <c r="BL27" i="14"/>
  <c r="BG25" i="44" s="1"/>
  <c r="BL25" i="7"/>
  <c r="BG23" i="37" s="1"/>
  <c r="CD29" i="7"/>
  <c r="BL25" i="11"/>
  <c r="BG23" i="41" s="1"/>
  <c r="BL25" i="13"/>
  <c r="BG23" i="43" s="1"/>
  <c r="BL25" i="10"/>
  <c r="BG23" i="40" s="1"/>
  <c r="BL27" i="13"/>
  <c r="BG25" i="43" s="1"/>
  <c r="BL26" i="13"/>
  <c r="BG24" i="43" s="1"/>
  <c r="BL33" i="4"/>
  <c r="BG31" i="18" s="1"/>
  <c r="AT7" i="15" a="1"/>
  <c r="AT7" i="15" s="1"/>
  <c r="BL34" i="15"/>
  <c r="BG32" i="45" s="1"/>
  <c r="BL33" i="15"/>
  <c r="BG31" i="45" s="1"/>
  <c r="CC44" i="10"/>
  <c r="K65" i="9"/>
  <c r="BL32" i="15"/>
  <c r="BG30" i="45" s="1"/>
  <c r="BP31" i="18"/>
  <c r="BX34" i="18"/>
  <c r="BF50" i="18"/>
  <c r="BX29" i="18"/>
  <c r="BF39" i="36"/>
  <c r="GH41" i="6" s="1"/>
  <c r="BF20" i="36"/>
  <c r="GH22" i="6" s="1"/>
  <c r="BF27" i="36"/>
  <c r="GH29" i="6" s="1"/>
  <c r="BF38" i="36"/>
  <c r="GH40" i="6" s="1"/>
  <c r="BF48" i="39"/>
  <c r="GH50" i="9" s="1"/>
  <c r="BF37" i="36"/>
  <c r="GH39" i="6" s="1"/>
  <c r="BF42" i="36"/>
  <c r="GH44" i="6" s="1"/>
  <c r="BF48" i="37"/>
  <c r="GH50" i="7" s="1"/>
  <c r="BF48" i="35"/>
  <c r="GH50" i="5" s="1"/>
  <c r="BF47" i="35"/>
  <c r="GH49" i="5" s="1"/>
  <c r="BF21" i="36"/>
  <c r="GH23" i="6" s="1"/>
  <c r="BF30" i="42"/>
  <c r="GH32" i="12" s="1"/>
  <c r="BF21" i="42"/>
  <c r="GH23" i="12" s="1"/>
  <c r="BF28" i="42"/>
  <c r="GH30" i="12" s="1"/>
  <c r="BF24" i="40"/>
  <c r="GH26" i="10" s="1"/>
  <c r="BF42" i="39"/>
  <c r="GH44" i="9" s="1"/>
  <c r="BF35" i="37"/>
  <c r="GH37" i="7" s="1"/>
  <c r="BF38" i="42"/>
  <c r="GH40" i="12" s="1"/>
  <c r="BF27" i="41"/>
  <c r="GH29" i="11" s="1"/>
  <c r="BF23" i="39"/>
  <c r="GH25" i="9" s="1"/>
  <c r="BF44" i="38"/>
  <c r="GH46" i="8" s="1"/>
  <c r="BF30" i="37"/>
  <c r="GH32" i="7" s="1"/>
  <c r="BF28" i="40"/>
  <c r="GH30" i="10" s="1"/>
  <c r="BF26" i="42"/>
  <c r="GH28" i="12" s="1"/>
  <c r="BF34" i="40"/>
  <c r="GH36" i="10" s="1"/>
  <c r="BF35" i="38"/>
  <c r="GH37" i="8" s="1"/>
  <c r="BF46" i="37"/>
  <c r="GH48" i="7" s="1"/>
  <c r="BF40" i="42"/>
  <c r="GH42" i="12" s="1"/>
  <c r="BF28" i="41"/>
  <c r="GH30" i="11" s="1"/>
  <c r="BF45" i="37"/>
  <c r="GH47" i="7" s="1"/>
  <c r="BF34" i="39"/>
  <c r="GH36" i="9" s="1"/>
  <c r="BF47" i="38"/>
  <c r="GH49" i="8" s="1"/>
  <c r="BF22" i="40"/>
  <c r="GH24" i="10" s="1"/>
  <c r="BF20" i="41"/>
  <c r="GH22" i="11" s="1"/>
  <c r="BF37" i="39"/>
  <c r="GH39" i="9" s="1"/>
  <c r="BF23" i="38"/>
  <c r="GH25" i="8" s="1"/>
  <c r="BF34" i="41"/>
  <c r="GH36" i="11" s="1"/>
  <c r="BF22" i="41"/>
  <c r="GH24" i="11" s="1"/>
  <c r="BF33" i="39"/>
  <c r="GH35" i="9" s="1"/>
  <c r="BF35" i="43"/>
  <c r="GH37" i="13" s="1"/>
  <c r="BF33" i="43"/>
  <c r="GH35" i="13" s="1"/>
  <c r="BF24" i="38"/>
  <c r="GH26" i="8" s="1"/>
  <c r="BF31" i="40"/>
  <c r="GH33" i="10" s="1"/>
  <c r="BF29" i="42"/>
  <c r="GH31" i="12" s="1"/>
  <c r="BF40" i="38"/>
  <c r="GH42" i="8" s="1"/>
  <c r="BF29" i="40"/>
  <c r="GH31" i="10" s="1"/>
  <c r="BF24" i="43"/>
  <c r="GH26" i="13" s="1"/>
  <c r="BF35" i="42"/>
  <c r="GH37" i="12" s="1"/>
  <c r="BF41" i="41"/>
  <c r="GH43" i="11" s="1"/>
  <c r="BF30" i="38"/>
  <c r="GH32" i="8" s="1"/>
  <c r="BF25" i="40"/>
  <c r="GH27" i="10" s="1"/>
  <c r="BF48" i="36"/>
  <c r="GH50" i="6" s="1"/>
  <c r="BF46" i="38"/>
  <c r="GH48" i="8" s="1"/>
  <c r="BF41" i="40"/>
  <c r="GH43" i="10" s="1"/>
  <c r="BF18" i="43"/>
  <c r="GH20" i="13" s="1"/>
  <c r="BF31" i="37"/>
  <c r="GH33" i="7" s="1"/>
  <c r="BF19" i="43"/>
  <c r="GH21" i="13" s="1"/>
  <c r="BF28" i="43"/>
  <c r="GH30" i="13" s="1"/>
  <c r="BF34" i="43"/>
  <c r="GH36" i="13" s="1"/>
  <c r="BF36" i="37"/>
  <c r="GH38" i="7" s="1"/>
  <c r="BF43" i="39"/>
  <c r="GH45" i="9" s="1"/>
  <c r="BF19" i="41"/>
  <c r="GH21" i="11" s="1"/>
  <c r="BF21" i="37"/>
  <c r="GH23" i="7" s="1"/>
  <c r="BF20" i="39"/>
  <c r="GH22" i="9" s="1"/>
  <c r="BF20" i="43"/>
  <c r="GH22" i="13" s="1"/>
  <c r="BF36" i="43"/>
  <c r="GH38" i="13" s="1"/>
  <c r="BF47" i="43"/>
  <c r="GH49" i="13" s="1"/>
  <c r="BF31" i="43"/>
  <c r="GH33" i="13" s="1"/>
  <c r="BF46" i="43"/>
  <c r="GH48" i="13" s="1"/>
  <c r="BF30" i="43"/>
  <c r="GH32" i="13" s="1"/>
  <c r="BF45" i="43"/>
  <c r="GH47" i="13" s="1"/>
  <c r="BF29" i="43"/>
  <c r="GH31" i="13" s="1"/>
  <c r="BF39" i="41"/>
  <c r="GH41" i="11" s="1"/>
  <c r="BP29" i="18"/>
  <c r="BP35" i="18"/>
  <c r="BX30" i="18"/>
  <c r="BF47" i="36"/>
  <c r="GH49" i="6" s="1"/>
  <c r="BF28" i="36"/>
  <c r="GH30" i="6" s="1"/>
  <c r="BF34" i="37"/>
  <c r="GH36" i="7" s="1"/>
  <c r="BF28" i="37"/>
  <c r="GH30" i="7" s="1"/>
  <c r="BF19" i="38"/>
  <c r="GH21" i="8" s="1"/>
  <c r="BF32" i="38"/>
  <c r="GH34" i="8" s="1"/>
  <c r="BF38" i="39"/>
  <c r="GH40" i="9" s="1"/>
  <c r="BF19" i="39"/>
  <c r="GH21" i="9" s="1"/>
  <c r="BF36" i="40"/>
  <c r="GH38" i="10" s="1"/>
  <c r="BF19" i="40"/>
  <c r="GH21" i="10" s="1"/>
  <c r="BF48" i="41"/>
  <c r="GH50" i="11" s="1"/>
  <c r="BF20" i="42"/>
  <c r="GH22" i="12" s="1"/>
  <c r="BF23" i="41"/>
  <c r="GH25" i="11" s="1"/>
  <c r="BF35" i="36"/>
  <c r="GH37" i="6" s="1"/>
  <c r="BF44" i="36"/>
  <c r="GH46" i="6" s="1"/>
  <c r="BF47" i="37"/>
  <c r="GH49" i="7" s="1"/>
  <c r="BF44" i="37"/>
  <c r="GH46" i="7" s="1"/>
  <c r="BF29" i="38"/>
  <c r="GH31" i="8" s="1"/>
  <c r="BF48" i="38"/>
  <c r="GH50" i="8" s="1"/>
  <c r="BF39" i="39"/>
  <c r="GH41" i="9" s="1"/>
  <c r="BF35" i="39"/>
  <c r="GH37" i="9" s="1"/>
  <c r="BF21" i="40"/>
  <c r="GH23" i="10" s="1"/>
  <c r="BF35" i="40"/>
  <c r="GH37" i="10" s="1"/>
  <c r="BF30" i="41"/>
  <c r="GH32" i="11" s="1"/>
  <c r="BF23" i="42"/>
  <c r="GH25" i="12" s="1"/>
  <c r="BF41" i="42"/>
  <c r="GH43" i="12" s="1"/>
  <c r="BF40" i="41"/>
  <c r="GH42" i="11" s="1"/>
  <c r="BF22" i="36"/>
  <c r="GH24" i="6" s="1"/>
  <c r="BF33" i="36"/>
  <c r="GH35" i="6" s="1"/>
  <c r="BF37" i="37"/>
  <c r="GH39" i="7" s="1"/>
  <c r="BF27" i="37"/>
  <c r="GH29" i="7" s="1"/>
  <c r="BF45" i="38"/>
  <c r="GH47" i="8" s="1"/>
  <c r="BF31" i="38"/>
  <c r="GH33" i="8" s="1"/>
  <c r="BF36" i="39"/>
  <c r="GH38" i="9" s="1"/>
  <c r="BF18" i="39"/>
  <c r="GH20" i="9" s="1"/>
  <c r="BF23" i="40"/>
  <c r="GH25" i="10" s="1"/>
  <c r="BF26" i="40"/>
  <c r="GH28" i="10" s="1"/>
  <c r="BF44" i="41"/>
  <c r="GH46" i="11" s="1"/>
  <c r="BF42" i="42"/>
  <c r="GH44" i="12" s="1"/>
  <c r="BF44" i="42"/>
  <c r="GH46" i="12" s="1"/>
  <c r="BF30" i="40"/>
  <c r="GH32" i="10" s="1"/>
  <c r="BF37" i="41"/>
  <c r="GH39" i="11" s="1"/>
  <c r="BF32" i="39"/>
  <c r="GH34" i="9" s="1"/>
  <c r="BF42" i="38"/>
  <c r="GH44" i="8" s="1"/>
  <c r="BF45" i="36"/>
  <c r="GH47" i="6" s="1"/>
  <c r="BF45" i="39"/>
  <c r="GH47" i="9" s="1"/>
  <c r="BF39" i="38"/>
  <c r="GH41" i="8" s="1"/>
  <c r="BF31" i="36"/>
  <c r="GH33" i="6" s="1"/>
  <c r="BF27" i="39"/>
  <c r="GH29" i="9" s="1"/>
  <c r="BF40" i="37"/>
  <c r="GH42" i="7" s="1"/>
  <c r="BF24" i="41"/>
  <c r="GH26" i="11" s="1"/>
  <c r="BF32" i="42"/>
  <c r="GH34" i="12" s="1"/>
  <c r="BF40" i="40"/>
  <c r="GH42" i="10" s="1"/>
  <c r="BF32" i="43"/>
  <c r="GH34" i="13" s="1"/>
  <c r="BF48" i="43"/>
  <c r="GH50" i="13" s="1"/>
  <c r="BF43" i="43"/>
  <c r="GH45" i="13" s="1"/>
  <c r="BF27" i="43"/>
  <c r="GH29" i="13" s="1"/>
  <c r="BF42" i="43"/>
  <c r="GH44" i="13" s="1"/>
  <c r="BF26" i="43"/>
  <c r="GH28" i="13" s="1"/>
  <c r="BF41" i="43"/>
  <c r="GH43" i="13" s="1"/>
  <c r="BF25" i="43"/>
  <c r="GH27" i="13" s="1"/>
  <c r="BP33" i="18"/>
  <c r="BX31" i="18"/>
  <c r="BX35" i="18"/>
  <c r="BX28" i="18"/>
  <c r="BE52" i="18"/>
  <c r="BP34" i="18"/>
  <c r="BF19" i="36"/>
  <c r="GH21" i="6" s="1"/>
  <c r="BF30" i="36"/>
  <c r="GH32" i="6" s="1"/>
  <c r="BF23" i="37"/>
  <c r="GH25" i="7" s="1"/>
  <c r="BF22" i="37"/>
  <c r="GH24" i="7" s="1"/>
  <c r="BF27" i="38"/>
  <c r="GH29" i="8" s="1"/>
  <c r="BF34" i="38"/>
  <c r="GH36" i="8" s="1"/>
  <c r="BF30" i="39"/>
  <c r="GH32" i="9" s="1"/>
  <c r="BF22" i="39"/>
  <c r="GH24" i="9" s="1"/>
  <c r="BF38" i="40"/>
  <c r="GH40" i="10" s="1"/>
  <c r="BF39" i="40"/>
  <c r="GH41" i="10" s="1"/>
  <c r="BF34" i="42"/>
  <c r="GH36" i="12" s="1"/>
  <c r="BF36" i="42"/>
  <c r="GH38" i="12" s="1"/>
  <c r="BF25" i="41"/>
  <c r="GH27" i="11" s="1"/>
  <c r="BF24" i="36"/>
  <c r="GH26" i="6" s="1"/>
  <c r="BF46" i="36"/>
  <c r="GH48" i="6" s="1"/>
  <c r="BF39" i="37"/>
  <c r="GH41" i="7" s="1"/>
  <c r="BF26" i="37"/>
  <c r="GH28" i="7" s="1"/>
  <c r="BF43" i="38"/>
  <c r="GH45" i="8" s="1"/>
  <c r="BF20" i="38"/>
  <c r="GH22" i="8" s="1"/>
  <c r="BF46" i="39"/>
  <c r="GH48" i="9" s="1"/>
  <c r="BF44" i="39"/>
  <c r="GH46" i="9" s="1"/>
  <c r="BF43" i="40"/>
  <c r="GH45" i="10" s="1"/>
  <c r="BF46" i="41"/>
  <c r="GH48" i="11" s="1"/>
  <c r="BF32" i="41"/>
  <c r="GH34" i="11" s="1"/>
  <c r="BF39" i="42"/>
  <c r="GH41" i="12" s="1"/>
  <c r="BF45" i="42"/>
  <c r="GH47" i="12" s="1"/>
  <c r="BF29" i="41"/>
  <c r="GH31" i="11" s="1"/>
  <c r="BE18" i="35"/>
  <c r="BF32" i="36"/>
  <c r="GH34" i="6" s="1"/>
  <c r="BF29" i="36"/>
  <c r="GH31" i="6" s="1"/>
  <c r="BF33" i="37"/>
  <c r="GH35" i="7" s="1"/>
  <c r="BF29" i="37"/>
  <c r="GH31" i="7" s="1"/>
  <c r="BF26" i="38"/>
  <c r="GH28" i="8" s="1"/>
  <c r="BF41" i="38"/>
  <c r="GH43" i="8" s="1"/>
  <c r="BF29" i="39"/>
  <c r="GH31" i="9" s="1"/>
  <c r="BF28" i="39"/>
  <c r="GH30" i="9" s="1"/>
  <c r="BF37" i="40"/>
  <c r="GH39" i="10" s="1"/>
  <c r="BF44" i="40"/>
  <c r="GH46" i="10" s="1"/>
  <c r="BF18" i="41"/>
  <c r="GH20" i="11" s="1"/>
  <c r="BF27" i="42"/>
  <c r="GH29" i="12" s="1"/>
  <c r="BF18" i="42"/>
  <c r="GH20" i="12" s="1"/>
  <c r="BF31" i="42"/>
  <c r="GH33" i="12" s="1"/>
  <c r="BF33" i="41"/>
  <c r="GH35" i="11" s="1"/>
  <c r="BF47" i="39"/>
  <c r="GH49" i="9" s="1"/>
  <c r="BF18" i="37"/>
  <c r="GH20" i="7" s="1"/>
  <c r="BF25" i="36"/>
  <c r="GH27" i="6" s="1"/>
  <c r="BF42" i="41"/>
  <c r="GH44" i="11" s="1"/>
  <c r="BF21" i="39"/>
  <c r="GH23" i="9" s="1"/>
  <c r="BF43" i="37"/>
  <c r="GH45" i="7" s="1"/>
  <c r="BF34" i="36"/>
  <c r="GH36" i="6" s="1"/>
  <c r="BF43" i="41"/>
  <c r="GH45" i="11" s="1"/>
  <c r="BF36" i="38"/>
  <c r="GH38" i="8" s="1"/>
  <c r="BF20" i="37"/>
  <c r="GH22" i="7" s="1"/>
  <c r="BF35" i="41"/>
  <c r="GH37" i="11" s="1"/>
  <c r="BF20" i="40"/>
  <c r="GH22" i="10" s="1"/>
  <c r="BF42" i="40"/>
  <c r="GH44" i="10" s="1"/>
  <c r="BF44" i="43"/>
  <c r="GH46" i="13" s="1"/>
  <c r="BF40" i="43"/>
  <c r="GH42" i="13" s="1"/>
  <c r="BF39" i="43"/>
  <c r="GH41" i="13" s="1"/>
  <c r="BF23" i="43"/>
  <c r="GH25" i="13" s="1"/>
  <c r="BF38" i="43"/>
  <c r="GH40" i="13" s="1"/>
  <c r="BF22" i="43"/>
  <c r="GH24" i="13" s="1"/>
  <c r="BF37" i="43"/>
  <c r="GH39" i="13" s="1"/>
  <c r="BF21" i="43"/>
  <c r="GH23" i="13" s="1"/>
  <c r="BP32" i="18"/>
  <c r="BX33" i="18"/>
  <c r="BP30" i="18"/>
  <c r="BX32" i="18"/>
  <c r="BF41" i="36"/>
  <c r="GH43" i="6" s="1"/>
  <c r="BF18" i="36"/>
  <c r="GH20" i="6" s="1"/>
  <c r="BF25" i="37"/>
  <c r="GH27" i="7" s="1"/>
  <c r="BF22" i="38"/>
  <c r="GH24" i="8" s="1"/>
  <c r="BF21" i="38"/>
  <c r="GH23" i="8" s="1"/>
  <c r="BF41" i="39"/>
  <c r="GH43" i="9" s="1"/>
  <c r="BF40" i="39"/>
  <c r="GH42" i="9" s="1"/>
  <c r="BF33" i="40"/>
  <c r="GH35" i="10" s="1"/>
  <c r="BF45" i="40"/>
  <c r="GH47" i="10" s="1"/>
  <c r="BF21" i="41"/>
  <c r="GH23" i="11" s="1"/>
  <c r="BF19" i="42"/>
  <c r="GH21" i="12" s="1"/>
  <c r="BF25" i="42"/>
  <c r="GH27" i="12" s="1"/>
  <c r="BF38" i="41"/>
  <c r="GH40" i="11" s="1"/>
  <c r="BF46" i="35"/>
  <c r="GH48" i="5" s="1"/>
  <c r="BF26" i="36"/>
  <c r="GH28" i="6" s="1"/>
  <c r="BF19" i="37"/>
  <c r="GH21" i="7" s="1"/>
  <c r="BF41" i="37"/>
  <c r="GH43" i="7" s="1"/>
  <c r="BF38" i="38"/>
  <c r="GH40" i="8" s="1"/>
  <c r="BF37" i="38"/>
  <c r="GH39" i="8" s="1"/>
  <c r="BF26" i="39"/>
  <c r="GH28" i="9" s="1"/>
  <c r="BF24" i="39"/>
  <c r="GH26" i="9" s="1"/>
  <c r="BF18" i="40"/>
  <c r="GH20" i="10" s="1"/>
  <c r="BF46" i="40"/>
  <c r="GH48" i="10" s="1"/>
  <c r="BF36" i="41"/>
  <c r="GH38" i="11" s="1"/>
  <c r="BF22" i="42"/>
  <c r="GH24" i="12" s="1"/>
  <c r="BF24" i="42"/>
  <c r="GH26" i="12" s="1"/>
  <c r="BF45" i="41"/>
  <c r="GH47" i="11" s="1"/>
  <c r="BF40" i="36"/>
  <c r="GH42" i="6" s="1"/>
  <c r="BF43" i="36"/>
  <c r="GH45" i="6" s="1"/>
  <c r="BF24" i="37"/>
  <c r="GH26" i="7" s="1"/>
  <c r="BF32" i="37"/>
  <c r="GH34" i="7" s="1"/>
  <c r="BF28" i="38"/>
  <c r="GH30" i="8" s="1"/>
  <c r="BF33" i="38"/>
  <c r="GH35" i="8" s="1"/>
  <c r="BF31" i="39"/>
  <c r="GH33" i="9" s="1"/>
  <c r="BF32" i="40"/>
  <c r="GH34" i="10" s="1"/>
  <c r="BF47" i="40"/>
  <c r="GH49" i="10" s="1"/>
  <c r="BF26" i="41"/>
  <c r="GH28" i="11" s="1"/>
  <c r="BF47" i="41"/>
  <c r="GH49" i="11" s="1"/>
  <c r="BF43" i="42"/>
  <c r="GH45" i="12" s="1"/>
  <c r="BF33" i="42"/>
  <c r="GH35" i="12" s="1"/>
  <c r="BF37" i="42"/>
  <c r="GH39" i="12" s="1"/>
  <c r="BF47" i="42"/>
  <c r="GH49" i="12" s="1"/>
  <c r="BF25" i="39"/>
  <c r="GH27" i="9" s="1"/>
  <c r="BF38" i="37"/>
  <c r="GH40" i="7" s="1"/>
  <c r="BF36" i="36"/>
  <c r="GH38" i="6" s="1"/>
  <c r="BF27" i="40"/>
  <c r="GH29" i="10" s="1"/>
  <c r="BF25" i="38"/>
  <c r="GH27" i="8" s="1"/>
  <c r="BF42" i="37"/>
  <c r="GH44" i="7" s="1"/>
  <c r="BF48" i="40"/>
  <c r="GH50" i="10" s="1"/>
  <c r="BF18" i="38"/>
  <c r="GH20" i="8" s="1"/>
  <c r="BF23" i="36"/>
  <c r="GH25" i="6" s="1"/>
  <c r="BF31" i="41"/>
  <c r="GH33" i="11" s="1"/>
  <c r="BF48" i="42"/>
  <c r="GH50" i="12" s="1"/>
  <c r="BF46" i="42"/>
  <c r="GH48" i="12" s="1"/>
  <c r="AT7" i="4" a="1"/>
  <c r="AT7" i="4" s="1"/>
  <c r="BL34" i="4"/>
  <c r="BG32" i="18" s="1"/>
  <c r="BL31" i="4"/>
  <c r="BG29" i="18" s="1"/>
  <c r="BL30" i="4"/>
  <c r="BG28" i="18" s="1"/>
  <c r="BL32" i="4"/>
  <c r="BG30" i="18" s="1"/>
  <c r="BL27" i="10"/>
  <c r="BG25" i="40" s="1"/>
  <c r="BL28" i="10"/>
  <c r="BG26" i="40" s="1"/>
  <c r="BL24" i="10"/>
  <c r="BG22" i="40" s="1"/>
  <c r="BL24" i="11"/>
  <c r="BG22" i="41" s="1"/>
  <c r="BL22" i="11"/>
  <c r="BG20" i="41" s="1"/>
  <c r="K67" i="11"/>
  <c r="H67" i="10"/>
  <c r="N67" i="10" s="1"/>
  <c r="BL26" i="11"/>
  <c r="BG24" i="41" s="1"/>
  <c r="BL27" i="11"/>
  <c r="BG25" i="41" s="1"/>
  <c r="AT6" i="10" a="1"/>
  <c r="AT6" i="10" s="1"/>
  <c r="FD56" i="4"/>
  <c r="P5" i="59" s="1"/>
  <c r="BG21" i="18"/>
  <c r="BF20" i="44"/>
  <c r="GH22" i="14" s="1"/>
  <c r="BF24" i="44"/>
  <c r="GH26" i="14" s="1"/>
  <c r="BF28" i="44"/>
  <c r="GH30" i="14" s="1"/>
  <c r="BF32" i="44"/>
  <c r="GH34" i="14" s="1"/>
  <c r="BF36" i="44"/>
  <c r="GH38" i="14" s="1"/>
  <c r="BF40" i="44"/>
  <c r="GH42" i="14" s="1"/>
  <c r="BF44" i="44"/>
  <c r="GH46" i="14" s="1"/>
  <c r="BF48" i="44"/>
  <c r="GH50" i="14" s="1"/>
  <c r="BF21" i="44"/>
  <c r="GH23" i="14" s="1"/>
  <c r="BF25" i="44"/>
  <c r="GH27" i="14" s="1"/>
  <c r="BF29" i="44"/>
  <c r="GH31" i="14" s="1"/>
  <c r="BF33" i="44"/>
  <c r="GH35" i="14" s="1"/>
  <c r="BF37" i="44"/>
  <c r="GH39" i="14" s="1"/>
  <c r="BF41" i="44"/>
  <c r="GH43" i="14" s="1"/>
  <c r="BF45" i="44"/>
  <c r="GH47" i="14" s="1"/>
  <c r="BF18" i="44"/>
  <c r="GH20" i="14" s="1"/>
  <c r="BF22" i="44"/>
  <c r="GH24" i="14" s="1"/>
  <c r="BF26" i="44"/>
  <c r="GH28" i="14" s="1"/>
  <c r="BF30" i="44"/>
  <c r="GH32" i="14" s="1"/>
  <c r="BF34" i="44"/>
  <c r="GH36" i="14" s="1"/>
  <c r="BF38" i="44"/>
  <c r="GH40" i="14" s="1"/>
  <c r="BF42" i="44"/>
  <c r="GH44" i="14" s="1"/>
  <c r="BF46" i="44"/>
  <c r="GH48" i="14" s="1"/>
  <c r="BF23" i="44"/>
  <c r="GH25" i="14" s="1"/>
  <c r="BF39" i="44"/>
  <c r="GH41" i="14" s="1"/>
  <c r="BF47" i="44"/>
  <c r="GH49" i="14" s="1"/>
  <c r="BF35" i="44"/>
  <c r="GH37" i="14" s="1"/>
  <c r="BF27" i="44"/>
  <c r="GH29" i="14" s="1"/>
  <c r="BF43" i="44"/>
  <c r="GH45" i="14" s="1"/>
  <c r="BF31" i="44"/>
  <c r="GH33" i="14" s="1"/>
  <c r="BF19" i="44"/>
  <c r="GH21" i="14" s="1"/>
  <c r="FD51" i="4"/>
  <c r="FD43" i="14"/>
  <c r="FD33" i="12"/>
  <c r="FD43" i="13"/>
  <c r="FD23" i="6"/>
  <c r="FD41" i="7"/>
  <c r="FD45" i="12"/>
  <c r="FD37" i="9"/>
  <c r="FD39" i="9"/>
  <c r="FD21" i="8"/>
  <c r="FD28" i="7"/>
  <c r="FD45" i="8"/>
  <c r="FD41" i="9"/>
  <c r="FD31" i="14"/>
  <c r="FD28" i="13"/>
  <c r="FD38" i="6"/>
  <c r="FD37" i="15"/>
  <c r="FD40" i="10"/>
  <c r="FD42" i="12"/>
  <c r="FD42" i="13"/>
  <c r="FD20" i="12"/>
  <c r="FD34" i="13"/>
  <c r="FD27" i="14"/>
  <c r="FD48" i="5"/>
  <c r="FD49" i="7"/>
  <c r="FD47" i="15"/>
  <c r="FD28" i="14"/>
  <c r="FD30" i="11"/>
  <c r="FD22" i="15"/>
  <c r="FD34" i="6"/>
  <c r="FD23" i="7"/>
  <c r="FD21" i="11"/>
  <c r="FD20" i="6"/>
  <c r="FD26" i="12"/>
  <c r="FD42" i="10"/>
  <c r="FD29" i="8"/>
  <c r="FD46" i="10"/>
  <c r="FD40" i="15"/>
  <c r="FD30" i="9"/>
  <c r="FD35" i="14"/>
  <c r="FD24" i="12"/>
  <c r="FD34" i="14"/>
  <c r="FD27" i="6"/>
  <c r="FD22" i="8"/>
  <c r="FD27" i="12"/>
  <c r="FD34" i="8"/>
  <c r="FD38" i="14"/>
  <c r="FD23" i="15"/>
  <c r="FD27" i="8"/>
  <c r="FD41" i="11"/>
  <c r="FD44" i="14"/>
  <c r="FD20" i="13"/>
  <c r="FD38" i="9"/>
  <c r="FD24" i="6"/>
  <c r="FD30" i="10"/>
  <c r="FD44" i="12"/>
  <c r="FD36" i="13"/>
  <c r="FD38" i="11"/>
  <c r="FD47" i="13"/>
  <c r="FD25" i="15"/>
  <c r="FD48" i="10"/>
  <c r="FD49" i="9"/>
  <c r="FD47" i="14"/>
  <c r="FD42" i="14"/>
  <c r="FD36" i="11"/>
  <c r="FD35" i="8"/>
  <c r="FD38" i="15"/>
  <c r="FD37" i="7"/>
  <c r="FD34" i="11"/>
  <c r="FD29" i="12"/>
  <c r="FD28" i="10"/>
  <c r="FD22" i="7"/>
  <c r="FD46" i="8"/>
  <c r="FD44" i="10"/>
  <c r="FD21" i="10"/>
  <c r="FD39" i="15"/>
  <c r="FD48" i="14"/>
  <c r="FD22" i="9"/>
  <c r="FD45" i="14"/>
  <c r="FD30" i="12"/>
  <c r="FD24" i="13"/>
  <c r="FD42" i="6"/>
  <c r="FD47" i="8"/>
  <c r="FD35" i="12"/>
  <c r="FD41" i="8"/>
  <c r="FD37" i="14"/>
  <c r="FD41" i="15"/>
  <c r="FD44" i="7"/>
  <c r="FD23" i="11"/>
  <c r="FD31" i="9"/>
  <c r="FD21" i="14"/>
  <c r="FD28" i="9"/>
  <c r="FD40" i="6"/>
  <c r="FD42" i="8"/>
  <c r="FD45" i="10"/>
  <c r="FD43" i="12"/>
  <c r="FD31" i="11"/>
  <c r="FD32" i="12"/>
  <c r="FD21" i="7"/>
  <c r="FD23" i="9"/>
  <c r="FD49" i="10"/>
  <c r="FD50" i="6"/>
  <c r="FD28" i="15"/>
  <c r="FD22" i="14"/>
  <c r="FD40" i="11"/>
  <c r="FD32" i="15"/>
  <c r="FD29" i="6"/>
  <c r="FD30" i="7"/>
  <c r="FD35" i="11"/>
  <c r="FD39" i="6"/>
  <c r="FD39" i="10"/>
  <c r="FD20" i="7"/>
  <c r="FD31" i="8"/>
  <c r="FD41" i="10"/>
  <c r="FD23" i="13"/>
  <c r="FD30" i="15"/>
  <c r="FD49" i="11"/>
  <c r="FD50" i="8"/>
  <c r="FD21" i="9"/>
  <c r="FD32" i="6"/>
  <c r="FD39" i="13"/>
  <c r="FD21" i="6"/>
  <c r="FD33" i="7"/>
  <c r="FD36" i="8"/>
  <c r="FD43" i="9"/>
  <c r="FD46" i="11"/>
  <c r="FD41" i="6"/>
  <c r="FD25" i="7"/>
  <c r="FD30" i="8"/>
  <c r="FD44" i="9"/>
  <c r="FD30" i="14"/>
  <c r="FD31" i="13"/>
  <c r="FD45" i="9"/>
  <c r="FD33" i="10"/>
  <c r="FD28" i="12"/>
  <c r="FD22" i="13"/>
  <c r="FD20" i="10"/>
  <c r="FD30" i="13"/>
  <c r="FD26" i="15"/>
  <c r="FD48" i="8"/>
  <c r="FD49" i="5"/>
  <c r="FD49" i="14"/>
  <c r="FD34" i="7"/>
  <c r="FD23" i="10"/>
  <c r="FD27" i="11"/>
  <c r="FD36" i="14"/>
  <c r="FD36" i="7"/>
  <c r="FD20" i="9"/>
  <c r="FD47" i="12"/>
  <c r="FD43" i="10"/>
  <c r="FD23" i="8"/>
  <c r="FD37" i="8"/>
  <c r="FD35" i="10"/>
  <c r="FD45" i="13"/>
  <c r="FD44" i="15"/>
  <c r="FD50" i="14"/>
  <c r="FD49" i="6"/>
  <c r="FD48" i="11"/>
  <c r="FD50" i="12"/>
  <c r="FD35" i="9"/>
  <c r="FD25" i="6"/>
  <c r="FD46" i="12"/>
  <c r="FD20" i="14"/>
  <c r="FD40" i="7"/>
  <c r="FD25" i="8"/>
  <c r="FD31" i="15"/>
  <c r="FD40" i="8"/>
  <c r="FD47" i="11"/>
  <c r="FD46" i="15"/>
  <c r="FD32" i="8"/>
  <c r="FD39" i="11"/>
  <c r="FD40" i="9"/>
  <c r="FD47" i="9"/>
  <c r="FD33" i="6"/>
  <c r="FD23" i="14"/>
  <c r="FD27" i="10"/>
  <c r="FD22" i="12"/>
  <c r="FD44" i="11"/>
  <c r="FD41" i="13"/>
  <c r="FD43" i="15"/>
  <c r="FD50" i="11"/>
  <c r="FD48" i="13"/>
  <c r="FD49" i="8"/>
  <c r="FD47" i="10"/>
  <c r="FD32" i="11"/>
  <c r="FD32" i="9"/>
  <c r="FD31" i="10"/>
  <c r="FD47" i="7"/>
  <c r="FD25" i="11"/>
  <c r="FD39" i="12"/>
  <c r="FD26" i="7"/>
  <c r="FD32" i="14"/>
  <c r="FD22" i="10"/>
  <c r="FD33" i="13"/>
  <c r="FD34" i="15"/>
  <c r="FD29" i="14"/>
  <c r="FD36" i="12"/>
  <c r="FD25" i="13"/>
  <c r="FD37" i="6"/>
  <c r="FD46" i="7"/>
  <c r="FD30" i="6"/>
  <c r="FD46" i="14"/>
  <c r="FD24" i="9"/>
  <c r="FD42" i="15"/>
  <c r="FD25" i="14"/>
  <c r="FD43" i="7"/>
  <c r="FD43" i="8"/>
  <c r="FD34" i="9"/>
  <c r="FD41" i="14"/>
  <c r="FD40" i="13"/>
  <c r="FD26" i="6"/>
  <c r="FD45" i="15"/>
  <c r="FD38" i="10"/>
  <c r="FD31" i="12"/>
  <c r="FD37" i="11"/>
  <c r="FD25" i="12"/>
  <c r="FD37" i="13"/>
  <c r="FD22" i="6"/>
  <c r="FD50" i="13"/>
  <c r="FD49" i="13"/>
  <c r="FD29" i="15"/>
  <c r="FD24" i="14"/>
  <c r="FD42" i="11"/>
  <c r="FD21" i="15"/>
  <c r="FD47" i="6"/>
  <c r="FD38" i="7"/>
  <c r="FD26" i="11"/>
  <c r="FD46" i="6"/>
  <c r="FD24" i="10"/>
  <c r="FD32" i="10"/>
  <c r="FD38" i="8"/>
  <c r="FD26" i="10"/>
  <c r="FD32" i="13"/>
  <c r="FD50" i="9"/>
  <c r="FD49" i="12"/>
  <c r="FD27" i="9"/>
  <c r="FD37" i="12"/>
  <c r="FD44" i="13"/>
  <c r="FD43" i="6"/>
  <c r="FD42" i="7"/>
  <c r="FD39" i="8"/>
  <c r="FD45" i="6"/>
  <c r="FD25" i="9"/>
  <c r="FD36" i="6"/>
  <c r="FD32" i="7"/>
  <c r="FD33" i="8"/>
  <c r="FD43" i="11"/>
  <c r="FD40" i="14"/>
  <c r="FD29" i="13"/>
  <c r="FD26" i="9"/>
  <c r="FD37" i="10"/>
  <c r="FD41" i="12"/>
  <c r="FD35" i="13"/>
  <c r="FD22" i="11"/>
  <c r="FD27" i="13"/>
  <c r="FD27" i="15"/>
  <c r="FD48" i="12"/>
  <c r="FD45" i="7"/>
  <c r="FD20" i="8"/>
  <c r="FD48" i="15"/>
  <c r="FD26" i="8"/>
  <c r="FD20" i="15"/>
  <c r="FD35" i="7"/>
  <c r="FD29" i="11"/>
  <c r="FD34" i="12"/>
  <c r="FD36" i="10"/>
  <c r="FD29" i="7"/>
  <c r="FD28" i="8"/>
  <c r="FD25" i="10"/>
  <c r="FD21" i="13"/>
  <c r="FD35" i="15"/>
  <c r="FD48" i="7"/>
  <c r="FD33" i="9"/>
  <c r="FD26" i="14"/>
  <c r="FD21" i="12"/>
  <c r="FD46" i="13"/>
  <c r="FD20" i="11"/>
  <c r="FD24" i="8"/>
  <c r="FD23" i="12"/>
  <c r="FD44" i="8"/>
  <c r="FD36" i="9"/>
  <c r="FD36" i="15"/>
  <c r="FD33" i="15"/>
  <c r="FD24" i="7"/>
  <c r="FD45" i="11"/>
  <c r="FD46" i="9"/>
  <c r="FD28" i="6"/>
  <c r="FD42" i="9"/>
  <c r="FD44" i="6"/>
  <c r="FD31" i="6"/>
  <c r="FD34" i="10"/>
  <c r="FD38" i="12"/>
  <c r="FD24" i="11"/>
  <c r="FD26" i="13"/>
  <c r="FD27" i="7"/>
  <c r="FD29" i="9"/>
  <c r="FD50" i="7"/>
  <c r="FD50" i="5"/>
  <c r="FD24" i="15"/>
  <c r="FD33" i="14"/>
  <c r="FD28" i="11"/>
  <c r="FD49" i="15"/>
  <c r="FD35" i="6"/>
  <c r="FD39" i="7"/>
  <c r="FD33" i="11"/>
  <c r="FD40" i="12"/>
  <c r="FD31" i="7"/>
  <c r="FD50" i="15"/>
  <c r="FD29" i="10"/>
  <c r="FD38" i="13"/>
  <c r="FD48" i="9"/>
  <c r="FD48" i="6"/>
  <c r="FD50" i="10"/>
  <c r="AJ51" i="4"/>
  <c r="L22" i="4" s="1"/>
  <c r="EX13" i="15"/>
  <c r="ET50" i="14"/>
  <c r="AJ50" i="14" s="1"/>
  <c r="ES50" i="14"/>
  <c r="AG50" i="14" s="1"/>
  <c r="AT6" i="7" a="1"/>
  <c r="AT6" i="7" s="1"/>
  <c r="BL26" i="10"/>
  <c r="BG24" i="40" s="1"/>
  <c r="BL29" i="10"/>
  <c r="BG27" i="40" s="1"/>
  <c r="AG51" i="4"/>
  <c r="L21" i="4" s="1"/>
  <c r="BZ84" i="4" s="1"/>
  <c r="BL21" i="11"/>
  <c r="BG19" i="41" s="1"/>
  <c r="ET49" i="14"/>
  <c r="AJ49" i="14" s="1"/>
  <c r="ES28" i="6"/>
  <c r="AG28" i="6" s="1"/>
  <c r="AT6" i="11" a="1"/>
  <c r="AT6" i="11" s="1"/>
  <c r="BZ90" i="9"/>
  <c r="H14" i="51" s="1"/>
  <c r="DK38" i="9"/>
  <c r="BL23" i="11"/>
  <c r="BG21" i="41" s="1"/>
  <c r="ES48" i="14"/>
  <c r="AG48" i="14" s="1"/>
  <c r="K68" i="11"/>
  <c r="H68" i="10"/>
  <c r="N68" i="10" s="1"/>
  <c r="ET32" i="12"/>
  <c r="AJ32" i="12" s="1"/>
  <c r="ES49" i="9"/>
  <c r="AG49" i="9" s="1"/>
  <c r="ET24" i="12"/>
  <c r="AJ24" i="12" s="1"/>
  <c r="ET30" i="15"/>
  <c r="AJ30" i="15" s="1"/>
  <c r="ES43" i="11"/>
  <c r="AG43" i="11" s="1"/>
  <c r="ES31" i="11"/>
  <c r="AG31" i="11" s="1"/>
  <c r="ET31" i="6"/>
  <c r="AJ31" i="6" s="1"/>
  <c r="ES27" i="14"/>
  <c r="AG27" i="14" s="1"/>
  <c r="ES27" i="13"/>
  <c r="AG27" i="13" s="1"/>
  <c r="ES21" i="13"/>
  <c r="AG21" i="13" s="1"/>
  <c r="ES43" i="12"/>
  <c r="AG43" i="12" s="1"/>
  <c r="ET44" i="6"/>
  <c r="AJ44" i="6" s="1"/>
  <c r="ET27" i="14"/>
  <c r="AJ27" i="14" s="1"/>
  <c r="ES34" i="11"/>
  <c r="AG34" i="11" s="1"/>
  <c r="ES47" i="9"/>
  <c r="AG47" i="9" s="1"/>
  <c r="ES35" i="6"/>
  <c r="AG35" i="6" s="1"/>
  <c r="AT6" i="12" a="1"/>
  <c r="AT6" i="12" s="1"/>
  <c r="BL27" i="6"/>
  <c r="BG25" i="36" s="1"/>
  <c r="AT6" i="6" a="1"/>
  <c r="AT6" i="6" s="1"/>
  <c r="BL29" i="6" s="1"/>
  <c r="BG27" i="36" s="1"/>
  <c r="AT6" i="14" a="1"/>
  <c r="AT6" i="14" s="1"/>
  <c r="BL29" i="14" s="1"/>
  <c r="BG27" i="44" s="1"/>
  <c r="BL24" i="7"/>
  <c r="BG22" i="37" s="1"/>
  <c r="BL27" i="7"/>
  <c r="BG25" i="37" s="1"/>
  <c r="BL26" i="7"/>
  <c r="BG24" i="37" s="1"/>
  <c r="ES20" i="12"/>
  <c r="AG20" i="12" s="1"/>
  <c r="ES49" i="5"/>
  <c r="AG49" i="5" s="1"/>
  <c r="ET46" i="11"/>
  <c r="AJ46" i="11" s="1"/>
  <c r="ES26" i="15"/>
  <c r="AG26" i="15" s="1"/>
  <c r="ET23" i="6"/>
  <c r="AJ23" i="6" s="1"/>
  <c r="ES24" i="6"/>
  <c r="AG24" i="6" s="1"/>
  <c r="ES33" i="9"/>
  <c r="AG33" i="9" s="1"/>
  <c r="ES43" i="7"/>
  <c r="AG43" i="7" s="1"/>
  <c r="ET25" i="9"/>
  <c r="AJ25" i="9" s="1"/>
  <c r="ET35" i="6"/>
  <c r="AJ35" i="6" s="1"/>
  <c r="ET27" i="13"/>
  <c r="AJ27" i="13" s="1"/>
  <c r="ET27" i="15"/>
  <c r="AJ27" i="15" s="1"/>
  <c r="ES42" i="15"/>
  <c r="AG42" i="15" s="1"/>
  <c r="ES32" i="15"/>
  <c r="AG32" i="15" s="1"/>
  <c r="BG19" i="35"/>
  <c r="BL25" i="12"/>
  <c r="BG23" i="42" s="1"/>
  <c r="BL26" i="12"/>
  <c r="BG24" i="42" s="1"/>
  <c r="BL28" i="7"/>
  <c r="BG26" i="37" s="1"/>
  <c r="ES36" i="11"/>
  <c r="AG36" i="11" s="1"/>
  <c r="ET50" i="10"/>
  <c r="AJ50" i="10" s="1"/>
  <c r="ET39" i="8"/>
  <c r="AJ39" i="8" s="1"/>
  <c r="ES23" i="14"/>
  <c r="AG23" i="14" s="1"/>
  <c r="ES46" i="13"/>
  <c r="AG46" i="13" s="1"/>
  <c r="ES29" i="11"/>
  <c r="AG29" i="11" s="1"/>
  <c r="ES30" i="12"/>
  <c r="AG30" i="12" s="1"/>
  <c r="ES22" i="9"/>
  <c r="AG22" i="9" s="1"/>
  <c r="ES26" i="8"/>
  <c r="AG26" i="8" s="1"/>
  <c r="ET40" i="15"/>
  <c r="AJ40" i="15" s="1"/>
  <c r="ES42" i="10"/>
  <c r="AG42" i="10" s="1"/>
  <c r="ES33" i="8"/>
  <c r="AG33" i="8" s="1"/>
  <c r="ES23" i="10"/>
  <c r="AG23" i="10" s="1"/>
  <c r="ES37" i="6"/>
  <c r="AG37" i="6" s="1"/>
  <c r="ET48" i="8"/>
  <c r="AJ48" i="8" s="1"/>
  <c r="ET43" i="12"/>
  <c r="AJ43" i="12" s="1"/>
  <c r="ES40" i="8"/>
  <c r="AG40" i="8" s="1"/>
  <c r="ET22" i="9"/>
  <c r="AJ22" i="9" s="1"/>
  <c r="ES25" i="8"/>
  <c r="AG25" i="8" s="1"/>
  <c r="ES34" i="6"/>
  <c r="AG34" i="6" s="1"/>
  <c r="ES49" i="14"/>
  <c r="AG49" i="14" s="1"/>
  <c r="ES37" i="12"/>
  <c r="AG37" i="12" s="1"/>
  <c r="ES37" i="11"/>
  <c r="AG37" i="11" s="1"/>
  <c r="ES29" i="14"/>
  <c r="AG29" i="14" s="1"/>
  <c r="ES40" i="13"/>
  <c r="AG40" i="13" s="1"/>
  <c r="ET35" i="11"/>
  <c r="AJ35" i="11" s="1"/>
  <c r="ET22" i="14"/>
  <c r="AJ22" i="14" s="1"/>
  <c r="ET31" i="11"/>
  <c r="AJ31" i="11" s="1"/>
  <c r="ET29" i="13"/>
  <c r="AJ29" i="13" s="1"/>
  <c r="ES44" i="14"/>
  <c r="AG44" i="14" s="1"/>
  <c r="ET27" i="9"/>
  <c r="AJ27" i="9" s="1"/>
  <c r="ET37" i="13"/>
  <c r="AJ37" i="13" s="1"/>
  <c r="ES27" i="15"/>
  <c r="AG27" i="15" s="1"/>
  <c r="ET39" i="10"/>
  <c r="AJ39" i="10" s="1"/>
  <c r="ES39" i="6"/>
  <c r="AG39" i="6" s="1"/>
  <c r="ES39" i="8"/>
  <c r="AG39" i="8" s="1"/>
  <c r="ET25" i="10"/>
  <c r="AJ25" i="10" s="1"/>
  <c r="ET42" i="7"/>
  <c r="AJ42" i="7" s="1"/>
  <c r="ET29" i="8"/>
  <c r="AJ29" i="8" s="1"/>
  <c r="ET25" i="12"/>
  <c r="AJ25" i="12" s="1"/>
  <c r="ET44" i="14"/>
  <c r="AJ44" i="14" s="1"/>
  <c r="ES36" i="8"/>
  <c r="AG36" i="8" s="1"/>
  <c r="ET20" i="10"/>
  <c r="AJ20" i="10" s="1"/>
  <c r="ES49" i="7"/>
  <c r="AG49" i="7" s="1"/>
  <c r="ES48" i="7"/>
  <c r="AG48" i="7" s="1"/>
  <c r="ES48" i="13"/>
  <c r="AG48" i="13" s="1"/>
  <c r="ES31" i="7"/>
  <c r="AG31" i="7" s="1"/>
  <c r="ES45" i="10"/>
  <c r="AG45" i="10" s="1"/>
  <c r="ES21" i="6"/>
  <c r="AG21" i="6" s="1"/>
  <c r="ES44" i="9"/>
  <c r="AG44" i="9" s="1"/>
  <c r="ES40" i="9"/>
  <c r="AG40" i="9" s="1"/>
  <c r="ET34" i="13"/>
  <c r="AJ34" i="13" s="1"/>
  <c r="ES22" i="15"/>
  <c r="AG22" i="15" s="1"/>
  <c r="ES50" i="7"/>
  <c r="AG50" i="7" s="1"/>
  <c r="ET41" i="9"/>
  <c r="AJ41" i="9" s="1"/>
  <c r="ET29" i="14"/>
  <c r="AJ29" i="14" s="1"/>
  <c r="ES24" i="7"/>
  <c r="AG24" i="7" s="1"/>
  <c r="ES20" i="8"/>
  <c r="AG20" i="8" s="1"/>
  <c r="ES32" i="11"/>
  <c r="AG32" i="11" s="1"/>
  <c r="ES34" i="12"/>
  <c r="AG34" i="12" s="1"/>
  <c r="ET45" i="13"/>
  <c r="AJ45" i="13" s="1"/>
  <c r="ES43" i="13"/>
  <c r="AG43" i="13" s="1"/>
  <c r="ES33" i="13"/>
  <c r="AG33" i="13" s="1"/>
  <c r="ET20" i="7"/>
  <c r="AJ20" i="7" s="1"/>
  <c r="ES23" i="8"/>
  <c r="AG23" i="8" s="1"/>
  <c r="ET24" i="13"/>
  <c r="AJ24" i="13" s="1"/>
  <c r="ET42" i="6"/>
  <c r="AJ42" i="6" s="1"/>
  <c r="ET20" i="11"/>
  <c r="AJ20" i="11" s="1"/>
  <c r="ES27" i="9"/>
  <c r="AG27" i="9" s="1"/>
  <c r="ES37" i="13"/>
  <c r="AG37" i="13" s="1"/>
  <c r="ET24" i="11"/>
  <c r="AJ24" i="11" s="1"/>
  <c r="ET40" i="8"/>
  <c r="AJ40" i="8" s="1"/>
  <c r="ET50" i="6"/>
  <c r="AJ50" i="6" s="1"/>
  <c r="ET37" i="14"/>
  <c r="AJ37" i="14" s="1"/>
  <c r="ET30" i="13"/>
  <c r="AJ30" i="13" s="1"/>
  <c r="ET45" i="14"/>
  <c r="AJ45" i="14" s="1"/>
  <c r="ES32" i="8"/>
  <c r="AG32" i="8" s="1"/>
  <c r="ET46" i="7"/>
  <c r="AJ46" i="7" s="1"/>
  <c r="ET47" i="9"/>
  <c r="AJ47" i="9" s="1"/>
  <c r="ET43" i="15"/>
  <c r="AJ43" i="15" s="1"/>
  <c r="ET47" i="11"/>
  <c r="AJ47" i="11" s="1"/>
  <c r="ET28" i="11"/>
  <c r="AJ28" i="11" s="1"/>
  <c r="ET35" i="7"/>
  <c r="AJ35" i="7" s="1"/>
  <c r="ES29" i="10"/>
  <c r="AG29" i="10" s="1"/>
  <c r="ET47" i="12"/>
  <c r="AJ47" i="12" s="1"/>
  <c r="ET28" i="7"/>
  <c r="AJ28" i="7" s="1"/>
  <c r="ES38" i="12"/>
  <c r="AG38" i="12" s="1"/>
  <c r="ES30" i="9"/>
  <c r="AG30" i="9" s="1"/>
  <c r="ET49" i="7"/>
  <c r="AJ49" i="7" s="1"/>
  <c r="ES22" i="14"/>
  <c r="AG22" i="14" s="1"/>
  <c r="ES36" i="13"/>
  <c r="AG36" i="13" s="1"/>
  <c r="ET30" i="9"/>
  <c r="AJ30" i="9" s="1"/>
  <c r="ES42" i="9"/>
  <c r="AG42" i="9" s="1"/>
  <c r="ET43" i="13"/>
  <c r="AJ43" i="13" s="1"/>
  <c r="ET30" i="7"/>
  <c r="AJ30" i="7" s="1"/>
  <c r="ET34" i="15"/>
  <c r="AJ34" i="15" s="1"/>
  <c r="ET31" i="8"/>
  <c r="AJ31" i="8" s="1"/>
  <c r="ET40" i="14"/>
  <c r="AJ40" i="14" s="1"/>
  <c r="ES42" i="13"/>
  <c r="AG42" i="13" s="1"/>
  <c r="ET45" i="15"/>
  <c r="AJ45" i="15" s="1"/>
  <c r="ET22" i="6"/>
  <c r="AJ22" i="6" s="1"/>
  <c r="ET28" i="12"/>
  <c r="AJ28" i="12" s="1"/>
  <c r="ET31" i="14"/>
  <c r="AJ31" i="14" s="1"/>
  <c r="ET45" i="6"/>
  <c r="AJ45" i="6" s="1"/>
  <c r="ET43" i="7"/>
  <c r="AJ43" i="7" s="1"/>
  <c r="ET48" i="13"/>
  <c r="AJ48" i="13" s="1"/>
  <c r="ES50" i="10"/>
  <c r="AG50" i="10" s="1"/>
  <c r="ES46" i="9"/>
  <c r="AG46" i="9" s="1"/>
  <c r="ET29" i="10"/>
  <c r="AJ29" i="10" s="1"/>
  <c r="ES49" i="12"/>
  <c r="AG49" i="12" s="1"/>
  <c r="ET44" i="8"/>
  <c r="AJ44" i="8" s="1"/>
  <c r="ES35" i="8"/>
  <c r="AG35" i="8" s="1"/>
  <c r="ET37" i="9"/>
  <c r="AJ37" i="9" s="1"/>
  <c r="ET45" i="9"/>
  <c r="AJ45" i="9" s="1"/>
  <c r="ET44" i="15"/>
  <c r="AJ44" i="15" s="1"/>
  <c r="ET41" i="10"/>
  <c r="AJ41" i="10" s="1"/>
  <c r="ES50" i="5"/>
  <c r="AG50" i="5" s="1"/>
  <c r="ES46" i="8"/>
  <c r="AG46" i="8" s="1"/>
  <c r="ES41" i="6"/>
  <c r="AG41" i="6" s="1"/>
  <c r="ET46" i="14"/>
  <c r="AJ46" i="14" s="1"/>
  <c r="ES23" i="6"/>
  <c r="AG23" i="6" s="1"/>
  <c r="ET20" i="6"/>
  <c r="AJ20" i="6" s="1"/>
  <c r="ES23" i="11"/>
  <c r="AG23" i="11" s="1"/>
  <c r="ES41" i="7"/>
  <c r="AG41" i="7" s="1"/>
  <c r="ET50" i="15"/>
  <c r="AJ50" i="15" s="1"/>
  <c r="ES45" i="14"/>
  <c r="AG45" i="14" s="1"/>
  <c r="ET23" i="14"/>
  <c r="AJ23" i="14" s="1"/>
  <c r="ES24" i="11"/>
  <c r="AG24" i="11" s="1"/>
  <c r="ES47" i="6"/>
  <c r="AG47" i="6" s="1"/>
  <c r="ET36" i="12"/>
  <c r="AJ36" i="12" s="1"/>
  <c r="ET36" i="14"/>
  <c r="AJ36" i="14" s="1"/>
  <c r="ES39" i="7"/>
  <c r="AG39" i="7" s="1"/>
  <c r="ES23" i="9"/>
  <c r="AG23" i="9" s="1"/>
  <c r="ES44" i="10"/>
  <c r="AG44" i="10" s="1"/>
  <c r="ES28" i="14"/>
  <c r="AG28" i="14" s="1"/>
  <c r="ES30" i="7"/>
  <c r="AG30" i="7" s="1"/>
  <c r="ET50" i="13"/>
  <c r="AJ50" i="13" s="1"/>
  <c r="ET41" i="8"/>
  <c r="AJ41" i="8" s="1"/>
  <c r="ET27" i="10"/>
  <c r="AJ27" i="10" s="1"/>
  <c r="ES35" i="10"/>
  <c r="AG35" i="10" s="1"/>
  <c r="ET21" i="12"/>
  <c r="AJ21" i="12" s="1"/>
  <c r="ES36" i="6"/>
  <c r="AG36" i="6" s="1"/>
  <c r="ET42" i="10"/>
  <c r="AJ42" i="10" s="1"/>
  <c r="ES46" i="14"/>
  <c r="AG46" i="14" s="1"/>
  <c r="ET26" i="6"/>
  <c r="AJ26" i="6" s="1"/>
  <c r="ES32" i="13"/>
  <c r="AG32" i="13" s="1"/>
  <c r="ET34" i="9"/>
  <c r="AJ34" i="9" s="1"/>
  <c r="ET49" i="13"/>
  <c r="AJ49" i="13" s="1"/>
  <c r="ET43" i="11"/>
  <c r="AJ43" i="11" s="1"/>
  <c r="ES28" i="15"/>
  <c r="AG28" i="15" s="1"/>
  <c r="ES40" i="15"/>
  <c r="AG40" i="15" s="1"/>
  <c r="ES25" i="14"/>
  <c r="AG25" i="14" s="1"/>
  <c r="ES41" i="15"/>
  <c r="AG41" i="15" s="1"/>
  <c r="ET21" i="7"/>
  <c r="AJ21" i="7" s="1"/>
  <c r="ET44" i="10"/>
  <c r="AJ44" i="10" s="1"/>
  <c r="ET35" i="13"/>
  <c r="AJ35" i="13" s="1"/>
  <c r="ET24" i="15"/>
  <c r="AJ24" i="15" s="1"/>
  <c r="ET33" i="6"/>
  <c r="AJ33" i="6" s="1"/>
  <c r="ES39" i="9"/>
  <c r="AG39" i="9" s="1"/>
  <c r="ET32" i="9"/>
  <c r="AJ32" i="9" s="1"/>
  <c r="ET43" i="10"/>
  <c r="AJ43" i="10" s="1"/>
  <c r="ET35" i="14"/>
  <c r="AJ35" i="14" s="1"/>
  <c r="ES43" i="15"/>
  <c r="AG43" i="15" s="1"/>
  <c r="ET37" i="8"/>
  <c r="AJ37" i="8" s="1"/>
  <c r="ET33" i="8"/>
  <c r="AJ33" i="8" s="1"/>
  <c r="ET26" i="13"/>
  <c r="AJ26" i="13" s="1"/>
  <c r="ES29" i="13"/>
  <c r="AG29" i="13" s="1"/>
  <c r="ES28" i="8"/>
  <c r="AG28" i="8" s="1"/>
  <c r="ES31" i="13"/>
  <c r="AG31" i="13" s="1"/>
  <c r="ET32" i="15"/>
  <c r="AJ32" i="15" s="1"/>
  <c r="ES31" i="12"/>
  <c r="AG31" i="12" s="1"/>
  <c r="ET38" i="12"/>
  <c r="AJ38" i="12" s="1"/>
  <c r="ES41" i="10"/>
  <c r="AG41" i="10" s="1"/>
  <c r="ES42" i="12"/>
  <c r="AG42" i="12" s="1"/>
  <c r="ES32" i="10"/>
  <c r="AG32" i="10" s="1"/>
  <c r="ET25" i="13"/>
  <c r="AJ25" i="13" s="1"/>
  <c r="ET39" i="13"/>
  <c r="AJ39" i="13" s="1"/>
  <c r="ET22" i="7"/>
  <c r="AJ22" i="7" s="1"/>
  <c r="ES31" i="14"/>
  <c r="AG31" i="14" s="1"/>
  <c r="ES21" i="7"/>
  <c r="AG21" i="7" s="1"/>
  <c r="ET48" i="5"/>
  <c r="AJ48" i="5" s="1"/>
  <c r="ET50" i="9"/>
  <c r="AJ50" i="9" s="1"/>
  <c r="ES34" i="9"/>
  <c r="AG34" i="9" s="1"/>
  <c r="ES21" i="12"/>
  <c r="AG21" i="12" s="1"/>
  <c r="ES46" i="7"/>
  <c r="AG46" i="7" s="1"/>
  <c r="ET31" i="13"/>
  <c r="AJ31" i="13" s="1"/>
  <c r="ES26" i="14"/>
  <c r="AG26" i="14" s="1"/>
  <c r="ES49" i="13"/>
  <c r="AG49" i="13" s="1"/>
  <c r="ET21" i="9"/>
  <c r="AJ21" i="9" s="1"/>
  <c r="ES30" i="14"/>
  <c r="AG30" i="14" s="1"/>
  <c r="ET34" i="7"/>
  <c r="AJ34" i="7" s="1"/>
  <c r="ES40" i="14"/>
  <c r="AG40" i="14" s="1"/>
  <c r="ES41" i="12"/>
  <c r="AG41" i="12" s="1"/>
  <c r="ES33" i="6"/>
  <c r="AG33" i="6" s="1"/>
  <c r="ES46" i="12"/>
  <c r="AG46" i="12" s="1"/>
  <c r="ES47" i="8"/>
  <c r="AG47" i="8" s="1"/>
  <c r="ES37" i="10"/>
  <c r="AG37" i="10" s="1"/>
  <c r="ES32" i="7"/>
  <c r="AG32" i="7" s="1"/>
  <c r="ES43" i="14"/>
  <c r="AG43" i="14" s="1"/>
  <c r="ES35" i="12"/>
  <c r="AG35" i="12" s="1"/>
  <c r="ET34" i="6"/>
  <c r="AJ34" i="6" s="1"/>
  <c r="ET50" i="5"/>
  <c r="AJ50" i="5" s="1"/>
  <c r="ES49" i="15"/>
  <c r="AG49" i="15" s="1"/>
  <c r="ES50" i="12"/>
  <c r="AG50" i="12" s="1"/>
  <c r="ES37" i="14"/>
  <c r="AG37" i="14" s="1"/>
  <c r="ET30" i="8"/>
  <c r="AJ30" i="8" s="1"/>
  <c r="ET41" i="11"/>
  <c r="AJ41" i="11" s="1"/>
  <c r="ES31" i="8"/>
  <c r="AG31" i="8" s="1"/>
  <c r="ES25" i="7"/>
  <c r="AG25" i="7" s="1"/>
  <c r="ES38" i="8"/>
  <c r="AG38" i="8" s="1"/>
  <c r="ES49" i="10"/>
  <c r="AG49" i="10" s="1"/>
  <c r="ET45" i="10"/>
  <c r="AJ45" i="10" s="1"/>
  <c r="ET26" i="9"/>
  <c r="AJ26" i="9" s="1"/>
  <c r="ET24" i="6"/>
  <c r="AJ24" i="6" s="1"/>
  <c r="ET33" i="11"/>
  <c r="AJ33" i="11" s="1"/>
  <c r="ET39" i="9"/>
  <c r="AJ39" i="9" s="1"/>
  <c r="ET37" i="15"/>
  <c r="AJ37" i="15" s="1"/>
  <c r="ET27" i="12"/>
  <c r="AJ27" i="12" s="1"/>
  <c r="ET23" i="8"/>
  <c r="AJ23" i="8" s="1"/>
  <c r="ES40" i="6"/>
  <c r="AG40" i="6" s="1"/>
  <c r="ET28" i="9"/>
  <c r="AJ28" i="9" s="1"/>
  <c r="ES30" i="8"/>
  <c r="AG30" i="8" s="1"/>
  <c r="ES21" i="10"/>
  <c r="AG21" i="10" s="1"/>
  <c r="ET36" i="6"/>
  <c r="AJ36" i="6" s="1"/>
  <c r="ES39" i="11"/>
  <c r="AG39" i="11" s="1"/>
  <c r="ES22" i="12"/>
  <c r="AG22" i="12" s="1"/>
  <c r="ET37" i="12"/>
  <c r="AJ37" i="12" s="1"/>
  <c r="ES36" i="7"/>
  <c r="AG36" i="7" s="1"/>
  <c r="ET20" i="8"/>
  <c r="AJ20" i="8" s="1"/>
  <c r="ES34" i="7"/>
  <c r="AG34" i="7" s="1"/>
  <c r="ES30" i="11"/>
  <c r="AG30" i="11" s="1"/>
  <c r="ES50" i="11"/>
  <c r="AG50" i="11" s="1"/>
  <c r="ES48" i="8"/>
  <c r="AG48" i="8" s="1"/>
  <c r="ES45" i="9"/>
  <c r="AG45" i="9" s="1"/>
  <c r="ET32" i="6"/>
  <c r="AJ32" i="6" s="1"/>
  <c r="ET35" i="12"/>
  <c r="AJ35" i="12" s="1"/>
  <c r="ET27" i="8"/>
  <c r="AJ27" i="8" s="1"/>
  <c r="ES25" i="11"/>
  <c r="AG25" i="11" s="1"/>
  <c r="ES44" i="13"/>
  <c r="AG44" i="13" s="1"/>
  <c r="ET20" i="13"/>
  <c r="AJ20" i="13" s="1"/>
  <c r="ET22" i="13"/>
  <c r="AJ22" i="13" s="1"/>
  <c r="ES44" i="6"/>
  <c r="AG44" i="6" s="1"/>
  <c r="ES24" i="12"/>
  <c r="AG24" i="12" s="1"/>
  <c r="ET39" i="7"/>
  <c r="AJ39" i="7" s="1"/>
  <c r="ES45" i="12"/>
  <c r="AG45" i="12" s="1"/>
  <c r="ES28" i="9"/>
  <c r="AG28" i="9" s="1"/>
  <c r="ET33" i="15"/>
  <c r="AJ33" i="15" s="1"/>
  <c r="ES20" i="11"/>
  <c r="AG20" i="11" s="1"/>
  <c r="ES25" i="13"/>
  <c r="AG25" i="13" s="1"/>
  <c r="ES22" i="7"/>
  <c r="AG22" i="7" s="1"/>
  <c r="ET41" i="12"/>
  <c r="AJ41" i="12" s="1"/>
  <c r="ES38" i="13"/>
  <c r="AG38" i="13" s="1"/>
  <c r="ET49" i="12"/>
  <c r="AJ49" i="12" s="1"/>
  <c r="ES31" i="9"/>
  <c r="AG31" i="9" s="1"/>
  <c r="ES30" i="10"/>
  <c r="AG30" i="10" s="1"/>
  <c r="ET48" i="11"/>
  <c r="AJ48" i="11" s="1"/>
  <c r="ET26" i="14"/>
  <c r="AJ26" i="14" s="1"/>
  <c r="ES25" i="10"/>
  <c r="AG25" i="10" s="1"/>
  <c r="ES37" i="8"/>
  <c r="AG37" i="8" s="1"/>
  <c r="ES41" i="8"/>
  <c r="AG41" i="8" s="1"/>
  <c r="ET31" i="12"/>
  <c r="AJ31" i="12" s="1"/>
  <c r="ES21" i="15"/>
  <c r="AG21" i="15" s="1"/>
  <c r="ET21" i="8"/>
  <c r="AJ21" i="8" s="1"/>
  <c r="ES38" i="6"/>
  <c r="AG38" i="6" s="1"/>
  <c r="ES45" i="13"/>
  <c r="AG45" i="13" s="1"/>
  <c r="ET45" i="11"/>
  <c r="AJ45" i="11" s="1"/>
  <c r="ET35" i="10"/>
  <c r="AJ35" i="10" s="1"/>
  <c r="ET28" i="10"/>
  <c r="AJ28" i="10" s="1"/>
  <c r="ES20" i="13"/>
  <c r="AG20" i="13" s="1"/>
  <c r="ET49" i="6"/>
  <c r="AJ49" i="6" s="1"/>
  <c r="ET42" i="8"/>
  <c r="AJ42" i="8" s="1"/>
  <c r="ES48" i="11"/>
  <c r="AG48" i="11" s="1"/>
  <c r="ES38" i="14"/>
  <c r="AG38" i="14" s="1"/>
  <c r="ET42" i="14"/>
  <c r="AJ42" i="14" s="1"/>
  <c r="ET35" i="8"/>
  <c r="AJ35" i="8" s="1"/>
  <c r="ET39" i="14"/>
  <c r="AJ39" i="14" s="1"/>
  <c r="ET24" i="7"/>
  <c r="AJ24" i="7" s="1"/>
  <c r="ET47" i="14"/>
  <c r="AJ47" i="14" s="1"/>
  <c r="ES47" i="12"/>
  <c r="AG47" i="12" s="1"/>
  <c r="ET39" i="6"/>
  <c r="AJ39" i="6" s="1"/>
  <c r="ET31" i="10"/>
  <c r="AJ31" i="10" s="1"/>
  <c r="ET25" i="14"/>
  <c r="AJ25" i="14" s="1"/>
  <c r="ET38" i="8"/>
  <c r="AJ38" i="8" s="1"/>
  <c r="ES45" i="6"/>
  <c r="AG45" i="6" s="1"/>
  <c r="ET34" i="12"/>
  <c r="AJ34" i="12" s="1"/>
  <c r="ES22" i="10"/>
  <c r="AG22" i="10" s="1"/>
  <c r="ET48" i="10"/>
  <c r="AJ48" i="10" s="1"/>
  <c r="ES36" i="9"/>
  <c r="AG36" i="9" s="1"/>
  <c r="ES46" i="11"/>
  <c r="AG46" i="11" s="1"/>
  <c r="ET38" i="6"/>
  <c r="AJ38" i="6" s="1"/>
  <c r="ET39" i="15"/>
  <c r="AJ39" i="15" s="1"/>
  <c r="ET35" i="15"/>
  <c r="AJ35" i="15" s="1"/>
  <c r="ET26" i="8"/>
  <c r="AJ26" i="8" s="1"/>
  <c r="ET26" i="12"/>
  <c r="AJ26" i="12" s="1"/>
  <c r="ES39" i="13"/>
  <c r="AG39" i="13" s="1"/>
  <c r="ET33" i="10"/>
  <c r="AJ33" i="10" s="1"/>
  <c r="ES39" i="14"/>
  <c r="AG39" i="14" s="1"/>
  <c r="ET28" i="15"/>
  <c r="AJ28" i="15" s="1"/>
  <c r="ET28" i="8"/>
  <c r="AJ28" i="8" s="1"/>
  <c r="ET38" i="10"/>
  <c r="AJ38" i="10" s="1"/>
  <c r="ES35" i="11"/>
  <c r="AG35" i="11" s="1"/>
  <c r="ES42" i="11"/>
  <c r="AG42" i="11" s="1"/>
  <c r="ES24" i="10"/>
  <c r="AG24" i="10" s="1"/>
  <c r="ES29" i="7"/>
  <c r="AG29" i="7" s="1"/>
  <c r="ES27" i="8"/>
  <c r="AG27" i="8" s="1"/>
  <c r="ET29" i="9"/>
  <c r="AJ29" i="9" s="1"/>
  <c r="ES40" i="10"/>
  <c r="AG40" i="10" s="1"/>
  <c r="ES37" i="15"/>
  <c r="AG37" i="15" s="1"/>
  <c r="ES35" i="15"/>
  <c r="AG35" i="15" s="1"/>
  <c r="ES29" i="8"/>
  <c r="AG29" i="8" s="1"/>
  <c r="ET23" i="13"/>
  <c r="AJ23" i="13" s="1"/>
  <c r="ET23" i="15"/>
  <c r="AJ23" i="15" s="1"/>
  <c r="ET47" i="13"/>
  <c r="AJ47" i="13" s="1"/>
  <c r="ES47" i="11"/>
  <c r="AG47" i="11" s="1"/>
  <c r="ES36" i="12"/>
  <c r="AG36" i="12" s="1"/>
  <c r="ES26" i="12"/>
  <c r="AG26" i="12" s="1"/>
  <c r="ET25" i="15"/>
  <c r="AJ25" i="15" s="1"/>
  <c r="ET31" i="15"/>
  <c r="AJ31" i="15" s="1"/>
  <c r="ES34" i="10"/>
  <c r="AG34" i="10" s="1"/>
  <c r="ES41" i="13"/>
  <c r="AG41" i="13" s="1"/>
  <c r="ES28" i="13"/>
  <c r="AG28" i="13" s="1"/>
  <c r="ET29" i="12"/>
  <c r="AJ29" i="12" s="1"/>
  <c r="ET49" i="10"/>
  <c r="AJ49" i="10" s="1"/>
  <c r="ET48" i="15"/>
  <c r="AJ48" i="15" s="1"/>
  <c r="ES46" i="15"/>
  <c r="AG46" i="15" s="1"/>
  <c r="ET22" i="10"/>
  <c r="AJ22" i="10" s="1"/>
  <c r="ES26" i="9"/>
  <c r="AG26" i="9" s="1"/>
  <c r="ES32" i="12"/>
  <c r="AG32" i="12" s="1"/>
  <c r="ET40" i="6"/>
  <c r="AJ40" i="6" s="1"/>
  <c r="ET45" i="12"/>
  <c r="AJ45" i="12" s="1"/>
  <c r="ET48" i="6"/>
  <c r="AJ48" i="6" s="1"/>
  <c r="ES38" i="10"/>
  <c r="AG38" i="10" s="1"/>
  <c r="ES29" i="12"/>
  <c r="AG29" i="12" s="1"/>
  <c r="ET36" i="7"/>
  <c r="AJ36" i="7" s="1"/>
  <c r="ES43" i="8"/>
  <c r="AG43" i="8" s="1"/>
  <c r="ES27" i="6"/>
  <c r="AG27" i="6" s="1"/>
  <c r="ET36" i="13"/>
  <c r="AJ36" i="13" s="1"/>
  <c r="ET27" i="11"/>
  <c r="AJ27" i="11" s="1"/>
  <c r="ES22" i="8"/>
  <c r="AG22" i="8" s="1"/>
  <c r="ES47" i="15"/>
  <c r="AG47" i="15" s="1"/>
  <c r="ES23" i="15"/>
  <c r="AG23" i="15" s="1"/>
  <c r="ET30" i="12"/>
  <c r="AJ30" i="12" s="1"/>
  <c r="ET40" i="11"/>
  <c r="AJ40" i="11" s="1"/>
  <c r="ES25" i="15"/>
  <c r="AG25" i="15" s="1"/>
  <c r="ET50" i="7"/>
  <c r="AJ50" i="7" s="1"/>
  <c r="ET30" i="6"/>
  <c r="AJ30" i="6" s="1"/>
  <c r="ES48" i="10"/>
  <c r="AG48" i="10" s="1"/>
  <c r="ES49" i="8"/>
  <c r="AG49" i="8" s="1"/>
  <c r="ES50" i="9"/>
  <c r="AG50" i="9" s="1"/>
  <c r="ET42" i="9"/>
  <c r="AJ42" i="9" s="1"/>
  <c r="ES30" i="13"/>
  <c r="AG30" i="13" s="1"/>
  <c r="ET33" i="12"/>
  <c r="AJ33" i="12" s="1"/>
  <c r="ET44" i="11"/>
  <c r="AJ44" i="11" s="1"/>
  <c r="ES47" i="10"/>
  <c r="AG47" i="10" s="1"/>
  <c r="ET32" i="7"/>
  <c r="AJ32" i="7" s="1"/>
  <c r="ET50" i="11"/>
  <c r="AJ50" i="11" s="1"/>
  <c r="ES42" i="7"/>
  <c r="AG42" i="7" s="1"/>
  <c r="ES34" i="14"/>
  <c r="AG34" i="14" s="1"/>
  <c r="ET36" i="9"/>
  <c r="AJ36" i="9" s="1"/>
  <c r="ES35" i="9"/>
  <c r="AG35" i="9" s="1"/>
  <c r="ES27" i="10"/>
  <c r="AG27" i="10" s="1"/>
  <c r="ET22" i="15"/>
  <c r="AJ22" i="15" s="1"/>
  <c r="ET44" i="7"/>
  <c r="AJ44" i="7" s="1"/>
  <c r="ET20" i="14"/>
  <c r="AJ20" i="14" s="1"/>
  <c r="ES26" i="10"/>
  <c r="AG26" i="10" s="1"/>
  <c r="ES35" i="14"/>
  <c r="AG35" i="14" s="1"/>
  <c r="ET26" i="7"/>
  <c r="AJ26" i="7" s="1"/>
  <c r="ES22" i="11"/>
  <c r="AG22" i="11" s="1"/>
  <c r="ES26" i="13"/>
  <c r="AG26" i="13" s="1"/>
  <c r="ET45" i="7"/>
  <c r="AJ45" i="7" s="1"/>
  <c r="ET46" i="6"/>
  <c r="AJ46" i="6" s="1"/>
  <c r="ET38" i="15"/>
  <c r="AJ38" i="15" s="1"/>
  <c r="ES33" i="11"/>
  <c r="AG33" i="11" s="1"/>
  <c r="ES46" i="10"/>
  <c r="AG46" i="10" s="1"/>
  <c r="ES27" i="7"/>
  <c r="AG27" i="7" s="1"/>
  <c r="ET41" i="14"/>
  <c r="AJ41" i="14" s="1"/>
  <c r="ET48" i="14"/>
  <c r="AJ48" i="14" s="1"/>
  <c r="ET31" i="7"/>
  <c r="AJ31" i="7" s="1"/>
  <c r="ES41" i="9"/>
  <c r="AG41" i="9" s="1"/>
  <c r="ES45" i="11"/>
  <c r="AG45" i="11" s="1"/>
  <c r="ES38" i="9"/>
  <c r="AG38" i="9" s="1"/>
  <c r="ET44" i="9"/>
  <c r="AJ44" i="9" s="1"/>
  <c r="ES30" i="15"/>
  <c r="AG30" i="15" s="1"/>
  <c r="ET21" i="10"/>
  <c r="AJ21" i="10" s="1"/>
  <c r="ES44" i="12"/>
  <c r="AG44" i="12" s="1"/>
  <c r="ES25" i="12"/>
  <c r="AG25" i="12" s="1"/>
  <c r="ET20" i="15"/>
  <c r="AJ20" i="15" s="1"/>
  <c r="ET50" i="8"/>
  <c r="AJ50" i="8" s="1"/>
  <c r="ET22" i="11"/>
  <c r="AJ22" i="11" s="1"/>
  <c r="ET41" i="13"/>
  <c r="AJ41" i="13" s="1"/>
  <c r="ES28" i="11"/>
  <c r="AG28" i="11" s="1"/>
  <c r="ES33" i="12"/>
  <c r="AG33" i="12" s="1"/>
  <c r="ET34" i="14"/>
  <c r="AJ34" i="14" s="1"/>
  <c r="ES37" i="7"/>
  <c r="AG37" i="7" s="1"/>
  <c r="ES27" i="12"/>
  <c r="AG27" i="12" s="1"/>
  <c r="ET41" i="7"/>
  <c r="AJ41" i="7" s="1"/>
  <c r="ET38" i="11"/>
  <c r="AJ38" i="11" s="1"/>
  <c r="ES39" i="15"/>
  <c r="AG39" i="15" s="1"/>
  <c r="ES49" i="6"/>
  <c r="AG49" i="6" s="1"/>
  <c r="ET24" i="8"/>
  <c r="AJ24" i="8" s="1"/>
  <c r="ET35" i="9"/>
  <c r="AJ35" i="9" s="1"/>
  <c r="ES49" i="11"/>
  <c r="AG49" i="11" s="1"/>
  <c r="ES48" i="9"/>
  <c r="AG48" i="9" s="1"/>
  <c r="ET29" i="7"/>
  <c r="AJ29" i="7" s="1"/>
  <c r="ES29" i="9"/>
  <c r="AG29" i="9" s="1"/>
  <c r="ET33" i="7"/>
  <c r="AJ33" i="7" s="1"/>
  <c r="ES23" i="7"/>
  <c r="AG23" i="7" s="1"/>
  <c r="ES47" i="14"/>
  <c r="AG47" i="14" s="1"/>
  <c r="ET46" i="8"/>
  <c r="AJ46" i="8" s="1"/>
  <c r="ET41" i="6"/>
  <c r="AJ41" i="6" s="1"/>
  <c r="ET38" i="7"/>
  <c r="AJ38" i="7" s="1"/>
  <c r="ES33" i="15"/>
  <c r="AG33" i="15" s="1"/>
  <c r="ET29" i="15"/>
  <c r="AJ29" i="15" s="1"/>
  <c r="ET43" i="14"/>
  <c r="AJ43" i="14" s="1"/>
  <c r="ET20" i="12"/>
  <c r="AJ20" i="12" s="1"/>
  <c r="ES48" i="6"/>
  <c r="AG48" i="6" s="1"/>
  <c r="ET42" i="13"/>
  <c r="AJ42" i="13" s="1"/>
  <c r="ES21" i="14"/>
  <c r="AG21" i="14" s="1"/>
  <c r="ET49" i="11"/>
  <c r="AJ49" i="11" s="1"/>
  <c r="ET26" i="15"/>
  <c r="AJ26" i="15" s="1"/>
  <c r="ET43" i="8"/>
  <c r="AJ43" i="8" s="1"/>
  <c r="ET44" i="12"/>
  <c r="AJ44" i="12" s="1"/>
  <c r="ES24" i="9"/>
  <c r="AG24" i="9" s="1"/>
  <c r="ES28" i="7"/>
  <c r="AG28" i="7" s="1"/>
  <c r="ES28" i="10"/>
  <c r="AG28" i="10" s="1"/>
  <c r="ES40" i="7"/>
  <c r="AG40" i="7" s="1"/>
  <c r="ET23" i="12"/>
  <c r="AJ23" i="12" s="1"/>
  <c r="ET41" i="15"/>
  <c r="AJ41" i="15" s="1"/>
  <c r="ET34" i="11"/>
  <c r="AJ34" i="11" s="1"/>
  <c r="ET40" i="12"/>
  <c r="AJ40" i="12" s="1"/>
  <c r="ET48" i="7"/>
  <c r="AJ48" i="7" s="1"/>
  <c r="ES42" i="8"/>
  <c r="AG42" i="8" s="1"/>
  <c r="ES24" i="8"/>
  <c r="AG24" i="8" s="1"/>
  <c r="ES45" i="8"/>
  <c r="AG45" i="8" s="1"/>
  <c r="ET38" i="14"/>
  <c r="AJ38" i="14" s="1"/>
  <c r="ES24" i="13"/>
  <c r="AG24" i="13" s="1"/>
  <c r="ES48" i="15"/>
  <c r="AG48" i="15" s="1"/>
  <c r="ES28" i="12"/>
  <c r="AG28" i="12" s="1"/>
  <c r="ES24" i="14"/>
  <c r="AG24" i="14" s="1"/>
  <c r="ES40" i="11"/>
  <c r="AG40" i="11" s="1"/>
  <c r="ET26" i="11"/>
  <c r="AJ26" i="11" s="1"/>
  <c r="ET43" i="9"/>
  <c r="AJ43" i="9" s="1"/>
  <c r="ES36" i="14"/>
  <c r="AG36" i="14" s="1"/>
  <c r="ES41" i="11"/>
  <c r="AG41" i="11" s="1"/>
  <c r="ES38" i="11"/>
  <c r="AG38" i="11" s="1"/>
  <c r="ET22" i="8"/>
  <c r="AJ22" i="8" s="1"/>
  <c r="ES31" i="10"/>
  <c r="AG31" i="10" s="1"/>
  <c r="ET33" i="9"/>
  <c r="AJ33" i="9" s="1"/>
  <c r="ET32" i="11"/>
  <c r="AJ32" i="11" s="1"/>
  <c r="ET25" i="11"/>
  <c r="AJ25" i="11" s="1"/>
  <c r="ES39" i="10"/>
  <c r="AG39" i="10" s="1"/>
  <c r="ET36" i="10"/>
  <c r="AJ36" i="10" s="1"/>
  <c r="ET36" i="11"/>
  <c r="AJ36" i="11" s="1"/>
  <c r="ES26" i="11"/>
  <c r="AG26" i="11" s="1"/>
  <c r="ET48" i="12"/>
  <c r="AJ48" i="12" s="1"/>
  <c r="ET49" i="5"/>
  <c r="AJ49" i="5" s="1"/>
  <c r="ET21" i="15"/>
  <c r="AJ21" i="15" s="1"/>
  <c r="ES32" i="6"/>
  <c r="AG32" i="6" s="1"/>
  <c r="ET47" i="8"/>
  <c r="AJ47" i="8" s="1"/>
  <c r="ET23" i="10"/>
  <c r="AJ23" i="10" s="1"/>
  <c r="ET25" i="7"/>
  <c r="AJ25" i="7" s="1"/>
  <c r="ES40" i="12"/>
  <c r="AG40" i="12" s="1"/>
  <c r="ES50" i="8"/>
  <c r="AG50" i="8" s="1"/>
  <c r="ES34" i="8"/>
  <c r="AG34" i="8" s="1"/>
  <c r="ET31" i="9"/>
  <c r="AJ31" i="9" s="1"/>
  <c r="ES42" i="14"/>
  <c r="AG42" i="14" s="1"/>
  <c r="ET46" i="10"/>
  <c r="AJ46" i="10" s="1"/>
  <c r="ET27" i="7"/>
  <c r="AJ27" i="7" s="1"/>
  <c r="ET34" i="10"/>
  <c r="AJ34" i="10" s="1"/>
  <c r="ES20" i="7"/>
  <c r="AG20" i="7" s="1"/>
  <c r="ES45" i="7"/>
  <c r="AG45" i="7" s="1"/>
  <c r="ET37" i="6"/>
  <c r="AJ37" i="6" s="1"/>
  <c r="ET25" i="8"/>
  <c r="AJ25" i="8" s="1"/>
  <c r="ES23" i="13"/>
  <c r="AG23" i="13" s="1"/>
  <c r="ET44" i="13"/>
  <c r="AJ44" i="13" s="1"/>
  <c r="ES33" i="10"/>
  <c r="AG33" i="10" s="1"/>
  <c r="ET46" i="13"/>
  <c r="AJ46" i="13" s="1"/>
  <c r="ES20" i="10"/>
  <c r="AG20" i="10" s="1"/>
  <c r="ES30" i="6"/>
  <c r="AG30" i="6" s="1"/>
  <c r="ES48" i="12"/>
  <c r="AG48" i="12" s="1"/>
  <c r="ET49" i="9"/>
  <c r="AJ49" i="9" s="1"/>
  <c r="ET37" i="7"/>
  <c r="AJ37" i="7" s="1"/>
  <c r="ET36" i="8"/>
  <c r="AJ36" i="8" s="1"/>
  <c r="ES34" i="15"/>
  <c r="AG34" i="15" s="1"/>
  <c r="ET40" i="10"/>
  <c r="AJ40" i="10" s="1"/>
  <c r="ET21" i="14"/>
  <c r="AJ21" i="14" s="1"/>
  <c r="ET45" i="8"/>
  <c r="AJ45" i="8" s="1"/>
  <c r="ET30" i="11"/>
  <c r="AJ30" i="11" s="1"/>
  <c r="ET49" i="8"/>
  <c r="AJ49" i="8" s="1"/>
  <c r="ES21" i="9"/>
  <c r="AG21" i="9" s="1"/>
  <c r="ET32" i="13"/>
  <c r="AJ32" i="13" s="1"/>
  <c r="ES43" i="10"/>
  <c r="AG43" i="10" s="1"/>
  <c r="ES35" i="7"/>
  <c r="AG35" i="7" s="1"/>
  <c r="ES23" i="12"/>
  <c r="AG23" i="12" s="1"/>
  <c r="ET39" i="12"/>
  <c r="AJ39" i="12" s="1"/>
  <c r="ES25" i="6"/>
  <c r="AG25" i="6" s="1"/>
  <c r="ET39" i="11"/>
  <c r="AJ39" i="11" s="1"/>
  <c r="ET30" i="14"/>
  <c r="AJ30" i="14" s="1"/>
  <c r="ET21" i="11"/>
  <c r="AJ21" i="11" s="1"/>
  <c r="ES50" i="15"/>
  <c r="AG50" i="15" s="1"/>
  <c r="ES44" i="7"/>
  <c r="AG44" i="7" s="1"/>
  <c r="ES22" i="13"/>
  <c r="AG22" i="13" s="1"/>
  <c r="ET27" i="6"/>
  <c r="AJ27" i="6" s="1"/>
  <c r="ES21" i="11"/>
  <c r="AG21" i="11" s="1"/>
  <c r="ES26" i="7"/>
  <c r="AG26" i="7" s="1"/>
  <c r="ET46" i="12"/>
  <c r="AJ46" i="12" s="1"/>
  <c r="ET28" i="13"/>
  <c r="AJ28" i="13" s="1"/>
  <c r="ET23" i="7"/>
  <c r="AJ23" i="7" s="1"/>
  <c r="ES39" i="12"/>
  <c r="AG39" i="12" s="1"/>
  <c r="ES50" i="13"/>
  <c r="AG50" i="13" s="1"/>
  <c r="ET46" i="15"/>
  <c r="AJ46" i="15" s="1"/>
  <c r="ES43" i="9"/>
  <c r="AG43" i="9" s="1"/>
  <c r="ET37" i="11"/>
  <c r="AJ37" i="11" s="1"/>
  <c r="ET46" i="9"/>
  <c r="AJ46" i="9" s="1"/>
  <c r="ET40" i="9"/>
  <c r="AJ40" i="9" s="1"/>
  <c r="ES38" i="7"/>
  <c r="AG38" i="7" s="1"/>
  <c r="ET37" i="10"/>
  <c r="AJ37" i="10" s="1"/>
  <c r="ES25" i="9"/>
  <c r="AG25" i="9" s="1"/>
  <c r="ET24" i="14"/>
  <c r="AJ24" i="14" s="1"/>
  <c r="ES42" i="6"/>
  <c r="AG42" i="6" s="1"/>
  <c r="ES47" i="13"/>
  <c r="AG47" i="13" s="1"/>
  <c r="ES27" i="11"/>
  <c r="AG27" i="11" s="1"/>
  <c r="ES36" i="10"/>
  <c r="AG36" i="10" s="1"/>
  <c r="ES43" i="6"/>
  <c r="AG43" i="6" s="1"/>
  <c r="ET23" i="11"/>
  <c r="AJ23" i="11" s="1"/>
  <c r="ET32" i="10"/>
  <c r="AJ32" i="10" s="1"/>
  <c r="ET48" i="9"/>
  <c r="AJ48" i="9" s="1"/>
  <c r="ET40" i="7"/>
  <c r="AJ40" i="7" s="1"/>
  <c r="ET24" i="9"/>
  <c r="AJ24" i="9" s="1"/>
  <c r="ES35" i="13"/>
  <c r="AG35" i="13" s="1"/>
  <c r="ES36" i="15"/>
  <c r="AG36" i="15" s="1"/>
  <c r="ET47" i="7"/>
  <c r="AJ47" i="7" s="1"/>
  <c r="ET42" i="12"/>
  <c r="AJ42" i="12" s="1"/>
  <c r="ES44" i="8"/>
  <c r="AG44" i="8" s="1"/>
  <c r="ES31" i="15"/>
  <c r="AG31" i="15" s="1"/>
  <c r="ET42" i="15"/>
  <c r="AJ42" i="15" s="1"/>
  <c r="ES37" i="9"/>
  <c r="AG37" i="9" s="1"/>
  <c r="ET30" i="10"/>
  <c r="AJ30" i="10" s="1"/>
  <c r="ES34" i="13"/>
  <c r="AG34" i="13" s="1"/>
  <c r="ET24" i="10"/>
  <c r="AJ24" i="10" s="1"/>
  <c r="ES44" i="11"/>
  <c r="AG44" i="11" s="1"/>
  <c r="ES29" i="15"/>
  <c r="AG29" i="15" s="1"/>
  <c r="ET28" i="14"/>
  <c r="AJ28" i="14" s="1"/>
  <c r="ET20" i="9"/>
  <c r="AJ20" i="9" s="1"/>
  <c r="ET26" i="10"/>
  <c r="AJ26" i="10" s="1"/>
  <c r="ES20" i="15"/>
  <c r="AG20" i="15" s="1"/>
  <c r="ET42" i="11"/>
  <c r="AJ42" i="11" s="1"/>
  <c r="ET33" i="14"/>
  <c r="AJ33" i="14" s="1"/>
  <c r="ET38" i="13"/>
  <c r="AJ38" i="13" s="1"/>
  <c r="ET47" i="6"/>
  <c r="AJ47" i="6" s="1"/>
  <c r="ES44" i="15"/>
  <c r="AG44" i="15" s="1"/>
  <c r="ES20" i="14"/>
  <c r="AG20" i="14" s="1"/>
  <c r="ES24" i="15"/>
  <c r="AG24" i="15" s="1"/>
  <c r="ES21" i="8"/>
  <c r="AG21" i="8" s="1"/>
  <c r="ES41" i="14"/>
  <c r="AG41" i="14" s="1"/>
  <c r="ET23" i="9"/>
  <c r="AJ23" i="9" s="1"/>
  <c r="ET38" i="9"/>
  <c r="AJ38" i="9" s="1"/>
  <c r="ES45" i="15"/>
  <c r="AG45" i="15" s="1"/>
  <c r="ET28" i="6"/>
  <c r="AJ28" i="6" s="1"/>
  <c r="ET49" i="15"/>
  <c r="AJ49" i="15" s="1"/>
  <c r="ES20" i="6"/>
  <c r="AG20" i="6" s="1"/>
  <c r="ET32" i="14"/>
  <c r="AJ32" i="14" s="1"/>
  <c r="ET34" i="8"/>
  <c r="AJ34" i="8" s="1"/>
  <c r="ES20" i="9"/>
  <c r="AG20" i="9" s="1"/>
  <c r="ET40" i="13"/>
  <c r="AJ40" i="13" s="1"/>
  <c r="ET29" i="6"/>
  <c r="AJ29" i="6" s="1"/>
  <c r="ES33" i="7"/>
  <c r="AG33" i="7" s="1"/>
  <c r="ET25" i="6"/>
  <c r="AJ25" i="6" s="1"/>
  <c r="ET43" i="6"/>
  <c r="AJ43" i="6" s="1"/>
  <c r="ES46" i="6"/>
  <c r="AG46" i="6" s="1"/>
  <c r="ET36" i="15"/>
  <c r="AJ36" i="15" s="1"/>
  <c r="ES31" i="6"/>
  <c r="AG31" i="6" s="1"/>
  <c r="ET29" i="11"/>
  <c r="AJ29" i="11" s="1"/>
  <c r="ET32" i="8"/>
  <c r="AJ32" i="8" s="1"/>
  <c r="ET22" i="12"/>
  <c r="AJ22" i="12" s="1"/>
  <c r="BG18" i="37"/>
  <c r="BL27" i="12"/>
  <c r="BG25" i="42" s="1"/>
  <c r="ET21" i="13"/>
  <c r="AJ21" i="13" s="1"/>
  <c r="BL29" i="5"/>
  <c r="BG27" i="35" s="1"/>
  <c r="BL27" i="5"/>
  <c r="BG25" i="35" s="1"/>
  <c r="BL28" i="5"/>
  <c r="BG26" i="35" s="1"/>
  <c r="BL23" i="8"/>
  <c r="BG21" i="38" s="1"/>
  <c r="BL22" i="8"/>
  <c r="BG20" i="38" s="1"/>
  <c r="BL26" i="8"/>
  <c r="BG24" i="38" s="1"/>
  <c r="BL25" i="8"/>
  <c r="BG23" i="38" s="1"/>
  <c r="BL24" i="8"/>
  <c r="BG22" i="38" s="1"/>
  <c r="AT6" i="8" a="1"/>
  <c r="AT6" i="8" s="1"/>
  <c r="BL27" i="8"/>
  <c r="BG25" i="38" s="1"/>
  <c r="BL26" i="9"/>
  <c r="BG24" i="39" s="1"/>
  <c r="AT6" i="9" a="1"/>
  <c r="AT6" i="9" s="1"/>
  <c r="BL27" i="9"/>
  <c r="BG25" i="39" s="1"/>
  <c r="ET33" i="13"/>
  <c r="AJ33" i="13" s="1"/>
  <c r="ET47" i="10"/>
  <c r="AJ47" i="10" s="1"/>
  <c r="ES32" i="14"/>
  <c r="AG32" i="14" s="1"/>
  <c r="ES38" i="15"/>
  <c r="AG38" i="15" s="1"/>
  <c r="ET21" i="6"/>
  <c r="AJ21" i="6" s="1"/>
  <c r="ES22" i="6"/>
  <c r="AG22" i="6" s="1"/>
  <c r="ES47" i="7"/>
  <c r="AG47" i="7" s="1"/>
  <c r="ET47" i="15"/>
  <c r="AJ47" i="15" s="1"/>
  <c r="ES32" i="9"/>
  <c r="AG32" i="9" s="1"/>
  <c r="ES29" i="6"/>
  <c r="AG29" i="6" s="1"/>
  <c r="ES33" i="14"/>
  <c r="AG33" i="14" s="1"/>
  <c r="ES26" i="6"/>
  <c r="AG26" i="6" s="1"/>
  <c r="ES48" i="5"/>
  <c r="AG48" i="5" s="1"/>
  <c r="BG21" i="35"/>
  <c r="ES50" i="6"/>
  <c r="AG50" i="6" s="1"/>
  <c r="BY8" i="11"/>
  <c r="C92" i="80" l="1"/>
  <c r="D92" i="80"/>
  <c r="BL28" i="14"/>
  <c r="BG26" i="44" s="1"/>
  <c r="BL28" i="6"/>
  <c r="BG26" i="36" s="1"/>
  <c r="AK11" i="34"/>
  <c r="E54" i="56"/>
  <c r="E58" i="56" s="1"/>
  <c r="AD50" i="35"/>
  <c r="AD36" i="35"/>
  <c r="CP50" i="35"/>
  <c r="BF52" i="35"/>
  <c r="BF52" i="38"/>
  <c r="BF51" i="38"/>
  <c r="BF52" i="40"/>
  <c r="BF51" i="40"/>
  <c r="BF52" i="36"/>
  <c r="BF51" i="36"/>
  <c r="BF52" i="37"/>
  <c r="BF51" i="37"/>
  <c r="BF52" i="42"/>
  <c r="BF51" i="42"/>
  <c r="BF51" i="35"/>
  <c r="BF52" i="39"/>
  <c r="BF51" i="39"/>
  <c r="BF52" i="43"/>
  <c r="BF51" i="43"/>
  <c r="BF52" i="44"/>
  <c r="BF51" i="44"/>
  <c r="BF52" i="41"/>
  <c r="BF51" i="41"/>
  <c r="AZ143" i="11"/>
  <c r="AZ108" i="11"/>
  <c r="AZ108" i="5"/>
  <c r="AZ143" i="5"/>
  <c r="AZ143" i="12"/>
  <c r="AZ108" i="12"/>
  <c r="AZ143" i="10"/>
  <c r="AZ108" i="10"/>
  <c r="AZ143" i="8"/>
  <c r="AZ108" i="8"/>
  <c r="AZ144" i="4"/>
  <c r="AZ109" i="4"/>
  <c r="AZ143" i="13"/>
  <c r="AZ108" i="13"/>
  <c r="AZ143" i="14"/>
  <c r="AZ108" i="14"/>
  <c r="AZ143" i="7"/>
  <c r="AZ108" i="7"/>
  <c r="AZ144" i="15"/>
  <c r="AZ109" i="15"/>
  <c r="AZ143" i="6"/>
  <c r="AZ108" i="6"/>
  <c r="AZ143" i="9"/>
  <c r="AZ108" i="9"/>
  <c r="BL35" i="15"/>
  <c r="BG33" i="45" s="1"/>
  <c r="BA145" i="15"/>
  <c r="BA110" i="15"/>
  <c r="BA109" i="9"/>
  <c r="BA144" i="9"/>
  <c r="BA144" i="14"/>
  <c r="BA109" i="14"/>
  <c r="BA109" i="6"/>
  <c r="BA144" i="6"/>
  <c r="BA144" i="10"/>
  <c r="BA109" i="10"/>
  <c r="BA109" i="13"/>
  <c r="BA144" i="13"/>
  <c r="BA109" i="7"/>
  <c r="BA144" i="7"/>
  <c r="BL31" i="5"/>
  <c r="BG29" i="35" s="1"/>
  <c r="BA144" i="5"/>
  <c r="BA109" i="5"/>
  <c r="BA109" i="8"/>
  <c r="BA144" i="8"/>
  <c r="BL28" i="12"/>
  <c r="BG26" i="42" s="1"/>
  <c r="BA144" i="12"/>
  <c r="BA109" i="12"/>
  <c r="BA144" i="11"/>
  <c r="BA109" i="11"/>
  <c r="BA110" i="4"/>
  <c r="BA145" i="4"/>
  <c r="DY27" i="36"/>
  <c r="GK29" i="6"/>
  <c r="DZ45" i="45"/>
  <c r="GL47" i="15"/>
  <c r="DY36" i="45"/>
  <c r="GK38" i="15"/>
  <c r="DY29" i="36"/>
  <c r="GK31" i="6"/>
  <c r="DZ23" i="36"/>
  <c r="GL25" i="6"/>
  <c r="DY18" i="39"/>
  <c r="GK20" i="9"/>
  <c r="DZ47" i="45"/>
  <c r="GL49" i="15"/>
  <c r="DZ21" i="39"/>
  <c r="GL23" i="9"/>
  <c r="DY18" i="44"/>
  <c r="GK20" i="14"/>
  <c r="DZ31" i="44"/>
  <c r="GL33" i="14"/>
  <c r="DZ18" i="39"/>
  <c r="GL20" i="9"/>
  <c r="DZ22" i="40"/>
  <c r="GL24" i="10"/>
  <c r="DZ40" i="45"/>
  <c r="GL42" i="15"/>
  <c r="DZ45" i="37"/>
  <c r="GL47" i="7"/>
  <c r="DZ38" i="37"/>
  <c r="GL40" i="7"/>
  <c r="DY41" i="36"/>
  <c r="GK43" i="6"/>
  <c r="DY40" i="36"/>
  <c r="GK42" i="6"/>
  <c r="DY36" i="37"/>
  <c r="GK38" i="7"/>
  <c r="DY41" i="39"/>
  <c r="GK43" i="9"/>
  <c r="DZ21" i="37"/>
  <c r="GL23" i="7"/>
  <c r="DY19" i="41"/>
  <c r="GK21" i="11"/>
  <c r="DY20" i="43"/>
  <c r="GK22" i="13"/>
  <c r="DZ28" i="44"/>
  <c r="GL30" i="14"/>
  <c r="DY21" i="42"/>
  <c r="GK23" i="12"/>
  <c r="DY19" i="39"/>
  <c r="GK21" i="9"/>
  <c r="DZ19" i="44"/>
  <c r="GL21" i="14"/>
  <c r="DZ35" i="37"/>
  <c r="GL37" i="7"/>
  <c r="DY18" i="40"/>
  <c r="GK20" i="10"/>
  <c r="DY21" i="43"/>
  <c r="GK23" i="13"/>
  <c r="DY18" i="37"/>
  <c r="GK20" i="7"/>
  <c r="DY32" i="38"/>
  <c r="GK34" i="8"/>
  <c r="DZ21" i="40"/>
  <c r="GL23" i="10"/>
  <c r="DY30" i="36"/>
  <c r="GK32" i="6"/>
  <c r="DZ34" i="40"/>
  <c r="GL36" i="10"/>
  <c r="DZ31" i="39"/>
  <c r="GL33" i="9"/>
  <c r="DY39" i="41"/>
  <c r="GK41" i="11"/>
  <c r="DY38" i="41"/>
  <c r="GK40" i="11"/>
  <c r="DY22" i="43"/>
  <c r="GK24" i="13"/>
  <c r="DY40" i="38"/>
  <c r="GK42" i="8"/>
  <c r="DZ39" i="45"/>
  <c r="GL41" i="15"/>
  <c r="DY26" i="37"/>
  <c r="GK28" i="7"/>
  <c r="DZ24" i="45"/>
  <c r="GL26" i="15"/>
  <c r="DY46" i="36"/>
  <c r="GK48" i="6"/>
  <c r="DY45" i="44"/>
  <c r="GK47" i="14"/>
  <c r="DZ46" i="45"/>
  <c r="GL48" i="15"/>
  <c r="DY24" i="42"/>
  <c r="GK26" i="12"/>
  <c r="DY27" i="38"/>
  <c r="GK29" i="8"/>
  <c r="DY40" i="41"/>
  <c r="GK42" i="11"/>
  <c r="DZ24" i="42"/>
  <c r="GL26" i="12"/>
  <c r="DZ36" i="36"/>
  <c r="GL38" i="6"/>
  <c r="DY43" i="36"/>
  <c r="GK45" i="6"/>
  <c r="DZ40" i="44"/>
  <c r="GL42" i="14"/>
  <c r="DZ26" i="40"/>
  <c r="GL28" i="10"/>
  <c r="DY39" i="38"/>
  <c r="GK41" i="8"/>
  <c r="DY36" i="43"/>
  <c r="GK38" i="13"/>
  <c r="DY26" i="39"/>
  <c r="GK28" i="9"/>
  <c r="DY42" i="36"/>
  <c r="GK44" i="6"/>
  <c r="DY43" i="39"/>
  <c r="GK45" i="9"/>
  <c r="DY20" i="42"/>
  <c r="GK22" i="12"/>
  <c r="DZ25" i="42"/>
  <c r="GL27" i="12"/>
  <c r="DZ22" i="36"/>
  <c r="GL24" i="6"/>
  <c r="DY29" i="38"/>
  <c r="GK31" i="8"/>
  <c r="DZ48" i="35"/>
  <c r="GL50" i="5"/>
  <c r="DY30" i="37"/>
  <c r="GK32" i="7"/>
  <c r="DY47" i="43"/>
  <c r="GK49" i="13"/>
  <c r="DZ48" i="39"/>
  <c r="GL50" i="9"/>
  <c r="DY40" i="42"/>
  <c r="GK42" i="12"/>
  <c r="DZ24" i="43"/>
  <c r="GL26" i="13"/>
  <c r="DZ30" i="39"/>
  <c r="GL32" i="9"/>
  <c r="DZ19" i="37"/>
  <c r="GL21" i="7"/>
  <c r="DY30" i="43"/>
  <c r="GK32" i="13"/>
  <c r="DZ39" i="38"/>
  <c r="GL41" i="8"/>
  <c r="DZ34" i="42"/>
  <c r="GL36" i="12"/>
  <c r="DZ44" i="44"/>
  <c r="GL46" i="14"/>
  <c r="DY47" i="42"/>
  <c r="GK49" i="12"/>
  <c r="DZ26" i="42"/>
  <c r="GL28" i="12"/>
  <c r="DZ28" i="39"/>
  <c r="GL30" i="9"/>
  <c r="DZ43" i="44"/>
  <c r="GL45" i="14"/>
  <c r="DY20" i="39"/>
  <c r="GK22" i="9"/>
  <c r="DY24" i="36"/>
  <c r="GK26" i="6"/>
  <c r="DY20" i="36"/>
  <c r="GK22" i="6"/>
  <c r="DZ45" i="40"/>
  <c r="GL47" i="10"/>
  <c r="DZ30" i="38"/>
  <c r="GL32" i="8"/>
  <c r="DY44" i="36"/>
  <c r="GK46" i="6"/>
  <c r="DZ27" i="36"/>
  <c r="GL29" i="6"/>
  <c r="DZ30" i="44"/>
  <c r="GL32" i="14"/>
  <c r="DY43" i="45"/>
  <c r="GK45" i="15"/>
  <c r="DY19" i="38"/>
  <c r="GK21" i="8"/>
  <c r="DZ45" i="36"/>
  <c r="GL47" i="6"/>
  <c r="DY18" i="45"/>
  <c r="GK20" i="15"/>
  <c r="DY27" i="45"/>
  <c r="GK29" i="15"/>
  <c r="DZ28" i="40"/>
  <c r="GL30" i="10"/>
  <c r="DY42" i="38"/>
  <c r="GK44" i="8"/>
  <c r="DY33" i="43"/>
  <c r="GK35" i="13"/>
  <c r="DZ30" i="40"/>
  <c r="GL32" i="10"/>
  <c r="DY25" i="41"/>
  <c r="GK27" i="11"/>
  <c r="DY23" i="39"/>
  <c r="GK25" i="9"/>
  <c r="DZ44" i="39"/>
  <c r="GL46" i="9"/>
  <c r="DY48" i="43"/>
  <c r="GK50" i="13"/>
  <c r="DZ44" i="42"/>
  <c r="GL46" i="12"/>
  <c r="DY48" i="45"/>
  <c r="GK50" i="15"/>
  <c r="DY23" i="36"/>
  <c r="GK25" i="6"/>
  <c r="DY41" i="40"/>
  <c r="GK43" i="10"/>
  <c r="DZ28" i="41"/>
  <c r="GL30" i="11"/>
  <c r="DY32" i="45"/>
  <c r="GK34" i="15"/>
  <c r="DY46" i="42"/>
  <c r="GK48" i="12"/>
  <c r="DY31" i="40"/>
  <c r="GK33" i="10"/>
  <c r="DZ35" i="36"/>
  <c r="GL37" i="6"/>
  <c r="DZ25" i="37"/>
  <c r="GL27" i="7"/>
  <c r="DY40" i="44"/>
  <c r="GK42" i="14"/>
  <c r="DY38" i="42"/>
  <c r="GK40" i="12"/>
  <c r="DZ47" i="35"/>
  <c r="GL49" i="5"/>
  <c r="DY24" i="41"/>
  <c r="GK26" i="11"/>
  <c r="DZ23" i="41"/>
  <c r="GL25" i="11"/>
  <c r="DZ20" i="38"/>
  <c r="GL22" i="8"/>
  <c r="DZ41" i="39"/>
  <c r="GL43" i="9"/>
  <c r="DY26" i="42"/>
  <c r="GK28" i="12"/>
  <c r="DY43" i="38"/>
  <c r="GK45" i="8"/>
  <c r="DZ38" i="42"/>
  <c r="GL40" i="12"/>
  <c r="DY38" i="37"/>
  <c r="GK40" i="7"/>
  <c r="DZ42" i="42"/>
  <c r="GL44" i="12"/>
  <c r="DY19" i="44"/>
  <c r="GK21" i="14"/>
  <c r="DZ41" i="44"/>
  <c r="GL43" i="14"/>
  <c r="DY31" i="45"/>
  <c r="GK33" i="15"/>
  <c r="DZ39" i="36"/>
  <c r="GL41" i="6"/>
  <c r="DZ31" i="37"/>
  <c r="GL33" i="7"/>
  <c r="DZ27" i="37"/>
  <c r="GL29" i="7"/>
  <c r="DY47" i="41"/>
  <c r="GK49" i="11"/>
  <c r="DZ22" i="38"/>
  <c r="GL24" i="8"/>
  <c r="DY37" i="45"/>
  <c r="GK39" i="15"/>
  <c r="DZ39" i="37"/>
  <c r="GL41" i="7"/>
  <c r="DY35" i="37"/>
  <c r="GK37" i="7"/>
  <c r="DY31" i="42"/>
  <c r="GK33" i="12"/>
  <c r="DZ39" i="43"/>
  <c r="GL41" i="13"/>
  <c r="DZ48" i="38"/>
  <c r="GL50" i="8"/>
  <c r="DY23" i="42"/>
  <c r="GK25" i="12"/>
  <c r="DZ19" i="40"/>
  <c r="GL21" i="10"/>
  <c r="DZ42" i="39"/>
  <c r="GL44" i="9"/>
  <c r="DY43" i="41"/>
  <c r="GK45" i="11"/>
  <c r="DZ29" i="37"/>
  <c r="GL31" i="7"/>
  <c r="DZ39" i="44"/>
  <c r="GL41" i="14"/>
  <c r="DY44" i="40"/>
  <c r="GK46" i="10"/>
  <c r="DZ36" i="45"/>
  <c r="GL38" i="15"/>
  <c r="DZ43" i="37"/>
  <c r="GL45" i="7"/>
  <c r="DY20" i="41"/>
  <c r="GK22" i="11"/>
  <c r="DY33" i="44"/>
  <c r="GK35" i="14"/>
  <c r="DZ18" i="44"/>
  <c r="GL20" i="14"/>
  <c r="DZ20" i="45"/>
  <c r="GL22" i="15"/>
  <c r="DY33" i="39"/>
  <c r="GK35" i="9"/>
  <c r="DY32" i="44"/>
  <c r="GK34" i="14"/>
  <c r="DZ48" i="41"/>
  <c r="GL50" i="11"/>
  <c r="DY45" i="40"/>
  <c r="GK47" i="10"/>
  <c r="DZ31" i="42"/>
  <c r="GL33" i="12"/>
  <c r="DZ40" i="39"/>
  <c r="GL42" i="9"/>
  <c r="DY47" i="38"/>
  <c r="GK49" i="8"/>
  <c r="DZ28" i="36"/>
  <c r="GL30" i="6"/>
  <c r="DY23" i="45"/>
  <c r="GK25" i="15"/>
  <c r="DZ28" i="42"/>
  <c r="GL30" i="12"/>
  <c r="DY45" i="45"/>
  <c r="GK47" i="15"/>
  <c r="DZ25" i="41"/>
  <c r="GL27" i="11"/>
  <c r="DY25" i="36"/>
  <c r="GK27" i="6"/>
  <c r="DZ34" i="37"/>
  <c r="GL36" i="7"/>
  <c r="DY36" i="40"/>
  <c r="GK38" i="10"/>
  <c r="DZ43" i="42"/>
  <c r="GL45" i="12"/>
  <c r="DY30" i="42"/>
  <c r="GK32" i="12"/>
  <c r="DZ20" i="40"/>
  <c r="GL22" i="10"/>
  <c r="DZ27" i="42"/>
  <c r="GL29" i="12"/>
  <c r="DY39" i="43"/>
  <c r="GK41" i="13"/>
  <c r="DZ29" i="45"/>
  <c r="GL31" i="15"/>
  <c r="DY45" i="41"/>
  <c r="GK47" i="11"/>
  <c r="DZ21" i="45"/>
  <c r="GL23" i="15"/>
  <c r="DY35" i="45"/>
  <c r="GK37" i="15"/>
  <c r="DZ27" i="39"/>
  <c r="GL29" i="9"/>
  <c r="DY27" i="37"/>
  <c r="GK29" i="7"/>
  <c r="DZ36" i="40"/>
  <c r="GL38" i="10"/>
  <c r="DZ26" i="45"/>
  <c r="GL28" i="15"/>
  <c r="DZ31" i="40"/>
  <c r="GL33" i="10"/>
  <c r="DZ33" i="45"/>
  <c r="GL35" i="15"/>
  <c r="DY34" i="39"/>
  <c r="GK36" i="9"/>
  <c r="DY20" i="40"/>
  <c r="GK22" i="10"/>
  <c r="DZ23" i="44"/>
  <c r="GL25" i="14"/>
  <c r="DZ37" i="36"/>
  <c r="GL39" i="6"/>
  <c r="DZ45" i="44"/>
  <c r="GL47" i="14"/>
  <c r="DZ37" i="44"/>
  <c r="GL39" i="14"/>
  <c r="DY46" i="41"/>
  <c r="GK48" i="11"/>
  <c r="DZ47" i="36"/>
  <c r="GL49" i="6"/>
  <c r="DZ43" i="41"/>
  <c r="GL45" i="11"/>
  <c r="DY36" i="36"/>
  <c r="GK38" i="6"/>
  <c r="DY19" i="45"/>
  <c r="GK21" i="15"/>
  <c r="DY23" i="40"/>
  <c r="GK25" i="10"/>
  <c r="DZ46" i="41"/>
  <c r="GL48" i="11"/>
  <c r="DY29" i="39"/>
  <c r="GK31" i="9"/>
  <c r="DY20" i="37"/>
  <c r="GK22" i="7"/>
  <c r="DY18" i="41"/>
  <c r="GK20" i="11"/>
  <c r="DZ37" i="37"/>
  <c r="GL39" i="7"/>
  <c r="DZ18" i="43"/>
  <c r="GL20" i="13"/>
  <c r="DY23" i="41"/>
  <c r="GK25" i="11"/>
  <c r="DZ33" i="42"/>
  <c r="GL35" i="12"/>
  <c r="DY48" i="41"/>
  <c r="GK50" i="11"/>
  <c r="DY32" i="37"/>
  <c r="GK34" i="7"/>
  <c r="DY34" i="37"/>
  <c r="GK36" i="7"/>
  <c r="DZ34" i="36"/>
  <c r="GL36" i="6"/>
  <c r="DY28" i="38"/>
  <c r="GK30" i="8"/>
  <c r="DY38" i="36"/>
  <c r="GK40" i="6"/>
  <c r="DZ37" i="39"/>
  <c r="GL39" i="9"/>
  <c r="DZ43" i="40"/>
  <c r="GL45" i="10"/>
  <c r="DY36" i="38"/>
  <c r="GK38" i="8"/>
  <c r="DZ28" i="38"/>
  <c r="GL30" i="8"/>
  <c r="DY48" i="42"/>
  <c r="GK50" i="12"/>
  <c r="DY33" i="42"/>
  <c r="GK35" i="12"/>
  <c r="DY45" i="38"/>
  <c r="GK47" i="8"/>
  <c r="DY31" i="36"/>
  <c r="GK33" i="6"/>
  <c r="DY38" i="44"/>
  <c r="GK40" i="14"/>
  <c r="DY28" i="44"/>
  <c r="GK30" i="14"/>
  <c r="DZ29" i="43"/>
  <c r="GL31" i="13"/>
  <c r="DY19" i="42"/>
  <c r="GK21" i="12"/>
  <c r="DY19" i="37"/>
  <c r="GK21" i="7"/>
  <c r="DZ20" i="37"/>
  <c r="GL22" i="7"/>
  <c r="DZ23" i="43"/>
  <c r="GL25" i="13"/>
  <c r="DZ36" i="42"/>
  <c r="GL38" i="12"/>
  <c r="DZ30" i="45"/>
  <c r="GL32" i="15"/>
  <c r="DY26" i="38"/>
  <c r="GK28" i="8"/>
  <c r="DZ35" i="38"/>
  <c r="GL37" i="8"/>
  <c r="DZ33" i="44"/>
  <c r="GL35" i="14"/>
  <c r="DZ31" i="36"/>
  <c r="GL33" i="6"/>
  <c r="DZ33" i="43"/>
  <c r="GL35" i="13"/>
  <c r="DY23" i="44"/>
  <c r="GK25" i="14"/>
  <c r="DY26" i="45"/>
  <c r="GK28" i="15"/>
  <c r="DZ47" i="43"/>
  <c r="GL49" i="13"/>
  <c r="DY44" i="44"/>
  <c r="GK46" i="14"/>
  <c r="DY34" i="36"/>
  <c r="GK36" i="6"/>
  <c r="DY33" i="40"/>
  <c r="GK35" i="10"/>
  <c r="DY28" i="37"/>
  <c r="GK30" i="7"/>
  <c r="DY42" i="40"/>
  <c r="GK44" i="10"/>
  <c r="DY37" i="37"/>
  <c r="GK39" i="7"/>
  <c r="DY22" i="41"/>
  <c r="GK24" i="11"/>
  <c r="DY43" i="44"/>
  <c r="GK45" i="14"/>
  <c r="DY39" i="37"/>
  <c r="GK41" i="7"/>
  <c r="DZ18" i="36"/>
  <c r="GL20" i="6"/>
  <c r="DY44" i="38"/>
  <c r="GK46" i="8"/>
  <c r="DZ39" i="40"/>
  <c r="GL41" i="10"/>
  <c r="DZ43" i="39"/>
  <c r="GL45" i="9"/>
  <c r="DY33" i="38"/>
  <c r="GK35" i="8"/>
  <c r="DY44" i="39"/>
  <c r="GK46" i="9"/>
  <c r="DZ46" i="43"/>
  <c r="GL48" i="13"/>
  <c r="DZ43" i="36"/>
  <c r="GL45" i="6"/>
  <c r="DZ43" i="45"/>
  <c r="GL45" i="15"/>
  <c r="DZ38" i="44"/>
  <c r="GL40" i="14"/>
  <c r="DZ32" i="45"/>
  <c r="GL34" i="15"/>
  <c r="DZ41" i="43"/>
  <c r="GL43" i="13"/>
  <c r="DY20" i="44"/>
  <c r="GK22" i="14"/>
  <c r="DY28" i="39"/>
  <c r="GK30" i="9"/>
  <c r="DZ26" i="37"/>
  <c r="GL28" i="7"/>
  <c r="DY27" i="40"/>
  <c r="GK29" i="10"/>
  <c r="DZ26" i="41"/>
  <c r="GL28" i="11"/>
  <c r="DZ41" i="45"/>
  <c r="GL43" i="15"/>
  <c r="DZ44" i="37"/>
  <c r="GL46" i="7"/>
  <c r="DZ35" i="44"/>
  <c r="GL37" i="14"/>
  <c r="DZ38" i="38"/>
  <c r="GL40" i="8"/>
  <c r="DY35" i="43"/>
  <c r="GK37" i="13"/>
  <c r="DZ18" i="41"/>
  <c r="GL20" i="11"/>
  <c r="DZ22" i="43"/>
  <c r="GL24" i="13"/>
  <c r="DZ18" i="37"/>
  <c r="GL20" i="7"/>
  <c r="DY41" i="43"/>
  <c r="GK43" i="13"/>
  <c r="DY32" i="42"/>
  <c r="GK34" i="12"/>
  <c r="DY18" i="38"/>
  <c r="GK20" i="8"/>
  <c r="DZ27" i="44"/>
  <c r="GL29" i="14"/>
  <c r="DY48" i="37"/>
  <c r="GK50" i="7"/>
  <c r="DZ32" i="43"/>
  <c r="GL34" i="13"/>
  <c r="DY42" i="39"/>
  <c r="GK44" i="9"/>
  <c r="DY43" i="40"/>
  <c r="GK45" i="10"/>
  <c r="DY46" i="43"/>
  <c r="GK48" i="13"/>
  <c r="DY47" i="37"/>
  <c r="GK49" i="7"/>
  <c r="DY34" i="38"/>
  <c r="GK36" i="8"/>
  <c r="DZ23" i="42"/>
  <c r="GL25" i="12"/>
  <c r="DZ40" i="37"/>
  <c r="GL42" i="7"/>
  <c r="DY37" i="38"/>
  <c r="GK39" i="8"/>
  <c r="DZ37" i="40"/>
  <c r="GL39" i="10"/>
  <c r="DZ35" i="43"/>
  <c r="GL37" i="13"/>
  <c r="DY42" i="44"/>
  <c r="GK44" i="14"/>
  <c r="DZ29" i="41"/>
  <c r="GL31" i="11"/>
  <c r="DZ33" i="41"/>
  <c r="GL35" i="11"/>
  <c r="DY27" i="44"/>
  <c r="GK29" i="14"/>
  <c r="DY35" i="42"/>
  <c r="GK37" i="12"/>
  <c r="DY32" i="36"/>
  <c r="GK34" i="6"/>
  <c r="DZ20" i="39"/>
  <c r="GL22" i="9"/>
  <c r="DZ41" i="42"/>
  <c r="GL43" i="12"/>
  <c r="DY35" i="36"/>
  <c r="GK37" i="6"/>
  <c r="DY31" i="38"/>
  <c r="GK33" i="8"/>
  <c r="DZ38" i="45"/>
  <c r="GL40" i="15"/>
  <c r="DY27" i="41"/>
  <c r="GK29" i="11"/>
  <c r="DY21" i="44"/>
  <c r="GK23" i="14"/>
  <c r="DZ48" i="40"/>
  <c r="GL50" i="10"/>
  <c r="DY40" i="45"/>
  <c r="GK42" i="15"/>
  <c r="DZ25" i="43"/>
  <c r="GL27" i="13"/>
  <c r="DZ23" i="39"/>
  <c r="GL25" i="9"/>
  <c r="DY31" i="39"/>
  <c r="GK33" i="9"/>
  <c r="DZ21" i="36"/>
  <c r="GL23" i="6"/>
  <c r="DZ44" i="41"/>
  <c r="GL46" i="11"/>
  <c r="DY18" i="42"/>
  <c r="GK20" i="12"/>
  <c r="DY33" i="36"/>
  <c r="GK35" i="6"/>
  <c r="DY32" i="41"/>
  <c r="GK34" i="11"/>
  <c r="DZ42" i="36"/>
  <c r="GL44" i="6"/>
  <c r="DY19" i="43"/>
  <c r="GK21" i="13"/>
  <c r="DY25" i="44"/>
  <c r="GK27" i="14"/>
  <c r="DY29" i="41"/>
  <c r="GK31" i="11"/>
  <c r="DZ28" i="45"/>
  <c r="GL30" i="15"/>
  <c r="DY47" i="39"/>
  <c r="GK49" i="9"/>
  <c r="DY46" i="44"/>
  <c r="GK48" i="14"/>
  <c r="DZ47" i="44"/>
  <c r="GL49" i="14"/>
  <c r="DY48" i="44"/>
  <c r="GK50" i="14"/>
  <c r="DZ48" i="42"/>
  <c r="GL50" i="12"/>
  <c r="DY48" i="36"/>
  <c r="GK50" i="6"/>
  <c r="DY46" i="35"/>
  <c r="GK48" i="5"/>
  <c r="DY31" i="44"/>
  <c r="GK33" i="14"/>
  <c r="DY30" i="39"/>
  <c r="GK32" i="9"/>
  <c r="DY45" i="37"/>
  <c r="GK47" i="7"/>
  <c r="DZ19" i="36"/>
  <c r="GL21" i="6"/>
  <c r="DY30" i="44"/>
  <c r="GK32" i="14"/>
  <c r="DZ31" i="43"/>
  <c r="GL33" i="13"/>
  <c r="DZ19" i="43"/>
  <c r="GL21" i="13"/>
  <c r="DZ20" i="42"/>
  <c r="GL22" i="12"/>
  <c r="DZ27" i="41"/>
  <c r="GL29" i="11"/>
  <c r="DZ34" i="45"/>
  <c r="GL36" i="15"/>
  <c r="DZ41" i="36"/>
  <c r="GL43" i="6"/>
  <c r="DY31" i="37"/>
  <c r="GK33" i="7"/>
  <c r="DZ38" i="43"/>
  <c r="GL40" i="13"/>
  <c r="DZ32" i="38"/>
  <c r="GL34" i="8"/>
  <c r="DY18" i="36"/>
  <c r="GK20" i="6"/>
  <c r="DZ26" i="36"/>
  <c r="GL28" i="6"/>
  <c r="DZ36" i="39"/>
  <c r="GL38" i="9"/>
  <c r="DY39" i="44"/>
  <c r="GK41" i="14"/>
  <c r="DY22" i="45"/>
  <c r="GK24" i="15"/>
  <c r="DY42" i="45"/>
  <c r="GK44" i="15"/>
  <c r="DZ36" i="43"/>
  <c r="GL38" i="13"/>
  <c r="DZ40" i="41"/>
  <c r="GL42" i="11"/>
  <c r="DZ24" i="40"/>
  <c r="GL26" i="10"/>
  <c r="DZ26" i="44"/>
  <c r="GL28" i="14"/>
  <c r="DY42" i="41"/>
  <c r="GK44" i="11"/>
  <c r="DY32" i="43"/>
  <c r="GK34" i="13"/>
  <c r="DY35" i="39"/>
  <c r="GK37" i="9"/>
  <c r="DY29" i="45"/>
  <c r="GK31" i="15"/>
  <c r="DZ40" i="42"/>
  <c r="GL42" i="12"/>
  <c r="DY34" i="45"/>
  <c r="GK36" i="15"/>
  <c r="DZ22" i="39"/>
  <c r="GL24" i="9"/>
  <c r="DZ46" i="39"/>
  <c r="GL48" i="9"/>
  <c r="DZ21" i="41"/>
  <c r="GL23" i="11"/>
  <c r="DY34" i="40"/>
  <c r="GK36" i="10"/>
  <c r="DY45" i="43"/>
  <c r="GK47" i="13"/>
  <c r="DZ22" i="44"/>
  <c r="GL24" i="14"/>
  <c r="DZ35" i="40"/>
  <c r="GL37" i="10"/>
  <c r="DZ38" i="39"/>
  <c r="GL40" i="9"/>
  <c r="DZ35" i="41"/>
  <c r="GL37" i="11"/>
  <c r="DZ44" i="45"/>
  <c r="GL46" i="15"/>
  <c r="DY37" i="42"/>
  <c r="GK39" i="12"/>
  <c r="DZ26" i="43"/>
  <c r="GL28" i="13"/>
  <c r="DY24" i="37"/>
  <c r="GK26" i="7"/>
  <c r="DZ25" i="36"/>
  <c r="GL27" i="6"/>
  <c r="DY42" i="37"/>
  <c r="GK44" i="7"/>
  <c r="DZ19" i="41"/>
  <c r="GL21" i="11"/>
  <c r="DZ37" i="41"/>
  <c r="GL39" i="11"/>
  <c r="DZ37" i="42"/>
  <c r="GL39" i="12"/>
  <c r="DY33" i="37"/>
  <c r="GK35" i="7"/>
  <c r="DZ30" i="43"/>
  <c r="GL32" i="13"/>
  <c r="DZ47" i="38"/>
  <c r="GL49" i="8"/>
  <c r="DZ43" i="38"/>
  <c r="GL45" i="8"/>
  <c r="DZ38" i="40"/>
  <c r="GL40" i="10"/>
  <c r="DZ34" i="38"/>
  <c r="GL36" i="8"/>
  <c r="DZ47" i="39"/>
  <c r="GL49" i="9"/>
  <c r="DY28" i="36"/>
  <c r="GK30" i="6"/>
  <c r="DZ44" i="43"/>
  <c r="GL46" i="13"/>
  <c r="DZ42" i="43"/>
  <c r="GL44" i="13"/>
  <c r="DZ23" i="38"/>
  <c r="GL25" i="8"/>
  <c r="DY43" i="37"/>
  <c r="GK45" i="7"/>
  <c r="DZ32" i="40"/>
  <c r="GL34" i="10"/>
  <c r="DZ44" i="40"/>
  <c r="GL46" i="10"/>
  <c r="DZ29" i="39"/>
  <c r="GL31" i="9"/>
  <c r="DY48" i="38"/>
  <c r="GK50" i="8"/>
  <c r="DZ23" i="37"/>
  <c r="GL25" i="7"/>
  <c r="DZ45" i="38"/>
  <c r="GL47" i="8"/>
  <c r="DZ19" i="45"/>
  <c r="GL21" i="15"/>
  <c r="DZ46" i="42"/>
  <c r="GL48" i="12"/>
  <c r="DZ34" i="41"/>
  <c r="GL36" i="11"/>
  <c r="DY37" i="40"/>
  <c r="GK39" i="10"/>
  <c r="DZ30" i="41"/>
  <c r="GL32" i="11"/>
  <c r="DY29" i="40"/>
  <c r="GK31" i="10"/>
  <c r="DY36" i="41"/>
  <c r="GK38" i="11"/>
  <c r="DY34" i="44"/>
  <c r="GK36" i="14"/>
  <c r="DZ24" i="41"/>
  <c r="GL26" i="11"/>
  <c r="DY22" i="44"/>
  <c r="GK24" i="14"/>
  <c r="DY46" i="45"/>
  <c r="GK48" i="15"/>
  <c r="DZ36" i="44"/>
  <c r="GL38" i="14"/>
  <c r="DY22" i="38"/>
  <c r="GK24" i="8"/>
  <c r="DZ46" i="37"/>
  <c r="GL48" i="7"/>
  <c r="DZ32" i="41"/>
  <c r="GL34" i="11"/>
  <c r="DZ21" i="42"/>
  <c r="GL23" i="12"/>
  <c r="DY26" i="40"/>
  <c r="GK28" i="10"/>
  <c r="DY22" i="39"/>
  <c r="GK24" i="9"/>
  <c r="DZ41" i="38"/>
  <c r="GL43" i="8"/>
  <c r="DZ47" i="41"/>
  <c r="GL49" i="11"/>
  <c r="DZ40" i="43"/>
  <c r="GL42" i="13"/>
  <c r="DZ18" i="42"/>
  <c r="GL20" i="12"/>
  <c r="DZ27" i="45"/>
  <c r="GL29" i="15"/>
  <c r="DZ36" i="37"/>
  <c r="GL38" i="7"/>
  <c r="DZ44" i="38"/>
  <c r="GL46" i="8"/>
  <c r="DY21" i="37"/>
  <c r="GK23" i="7"/>
  <c r="DY27" i="39"/>
  <c r="GK29" i="9"/>
  <c r="DY46" i="39"/>
  <c r="GK48" i="9"/>
  <c r="DZ33" i="39"/>
  <c r="GL35" i="9"/>
  <c r="DY47" i="36"/>
  <c r="GK49" i="6"/>
  <c r="DZ36" i="41"/>
  <c r="GL38" i="11"/>
  <c r="DY25" i="42"/>
  <c r="GK27" i="12"/>
  <c r="DZ32" i="44"/>
  <c r="GL34" i="14"/>
  <c r="DY26" i="41"/>
  <c r="GK28" i="11"/>
  <c r="DZ20" i="41"/>
  <c r="GL22" i="11"/>
  <c r="DZ18" i="45"/>
  <c r="GL20" i="15"/>
  <c r="DY42" i="42"/>
  <c r="GK44" i="12"/>
  <c r="DY28" i="45"/>
  <c r="GK30" i="15"/>
  <c r="DY36" i="39"/>
  <c r="GK38" i="9"/>
  <c r="DY39" i="39"/>
  <c r="GK41" i="9"/>
  <c r="DZ46" i="44"/>
  <c r="GL48" i="14"/>
  <c r="DY25" i="37"/>
  <c r="GK27" i="7"/>
  <c r="DY31" i="41"/>
  <c r="GK33" i="11"/>
  <c r="DZ44" i="36"/>
  <c r="GL46" i="6"/>
  <c r="DY24" i="43"/>
  <c r="GK26" i="13"/>
  <c r="DZ24" i="37"/>
  <c r="GL26" i="7"/>
  <c r="DY24" i="40"/>
  <c r="GK26" i="10"/>
  <c r="DZ42" i="37"/>
  <c r="GL44" i="7"/>
  <c r="DY25" i="40"/>
  <c r="GK27" i="10"/>
  <c r="DZ34" i="39"/>
  <c r="GL36" i="9"/>
  <c r="DY40" i="37"/>
  <c r="GK42" i="7"/>
  <c r="DZ30" i="37"/>
  <c r="GL32" i="7"/>
  <c r="DZ42" i="41"/>
  <c r="GL44" i="11"/>
  <c r="DY28" i="43"/>
  <c r="GK30" i="13"/>
  <c r="DY48" i="39"/>
  <c r="GK50" i="9"/>
  <c r="DY46" i="40"/>
  <c r="GK48" i="10"/>
  <c r="DZ48" i="37"/>
  <c r="GL50" i="7"/>
  <c r="DZ38" i="41"/>
  <c r="GL40" i="11"/>
  <c r="DY21" i="45"/>
  <c r="GK23" i="15"/>
  <c r="DY20" i="38"/>
  <c r="GK22" i="8"/>
  <c r="DZ34" i="43"/>
  <c r="GL36" i="13"/>
  <c r="DY41" i="38"/>
  <c r="GK43" i="8"/>
  <c r="DY27" i="42"/>
  <c r="GK29" i="12"/>
  <c r="DZ46" i="36"/>
  <c r="GL48" i="6"/>
  <c r="DZ38" i="36"/>
  <c r="GL40" i="6"/>
  <c r="DY24" i="39"/>
  <c r="GK26" i="9"/>
  <c r="DY44" i="45"/>
  <c r="GK46" i="15"/>
  <c r="DZ47" i="40"/>
  <c r="GL49" i="10"/>
  <c r="DY26" i="43"/>
  <c r="GK28" i="13"/>
  <c r="DY32" i="40"/>
  <c r="GK34" i="10"/>
  <c r="DZ23" i="45"/>
  <c r="GL25" i="15"/>
  <c r="DY34" i="42"/>
  <c r="GK36" i="12"/>
  <c r="DZ45" i="43"/>
  <c r="GL47" i="13"/>
  <c r="DZ21" i="43"/>
  <c r="GL23" i="13"/>
  <c r="DY33" i="45"/>
  <c r="GK35" i="15"/>
  <c r="DY38" i="40"/>
  <c r="GK40" i="10"/>
  <c r="DY25" i="38"/>
  <c r="GK27" i="8"/>
  <c r="DY22" i="40"/>
  <c r="GK24" i="10"/>
  <c r="DY33" i="41"/>
  <c r="GK35" i="11"/>
  <c r="DZ26" i="38"/>
  <c r="GL28" i="8"/>
  <c r="DY37" i="44"/>
  <c r="GK39" i="14"/>
  <c r="DY37" i="43"/>
  <c r="GK39" i="13"/>
  <c r="DZ24" i="38"/>
  <c r="GL26" i="8"/>
  <c r="DZ37" i="45"/>
  <c r="GL39" i="15"/>
  <c r="DY44" i="41"/>
  <c r="GK46" i="11"/>
  <c r="DZ46" i="40"/>
  <c r="GL48" i="10"/>
  <c r="DZ32" i="42"/>
  <c r="GL34" i="12"/>
  <c r="DZ36" i="38"/>
  <c r="GL38" i="8"/>
  <c r="DZ29" i="40"/>
  <c r="GL31" i="10"/>
  <c r="DY45" i="42"/>
  <c r="GK47" i="12"/>
  <c r="DZ22" i="37"/>
  <c r="GL24" i="7"/>
  <c r="DZ33" i="38"/>
  <c r="GL35" i="8"/>
  <c r="DY36" i="44"/>
  <c r="GK38" i="14"/>
  <c r="DZ40" i="38"/>
  <c r="GL42" i="8"/>
  <c r="DY18" i="43"/>
  <c r="GK20" i="13"/>
  <c r="DZ33" i="40"/>
  <c r="GL35" i="10"/>
  <c r="DY43" i="43"/>
  <c r="GK45" i="13"/>
  <c r="DZ19" i="38"/>
  <c r="GL21" i="8"/>
  <c r="DZ29" i="42"/>
  <c r="GL31" i="12"/>
  <c r="DY35" i="38"/>
  <c r="GK37" i="8"/>
  <c r="DZ24" i="44"/>
  <c r="GL26" i="14"/>
  <c r="DY28" i="40"/>
  <c r="GK30" i="10"/>
  <c r="DZ47" i="42"/>
  <c r="GL49" i="12"/>
  <c r="DZ39" i="42"/>
  <c r="GL41" i="12"/>
  <c r="DY23" i="43"/>
  <c r="GK25" i="13"/>
  <c r="DZ31" i="45"/>
  <c r="GL33" i="15"/>
  <c r="DY43" i="42"/>
  <c r="GK45" i="12"/>
  <c r="DY22" i="42"/>
  <c r="GK24" i="12"/>
  <c r="DZ20" i="43"/>
  <c r="GL22" i="13"/>
  <c r="DY42" i="43"/>
  <c r="GK44" i="13"/>
  <c r="DZ25" i="38"/>
  <c r="GL27" i="8"/>
  <c r="DZ30" i="36"/>
  <c r="GL32" i="6"/>
  <c r="DY46" i="38"/>
  <c r="GK48" i="8"/>
  <c r="DY28" i="41"/>
  <c r="GK30" i="11"/>
  <c r="DZ18" i="38"/>
  <c r="GL20" i="8"/>
  <c r="DZ35" i="42"/>
  <c r="GL37" i="12"/>
  <c r="DY37" i="41"/>
  <c r="GK39" i="11"/>
  <c r="DY19" i="40"/>
  <c r="GK21" i="10"/>
  <c r="DZ26" i="39"/>
  <c r="GL28" i="9"/>
  <c r="DZ21" i="38"/>
  <c r="GL23" i="8"/>
  <c r="DZ35" i="45"/>
  <c r="GL37" i="15"/>
  <c r="DZ31" i="41"/>
  <c r="GL33" i="11"/>
  <c r="DZ24" i="39"/>
  <c r="GL26" i="9"/>
  <c r="DY47" i="40"/>
  <c r="GK49" i="10"/>
  <c r="DY23" i="37"/>
  <c r="GK25" i="7"/>
  <c r="DZ39" i="41"/>
  <c r="GL41" i="11"/>
  <c r="DY35" i="44"/>
  <c r="GK37" i="14"/>
  <c r="DY47" i="45"/>
  <c r="GK49" i="15"/>
  <c r="DZ32" i="36"/>
  <c r="GL34" i="6"/>
  <c r="DY41" i="44"/>
  <c r="GK43" i="14"/>
  <c r="DY35" i="40"/>
  <c r="GK37" i="10"/>
  <c r="DY44" i="42"/>
  <c r="GK46" i="12"/>
  <c r="DY39" i="42"/>
  <c r="GK41" i="12"/>
  <c r="DZ32" i="37"/>
  <c r="GL34" i="7"/>
  <c r="DZ19" i="39"/>
  <c r="GL21" i="9"/>
  <c r="DY24" i="44"/>
  <c r="GK26" i="14"/>
  <c r="DY44" i="37"/>
  <c r="GK46" i="7"/>
  <c r="DY32" i="39"/>
  <c r="GK34" i="9"/>
  <c r="DZ46" i="35"/>
  <c r="GL48" i="5"/>
  <c r="DY29" i="44"/>
  <c r="GK31" i="14"/>
  <c r="DZ37" i="43"/>
  <c r="GL39" i="13"/>
  <c r="DY30" i="40"/>
  <c r="GK32" i="10"/>
  <c r="DY39" i="40"/>
  <c r="GK41" i="10"/>
  <c r="DY29" i="42"/>
  <c r="GK31" i="12"/>
  <c r="DY29" i="43"/>
  <c r="GK31" i="13"/>
  <c r="DY27" i="43"/>
  <c r="GK29" i="13"/>
  <c r="DZ31" i="38"/>
  <c r="GL33" i="8"/>
  <c r="DY41" i="45"/>
  <c r="GK43" i="15"/>
  <c r="DZ41" i="40"/>
  <c r="GL43" i="10"/>
  <c r="DY37" i="39"/>
  <c r="GK39" i="9"/>
  <c r="DZ22" i="45"/>
  <c r="GL24" i="15"/>
  <c r="DZ42" i="40"/>
  <c r="GL44" i="10"/>
  <c r="DY39" i="45"/>
  <c r="GK41" i="15"/>
  <c r="DY38" i="45"/>
  <c r="GK40" i="15"/>
  <c r="DZ41" i="41"/>
  <c r="GL43" i="11"/>
  <c r="DZ32" i="39"/>
  <c r="GL34" i="9"/>
  <c r="DZ24" i="36"/>
  <c r="GL26" i="6"/>
  <c r="DZ40" i="40"/>
  <c r="GL42" i="10"/>
  <c r="DZ19" i="42"/>
  <c r="GL21" i="12"/>
  <c r="DZ25" i="40"/>
  <c r="GL27" i="10"/>
  <c r="DZ48" i="43"/>
  <c r="GL50" i="13"/>
  <c r="DY26" i="44"/>
  <c r="GK28" i="14"/>
  <c r="DY21" i="39"/>
  <c r="GK23" i="9"/>
  <c r="DZ34" i="44"/>
  <c r="GL36" i="14"/>
  <c r="DY45" i="36"/>
  <c r="GK47" i="6"/>
  <c r="DZ21" i="44"/>
  <c r="GL23" i="14"/>
  <c r="DZ48" i="45"/>
  <c r="GL50" i="15"/>
  <c r="DY21" i="41"/>
  <c r="GK23" i="11"/>
  <c r="DY21" i="36"/>
  <c r="GK23" i="6"/>
  <c r="DY39" i="36"/>
  <c r="GK41" i="6"/>
  <c r="DY48" i="35"/>
  <c r="GK50" i="5"/>
  <c r="DZ42" i="45"/>
  <c r="GL44" i="15"/>
  <c r="DZ35" i="39"/>
  <c r="GL37" i="9"/>
  <c r="DZ42" i="38"/>
  <c r="GL44" i="8"/>
  <c r="DZ27" i="40"/>
  <c r="GL29" i="10"/>
  <c r="DY48" i="40"/>
  <c r="GK50" i="10"/>
  <c r="DZ41" i="37"/>
  <c r="GL43" i="7"/>
  <c r="DZ29" i="44"/>
  <c r="GL31" i="14"/>
  <c r="DZ20" i="36"/>
  <c r="GL22" i="6"/>
  <c r="DY40" i="43"/>
  <c r="GK42" i="13"/>
  <c r="DZ29" i="38"/>
  <c r="GL31" i="8"/>
  <c r="DZ28" i="37"/>
  <c r="GL30" i="7"/>
  <c r="DY40" i="39"/>
  <c r="GK42" i="9"/>
  <c r="DY34" i="43"/>
  <c r="GK36" i="13"/>
  <c r="DZ47" i="37"/>
  <c r="GL49" i="7"/>
  <c r="DY36" i="42"/>
  <c r="GK38" i="12"/>
  <c r="DZ45" i="42"/>
  <c r="GL47" i="12"/>
  <c r="DZ33" i="37"/>
  <c r="GL35" i="7"/>
  <c r="DZ45" i="41"/>
  <c r="GL47" i="11"/>
  <c r="DZ45" i="39"/>
  <c r="GL47" i="9"/>
  <c r="DY30" i="38"/>
  <c r="GK32" i="8"/>
  <c r="DZ28" i="43"/>
  <c r="GL30" i="13"/>
  <c r="DZ48" i="36"/>
  <c r="GL50" i="6"/>
  <c r="DZ22" i="41"/>
  <c r="GL24" i="11"/>
  <c r="DY25" i="39"/>
  <c r="GK27" i="9"/>
  <c r="DZ40" i="36"/>
  <c r="GL42" i="6"/>
  <c r="DY21" i="38"/>
  <c r="GK23" i="8"/>
  <c r="DY31" i="43"/>
  <c r="GK33" i="13"/>
  <c r="DZ43" i="43"/>
  <c r="GL45" i="13"/>
  <c r="DY30" i="41"/>
  <c r="GK32" i="11"/>
  <c r="DY22" i="37"/>
  <c r="GK24" i="7"/>
  <c r="DZ39" i="39"/>
  <c r="GL41" i="9"/>
  <c r="DY20" i="45"/>
  <c r="GK22" i="15"/>
  <c r="DY38" i="39"/>
  <c r="GK40" i="9"/>
  <c r="DY19" i="36"/>
  <c r="GK21" i="6"/>
  <c r="DY29" i="37"/>
  <c r="GK31" i="7"/>
  <c r="DY46" i="37"/>
  <c r="GK48" i="7"/>
  <c r="DZ18" i="40"/>
  <c r="GL20" i="10"/>
  <c r="DZ42" i="44"/>
  <c r="GL44" i="14"/>
  <c r="DZ27" i="38"/>
  <c r="GL29" i="8"/>
  <c r="DZ23" i="40"/>
  <c r="GL25" i="10"/>
  <c r="DY37" i="36"/>
  <c r="GK39" i="6"/>
  <c r="DY25" i="45"/>
  <c r="GK27" i="15"/>
  <c r="DZ25" i="39"/>
  <c r="GL27" i="9"/>
  <c r="DZ27" i="43"/>
  <c r="GL29" i="13"/>
  <c r="DZ20" i="44"/>
  <c r="GL22" i="14"/>
  <c r="DY38" i="43"/>
  <c r="GK40" i="13"/>
  <c r="DY35" i="41"/>
  <c r="GK37" i="11"/>
  <c r="DY47" i="44"/>
  <c r="GK49" i="14"/>
  <c r="DY23" i="38"/>
  <c r="GK25" i="8"/>
  <c r="DY38" i="38"/>
  <c r="GK40" i="8"/>
  <c r="DZ46" i="38"/>
  <c r="GL48" i="8"/>
  <c r="DY21" i="40"/>
  <c r="GK23" i="10"/>
  <c r="DY40" i="40"/>
  <c r="GK42" i="10"/>
  <c r="DY24" i="38"/>
  <c r="GK26" i="8"/>
  <c r="DY28" i="42"/>
  <c r="GK30" i="12"/>
  <c r="DY44" i="43"/>
  <c r="GK46" i="13"/>
  <c r="DZ37" i="38"/>
  <c r="GL39" i="8"/>
  <c r="DY34" i="41"/>
  <c r="GK36" i="11"/>
  <c r="DY30" i="45"/>
  <c r="GK32" i="15"/>
  <c r="DZ25" i="45"/>
  <c r="GL27" i="15"/>
  <c r="DZ33" i="36"/>
  <c r="GL35" i="6"/>
  <c r="DY41" i="37"/>
  <c r="GK43" i="7"/>
  <c r="DY22" i="36"/>
  <c r="GK24" i="6"/>
  <c r="DY24" i="45"/>
  <c r="GK26" i="15"/>
  <c r="DY47" i="35"/>
  <c r="GK49" i="5"/>
  <c r="DY45" i="39"/>
  <c r="GK47" i="9"/>
  <c r="DZ25" i="44"/>
  <c r="GL27" i="14"/>
  <c r="DY41" i="42"/>
  <c r="GK43" i="12"/>
  <c r="DY25" i="43"/>
  <c r="GK27" i="13"/>
  <c r="DZ29" i="36"/>
  <c r="GL31" i="6"/>
  <c r="DY41" i="41"/>
  <c r="GK43" i="11"/>
  <c r="DZ22" i="42"/>
  <c r="GL24" i="12"/>
  <c r="DZ30" i="42"/>
  <c r="GL32" i="12"/>
  <c r="DY26" i="36"/>
  <c r="GK28" i="6"/>
  <c r="DZ48" i="44"/>
  <c r="GL50" i="14"/>
  <c r="B32" i="51"/>
  <c r="G32" i="51"/>
  <c r="AQ12" i="25"/>
  <c r="AQ6" i="25"/>
  <c r="AQ7" i="25"/>
  <c r="AQ8" i="25"/>
  <c r="AQ4" i="25"/>
  <c r="AQ10" i="25"/>
  <c r="AQ1" i="25"/>
  <c r="AQ3" i="25"/>
  <c r="AQ2" i="25"/>
  <c r="AQ9" i="25"/>
  <c r="AQ5" i="25"/>
  <c r="AQ11" i="25"/>
  <c r="BL36" i="15"/>
  <c r="BG34" i="45" s="1"/>
  <c r="BH11" i="9"/>
  <c r="BG11" i="9" s="1"/>
  <c r="BH11" i="7"/>
  <c r="BG11" i="7" s="1"/>
  <c r="BH11" i="11"/>
  <c r="BG11" i="11" s="1"/>
  <c r="BE48" i="44"/>
  <c r="BH12" i="4"/>
  <c r="BG12" i="4" s="1"/>
  <c r="BH11" i="13"/>
  <c r="BG11" i="13" s="1"/>
  <c r="BH11" i="12"/>
  <c r="BG11" i="12" s="1"/>
  <c r="BL33" i="5"/>
  <c r="BG31" i="35" s="1"/>
  <c r="BH11" i="5"/>
  <c r="BG11" i="5" s="1"/>
  <c r="BH11" i="8"/>
  <c r="BG11" i="8" s="1"/>
  <c r="BH11" i="14"/>
  <c r="BG11" i="14" s="1"/>
  <c r="BH11" i="6"/>
  <c r="BG11" i="6" s="1"/>
  <c r="BH11" i="10"/>
  <c r="BG11" i="10" s="1"/>
  <c r="BE48" i="42"/>
  <c r="BH12" i="15"/>
  <c r="BG12" i="15" s="1"/>
  <c r="BE27" i="44"/>
  <c r="BE23" i="44"/>
  <c r="BE34" i="44"/>
  <c r="BE33" i="44"/>
  <c r="BE32" i="44"/>
  <c r="BE23" i="36"/>
  <c r="BE25" i="38"/>
  <c r="BE25" i="39"/>
  <c r="BE43" i="42"/>
  <c r="BE32" i="40"/>
  <c r="BE32" i="37"/>
  <c r="BE45" i="41"/>
  <c r="BE46" i="40"/>
  <c r="BE37" i="38"/>
  <c r="BE26" i="36"/>
  <c r="BE19" i="42"/>
  <c r="BE40" i="39"/>
  <c r="BE25" i="37"/>
  <c r="BE37" i="43"/>
  <c r="BE39" i="43"/>
  <c r="BE20" i="40"/>
  <c r="BE43" i="41"/>
  <c r="BE42" i="41"/>
  <c r="BE33" i="41"/>
  <c r="BE29" i="39"/>
  <c r="BE33" i="37"/>
  <c r="BE46" i="41"/>
  <c r="BE20" i="38"/>
  <c r="BE46" i="36"/>
  <c r="BE34" i="42"/>
  <c r="BE30" i="39"/>
  <c r="BE23" i="37"/>
  <c r="BE42" i="43"/>
  <c r="BE32" i="43"/>
  <c r="BE40" i="37"/>
  <c r="BE45" i="39"/>
  <c r="BE37" i="41"/>
  <c r="BE44" i="41"/>
  <c r="BE36" i="39"/>
  <c r="BE37" i="37"/>
  <c r="BE41" i="42"/>
  <c r="BE21" i="40"/>
  <c r="BE29" i="38"/>
  <c r="BE35" i="36"/>
  <c r="BE19" i="40"/>
  <c r="BE32" i="38"/>
  <c r="BE28" i="36"/>
  <c r="BE29" i="43"/>
  <c r="BE31" i="43"/>
  <c r="BE20" i="39"/>
  <c r="BE36" i="37"/>
  <c r="BE31" i="37"/>
  <c r="BE48" i="36"/>
  <c r="BE35" i="42"/>
  <c r="BE29" i="42"/>
  <c r="BE35" i="43"/>
  <c r="BE23" i="38"/>
  <c r="BE47" i="38"/>
  <c r="BE40" i="42"/>
  <c r="BE26" i="42"/>
  <c r="BE23" i="39"/>
  <c r="BE42" i="39"/>
  <c r="BE30" i="42"/>
  <c r="BE48" i="37"/>
  <c r="BE38" i="36"/>
  <c r="BE19" i="44"/>
  <c r="BE35" i="44"/>
  <c r="BE46" i="44"/>
  <c r="BE30" i="44"/>
  <c r="BE45" i="44"/>
  <c r="BE29" i="44"/>
  <c r="BE44" i="44"/>
  <c r="BE28" i="44"/>
  <c r="BE46" i="42"/>
  <c r="BE27" i="40"/>
  <c r="BE47" i="42"/>
  <c r="BE47" i="41"/>
  <c r="BE31" i="39"/>
  <c r="BE24" i="37"/>
  <c r="BE24" i="42"/>
  <c r="BE38" i="38"/>
  <c r="BE46" i="35"/>
  <c r="BE21" i="41"/>
  <c r="BE41" i="39"/>
  <c r="BE22" i="43"/>
  <c r="BE40" i="43"/>
  <c r="BE35" i="41"/>
  <c r="BE34" i="36"/>
  <c r="BE25" i="36"/>
  <c r="BE31" i="42"/>
  <c r="BE44" i="40"/>
  <c r="BE41" i="38"/>
  <c r="BE29" i="36"/>
  <c r="BE45" i="42"/>
  <c r="BE43" i="40"/>
  <c r="BE43" i="38"/>
  <c r="BE24" i="36"/>
  <c r="BE39" i="40"/>
  <c r="BE34" i="38"/>
  <c r="BE30" i="36"/>
  <c r="BE25" i="43"/>
  <c r="BE27" i="43"/>
  <c r="BE40" i="40"/>
  <c r="BE27" i="39"/>
  <c r="BE45" i="36"/>
  <c r="BE30" i="40"/>
  <c r="BE26" i="40"/>
  <c r="BE31" i="38"/>
  <c r="BE33" i="36"/>
  <c r="BE23" i="42"/>
  <c r="BE35" i="39"/>
  <c r="BE44" i="37"/>
  <c r="BE23" i="41"/>
  <c r="BE36" i="40"/>
  <c r="BE19" i="38"/>
  <c r="BE47" i="36"/>
  <c r="BE45" i="43"/>
  <c r="BE47" i="43"/>
  <c r="BE21" i="37"/>
  <c r="BE34" i="43"/>
  <c r="BE25" i="40"/>
  <c r="BE24" i="43"/>
  <c r="BE31" i="40"/>
  <c r="BE33" i="39"/>
  <c r="BE37" i="39"/>
  <c r="BE34" i="39"/>
  <c r="BE46" i="37"/>
  <c r="BE28" i="40"/>
  <c r="BE24" i="40"/>
  <c r="BE21" i="36"/>
  <c r="BE42" i="36"/>
  <c r="BE27" i="36"/>
  <c r="BE31" i="44"/>
  <c r="BE47" i="44"/>
  <c r="BE42" i="44"/>
  <c r="BE26" i="44"/>
  <c r="BE41" i="44"/>
  <c r="BE25" i="44"/>
  <c r="BE40" i="44"/>
  <c r="BE24" i="44"/>
  <c r="BE48" i="40"/>
  <c r="BE36" i="36"/>
  <c r="BE37" i="42"/>
  <c r="BE33" i="38"/>
  <c r="BE43" i="36"/>
  <c r="BE22" i="42"/>
  <c r="BE24" i="39"/>
  <c r="BE41" i="37"/>
  <c r="BE38" i="41"/>
  <c r="BE45" i="40"/>
  <c r="BE21" i="38"/>
  <c r="BE41" i="36"/>
  <c r="BE38" i="43"/>
  <c r="BE44" i="43"/>
  <c r="BE20" i="37"/>
  <c r="BE43" i="37"/>
  <c r="BE37" i="40"/>
  <c r="BE26" i="38"/>
  <c r="BE32" i="36"/>
  <c r="BE39" i="42"/>
  <c r="BE44" i="39"/>
  <c r="BE26" i="37"/>
  <c r="BE38" i="40"/>
  <c r="BE27" i="38"/>
  <c r="BE19" i="36"/>
  <c r="BE41" i="43"/>
  <c r="BE43" i="43"/>
  <c r="BE32" i="42"/>
  <c r="BE31" i="36"/>
  <c r="BE42" i="38"/>
  <c r="BE44" i="42"/>
  <c r="BE23" i="40"/>
  <c r="BE45" i="38"/>
  <c r="BE22" i="36"/>
  <c r="BE39" i="39"/>
  <c r="BE47" i="37"/>
  <c r="BE20" i="42"/>
  <c r="BE19" i="39"/>
  <c r="BE28" i="37"/>
  <c r="BE30" i="43"/>
  <c r="BE36" i="43"/>
  <c r="BE19" i="41"/>
  <c r="BE28" i="43"/>
  <c r="BE41" i="40"/>
  <c r="BE30" i="38"/>
  <c r="BE29" i="40"/>
  <c r="BE24" i="38"/>
  <c r="BE22" i="41"/>
  <c r="BE20" i="41"/>
  <c r="BE45" i="37"/>
  <c r="BE35" i="38"/>
  <c r="BE30" i="37"/>
  <c r="BE38" i="42"/>
  <c r="BE28" i="42"/>
  <c r="BE47" i="35"/>
  <c r="BE37" i="36"/>
  <c r="BE20" i="36"/>
  <c r="BE43" i="44"/>
  <c r="BE39" i="44"/>
  <c r="BE38" i="44"/>
  <c r="BE22" i="44"/>
  <c r="BE37" i="44"/>
  <c r="BE21" i="44"/>
  <c r="BE36" i="44"/>
  <c r="BE20" i="44"/>
  <c r="BE31" i="41"/>
  <c r="BE42" i="37"/>
  <c r="BE38" i="37"/>
  <c r="BE33" i="42"/>
  <c r="BE47" i="40"/>
  <c r="BE28" i="38"/>
  <c r="BE40" i="36"/>
  <c r="BE36" i="41"/>
  <c r="BE26" i="39"/>
  <c r="BE19" i="37"/>
  <c r="BE25" i="42"/>
  <c r="BE33" i="40"/>
  <c r="BE22" i="38"/>
  <c r="BE21" i="43"/>
  <c r="BE23" i="43"/>
  <c r="BE42" i="40"/>
  <c r="BE36" i="38"/>
  <c r="BE21" i="39"/>
  <c r="BE47" i="39"/>
  <c r="BE27" i="42"/>
  <c r="BE28" i="39"/>
  <c r="BE29" i="37"/>
  <c r="BE32" i="41"/>
  <c r="BE46" i="39"/>
  <c r="BE39" i="37"/>
  <c r="BE36" i="42"/>
  <c r="BE22" i="39"/>
  <c r="BE22" i="37"/>
  <c r="BE26" i="43"/>
  <c r="BE48" i="43"/>
  <c r="BE24" i="41"/>
  <c r="BE39" i="38"/>
  <c r="BE32" i="39"/>
  <c r="BE42" i="42"/>
  <c r="BE27" i="37"/>
  <c r="BE40" i="41"/>
  <c r="BE35" i="40"/>
  <c r="BE48" i="38"/>
  <c r="BE44" i="36"/>
  <c r="BE48" i="41"/>
  <c r="BE38" i="39"/>
  <c r="BE34" i="37"/>
  <c r="BE39" i="41"/>
  <c r="BE46" i="43"/>
  <c r="BE20" i="43"/>
  <c r="BE43" i="39"/>
  <c r="BE19" i="43"/>
  <c r="BE46" i="38"/>
  <c r="BE41" i="41"/>
  <c r="BE40" i="38"/>
  <c r="BE33" i="43"/>
  <c r="BE34" i="41"/>
  <c r="BE22" i="40"/>
  <c r="BE34" i="40"/>
  <c r="BE44" i="38"/>
  <c r="BE35" i="37"/>
  <c r="BE21" i="42"/>
  <c r="BE48" i="35"/>
  <c r="BE48" i="39"/>
  <c r="BE39" i="36"/>
  <c r="EJ320" i="72"/>
  <c r="BU320" i="72" s="1"/>
  <c r="EK365" i="72" a="1"/>
  <c r="EK365" i="72" s="1"/>
  <c r="EK366" i="72" s="1" a="1"/>
  <c r="EK366" i="72" s="1"/>
  <c r="EJ364" i="72"/>
  <c r="BU364" i="72" s="1"/>
  <c r="EJ94" i="72"/>
  <c r="BU94" i="72" s="1"/>
  <c r="EJ230" i="72"/>
  <c r="BU230" i="72" s="1"/>
  <c r="EK321" i="72" a="1"/>
  <c r="EK321" i="72" s="1"/>
  <c r="EJ184" i="72"/>
  <c r="BU184" i="72" s="1"/>
  <c r="EJ93" i="72"/>
  <c r="BU93" i="72" s="1"/>
  <c r="EK95" i="72" a="1"/>
  <c r="EK95" i="72" s="1"/>
  <c r="EK96" i="72" s="1" a="1"/>
  <c r="EK96" i="72" s="1"/>
  <c r="EJ275" i="72"/>
  <c r="BU275" i="72" s="1"/>
  <c r="EK142" i="72" a="1"/>
  <c r="EK142" i="72" s="1"/>
  <c r="EJ141" i="72"/>
  <c r="BU141" i="72" s="1"/>
  <c r="EJ498" i="72"/>
  <c r="BU498" i="72" s="1"/>
  <c r="EK500" i="72" a="1"/>
  <c r="EK500" i="72" s="1"/>
  <c r="EK501" i="72" s="1" a="1"/>
  <c r="EK501" i="72" s="1"/>
  <c r="EK276" i="72" a="1"/>
  <c r="EK276" i="72" s="1"/>
  <c r="EK454" i="72" a="1"/>
  <c r="EK454" i="72" s="1"/>
  <c r="EK7" i="72" a="1"/>
  <c r="EK7" i="72" s="1"/>
  <c r="BL32" i="5"/>
  <c r="BG30" i="35" s="1"/>
  <c r="EJ229" i="72"/>
  <c r="BU229" i="72" s="1"/>
  <c r="EK51" i="72" a="1"/>
  <c r="EK51" i="72" s="1"/>
  <c r="EK52" i="72" s="1" a="1"/>
  <c r="EK52" i="72" s="1"/>
  <c r="EJ50" i="72"/>
  <c r="BU50" i="72" s="1"/>
  <c r="EJ319" i="72"/>
  <c r="BU319" i="72" s="1"/>
  <c r="EJ139" i="72"/>
  <c r="BU139" i="72" s="1"/>
  <c r="EJ499" i="72"/>
  <c r="BU499" i="72" s="1"/>
  <c r="EJ453" i="72"/>
  <c r="BU453" i="72" s="1"/>
  <c r="EK185" i="72" a="1"/>
  <c r="EK185" i="72" s="1"/>
  <c r="EK186" i="72" s="1" a="1"/>
  <c r="EK186" i="72" s="1"/>
  <c r="EK410" i="72" a="1"/>
  <c r="EK410" i="72" s="1"/>
  <c r="EK411" i="72" s="1" a="1"/>
  <c r="EK411" i="72" s="1"/>
  <c r="EJ409" i="72"/>
  <c r="BU409" i="72" s="1"/>
  <c r="EJ140" i="72"/>
  <c r="BU140" i="72" s="1"/>
  <c r="EJ6" i="72"/>
  <c r="BU6" i="72" s="1"/>
  <c r="EK231" i="72" a="1"/>
  <c r="EK231" i="72" s="1"/>
  <c r="B66" i="10"/>
  <c r="BZ47" i="10"/>
  <c r="BZ44" i="10"/>
  <c r="BQ48" i="10"/>
  <c r="AD51" i="45"/>
  <c r="CP51" i="45"/>
  <c r="B94" i="80"/>
  <c r="CH3" i="74"/>
  <c r="CG3" i="74"/>
  <c r="E54" i="2"/>
  <c r="E58" i="2" s="1"/>
  <c r="AK4" i="34"/>
  <c r="BL31" i="9"/>
  <c r="BG29" i="39" s="1"/>
  <c r="CP50" i="39"/>
  <c r="CQ50" i="39"/>
  <c r="AE50" i="39"/>
  <c r="AD50" i="39"/>
  <c r="CP50" i="38"/>
  <c r="CQ50" i="38"/>
  <c r="AE50" i="38"/>
  <c r="AD50" i="38"/>
  <c r="BL33" i="14"/>
  <c r="BG31" i="44" s="1"/>
  <c r="CP50" i="44"/>
  <c r="CQ50" i="44"/>
  <c r="AE50" i="44"/>
  <c r="AD50" i="44"/>
  <c r="BL30" i="6"/>
  <c r="BG28" i="36" s="1"/>
  <c r="CP50" i="36"/>
  <c r="CQ50" i="36"/>
  <c r="AE50" i="36"/>
  <c r="AD50" i="36"/>
  <c r="CP50" i="41"/>
  <c r="CQ50" i="41"/>
  <c r="AE50" i="41"/>
  <c r="AD50" i="41"/>
  <c r="CQ50" i="40"/>
  <c r="CP50" i="40"/>
  <c r="AD50" i="40"/>
  <c r="AE50" i="40"/>
  <c r="CQ51" i="18"/>
  <c r="AE51" i="18"/>
  <c r="CQ50" i="35"/>
  <c r="AE50" i="35"/>
  <c r="BL29" i="12"/>
  <c r="BG27" i="42" s="1"/>
  <c r="CP50" i="42"/>
  <c r="CQ50" i="42"/>
  <c r="AE50" i="42"/>
  <c r="AD50" i="42"/>
  <c r="BL30" i="7"/>
  <c r="BG28" i="37" s="1"/>
  <c r="CP50" i="37"/>
  <c r="CQ50" i="37"/>
  <c r="AE50" i="37"/>
  <c r="AD50" i="37"/>
  <c r="BL29" i="13"/>
  <c r="BG27" i="43" s="1"/>
  <c r="CP50" i="43"/>
  <c r="CQ50" i="43"/>
  <c r="AE50" i="43"/>
  <c r="AD50" i="43"/>
  <c r="N5" i="59"/>
  <c r="E57" i="62" s="1"/>
  <c r="BL33" i="13"/>
  <c r="BG31" i="43" s="1"/>
  <c r="CD30" i="13"/>
  <c r="Q7" i="76" a="1"/>
  <c r="Q7" i="76" s="1"/>
  <c r="BL31" i="12"/>
  <c r="BG29" i="42" s="1"/>
  <c r="FB63" i="34"/>
  <c r="FC63" i="34"/>
  <c r="FD71" i="34"/>
  <c r="FG67" i="34"/>
  <c r="FE67" i="34"/>
  <c r="FH67" i="34"/>
  <c r="FF67" i="34"/>
  <c r="FB65" i="34"/>
  <c r="FC65" i="34"/>
  <c r="FD73" i="34"/>
  <c r="FG69" i="34"/>
  <c r="FE69" i="34"/>
  <c r="FH69" i="34"/>
  <c r="FF69" i="34"/>
  <c r="FB62" i="34"/>
  <c r="FC62" i="34"/>
  <c r="FD70" i="34"/>
  <c r="FG66" i="34"/>
  <c r="FE66" i="34"/>
  <c r="FH66" i="34"/>
  <c r="FF66" i="34"/>
  <c r="FB64" i="34"/>
  <c r="FC64" i="34"/>
  <c r="FD72" i="34"/>
  <c r="FG68" i="34"/>
  <c r="FE68" i="34"/>
  <c r="FH68" i="34"/>
  <c r="FF68" i="34"/>
  <c r="F11" i="77" a="1"/>
  <c r="F11" i="77" s="1"/>
  <c r="AT8" i="4" a="1"/>
  <c r="AT8" i="4" s="1"/>
  <c r="AG51" i="18"/>
  <c r="CE31" i="4"/>
  <c r="AG37" i="18"/>
  <c r="BL38" i="15"/>
  <c r="BG36" i="45" s="1"/>
  <c r="CH31" i="15"/>
  <c r="AG51" i="45"/>
  <c r="AD37" i="45"/>
  <c r="AG37" i="45"/>
  <c r="BL30" i="9"/>
  <c r="BG28" i="39" s="1"/>
  <c r="BL28" i="9"/>
  <c r="BG26" i="39" s="1"/>
  <c r="BL29" i="9"/>
  <c r="BG27" i="39" s="1"/>
  <c r="BL31" i="14"/>
  <c r="BG29" i="44" s="1"/>
  <c r="BL30" i="12"/>
  <c r="BG28" i="42" s="1"/>
  <c r="BL31" i="6"/>
  <c r="BG29" i="36" s="1"/>
  <c r="BL29" i="7"/>
  <c r="BG27" i="37" s="1"/>
  <c r="BL35" i="4"/>
  <c r="BG33" i="18" s="1"/>
  <c r="BL32" i="14"/>
  <c r="BG30" i="44" s="1"/>
  <c r="BL36" i="4"/>
  <c r="BG34" i="18" s="1"/>
  <c r="BL37" i="15"/>
  <c r="BG35" i="45" s="1"/>
  <c r="BL28" i="13"/>
  <c r="BG26" i="43" s="1"/>
  <c r="BL33" i="6"/>
  <c r="BG31" i="36" s="1"/>
  <c r="BL30" i="10"/>
  <c r="BG28" i="40" s="1"/>
  <c r="AD36" i="40"/>
  <c r="AE36" i="40"/>
  <c r="BL40" i="15"/>
  <c r="BG38" i="45" s="1"/>
  <c r="AE36" i="35"/>
  <c r="BL32" i="9"/>
  <c r="BG30" i="39" s="1"/>
  <c r="AD36" i="39"/>
  <c r="AE36" i="39"/>
  <c r="AE36" i="44"/>
  <c r="AD36" i="44"/>
  <c r="BL30" i="14"/>
  <c r="BG28" i="44" s="1"/>
  <c r="BL32" i="6"/>
  <c r="BG30" i="36" s="1"/>
  <c r="BS30" i="13"/>
  <c r="W36" i="43" s="1"/>
  <c r="W50" i="43" s="1"/>
  <c r="CI50" i="43" s="1"/>
  <c r="AD36" i="43"/>
  <c r="AE36" i="43"/>
  <c r="BL28" i="8"/>
  <c r="BG26" i="38" s="1"/>
  <c r="AE36" i="38"/>
  <c r="AD36" i="38"/>
  <c r="AE36" i="36"/>
  <c r="AD36" i="36"/>
  <c r="AD36" i="41"/>
  <c r="AE36" i="41"/>
  <c r="AE36" i="37"/>
  <c r="AD36" i="37"/>
  <c r="AE37" i="18"/>
  <c r="AD36" i="42"/>
  <c r="AE36" i="42"/>
  <c r="BL39" i="15"/>
  <c r="BG37" i="45" s="1"/>
  <c r="BL33" i="10"/>
  <c r="BG31" i="40" s="1"/>
  <c r="BL30" i="13"/>
  <c r="BG28" i="43" s="1"/>
  <c r="BL32" i="13"/>
  <c r="BG30" i="43" s="1"/>
  <c r="BL31" i="13"/>
  <c r="BG29" i="43" s="1"/>
  <c r="AT7" i="13" a="1"/>
  <c r="AT7" i="13" s="1"/>
  <c r="BL41" i="15"/>
  <c r="BG39" i="45" s="1"/>
  <c r="AT8" i="15" a="1"/>
  <c r="AT8" i="15" s="1"/>
  <c r="BL34" i="13"/>
  <c r="BG32" i="43" s="1"/>
  <c r="CC30" i="13"/>
  <c r="BL35" i="10"/>
  <c r="BG33" i="40" s="1"/>
  <c r="BS31" i="4"/>
  <c r="W37" i="18" s="1"/>
  <c r="W51" i="18" s="1"/>
  <c r="CI51" i="18" s="1"/>
  <c r="CD31" i="4"/>
  <c r="AT7" i="5" a="1"/>
  <c r="AT7" i="5" s="1"/>
  <c r="A12" i="83"/>
  <c r="A34" i="83"/>
  <c r="F11" i="51"/>
  <c r="B13" i="50" s="1"/>
  <c r="B11" i="50" s="1"/>
  <c r="L29" i="83"/>
  <c r="CD30" i="8"/>
  <c r="CC30" i="8"/>
  <c r="BS30" i="8"/>
  <c r="W36" i="38" s="1"/>
  <c r="W50" i="38" s="1"/>
  <c r="CI50" i="38" s="1"/>
  <c r="BS30" i="5"/>
  <c r="W36" i="35" s="1"/>
  <c r="W50" i="35" s="1"/>
  <c r="CI50" i="35" s="1"/>
  <c r="CC30" i="5"/>
  <c r="CD30" i="5"/>
  <c r="BS30" i="7"/>
  <c r="W36" i="37" s="1"/>
  <c r="W50" i="37" s="1"/>
  <c r="CI50" i="37" s="1"/>
  <c r="CC30" i="7"/>
  <c r="CD30" i="9"/>
  <c r="BS30" i="9"/>
  <c r="W36" i="39" s="1"/>
  <c r="W50" i="39" s="1"/>
  <c r="CI50" i="39" s="1"/>
  <c r="CC30" i="9"/>
  <c r="CC30" i="14"/>
  <c r="CD30" i="14"/>
  <c r="BS30" i="14"/>
  <c r="W36" i="44" s="1"/>
  <c r="W50" i="44" s="1"/>
  <c r="CI50" i="44" s="1"/>
  <c r="CC30" i="6"/>
  <c r="CD30" i="6"/>
  <c r="BS30" i="6"/>
  <c r="W36" i="36" s="1"/>
  <c r="W50" i="36" s="1"/>
  <c r="CI50" i="36" s="1"/>
  <c r="CC30" i="12"/>
  <c r="BS30" i="12"/>
  <c r="W36" i="42" s="1"/>
  <c r="W50" i="42" s="1"/>
  <c r="CI50" i="42" s="1"/>
  <c r="CD30" i="12"/>
  <c r="CC30" i="11"/>
  <c r="BS30" i="11"/>
  <c r="W36" i="41" s="1"/>
  <c r="W50" i="41" s="1"/>
  <c r="CI50" i="41" s="1"/>
  <c r="CD30" i="11"/>
  <c r="CD30" i="10"/>
  <c r="CC30" i="10"/>
  <c r="BS30" i="10"/>
  <c r="W36" i="40" s="1"/>
  <c r="W50" i="40" s="1"/>
  <c r="CI50" i="40" s="1"/>
  <c r="CC31" i="15"/>
  <c r="BS31" i="15"/>
  <c r="W37" i="45" s="1"/>
  <c r="W51" i="45" s="1"/>
  <c r="CI51" i="45" s="1"/>
  <c r="BL32" i="7"/>
  <c r="BG30" i="37" s="1"/>
  <c r="CD30" i="7"/>
  <c r="AT7" i="9" a="1"/>
  <c r="AT7" i="9" s="1"/>
  <c r="BL32" i="11"/>
  <c r="BG30" i="41" s="1"/>
  <c r="BL40" i="4"/>
  <c r="BG38" i="18" s="1"/>
  <c r="BL38" i="4"/>
  <c r="BG36" i="18" s="1"/>
  <c r="BL39" i="4"/>
  <c r="BG37" i="18" s="1"/>
  <c r="BL37" i="4"/>
  <c r="BG35" i="18" s="1"/>
  <c r="BL41" i="4"/>
  <c r="BG39" i="18" s="1"/>
  <c r="BL34" i="11"/>
  <c r="BG32" i="41" s="1"/>
  <c r="CC44" i="11"/>
  <c r="K65" i="10"/>
  <c r="BL31" i="10"/>
  <c r="BG29" i="40" s="1"/>
  <c r="BL34" i="10"/>
  <c r="BG32" i="40" s="1"/>
  <c r="BX33" i="43"/>
  <c r="BP32" i="43"/>
  <c r="BX28" i="43"/>
  <c r="BP29" i="43"/>
  <c r="BP28" i="43"/>
  <c r="BF50" i="43"/>
  <c r="BE18" i="38"/>
  <c r="BX31" i="38"/>
  <c r="BP29" i="38"/>
  <c r="BX29" i="38"/>
  <c r="BE51" i="38"/>
  <c r="BX28" i="38"/>
  <c r="BX35" i="38"/>
  <c r="BP34" i="38"/>
  <c r="BX33" i="38"/>
  <c r="BX34" i="38"/>
  <c r="BP28" i="38"/>
  <c r="BE52" i="38"/>
  <c r="BP33" i="38"/>
  <c r="BX32" i="38"/>
  <c r="BP35" i="38"/>
  <c r="BP32" i="38"/>
  <c r="BP31" i="38"/>
  <c r="BF50" i="38"/>
  <c r="BX30" i="38"/>
  <c r="BP30" i="38"/>
  <c r="BE18" i="40"/>
  <c r="BP33" i="40"/>
  <c r="BX35" i="40"/>
  <c r="BX31" i="40"/>
  <c r="BP29" i="40"/>
  <c r="BP35" i="40"/>
  <c r="BX33" i="40"/>
  <c r="BP32" i="40"/>
  <c r="BX29" i="40"/>
  <c r="BE51" i="40"/>
  <c r="BX32" i="40"/>
  <c r="BF50" i="40"/>
  <c r="BP28" i="40"/>
  <c r="BE52" i="40"/>
  <c r="BX30" i="40"/>
  <c r="BP34" i="40"/>
  <c r="BX34" i="40"/>
  <c r="BP31" i="40"/>
  <c r="BX28" i="40"/>
  <c r="BP30" i="40"/>
  <c r="BE18" i="36"/>
  <c r="BP35" i="36"/>
  <c r="BX28" i="36"/>
  <c r="BP30" i="36"/>
  <c r="BE52" i="36"/>
  <c r="BX29" i="36"/>
  <c r="BP29" i="36"/>
  <c r="BP34" i="36"/>
  <c r="BX33" i="36"/>
  <c r="BP33" i="36"/>
  <c r="BF50" i="36"/>
  <c r="BP28" i="36"/>
  <c r="BE51" i="36"/>
  <c r="BP31" i="36"/>
  <c r="BX31" i="36"/>
  <c r="BX30" i="36"/>
  <c r="BX32" i="36"/>
  <c r="BX35" i="36"/>
  <c r="BP32" i="36"/>
  <c r="BX34" i="36"/>
  <c r="BE18" i="37"/>
  <c r="BP31" i="37"/>
  <c r="BX34" i="37"/>
  <c r="BP34" i="37"/>
  <c r="BP28" i="37"/>
  <c r="BP35" i="37"/>
  <c r="BP33" i="37"/>
  <c r="BP30" i="37"/>
  <c r="BP29" i="37"/>
  <c r="BX32" i="37"/>
  <c r="BP32" i="37"/>
  <c r="BX31" i="37"/>
  <c r="BF50" i="37"/>
  <c r="BE52" i="37"/>
  <c r="BX30" i="37"/>
  <c r="BE51" i="37"/>
  <c r="BX29" i="37"/>
  <c r="BX35" i="37"/>
  <c r="BX28" i="37"/>
  <c r="BX33" i="37"/>
  <c r="BX34" i="42"/>
  <c r="BX33" i="42"/>
  <c r="BX29" i="42"/>
  <c r="BP28" i="42"/>
  <c r="BF50" i="42"/>
  <c r="BP32" i="42"/>
  <c r="BP30" i="42"/>
  <c r="BX31" i="42"/>
  <c r="BP34" i="42"/>
  <c r="BP35" i="42"/>
  <c r="BP29" i="42"/>
  <c r="BX35" i="42"/>
  <c r="BP33" i="42"/>
  <c r="BX30" i="42"/>
  <c r="BE52" i="42"/>
  <c r="BE18" i="42"/>
  <c r="BX28" i="42"/>
  <c r="BE51" i="42"/>
  <c r="BX32" i="42"/>
  <c r="BP31" i="42"/>
  <c r="BX30" i="35"/>
  <c r="BX34" i="35"/>
  <c r="BX31" i="35"/>
  <c r="BP28" i="35"/>
  <c r="BX35" i="35"/>
  <c r="BP34" i="43"/>
  <c r="BP31" i="43"/>
  <c r="BP35" i="43"/>
  <c r="BE52" i="43"/>
  <c r="BE51" i="35"/>
  <c r="BP32" i="35"/>
  <c r="BX32" i="35"/>
  <c r="BP30" i="35"/>
  <c r="BP29" i="35"/>
  <c r="BX35" i="43"/>
  <c r="BE51" i="43"/>
  <c r="BX31" i="43"/>
  <c r="BX29" i="43"/>
  <c r="BX32" i="43"/>
  <c r="BX30" i="41"/>
  <c r="BX32" i="41"/>
  <c r="BP31" i="41"/>
  <c r="BP29" i="41"/>
  <c r="BE52" i="41"/>
  <c r="BF50" i="41"/>
  <c r="BE18" i="41"/>
  <c r="BX33" i="41"/>
  <c r="BX31" i="41"/>
  <c r="BX35" i="41"/>
  <c r="BP33" i="41"/>
  <c r="BP34" i="41"/>
  <c r="BP32" i="41"/>
  <c r="BX34" i="41"/>
  <c r="BP35" i="41"/>
  <c r="BX29" i="41"/>
  <c r="BP30" i="41"/>
  <c r="BX28" i="41"/>
  <c r="BP35" i="35"/>
  <c r="BX29" i="35"/>
  <c r="BP33" i="35"/>
  <c r="BX33" i="35"/>
  <c r="BE52" i="35"/>
  <c r="BE18" i="39"/>
  <c r="BX32" i="39"/>
  <c r="BX34" i="39"/>
  <c r="BX29" i="39"/>
  <c r="BP34" i="39"/>
  <c r="BP35" i="39"/>
  <c r="BE52" i="39"/>
  <c r="BX28" i="39"/>
  <c r="BF50" i="39"/>
  <c r="BX35" i="39"/>
  <c r="BP33" i="39"/>
  <c r="BP32" i="39"/>
  <c r="BX31" i="39"/>
  <c r="BP28" i="39"/>
  <c r="BP30" i="39"/>
  <c r="BX33" i="39"/>
  <c r="BP31" i="39"/>
  <c r="BE51" i="39"/>
  <c r="BP29" i="39"/>
  <c r="BX30" i="39"/>
  <c r="BX30" i="43"/>
  <c r="BP33" i="43"/>
  <c r="BE18" i="43"/>
  <c r="BP30" i="43"/>
  <c r="BX34" i="43"/>
  <c r="BP31" i="35"/>
  <c r="BP34" i="35"/>
  <c r="BX28" i="35"/>
  <c r="BF50" i="35"/>
  <c r="AL89" i="5"/>
  <c r="AH89" i="5"/>
  <c r="BL34" i="12"/>
  <c r="BG32" i="42" s="1"/>
  <c r="AT7" i="7" a="1"/>
  <c r="AT7" i="7" s="1"/>
  <c r="BL32" i="10"/>
  <c r="BG30" i="40" s="1"/>
  <c r="AT7" i="10" a="1"/>
  <c r="AT7" i="10" s="1"/>
  <c r="BL35" i="9"/>
  <c r="BG33" i="39" s="1"/>
  <c r="K67" i="12"/>
  <c r="H67" i="11"/>
  <c r="N67" i="11" s="1"/>
  <c r="BE18" i="44"/>
  <c r="BP33" i="44"/>
  <c r="BP31" i="44"/>
  <c r="BP30" i="44"/>
  <c r="BX28" i="44"/>
  <c r="BF50" i="44"/>
  <c r="BX34" i="44"/>
  <c r="BP35" i="44"/>
  <c r="BP29" i="44"/>
  <c r="BE52" i="44"/>
  <c r="BX31" i="44"/>
  <c r="BX29" i="44"/>
  <c r="BP34" i="44"/>
  <c r="BE51" i="44"/>
  <c r="BX33" i="44"/>
  <c r="BX30" i="44"/>
  <c r="BP28" i="44"/>
  <c r="BX35" i="44"/>
  <c r="BX32" i="44"/>
  <c r="BP32" i="44"/>
  <c r="BF19" i="45"/>
  <c r="GH21" i="15" s="1"/>
  <c r="BF23" i="45"/>
  <c r="GH25" i="15" s="1"/>
  <c r="BF27" i="45"/>
  <c r="GH29" i="15" s="1"/>
  <c r="BF31" i="45"/>
  <c r="GH33" i="15" s="1"/>
  <c r="BF35" i="45"/>
  <c r="GH37" i="15" s="1"/>
  <c r="BF39" i="45"/>
  <c r="GH41" i="15" s="1"/>
  <c r="BF43" i="45"/>
  <c r="GH45" i="15" s="1"/>
  <c r="BF47" i="45"/>
  <c r="GH49" i="15" s="1"/>
  <c r="BF20" i="45"/>
  <c r="GH22" i="15" s="1"/>
  <c r="BF24" i="45"/>
  <c r="GH26" i="15" s="1"/>
  <c r="BF28" i="45"/>
  <c r="GH30" i="15" s="1"/>
  <c r="BF32" i="45"/>
  <c r="GH34" i="15" s="1"/>
  <c r="BF36" i="45"/>
  <c r="GH38" i="15" s="1"/>
  <c r="BF40" i="45"/>
  <c r="GH42" i="15" s="1"/>
  <c r="BF44" i="45"/>
  <c r="GH46" i="15" s="1"/>
  <c r="BF48" i="45"/>
  <c r="GH50" i="15" s="1"/>
  <c r="BF21" i="45"/>
  <c r="GH23" i="15" s="1"/>
  <c r="BF25" i="45"/>
  <c r="GH27" i="15" s="1"/>
  <c r="BF29" i="45"/>
  <c r="GH31" i="15" s="1"/>
  <c r="BF33" i="45"/>
  <c r="GH35" i="15" s="1"/>
  <c r="BF37" i="45"/>
  <c r="GH39" i="15" s="1"/>
  <c r="BF41" i="45"/>
  <c r="GH43" i="15" s="1"/>
  <c r="BF45" i="45"/>
  <c r="GH47" i="15" s="1"/>
  <c r="BF18" i="45"/>
  <c r="GH20" i="15" s="1"/>
  <c r="BF22" i="45"/>
  <c r="GH24" i="15" s="1"/>
  <c r="BF38" i="45"/>
  <c r="GH40" i="15" s="1"/>
  <c r="BF30" i="45"/>
  <c r="GH32" i="15" s="1"/>
  <c r="BF34" i="45"/>
  <c r="GH36" i="15" s="1"/>
  <c r="BF26" i="45"/>
  <c r="GH28" i="15" s="1"/>
  <c r="BF42" i="45"/>
  <c r="GH44" i="15" s="1"/>
  <c r="BF46" i="45"/>
  <c r="GH48" i="15" s="1"/>
  <c r="FD56" i="5"/>
  <c r="P6" i="59" s="1"/>
  <c r="FD51" i="10"/>
  <c r="N11" i="59" s="1"/>
  <c r="E51" i="62" s="1"/>
  <c r="FD56" i="10"/>
  <c r="P11" i="59" s="1"/>
  <c r="FD56" i="8"/>
  <c r="P9" i="59" s="1"/>
  <c r="FD51" i="8"/>
  <c r="N9" i="59" s="1"/>
  <c r="FD56" i="9"/>
  <c r="FD51" i="9"/>
  <c r="N10" i="59" s="1"/>
  <c r="FD56" i="7"/>
  <c r="P8" i="59" s="1"/>
  <c r="FD51" i="7"/>
  <c r="N8" i="59" s="1"/>
  <c r="FD56" i="6"/>
  <c r="P7" i="59" s="1"/>
  <c r="FD51" i="6"/>
  <c r="N7" i="59" s="1"/>
  <c r="FD56" i="12"/>
  <c r="P13" i="59" s="1"/>
  <c r="FD51" i="12"/>
  <c r="N13" i="59" s="1"/>
  <c r="E53" i="62" s="1"/>
  <c r="FD51" i="5"/>
  <c r="N6" i="59" s="1"/>
  <c r="FD56" i="15"/>
  <c r="P16" i="59" s="1"/>
  <c r="FD51" i="15"/>
  <c r="N16" i="59" s="1"/>
  <c r="E56" i="62" s="1"/>
  <c r="FD56" i="13"/>
  <c r="P14" i="59" s="1"/>
  <c r="FD51" i="13"/>
  <c r="N14" i="59" s="1"/>
  <c r="E54" i="62" s="1"/>
  <c r="FD56" i="11"/>
  <c r="P12" i="59" s="1"/>
  <c r="FD51" i="11"/>
  <c r="N12" i="59" s="1"/>
  <c r="E52" i="62" s="1"/>
  <c r="BL34" i="7"/>
  <c r="BG32" i="37" s="1"/>
  <c r="BL33" i="7"/>
  <c r="BG31" i="37" s="1"/>
  <c r="BL31" i="7"/>
  <c r="BG29" i="37" s="1"/>
  <c r="BL35" i="7"/>
  <c r="BG33" i="37" s="1"/>
  <c r="AG51" i="5"/>
  <c r="L21" i="5" s="1"/>
  <c r="BZ84" i="5" s="1"/>
  <c r="AJ51" i="5"/>
  <c r="L22" i="5" s="1"/>
  <c r="AG51" i="14"/>
  <c r="L21" i="14" s="1"/>
  <c r="BZ84" i="14" s="1"/>
  <c r="AG51" i="7"/>
  <c r="L21" i="7" s="1"/>
  <c r="BZ84" i="7" s="1"/>
  <c r="AJ51" i="6"/>
  <c r="L22" i="6" s="1"/>
  <c r="AG51" i="8"/>
  <c r="L21" i="8" s="1"/>
  <c r="BZ84" i="8" s="1"/>
  <c r="AG51" i="12"/>
  <c r="L21" i="12" s="1"/>
  <c r="BZ84" i="12" s="1"/>
  <c r="AJ51" i="10"/>
  <c r="L22" i="10" s="1"/>
  <c r="AG51" i="6"/>
  <c r="L21" i="6" s="1"/>
  <c r="BZ84" i="6" s="1"/>
  <c r="AG51" i="13"/>
  <c r="L21" i="13" s="1"/>
  <c r="BZ84" i="13" s="1"/>
  <c r="AJ51" i="8"/>
  <c r="L22" i="8" s="1"/>
  <c r="AJ51" i="12"/>
  <c r="L22" i="12" s="1"/>
  <c r="AG51" i="9"/>
  <c r="L21" i="9" s="1"/>
  <c r="BZ84" i="9" s="1"/>
  <c r="AG51" i="10"/>
  <c r="L21" i="10" s="1"/>
  <c r="BZ84" i="10" s="1"/>
  <c r="AJ51" i="9"/>
  <c r="L22" i="9" s="1"/>
  <c r="AJ51" i="14"/>
  <c r="L22" i="14" s="1"/>
  <c r="AG51" i="11"/>
  <c r="L21" i="11" s="1"/>
  <c r="BZ84" i="11" s="1"/>
  <c r="AJ51" i="13"/>
  <c r="L22" i="13" s="1"/>
  <c r="AJ51" i="11"/>
  <c r="L22" i="11" s="1"/>
  <c r="AJ51" i="7"/>
  <c r="L22" i="7" s="1"/>
  <c r="AG51" i="15"/>
  <c r="L21" i="15" s="1"/>
  <c r="BZ84" i="15" s="1"/>
  <c r="AJ51" i="15"/>
  <c r="L22" i="15" s="1"/>
  <c r="BL30" i="11"/>
  <c r="BG28" i="41" s="1"/>
  <c r="BL29" i="11"/>
  <c r="BG27" i="41" s="1"/>
  <c r="AT7" i="11" a="1"/>
  <c r="AT7" i="11" s="1"/>
  <c r="BL31" i="11"/>
  <c r="BG29" i="41" s="1"/>
  <c r="BL33" i="11"/>
  <c r="BG31" i="41" s="1"/>
  <c r="BL28" i="11"/>
  <c r="BG26" i="41" s="1"/>
  <c r="DK38" i="10"/>
  <c r="BZ90" i="10"/>
  <c r="G14" i="51" s="1"/>
  <c r="K68" i="12"/>
  <c r="H68" i="11"/>
  <c r="N68" i="11" s="1"/>
  <c r="BL37" i="5"/>
  <c r="BG35" i="35" s="1"/>
  <c r="BL34" i="5"/>
  <c r="BG32" i="35" s="1"/>
  <c r="BL35" i="5"/>
  <c r="BG33" i="35" s="1"/>
  <c r="BL36" i="5"/>
  <c r="BG34" i="35" s="1"/>
  <c r="BW41" i="13"/>
  <c r="BL34" i="9"/>
  <c r="BG32" i="39" s="1"/>
  <c r="BL33" i="9"/>
  <c r="BG31" i="39" s="1"/>
  <c r="AT7" i="8" a="1"/>
  <c r="AT7" i="8" s="1"/>
  <c r="BL31" i="8"/>
  <c r="BG29" i="38" s="1"/>
  <c r="AT7" i="12" a="1"/>
  <c r="AT7" i="12" s="1"/>
  <c r="BL29" i="8"/>
  <c r="BG27" i="38" s="1"/>
  <c r="BL34" i="8"/>
  <c r="BG32" i="38" s="1"/>
  <c r="BL30" i="8"/>
  <c r="BG28" i="38" s="1"/>
  <c r="BL33" i="8"/>
  <c r="BG31" i="38" s="1"/>
  <c r="AT7" i="14" a="1"/>
  <c r="AT7" i="14" s="1"/>
  <c r="BL35" i="14" s="1"/>
  <c r="BG33" i="44" s="1"/>
  <c r="BL34" i="14"/>
  <c r="BG32" i="44" s="1"/>
  <c r="BL32" i="8"/>
  <c r="BG30" i="38" s="1"/>
  <c r="BL32" i="12"/>
  <c r="BG30" i="42" s="1"/>
  <c r="BL34" i="6"/>
  <c r="BG32" i="36" s="1"/>
  <c r="AT7" i="6" a="1"/>
  <c r="AT7" i="6" s="1"/>
  <c r="BL35" i="6"/>
  <c r="BG33" i="36" s="1"/>
  <c r="BL33" i="12"/>
  <c r="BG31" i="42" s="1"/>
  <c r="BY8" i="12"/>
  <c r="BY9" i="12"/>
  <c r="EG31" i="14" l="1"/>
  <c r="C94" i="80"/>
  <c r="D94" i="80"/>
  <c r="AD51" i="35"/>
  <c r="CP51" i="35"/>
  <c r="AD37" i="35"/>
  <c r="BF52" i="45"/>
  <c r="BF51" i="45"/>
  <c r="AZ144" i="13"/>
  <c r="AZ109" i="13"/>
  <c r="AZ109" i="10"/>
  <c r="AZ144" i="10"/>
  <c r="AZ144" i="5"/>
  <c r="AZ109" i="5"/>
  <c r="AZ145" i="4"/>
  <c r="AZ110" i="4"/>
  <c r="AZ144" i="7"/>
  <c r="AZ109" i="7"/>
  <c r="AZ144" i="11"/>
  <c r="AZ109" i="11"/>
  <c r="AZ145" i="15"/>
  <c r="AZ110" i="15"/>
  <c r="AZ109" i="6"/>
  <c r="AZ144" i="6"/>
  <c r="AZ144" i="9"/>
  <c r="AZ109" i="9"/>
  <c r="AZ109" i="8"/>
  <c r="AZ144" i="8"/>
  <c r="AZ144" i="14"/>
  <c r="AZ109" i="14"/>
  <c r="AZ144" i="12"/>
  <c r="AZ109" i="12"/>
  <c r="BA145" i="7"/>
  <c r="BA110" i="7"/>
  <c r="BA146" i="4"/>
  <c r="BA111" i="4"/>
  <c r="BA111" i="15"/>
  <c r="BA146" i="15"/>
  <c r="BA145" i="8"/>
  <c r="BA110" i="8"/>
  <c r="BA145" i="11"/>
  <c r="BA110" i="11"/>
  <c r="BL38" i="5"/>
  <c r="BG36" i="35" s="1"/>
  <c r="BA145" i="5"/>
  <c r="BA110" i="5"/>
  <c r="BA145" i="13"/>
  <c r="BA110" i="13"/>
  <c r="BA145" i="12"/>
  <c r="BA110" i="12"/>
  <c r="BA145" i="6"/>
  <c r="BA110" i="6"/>
  <c r="BA110" i="14"/>
  <c r="BA145" i="14"/>
  <c r="BA110" i="10"/>
  <c r="BA145" i="10"/>
  <c r="BL37" i="9"/>
  <c r="BG35" i="39" s="1"/>
  <c r="BA145" i="9"/>
  <c r="BA110" i="9"/>
  <c r="BL39" i="5"/>
  <c r="BG37" i="35" s="1"/>
  <c r="BL36" i="9"/>
  <c r="BG34" i="39" s="1"/>
  <c r="BE50" i="35"/>
  <c r="BE53" i="44"/>
  <c r="BE53" i="37"/>
  <c r="BE53" i="40"/>
  <c r="BE53" i="35"/>
  <c r="M32" i="51"/>
  <c r="BE53" i="43"/>
  <c r="BE53" i="39"/>
  <c r="BE53" i="42"/>
  <c r="BE53" i="36"/>
  <c r="BE53" i="38"/>
  <c r="BH12" i="14"/>
  <c r="BG12" i="14" s="1"/>
  <c r="BL38" i="9"/>
  <c r="BG36" i="39" s="1"/>
  <c r="BH12" i="9"/>
  <c r="BG12" i="9" s="1"/>
  <c r="CP52" i="45"/>
  <c r="BH13" i="15"/>
  <c r="BG13" i="15" s="1"/>
  <c r="BH12" i="7"/>
  <c r="BG12" i="7" s="1"/>
  <c r="BH12" i="11"/>
  <c r="BG12" i="11" s="1"/>
  <c r="BH12" i="12"/>
  <c r="BG12" i="12" s="1"/>
  <c r="BH12" i="6"/>
  <c r="BG12" i="6" s="1"/>
  <c r="BH12" i="8"/>
  <c r="BG12" i="8" s="1"/>
  <c r="BH12" i="10"/>
  <c r="BG12" i="10" s="1"/>
  <c r="BH12" i="5"/>
  <c r="BG12" i="5" s="1"/>
  <c r="BL35" i="13"/>
  <c r="BG33" i="43" s="1"/>
  <c r="BH12" i="13"/>
  <c r="BG12" i="13" s="1"/>
  <c r="BE22" i="45"/>
  <c r="BE37" i="45"/>
  <c r="BE21" i="45"/>
  <c r="BE36" i="45"/>
  <c r="BE35" i="45"/>
  <c r="BE19" i="45"/>
  <c r="BE34" i="45"/>
  <c r="BE33" i="45"/>
  <c r="BE48" i="45"/>
  <c r="BE32" i="45"/>
  <c r="BE47" i="45"/>
  <c r="BE31" i="45"/>
  <c r="BE46" i="45"/>
  <c r="BE45" i="45"/>
  <c r="BE44" i="45"/>
  <c r="BE28" i="45"/>
  <c r="BE27" i="45"/>
  <c r="BE30" i="45"/>
  <c r="BE29" i="45"/>
  <c r="BE43" i="45"/>
  <c r="BE42" i="45"/>
  <c r="BE38" i="45"/>
  <c r="BE41" i="45"/>
  <c r="BE25" i="45"/>
  <c r="BE40" i="45"/>
  <c r="BE24" i="45"/>
  <c r="BE39" i="45"/>
  <c r="BE23" i="45"/>
  <c r="BE26" i="45"/>
  <c r="BE20" i="45"/>
  <c r="BL45" i="4"/>
  <c r="BG43" i="18" s="1"/>
  <c r="BH13" i="4"/>
  <c r="BG13" i="4" s="1"/>
  <c r="B96" i="80"/>
  <c r="EK367" i="72" a="1"/>
  <c r="EK367" i="72" s="1"/>
  <c r="EK97" i="72" a="1"/>
  <c r="EK97" i="72" s="1"/>
  <c r="EJ52" i="72"/>
  <c r="BU52" i="72" s="1"/>
  <c r="BV52" i="72" s="1"/>
  <c r="BW52" i="72" s="1"/>
  <c r="EM52" i="72"/>
  <c r="EL52" i="72"/>
  <c r="EJ501" i="72"/>
  <c r="BU501" i="72" s="1"/>
  <c r="EJ7" i="72"/>
  <c r="BU7" i="72" s="1"/>
  <c r="EK455" i="72" a="1"/>
  <c r="EK455" i="72" s="1"/>
  <c r="EK456" i="72" s="1" a="1"/>
  <c r="EK456" i="72" s="1"/>
  <c r="EJ454" i="72"/>
  <c r="BU454" i="72" s="1"/>
  <c r="EJ96" i="72"/>
  <c r="BU96" i="72" s="1"/>
  <c r="EJ276" i="72"/>
  <c r="BU276" i="72" s="1"/>
  <c r="EJ321" i="72"/>
  <c r="BU321" i="72" s="1"/>
  <c r="EK322" i="72" a="1"/>
  <c r="EK322" i="72" s="1"/>
  <c r="EJ51" i="72"/>
  <c r="BU51" i="72" s="1"/>
  <c r="EK412" i="72" a="1"/>
  <c r="EK412" i="72" s="1"/>
  <c r="EJ411" i="72"/>
  <c r="BU411" i="72" s="1"/>
  <c r="EJ410" i="72"/>
  <c r="BU410" i="72" s="1"/>
  <c r="EJ366" i="72"/>
  <c r="BU366" i="72" s="1"/>
  <c r="EJ186" i="72"/>
  <c r="BU186" i="72" s="1"/>
  <c r="EK232" i="72" a="1"/>
  <c r="EK232" i="72" s="1"/>
  <c r="EJ231" i="72"/>
  <c r="BU231" i="72" s="1"/>
  <c r="EK8" i="72" a="1"/>
  <c r="EK8" i="72" s="1"/>
  <c r="EK53" i="72" s="1" a="1"/>
  <c r="EK53" i="72" s="1"/>
  <c r="EJ185" i="72"/>
  <c r="BU185" i="72" s="1"/>
  <c r="EK187" i="72" a="1"/>
  <c r="EK187" i="72" s="1"/>
  <c r="EJ500" i="72"/>
  <c r="BU500" i="72" s="1"/>
  <c r="EK502" i="72" a="1"/>
  <c r="EK502" i="72" s="1"/>
  <c r="EM142" i="72"/>
  <c r="EJ142" i="72"/>
  <c r="BU142" i="72" s="1"/>
  <c r="BV142" i="72" s="1"/>
  <c r="BW142" i="72" s="1"/>
  <c r="EL142" i="72"/>
  <c r="EJ95" i="72"/>
  <c r="BU95" i="72" s="1"/>
  <c r="EJ365" i="72"/>
  <c r="BU365" i="72" s="1"/>
  <c r="EK277" i="72" a="1"/>
  <c r="EK277" i="72" s="1"/>
  <c r="BL42" i="4"/>
  <c r="BG40" i="18" s="1"/>
  <c r="B66" i="11"/>
  <c r="BZ47" i="11"/>
  <c r="BZ44" i="11"/>
  <c r="BQ48" i="11"/>
  <c r="CI3" i="74"/>
  <c r="BL43" i="4"/>
  <c r="BG41" i="18" s="1"/>
  <c r="BL47" i="4"/>
  <c r="BG45" i="18" s="1"/>
  <c r="BL46" i="4"/>
  <c r="BG44" i="18" s="1"/>
  <c r="BL48" i="4"/>
  <c r="BG46" i="18" s="1"/>
  <c r="AT9" i="4" a="1"/>
  <c r="AT9" i="4" s="1"/>
  <c r="BS33" i="4" s="1"/>
  <c r="W39" i="18" s="1"/>
  <c r="W53" i="18" s="1"/>
  <c r="CI53" i="18" s="1"/>
  <c r="BL44" i="4"/>
  <c r="BG42" i="18" s="1"/>
  <c r="BS32" i="4"/>
  <c r="W38" i="18" s="1"/>
  <c r="W52" i="18" s="1"/>
  <c r="CI52" i="18" s="1"/>
  <c r="K65" i="11"/>
  <c r="BL36" i="6"/>
  <c r="BG34" i="36" s="1"/>
  <c r="CP51" i="36"/>
  <c r="CQ51" i="36"/>
  <c r="AE51" i="36"/>
  <c r="AD51" i="36"/>
  <c r="BL37" i="12"/>
  <c r="BG35" i="42" s="1"/>
  <c r="CP51" i="42"/>
  <c r="CQ51" i="42"/>
  <c r="AE51" i="42"/>
  <c r="AD51" i="42"/>
  <c r="CP51" i="38"/>
  <c r="CQ51" i="38"/>
  <c r="AE51" i="38"/>
  <c r="AD51" i="38"/>
  <c r="BL36" i="10"/>
  <c r="BG34" i="40" s="1"/>
  <c r="CQ51" i="40"/>
  <c r="CP51" i="40"/>
  <c r="AD51" i="40"/>
  <c r="AE51" i="40"/>
  <c r="BL37" i="7"/>
  <c r="BG35" i="37" s="1"/>
  <c r="CP51" i="37"/>
  <c r="CQ51" i="37"/>
  <c r="AE51" i="37"/>
  <c r="AD51" i="37"/>
  <c r="BL40" i="5"/>
  <c r="BG38" i="35" s="1"/>
  <c r="CQ51" i="35"/>
  <c r="AE51" i="35"/>
  <c r="BS32" i="15"/>
  <c r="W38" i="45" s="1"/>
  <c r="W52" i="45" s="1"/>
  <c r="CI52" i="45" s="1"/>
  <c r="AD52" i="45"/>
  <c r="BL36" i="13"/>
  <c r="BG34" i="43" s="1"/>
  <c r="CP51" i="43"/>
  <c r="CQ51" i="43"/>
  <c r="AE51" i="43"/>
  <c r="AD51" i="43"/>
  <c r="BL38" i="14"/>
  <c r="BG36" i="44" s="1"/>
  <c r="CP51" i="44"/>
  <c r="CQ51" i="44"/>
  <c r="AE51" i="44"/>
  <c r="AD51" i="44"/>
  <c r="CP51" i="41"/>
  <c r="CQ51" i="41"/>
  <c r="AE51" i="41"/>
  <c r="AD51" i="41"/>
  <c r="BL39" i="9"/>
  <c r="BG37" i="39" s="1"/>
  <c r="CP51" i="39"/>
  <c r="CQ51" i="39"/>
  <c r="AE51" i="39"/>
  <c r="AD51" i="39"/>
  <c r="E55" i="60"/>
  <c r="E59" i="60"/>
  <c r="E61" i="62"/>
  <c r="BL47" i="15"/>
  <c r="BG45" i="45" s="1"/>
  <c r="AT9" i="15" a="1"/>
  <c r="AT9" i="15" s="1"/>
  <c r="CD31" i="13"/>
  <c r="Q8" i="76" a="1"/>
  <c r="Q8" i="76" s="1"/>
  <c r="F12" i="77" a="1"/>
  <c r="F12" i="77" s="1"/>
  <c r="BL46" i="15"/>
  <c r="BG44" i="45" s="1"/>
  <c r="CC32" i="15"/>
  <c r="BS31" i="13"/>
  <c r="W37" i="43" s="1"/>
  <c r="W51" i="43" s="1"/>
  <c r="CI51" i="43" s="1"/>
  <c r="FB68" i="34"/>
  <c r="FC68" i="34"/>
  <c r="FD76" i="34"/>
  <c r="FG72" i="34"/>
  <c r="FE72" i="34"/>
  <c r="FH72" i="34"/>
  <c r="FF72" i="34"/>
  <c r="FB69" i="34"/>
  <c r="FC69" i="34"/>
  <c r="FD77" i="34"/>
  <c r="FG73" i="34"/>
  <c r="FE73" i="34"/>
  <c r="FH73" i="34"/>
  <c r="FF73" i="34"/>
  <c r="FB66" i="34"/>
  <c r="FC66" i="34"/>
  <c r="FD74" i="34"/>
  <c r="FG70" i="34"/>
  <c r="FE70" i="34"/>
  <c r="FH70" i="34"/>
  <c r="FF70" i="34"/>
  <c r="FB67" i="34"/>
  <c r="FC67" i="34"/>
  <c r="FD75" i="34"/>
  <c r="FG71" i="34"/>
  <c r="FE71" i="34"/>
  <c r="FH71" i="34"/>
  <c r="FF71" i="34"/>
  <c r="F13" i="77" a="1"/>
  <c r="F13" i="77" s="1"/>
  <c r="BL49" i="4"/>
  <c r="BG47" i="18" s="1"/>
  <c r="BL42" i="15"/>
  <c r="BG40" i="45" s="1"/>
  <c r="AG38" i="45"/>
  <c r="AD38" i="45"/>
  <c r="CH32" i="15"/>
  <c r="AG52" i="45"/>
  <c r="AG38" i="18"/>
  <c r="AG52" i="18"/>
  <c r="CE32" i="4"/>
  <c r="CC28" i="4" s="1"/>
  <c r="BL36" i="14"/>
  <c r="BG34" i="44" s="1"/>
  <c r="BL37" i="14"/>
  <c r="BG35" i="44" s="1"/>
  <c r="BL39" i="14"/>
  <c r="BG37" i="44" s="1"/>
  <c r="BL35" i="12"/>
  <c r="BG33" i="42" s="1"/>
  <c r="BL44" i="15"/>
  <c r="BG42" i="45" s="1"/>
  <c r="BL43" i="15"/>
  <c r="BG41" i="45" s="1"/>
  <c r="BL36" i="12"/>
  <c r="BG34" i="42" s="1"/>
  <c r="BL39" i="6"/>
  <c r="BG37" i="36" s="1"/>
  <c r="BL36" i="7"/>
  <c r="BG34" i="37" s="1"/>
  <c r="BL40" i="9"/>
  <c r="BG38" i="39" s="1"/>
  <c r="AT8" i="9" a="1"/>
  <c r="AT8" i="9" s="1"/>
  <c r="CC31" i="13"/>
  <c r="BL45" i="15"/>
  <c r="BG43" i="45" s="1"/>
  <c r="AE37" i="37"/>
  <c r="AD37" i="37"/>
  <c r="BL38" i="12"/>
  <c r="BG36" i="42" s="1"/>
  <c r="AD37" i="42"/>
  <c r="AE37" i="42"/>
  <c r="BL35" i="8"/>
  <c r="BG33" i="38" s="1"/>
  <c r="AE37" i="38"/>
  <c r="AD37" i="38"/>
  <c r="AD37" i="41"/>
  <c r="AE37" i="41"/>
  <c r="AD37" i="39"/>
  <c r="AE37" i="39"/>
  <c r="AT8" i="5" a="1"/>
  <c r="AT8" i="5" s="1"/>
  <c r="BL43" i="5" s="1"/>
  <c r="BG41" i="35" s="1"/>
  <c r="AE37" i="35"/>
  <c r="BL37" i="10"/>
  <c r="BG35" i="40" s="1"/>
  <c r="AD37" i="40"/>
  <c r="AE37" i="40"/>
  <c r="BL40" i="6"/>
  <c r="BG38" i="36" s="1"/>
  <c r="AE37" i="36"/>
  <c r="AD37" i="36"/>
  <c r="BL38" i="6"/>
  <c r="BG36" i="36" s="1"/>
  <c r="BL40" i="14"/>
  <c r="BG38" i="44" s="1"/>
  <c r="AE37" i="44"/>
  <c r="AD37" i="44"/>
  <c r="BL37" i="6"/>
  <c r="BG35" i="36" s="1"/>
  <c r="AD37" i="43"/>
  <c r="AE37" i="43"/>
  <c r="BL39" i="13"/>
  <c r="BG37" i="43" s="1"/>
  <c r="AT8" i="13" a="1"/>
  <c r="AT8" i="13" s="1"/>
  <c r="BL38" i="13"/>
  <c r="BG36" i="43" s="1"/>
  <c r="BL41" i="13"/>
  <c r="BG39" i="43" s="1"/>
  <c r="BL40" i="13"/>
  <c r="BG38" i="43" s="1"/>
  <c r="BL37" i="13"/>
  <c r="BG35" i="43" s="1"/>
  <c r="E58" i="60"/>
  <c r="E60" i="62"/>
  <c r="E56" i="60"/>
  <c r="E58" i="62"/>
  <c r="E57" i="60"/>
  <c r="E59" i="62"/>
  <c r="A13" i="83"/>
  <c r="A35" i="83"/>
  <c r="D11" i="51"/>
  <c r="L40" i="83"/>
  <c r="B11" i="51"/>
  <c r="L36" i="83"/>
  <c r="H11" i="51"/>
  <c r="L34" i="83"/>
  <c r="C11" i="51"/>
  <c r="L32" i="83"/>
  <c r="M11" i="51"/>
  <c r="L37" i="83"/>
  <c r="K11" i="51"/>
  <c r="L39" i="83"/>
  <c r="G11" i="51"/>
  <c r="L35" i="83"/>
  <c r="L11" i="51"/>
  <c r="L38" i="83"/>
  <c r="I11" i="51"/>
  <c r="L33" i="83"/>
  <c r="CC31" i="5"/>
  <c r="CD31" i="5"/>
  <c r="BS31" i="5"/>
  <c r="W37" i="35" s="1"/>
  <c r="W51" i="35" s="1"/>
  <c r="CI51" i="35" s="1"/>
  <c r="CC31" i="7"/>
  <c r="BS31" i="7"/>
  <c r="W37" i="37" s="1"/>
  <c r="W51" i="37" s="1"/>
  <c r="CI51" i="37" s="1"/>
  <c r="CD31" i="9"/>
  <c r="CC31" i="9"/>
  <c r="BS31" i="9"/>
  <c r="W37" i="39" s="1"/>
  <c r="W51" i="39" s="1"/>
  <c r="CI51" i="39" s="1"/>
  <c r="CD31" i="6"/>
  <c r="BS31" i="6"/>
  <c r="W37" i="36" s="1"/>
  <c r="W51" i="36" s="1"/>
  <c r="CI51" i="36" s="1"/>
  <c r="CC31" i="6"/>
  <c r="CC31" i="14"/>
  <c r="BS31" i="14"/>
  <c r="W37" i="44" s="1"/>
  <c r="W51" i="44" s="1"/>
  <c r="CI51" i="44" s="1"/>
  <c r="CD31" i="14"/>
  <c r="CC31" i="12"/>
  <c r="BS31" i="12"/>
  <c r="W37" i="42" s="1"/>
  <c r="W51" i="42" s="1"/>
  <c r="CI51" i="42" s="1"/>
  <c r="CD31" i="12"/>
  <c r="CD31" i="8"/>
  <c r="BS31" i="8"/>
  <c r="W37" i="38" s="1"/>
  <c r="W51" i="38" s="1"/>
  <c r="CI51" i="38" s="1"/>
  <c r="CC31" i="8"/>
  <c r="CC31" i="11"/>
  <c r="BS31" i="11"/>
  <c r="W37" i="41" s="1"/>
  <c r="W51" i="41" s="1"/>
  <c r="CI51" i="41" s="1"/>
  <c r="CD31" i="11"/>
  <c r="CD31" i="10"/>
  <c r="CC31" i="10"/>
  <c r="BS31" i="10"/>
  <c r="W37" i="40" s="1"/>
  <c r="W51" i="40" s="1"/>
  <c r="CI51" i="40" s="1"/>
  <c r="AT8" i="12" a="1"/>
  <c r="AT8" i="12" s="1"/>
  <c r="BL39" i="11"/>
  <c r="BG37" i="41" s="1"/>
  <c r="BL41" i="9"/>
  <c r="BG39" i="39" s="1"/>
  <c r="BL41" i="5"/>
  <c r="BG39" i="35" s="1"/>
  <c r="BL38" i="7"/>
  <c r="BG36" i="37" s="1"/>
  <c r="CD31" i="7"/>
  <c r="CC44" i="12"/>
  <c r="BL40" i="7"/>
  <c r="BG38" i="37" s="1"/>
  <c r="BL39" i="7"/>
  <c r="BG37" i="37" s="1"/>
  <c r="BL42" i="7"/>
  <c r="BG40" i="37" s="1"/>
  <c r="AT8" i="7" a="1"/>
  <c r="AT8" i="7" s="1"/>
  <c r="BE50" i="43"/>
  <c r="BE50" i="37"/>
  <c r="BE50" i="40"/>
  <c r="BE50" i="42"/>
  <c r="BE50" i="39"/>
  <c r="BE50" i="36"/>
  <c r="BE50" i="38"/>
  <c r="O6" i="59"/>
  <c r="AL89" i="6"/>
  <c r="AL89" i="10"/>
  <c r="P10" i="59"/>
  <c r="EG30" i="14" s="1"/>
  <c r="M6" i="59"/>
  <c r="AH89" i="6"/>
  <c r="BL41" i="7"/>
  <c r="BG39" i="37" s="1"/>
  <c r="BL48" i="15"/>
  <c r="BG46" i="45" s="1"/>
  <c r="BL40" i="12"/>
  <c r="BG38" i="42" s="1"/>
  <c r="BL39" i="8"/>
  <c r="BG37" i="38" s="1"/>
  <c r="BL41" i="8"/>
  <c r="BG39" i="38" s="1"/>
  <c r="K67" i="13"/>
  <c r="H67" i="12"/>
  <c r="N67" i="12" s="1"/>
  <c r="BL41" i="10"/>
  <c r="BG39" i="40" s="1"/>
  <c r="BL38" i="10"/>
  <c r="BG36" i="40" s="1"/>
  <c r="BL42" i="10"/>
  <c r="BG40" i="40" s="1"/>
  <c r="AT8" i="10" a="1"/>
  <c r="AT8" i="10" s="1"/>
  <c r="BL40" i="10"/>
  <c r="BG38" i="40" s="1"/>
  <c r="BL39" i="10"/>
  <c r="BG37" i="40" s="1"/>
  <c r="BL41" i="12"/>
  <c r="BG39" i="42" s="1"/>
  <c r="AT8" i="8" a="1"/>
  <c r="AT8" i="8" s="1"/>
  <c r="BE52" i="45"/>
  <c r="BP32" i="45"/>
  <c r="BE18" i="45"/>
  <c r="BX29" i="45"/>
  <c r="BX32" i="45"/>
  <c r="BP33" i="45"/>
  <c r="BF50" i="45"/>
  <c r="BX33" i="45"/>
  <c r="BP29" i="45"/>
  <c r="BX31" i="45"/>
  <c r="BP28" i="45"/>
  <c r="BX30" i="45"/>
  <c r="BP34" i="45"/>
  <c r="BE51" i="45"/>
  <c r="BP35" i="45"/>
  <c r="BP30" i="45"/>
  <c r="BP31" i="45"/>
  <c r="BX34" i="45"/>
  <c r="BX35" i="45"/>
  <c r="BX28" i="45"/>
  <c r="BE50" i="44"/>
  <c r="BL36" i="8"/>
  <c r="BG34" i="38" s="1"/>
  <c r="BL38" i="8"/>
  <c r="BG36" i="38" s="1"/>
  <c r="BL41" i="14"/>
  <c r="BG39" i="44" s="1"/>
  <c r="AT8" i="14" a="1"/>
  <c r="AT8" i="14" s="1"/>
  <c r="BL42" i="14" s="1"/>
  <c r="BG40" i="44" s="1"/>
  <c r="BL41" i="11"/>
  <c r="BG39" i="41" s="1"/>
  <c r="AT8" i="11" a="1"/>
  <c r="AT8" i="11" s="1"/>
  <c r="BL40" i="11"/>
  <c r="BG38" i="41" s="1"/>
  <c r="BL37" i="11"/>
  <c r="BG35" i="41" s="1"/>
  <c r="DK38" i="11"/>
  <c r="BZ90" i="11"/>
  <c r="B14" i="51" s="1"/>
  <c r="BL38" i="11"/>
  <c r="BG36" i="41" s="1"/>
  <c r="K68" i="13"/>
  <c r="H68" i="12"/>
  <c r="BL35" i="11"/>
  <c r="BG33" i="41" s="1"/>
  <c r="BL36" i="11"/>
  <c r="BG34" i="41" s="1"/>
  <c r="BL41" i="6"/>
  <c r="BG39" i="36" s="1"/>
  <c r="AT8" i="6" a="1"/>
  <c r="AT8" i="6" s="1"/>
  <c r="BL42" i="6" s="1"/>
  <c r="BG40" i="36" s="1"/>
  <c r="BW41" i="14"/>
  <c r="BL39" i="12"/>
  <c r="BG37" i="42" s="1"/>
  <c r="BL40" i="8"/>
  <c r="BG38" i="38" s="1"/>
  <c r="BL37" i="8"/>
  <c r="BG35" i="38" s="1"/>
  <c r="BY8" i="13"/>
  <c r="BY9" i="13"/>
  <c r="C96" i="80" l="1"/>
  <c r="D96" i="80"/>
  <c r="BL42" i="5"/>
  <c r="BG40" i="35" s="1"/>
  <c r="BL45" i="5"/>
  <c r="BG43" i="35" s="1"/>
  <c r="AD52" i="35"/>
  <c r="AD38" i="35"/>
  <c r="CP52" i="35"/>
  <c r="AT10" i="4" a="1"/>
  <c r="AT10" i="4" s="1"/>
  <c r="FG5" i="5" s="1"/>
  <c r="AZ145" i="5"/>
  <c r="AZ110" i="5"/>
  <c r="AZ145" i="12"/>
  <c r="AZ110" i="12"/>
  <c r="AZ145" i="10"/>
  <c r="AZ110" i="10"/>
  <c r="AZ145" i="11"/>
  <c r="AZ110" i="11"/>
  <c r="AZ145" i="9"/>
  <c r="AZ110" i="9"/>
  <c r="AZ111" i="4"/>
  <c r="AZ146" i="4"/>
  <c r="AZ145" i="13"/>
  <c r="AZ110" i="13"/>
  <c r="AZ145" i="8"/>
  <c r="AZ110" i="8"/>
  <c r="AZ145" i="7"/>
  <c r="AZ110" i="7"/>
  <c r="AZ145" i="6"/>
  <c r="AZ110" i="6"/>
  <c r="AZ146" i="15"/>
  <c r="AZ111" i="15"/>
  <c r="AZ145" i="14"/>
  <c r="AZ110" i="14"/>
  <c r="BA146" i="10"/>
  <c r="BA111" i="10"/>
  <c r="BA146" i="7"/>
  <c r="BA111" i="7"/>
  <c r="BA146" i="13"/>
  <c r="BA111" i="13"/>
  <c r="BL50" i="15"/>
  <c r="BG48" i="45" s="1"/>
  <c r="BA112" i="15"/>
  <c r="BA147" i="15"/>
  <c r="BA146" i="14"/>
  <c r="BA111" i="14"/>
  <c r="BA146" i="9"/>
  <c r="BA111" i="9"/>
  <c r="BA146" i="8"/>
  <c r="BA111" i="8"/>
  <c r="BA146" i="6"/>
  <c r="BA111" i="6"/>
  <c r="BA111" i="11"/>
  <c r="BA146" i="11"/>
  <c r="BA111" i="5"/>
  <c r="BA146" i="5"/>
  <c r="BA147" i="4"/>
  <c r="BA112" i="4"/>
  <c r="BA111" i="12"/>
  <c r="BA146" i="12"/>
  <c r="B98" i="80"/>
  <c r="L32" i="51"/>
  <c r="BE53" i="45"/>
  <c r="BL49" i="15"/>
  <c r="BG47" i="45" s="1"/>
  <c r="BH13" i="14"/>
  <c r="BG13" i="14" s="1"/>
  <c r="BH13" i="8"/>
  <c r="BG13" i="8" s="1"/>
  <c r="BH13" i="6"/>
  <c r="BG13" i="6" s="1"/>
  <c r="BL44" i="12"/>
  <c r="BG42" i="42" s="1"/>
  <c r="BH13" i="12"/>
  <c r="BG13" i="12" s="1"/>
  <c r="BL43" i="12"/>
  <c r="BG41" i="42" s="1"/>
  <c r="BL42" i="12"/>
  <c r="BG40" i="42" s="1"/>
  <c r="BL43" i="10"/>
  <c r="BG41" i="40" s="1"/>
  <c r="BH13" i="10"/>
  <c r="BG13" i="10" s="1"/>
  <c r="BH13" i="13"/>
  <c r="BG13" i="13" s="1"/>
  <c r="BH14" i="15"/>
  <c r="BG14" i="15" s="1"/>
  <c r="BL47" i="9"/>
  <c r="BG45" i="39" s="1"/>
  <c r="BH13" i="9"/>
  <c r="BG13" i="9" s="1"/>
  <c r="BH13" i="11"/>
  <c r="BG13" i="11" s="1"/>
  <c r="BH13" i="7"/>
  <c r="BG13" i="7" s="1"/>
  <c r="BL46" i="5"/>
  <c r="BG44" i="35" s="1"/>
  <c r="BH13" i="5"/>
  <c r="BG13" i="5" s="1"/>
  <c r="CE33" i="4"/>
  <c r="BH14" i="4"/>
  <c r="BG14" i="4" s="1"/>
  <c r="EJ367" i="72"/>
  <c r="BU367" i="72" s="1"/>
  <c r="EJ97" i="72"/>
  <c r="BU97" i="72" s="1"/>
  <c r="EM53" i="72"/>
  <c r="EJ53" i="72"/>
  <c r="EL53" i="72"/>
  <c r="EN142" i="72"/>
  <c r="EO142" i="72"/>
  <c r="EJ412" i="72"/>
  <c r="BU412" i="72" s="1"/>
  <c r="EJ322" i="72"/>
  <c r="BU322" i="72" s="1"/>
  <c r="EJ455" i="72"/>
  <c r="BU455" i="72" s="1"/>
  <c r="EJ502" i="72"/>
  <c r="BU502" i="72" s="1"/>
  <c r="EJ277" i="72"/>
  <c r="BU277" i="72" s="1"/>
  <c r="EL187" i="72"/>
  <c r="EM187" i="72"/>
  <c r="EJ187" i="72"/>
  <c r="BU187" i="72" s="1"/>
  <c r="BV187" i="72" s="1"/>
  <c r="BW187" i="72" s="1"/>
  <c r="EJ8" i="72"/>
  <c r="EL8" i="72"/>
  <c r="EM8" i="72"/>
  <c r="EN52" i="72"/>
  <c r="EO52" i="72"/>
  <c r="EJ232" i="72"/>
  <c r="BU232" i="72" s="1"/>
  <c r="EK457" i="72" a="1"/>
  <c r="EK457" i="72" s="1"/>
  <c r="EJ456" i="72"/>
  <c r="BU456" i="72" s="1"/>
  <c r="EK98" i="72" a="1"/>
  <c r="EK98" i="72" s="1"/>
  <c r="BQ45" i="10"/>
  <c r="BQ45" i="9"/>
  <c r="BQ48" i="12"/>
  <c r="BZ47" i="12"/>
  <c r="BZ44" i="12"/>
  <c r="B66" i="12"/>
  <c r="CJ3" i="74"/>
  <c r="Q9" i="76" a="1"/>
  <c r="Q9" i="76" s="1"/>
  <c r="Q10" i="76" s="1" a="1"/>
  <c r="Q10" i="76" s="1"/>
  <c r="AG53" i="18"/>
  <c r="CP53" i="18" s="1"/>
  <c r="AG39" i="18"/>
  <c r="BL50" i="4"/>
  <c r="BG48" i="18" s="1"/>
  <c r="K65" i="12"/>
  <c r="BL44" i="6"/>
  <c r="BG42" i="36" s="1"/>
  <c r="CP52" i="36"/>
  <c r="AD52" i="36"/>
  <c r="CP52" i="38"/>
  <c r="AD52" i="38"/>
  <c r="CP52" i="40"/>
  <c r="AD52" i="40"/>
  <c r="BL43" i="7"/>
  <c r="BG41" i="37" s="1"/>
  <c r="CP52" i="37"/>
  <c r="AD52" i="37"/>
  <c r="BL43" i="13"/>
  <c r="BG41" i="43" s="1"/>
  <c r="CP52" i="43"/>
  <c r="AD52" i="43"/>
  <c r="AT9" i="5" a="1"/>
  <c r="AT9" i="5" s="1"/>
  <c r="CP52" i="41"/>
  <c r="AD52" i="41"/>
  <c r="BL44" i="14"/>
  <c r="BG42" i="44" s="1"/>
  <c r="CP52" i="44"/>
  <c r="AD52" i="44"/>
  <c r="BL45" i="12"/>
  <c r="BG43" i="42" s="1"/>
  <c r="CP52" i="42"/>
  <c r="AD52" i="42"/>
  <c r="BL42" i="9"/>
  <c r="BG40" i="39" s="1"/>
  <c r="CP52" i="39"/>
  <c r="AD52" i="39"/>
  <c r="BL47" i="5"/>
  <c r="BG45" i="35" s="1"/>
  <c r="BS33" i="15"/>
  <c r="W39" i="45" s="1"/>
  <c r="W53" i="45" s="1"/>
  <c r="CI53" i="45" s="1"/>
  <c r="AT10" i="15" a="1"/>
  <c r="AT10" i="15" s="1"/>
  <c r="AG39" i="45"/>
  <c r="CH33" i="15"/>
  <c r="AG53" i="45"/>
  <c r="BL46" i="9"/>
  <c r="BG44" i="39" s="1"/>
  <c r="BL48" i="9"/>
  <c r="BG46" i="39" s="1"/>
  <c r="CC32" i="9"/>
  <c r="AT9" i="9" a="1"/>
  <c r="AT9" i="9" s="1"/>
  <c r="BS32" i="9"/>
  <c r="W38" i="39" s="1"/>
  <c r="W52" i="39" s="1"/>
  <c r="CI52" i="39" s="1"/>
  <c r="FB71" i="34"/>
  <c r="FC71" i="34"/>
  <c r="FD79" i="34"/>
  <c r="FG75" i="34"/>
  <c r="FE75" i="34"/>
  <c r="FH75" i="34"/>
  <c r="FF75" i="34"/>
  <c r="FB73" i="34"/>
  <c r="FC73" i="34"/>
  <c r="FD81" i="34"/>
  <c r="FG77" i="34"/>
  <c r="FE77" i="34"/>
  <c r="FH77" i="34"/>
  <c r="FF77" i="34"/>
  <c r="FB70" i="34"/>
  <c r="FC70" i="34"/>
  <c r="FD78" i="34"/>
  <c r="FG74" i="34"/>
  <c r="FE74" i="34"/>
  <c r="FH74" i="34"/>
  <c r="FF74" i="34"/>
  <c r="FB72" i="34"/>
  <c r="FC72" i="34"/>
  <c r="FD80" i="34"/>
  <c r="FG76" i="34"/>
  <c r="FE76" i="34"/>
  <c r="FH76" i="34"/>
  <c r="FF76" i="34"/>
  <c r="F14" i="77" a="1"/>
  <c r="F14" i="77" s="1"/>
  <c r="F15" i="77" s="1" a="1"/>
  <c r="F15" i="77" s="1"/>
  <c r="AD38" i="39"/>
  <c r="BL43" i="14"/>
  <c r="BG41" i="44" s="1"/>
  <c r="BL46" i="6"/>
  <c r="BG44" i="36" s="1"/>
  <c r="BL47" i="6"/>
  <c r="BG45" i="36" s="1"/>
  <c r="BL45" i="14"/>
  <c r="BG43" i="44" s="1"/>
  <c r="BL45" i="6"/>
  <c r="BG43" i="36" s="1"/>
  <c r="BL45" i="9"/>
  <c r="BG43" i="39" s="1"/>
  <c r="BL43" i="9"/>
  <c r="BG41" i="39" s="1"/>
  <c r="BL44" i="9"/>
  <c r="BG42" i="39" s="1"/>
  <c r="BL42" i="13"/>
  <c r="BG40" i="43" s="1"/>
  <c r="AD38" i="43"/>
  <c r="BL44" i="10"/>
  <c r="BG42" i="40" s="1"/>
  <c r="AD38" i="40"/>
  <c r="BL47" i="12"/>
  <c r="BG45" i="42" s="1"/>
  <c r="AD38" i="42"/>
  <c r="AD38" i="36"/>
  <c r="AD38" i="44"/>
  <c r="BL46" i="14"/>
  <c r="BG44" i="44" s="1"/>
  <c r="AD38" i="41"/>
  <c r="BL42" i="8"/>
  <c r="BG40" i="38" s="1"/>
  <c r="AD38" i="38"/>
  <c r="BL44" i="7"/>
  <c r="BG42" i="37" s="1"/>
  <c r="AD38" i="37"/>
  <c r="BL43" i="6"/>
  <c r="BG41" i="36" s="1"/>
  <c r="BL45" i="10"/>
  <c r="BG43" i="40" s="1"/>
  <c r="BL45" i="13"/>
  <c r="BG43" i="43" s="1"/>
  <c r="BL48" i="13"/>
  <c r="BG46" i="43" s="1"/>
  <c r="BL47" i="13"/>
  <c r="BG45" i="43" s="1"/>
  <c r="BL44" i="13"/>
  <c r="BG42" i="43" s="1"/>
  <c r="BS32" i="13"/>
  <c r="W38" i="43" s="1"/>
  <c r="W52" i="43" s="1"/>
  <c r="CI52" i="43" s="1"/>
  <c r="AT9" i="13" a="1"/>
  <c r="AT9" i="13" s="1"/>
  <c r="BL46" i="13"/>
  <c r="BG44" i="43" s="1"/>
  <c r="CC32" i="13"/>
  <c r="CC44" i="13"/>
  <c r="AT9" i="12" a="1"/>
  <c r="AT9" i="12" s="1"/>
  <c r="BL48" i="12"/>
  <c r="BG46" i="42" s="1"/>
  <c r="FG8" i="5"/>
  <c r="BL47" i="14"/>
  <c r="BG45" i="44" s="1"/>
  <c r="FG4" i="5"/>
  <c r="FG4" i="6"/>
  <c r="FG6" i="5"/>
  <c r="A14" i="83"/>
  <c r="A36" i="83"/>
  <c r="FG7" i="5"/>
  <c r="J11" i="51"/>
  <c r="L31" i="83"/>
  <c r="E11" i="51"/>
  <c r="L30" i="83"/>
  <c r="BS32" i="5"/>
  <c r="W38" i="35" s="1"/>
  <c r="W52" i="35" s="1"/>
  <c r="CI52" i="35" s="1"/>
  <c r="CC32" i="5"/>
  <c r="CC32" i="8"/>
  <c r="BS32" i="8"/>
  <c r="W38" i="38" s="1"/>
  <c r="W52" i="38" s="1"/>
  <c r="CI52" i="38" s="1"/>
  <c r="BS32" i="7"/>
  <c r="W38" i="37" s="1"/>
  <c r="W52" i="37" s="1"/>
  <c r="CI52" i="37" s="1"/>
  <c r="CC32" i="7"/>
  <c r="CC32" i="12"/>
  <c r="BS32" i="12"/>
  <c r="W38" i="42" s="1"/>
  <c r="W52" i="42" s="1"/>
  <c r="CI52" i="42" s="1"/>
  <c r="CC32" i="6"/>
  <c r="BS32" i="6"/>
  <c r="W38" i="36" s="1"/>
  <c r="W52" i="36" s="1"/>
  <c r="CI52" i="36" s="1"/>
  <c r="CC32" i="11"/>
  <c r="BS32" i="11"/>
  <c r="W38" i="41" s="1"/>
  <c r="W52" i="41" s="1"/>
  <c r="CI52" i="41" s="1"/>
  <c r="CC32" i="14"/>
  <c r="BS32" i="14"/>
  <c r="W38" i="44" s="1"/>
  <c r="W52" i="44" s="1"/>
  <c r="CI52" i="44" s="1"/>
  <c r="BS32" i="10"/>
  <c r="W38" i="40" s="1"/>
  <c r="W52" i="40" s="1"/>
  <c r="CI52" i="40" s="1"/>
  <c r="CC32" i="10"/>
  <c r="BL48" i="6"/>
  <c r="BG46" i="36" s="1"/>
  <c r="BL45" i="11"/>
  <c r="BG43" i="41" s="1"/>
  <c r="BL48" i="14"/>
  <c r="BG46" i="44" s="1"/>
  <c r="BL47" i="10"/>
  <c r="BG45" i="40" s="1"/>
  <c r="BL49" i="7"/>
  <c r="BG47" i="37" s="1"/>
  <c r="AT9" i="8" a="1"/>
  <c r="AT9" i="8" s="1"/>
  <c r="BL46" i="12"/>
  <c r="BG44" i="42" s="1"/>
  <c r="BL44" i="8"/>
  <c r="BG42" i="38" s="1"/>
  <c r="C98" i="80"/>
  <c r="BL45" i="8"/>
  <c r="BG43" i="38" s="1"/>
  <c r="BL46" i="8"/>
  <c r="BG44" i="38" s="1"/>
  <c r="BL47" i="7"/>
  <c r="BG45" i="37" s="1"/>
  <c r="BL46" i="7"/>
  <c r="BG44" i="37" s="1"/>
  <c r="AT9" i="7" a="1"/>
  <c r="AT9" i="7" s="1"/>
  <c r="BL45" i="7"/>
  <c r="BG43" i="37" s="1"/>
  <c r="O11" i="59"/>
  <c r="AL89" i="11"/>
  <c r="M7" i="59"/>
  <c r="AH89" i="7"/>
  <c r="AL89" i="7"/>
  <c r="O7" i="59"/>
  <c r="BL43" i="8"/>
  <c r="BG41" i="38" s="1"/>
  <c r="BL47" i="8"/>
  <c r="BG45" i="38" s="1"/>
  <c r="BL48" i="8"/>
  <c r="BG46" i="38" s="1"/>
  <c r="AT9" i="6" a="1"/>
  <c r="AT9" i="6" s="1"/>
  <c r="N68" i="12"/>
  <c r="AT9" i="10" a="1"/>
  <c r="AT9" i="10" s="1"/>
  <c r="BL46" i="10"/>
  <c r="BG44" i="40" s="1"/>
  <c r="BL48" i="10"/>
  <c r="BG46" i="40" s="1"/>
  <c r="K67" i="14"/>
  <c r="H67" i="13"/>
  <c r="N67" i="13" s="1"/>
  <c r="BL49" i="10"/>
  <c r="BG47" i="40" s="1"/>
  <c r="BL50" i="6"/>
  <c r="BG48" i="36" s="1"/>
  <c r="BE50" i="45"/>
  <c r="AT9" i="14" a="1"/>
  <c r="AT9" i="14" s="1"/>
  <c r="AT9" i="11" a="1"/>
  <c r="AT9" i="11" s="1"/>
  <c r="K68" i="14"/>
  <c r="H68" i="13"/>
  <c r="N68" i="13" s="1"/>
  <c r="BL44" i="11"/>
  <c r="BG42" i="41" s="1"/>
  <c r="BL46" i="11"/>
  <c r="BG44" i="41" s="1"/>
  <c r="BL47" i="11"/>
  <c r="BG45" i="41" s="1"/>
  <c r="BL43" i="11"/>
  <c r="BG41" i="41" s="1"/>
  <c r="BL48" i="11"/>
  <c r="BG46" i="41" s="1"/>
  <c r="BL42" i="11"/>
  <c r="BG40" i="41" s="1"/>
  <c r="BW41" i="15"/>
  <c r="BY8" i="14"/>
  <c r="BY9" i="14"/>
  <c r="B100" i="80" l="1"/>
  <c r="D100" i="80" s="1"/>
  <c r="D98" i="80"/>
  <c r="AD53" i="35"/>
  <c r="CP53" i="35"/>
  <c r="AD39" i="35"/>
  <c r="AZ111" i="11"/>
  <c r="AZ146" i="11"/>
  <c r="AZ111" i="13"/>
  <c r="AZ146" i="13"/>
  <c r="AZ146" i="8"/>
  <c r="AZ111" i="8"/>
  <c r="AZ111" i="5"/>
  <c r="AZ146" i="5"/>
  <c r="AZ111" i="9"/>
  <c r="AZ146" i="9"/>
  <c r="AZ146" i="10"/>
  <c r="AZ111" i="10"/>
  <c r="AZ146" i="12"/>
  <c r="AZ111" i="12"/>
  <c r="AZ146" i="14"/>
  <c r="AZ111" i="14"/>
  <c r="AZ112" i="4"/>
  <c r="AZ147" i="4"/>
  <c r="AZ146" i="7"/>
  <c r="AZ111" i="7"/>
  <c r="AZ147" i="15"/>
  <c r="AZ112" i="15"/>
  <c r="AZ146" i="6"/>
  <c r="AZ111" i="6"/>
  <c r="BA112" i="8"/>
  <c r="BA147" i="8"/>
  <c r="BA112" i="5"/>
  <c r="BA147" i="5"/>
  <c r="BA147" i="10"/>
  <c r="BA112" i="10"/>
  <c r="BA112" i="6"/>
  <c r="BA147" i="6"/>
  <c r="BA112" i="11"/>
  <c r="BA147" i="11"/>
  <c r="BA112" i="9"/>
  <c r="BA147" i="9"/>
  <c r="BA147" i="14"/>
  <c r="BA112" i="14"/>
  <c r="BA112" i="7"/>
  <c r="BA147" i="7"/>
  <c r="BA112" i="12"/>
  <c r="BA147" i="12"/>
  <c r="BA112" i="13"/>
  <c r="BA147" i="13"/>
  <c r="CP51" i="18"/>
  <c r="CP52" i="18"/>
  <c r="K32" i="51"/>
  <c r="Q11" i="76" a="1"/>
  <c r="Q11" i="76" s="1"/>
  <c r="Q12" i="76" s="1" a="1"/>
  <c r="Q12" i="76" s="1"/>
  <c r="Q13" i="76" s="1" a="1"/>
  <c r="Q13" i="76" s="1"/>
  <c r="BH14" i="14"/>
  <c r="BG14" i="14" s="1"/>
  <c r="BH14" i="7"/>
  <c r="BG14" i="7" s="1"/>
  <c r="BH14" i="8"/>
  <c r="BG14" i="8" s="1"/>
  <c r="BH14" i="11"/>
  <c r="BG14" i="11" s="1"/>
  <c r="BH14" i="10"/>
  <c r="BG14" i="10" s="1"/>
  <c r="BS33" i="9"/>
  <c r="W39" i="39" s="1"/>
  <c r="W53" i="39" s="1"/>
  <c r="CI53" i="39" s="1"/>
  <c r="BH14" i="9"/>
  <c r="BG14" i="9" s="1"/>
  <c r="BH14" i="12"/>
  <c r="BG14" i="12" s="1"/>
  <c r="BH14" i="13"/>
  <c r="BG14" i="13" s="1"/>
  <c r="BH14" i="6"/>
  <c r="BG14" i="6" s="1"/>
  <c r="AT10" i="5" a="1"/>
  <c r="AT10" i="5" s="1"/>
  <c r="FG10" i="5" s="1"/>
  <c r="BH14" i="5"/>
  <c r="BG14" i="5" s="1"/>
  <c r="BL50" i="5"/>
  <c r="BG48" i="35" s="1"/>
  <c r="CP50" i="18"/>
  <c r="CP49" i="18"/>
  <c r="EK143" i="72" a="1"/>
  <c r="EK143" i="72" s="1"/>
  <c r="EO53" i="72"/>
  <c r="EN53" i="72"/>
  <c r="EJ457" i="72"/>
  <c r="BU457" i="72" s="1"/>
  <c r="EL98" i="72"/>
  <c r="EJ98" i="72"/>
  <c r="EM98" i="72"/>
  <c r="EN8" i="72"/>
  <c r="EO8" i="72"/>
  <c r="EO187" i="72"/>
  <c r="EN187" i="72"/>
  <c r="BZ47" i="13"/>
  <c r="BZ44" i="13"/>
  <c r="K65" i="13" s="1"/>
  <c r="BQ48" i="13"/>
  <c r="B66" i="13"/>
  <c r="CK3" i="74"/>
  <c r="AE39" i="35"/>
  <c r="BL48" i="5"/>
  <c r="BG46" i="35" s="1"/>
  <c r="BL49" i="5"/>
  <c r="BG47" i="35" s="1"/>
  <c r="FG9" i="5"/>
  <c r="CQ53" i="37"/>
  <c r="CP53" i="37"/>
  <c r="AD53" i="37"/>
  <c r="AE53" i="37"/>
  <c r="CP53" i="41"/>
  <c r="AD53" i="41"/>
  <c r="BL50" i="10"/>
  <c r="BG48" i="40" s="1"/>
  <c r="CQ53" i="35"/>
  <c r="AE53" i="35"/>
  <c r="CP53" i="44"/>
  <c r="AD53" i="44"/>
  <c r="BL49" i="12"/>
  <c r="BG47" i="42" s="1"/>
  <c r="CP53" i="42"/>
  <c r="AD53" i="42"/>
  <c r="BL50" i="13"/>
  <c r="BG48" i="43" s="1"/>
  <c r="BL49" i="9"/>
  <c r="BG47" i="39" s="1"/>
  <c r="CP53" i="39"/>
  <c r="AD53" i="39"/>
  <c r="BS33" i="12"/>
  <c r="W39" i="42" s="1"/>
  <c r="W53" i="42" s="1"/>
  <c r="CI53" i="42" s="1"/>
  <c r="CC33" i="9"/>
  <c r="AT10" i="9" a="1"/>
  <c r="AT10" i="9" s="1"/>
  <c r="FG7" i="10" s="1"/>
  <c r="CC44" i="14"/>
  <c r="AT10" i="12" a="1"/>
  <c r="AT10" i="12" s="1"/>
  <c r="FG9" i="13" s="1"/>
  <c r="CC33" i="12"/>
  <c r="AD39" i="39"/>
  <c r="FB76" i="34"/>
  <c r="FC76" i="34"/>
  <c r="FD84" i="34"/>
  <c r="FG80" i="34"/>
  <c r="FE80" i="34"/>
  <c r="FH80" i="34"/>
  <c r="FF80" i="34"/>
  <c r="FB77" i="34"/>
  <c r="FC77" i="34"/>
  <c r="FD85" i="34"/>
  <c r="FG81" i="34"/>
  <c r="FE81" i="34"/>
  <c r="FH81" i="34"/>
  <c r="FF81" i="34"/>
  <c r="FB74" i="34"/>
  <c r="FC74" i="34"/>
  <c r="FD82" i="34"/>
  <c r="FG78" i="34"/>
  <c r="FE78" i="34"/>
  <c r="FH78" i="34"/>
  <c r="FF78" i="34"/>
  <c r="FB75" i="34"/>
  <c r="FC75" i="34"/>
  <c r="FD83" i="34"/>
  <c r="FG79" i="34"/>
  <c r="FE79" i="34"/>
  <c r="FH79" i="34"/>
  <c r="FF79" i="34"/>
  <c r="F16" i="77" a="1"/>
  <c r="F16" i="77" s="1"/>
  <c r="F17" i="77" s="1" a="1"/>
  <c r="F17" i="77" s="1"/>
  <c r="F18" i="77" s="1" a="1"/>
  <c r="F18" i="77" s="1"/>
  <c r="BL49" i="13"/>
  <c r="BG47" i="43" s="1"/>
  <c r="AD39" i="41"/>
  <c r="BL49" i="6"/>
  <c r="BG47" i="36" s="1"/>
  <c r="AD39" i="42"/>
  <c r="AD39" i="44"/>
  <c r="BL49" i="14"/>
  <c r="BG47" i="44" s="1"/>
  <c r="AD39" i="37"/>
  <c r="AE39" i="37"/>
  <c r="BL50" i="8"/>
  <c r="BG48" i="38" s="1"/>
  <c r="AT10" i="13" a="1"/>
  <c r="AT10" i="13" s="1"/>
  <c r="FG9" i="14" s="1"/>
  <c r="BS33" i="13"/>
  <c r="W39" i="43" s="1"/>
  <c r="W53" i="43" s="1"/>
  <c r="CI53" i="43" s="1"/>
  <c r="BL49" i="8"/>
  <c r="BG47" i="38" s="1"/>
  <c r="FG4" i="13"/>
  <c r="BS33" i="6"/>
  <c r="W39" i="36" s="1"/>
  <c r="W53" i="36" s="1"/>
  <c r="CI53" i="36" s="1"/>
  <c r="FG9" i="6"/>
  <c r="A15" i="83"/>
  <c r="A37" i="83"/>
  <c r="CC33" i="5"/>
  <c r="CD33" i="5"/>
  <c r="BS33" i="5"/>
  <c r="W39" i="35" s="1"/>
  <c r="W53" i="35" s="1"/>
  <c r="CI53" i="35" s="1"/>
  <c r="CC33" i="11"/>
  <c r="BS33" i="11"/>
  <c r="W39" i="41" s="1"/>
  <c r="W53" i="41" s="1"/>
  <c r="CI53" i="41" s="1"/>
  <c r="BS33" i="14"/>
  <c r="W39" i="44" s="1"/>
  <c r="W53" i="44" s="1"/>
  <c r="CI53" i="44" s="1"/>
  <c r="CC33" i="14"/>
  <c r="BS33" i="10"/>
  <c r="W39" i="40" s="1"/>
  <c r="W53" i="40" s="1"/>
  <c r="CI53" i="40" s="1"/>
  <c r="CC33" i="7"/>
  <c r="BS33" i="7"/>
  <c r="W39" i="37" s="1"/>
  <c r="W53" i="37" s="1"/>
  <c r="CI53" i="37" s="1"/>
  <c r="BS33" i="8"/>
  <c r="W39" i="38" s="1"/>
  <c r="W53" i="38" s="1"/>
  <c r="CI53" i="38" s="1"/>
  <c r="AT10" i="6" a="1"/>
  <c r="AT10" i="6" s="1"/>
  <c r="FG9" i="7" s="1"/>
  <c r="BL50" i="7"/>
  <c r="BG48" i="37" s="1"/>
  <c r="CD33" i="7"/>
  <c r="AT10" i="8" a="1"/>
  <c r="AT10" i="8" s="1"/>
  <c r="BL44" i="5"/>
  <c r="BG42" i="35" s="1"/>
  <c r="BL49" i="11"/>
  <c r="BG47" i="41" s="1"/>
  <c r="AT10" i="14" a="1"/>
  <c r="AT10" i="14" s="1"/>
  <c r="FG7" i="15" s="1"/>
  <c r="AT10" i="10" a="1"/>
  <c r="AT10" i="10" s="1"/>
  <c r="C100" i="80"/>
  <c r="B102" i="80"/>
  <c r="D102" i="80" s="1"/>
  <c r="AT10" i="7" a="1"/>
  <c r="AT10" i="7" s="1"/>
  <c r="FG7" i="8" s="1"/>
  <c r="O8" i="59"/>
  <c r="AL89" i="8"/>
  <c r="O12" i="59"/>
  <c r="AL89" i="12"/>
  <c r="M8" i="59"/>
  <c r="AH89" i="8"/>
  <c r="BZ90" i="12"/>
  <c r="M14" i="51" s="1"/>
  <c r="DK38" i="12"/>
  <c r="BL50" i="11"/>
  <c r="BG48" i="41" s="1"/>
  <c r="H67" i="14"/>
  <c r="N67" i="14" s="1"/>
  <c r="K67" i="15"/>
  <c r="AT10" i="11" a="1"/>
  <c r="AT10" i="11" s="1"/>
  <c r="BZ90" i="13"/>
  <c r="L14" i="51" s="1"/>
  <c r="DK38" i="13"/>
  <c r="K68" i="15"/>
  <c r="H68" i="14"/>
  <c r="N68" i="14" s="1"/>
  <c r="BY8" i="15"/>
  <c r="BY9" i="15"/>
  <c r="BL50" i="14" l="1"/>
  <c r="BG48" i="44" s="1"/>
  <c r="BL50" i="9"/>
  <c r="BG48" i="39" s="1"/>
  <c r="Q14" i="76" a="1"/>
  <c r="Q14" i="76" s="1"/>
  <c r="AZ147" i="6"/>
  <c r="AZ112" i="6"/>
  <c r="AZ147" i="7"/>
  <c r="AZ112" i="7"/>
  <c r="AZ147" i="8"/>
  <c r="AZ112" i="8"/>
  <c r="AZ147" i="13"/>
  <c r="AZ112" i="13"/>
  <c r="AZ147" i="10"/>
  <c r="AZ112" i="10"/>
  <c r="AZ147" i="14"/>
  <c r="AZ112" i="14"/>
  <c r="AZ147" i="9"/>
  <c r="AZ112" i="9"/>
  <c r="AZ112" i="5"/>
  <c r="AZ147" i="5"/>
  <c r="AZ147" i="12"/>
  <c r="AZ112" i="12"/>
  <c r="AZ147" i="11"/>
  <c r="AZ112" i="11"/>
  <c r="BL50" i="12"/>
  <c r="BG48" i="42" s="1"/>
  <c r="FG8" i="6"/>
  <c r="D32" i="51"/>
  <c r="FG6" i="6"/>
  <c r="FG4" i="10"/>
  <c r="FG7" i="6"/>
  <c r="FG5" i="6"/>
  <c r="EK188" i="72" a="1"/>
  <c r="EK188" i="72" s="1"/>
  <c r="EL143" i="72"/>
  <c r="EM143" i="72"/>
  <c r="EJ143" i="72"/>
  <c r="EN98" i="72"/>
  <c r="EO98" i="72"/>
  <c r="FG9" i="10"/>
  <c r="BQ45" i="11"/>
  <c r="BQ48" i="14"/>
  <c r="BZ47" i="14"/>
  <c r="BZ44" i="14"/>
  <c r="B66" i="14"/>
  <c r="CC44" i="15"/>
  <c r="K65" i="14"/>
  <c r="FG8" i="10"/>
  <c r="FG10" i="12"/>
  <c r="FG6" i="10"/>
  <c r="FG5" i="10"/>
  <c r="FG5" i="13"/>
  <c r="FG8" i="13"/>
  <c r="FG7" i="13"/>
  <c r="FG6" i="13"/>
  <c r="Q15" i="76" a="1"/>
  <c r="Q15" i="76" s="1"/>
  <c r="FB79" i="34"/>
  <c r="FC79" i="34"/>
  <c r="FD87" i="34"/>
  <c r="FG83" i="34"/>
  <c r="FE83" i="34"/>
  <c r="FH83" i="34"/>
  <c r="FF83" i="34"/>
  <c r="FB81" i="34"/>
  <c r="FC81" i="34"/>
  <c r="FD89" i="34"/>
  <c r="FG85" i="34"/>
  <c r="FE85" i="34"/>
  <c r="FH85" i="34"/>
  <c r="FF85" i="34"/>
  <c r="FB78" i="34"/>
  <c r="FC78" i="34"/>
  <c r="FD86" i="34"/>
  <c r="FG82" i="34"/>
  <c r="FE82" i="34"/>
  <c r="FH82" i="34"/>
  <c r="FF82" i="34"/>
  <c r="FB80" i="34"/>
  <c r="FC80" i="34"/>
  <c r="FD88" i="34"/>
  <c r="FG84" i="34"/>
  <c r="FE84" i="34"/>
  <c r="FH84" i="34"/>
  <c r="FF84" i="34"/>
  <c r="F19" i="77" a="1"/>
  <c r="F19" i="77" s="1"/>
  <c r="FG10" i="15"/>
  <c r="FG9" i="15"/>
  <c r="FG5" i="14"/>
  <c r="FG8" i="14"/>
  <c r="FG6" i="14"/>
  <c r="FG4" i="14"/>
  <c r="FG7" i="14"/>
  <c r="FG10" i="13"/>
  <c r="FG10" i="10"/>
  <c r="FG4" i="11"/>
  <c r="FG5" i="11"/>
  <c r="FG10" i="8"/>
  <c r="FG4" i="9"/>
  <c r="FG5" i="9"/>
  <c r="FG10" i="6"/>
  <c r="FG4" i="7"/>
  <c r="FG5" i="7"/>
  <c r="FG8" i="12"/>
  <c r="FG7" i="12"/>
  <c r="FG8" i="11"/>
  <c r="FG8" i="15"/>
  <c r="FG9" i="9"/>
  <c r="FG10" i="14"/>
  <c r="FG5" i="15"/>
  <c r="FG4" i="15"/>
  <c r="FG6" i="15"/>
  <c r="FG6" i="7"/>
  <c r="FG7" i="11"/>
  <c r="FG8" i="9"/>
  <c r="FG9" i="11"/>
  <c r="FG6" i="9"/>
  <c r="BL48" i="7"/>
  <c r="BG46" i="37" s="1"/>
  <c r="FG10" i="7"/>
  <c r="FG4" i="8"/>
  <c r="FG5" i="8"/>
  <c r="FG6" i="8"/>
  <c r="FG7" i="9"/>
  <c r="FG9" i="8"/>
  <c r="FG8" i="7"/>
  <c r="FG10" i="9"/>
  <c r="A16" i="83"/>
  <c r="A38" i="83"/>
  <c r="FG7" i="7"/>
  <c r="FG10" i="11"/>
  <c r="FG5" i="12"/>
  <c r="FG4" i="12"/>
  <c r="FG9" i="12"/>
  <c r="FG6" i="12"/>
  <c r="FG6" i="11"/>
  <c r="FG8" i="8"/>
  <c r="C102" i="80"/>
  <c r="B104" i="80"/>
  <c r="D104" i="80" s="1"/>
  <c r="O13" i="59"/>
  <c r="AL89" i="13"/>
  <c r="M9" i="59"/>
  <c r="AH89" i="9"/>
  <c r="O9" i="59"/>
  <c r="H68" i="15"/>
  <c r="N68" i="15" s="1"/>
  <c r="H67" i="15"/>
  <c r="N67" i="15" s="1"/>
  <c r="BA15" i="72"/>
  <c r="DK38" i="14"/>
  <c r="BZ90" i="14"/>
  <c r="K14" i="51" s="1"/>
  <c r="EL188" i="72" l="1"/>
  <c r="EM188" i="72"/>
  <c r="EJ188" i="72"/>
  <c r="EK233" i="72" a="1"/>
  <c r="EK233" i="72" s="1"/>
  <c r="EN143" i="72"/>
  <c r="EO143" i="72"/>
  <c r="BZ47" i="15"/>
  <c r="BZ44" i="15"/>
  <c r="K65" i="15" s="1"/>
  <c r="BQ48" i="15"/>
  <c r="B66" i="15"/>
  <c r="Q16" i="76" a="1"/>
  <c r="Q16" i="76" s="1"/>
  <c r="FC84" i="34"/>
  <c r="FB84" i="34"/>
  <c r="FD92" i="34"/>
  <c r="FG88" i="34"/>
  <c r="FE88" i="34"/>
  <c r="FH88" i="34"/>
  <c r="FF88" i="34"/>
  <c r="FC85" i="34"/>
  <c r="FB85" i="34"/>
  <c r="FD93" i="34"/>
  <c r="FG89" i="34"/>
  <c r="FE89" i="34"/>
  <c r="FH89" i="34"/>
  <c r="FF89" i="34"/>
  <c r="FB82" i="34"/>
  <c r="FC82" i="34"/>
  <c r="FD90" i="34"/>
  <c r="FG86" i="34"/>
  <c r="FE86" i="34"/>
  <c r="FH86" i="34"/>
  <c r="FF86" i="34"/>
  <c r="FB83" i="34"/>
  <c r="FC83" i="34"/>
  <c r="FD91" i="34"/>
  <c r="FG87" i="34"/>
  <c r="FE87" i="34"/>
  <c r="FH87" i="34"/>
  <c r="FF87" i="34"/>
  <c r="F20" i="77" a="1"/>
  <c r="F20" i="77" s="1"/>
  <c r="A17" i="83"/>
  <c r="A40" i="83" s="1"/>
  <c r="A39" i="83"/>
  <c r="B106" i="80"/>
  <c r="D106" i="80" s="1"/>
  <c r="C104" i="80"/>
  <c r="O14" i="59"/>
  <c r="AL89" i="14"/>
  <c r="AH89" i="10"/>
  <c r="M10" i="59"/>
  <c r="BZ90" i="15"/>
  <c r="D14" i="51" s="1"/>
  <c r="DK38" i="15"/>
  <c r="EL233" i="72" l="1"/>
  <c r="EM233" i="72"/>
  <c r="EJ233" i="72"/>
  <c r="EK278" i="72" a="1"/>
  <c r="EK278" i="72" s="1"/>
  <c r="EN188" i="72"/>
  <c r="EO188" i="72"/>
  <c r="BQ45" i="13"/>
  <c r="Q17" i="76" a="1"/>
  <c r="Q17" i="76" s="1"/>
  <c r="FC87" i="34"/>
  <c r="FB87" i="34"/>
  <c r="FD95" i="34"/>
  <c r="FG91" i="34"/>
  <c r="FE91" i="34"/>
  <c r="FH91" i="34"/>
  <c r="FF91" i="34"/>
  <c r="FC89" i="34"/>
  <c r="FB89" i="34"/>
  <c r="FD97" i="34"/>
  <c r="FG93" i="34"/>
  <c r="FE93" i="34"/>
  <c r="FH93" i="34"/>
  <c r="FF93" i="34"/>
  <c r="FC86" i="34"/>
  <c r="FB86" i="34"/>
  <c r="FD94" i="34"/>
  <c r="FG90" i="34"/>
  <c r="FE90" i="34"/>
  <c r="FH90" i="34"/>
  <c r="FF90" i="34"/>
  <c r="FC88" i="34"/>
  <c r="FB88" i="34"/>
  <c r="FD96" i="34"/>
  <c r="FG92" i="34"/>
  <c r="FE92" i="34"/>
  <c r="FH92" i="34"/>
  <c r="FF92" i="34"/>
  <c r="F21" i="77" a="1"/>
  <c r="F21" i="77" s="1"/>
  <c r="B108" i="80"/>
  <c r="D108" i="80" s="1"/>
  <c r="C106" i="80"/>
  <c r="O15" i="59"/>
  <c r="AH89" i="11"/>
  <c r="M11" i="59"/>
  <c r="EL278" i="72" l="1"/>
  <c r="EM278" i="72"/>
  <c r="EJ278" i="72"/>
  <c r="EK323" i="72" a="1"/>
  <c r="EK323" i="72" s="1"/>
  <c r="EO233" i="72"/>
  <c r="EN233" i="72"/>
  <c r="BQ45" i="14"/>
  <c r="Q18" i="76" a="1"/>
  <c r="Q18" i="76" s="1"/>
  <c r="FC92" i="34"/>
  <c r="FB92" i="34"/>
  <c r="FD100" i="34"/>
  <c r="FG96" i="34"/>
  <c r="FE96" i="34"/>
  <c r="FH96" i="34"/>
  <c r="FF96" i="34"/>
  <c r="FC93" i="34"/>
  <c r="FB93" i="34"/>
  <c r="FD101" i="34"/>
  <c r="FG97" i="34"/>
  <c r="FE97" i="34"/>
  <c r="FH97" i="34"/>
  <c r="FF97" i="34"/>
  <c r="FC90" i="34"/>
  <c r="FB90" i="34"/>
  <c r="FD98" i="34"/>
  <c r="FG94" i="34"/>
  <c r="FE94" i="34"/>
  <c r="FH94" i="34"/>
  <c r="FF94" i="34"/>
  <c r="FC91" i="34"/>
  <c r="FB91" i="34"/>
  <c r="FD99" i="34"/>
  <c r="FG95" i="34"/>
  <c r="FE95" i="34"/>
  <c r="FH95" i="34"/>
  <c r="FF95" i="34"/>
  <c r="F22" i="77" a="1"/>
  <c r="F22" i="77" s="1"/>
  <c r="C108" i="80"/>
  <c r="B110" i="80"/>
  <c r="D110" i="80" s="1"/>
  <c r="M12" i="59"/>
  <c r="D123" i="58" s="1"/>
  <c r="AH89" i="12"/>
  <c r="EL323" i="72" l="1"/>
  <c r="EM323" i="72"/>
  <c r="EJ323" i="72"/>
  <c r="EK368" i="72" a="1"/>
  <c r="EK368" i="72" s="1"/>
  <c r="EO278" i="72"/>
  <c r="EN278" i="72"/>
  <c r="BQ45" i="15"/>
  <c r="Q19" i="76" a="1"/>
  <c r="Q19" i="76" s="1"/>
  <c r="FC95" i="34"/>
  <c r="FB95" i="34"/>
  <c r="FD103" i="34"/>
  <c r="FG99" i="34"/>
  <c r="FE99" i="34"/>
  <c r="FH99" i="34"/>
  <c r="FF99" i="34"/>
  <c r="FC97" i="34"/>
  <c r="FB97" i="34"/>
  <c r="FD105" i="34"/>
  <c r="FG101" i="34"/>
  <c r="FE101" i="34"/>
  <c r="FH101" i="34"/>
  <c r="FF101" i="34"/>
  <c r="FC94" i="34"/>
  <c r="FB94" i="34"/>
  <c r="FD102" i="34"/>
  <c r="FG98" i="34"/>
  <c r="FE98" i="34"/>
  <c r="FH98" i="34"/>
  <c r="FF98" i="34"/>
  <c r="FC96" i="34"/>
  <c r="FB96" i="34"/>
  <c r="FD104" i="34"/>
  <c r="FG100" i="34"/>
  <c r="FE100" i="34"/>
  <c r="FH100" i="34"/>
  <c r="FF100" i="34"/>
  <c r="F23" i="77" a="1"/>
  <c r="F23" i="77" s="1"/>
  <c r="B112" i="80"/>
  <c r="D112" i="80" s="1"/>
  <c r="C110" i="80"/>
  <c r="AH89" i="13"/>
  <c r="M13" i="59"/>
  <c r="EM368" i="72" l="1"/>
  <c r="EJ368" i="72"/>
  <c r="EL368" i="72"/>
  <c r="EK413" i="72" a="1"/>
  <c r="EK413" i="72" s="1"/>
  <c r="EN323" i="72"/>
  <c r="EO323" i="72"/>
  <c r="Q20" i="76" a="1"/>
  <c r="Q20" i="76" s="1"/>
  <c r="FC100" i="34"/>
  <c r="FB100" i="34"/>
  <c r="FD108" i="34"/>
  <c r="FG104" i="34"/>
  <c r="FE104" i="34"/>
  <c r="FH104" i="34"/>
  <c r="FF104" i="34"/>
  <c r="FC101" i="34"/>
  <c r="FB101" i="34"/>
  <c r="FD109" i="34"/>
  <c r="FG105" i="34"/>
  <c r="FE105" i="34"/>
  <c r="FH105" i="34"/>
  <c r="FF105" i="34"/>
  <c r="FC98" i="34"/>
  <c r="FB98" i="34"/>
  <c r="FD106" i="34"/>
  <c r="FG102" i="34"/>
  <c r="FE102" i="34"/>
  <c r="FH102" i="34"/>
  <c r="FF102" i="34"/>
  <c r="FC99" i="34"/>
  <c r="FB99" i="34"/>
  <c r="FD107" i="34"/>
  <c r="FG103" i="34"/>
  <c r="FE103" i="34"/>
  <c r="FH103" i="34"/>
  <c r="FF103" i="34"/>
  <c r="F24" i="77" a="1"/>
  <c r="F24" i="77" s="1"/>
  <c r="C112" i="80"/>
  <c r="B114" i="80"/>
  <c r="D114" i="80" s="1"/>
  <c r="AH89" i="14"/>
  <c r="M14" i="59"/>
  <c r="EM413" i="72" l="1"/>
  <c r="EJ413" i="72"/>
  <c r="EL413" i="72"/>
  <c r="EK458" i="72" a="1"/>
  <c r="EK458" i="72" s="1"/>
  <c r="EO368" i="72"/>
  <c r="EN368" i="72"/>
  <c r="Q21" i="76" a="1"/>
  <c r="Q21" i="76" s="1"/>
  <c r="FC102" i="34"/>
  <c r="FB102" i="34"/>
  <c r="FD110" i="34"/>
  <c r="FG106" i="34"/>
  <c r="FE106" i="34"/>
  <c r="FH106" i="34"/>
  <c r="FF106" i="34"/>
  <c r="FC105" i="34"/>
  <c r="FB105" i="34"/>
  <c r="FD113" i="34"/>
  <c r="FG109" i="34"/>
  <c r="FE109" i="34"/>
  <c r="FH109" i="34"/>
  <c r="FF109" i="34"/>
  <c r="FC103" i="34"/>
  <c r="FB103" i="34"/>
  <c r="FD111" i="34"/>
  <c r="FG107" i="34"/>
  <c r="FE107" i="34"/>
  <c r="FH107" i="34"/>
  <c r="FF107" i="34"/>
  <c r="FC104" i="34"/>
  <c r="FB104" i="34"/>
  <c r="FD112" i="34"/>
  <c r="FG108" i="34"/>
  <c r="FE108" i="34"/>
  <c r="FH108" i="34"/>
  <c r="FF108" i="34"/>
  <c r="F25" i="77" a="1"/>
  <c r="F25" i="77" s="1"/>
  <c r="C114" i="80"/>
  <c r="B116" i="80"/>
  <c r="D116" i="80" s="1"/>
  <c r="AH99" i="14"/>
  <c r="M15" i="59"/>
  <c r="EM458" i="72" l="1"/>
  <c r="EJ458" i="72"/>
  <c r="EL458" i="72"/>
  <c r="EK503" i="72" a="1"/>
  <c r="EK503" i="72" s="1"/>
  <c r="EO413" i="72"/>
  <c r="EN413" i="72"/>
  <c r="Q22" i="76" a="1"/>
  <c r="Q22" i="76" s="1"/>
  <c r="FC107" i="34"/>
  <c r="FB107" i="34"/>
  <c r="FD115" i="34"/>
  <c r="FG111" i="34"/>
  <c r="FE111" i="34"/>
  <c r="FH111" i="34"/>
  <c r="FF111" i="34"/>
  <c r="FC106" i="34"/>
  <c r="FB106" i="34"/>
  <c r="FD114" i="34"/>
  <c r="FG110" i="34"/>
  <c r="FE110" i="34"/>
  <c r="FH110" i="34"/>
  <c r="FF110" i="34"/>
  <c r="FC108" i="34"/>
  <c r="FB108" i="34"/>
  <c r="FD116" i="34"/>
  <c r="FG112" i="34"/>
  <c r="FE112" i="34"/>
  <c r="FH112" i="34"/>
  <c r="FF112" i="34"/>
  <c r="FC109" i="34"/>
  <c r="FB109" i="34"/>
  <c r="FD117" i="34"/>
  <c r="FG113" i="34"/>
  <c r="FE113" i="34"/>
  <c r="FH113" i="34"/>
  <c r="FF113" i="34"/>
  <c r="F26" i="77" a="1"/>
  <c r="F26" i="77" s="1"/>
  <c r="C116" i="80"/>
  <c r="B118" i="80"/>
  <c r="D118" i="80" s="1"/>
  <c r="EM503" i="72" l="1"/>
  <c r="EJ503" i="72"/>
  <c r="EL503" i="72"/>
  <c r="EN458" i="72"/>
  <c r="EO458" i="72"/>
  <c r="Q23" i="76" a="1"/>
  <c r="Q23" i="76" s="1"/>
  <c r="Q24" i="76" s="1" a="1"/>
  <c r="Q24" i="76" s="1"/>
  <c r="Q25" i="76" s="1" a="1"/>
  <c r="Q25" i="76" s="1"/>
  <c r="Q26" i="76" s="1" a="1"/>
  <c r="Q26" i="76" s="1"/>
  <c r="Q27" i="76" s="1" a="1"/>
  <c r="Q27" i="76" s="1"/>
  <c r="Q28" i="76" s="1" a="1"/>
  <c r="Q28" i="76" s="1"/>
  <c r="Q29" i="76" s="1" a="1"/>
  <c r="Q29" i="76" s="1"/>
  <c r="Q30" i="76" s="1" a="1"/>
  <c r="Q30" i="76" s="1"/>
  <c r="Q31" i="76" s="1" a="1"/>
  <c r="Q31" i="76" s="1"/>
  <c r="Q32" i="76" s="1" a="1"/>
  <c r="Q32" i="76" s="1"/>
  <c r="Q33" i="76" s="1" a="1"/>
  <c r="Q33" i="76" s="1"/>
  <c r="Q34" i="76" s="1" a="1"/>
  <c r="Q34" i="76" s="1"/>
  <c r="Q35" i="76" s="1" a="1"/>
  <c r="Q35" i="76" s="1"/>
  <c r="Q36" i="76" s="1" a="1"/>
  <c r="Q36" i="76" s="1"/>
  <c r="Q37" i="76" s="1" a="1"/>
  <c r="Q37" i="76" s="1"/>
  <c r="Q38" i="76" s="1" a="1"/>
  <c r="Q38" i="76" s="1"/>
  <c r="Q39" i="76" s="1" a="1"/>
  <c r="Q39" i="76" s="1"/>
  <c r="Q40" i="76" s="1" a="1"/>
  <c r="Q40" i="76" s="1"/>
  <c r="Q41" i="76" s="1" a="1"/>
  <c r="Q41" i="76" s="1"/>
  <c r="Q42" i="76" s="1" a="1"/>
  <c r="Q42" i="76" s="1"/>
  <c r="Q43" i="76" s="1" a="1"/>
  <c r="Q43" i="76" s="1"/>
  <c r="Q44" i="76" s="1" a="1"/>
  <c r="Q44" i="76" s="1"/>
  <c r="Q45" i="76" s="1" a="1"/>
  <c r="Q45" i="76" s="1"/>
  <c r="Q46" i="76" s="1" a="1"/>
  <c r="Q46" i="76" s="1"/>
  <c r="Q47" i="76" s="1" a="1"/>
  <c r="Q47" i="76" s="1"/>
  <c r="Q48" i="76" s="1" a="1"/>
  <c r="Q48" i="76" s="1"/>
  <c r="Q49" i="76" s="1" a="1"/>
  <c r="Q49" i="76" s="1"/>
  <c r="Q50" i="76" s="1" a="1"/>
  <c r="Q50" i="76" s="1"/>
  <c r="Q51" i="76" s="1" a="1"/>
  <c r="Q51" i="76" s="1"/>
  <c r="Q52" i="76" s="1" a="1"/>
  <c r="Q52" i="76" s="1"/>
  <c r="Q53" i="76" s="1" a="1"/>
  <c r="Q53" i="76" s="1"/>
  <c r="Q54" i="76" s="1" a="1"/>
  <c r="Q54" i="76" s="1"/>
  <c r="Q55" i="76" s="1" a="1"/>
  <c r="Q55" i="76" s="1"/>
  <c r="Q56" i="76" s="1" a="1"/>
  <c r="Q56" i="76" s="1"/>
  <c r="Q57" i="76" s="1" a="1"/>
  <c r="Q57" i="76" s="1"/>
  <c r="Q58" i="76" s="1" a="1"/>
  <c r="Q58" i="76" s="1"/>
  <c r="Q59" i="76" s="1" a="1"/>
  <c r="Q59" i="76" s="1"/>
  <c r="Q60" i="76" s="1" a="1"/>
  <c r="Q60" i="76" s="1"/>
  <c r="Q61" i="76" s="1" a="1"/>
  <c r="Q61" i="76" s="1"/>
  <c r="Q62" i="76" s="1" a="1"/>
  <c r="Q62" i="76" s="1"/>
  <c r="Q63" i="76" s="1" a="1"/>
  <c r="Q63" i="76" s="1"/>
  <c r="Q64" i="76" s="1" a="1"/>
  <c r="Q64" i="76" s="1"/>
  <c r="Q65" i="76" s="1" a="1"/>
  <c r="Q65" i="76" s="1"/>
  <c r="Q66" i="76" s="1" a="1"/>
  <c r="Q66" i="76" s="1"/>
  <c r="Q67" i="76" s="1" a="1"/>
  <c r="Q67" i="76" s="1"/>
  <c r="Q68" i="76" s="1" a="1"/>
  <c r="Q68" i="76" s="1"/>
  <c r="Q69" i="76" s="1" a="1"/>
  <c r="Q69" i="76" s="1"/>
  <c r="Q70" i="76" s="1" a="1"/>
  <c r="Q70" i="76" s="1"/>
  <c r="Q71" i="76" s="1" a="1"/>
  <c r="Q71" i="76" s="1"/>
  <c r="Q72" i="76" s="1" a="1"/>
  <c r="Q72" i="76" s="1"/>
  <c r="Q73" i="76" s="1" a="1"/>
  <c r="Q73" i="76" s="1"/>
  <c r="Q74" i="76" s="1" a="1"/>
  <c r="Q74" i="76" s="1"/>
  <c r="Q75" i="76" s="1" a="1"/>
  <c r="Q75" i="76" s="1"/>
  <c r="Q76" i="76" s="1" a="1"/>
  <c r="Q76" i="76" s="1"/>
  <c r="Q77" i="76" s="1" a="1"/>
  <c r="Q77" i="76" s="1"/>
  <c r="Q78" i="76" s="1" a="1"/>
  <c r="Q78" i="76" s="1"/>
  <c r="Q79" i="76" s="1" a="1"/>
  <c r="Q79" i="76" s="1"/>
  <c r="Q80" i="76" s="1" a="1"/>
  <c r="Q80" i="76" s="1"/>
  <c r="Q81" i="76" s="1" a="1"/>
  <c r="Q81" i="76" s="1"/>
  <c r="Q82" i="76" s="1" a="1"/>
  <c r="Q82" i="76" s="1"/>
  <c r="FC113" i="34"/>
  <c r="FB113" i="34"/>
  <c r="FD121" i="34"/>
  <c r="FG117" i="34"/>
  <c r="FE117" i="34"/>
  <c r="FH117" i="34"/>
  <c r="FF117" i="34"/>
  <c r="FC110" i="34"/>
  <c r="FB110" i="34"/>
  <c r="FD118" i="34"/>
  <c r="FG114" i="34"/>
  <c r="FE114" i="34"/>
  <c r="FH114" i="34"/>
  <c r="FF114" i="34"/>
  <c r="FC112" i="34"/>
  <c r="FB112" i="34"/>
  <c r="FD120" i="34"/>
  <c r="FG116" i="34"/>
  <c r="FE116" i="34"/>
  <c r="FH116" i="34"/>
  <c r="FF116" i="34"/>
  <c r="FC111" i="34"/>
  <c r="FB111" i="34"/>
  <c r="FD119" i="34"/>
  <c r="FG115" i="34"/>
  <c r="FE115" i="34"/>
  <c r="FH115" i="34"/>
  <c r="FF115" i="34"/>
  <c r="F27" i="77" a="1"/>
  <c r="F27" i="77" s="1"/>
  <c r="C118" i="80"/>
  <c r="B120" i="80"/>
  <c r="F120" i="80" l="1"/>
  <c r="D120" i="80"/>
  <c r="EO503" i="72"/>
  <c r="EN503" i="72"/>
  <c r="Q83" i="76" a="1"/>
  <c r="Q83" i="76" s="1"/>
  <c r="Q84" i="76" s="1" a="1"/>
  <c r="Q84" i="76" s="1"/>
  <c r="FC115" i="34"/>
  <c r="FB115" i="34"/>
  <c r="FD123" i="34"/>
  <c r="FG119" i="34"/>
  <c r="FE119" i="34"/>
  <c r="FH119" i="34"/>
  <c r="FF119" i="34"/>
  <c r="FC114" i="34"/>
  <c r="FB114" i="34"/>
  <c r="FD122" i="34"/>
  <c r="FG118" i="34"/>
  <c r="FE118" i="34"/>
  <c r="FH118" i="34"/>
  <c r="FF118" i="34"/>
  <c r="FC116" i="34"/>
  <c r="FB116" i="34"/>
  <c r="FD124" i="34"/>
  <c r="FG120" i="34"/>
  <c r="FE120" i="34"/>
  <c r="FH120" i="34"/>
  <c r="FF120" i="34"/>
  <c r="FC117" i="34"/>
  <c r="FB117" i="34"/>
  <c r="FD125" i="34"/>
  <c r="FG121" i="34"/>
  <c r="FE121" i="34"/>
  <c r="FH121" i="34"/>
  <c r="FF121" i="34"/>
  <c r="F28" i="77" a="1"/>
  <c r="F28" i="77" s="1"/>
  <c r="C120" i="80"/>
  <c r="B122" i="80"/>
  <c r="F122" i="80" l="1"/>
  <c r="D122" i="80"/>
  <c r="Q85" i="76" a="1"/>
  <c r="Q85" i="76" s="1"/>
  <c r="FC121" i="34"/>
  <c r="FB121" i="34"/>
  <c r="FD129" i="34"/>
  <c r="FG125" i="34"/>
  <c r="FE125" i="34"/>
  <c r="FH125" i="34"/>
  <c r="FF125" i="34"/>
  <c r="FC118" i="34"/>
  <c r="FB118" i="34"/>
  <c r="FD126" i="34"/>
  <c r="FG122" i="34"/>
  <c r="FE122" i="34"/>
  <c r="FH122" i="34"/>
  <c r="FF122" i="34"/>
  <c r="FC120" i="34"/>
  <c r="FB120" i="34"/>
  <c r="FD128" i="34"/>
  <c r="FG124" i="34"/>
  <c r="FE124" i="34"/>
  <c r="FH124" i="34"/>
  <c r="FF124" i="34"/>
  <c r="FC119" i="34"/>
  <c r="FB119" i="34"/>
  <c r="FD127" i="34"/>
  <c r="FG123" i="34"/>
  <c r="FE123" i="34"/>
  <c r="FH123" i="34"/>
  <c r="FF123" i="34"/>
  <c r="F29" i="77" a="1"/>
  <c r="F29" i="77" s="1"/>
  <c r="C122" i="80"/>
  <c r="B124" i="80"/>
  <c r="F124" i="80" l="1"/>
  <c r="D124" i="80"/>
  <c r="Q86" i="76" a="1"/>
  <c r="Q86" i="76" s="1"/>
  <c r="FC123" i="34"/>
  <c r="FB123" i="34"/>
  <c r="FD131" i="34"/>
  <c r="FG127" i="34"/>
  <c r="FE127" i="34"/>
  <c r="FH127" i="34"/>
  <c r="FF127" i="34"/>
  <c r="FC122" i="34"/>
  <c r="FB122" i="34"/>
  <c r="FD130" i="34"/>
  <c r="FG126" i="34"/>
  <c r="FE126" i="34"/>
  <c r="FH126" i="34"/>
  <c r="FF126" i="34"/>
  <c r="FC124" i="34"/>
  <c r="FB124" i="34"/>
  <c r="FD132" i="34"/>
  <c r="FG128" i="34"/>
  <c r="FE128" i="34"/>
  <c r="FH128" i="34"/>
  <c r="FF128" i="34"/>
  <c r="FC125" i="34"/>
  <c r="FB125" i="34"/>
  <c r="FD133" i="34"/>
  <c r="FG129" i="34"/>
  <c r="FE129" i="34"/>
  <c r="FH129" i="34"/>
  <c r="FF129" i="34"/>
  <c r="F30" i="77" a="1"/>
  <c r="F30" i="77" s="1"/>
  <c r="C124" i="80"/>
  <c r="B126" i="80"/>
  <c r="F126" i="80" l="1"/>
  <c r="D126" i="80"/>
  <c r="Q87" i="76" a="1"/>
  <c r="Q87" i="76" s="1"/>
  <c r="FC129" i="34"/>
  <c r="FB129" i="34"/>
  <c r="FD137" i="34"/>
  <c r="FG133" i="34"/>
  <c r="FE133" i="34"/>
  <c r="FH133" i="34"/>
  <c r="FF133" i="34"/>
  <c r="FC126" i="34"/>
  <c r="FB126" i="34"/>
  <c r="FD134" i="34"/>
  <c r="FG130" i="34"/>
  <c r="FE130" i="34"/>
  <c r="FH130" i="34"/>
  <c r="FF130" i="34"/>
  <c r="FC128" i="34"/>
  <c r="FB128" i="34"/>
  <c r="FD136" i="34"/>
  <c r="FG132" i="34"/>
  <c r="FE132" i="34"/>
  <c r="FH132" i="34"/>
  <c r="FF132" i="34"/>
  <c r="FC127" i="34"/>
  <c r="FB127" i="34"/>
  <c r="FD135" i="34"/>
  <c r="FG131" i="34"/>
  <c r="FE131" i="34"/>
  <c r="FH131" i="34"/>
  <c r="FF131" i="34"/>
  <c r="F31" i="77" a="1"/>
  <c r="F31" i="77" s="1"/>
  <c r="C126" i="80"/>
  <c r="B128" i="80"/>
  <c r="F128" i="80" l="1"/>
  <c r="D128" i="80"/>
  <c r="Q88" i="76" a="1"/>
  <c r="Q88" i="76" s="1"/>
  <c r="FC131" i="34"/>
  <c r="FB131" i="34"/>
  <c r="FD139" i="34"/>
  <c r="FG135" i="34"/>
  <c r="FE135" i="34"/>
  <c r="FH135" i="34"/>
  <c r="FF135" i="34"/>
  <c r="FC130" i="34"/>
  <c r="FB130" i="34"/>
  <c r="FD138" i="34"/>
  <c r="FG134" i="34"/>
  <c r="FE134" i="34"/>
  <c r="FH134" i="34"/>
  <c r="FF134" i="34"/>
  <c r="FC132" i="34"/>
  <c r="FB132" i="34"/>
  <c r="FD140" i="34"/>
  <c r="FG136" i="34"/>
  <c r="FE136" i="34"/>
  <c r="FH136" i="34"/>
  <c r="FF136" i="34"/>
  <c r="FC133" i="34"/>
  <c r="FB133" i="34"/>
  <c r="FD141" i="34"/>
  <c r="FG137" i="34"/>
  <c r="FE137" i="34"/>
  <c r="FH137" i="34"/>
  <c r="FF137" i="34"/>
  <c r="F32" i="77" a="1"/>
  <c r="F32" i="77" s="1"/>
  <c r="C128" i="80"/>
  <c r="B130" i="80"/>
  <c r="F130" i="80" l="1"/>
  <c r="D130" i="80"/>
  <c r="Q89" i="76" a="1"/>
  <c r="Q89" i="76" s="1"/>
  <c r="FC137" i="34"/>
  <c r="FB137" i="34"/>
  <c r="FD145" i="34"/>
  <c r="FG141" i="34"/>
  <c r="FE141" i="34"/>
  <c r="FH141" i="34"/>
  <c r="FF141" i="34"/>
  <c r="FC134" i="34"/>
  <c r="FB134" i="34"/>
  <c r="FD142" i="34"/>
  <c r="FG138" i="34"/>
  <c r="FE138" i="34"/>
  <c r="FH138" i="34"/>
  <c r="FF138" i="34"/>
  <c r="FC136" i="34"/>
  <c r="FB136" i="34"/>
  <c r="FD144" i="34"/>
  <c r="FG140" i="34"/>
  <c r="FE140" i="34"/>
  <c r="FH140" i="34"/>
  <c r="FF140" i="34"/>
  <c r="FC135" i="34"/>
  <c r="FB135" i="34"/>
  <c r="FD143" i="34"/>
  <c r="FG139" i="34"/>
  <c r="FE139" i="34"/>
  <c r="FH139" i="34"/>
  <c r="FF139" i="34"/>
  <c r="F33" i="77" a="1"/>
  <c r="F33" i="77" s="1"/>
  <c r="C130" i="80"/>
  <c r="B132" i="80"/>
  <c r="D132" i="80" s="1"/>
  <c r="Q90" i="76" l="1" a="1"/>
  <c r="Q90" i="76" s="1"/>
  <c r="FC139" i="34"/>
  <c r="FB139" i="34"/>
  <c r="FD147" i="34"/>
  <c r="FG143" i="34"/>
  <c r="FE143" i="34"/>
  <c r="FH143" i="34"/>
  <c r="FF143" i="34"/>
  <c r="FC138" i="34"/>
  <c r="FB138" i="34"/>
  <c r="FD146" i="34"/>
  <c r="FG142" i="34"/>
  <c r="FE142" i="34"/>
  <c r="FH142" i="34"/>
  <c r="FF142" i="34"/>
  <c r="FC140" i="34"/>
  <c r="FB140" i="34"/>
  <c r="FD148" i="34"/>
  <c r="FG144" i="34"/>
  <c r="FE144" i="34"/>
  <c r="FH144" i="34"/>
  <c r="FF144" i="34"/>
  <c r="FC141" i="34"/>
  <c r="FB141" i="34"/>
  <c r="FD149" i="34"/>
  <c r="FG145" i="34"/>
  <c r="FE145" i="34"/>
  <c r="FH145" i="34"/>
  <c r="FF145" i="34"/>
  <c r="F34" i="77" a="1"/>
  <c r="F34" i="77" s="1"/>
  <c r="C132" i="80"/>
  <c r="B134" i="80"/>
  <c r="D134" i="80" s="1"/>
  <c r="Q91" i="76" l="1" a="1"/>
  <c r="Q91" i="76" s="1"/>
  <c r="FC145" i="34"/>
  <c r="FB145" i="34"/>
  <c r="FD153" i="34"/>
  <c r="FG149" i="34"/>
  <c r="FE149" i="34"/>
  <c r="FH149" i="34"/>
  <c r="FF149" i="34"/>
  <c r="FC142" i="34"/>
  <c r="FB142" i="34"/>
  <c r="FD150" i="34"/>
  <c r="FG146" i="34"/>
  <c r="FE146" i="34"/>
  <c r="FH146" i="34"/>
  <c r="FF146" i="34"/>
  <c r="FC144" i="34"/>
  <c r="FB144" i="34"/>
  <c r="FD152" i="34"/>
  <c r="FG148" i="34"/>
  <c r="FE148" i="34"/>
  <c r="FH148" i="34"/>
  <c r="FF148" i="34"/>
  <c r="FC143" i="34"/>
  <c r="FB143" i="34"/>
  <c r="FD151" i="34"/>
  <c r="FG147" i="34"/>
  <c r="FE147" i="34"/>
  <c r="FH147" i="34"/>
  <c r="FF147" i="34"/>
  <c r="F35" i="77" a="1"/>
  <c r="F35" i="77" s="1"/>
  <c r="C134" i="80"/>
  <c r="B136" i="80"/>
  <c r="D136" i="80" s="1"/>
  <c r="Q92" i="76" l="1" a="1"/>
  <c r="Q92" i="76" s="1"/>
  <c r="FC147" i="34"/>
  <c r="FB147" i="34"/>
  <c r="FD155" i="34"/>
  <c r="FG151" i="34"/>
  <c r="FE151" i="34"/>
  <c r="FH151" i="34"/>
  <c r="FF151" i="34"/>
  <c r="FC146" i="34"/>
  <c r="FB146" i="34"/>
  <c r="FD154" i="34"/>
  <c r="FG150" i="34"/>
  <c r="FE150" i="34"/>
  <c r="FH150" i="34"/>
  <c r="FF150" i="34"/>
  <c r="FC148" i="34"/>
  <c r="FB148" i="34"/>
  <c r="FD156" i="34"/>
  <c r="FG152" i="34"/>
  <c r="FE152" i="34"/>
  <c r="FH152" i="34"/>
  <c r="FF152" i="34"/>
  <c r="FC149" i="34"/>
  <c r="FB149" i="34"/>
  <c r="FD157" i="34"/>
  <c r="FG153" i="34"/>
  <c r="FE153" i="34"/>
  <c r="FH153" i="34"/>
  <c r="FF153" i="34"/>
  <c r="F36" i="77" a="1"/>
  <c r="F36" i="77" s="1"/>
  <c r="B138" i="80"/>
  <c r="D138" i="80" s="1"/>
  <c r="C136" i="80"/>
  <c r="Q93" i="76" l="1" a="1"/>
  <c r="Q93" i="76" s="1"/>
  <c r="FC153" i="34"/>
  <c r="FB153" i="34"/>
  <c r="FD161" i="34"/>
  <c r="FG157" i="34"/>
  <c r="FE157" i="34"/>
  <c r="FH157" i="34"/>
  <c r="FF157" i="34"/>
  <c r="FC150" i="34"/>
  <c r="FB150" i="34"/>
  <c r="FD158" i="34"/>
  <c r="FG154" i="34"/>
  <c r="FE154" i="34"/>
  <c r="FH154" i="34"/>
  <c r="FF154" i="34"/>
  <c r="FC152" i="34"/>
  <c r="FB152" i="34"/>
  <c r="FD160" i="34"/>
  <c r="FG156" i="34"/>
  <c r="FE156" i="34"/>
  <c r="FH156" i="34"/>
  <c r="FF156" i="34"/>
  <c r="FC151" i="34"/>
  <c r="FB151" i="34"/>
  <c r="FD159" i="34"/>
  <c r="FG155" i="34"/>
  <c r="FE155" i="34"/>
  <c r="FH155" i="34"/>
  <c r="FF155" i="34"/>
  <c r="F37" i="77" a="1"/>
  <c r="F37" i="77" s="1"/>
  <c r="B140" i="80"/>
  <c r="D140" i="80" s="1"/>
  <c r="C138" i="80"/>
  <c r="Q94" i="76" l="1" a="1"/>
  <c r="Q94" i="76" s="1"/>
  <c r="FC155" i="34"/>
  <c r="FB155" i="34"/>
  <c r="FD163" i="34"/>
  <c r="FG159" i="34"/>
  <c r="FE159" i="34"/>
  <c r="FH159" i="34"/>
  <c r="FF159" i="34"/>
  <c r="FC154" i="34"/>
  <c r="FB154" i="34"/>
  <c r="FD162" i="34"/>
  <c r="FG158" i="34"/>
  <c r="FE158" i="34"/>
  <c r="FH158" i="34"/>
  <c r="FF158" i="34"/>
  <c r="FC156" i="34"/>
  <c r="FB156" i="34"/>
  <c r="FD164" i="34"/>
  <c r="FG160" i="34"/>
  <c r="FE160" i="34"/>
  <c r="FH160" i="34"/>
  <c r="FF160" i="34"/>
  <c r="FC157" i="34"/>
  <c r="FB157" i="34"/>
  <c r="FD165" i="34"/>
  <c r="FG161" i="34"/>
  <c r="FE161" i="34"/>
  <c r="FH161" i="34"/>
  <c r="FF161" i="34"/>
  <c r="F38" i="77" a="1"/>
  <c r="F38" i="77" s="1"/>
  <c r="B142" i="80"/>
  <c r="D142" i="80" s="1"/>
  <c r="C140" i="80"/>
  <c r="Q95" i="76" l="1" a="1"/>
  <c r="Q95" i="76" s="1"/>
  <c r="FC161" i="34"/>
  <c r="FB161" i="34"/>
  <c r="FD169" i="34"/>
  <c r="FG165" i="34"/>
  <c r="FE165" i="34"/>
  <c r="FH165" i="34"/>
  <c r="FF165" i="34"/>
  <c r="FC158" i="34"/>
  <c r="FB158" i="34"/>
  <c r="FD166" i="34"/>
  <c r="FG162" i="34"/>
  <c r="FE162" i="34"/>
  <c r="FH162" i="34"/>
  <c r="FF162" i="34"/>
  <c r="FC160" i="34"/>
  <c r="FB160" i="34"/>
  <c r="FD168" i="34"/>
  <c r="FG164" i="34"/>
  <c r="FE164" i="34"/>
  <c r="FH164" i="34"/>
  <c r="FF164" i="34"/>
  <c r="FC159" i="34"/>
  <c r="FB159" i="34"/>
  <c r="FD167" i="34"/>
  <c r="FG163" i="34"/>
  <c r="FE163" i="34"/>
  <c r="FH163" i="34"/>
  <c r="FF163" i="34"/>
  <c r="F39" i="77" a="1"/>
  <c r="F39" i="77" s="1"/>
  <c r="F40" i="77" s="1" a="1"/>
  <c r="F40" i="77" s="1"/>
  <c r="F41" i="77" s="1" a="1"/>
  <c r="F41" i="77" s="1"/>
  <c r="F42" i="77" s="1" a="1"/>
  <c r="F42" i="77" s="1"/>
  <c r="F43" i="77" s="1" a="1"/>
  <c r="F43" i="77" s="1"/>
  <c r="F44" i="77" s="1" a="1"/>
  <c r="F44" i="77" s="1"/>
  <c r="F45" i="77" s="1" a="1"/>
  <c r="F45" i="77" s="1"/>
  <c r="F46" i="77" s="1" a="1"/>
  <c r="F46" i="77" s="1"/>
  <c r="F47" i="77" s="1" a="1"/>
  <c r="F47" i="77" s="1"/>
  <c r="F48" i="77" s="1" a="1"/>
  <c r="F48" i="77" s="1"/>
  <c r="F49" i="77" s="1" a="1"/>
  <c r="F49" i="77" s="1"/>
  <c r="F50" i="77" s="1" a="1"/>
  <c r="F50" i="77" s="1"/>
  <c r="F51" i="77" s="1" a="1"/>
  <c r="F51" i="77" s="1"/>
  <c r="F52" i="77" s="1" a="1"/>
  <c r="F52" i="77" s="1"/>
  <c r="F53" i="77" s="1" a="1"/>
  <c r="F53" i="77" s="1"/>
  <c r="F54" i="77" s="1" a="1"/>
  <c r="F54" i="77" s="1"/>
  <c r="F55" i="77" s="1" a="1"/>
  <c r="F55" i="77" s="1"/>
  <c r="F56" i="77" s="1" a="1"/>
  <c r="F56" i="77" s="1"/>
  <c r="F57" i="77" s="1" a="1"/>
  <c r="F57" i="77" s="1"/>
  <c r="F58" i="77" s="1" a="1"/>
  <c r="F58" i="77" s="1"/>
  <c r="F59" i="77" s="1" a="1"/>
  <c r="F59" i="77" s="1"/>
  <c r="F60" i="77" s="1" a="1"/>
  <c r="F60" i="77" s="1"/>
  <c r="F61" i="77" s="1" a="1"/>
  <c r="F61" i="77" s="1"/>
  <c r="F62" i="77" s="1" a="1"/>
  <c r="F62" i="77" s="1"/>
  <c r="F63" i="77" s="1" a="1"/>
  <c r="F63" i="77" s="1"/>
  <c r="F64" i="77" s="1" a="1"/>
  <c r="F64" i="77" s="1"/>
  <c r="F65" i="77" s="1" a="1"/>
  <c r="F65" i="77" s="1"/>
  <c r="F66" i="77" s="1" a="1"/>
  <c r="F66" i="77" s="1"/>
  <c r="F67" i="77" s="1" a="1"/>
  <c r="F67" i="77" s="1"/>
  <c r="F68" i="77" s="1" a="1"/>
  <c r="F68" i="77" s="1"/>
  <c r="F69" i="77" s="1" a="1"/>
  <c r="F69" i="77" s="1"/>
  <c r="F70" i="77" s="1" a="1"/>
  <c r="F70" i="77" s="1"/>
  <c r="F71" i="77" s="1" a="1"/>
  <c r="F71" i="77" s="1"/>
  <c r="F72" i="77" s="1" a="1"/>
  <c r="F72" i="77" s="1"/>
  <c r="F73" i="77" s="1" a="1"/>
  <c r="F73" i="77" s="1"/>
  <c r="F74" i="77" s="1" a="1"/>
  <c r="F74" i="77" s="1"/>
  <c r="F75" i="77" s="1" a="1"/>
  <c r="F75" i="77" s="1"/>
  <c r="F76" i="77" s="1" a="1"/>
  <c r="F76" i="77" s="1"/>
  <c r="F77" i="77" s="1" a="1"/>
  <c r="F77" i="77" s="1"/>
  <c r="F78" i="77" s="1" a="1"/>
  <c r="F78" i="77" s="1"/>
  <c r="F79" i="77" s="1" a="1"/>
  <c r="F79" i="77" s="1"/>
  <c r="F80" i="77" s="1" a="1"/>
  <c r="F80" i="77" s="1"/>
  <c r="F81" i="77" s="1" a="1"/>
  <c r="F81" i="77" s="1"/>
  <c r="F82" i="77" s="1" a="1"/>
  <c r="F82" i="77" s="1"/>
  <c r="C142" i="80"/>
  <c r="B144" i="80"/>
  <c r="D144" i="80" s="1"/>
  <c r="Q96" i="76" l="1" a="1"/>
  <c r="Q96" i="76" s="1"/>
  <c r="FC163" i="34"/>
  <c r="FB163" i="34"/>
  <c r="FD171" i="34"/>
  <c r="FG167" i="34"/>
  <c r="FE167" i="34"/>
  <c r="FH167" i="34"/>
  <c r="FF167" i="34"/>
  <c r="FC162" i="34"/>
  <c r="FB162" i="34"/>
  <c r="FD170" i="34"/>
  <c r="FG166" i="34"/>
  <c r="FE166" i="34"/>
  <c r="FH166" i="34"/>
  <c r="FF166" i="34"/>
  <c r="FC164" i="34"/>
  <c r="FB164" i="34"/>
  <c r="FD172" i="34"/>
  <c r="FG168" i="34"/>
  <c r="FE168" i="34"/>
  <c r="FH168" i="34"/>
  <c r="FF168" i="34"/>
  <c r="FC165" i="34"/>
  <c r="FB165" i="34"/>
  <c r="FD173" i="34"/>
  <c r="FG169" i="34"/>
  <c r="FE169" i="34"/>
  <c r="FH169" i="34"/>
  <c r="FF169" i="34"/>
  <c r="F83" i="77" a="1"/>
  <c r="F83" i="77" s="1"/>
  <c r="F84" i="77" s="1" a="1"/>
  <c r="F84" i="77" s="1"/>
  <c r="F85" i="77" s="1" a="1"/>
  <c r="F85" i="77" s="1"/>
  <c r="F86" i="77" s="1" a="1"/>
  <c r="F86" i="77" s="1"/>
  <c r="B146" i="80"/>
  <c r="C144" i="80"/>
  <c r="B148" i="80" l="1"/>
  <c r="D146" i="80"/>
  <c r="Q97" i="76" a="1"/>
  <c r="Q97" i="76" s="1"/>
  <c r="Q98" i="76" s="1" a="1"/>
  <c r="Q98" i="76" s="1"/>
  <c r="Q99" i="76" s="1" a="1"/>
  <c r="Q99" i="76" s="1"/>
  <c r="Q100" i="76" s="1" a="1"/>
  <c r="Q100" i="76" s="1"/>
  <c r="Q101" i="76" s="1" a="1"/>
  <c r="Q101" i="76" s="1"/>
  <c r="Q102" i="76" s="1" a="1"/>
  <c r="Q102" i="76" s="1"/>
  <c r="Q103" i="76" s="1" a="1"/>
  <c r="Q103" i="76" s="1"/>
  <c r="Q104" i="76" s="1" a="1"/>
  <c r="Q104" i="76" s="1"/>
  <c r="Q105" i="76" s="1" a="1"/>
  <c r="Q105" i="76" s="1"/>
  <c r="Q106" i="76" s="1" a="1"/>
  <c r="Q106" i="76" s="1"/>
  <c r="Q107" i="76" s="1" a="1"/>
  <c r="Q107" i="76" s="1"/>
  <c r="Q108" i="76" s="1" a="1"/>
  <c r="Q108" i="76" s="1"/>
  <c r="Q109" i="76" s="1" a="1"/>
  <c r="Q109" i="76" s="1"/>
  <c r="Q110" i="76" s="1" a="1"/>
  <c r="Q110" i="76" s="1"/>
  <c r="Q111" i="76" s="1" a="1"/>
  <c r="Q111" i="76" s="1"/>
  <c r="Q112" i="76" s="1" a="1"/>
  <c r="Q112" i="76" s="1"/>
  <c r="Q113" i="76" s="1" a="1"/>
  <c r="Q113" i="76" s="1"/>
  <c r="Q114" i="76" s="1" a="1"/>
  <c r="Q114" i="76" s="1"/>
  <c r="Q115" i="76" s="1" a="1"/>
  <c r="Q115" i="76" s="1"/>
  <c r="Q116" i="76" s="1" a="1"/>
  <c r="Q116" i="76" s="1"/>
  <c r="Q117" i="76" s="1" a="1"/>
  <c r="Q117" i="76" s="1"/>
  <c r="Q118" i="76" s="1" a="1"/>
  <c r="Q118" i="76" s="1"/>
  <c r="Q119" i="76" s="1" a="1"/>
  <c r="Q119" i="76" s="1"/>
  <c r="Q120" i="76" s="1" a="1"/>
  <c r="Q120" i="76" s="1"/>
  <c r="Q121" i="76" s="1" a="1"/>
  <c r="Q121" i="76" s="1"/>
  <c r="Q122" i="76" s="1" a="1"/>
  <c r="Q122" i="76" s="1"/>
  <c r="Q123" i="76" s="1" a="1"/>
  <c r="Q123" i="76" s="1"/>
  <c r="Q124" i="76" s="1" a="1"/>
  <c r="Q124" i="76" s="1"/>
  <c r="Q125" i="76" s="1" a="1"/>
  <c r="Q125" i="76" s="1"/>
  <c r="Q126" i="76" s="1" a="1"/>
  <c r="Q126" i="76" s="1"/>
  <c r="Q127" i="76" s="1" a="1"/>
  <c r="Q127" i="76" s="1"/>
  <c r="Q128" i="76" s="1" a="1"/>
  <c r="Q128" i="76" s="1"/>
  <c r="Q129" i="76" s="1" a="1"/>
  <c r="Q129" i="76" s="1"/>
  <c r="Q130" i="76" s="1" a="1"/>
  <c r="Q130" i="76" s="1"/>
  <c r="Q131" i="76" s="1" a="1"/>
  <c r="Q131" i="76" s="1"/>
  <c r="Q132" i="76" s="1" a="1"/>
  <c r="Q132" i="76" s="1"/>
  <c r="Q133" i="76" s="1" a="1"/>
  <c r="Q133" i="76" s="1"/>
  <c r="Q134" i="76" s="1" a="1"/>
  <c r="Q134" i="76" s="1"/>
  <c r="Q135" i="76" s="1" a="1"/>
  <c r="Q135" i="76" s="1"/>
  <c r="Q136" i="76" s="1" a="1"/>
  <c r="Q136" i="76" s="1"/>
  <c r="Q137" i="76" s="1" a="1"/>
  <c r="Q137" i="76" s="1"/>
  <c r="Q138" i="76" s="1" a="1"/>
  <c r="Q138" i="76" s="1"/>
  <c r="Q139" i="76" s="1" a="1"/>
  <c r="Q139" i="76" s="1"/>
  <c r="Q140" i="76" s="1" a="1"/>
  <c r="Q140" i="76" s="1"/>
  <c r="Q141" i="76" s="1" a="1"/>
  <c r="Q141" i="76" s="1"/>
  <c r="Q142" i="76" s="1" a="1"/>
  <c r="Q142" i="76" s="1"/>
  <c r="Q143" i="76" s="1" a="1"/>
  <c r="Q143" i="76" s="1"/>
  <c r="Q144" i="76" s="1" a="1"/>
  <c r="Q144" i="76" s="1"/>
  <c r="Q145" i="76" s="1" a="1"/>
  <c r="Q145" i="76" s="1"/>
  <c r="Q146" i="76" s="1" a="1"/>
  <c r="Q146" i="76" s="1"/>
  <c r="Q147" i="76" s="1" a="1"/>
  <c r="Q147" i="76" s="1"/>
  <c r="Q148" i="76" s="1" a="1"/>
  <c r="Q148" i="76" s="1"/>
  <c r="Q149" i="76" s="1" a="1"/>
  <c r="Q149" i="76" s="1"/>
  <c r="Q150" i="76" s="1" a="1"/>
  <c r="Q150" i="76" s="1"/>
  <c r="Q151" i="76" s="1" a="1"/>
  <c r="Q151" i="76" s="1"/>
  <c r="Q152" i="76" s="1" a="1"/>
  <c r="Q152" i="76" s="1"/>
  <c r="Q153" i="76" s="1" a="1"/>
  <c r="Q153" i="76" s="1"/>
  <c r="Q154" i="76" s="1" a="1"/>
  <c r="Q154" i="76" s="1"/>
  <c r="Q155" i="76" s="1" a="1"/>
  <c r="Q155" i="76" s="1"/>
  <c r="Q156" i="76" s="1" a="1"/>
  <c r="Q156" i="76" s="1"/>
  <c r="Q157" i="76" s="1" a="1"/>
  <c r="Q157" i="76" s="1"/>
  <c r="Q158" i="76" s="1" a="1"/>
  <c r="Q158" i="76" s="1"/>
  <c r="Q159" i="76" s="1" a="1"/>
  <c r="Q159" i="76" s="1"/>
  <c r="Q160" i="76" s="1" a="1"/>
  <c r="Q160" i="76" s="1"/>
  <c r="Q161" i="76" s="1" a="1"/>
  <c r="Q161" i="76" s="1"/>
  <c r="Q162" i="76" s="1" a="1"/>
  <c r="Q162" i="76" s="1"/>
  <c r="Q163" i="76" s="1" a="1"/>
  <c r="Q163" i="76" s="1"/>
  <c r="Q164" i="76" s="1" a="1"/>
  <c r="Q164" i="76" s="1"/>
  <c r="Q165" i="76" s="1" a="1"/>
  <c r="Q165" i="76" s="1"/>
  <c r="Q166" i="76" s="1" a="1"/>
  <c r="Q166" i="76" s="1"/>
  <c r="Q167" i="76" s="1" a="1"/>
  <c r="Q167" i="76" s="1"/>
  <c r="Q168" i="76" s="1" a="1"/>
  <c r="Q168" i="76" s="1"/>
  <c r="Q169" i="76" s="1" a="1"/>
  <c r="Q169" i="76" s="1"/>
  <c r="Q170" i="76" s="1" a="1"/>
  <c r="Q170" i="76" s="1"/>
  <c r="Q171" i="76" s="1" a="1"/>
  <c r="Q171" i="76" s="1"/>
  <c r="Q172" i="76" s="1" a="1"/>
  <c r="Q172" i="76" s="1"/>
  <c r="Q173" i="76" s="1" a="1"/>
  <c r="Q173" i="76" s="1"/>
  <c r="Q174" i="76" s="1" a="1"/>
  <c r="Q174" i="76" s="1"/>
  <c r="Q175" i="76" s="1" a="1"/>
  <c r="Q175" i="76" s="1"/>
  <c r="Q176" i="76" s="1" a="1"/>
  <c r="Q176" i="76" s="1"/>
  <c r="Q177" i="76" s="1" a="1"/>
  <c r="Q177" i="76" s="1"/>
  <c r="Q178" i="76" s="1" a="1"/>
  <c r="Q178" i="76" s="1"/>
  <c r="Q179" i="76" s="1" a="1"/>
  <c r="Q179" i="76" s="1"/>
  <c r="Q180" i="76" s="1" a="1"/>
  <c r="Q180" i="76" s="1"/>
  <c r="Q181" i="76" s="1" a="1"/>
  <c r="Q181" i="76" s="1"/>
  <c r="Q182" i="76" s="1" a="1"/>
  <c r="Q182" i="76" s="1"/>
  <c r="Q183" i="76" s="1" a="1"/>
  <c r="Q183" i="76" s="1"/>
  <c r="Q184" i="76" s="1" a="1"/>
  <c r="Q184" i="76" s="1"/>
  <c r="Q185" i="76" s="1" a="1"/>
  <c r="Q185" i="76" s="1"/>
  <c r="Q186" i="76" s="1" a="1"/>
  <c r="Q186" i="76" s="1"/>
  <c r="Q187" i="76" s="1" a="1"/>
  <c r="Q187" i="76" s="1"/>
  <c r="Q188" i="76" s="1" a="1"/>
  <c r="Q188" i="76" s="1"/>
  <c r="Q189" i="76" s="1" a="1"/>
  <c r="Q189" i="76" s="1"/>
  <c r="Q190" i="76" s="1" a="1"/>
  <c r="Q190" i="76" s="1"/>
  <c r="Q191" i="76" s="1" a="1"/>
  <c r="Q191" i="76" s="1"/>
  <c r="Q192" i="76" s="1" a="1"/>
  <c r="Q192" i="76" s="1"/>
  <c r="Q193" i="76" s="1" a="1"/>
  <c r="Q193" i="76" s="1"/>
  <c r="Q194" i="76" s="1" a="1"/>
  <c r="Q194" i="76" s="1"/>
  <c r="Q195" i="76" s="1" a="1"/>
  <c r="Q195" i="76" s="1"/>
  <c r="Q196" i="76" s="1" a="1"/>
  <c r="Q196" i="76" s="1"/>
  <c r="Q197" i="76" s="1" a="1"/>
  <c r="Q197" i="76" s="1"/>
  <c r="Q198" i="76" s="1" a="1"/>
  <c r="Q198" i="76" s="1"/>
  <c r="Q199" i="76" s="1" a="1"/>
  <c r="Q199" i="76" s="1"/>
  <c r="Q200" i="76" s="1" a="1"/>
  <c r="Q200" i="76" s="1"/>
  <c r="Q201" i="76" s="1" a="1"/>
  <c r="Q201" i="76" s="1"/>
  <c r="Q202" i="76" s="1" a="1"/>
  <c r="Q202" i="76" s="1"/>
  <c r="Q203" i="76" s="1" a="1"/>
  <c r="Q203" i="76" s="1"/>
  <c r="Q204" i="76" s="1" a="1"/>
  <c r="Q204" i="76" s="1"/>
  <c r="Q205" i="76" s="1" a="1"/>
  <c r="Q205" i="76" s="1"/>
  <c r="Q206" i="76" s="1" a="1"/>
  <c r="Q206" i="76" s="1"/>
  <c r="Q207" i="76" s="1" a="1"/>
  <c r="Q207" i="76" s="1"/>
  <c r="Q208" i="76" s="1" a="1"/>
  <c r="Q208" i="76" s="1"/>
  <c r="Q209" i="76" s="1" a="1"/>
  <c r="Q209" i="76" s="1"/>
  <c r="Q210" i="76" s="1" a="1"/>
  <c r="Q210" i="76" s="1"/>
  <c r="Q211" i="76" s="1" a="1"/>
  <c r="Q211" i="76" s="1"/>
  <c r="Q212" i="76" s="1" a="1"/>
  <c r="Q212" i="76" s="1"/>
  <c r="Q213" i="76" s="1" a="1"/>
  <c r="Q213" i="76" s="1"/>
  <c r="Q214" i="76" s="1" a="1"/>
  <c r="Q214" i="76" s="1"/>
  <c r="Q215" i="76" s="1" a="1"/>
  <c r="Q215" i="76" s="1"/>
  <c r="Q216" i="76" s="1" a="1"/>
  <c r="Q216" i="76" s="1"/>
  <c r="Q217" i="76" s="1" a="1"/>
  <c r="Q217" i="76" s="1"/>
  <c r="Q218" i="76" s="1" a="1"/>
  <c r="Q218" i="76" s="1"/>
  <c r="Q219" i="76" s="1" a="1"/>
  <c r="Q219" i="76" s="1"/>
  <c r="Q220" i="76" s="1" a="1"/>
  <c r="Q220" i="76" s="1"/>
  <c r="Q221" i="76" s="1" a="1"/>
  <c r="Q221" i="76" s="1"/>
  <c r="Q222" i="76" s="1" a="1"/>
  <c r="Q222" i="76" s="1"/>
  <c r="Q223" i="76" s="1" a="1"/>
  <c r="Q223" i="76" s="1"/>
  <c r="Q224" i="76" s="1" a="1"/>
  <c r="Q224" i="76" s="1"/>
  <c r="Q225" i="76" s="1" a="1"/>
  <c r="Q225" i="76" s="1"/>
  <c r="Q226" i="76" s="1" a="1"/>
  <c r="Q226" i="76" s="1"/>
  <c r="Q227" i="76" s="1" a="1"/>
  <c r="Q227" i="76" s="1"/>
  <c r="Q228" i="76" s="1" a="1"/>
  <c r="Q228" i="76" s="1"/>
  <c r="Q229" i="76" s="1" a="1"/>
  <c r="Q229" i="76" s="1"/>
  <c r="Q230" i="76" s="1" a="1"/>
  <c r="Q230" i="76" s="1"/>
  <c r="Q231" i="76" s="1" a="1"/>
  <c r="Q231" i="76" s="1"/>
  <c r="Q232" i="76" s="1" a="1"/>
  <c r="Q232" i="76" s="1"/>
  <c r="Q233" i="76" s="1" a="1"/>
  <c r="Q233" i="76" s="1"/>
  <c r="Q234" i="76" s="1" a="1"/>
  <c r="Q234" i="76" s="1"/>
  <c r="Q235" i="76" s="1" a="1"/>
  <c r="Q235" i="76" s="1"/>
  <c r="Q236" i="76" s="1" a="1"/>
  <c r="Q236" i="76" s="1"/>
  <c r="Q237" i="76" s="1" a="1"/>
  <c r="Q237" i="76" s="1"/>
  <c r="Q238" i="76" s="1" a="1"/>
  <c r="Q238" i="76" s="1"/>
  <c r="Q239" i="76" s="1" a="1"/>
  <c r="Q239" i="76" s="1"/>
  <c r="Q240" i="76" s="1" a="1"/>
  <c r="Q240" i="76" s="1"/>
  <c r="Q241" i="76" s="1" a="1"/>
  <c r="Q241" i="76" s="1"/>
  <c r="Q242" i="76" s="1" a="1"/>
  <c r="Q242" i="76" s="1"/>
  <c r="FC169" i="34"/>
  <c r="FB169" i="34"/>
  <c r="FD177" i="34"/>
  <c r="FG173" i="34"/>
  <c r="FE173" i="34"/>
  <c r="FH173" i="34"/>
  <c r="FF173" i="34"/>
  <c r="FC166" i="34"/>
  <c r="FB166" i="34"/>
  <c r="FD174" i="34"/>
  <c r="FG170" i="34"/>
  <c r="FE170" i="34"/>
  <c r="FH170" i="34"/>
  <c r="FF170" i="34"/>
  <c r="FC168" i="34"/>
  <c r="FB168" i="34"/>
  <c r="FD176" i="34"/>
  <c r="FG172" i="34"/>
  <c r="FE172" i="34"/>
  <c r="FH172" i="34"/>
  <c r="FF172" i="34"/>
  <c r="FC167" i="34"/>
  <c r="FB167" i="34"/>
  <c r="FD175" i="34"/>
  <c r="FG171" i="34"/>
  <c r="FE171" i="34"/>
  <c r="FH171" i="34"/>
  <c r="FF171" i="34"/>
  <c r="F87" i="77" a="1"/>
  <c r="F87" i="77" s="1"/>
  <c r="C146" i="80"/>
  <c r="C148" i="80" l="1"/>
  <c r="B150" i="80"/>
  <c r="D148" i="80"/>
  <c r="F148" i="80"/>
  <c r="I148" i="80"/>
  <c r="B71" i="75"/>
  <c r="A51" i="75"/>
  <c r="G51" i="75" s="1"/>
  <c r="F69" i="75"/>
  <c r="E70" i="75"/>
  <c r="C100" i="75"/>
  <c r="A43" i="75"/>
  <c r="A44" i="75"/>
  <c r="G44" i="75" s="1"/>
  <c r="C104" i="75"/>
  <c r="A77" i="75"/>
  <c r="G77" i="75" s="1"/>
  <c r="A49" i="75"/>
  <c r="G49" i="75" s="1"/>
  <c r="E60" i="75"/>
  <c r="C88" i="75"/>
  <c r="C91" i="75"/>
  <c r="C97" i="75"/>
  <c r="A53" i="75"/>
  <c r="G53" i="75" s="1"/>
  <c r="E63" i="75"/>
  <c r="C65" i="75"/>
  <c r="A42" i="75"/>
  <c r="C78" i="75"/>
  <c r="C89" i="75"/>
  <c r="C101" i="75"/>
  <c r="A84" i="75"/>
  <c r="G84" i="75" s="1"/>
  <c r="D48" i="75"/>
  <c r="D70" i="75"/>
  <c r="E62" i="75"/>
  <c r="E64" i="75"/>
  <c r="C75" i="75"/>
  <c r="E54" i="75"/>
  <c r="A107" i="75"/>
  <c r="G107" i="75" s="1"/>
  <c r="A108" i="75"/>
  <c r="G108" i="75" s="1"/>
  <c r="D51" i="75"/>
  <c r="A116" i="75"/>
  <c r="G116" i="75" s="1"/>
  <c r="D50" i="75"/>
  <c r="F53" i="75"/>
  <c r="D71" i="75"/>
  <c r="F60" i="75"/>
  <c r="A59" i="75"/>
  <c r="G59" i="75" s="1"/>
  <c r="C73" i="75"/>
  <c r="A55" i="75"/>
  <c r="G55" i="75" s="1"/>
  <c r="C66" i="75"/>
  <c r="C72" i="75"/>
  <c r="F80" i="75"/>
  <c r="F76" i="75"/>
  <c r="D63" i="75"/>
  <c r="F61" i="75"/>
  <c r="A79" i="75"/>
  <c r="G79" i="75" s="1"/>
  <c r="D52" i="75"/>
  <c r="A87" i="75"/>
  <c r="G87" i="75" s="1"/>
  <c r="B52" i="75"/>
  <c r="B61" i="75"/>
  <c r="B64" i="75"/>
  <c r="E57" i="75"/>
  <c r="A98" i="75"/>
  <c r="G98" i="75" s="1"/>
  <c r="D69" i="75"/>
  <c r="E68" i="75"/>
  <c r="E77" i="75"/>
  <c r="A109" i="75"/>
  <c r="G109" i="75" s="1"/>
  <c r="A97" i="75"/>
  <c r="G97" i="75" s="1"/>
  <c r="D64" i="75"/>
  <c r="A61" i="75"/>
  <c r="G61" i="75" s="1"/>
  <c r="C77" i="75"/>
  <c r="E76" i="75"/>
  <c r="C48" i="75"/>
  <c r="C99" i="75"/>
  <c r="D75" i="75"/>
  <c r="A69" i="75"/>
  <c r="G69" i="75" s="1"/>
  <c r="A70" i="75"/>
  <c r="G70" i="75" s="1"/>
  <c r="C90" i="75"/>
  <c r="C46" i="75"/>
  <c r="A71" i="75"/>
  <c r="G71" i="75" s="1"/>
  <c r="C82" i="75"/>
  <c r="D55" i="75"/>
  <c r="C87" i="75"/>
  <c r="A68" i="75"/>
  <c r="G68" i="75" s="1"/>
  <c r="F50" i="75"/>
  <c r="C61" i="75"/>
  <c r="E73" i="75"/>
  <c r="A101" i="75"/>
  <c r="G101" i="75" s="1"/>
  <c r="A102" i="75"/>
  <c r="G102" i="75" s="1"/>
  <c r="C64" i="75"/>
  <c r="C56" i="75"/>
  <c r="C55" i="75"/>
  <c r="E74" i="75"/>
  <c r="A41" i="75"/>
  <c r="B54" i="75"/>
  <c r="F57" i="75"/>
  <c r="D80" i="75"/>
  <c r="A110" i="75"/>
  <c r="G110" i="75" s="1"/>
  <c r="C54" i="75"/>
  <c r="F52" i="75"/>
  <c r="E79" i="75"/>
  <c r="A73" i="75"/>
  <c r="G73" i="75" s="1"/>
  <c r="C103" i="75"/>
  <c r="D56" i="75"/>
  <c r="C59" i="75"/>
  <c r="F62" i="75"/>
  <c r="C98" i="75"/>
  <c r="A115" i="75"/>
  <c r="G115" i="75" s="1"/>
  <c r="E50" i="75"/>
  <c r="A85" i="75"/>
  <c r="G85" i="75" s="1"/>
  <c r="A90" i="75"/>
  <c r="G90" i="75" s="1"/>
  <c r="A81" i="75"/>
  <c r="G81" i="75" s="1"/>
  <c r="C49" i="75"/>
  <c r="A82" i="75"/>
  <c r="G82" i="75" s="1"/>
  <c r="D66" i="75"/>
  <c r="F55" i="75"/>
  <c r="C102" i="75"/>
  <c r="D58" i="75"/>
  <c r="B66" i="75"/>
  <c r="C94" i="75"/>
  <c r="A45" i="75"/>
  <c r="G45" i="75" s="1"/>
  <c r="A113" i="75"/>
  <c r="G113" i="75" s="1"/>
  <c r="C76" i="75"/>
  <c r="A80" i="75"/>
  <c r="G80" i="75" s="1"/>
  <c r="E78" i="75"/>
  <c r="F71" i="75"/>
  <c r="A56" i="75"/>
  <c r="G56" i="75" s="1"/>
  <c r="A57" i="75"/>
  <c r="G57" i="75" s="1"/>
  <c r="B77" i="75"/>
  <c r="A54" i="75"/>
  <c r="G54" i="75" s="1"/>
  <c r="C95" i="75"/>
  <c r="C74" i="75"/>
  <c r="A35" i="75"/>
  <c r="F64" i="75"/>
  <c r="C86" i="75"/>
  <c r="D76" i="75"/>
  <c r="A65" i="75"/>
  <c r="G65" i="75" s="1"/>
  <c r="B58" i="75"/>
  <c r="D53" i="75"/>
  <c r="E45" i="75"/>
  <c r="A91" i="75"/>
  <c r="G91" i="75" s="1"/>
  <c r="A111" i="75"/>
  <c r="G111" i="75" s="1"/>
  <c r="B46" i="75"/>
  <c r="E51" i="75"/>
  <c r="F65" i="75"/>
  <c r="F67" i="75"/>
  <c r="C71" i="75"/>
  <c r="D49" i="75"/>
  <c r="C62" i="75"/>
  <c r="A40" i="75"/>
  <c r="A36" i="75"/>
  <c r="E66" i="75"/>
  <c r="D54" i="75"/>
  <c r="F70" i="75"/>
  <c r="A63" i="75"/>
  <c r="G63" i="75" s="1"/>
  <c r="D62" i="75"/>
  <c r="A99" i="75"/>
  <c r="G99" i="75" s="1"/>
  <c r="B49" i="75"/>
  <c r="A96" i="75"/>
  <c r="G96" i="75" s="1"/>
  <c r="E49" i="75"/>
  <c r="A64" i="75"/>
  <c r="G64" i="75" s="1"/>
  <c r="A46" i="75"/>
  <c r="G46" i="75" s="1"/>
  <c r="D72" i="75"/>
  <c r="A95" i="75"/>
  <c r="G95" i="75" s="1"/>
  <c r="C47" i="75"/>
  <c r="F75" i="75"/>
  <c r="D68" i="75"/>
  <c r="D61" i="75"/>
  <c r="F49" i="75"/>
  <c r="E48" i="75"/>
  <c r="C50" i="75"/>
  <c r="E59" i="75"/>
  <c r="A103" i="75"/>
  <c r="G103" i="75" s="1"/>
  <c r="A104" i="75"/>
  <c r="G104" i="75" s="1"/>
  <c r="C51" i="75"/>
  <c r="A100" i="75"/>
  <c r="G100" i="75" s="1"/>
  <c r="E72" i="75"/>
  <c r="F48" i="75"/>
  <c r="A50" i="75"/>
  <c r="G50" i="75" s="1"/>
  <c r="D57" i="75"/>
  <c r="A52" i="75"/>
  <c r="G52" i="75" s="1"/>
  <c r="C53" i="75"/>
  <c r="F59" i="75"/>
  <c r="C85" i="75"/>
  <c r="F72" i="75"/>
  <c r="E46" i="75"/>
  <c r="F63" i="75"/>
  <c r="F66" i="75"/>
  <c r="A75" i="75"/>
  <c r="G75" i="75" s="1"/>
  <c r="A76" i="75"/>
  <c r="G76" i="75" s="1"/>
  <c r="D65" i="75"/>
  <c r="E47" i="75"/>
  <c r="E58" i="75"/>
  <c r="A105" i="75"/>
  <c r="G105" i="75" s="1"/>
  <c r="F51" i="75"/>
  <c r="D47" i="75"/>
  <c r="C63" i="75"/>
  <c r="F68" i="75"/>
  <c r="E67" i="75"/>
  <c r="A34" i="75"/>
  <c r="A47" i="75"/>
  <c r="G47" i="75" s="1"/>
  <c r="C92" i="75"/>
  <c r="A114" i="75"/>
  <c r="G114" i="75" s="1"/>
  <c r="F73" i="75"/>
  <c r="C84" i="75"/>
  <c r="D78" i="75"/>
  <c r="E52" i="75"/>
  <c r="D79" i="75"/>
  <c r="E65" i="75"/>
  <c r="D74" i="75"/>
  <c r="E61" i="75"/>
  <c r="A66" i="75"/>
  <c r="G66" i="75" s="1"/>
  <c r="A83" i="75"/>
  <c r="G83" i="75" s="1"/>
  <c r="A62" i="75"/>
  <c r="G62" i="75" s="1"/>
  <c r="E55" i="75"/>
  <c r="A88" i="75"/>
  <c r="G88" i="75" s="1"/>
  <c r="A89" i="75"/>
  <c r="G89" i="75" s="1"/>
  <c r="E56" i="75"/>
  <c r="A106" i="75"/>
  <c r="G106" i="75" s="1"/>
  <c r="F77" i="75"/>
  <c r="A86" i="75"/>
  <c r="G86" i="75" s="1"/>
  <c r="B72" i="75"/>
  <c r="A94" i="75"/>
  <c r="G94" i="75" s="1"/>
  <c r="A58" i="75"/>
  <c r="G58" i="75" s="1"/>
  <c r="F58" i="75"/>
  <c r="A37" i="75"/>
  <c r="A38" i="75"/>
  <c r="C81" i="75"/>
  <c r="C58" i="75"/>
  <c r="C67" i="75"/>
  <c r="C68" i="75"/>
  <c r="A60" i="75"/>
  <c r="G60" i="75" s="1"/>
  <c r="F54" i="75"/>
  <c r="E69" i="75"/>
  <c r="E75" i="75"/>
  <c r="D46" i="75"/>
  <c r="A39" i="75"/>
  <c r="E71" i="75"/>
  <c r="C83" i="75"/>
  <c r="C96" i="75"/>
  <c r="A72" i="75"/>
  <c r="G72" i="75" s="1"/>
  <c r="A92" i="75"/>
  <c r="G92" i="75" s="1"/>
  <c r="D67" i="75"/>
  <c r="C57" i="75"/>
  <c r="F74" i="75"/>
  <c r="A78" i="75"/>
  <c r="G78" i="75" s="1"/>
  <c r="C80" i="75"/>
  <c r="C52" i="75"/>
  <c r="B60" i="75"/>
  <c r="B59" i="75"/>
  <c r="B67" i="75"/>
  <c r="F47" i="75"/>
  <c r="B78" i="75"/>
  <c r="B74" i="75"/>
  <c r="C79" i="75"/>
  <c r="E80" i="75"/>
  <c r="B70" i="75"/>
  <c r="A67" i="75"/>
  <c r="G67" i="75" s="1"/>
  <c r="D77" i="75"/>
  <c r="B51" i="75"/>
  <c r="A112" i="75"/>
  <c r="G112" i="75" s="1"/>
  <c r="D60" i="75"/>
  <c r="B75" i="75"/>
  <c r="B76" i="75"/>
  <c r="A74" i="75"/>
  <c r="G74" i="75" s="1"/>
  <c r="C93" i="75"/>
  <c r="C45" i="75"/>
  <c r="F46" i="75"/>
  <c r="B47" i="75"/>
  <c r="B56" i="75"/>
  <c r="A48" i="75"/>
  <c r="G48" i="75" s="1"/>
  <c r="B53" i="75"/>
  <c r="F78" i="75"/>
  <c r="E53" i="75"/>
  <c r="C70" i="75"/>
  <c r="C69" i="75"/>
  <c r="F56" i="75"/>
  <c r="B55" i="75"/>
  <c r="B69" i="75"/>
  <c r="D73" i="75"/>
  <c r="B62" i="75"/>
  <c r="C60" i="75"/>
  <c r="B68" i="75"/>
  <c r="D59" i="75"/>
  <c r="B63" i="75"/>
  <c r="B79" i="75"/>
  <c r="F79" i="75"/>
  <c r="B48" i="75"/>
  <c r="A93" i="75"/>
  <c r="G93" i="75" s="1"/>
  <c r="B73" i="75"/>
  <c r="B57" i="75"/>
  <c r="B80" i="75"/>
  <c r="B50" i="75"/>
  <c r="B65" i="75"/>
  <c r="A25" i="75"/>
  <c r="A30" i="75"/>
  <c r="A33" i="75"/>
  <c r="A27" i="75"/>
  <c r="A26" i="75"/>
  <c r="A21" i="75"/>
  <c r="A23" i="75"/>
  <c r="A32" i="75"/>
  <c r="G32" i="75" s="1"/>
  <c r="A31" i="75"/>
  <c r="A28" i="75"/>
  <c r="A24" i="75"/>
  <c r="A22" i="75"/>
  <c r="A29" i="75"/>
  <c r="FC171" i="34"/>
  <c r="FB171" i="34"/>
  <c r="FD179" i="34"/>
  <c r="FG175" i="34"/>
  <c r="FE175" i="34"/>
  <c r="FH175" i="34"/>
  <c r="FF175" i="34"/>
  <c r="FC170" i="34"/>
  <c r="FB170" i="34"/>
  <c r="FD178" i="34"/>
  <c r="FG174" i="34"/>
  <c r="FE174" i="34"/>
  <c r="FH174" i="34"/>
  <c r="FF174" i="34"/>
  <c r="FC172" i="34"/>
  <c r="FB172" i="34"/>
  <c r="FD180" i="34"/>
  <c r="FG176" i="34"/>
  <c r="FE176" i="34"/>
  <c r="FH176" i="34"/>
  <c r="FF176" i="34"/>
  <c r="FC173" i="34"/>
  <c r="FB173" i="34"/>
  <c r="FD181" i="34"/>
  <c r="FG177" i="34"/>
  <c r="FE177" i="34"/>
  <c r="FH177" i="34"/>
  <c r="FF177" i="34"/>
  <c r="F88" i="77" a="1"/>
  <c r="F88" i="77" s="1"/>
  <c r="B152" i="80" l="1"/>
  <c r="C150" i="80"/>
  <c r="I150" i="80"/>
  <c r="D150" i="80"/>
  <c r="F150" i="80"/>
  <c r="F89" i="77" a="1"/>
  <c r="F89" i="77" s="1"/>
  <c r="F90" i="77" s="1" a="1"/>
  <c r="F90" i="77" s="1"/>
  <c r="F91" i="77" s="1" a="1"/>
  <c r="F91" i="77" s="1"/>
  <c r="F92" i="77" s="1" a="1"/>
  <c r="F92" i="77" s="1"/>
  <c r="F93" i="77" s="1" a="1"/>
  <c r="F93" i="77" s="1"/>
  <c r="F94" i="77" s="1" a="1"/>
  <c r="F94" i="77" s="1"/>
  <c r="F95" i="77" s="1" a="1"/>
  <c r="F95" i="77" s="1"/>
  <c r="F96" i="77" s="1" a="1"/>
  <c r="F96" i="77" s="1"/>
  <c r="F97" i="77" s="1" a="1"/>
  <c r="F97" i="77" s="1"/>
  <c r="F98" i="77" s="1" a="1"/>
  <c r="F98" i="77" s="1"/>
  <c r="FC177" i="34"/>
  <c r="FB177" i="34"/>
  <c r="FD185" i="34"/>
  <c r="FG181" i="34"/>
  <c r="FE181" i="34"/>
  <c r="FH181" i="34"/>
  <c r="FF181" i="34"/>
  <c r="FC174" i="34"/>
  <c r="FB174" i="34"/>
  <c r="FD182" i="34"/>
  <c r="FG178" i="34"/>
  <c r="FE178" i="34"/>
  <c r="FH178" i="34"/>
  <c r="FF178" i="34"/>
  <c r="FC176" i="34"/>
  <c r="FB176" i="34"/>
  <c r="FD184" i="34"/>
  <c r="FG180" i="34"/>
  <c r="FE180" i="34"/>
  <c r="FH180" i="34"/>
  <c r="FF180" i="34"/>
  <c r="FC175" i="34"/>
  <c r="FB175" i="34"/>
  <c r="FD183" i="34"/>
  <c r="FG179" i="34"/>
  <c r="FE179" i="34"/>
  <c r="FH179" i="34"/>
  <c r="FF179" i="34"/>
  <c r="B154" i="80" l="1"/>
  <c r="C152" i="80"/>
  <c r="D152" i="80"/>
  <c r="I152" i="80"/>
  <c r="F152" i="80"/>
  <c r="FC179" i="34"/>
  <c r="FB179" i="34"/>
  <c r="FD187" i="34"/>
  <c r="FG183" i="34"/>
  <c r="FE183" i="34"/>
  <c r="FH183" i="34"/>
  <c r="FF183" i="34"/>
  <c r="FC178" i="34"/>
  <c r="FB178" i="34"/>
  <c r="FD186" i="34"/>
  <c r="FG182" i="34"/>
  <c r="FE182" i="34"/>
  <c r="FH182" i="34"/>
  <c r="FF182" i="34"/>
  <c r="FC180" i="34"/>
  <c r="FB180" i="34"/>
  <c r="FD188" i="34"/>
  <c r="FG184" i="34"/>
  <c r="FE184" i="34"/>
  <c r="FH184" i="34"/>
  <c r="FF184" i="34"/>
  <c r="FC181" i="34"/>
  <c r="FB181" i="34"/>
  <c r="FD189" i="34"/>
  <c r="FG185" i="34"/>
  <c r="FE185" i="34"/>
  <c r="FH185" i="34"/>
  <c r="FF185" i="34"/>
  <c r="B156" i="80" l="1"/>
  <c r="C154" i="80"/>
  <c r="F154" i="80"/>
  <c r="D154" i="80"/>
  <c r="I154" i="80"/>
  <c r="FC185" i="34"/>
  <c r="FB185" i="34"/>
  <c r="FD193" i="34"/>
  <c r="FG189" i="34"/>
  <c r="FE189" i="34"/>
  <c r="FH189" i="34"/>
  <c r="FF189" i="34"/>
  <c r="FC182" i="34"/>
  <c r="FB182" i="34"/>
  <c r="FD190" i="34"/>
  <c r="FG186" i="34"/>
  <c r="FE186" i="34"/>
  <c r="FH186" i="34"/>
  <c r="FF186" i="34"/>
  <c r="FC184" i="34"/>
  <c r="FB184" i="34"/>
  <c r="FD192" i="34"/>
  <c r="FG188" i="34"/>
  <c r="FE188" i="34"/>
  <c r="FH188" i="34"/>
  <c r="FF188" i="34"/>
  <c r="FC183" i="34"/>
  <c r="FB183" i="34"/>
  <c r="FD191" i="34"/>
  <c r="FG187" i="34"/>
  <c r="FE187" i="34"/>
  <c r="FH187" i="34"/>
  <c r="FF187" i="34"/>
  <c r="C156" i="80" l="1"/>
  <c r="D156" i="80"/>
  <c r="F156" i="80"/>
  <c r="I156" i="80"/>
  <c r="FC187" i="34"/>
  <c r="FB187" i="34"/>
  <c r="FD195" i="34"/>
  <c r="FG191" i="34"/>
  <c r="FE191" i="34"/>
  <c r="FH191" i="34"/>
  <c r="FF191" i="34"/>
  <c r="FC186" i="34"/>
  <c r="FB186" i="34"/>
  <c r="FD194" i="34"/>
  <c r="FG190" i="34"/>
  <c r="FE190" i="34"/>
  <c r="FH190" i="34"/>
  <c r="FF190" i="34"/>
  <c r="FC188" i="34"/>
  <c r="FB188" i="34"/>
  <c r="FD196" i="34"/>
  <c r="FG192" i="34"/>
  <c r="FE192" i="34"/>
  <c r="FH192" i="34"/>
  <c r="FF192" i="34"/>
  <c r="FC189" i="34"/>
  <c r="FB189" i="34"/>
  <c r="FD197" i="34"/>
  <c r="FG193" i="34"/>
  <c r="FE193" i="34"/>
  <c r="FH193" i="34"/>
  <c r="FF193" i="34"/>
  <c r="FC193" i="34" l="1"/>
  <c r="FB193" i="34"/>
  <c r="FD201" i="34"/>
  <c r="FG197" i="34"/>
  <c r="FE197" i="34"/>
  <c r="FH197" i="34"/>
  <c r="FF197" i="34"/>
  <c r="FC190" i="34"/>
  <c r="FB190" i="34"/>
  <c r="FD198" i="34"/>
  <c r="FG194" i="34"/>
  <c r="FE194" i="34"/>
  <c r="FH194" i="34"/>
  <c r="FF194" i="34"/>
  <c r="FC192" i="34"/>
  <c r="FB192" i="34"/>
  <c r="FD200" i="34"/>
  <c r="FG196" i="34"/>
  <c r="FE196" i="34"/>
  <c r="FH196" i="34"/>
  <c r="FF196" i="34"/>
  <c r="FC191" i="34"/>
  <c r="FB191" i="34"/>
  <c r="FD199" i="34"/>
  <c r="FG195" i="34"/>
  <c r="FE195" i="34"/>
  <c r="FH195" i="34"/>
  <c r="FF195" i="34"/>
  <c r="FC195" i="34" l="1"/>
  <c r="FB195" i="34"/>
  <c r="FD203" i="34"/>
  <c r="FG199" i="34"/>
  <c r="FE199" i="34"/>
  <c r="FH199" i="34"/>
  <c r="FF199" i="34"/>
  <c r="FC194" i="34"/>
  <c r="FB194" i="34"/>
  <c r="FD202" i="34"/>
  <c r="FG198" i="34"/>
  <c r="FE198" i="34"/>
  <c r="FH198" i="34"/>
  <c r="FF198" i="34"/>
  <c r="FC196" i="34"/>
  <c r="FB196" i="34"/>
  <c r="FD204" i="34"/>
  <c r="FG200" i="34"/>
  <c r="FE200" i="34"/>
  <c r="FH200" i="34"/>
  <c r="FF200" i="34"/>
  <c r="FC197" i="34"/>
  <c r="FB197" i="34"/>
  <c r="FD205" i="34"/>
  <c r="FG201" i="34"/>
  <c r="FE201" i="34"/>
  <c r="FH201" i="34"/>
  <c r="FF201" i="34"/>
  <c r="FC201" i="34" l="1"/>
  <c r="FB201" i="34"/>
  <c r="FD209" i="34"/>
  <c r="FG205" i="34"/>
  <c r="FE205" i="34"/>
  <c r="FH205" i="34"/>
  <c r="FF205" i="34"/>
  <c r="FC198" i="34"/>
  <c r="FB198" i="34"/>
  <c r="FD206" i="34"/>
  <c r="FG202" i="34"/>
  <c r="FE202" i="34"/>
  <c r="FH202" i="34"/>
  <c r="FF202" i="34"/>
  <c r="FC200" i="34"/>
  <c r="FB200" i="34"/>
  <c r="FD208" i="34"/>
  <c r="FG204" i="34"/>
  <c r="FE204" i="34"/>
  <c r="FH204" i="34"/>
  <c r="FF204" i="34"/>
  <c r="FC199" i="34"/>
  <c r="FB199" i="34"/>
  <c r="FD207" i="34"/>
  <c r="FG203" i="34"/>
  <c r="FE203" i="34"/>
  <c r="FH203" i="34"/>
  <c r="FF203" i="34"/>
  <c r="FC203" i="34" l="1"/>
  <c r="FB203" i="34"/>
  <c r="FD211" i="34"/>
  <c r="FG207" i="34"/>
  <c r="FE207" i="34"/>
  <c r="FH207" i="34"/>
  <c r="FF207" i="34"/>
  <c r="FC202" i="34"/>
  <c r="FB202" i="34"/>
  <c r="FD210" i="34"/>
  <c r="FG206" i="34"/>
  <c r="FE206" i="34"/>
  <c r="FH206" i="34"/>
  <c r="FF206" i="34"/>
  <c r="FC204" i="34"/>
  <c r="FB204" i="34"/>
  <c r="FD212" i="34"/>
  <c r="FG208" i="34"/>
  <c r="FE208" i="34"/>
  <c r="FH208" i="34"/>
  <c r="FF208" i="34"/>
  <c r="FC205" i="34"/>
  <c r="FB205" i="34"/>
  <c r="FD213" i="34"/>
  <c r="FG209" i="34"/>
  <c r="FE209" i="34"/>
  <c r="FH209" i="34"/>
  <c r="FF209" i="34"/>
  <c r="FC209" i="34" l="1"/>
  <c r="FB209" i="34"/>
  <c r="FD217" i="34"/>
  <c r="FG213" i="34"/>
  <c r="FE213" i="34"/>
  <c r="FH213" i="34"/>
  <c r="FF213" i="34"/>
  <c r="FC206" i="34"/>
  <c r="FB206" i="34"/>
  <c r="FD214" i="34"/>
  <c r="FG210" i="34"/>
  <c r="FE210" i="34"/>
  <c r="FH210" i="34"/>
  <c r="FF210" i="34"/>
  <c r="FC208" i="34"/>
  <c r="FB208" i="34"/>
  <c r="FD216" i="34"/>
  <c r="FG212" i="34"/>
  <c r="FE212" i="34"/>
  <c r="FH212" i="34"/>
  <c r="FF212" i="34"/>
  <c r="FC207" i="34"/>
  <c r="FB207" i="34"/>
  <c r="FD215" i="34"/>
  <c r="FG211" i="34"/>
  <c r="FE211" i="34"/>
  <c r="FH211" i="34"/>
  <c r="FF211" i="34"/>
  <c r="FC211" i="34" l="1"/>
  <c r="FB211" i="34"/>
  <c r="FD219" i="34"/>
  <c r="FG215" i="34"/>
  <c r="FE215" i="34"/>
  <c r="FH215" i="34"/>
  <c r="FF215" i="34"/>
  <c r="FC210" i="34"/>
  <c r="FB210" i="34"/>
  <c r="FD218" i="34"/>
  <c r="FG214" i="34"/>
  <c r="FE214" i="34"/>
  <c r="FH214" i="34"/>
  <c r="FF214" i="34"/>
  <c r="FC212" i="34"/>
  <c r="FB212" i="34"/>
  <c r="FD220" i="34"/>
  <c r="FG216" i="34"/>
  <c r="FE216" i="34"/>
  <c r="FH216" i="34"/>
  <c r="FF216" i="34"/>
  <c r="FC213" i="34"/>
  <c r="FB213" i="34"/>
  <c r="FD221" i="34"/>
  <c r="FG217" i="34"/>
  <c r="FE217" i="34"/>
  <c r="FH217" i="34"/>
  <c r="FF217" i="34"/>
  <c r="FC217" i="34" l="1"/>
  <c r="FB217" i="34"/>
  <c r="FD225" i="34"/>
  <c r="FG221" i="34"/>
  <c r="FE221" i="34"/>
  <c r="FH221" i="34"/>
  <c r="FF221" i="34"/>
  <c r="FC214" i="34"/>
  <c r="FB214" i="34"/>
  <c r="FD222" i="34"/>
  <c r="FG218" i="34"/>
  <c r="FE218" i="34"/>
  <c r="FH218" i="34"/>
  <c r="FF218" i="34"/>
  <c r="FC216" i="34"/>
  <c r="FB216" i="34"/>
  <c r="FD224" i="34"/>
  <c r="FG220" i="34"/>
  <c r="FE220" i="34"/>
  <c r="FH220" i="34"/>
  <c r="FF220" i="34"/>
  <c r="FC215" i="34"/>
  <c r="FB215" i="34"/>
  <c r="FD223" i="34"/>
  <c r="FG219" i="34"/>
  <c r="FE219" i="34"/>
  <c r="FH219" i="34"/>
  <c r="FF219" i="34"/>
  <c r="FC219" i="34" l="1"/>
  <c r="FB219" i="34"/>
  <c r="FD227" i="34"/>
  <c r="FG223" i="34"/>
  <c r="FE223" i="34"/>
  <c r="FH223" i="34"/>
  <c r="FF223" i="34"/>
  <c r="FC218" i="34"/>
  <c r="FB218" i="34"/>
  <c r="FD226" i="34"/>
  <c r="FG222" i="34"/>
  <c r="FE222" i="34"/>
  <c r="FH222" i="34"/>
  <c r="FF222" i="34"/>
  <c r="FC220" i="34"/>
  <c r="FB220" i="34"/>
  <c r="FD228" i="34"/>
  <c r="FG224" i="34"/>
  <c r="FE224" i="34"/>
  <c r="FH224" i="34"/>
  <c r="FF224" i="34"/>
  <c r="FC221" i="34"/>
  <c r="FB221" i="34"/>
  <c r="FD229" i="34"/>
  <c r="FG225" i="34"/>
  <c r="FE225" i="34"/>
  <c r="FH225" i="34"/>
  <c r="FF225" i="34"/>
  <c r="FC225" i="34" l="1"/>
  <c r="FB225" i="34"/>
  <c r="FD233" i="34"/>
  <c r="FG229" i="34"/>
  <c r="FE229" i="34"/>
  <c r="FH229" i="34"/>
  <c r="FF229" i="34"/>
  <c r="FC222" i="34"/>
  <c r="FB222" i="34"/>
  <c r="FD230" i="34"/>
  <c r="FG226" i="34"/>
  <c r="FE226" i="34"/>
  <c r="FH226" i="34"/>
  <c r="FF226" i="34"/>
  <c r="FC224" i="34"/>
  <c r="FB224" i="34"/>
  <c r="FD232" i="34"/>
  <c r="FG228" i="34"/>
  <c r="FE228" i="34"/>
  <c r="FH228" i="34"/>
  <c r="FF228" i="34"/>
  <c r="FC223" i="34"/>
  <c r="FB223" i="34"/>
  <c r="FD231" i="34"/>
  <c r="FG227" i="34"/>
  <c r="FE227" i="34"/>
  <c r="FH227" i="34"/>
  <c r="FF227" i="34"/>
  <c r="FC227" i="34" l="1"/>
  <c r="FB227" i="34"/>
  <c r="FD235" i="34"/>
  <c r="FG231" i="34"/>
  <c r="FE231" i="34"/>
  <c r="FH231" i="34"/>
  <c r="FF231" i="34"/>
  <c r="FC226" i="34"/>
  <c r="FB226" i="34"/>
  <c r="FD234" i="34"/>
  <c r="FG230" i="34"/>
  <c r="FE230" i="34"/>
  <c r="FH230" i="34"/>
  <c r="FF230" i="34"/>
  <c r="FC228" i="34"/>
  <c r="FB228" i="34"/>
  <c r="FD236" i="34"/>
  <c r="FG232" i="34"/>
  <c r="FE232" i="34"/>
  <c r="FH232" i="34"/>
  <c r="FF232" i="34"/>
  <c r="FC229" i="34"/>
  <c r="FB229" i="34"/>
  <c r="FD237" i="34"/>
  <c r="FG233" i="34"/>
  <c r="FE233" i="34"/>
  <c r="FH233" i="34"/>
  <c r="FF233" i="34"/>
  <c r="FC233" i="34" l="1"/>
  <c r="FB233" i="34"/>
  <c r="FD241" i="34"/>
  <c r="FG237" i="34"/>
  <c r="FE237" i="34"/>
  <c r="FH237" i="34"/>
  <c r="FF237" i="34"/>
  <c r="FC230" i="34"/>
  <c r="FB230" i="34"/>
  <c r="FD238" i="34"/>
  <c r="FG234" i="34"/>
  <c r="FE234" i="34"/>
  <c r="FH234" i="34"/>
  <c r="FF234" i="34"/>
  <c r="FC232" i="34"/>
  <c r="FB232" i="34"/>
  <c r="FD240" i="34"/>
  <c r="FG236" i="34"/>
  <c r="FE236" i="34"/>
  <c r="FH236" i="34"/>
  <c r="FF236" i="34"/>
  <c r="FC231" i="34"/>
  <c r="FB231" i="34"/>
  <c r="FD239" i="34"/>
  <c r="FG235" i="34"/>
  <c r="FE235" i="34"/>
  <c r="FH235" i="34"/>
  <c r="FF235" i="34"/>
  <c r="FC235" i="34" l="1"/>
  <c r="FB235" i="34"/>
  <c r="FD243" i="34"/>
  <c r="FG239" i="34"/>
  <c r="FE239" i="34"/>
  <c r="FH239" i="34"/>
  <c r="FF239" i="34"/>
  <c r="FC234" i="34"/>
  <c r="FB234" i="34"/>
  <c r="FD242" i="34"/>
  <c r="FG238" i="34"/>
  <c r="FE238" i="34"/>
  <c r="FH238" i="34"/>
  <c r="FF238" i="34"/>
  <c r="FC236" i="34"/>
  <c r="FB236" i="34"/>
  <c r="FD244" i="34"/>
  <c r="FG240" i="34"/>
  <c r="FE240" i="34"/>
  <c r="FH240" i="34"/>
  <c r="FF240" i="34"/>
  <c r="FC237" i="34"/>
  <c r="FB237" i="34"/>
  <c r="FD245" i="34"/>
  <c r="FG241" i="34"/>
  <c r="FE241" i="34"/>
  <c r="FH241" i="34"/>
  <c r="FF241" i="34"/>
  <c r="FC241" i="34" l="1"/>
  <c r="FB241" i="34"/>
  <c r="FD249" i="34"/>
  <c r="FG245" i="34"/>
  <c r="FE245" i="34"/>
  <c r="FH245" i="34"/>
  <c r="FF245" i="34"/>
  <c r="FC238" i="34"/>
  <c r="FB238" i="34"/>
  <c r="FD246" i="34"/>
  <c r="FG242" i="34"/>
  <c r="FE242" i="34"/>
  <c r="FH242" i="34"/>
  <c r="FF242" i="34"/>
  <c r="FC240" i="34"/>
  <c r="FB240" i="34"/>
  <c r="FD248" i="34"/>
  <c r="FG244" i="34"/>
  <c r="FE244" i="34"/>
  <c r="FH244" i="34"/>
  <c r="FF244" i="34"/>
  <c r="FC239" i="34"/>
  <c r="FB239" i="34"/>
  <c r="FD247" i="34"/>
  <c r="FG243" i="34"/>
  <c r="FE243" i="34"/>
  <c r="FH243" i="34"/>
  <c r="FF243" i="34"/>
  <c r="FC243" i="34" l="1"/>
  <c r="FB243" i="34"/>
  <c r="FD251" i="34"/>
  <c r="FG247" i="34"/>
  <c r="FE247" i="34"/>
  <c r="FH247" i="34"/>
  <c r="FF247" i="34"/>
  <c r="FC242" i="34"/>
  <c r="FB242" i="34"/>
  <c r="FD250" i="34"/>
  <c r="FG246" i="34"/>
  <c r="FE246" i="34"/>
  <c r="FH246" i="34"/>
  <c r="FF246" i="34"/>
  <c r="FC244" i="34"/>
  <c r="FB244" i="34"/>
  <c r="FD252" i="34"/>
  <c r="FG248" i="34"/>
  <c r="FE248" i="34"/>
  <c r="FH248" i="34"/>
  <c r="FF248" i="34"/>
  <c r="FC245" i="34"/>
  <c r="FB245" i="34"/>
  <c r="FD253" i="34"/>
  <c r="FG249" i="34"/>
  <c r="FE249" i="34"/>
  <c r="FH249" i="34"/>
  <c r="FF249" i="34"/>
  <c r="FC249" i="34" l="1"/>
  <c r="FB249" i="34"/>
  <c r="FD257" i="34"/>
  <c r="FG253" i="34"/>
  <c r="FE253" i="34"/>
  <c r="FH253" i="34"/>
  <c r="FF253" i="34"/>
  <c r="FC246" i="34"/>
  <c r="FB246" i="34"/>
  <c r="FD254" i="34"/>
  <c r="FG250" i="34"/>
  <c r="FE250" i="34"/>
  <c r="FH250" i="34"/>
  <c r="FF250" i="34"/>
  <c r="FC248" i="34"/>
  <c r="FB248" i="34"/>
  <c r="FD256" i="34"/>
  <c r="FG252" i="34"/>
  <c r="FE252" i="34"/>
  <c r="FH252" i="34"/>
  <c r="FF252" i="34"/>
  <c r="FC247" i="34"/>
  <c r="FB247" i="34"/>
  <c r="FD255" i="34"/>
  <c r="FG251" i="34"/>
  <c r="FE251" i="34"/>
  <c r="FH251" i="34"/>
  <c r="FF251" i="34"/>
  <c r="FC251" i="34" l="1"/>
  <c r="FB251" i="34"/>
  <c r="FD259" i="34"/>
  <c r="FG255" i="34"/>
  <c r="FE255" i="34"/>
  <c r="FH255" i="34"/>
  <c r="FF255" i="34"/>
  <c r="FC250" i="34"/>
  <c r="FB250" i="34"/>
  <c r="FD258" i="34"/>
  <c r="FG254" i="34"/>
  <c r="FE254" i="34"/>
  <c r="FH254" i="34"/>
  <c r="FF254" i="34"/>
  <c r="FC252" i="34"/>
  <c r="FB252" i="34"/>
  <c r="FD260" i="34"/>
  <c r="FG256" i="34"/>
  <c r="FE256" i="34"/>
  <c r="FH256" i="34"/>
  <c r="FF256" i="34"/>
  <c r="FC253" i="34"/>
  <c r="FB253" i="34"/>
  <c r="FD261" i="34"/>
  <c r="FG257" i="34"/>
  <c r="FE257" i="34"/>
  <c r="FH257" i="34"/>
  <c r="FF257" i="34"/>
  <c r="H118" i="58" l="1"/>
  <c r="FC257" i="34"/>
  <c r="FB257" i="34"/>
  <c r="FD265" i="34"/>
  <c r="FG261" i="34"/>
  <c r="FE261" i="34"/>
  <c r="FH261" i="34"/>
  <c r="FF261" i="34"/>
  <c r="FC254" i="34"/>
  <c r="FB254" i="34"/>
  <c r="FD262" i="34"/>
  <c r="FG258" i="34"/>
  <c r="FE258" i="34"/>
  <c r="FH258" i="34"/>
  <c r="FF258" i="34"/>
  <c r="FC256" i="34"/>
  <c r="FB256" i="34"/>
  <c r="FD264" i="34"/>
  <c r="FG260" i="34"/>
  <c r="FE260" i="34"/>
  <c r="FH260" i="34"/>
  <c r="FF260" i="34"/>
  <c r="FC255" i="34"/>
  <c r="FB255" i="34"/>
  <c r="FD263" i="34"/>
  <c r="FG259" i="34"/>
  <c r="FE259" i="34"/>
  <c r="FH259" i="34"/>
  <c r="FF259" i="34"/>
  <c r="D37" i="58"/>
  <c r="E75" i="58" s="1"/>
  <c r="E159" i="58" l="1"/>
  <c r="H107" i="58"/>
  <c r="FC259" i="34"/>
  <c r="FB259" i="34"/>
  <c r="FD267" i="34"/>
  <c r="FG263" i="34"/>
  <c r="FE263" i="34"/>
  <c r="FH263" i="34"/>
  <c r="FF263" i="34"/>
  <c r="FC258" i="34"/>
  <c r="FB258" i="34"/>
  <c r="FD266" i="34"/>
  <c r="FG262" i="34"/>
  <c r="FE262" i="34"/>
  <c r="FH262" i="34"/>
  <c r="FF262" i="34"/>
  <c r="FC260" i="34"/>
  <c r="FB260" i="34"/>
  <c r="FD268" i="34"/>
  <c r="FG264" i="34"/>
  <c r="FH264" i="34"/>
  <c r="FF264" i="34"/>
  <c r="FE264" i="34"/>
  <c r="FC261" i="34"/>
  <c r="FB261" i="34"/>
  <c r="FD269" i="34"/>
  <c r="FG265" i="34"/>
  <c r="FE265" i="34"/>
  <c r="FH265" i="34"/>
  <c r="FF265" i="34"/>
  <c r="H31" i="58"/>
  <c r="H20" i="58"/>
  <c r="FC265" i="34" l="1"/>
  <c r="FB265" i="34"/>
  <c r="FD273" i="34"/>
  <c r="FG269" i="34"/>
  <c r="FE269" i="34"/>
  <c r="FH269" i="34"/>
  <c r="FF269" i="34"/>
  <c r="FC262" i="34"/>
  <c r="FB262" i="34"/>
  <c r="FD270" i="34"/>
  <c r="FG266" i="34"/>
  <c r="FE266" i="34"/>
  <c r="FH266" i="34"/>
  <c r="FF266" i="34"/>
  <c r="FC264" i="34"/>
  <c r="FB264" i="34"/>
  <c r="FD272" i="34"/>
  <c r="FG268" i="34"/>
  <c r="FE268" i="34"/>
  <c r="FH268" i="34"/>
  <c r="FF268" i="34"/>
  <c r="FC263" i="34"/>
  <c r="FB263" i="34"/>
  <c r="FD271" i="34"/>
  <c r="FG267" i="34"/>
  <c r="FE267" i="34"/>
  <c r="FH267" i="34"/>
  <c r="FF267" i="34"/>
  <c r="FC267" i="34" l="1"/>
  <c r="FB267" i="34"/>
  <c r="FD275" i="34"/>
  <c r="FG271" i="34"/>
  <c r="FE271" i="34"/>
  <c r="FH271" i="34"/>
  <c r="FF271" i="34"/>
  <c r="FC266" i="34"/>
  <c r="FB266" i="34"/>
  <c r="FD274" i="34"/>
  <c r="FG270" i="34"/>
  <c r="FE270" i="34"/>
  <c r="FH270" i="34"/>
  <c r="FF270" i="34"/>
  <c r="FC268" i="34"/>
  <c r="FB268" i="34"/>
  <c r="FD276" i="34"/>
  <c r="FG272" i="34"/>
  <c r="FE272" i="34"/>
  <c r="FH272" i="34"/>
  <c r="FF272" i="34"/>
  <c r="FC269" i="34"/>
  <c r="FB269" i="34"/>
  <c r="FD277" i="34"/>
  <c r="FG273" i="34"/>
  <c r="FE273" i="34"/>
  <c r="FH273" i="34"/>
  <c r="FF273" i="34"/>
  <c r="FC273" i="34" l="1"/>
  <c r="FB273" i="34"/>
  <c r="FD281" i="34"/>
  <c r="FG277" i="34"/>
  <c r="FE277" i="34"/>
  <c r="FH277" i="34"/>
  <c r="FF277" i="34"/>
  <c r="FC270" i="34"/>
  <c r="FB270" i="34"/>
  <c r="FD278" i="34"/>
  <c r="FG274" i="34"/>
  <c r="FE274" i="34"/>
  <c r="FH274" i="34"/>
  <c r="FF274" i="34"/>
  <c r="FC272" i="34"/>
  <c r="FB272" i="34"/>
  <c r="FD280" i="34"/>
  <c r="FG276" i="34"/>
  <c r="FE276" i="34"/>
  <c r="FH276" i="34"/>
  <c r="FF276" i="34"/>
  <c r="FC271" i="34"/>
  <c r="FB271" i="34"/>
  <c r="FD279" i="34"/>
  <c r="FG275" i="34"/>
  <c r="FE275" i="34"/>
  <c r="FH275" i="34"/>
  <c r="FF275" i="34"/>
  <c r="FC275" i="34" l="1"/>
  <c r="FB275" i="34"/>
  <c r="FD283" i="34"/>
  <c r="FG279" i="34"/>
  <c r="FE279" i="34"/>
  <c r="FH279" i="34"/>
  <c r="FF279" i="34"/>
  <c r="FC274" i="34"/>
  <c r="FB274" i="34"/>
  <c r="FD282" i="34"/>
  <c r="FG278" i="34"/>
  <c r="FE278" i="34"/>
  <c r="FH278" i="34"/>
  <c r="FF278" i="34"/>
  <c r="FC276" i="34"/>
  <c r="FB276" i="34"/>
  <c r="FD284" i="34"/>
  <c r="FG280" i="34"/>
  <c r="FE280" i="34"/>
  <c r="FF280" i="34"/>
  <c r="FH280" i="34"/>
  <c r="FC277" i="34"/>
  <c r="FB277" i="34"/>
  <c r="FD285" i="34"/>
  <c r="FG281" i="34"/>
  <c r="FE281" i="34"/>
  <c r="FF281" i="34"/>
  <c r="FH281" i="34"/>
  <c r="FC281" i="34" l="1"/>
  <c r="FB281" i="34"/>
  <c r="FG285" i="34"/>
  <c r="FE285" i="34"/>
  <c r="FF285" i="34"/>
  <c r="FH285" i="34"/>
  <c r="FD289" i="34"/>
  <c r="FC278" i="34"/>
  <c r="FB278" i="34"/>
  <c r="FD286" i="34"/>
  <c r="FG282" i="34"/>
  <c r="FE282" i="34"/>
  <c r="FF282" i="34"/>
  <c r="FH282" i="34"/>
  <c r="FC280" i="34"/>
  <c r="FB280" i="34"/>
  <c r="FG284" i="34"/>
  <c r="FE284" i="34"/>
  <c r="FF284" i="34"/>
  <c r="FH284" i="34"/>
  <c r="FD288" i="34"/>
  <c r="FC279" i="34"/>
  <c r="FB279" i="34"/>
  <c r="FD287" i="34"/>
  <c r="FG283" i="34"/>
  <c r="FE283" i="34"/>
  <c r="FF283" i="34"/>
  <c r="FH283" i="34"/>
  <c r="FC283" i="34" l="1"/>
  <c r="FB283" i="34"/>
  <c r="FG287" i="34"/>
  <c r="FE287" i="34"/>
  <c r="FF287" i="34"/>
  <c r="FH287" i="34"/>
  <c r="FD291" i="34"/>
  <c r="FC284" i="34"/>
  <c r="FB284" i="34"/>
  <c r="FC282" i="34"/>
  <c r="FB282" i="34"/>
  <c r="FG286" i="34"/>
  <c r="FE286" i="34"/>
  <c r="FF286" i="34"/>
  <c r="FH286" i="34"/>
  <c r="FD290" i="34"/>
  <c r="FC285" i="34"/>
  <c r="FB285" i="34"/>
  <c r="FD292" i="34"/>
  <c r="FG288" i="34"/>
  <c r="FE288" i="34"/>
  <c r="FF288" i="34"/>
  <c r="FH288" i="34"/>
  <c r="FD293" i="34"/>
  <c r="FG289" i="34"/>
  <c r="FE289" i="34"/>
  <c r="FF289" i="34"/>
  <c r="FH289" i="34"/>
  <c r="FC289" i="34" l="1"/>
  <c r="FB289" i="34"/>
  <c r="FD297" i="34"/>
  <c r="FG293" i="34"/>
  <c r="FE293" i="34"/>
  <c r="FF293" i="34"/>
  <c r="FH293" i="34"/>
  <c r="FD294" i="34"/>
  <c r="FG290" i="34"/>
  <c r="FE290" i="34"/>
  <c r="FF290" i="34"/>
  <c r="FH290" i="34"/>
  <c r="FC287" i="34"/>
  <c r="FB287" i="34"/>
  <c r="FC288" i="34"/>
  <c r="FB288" i="34"/>
  <c r="FD296" i="34"/>
  <c r="FG292" i="34"/>
  <c r="FE292" i="34"/>
  <c r="FF292" i="34"/>
  <c r="FH292" i="34"/>
  <c r="FC286" i="34"/>
  <c r="FB286" i="34"/>
  <c r="FD295" i="34"/>
  <c r="FG291" i="34"/>
  <c r="FE291" i="34"/>
  <c r="FF291" i="34"/>
  <c r="FH291" i="34"/>
  <c r="FC291" i="34" l="1"/>
  <c r="FB291" i="34"/>
  <c r="FD299" i="34"/>
  <c r="FG295" i="34"/>
  <c r="FE295" i="34"/>
  <c r="FF295" i="34"/>
  <c r="FH295" i="34"/>
  <c r="FC290" i="34"/>
  <c r="FB290" i="34"/>
  <c r="FD298" i="34"/>
  <c r="FG294" i="34"/>
  <c r="FE294" i="34"/>
  <c r="FF294" i="34"/>
  <c r="FH294" i="34"/>
  <c r="FC292" i="34"/>
  <c r="FB292" i="34"/>
  <c r="FD300" i="34"/>
  <c r="FG296" i="34"/>
  <c r="FE296" i="34"/>
  <c r="FF296" i="34"/>
  <c r="FH296" i="34"/>
  <c r="FC293" i="34"/>
  <c r="FB293" i="34"/>
  <c r="FD301" i="34"/>
  <c r="FG297" i="34"/>
  <c r="FE297" i="34"/>
  <c r="FF297" i="34"/>
  <c r="FH297" i="34"/>
  <c r="D85" i="77"/>
  <c r="D73" i="77"/>
  <c r="D83" i="77"/>
  <c r="D71" i="77"/>
  <c r="D79" i="77"/>
  <c r="D67" i="77"/>
  <c r="FC297" i="34" l="1"/>
  <c r="FB297" i="34"/>
  <c r="FD305" i="34"/>
  <c r="FG301" i="34"/>
  <c r="FE301" i="34"/>
  <c r="FF301" i="34"/>
  <c r="FH301" i="34"/>
  <c r="FC294" i="34"/>
  <c r="FB294" i="34"/>
  <c r="FD302" i="34"/>
  <c r="FG298" i="34"/>
  <c r="FE298" i="34"/>
  <c r="FF298" i="34"/>
  <c r="FH298" i="34"/>
  <c r="FC296" i="34"/>
  <c r="FB296" i="34"/>
  <c r="FD304" i="34"/>
  <c r="FG300" i="34"/>
  <c r="FE300" i="34"/>
  <c r="FF300" i="34"/>
  <c r="FH300" i="34"/>
  <c r="FC295" i="34"/>
  <c r="FB295" i="34"/>
  <c r="FD303" i="34"/>
  <c r="FG299" i="34"/>
  <c r="FE299" i="34"/>
  <c r="FF299" i="34"/>
  <c r="FH299" i="34"/>
  <c r="D78" i="77"/>
  <c r="D66" i="77"/>
  <c r="D86" i="77"/>
  <c r="D74" i="77"/>
  <c r="FC299" i="34" l="1"/>
  <c r="FB299" i="34"/>
  <c r="FD307" i="34"/>
  <c r="FG303" i="34"/>
  <c r="FE303" i="34"/>
  <c r="FF303" i="34"/>
  <c r="FH303" i="34"/>
  <c r="FC298" i="34"/>
  <c r="FB298" i="34"/>
  <c r="FD306" i="34"/>
  <c r="FG302" i="34"/>
  <c r="FE302" i="34"/>
  <c r="FF302" i="34"/>
  <c r="FH302" i="34"/>
  <c r="FC300" i="34"/>
  <c r="FB300" i="34"/>
  <c r="FD308" i="34"/>
  <c r="FG304" i="34"/>
  <c r="FE304" i="34"/>
  <c r="FF304" i="34"/>
  <c r="FH304" i="34"/>
  <c r="FC301" i="34"/>
  <c r="FB301" i="34"/>
  <c r="FD309" i="34"/>
  <c r="FG305" i="34"/>
  <c r="FE305" i="34"/>
  <c r="FF305" i="34"/>
  <c r="FH305" i="34"/>
  <c r="FC305" i="34" l="1"/>
  <c r="FB305" i="34"/>
  <c r="FD313" i="34"/>
  <c r="FG309" i="34"/>
  <c r="FE309" i="34"/>
  <c r="FF309" i="34"/>
  <c r="FH309" i="34"/>
  <c r="FC302" i="34"/>
  <c r="FB302" i="34"/>
  <c r="FD310" i="34"/>
  <c r="FG306" i="34"/>
  <c r="FE306" i="34"/>
  <c r="FF306" i="34"/>
  <c r="FH306" i="34"/>
  <c r="FC304" i="34"/>
  <c r="FB304" i="34"/>
  <c r="FD312" i="34"/>
  <c r="FG308" i="34"/>
  <c r="FE308" i="34"/>
  <c r="FF308" i="34"/>
  <c r="FH308" i="34"/>
  <c r="FC303" i="34"/>
  <c r="FB303" i="34"/>
  <c r="FD311" i="34"/>
  <c r="FG307" i="34"/>
  <c r="FE307" i="34"/>
  <c r="FF307" i="34"/>
  <c r="FH307" i="34"/>
  <c r="FC307" i="34" l="1"/>
  <c r="FB307" i="34"/>
  <c r="FD315" i="34"/>
  <c r="FG311" i="34"/>
  <c r="FE311" i="34"/>
  <c r="FF311" i="34"/>
  <c r="FH311" i="34"/>
  <c r="FC306" i="34"/>
  <c r="FB306" i="34"/>
  <c r="FD314" i="34"/>
  <c r="FG310" i="34"/>
  <c r="FE310" i="34"/>
  <c r="FF310" i="34"/>
  <c r="FH310" i="34"/>
  <c r="FC308" i="34"/>
  <c r="FB308" i="34"/>
  <c r="FD316" i="34"/>
  <c r="FG312" i="34"/>
  <c r="FE312" i="34"/>
  <c r="FF312" i="34"/>
  <c r="FH312" i="34"/>
  <c r="FC309" i="34"/>
  <c r="FB309" i="34"/>
  <c r="FD317" i="34"/>
  <c r="FG313" i="34"/>
  <c r="FE313" i="34"/>
  <c r="FF313" i="34"/>
  <c r="FH313" i="34"/>
  <c r="FC313" i="34" l="1"/>
  <c r="FB313" i="34"/>
  <c r="FD321" i="34"/>
  <c r="FG317" i="34"/>
  <c r="FE317" i="34"/>
  <c r="FF317" i="34"/>
  <c r="FH317" i="34"/>
  <c r="FC310" i="34"/>
  <c r="FB310" i="34"/>
  <c r="FD318" i="34"/>
  <c r="FG314" i="34"/>
  <c r="FE314" i="34"/>
  <c r="FF314" i="34"/>
  <c r="FH314" i="34"/>
  <c r="FC312" i="34"/>
  <c r="FB312" i="34"/>
  <c r="FD320" i="34"/>
  <c r="FG316" i="34"/>
  <c r="FE316" i="34"/>
  <c r="FF316" i="34"/>
  <c r="FH316" i="34"/>
  <c r="FC311" i="34"/>
  <c r="FB311" i="34"/>
  <c r="FD319" i="34"/>
  <c r="FG315" i="34"/>
  <c r="FE315" i="34"/>
  <c r="FF315" i="34"/>
  <c r="FH315" i="34"/>
  <c r="FC315" i="34" l="1"/>
  <c r="FB315" i="34"/>
  <c r="FD323" i="34"/>
  <c r="FG319" i="34"/>
  <c r="FE319" i="34"/>
  <c r="FF319" i="34"/>
  <c r="FH319" i="34"/>
  <c r="FC314" i="34"/>
  <c r="FB314" i="34"/>
  <c r="FD322" i="34"/>
  <c r="FG318" i="34"/>
  <c r="FE318" i="34"/>
  <c r="FF318" i="34"/>
  <c r="FH318" i="34"/>
  <c r="FC316" i="34"/>
  <c r="FB316" i="34"/>
  <c r="FD324" i="34"/>
  <c r="FG320" i="34"/>
  <c r="FE320" i="34"/>
  <c r="FF320" i="34"/>
  <c r="FH320" i="34"/>
  <c r="FC317" i="34"/>
  <c r="FB317" i="34"/>
  <c r="FD325" i="34"/>
  <c r="FG321" i="34"/>
  <c r="FE321" i="34"/>
  <c r="FF321" i="34"/>
  <c r="FH321" i="34"/>
  <c r="D65" i="76"/>
  <c r="H65" i="76"/>
  <c r="C65" i="76"/>
  <c r="H77" i="76"/>
  <c r="D77" i="76"/>
  <c r="C77" i="76"/>
  <c r="B83" i="75" l="1"/>
  <c r="B95" i="75"/>
  <c r="FC321" i="34"/>
  <c r="FB321" i="34"/>
  <c r="FD329" i="34"/>
  <c r="FG325" i="34"/>
  <c r="FE325" i="34"/>
  <c r="FF325" i="34"/>
  <c r="FH325" i="34"/>
  <c r="FC318" i="34"/>
  <c r="FB318" i="34"/>
  <c r="FD326" i="34"/>
  <c r="FG322" i="34"/>
  <c r="FE322" i="34"/>
  <c r="FF322" i="34"/>
  <c r="FH322" i="34"/>
  <c r="FC320" i="34"/>
  <c r="FB320" i="34"/>
  <c r="FD328" i="34"/>
  <c r="FG324" i="34"/>
  <c r="FE324" i="34"/>
  <c r="FF324" i="34"/>
  <c r="FH324" i="34"/>
  <c r="FC319" i="34"/>
  <c r="FB319" i="34"/>
  <c r="FD327" i="34"/>
  <c r="FG323" i="34"/>
  <c r="FE323" i="34"/>
  <c r="FF323" i="34"/>
  <c r="FH323" i="34"/>
  <c r="G65" i="76"/>
  <c r="G77" i="76"/>
  <c r="FC323" i="34" l="1"/>
  <c r="FB323" i="34"/>
  <c r="FD331" i="34"/>
  <c r="FG327" i="34"/>
  <c r="FE327" i="34"/>
  <c r="FF327" i="34"/>
  <c r="FH327" i="34"/>
  <c r="FC322" i="34"/>
  <c r="FB322" i="34"/>
  <c r="FD330" i="34"/>
  <c r="FG326" i="34"/>
  <c r="FE326" i="34"/>
  <c r="FF326" i="34"/>
  <c r="FH326" i="34"/>
  <c r="FC324" i="34"/>
  <c r="FB324" i="34"/>
  <c r="FD332" i="34"/>
  <c r="FG328" i="34"/>
  <c r="FE328" i="34"/>
  <c r="FF328" i="34"/>
  <c r="FH328" i="34"/>
  <c r="FC325" i="34"/>
  <c r="FB325" i="34"/>
  <c r="FD333" i="34"/>
  <c r="FG329" i="34"/>
  <c r="FE329" i="34"/>
  <c r="FF329" i="34"/>
  <c r="FH329" i="34"/>
  <c r="I65" i="76"/>
  <c r="D83" i="75" s="1"/>
  <c r="I77" i="76"/>
  <c r="D95" i="75" s="1"/>
  <c r="FC329" i="34" l="1"/>
  <c r="FB329" i="34"/>
  <c r="FD337" i="34"/>
  <c r="FG333" i="34"/>
  <c r="FE333" i="34"/>
  <c r="FH333" i="34"/>
  <c r="FF333" i="34"/>
  <c r="FC326" i="34"/>
  <c r="FB326" i="34"/>
  <c r="FD334" i="34"/>
  <c r="FG330" i="34"/>
  <c r="FE330" i="34"/>
  <c r="FF330" i="34"/>
  <c r="FH330" i="34"/>
  <c r="FC328" i="34"/>
  <c r="FB328" i="34"/>
  <c r="FD336" i="34"/>
  <c r="FG332" i="34"/>
  <c r="FE332" i="34"/>
  <c r="FF332" i="34"/>
  <c r="FH332" i="34"/>
  <c r="FC327" i="34"/>
  <c r="FB327" i="34"/>
  <c r="FD335" i="34"/>
  <c r="FG331" i="34"/>
  <c r="FE331" i="34"/>
  <c r="FF331" i="34"/>
  <c r="FH331" i="34"/>
  <c r="FC331" i="34" l="1"/>
  <c r="FB331" i="34"/>
  <c r="FD339" i="34"/>
  <c r="FG335" i="34"/>
  <c r="FE335" i="34"/>
  <c r="FH335" i="34"/>
  <c r="FF335" i="34"/>
  <c r="FC330" i="34"/>
  <c r="FB330" i="34"/>
  <c r="FD338" i="34"/>
  <c r="FG334" i="34"/>
  <c r="FE334" i="34"/>
  <c r="FH334" i="34"/>
  <c r="FF334" i="34"/>
  <c r="FC332" i="34"/>
  <c r="FB332" i="34"/>
  <c r="FD340" i="34"/>
  <c r="FG336" i="34"/>
  <c r="FE336" i="34"/>
  <c r="FH336" i="34"/>
  <c r="FF336" i="34"/>
  <c r="FC333" i="34"/>
  <c r="FB333" i="34"/>
  <c r="FD341" i="34"/>
  <c r="FG337" i="34"/>
  <c r="FE337" i="34"/>
  <c r="FH337" i="34"/>
  <c r="FF337" i="34"/>
  <c r="FC337" i="34" l="1"/>
  <c r="FB337" i="34"/>
  <c r="FD345" i="34"/>
  <c r="FG341" i="34"/>
  <c r="FE341" i="34"/>
  <c r="FH341" i="34"/>
  <c r="FF341" i="34"/>
  <c r="FC334" i="34"/>
  <c r="FB334" i="34"/>
  <c r="FD342" i="34"/>
  <c r="FG338" i="34"/>
  <c r="FE338" i="34"/>
  <c r="FH338" i="34"/>
  <c r="FF338" i="34"/>
  <c r="FC336" i="34"/>
  <c r="FB336" i="34"/>
  <c r="FD344" i="34"/>
  <c r="FG340" i="34"/>
  <c r="FE340" i="34"/>
  <c r="FH340" i="34"/>
  <c r="FF340" i="34"/>
  <c r="FC335" i="34"/>
  <c r="FB335" i="34"/>
  <c r="FD343" i="34"/>
  <c r="FG339" i="34"/>
  <c r="FE339" i="34"/>
  <c r="FH339" i="34"/>
  <c r="FF339" i="34"/>
  <c r="FC339" i="34" l="1"/>
  <c r="FB339" i="34"/>
  <c r="FD347" i="34"/>
  <c r="FH343" i="34"/>
  <c r="FG343" i="34"/>
  <c r="FE343" i="34"/>
  <c r="FF343" i="34"/>
  <c r="FC338" i="34"/>
  <c r="FB338" i="34"/>
  <c r="FD346" i="34"/>
  <c r="FG342" i="34"/>
  <c r="FE342" i="34"/>
  <c r="FH342" i="34"/>
  <c r="FF342" i="34"/>
  <c r="FC340" i="34"/>
  <c r="FB340" i="34"/>
  <c r="FD348" i="34"/>
  <c r="FH344" i="34"/>
  <c r="FF344" i="34"/>
  <c r="FG344" i="34"/>
  <c r="FE344" i="34"/>
  <c r="FC341" i="34"/>
  <c r="FB341" i="34"/>
  <c r="FD349" i="34"/>
  <c r="FH345" i="34"/>
  <c r="FF345" i="34"/>
  <c r="FG345" i="34"/>
  <c r="FE345" i="34"/>
  <c r="FC345" i="34" l="1"/>
  <c r="FB345" i="34"/>
  <c r="FD353" i="34"/>
  <c r="FH349" i="34"/>
  <c r="FF349" i="34"/>
  <c r="FG349" i="34"/>
  <c r="FE349" i="34"/>
  <c r="FC342" i="34"/>
  <c r="FB342" i="34"/>
  <c r="FD350" i="34"/>
  <c r="FH346" i="34"/>
  <c r="FF346" i="34"/>
  <c r="FG346" i="34"/>
  <c r="FE346" i="34"/>
  <c r="FC343" i="34"/>
  <c r="FB343" i="34"/>
  <c r="FC344" i="34"/>
  <c r="FB344" i="34"/>
  <c r="FD352" i="34"/>
  <c r="FH348" i="34"/>
  <c r="FF348" i="34"/>
  <c r="FG348" i="34"/>
  <c r="FE348" i="34"/>
  <c r="FD351" i="34"/>
  <c r="FH347" i="34"/>
  <c r="FF347" i="34"/>
  <c r="FG347" i="34"/>
  <c r="FE347" i="34"/>
  <c r="FC347" i="34" l="1"/>
  <c r="FB347" i="34"/>
  <c r="FD355" i="34"/>
  <c r="FH351" i="34"/>
  <c r="FF351" i="34"/>
  <c r="FG351" i="34"/>
  <c r="FE351" i="34"/>
  <c r="FC346" i="34"/>
  <c r="FB346" i="34"/>
  <c r="FD354" i="34"/>
  <c r="FH350" i="34"/>
  <c r="FF350" i="34"/>
  <c r="FG350" i="34"/>
  <c r="FE350" i="34"/>
  <c r="FC348" i="34"/>
  <c r="FB348" i="34"/>
  <c r="FD356" i="34"/>
  <c r="FH352" i="34"/>
  <c r="FF352" i="34"/>
  <c r="FG352" i="34"/>
  <c r="FE352" i="34"/>
  <c r="FC349" i="34"/>
  <c r="FB349" i="34"/>
  <c r="FD357" i="34"/>
  <c r="FH353" i="34"/>
  <c r="FF353" i="34"/>
  <c r="FG353" i="34"/>
  <c r="FE353" i="34"/>
  <c r="FC353" i="34" l="1"/>
  <c r="FB353" i="34"/>
  <c r="FD361" i="34"/>
  <c r="FH357" i="34"/>
  <c r="FF357" i="34"/>
  <c r="FG357" i="34"/>
  <c r="FE357" i="34"/>
  <c r="FC350" i="34"/>
  <c r="FB350" i="34"/>
  <c r="FD358" i="34"/>
  <c r="FH354" i="34"/>
  <c r="FF354" i="34"/>
  <c r="FG354" i="34"/>
  <c r="FE354" i="34"/>
  <c r="FC352" i="34"/>
  <c r="FB352" i="34"/>
  <c r="FD360" i="34"/>
  <c r="FH356" i="34"/>
  <c r="FF356" i="34"/>
  <c r="FG356" i="34"/>
  <c r="FE356" i="34"/>
  <c r="FC351" i="34"/>
  <c r="FB351" i="34"/>
  <c r="FD359" i="34"/>
  <c r="FH355" i="34"/>
  <c r="FF355" i="34"/>
  <c r="FG355" i="34"/>
  <c r="FE355" i="34"/>
  <c r="D73" i="76"/>
  <c r="D64" i="76"/>
  <c r="C72" i="76"/>
  <c r="C70" i="76"/>
  <c r="D70" i="76"/>
  <c r="D71" i="76"/>
  <c r="C67" i="76"/>
  <c r="C68" i="76"/>
  <c r="C64" i="76"/>
  <c r="H64" i="76"/>
  <c r="H69" i="76"/>
  <c r="H66" i="76"/>
  <c r="H67" i="76"/>
  <c r="D72" i="76"/>
  <c r="H68" i="76"/>
  <c r="D63" i="76"/>
  <c r="C69" i="76"/>
  <c r="D69" i="76"/>
  <c r="D66" i="76"/>
  <c r="D67" i="76"/>
  <c r="H72" i="76"/>
  <c r="D68" i="76"/>
  <c r="H63" i="76"/>
  <c r="H73" i="76"/>
  <c r="H70" i="76"/>
  <c r="H71" i="76"/>
  <c r="C66" i="76"/>
  <c r="C73" i="76"/>
  <c r="C76" i="77"/>
  <c r="C64" i="77"/>
  <c r="C84" i="76"/>
  <c r="C82" i="76"/>
  <c r="H78" i="76"/>
  <c r="D82" i="76"/>
  <c r="H83" i="76"/>
  <c r="C79" i="76"/>
  <c r="H75" i="76"/>
  <c r="C80" i="76"/>
  <c r="C81" i="76"/>
  <c r="C76" i="76"/>
  <c r="H76" i="76"/>
  <c r="H79" i="76"/>
  <c r="D84" i="76"/>
  <c r="D83" i="76"/>
  <c r="C78" i="76"/>
  <c r="H80" i="76"/>
  <c r="D78" i="76"/>
  <c r="H85" i="76"/>
  <c r="D81" i="76"/>
  <c r="D79" i="76"/>
  <c r="H84" i="76"/>
  <c r="D80" i="76"/>
  <c r="C85" i="76"/>
  <c r="D85" i="76"/>
  <c r="H81" i="76"/>
  <c r="D76" i="76"/>
  <c r="H82" i="76"/>
  <c r="D75" i="76"/>
  <c r="Z124" i="80"/>
  <c r="Z122" i="80"/>
  <c r="Z120" i="80"/>
  <c r="Z126" i="80"/>
  <c r="B100" i="75" l="1"/>
  <c r="B87" i="75"/>
  <c r="B82" i="75"/>
  <c r="B97" i="75"/>
  <c r="B103" i="75"/>
  <c r="B91" i="75"/>
  <c r="B94" i="75"/>
  <c r="B99" i="75"/>
  <c r="B96" i="75"/>
  <c r="B84" i="75"/>
  <c r="B85" i="75"/>
  <c r="B90" i="75"/>
  <c r="B102" i="75"/>
  <c r="B98" i="75"/>
  <c r="B86" i="75"/>
  <c r="B88" i="75"/>
  <c r="FC355" i="34"/>
  <c r="FB355" i="34"/>
  <c r="FD363" i="34"/>
  <c r="FH359" i="34"/>
  <c r="FF359" i="34"/>
  <c r="FG359" i="34"/>
  <c r="FE359" i="34"/>
  <c r="FC354" i="34"/>
  <c r="FB354" i="34"/>
  <c r="FD362" i="34"/>
  <c r="FH358" i="34"/>
  <c r="FF358" i="34"/>
  <c r="FG358" i="34"/>
  <c r="FE358" i="34"/>
  <c r="FC356" i="34"/>
  <c r="FB356" i="34"/>
  <c r="FD364" i="34"/>
  <c r="FH360" i="34"/>
  <c r="FF360" i="34"/>
  <c r="FG360" i="34"/>
  <c r="FE360" i="34"/>
  <c r="FC357" i="34"/>
  <c r="FB357" i="34"/>
  <c r="FD365" i="34"/>
  <c r="FH361" i="34"/>
  <c r="FF361" i="34"/>
  <c r="FG361" i="34"/>
  <c r="FE361" i="34"/>
  <c r="G67" i="76"/>
  <c r="G69" i="76"/>
  <c r="G70" i="76"/>
  <c r="G64" i="76"/>
  <c r="G73" i="76"/>
  <c r="H74" i="76"/>
  <c r="D74" i="76"/>
  <c r="C63" i="76"/>
  <c r="B81" i="75" s="1"/>
  <c r="G72" i="76"/>
  <c r="C74" i="76"/>
  <c r="G66" i="76"/>
  <c r="C71" i="76"/>
  <c r="B89" i="75" s="1"/>
  <c r="G68" i="76"/>
  <c r="C75" i="77"/>
  <c r="C63" i="77"/>
  <c r="D86" i="76"/>
  <c r="G82" i="76"/>
  <c r="G80" i="76"/>
  <c r="C75" i="76"/>
  <c r="B93" i="75" s="1"/>
  <c r="G84" i="76"/>
  <c r="G78" i="76"/>
  <c r="G81" i="76"/>
  <c r="G85" i="76"/>
  <c r="G76" i="76"/>
  <c r="H86" i="76"/>
  <c r="G79" i="76"/>
  <c r="C83" i="76"/>
  <c r="B101" i="75" s="1"/>
  <c r="C86" i="76"/>
  <c r="B104" i="75" l="1"/>
  <c r="B92" i="75"/>
  <c r="FC361" i="34"/>
  <c r="FB361" i="34"/>
  <c r="FD369" i="34"/>
  <c r="FH365" i="34"/>
  <c r="FF365" i="34"/>
  <c r="FG365" i="34"/>
  <c r="FE365" i="34"/>
  <c r="FC358" i="34"/>
  <c r="FB358" i="34"/>
  <c r="FD366" i="34"/>
  <c r="FH362" i="34"/>
  <c r="FF362" i="34"/>
  <c r="FG362" i="34"/>
  <c r="FE362" i="34"/>
  <c r="FC360" i="34"/>
  <c r="FB360" i="34"/>
  <c r="FD368" i="34"/>
  <c r="FH364" i="34"/>
  <c r="FF364" i="34"/>
  <c r="FG364" i="34"/>
  <c r="FE364" i="34"/>
  <c r="FC359" i="34"/>
  <c r="FB359" i="34"/>
  <c r="FD367" i="34"/>
  <c r="FH363" i="34"/>
  <c r="FF363" i="34"/>
  <c r="FG363" i="34"/>
  <c r="FE363" i="34"/>
  <c r="I69" i="76"/>
  <c r="D87" i="75" s="1"/>
  <c r="I70" i="76"/>
  <c r="D88" i="75" s="1"/>
  <c r="G74" i="76"/>
  <c r="I66" i="76"/>
  <c r="D84" i="75" s="1"/>
  <c r="I73" i="76"/>
  <c r="D91" i="75" s="1"/>
  <c r="I72" i="76"/>
  <c r="D90" i="75" s="1"/>
  <c r="I64" i="76"/>
  <c r="D82" i="75" s="1"/>
  <c r="I67" i="76"/>
  <c r="D85" i="75" s="1"/>
  <c r="G63" i="76"/>
  <c r="G71" i="76"/>
  <c r="I68" i="76"/>
  <c r="D86" i="75" s="1"/>
  <c r="I82" i="76"/>
  <c r="D100" i="75" s="1"/>
  <c r="I84" i="76"/>
  <c r="D102" i="75" s="1"/>
  <c r="I80" i="76"/>
  <c r="D98" i="75" s="1"/>
  <c r="I85" i="76"/>
  <c r="D103" i="75" s="1"/>
  <c r="G86" i="76"/>
  <c r="I76" i="76"/>
  <c r="D94" i="75" s="1"/>
  <c r="I79" i="76"/>
  <c r="D97" i="75" s="1"/>
  <c r="I78" i="76"/>
  <c r="D96" i="75" s="1"/>
  <c r="I81" i="76"/>
  <c r="D99" i="75" s="1"/>
  <c r="G83" i="76"/>
  <c r="G75" i="76"/>
  <c r="FC363" i="34" l="1"/>
  <c r="FB363" i="34"/>
  <c r="FD371" i="34"/>
  <c r="FH367" i="34"/>
  <c r="FF367" i="34"/>
  <c r="FG367" i="34"/>
  <c r="FE367" i="34"/>
  <c r="FC362" i="34"/>
  <c r="FB362" i="34"/>
  <c r="FD370" i="34"/>
  <c r="FH366" i="34"/>
  <c r="FF366" i="34"/>
  <c r="FG366" i="34"/>
  <c r="FE366" i="34"/>
  <c r="FC364" i="34"/>
  <c r="FB364" i="34"/>
  <c r="FD372" i="34"/>
  <c r="FH368" i="34"/>
  <c r="FF368" i="34"/>
  <c r="FG368" i="34"/>
  <c r="FE368" i="34"/>
  <c r="FC365" i="34"/>
  <c r="FB365" i="34"/>
  <c r="FD373" i="34"/>
  <c r="FH369" i="34"/>
  <c r="FF369" i="34"/>
  <c r="FG369" i="34"/>
  <c r="FE369" i="34"/>
  <c r="F146" i="80"/>
  <c r="Z146" i="80" s="1"/>
  <c r="F140" i="80"/>
  <c r="Z140" i="80" s="1"/>
  <c r="I71" i="76"/>
  <c r="D89" i="75" s="1"/>
  <c r="I63" i="76"/>
  <c r="D81" i="75" s="1"/>
  <c r="I74" i="76"/>
  <c r="D92" i="75" s="1"/>
  <c r="I86" i="76"/>
  <c r="D104" i="75" s="1"/>
  <c r="I75" i="76"/>
  <c r="D93" i="75" s="1"/>
  <c r="I83" i="76"/>
  <c r="D101" i="75" s="1"/>
  <c r="FC369" i="34" l="1"/>
  <c r="FB369" i="34"/>
  <c r="FD377" i="34"/>
  <c r="FH373" i="34"/>
  <c r="FF373" i="34"/>
  <c r="FG373" i="34"/>
  <c r="FE373" i="34"/>
  <c r="FC366" i="34"/>
  <c r="FB366" i="34"/>
  <c r="FD374" i="34"/>
  <c r="FH370" i="34"/>
  <c r="FF370" i="34"/>
  <c r="FG370" i="34"/>
  <c r="FE370" i="34"/>
  <c r="FC368" i="34"/>
  <c r="FB368" i="34"/>
  <c r="FD376" i="34"/>
  <c r="FH372" i="34"/>
  <c r="FF372" i="34"/>
  <c r="FG372" i="34"/>
  <c r="FE372" i="34"/>
  <c r="FC367" i="34"/>
  <c r="FB367" i="34"/>
  <c r="FD375" i="34"/>
  <c r="FH371" i="34"/>
  <c r="FF371" i="34"/>
  <c r="FG371" i="34"/>
  <c r="FE371" i="34"/>
  <c r="J81" i="76"/>
  <c r="J69" i="76"/>
  <c r="J77" i="76"/>
  <c r="J65" i="76"/>
  <c r="J74" i="76"/>
  <c r="K77" i="76"/>
  <c r="K65" i="76"/>
  <c r="J63" i="76"/>
  <c r="J85" i="76"/>
  <c r="J73" i="76"/>
  <c r="J78" i="76"/>
  <c r="J66" i="76"/>
  <c r="J79" i="76"/>
  <c r="J67" i="76"/>
  <c r="E15" i="25"/>
  <c r="B80" i="25" s="1"/>
  <c r="E16" i="25"/>
  <c r="B81" i="25" s="1"/>
  <c r="FC371" i="34" l="1"/>
  <c r="FB371" i="34"/>
  <c r="FH375" i="34"/>
  <c r="FF375" i="34"/>
  <c r="FG375" i="34"/>
  <c r="FE375" i="34"/>
  <c r="FD379" i="34"/>
  <c r="FC370" i="34"/>
  <c r="FB370" i="34"/>
  <c r="FH374" i="34"/>
  <c r="FF374" i="34"/>
  <c r="FG374" i="34"/>
  <c r="FE374" i="34"/>
  <c r="FD378" i="34"/>
  <c r="FC372" i="34"/>
  <c r="FB372" i="34"/>
  <c r="FH376" i="34"/>
  <c r="FF376" i="34"/>
  <c r="FG376" i="34"/>
  <c r="FE376" i="34"/>
  <c r="FD380" i="34"/>
  <c r="FC373" i="34"/>
  <c r="FB373" i="34"/>
  <c r="FH377" i="34"/>
  <c r="FF377" i="34"/>
  <c r="FG377" i="34"/>
  <c r="FE377" i="34"/>
  <c r="FD381" i="34"/>
  <c r="K86" i="76"/>
  <c r="K74" i="76"/>
  <c r="K78" i="76"/>
  <c r="K66" i="76"/>
  <c r="F77" i="76"/>
  <c r="F65" i="76"/>
  <c r="J82" i="76"/>
  <c r="J70" i="76"/>
  <c r="K82" i="76"/>
  <c r="K70" i="76"/>
  <c r="J80" i="76"/>
  <c r="J68" i="76"/>
  <c r="J83" i="76"/>
  <c r="J71" i="76"/>
  <c r="M65" i="76"/>
  <c r="F83" i="75" s="1"/>
  <c r="K80" i="76"/>
  <c r="K68" i="76"/>
  <c r="K83" i="76"/>
  <c r="K71" i="76"/>
  <c r="J84" i="76"/>
  <c r="J72" i="76"/>
  <c r="K81" i="76"/>
  <c r="K69" i="76"/>
  <c r="L77" i="76"/>
  <c r="E95" i="75" s="1"/>
  <c r="L65" i="76"/>
  <c r="E83" i="75" s="1"/>
  <c r="F78" i="76"/>
  <c r="F66" i="76"/>
  <c r="F83" i="76"/>
  <c r="F71" i="76"/>
  <c r="J76" i="76"/>
  <c r="J64" i="76"/>
  <c r="K84" i="76"/>
  <c r="K72" i="76"/>
  <c r="FD385" i="34" l="1"/>
  <c r="FH381" i="34"/>
  <c r="FF381" i="34"/>
  <c r="FG381" i="34"/>
  <c r="FE381" i="34"/>
  <c r="FC376" i="34"/>
  <c r="FB376" i="34"/>
  <c r="FD382" i="34"/>
  <c r="FH378" i="34"/>
  <c r="FF378" i="34"/>
  <c r="FG378" i="34"/>
  <c r="FE378" i="34"/>
  <c r="FC375" i="34"/>
  <c r="FB375" i="34"/>
  <c r="FC377" i="34"/>
  <c r="FB377" i="34"/>
  <c r="FD384" i="34"/>
  <c r="FH380" i="34"/>
  <c r="FF380" i="34"/>
  <c r="FG380" i="34"/>
  <c r="FE380" i="34"/>
  <c r="FC374" i="34"/>
  <c r="FB374" i="34"/>
  <c r="FD383" i="34"/>
  <c r="FH379" i="34"/>
  <c r="FF379" i="34"/>
  <c r="FG379" i="34"/>
  <c r="FE379" i="34"/>
  <c r="M79" i="76"/>
  <c r="F97" i="75" s="1"/>
  <c r="M67" i="76"/>
  <c r="F85" i="75" s="1"/>
  <c r="M86" i="76"/>
  <c r="F104" i="75" s="1"/>
  <c r="M74" i="76"/>
  <c r="F92" i="75" s="1"/>
  <c r="F84" i="76"/>
  <c r="F72" i="76"/>
  <c r="M78" i="76"/>
  <c r="F96" i="75" s="1"/>
  <c r="M66" i="76"/>
  <c r="F84" i="75" s="1"/>
  <c r="E77" i="76"/>
  <c r="E65" i="76"/>
  <c r="K75" i="76"/>
  <c r="K63" i="76"/>
  <c r="K76" i="76"/>
  <c r="K64" i="76"/>
  <c r="L79" i="76"/>
  <c r="E97" i="75" s="1"/>
  <c r="L67" i="76"/>
  <c r="E85" i="75" s="1"/>
  <c r="L86" i="76"/>
  <c r="E104" i="75" s="1"/>
  <c r="L74" i="76"/>
  <c r="E92" i="75" s="1"/>
  <c r="F67" i="76"/>
  <c r="F86" i="76"/>
  <c r="F74" i="76"/>
  <c r="E83" i="76"/>
  <c r="E71" i="76"/>
  <c r="L84" i="76"/>
  <c r="E102" i="75" s="1"/>
  <c r="L72" i="76"/>
  <c r="E90" i="75" s="1"/>
  <c r="M82" i="76"/>
  <c r="F100" i="75" s="1"/>
  <c r="M70" i="76"/>
  <c r="F88" i="75" s="1"/>
  <c r="M81" i="76"/>
  <c r="F99" i="75" s="1"/>
  <c r="M69" i="76"/>
  <c r="F87" i="75" s="1"/>
  <c r="M68" i="76"/>
  <c r="F86" i="75" s="1"/>
  <c r="F85" i="76"/>
  <c r="F73" i="76"/>
  <c r="E78" i="76"/>
  <c r="E66" i="76"/>
  <c r="L81" i="76"/>
  <c r="E99" i="75" s="1"/>
  <c r="L69" i="76"/>
  <c r="E87" i="75" s="1"/>
  <c r="L80" i="76"/>
  <c r="E98" i="75" s="1"/>
  <c r="L68" i="76"/>
  <c r="E86" i="75" s="1"/>
  <c r="F81" i="76"/>
  <c r="F69" i="76"/>
  <c r="K85" i="76"/>
  <c r="K73" i="76"/>
  <c r="F80" i="76"/>
  <c r="F68" i="76"/>
  <c r="L78" i="76"/>
  <c r="E96" i="75" s="1"/>
  <c r="L66" i="76"/>
  <c r="E84" i="75" s="1"/>
  <c r="K79" i="76"/>
  <c r="K67" i="76"/>
  <c r="FC379" i="34" l="1"/>
  <c r="FB379" i="34"/>
  <c r="FH383" i="34"/>
  <c r="FF383" i="34"/>
  <c r="FG383" i="34"/>
  <c r="FE383" i="34"/>
  <c r="FC378" i="34"/>
  <c r="FB378" i="34"/>
  <c r="FH382" i="34"/>
  <c r="FF382" i="34"/>
  <c r="FG382" i="34"/>
  <c r="FE382" i="34"/>
  <c r="FC380" i="34"/>
  <c r="FB380" i="34"/>
  <c r="FH384" i="34"/>
  <c r="FF384" i="34"/>
  <c r="FG384" i="34"/>
  <c r="FE384" i="34"/>
  <c r="FC381" i="34"/>
  <c r="FB381" i="34"/>
  <c r="FH385" i="34"/>
  <c r="FF385" i="34"/>
  <c r="FG385" i="34"/>
  <c r="FE385" i="34"/>
  <c r="M83" i="76"/>
  <c r="F101" i="75" s="1"/>
  <c r="M71" i="76"/>
  <c r="F89" i="75" s="1"/>
  <c r="L75" i="76"/>
  <c r="E93" i="75" s="1"/>
  <c r="L63" i="76"/>
  <c r="E81" i="75" s="1"/>
  <c r="M76" i="76"/>
  <c r="F94" i="75" s="1"/>
  <c r="M64" i="76"/>
  <c r="F82" i="75" s="1"/>
  <c r="E80" i="76"/>
  <c r="E68" i="76"/>
  <c r="L83" i="76"/>
  <c r="E101" i="75" s="1"/>
  <c r="L71" i="76"/>
  <c r="E89" i="75" s="1"/>
  <c r="E81" i="76"/>
  <c r="E69" i="76"/>
  <c r="L82" i="76"/>
  <c r="E100" i="75" s="1"/>
  <c r="L70" i="76"/>
  <c r="E88" i="75" s="1"/>
  <c r="F75" i="76"/>
  <c r="F63" i="76"/>
  <c r="M84" i="76"/>
  <c r="F102" i="75" s="1"/>
  <c r="M72" i="76"/>
  <c r="F90" i="75" s="1"/>
  <c r="L76" i="76"/>
  <c r="E94" i="75" s="1"/>
  <c r="L64" i="76"/>
  <c r="E82" i="75" s="1"/>
  <c r="E86" i="76"/>
  <c r="E74" i="76"/>
  <c r="M85" i="76"/>
  <c r="F103" i="75" s="1"/>
  <c r="M73" i="76"/>
  <c r="F91" i="75" s="1"/>
  <c r="F82" i="76"/>
  <c r="F70" i="76"/>
  <c r="E84" i="76"/>
  <c r="E72" i="76"/>
  <c r="F76" i="76"/>
  <c r="F64" i="76"/>
  <c r="L85" i="76"/>
  <c r="E103" i="75" s="1"/>
  <c r="L73" i="76"/>
  <c r="E91" i="75" s="1"/>
  <c r="E85" i="76"/>
  <c r="E73" i="76"/>
  <c r="C77" i="77"/>
  <c r="C65" i="77"/>
  <c r="E67" i="76"/>
  <c r="FC385" i="34" l="1"/>
  <c r="FB385" i="34"/>
  <c r="FC384" i="34"/>
  <c r="FB384" i="34"/>
  <c r="FC382" i="34"/>
  <c r="FB382" i="34"/>
  <c r="FC383" i="34"/>
  <c r="FB383" i="34"/>
  <c r="M80" i="76"/>
  <c r="F98" i="75" s="1"/>
  <c r="M75" i="76"/>
  <c r="F93" i="75" s="1"/>
  <c r="M63" i="76"/>
  <c r="F81" i="75" s="1"/>
  <c r="E82" i="76"/>
  <c r="E70" i="76"/>
  <c r="E76" i="76"/>
  <c r="E64" i="76"/>
  <c r="E75" i="76"/>
  <c r="E63" i="76"/>
  <c r="E79" i="76" l="1"/>
  <c r="F79" i="76"/>
  <c r="E18" i="25" l="1"/>
  <c r="B83" i="25" s="1"/>
  <c r="Y134" i="80" l="1"/>
  <c r="C78" i="77"/>
  <c r="C66" i="77"/>
  <c r="E19" i="25"/>
  <c r="B84" i="25" s="1"/>
  <c r="F136" i="80" l="1"/>
  <c r="Z136" i="80" s="1"/>
  <c r="F134" i="80"/>
  <c r="Z134" i="80" s="1"/>
  <c r="C80" i="77"/>
  <c r="C68" i="77"/>
  <c r="C79" i="77" l="1"/>
  <c r="C67" i="77"/>
  <c r="C81" i="77" l="1"/>
  <c r="C69" i="77"/>
  <c r="E21" i="25"/>
  <c r="B86" i="25" s="1"/>
  <c r="E22" i="25"/>
  <c r="B87" i="25" s="1"/>
  <c r="C82" i="77" l="1"/>
  <c r="C70" i="77"/>
  <c r="I120" i="80"/>
  <c r="AA120" i="80" s="1"/>
  <c r="C83" i="77" l="1"/>
  <c r="C71" i="77"/>
  <c r="I122" i="80"/>
  <c r="AA122" i="80" s="1"/>
  <c r="E23" i="25"/>
  <c r="B88" i="25" s="1"/>
  <c r="C84" i="77" l="1"/>
  <c r="C72" i="77"/>
  <c r="C86" i="77"/>
  <c r="C74" i="77"/>
  <c r="D9" i="79"/>
  <c r="Y120" i="80"/>
  <c r="Y126" i="80"/>
  <c r="C85" i="77" l="1"/>
  <c r="C73" i="77"/>
  <c r="Y122" i="80"/>
  <c r="E20" i="25"/>
  <c r="B85" i="25" s="1"/>
  <c r="D53" i="62" l="1"/>
  <c r="E25" i="25"/>
  <c r="B90" i="25" s="1"/>
  <c r="Y130" i="80"/>
  <c r="D54" i="62" l="1"/>
  <c r="W5" i="58"/>
  <c r="D61" i="58"/>
  <c r="T5" i="62"/>
  <c r="E26" i="25"/>
  <c r="B91" i="25" s="1"/>
  <c r="W6" i="58" l="1"/>
  <c r="D62" i="58"/>
  <c r="T6" i="62"/>
  <c r="Y146" i="80" l="1"/>
  <c r="D55" i="62"/>
  <c r="Y144" i="80" l="1"/>
  <c r="D63" i="58"/>
  <c r="W7" i="58"/>
  <c r="T7" i="62"/>
  <c r="Y124" i="80"/>
  <c r="D84" i="77"/>
  <c r="D72" i="77"/>
  <c r="D56" i="62" l="1"/>
  <c r="D77" i="77"/>
  <c r="D65" i="77"/>
  <c r="D75" i="77"/>
  <c r="D63" i="77"/>
  <c r="I124" i="80"/>
  <c r="AA124" i="80" s="1"/>
  <c r="T8" i="62" l="1"/>
  <c r="W8" i="58"/>
  <c r="D64" i="58"/>
  <c r="Y128" i="80"/>
  <c r="D76" i="77"/>
  <c r="D64" i="77"/>
  <c r="E24" i="25" l="1"/>
  <c r="B89" i="25" s="1"/>
  <c r="E17" i="25" l="1"/>
  <c r="B82" i="25" s="1"/>
  <c r="I126" i="80" l="1"/>
  <c r="AA126" i="80" s="1"/>
  <c r="E28" i="25"/>
  <c r="I146" i="80" l="1"/>
  <c r="AA146" i="80" s="1"/>
  <c r="I138" i="80"/>
  <c r="AA138" i="80" s="1"/>
  <c r="I134" i="80"/>
  <c r="AA134" i="80" s="1"/>
  <c r="I136" i="80"/>
  <c r="AA136" i="80" s="1"/>
  <c r="I128" i="80"/>
  <c r="AA128" i="80" s="1"/>
  <c r="D80" i="77" l="1"/>
  <c r="D68" i="77"/>
  <c r="D81" i="77" l="1"/>
  <c r="D69" i="77"/>
  <c r="D82" i="77" l="1"/>
  <c r="D70" i="77"/>
  <c r="K66" i="5" l="1"/>
  <c r="EO11" i="4"/>
  <c r="K66" i="7" l="1"/>
  <c r="EO11" i="5"/>
  <c r="EO11" i="6"/>
  <c r="K66" i="6"/>
  <c r="K66" i="8"/>
  <c r="EO11" i="7" l="1"/>
  <c r="K66" i="9"/>
  <c r="EO11" i="8" l="1"/>
  <c r="K66" i="10"/>
  <c r="EO11" i="9" l="1"/>
  <c r="K66" i="11"/>
  <c r="EO11" i="10" l="1"/>
  <c r="K66" i="12"/>
  <c r="EO11" i="11" l="1"/>
  <c r="K66" i="13"/>
  <c r="EO11" i="12" l="1"/>
  <c r="K66" i="14"/>
  <c r="K66" i="15" l="1"/>
  <c r="EO11" i="13"/>
  <c r="EO11" i="14" l="1"/>
  <c r="EO11" i="15" l="1"/>
  <c r="B23" i="25"/>
  <c r="A88" i="25" s="1"/>
  <c r="B24" i="25"/>
  <c r="A89" i="25" s="1"/>
  <c r="B25" i="25"/>
  <c r="A90" i="25" s="1"/>
  <c r="B26" i="25"/>
  <c r="A91" i="25" s="1"/>
  <c r="I132" i="80"/>
  <c r="AA132" i="80" s="1"/>
  <c r="I130" i="80"/>
  <c r="AA130" i="80" s="1"/>
  <c r="I144" i="80"/>
  <c r="AA144" i="80" s="1"/>
  <c r="E55" i="62"/>
  <c r="B82" i="62"/>
  <c r="B83" i="62"/>
  <c r="B84" i="62"/>
  <c r="B85" i="62"/>
  <c r="Y142" i="80"/>
  <c r="I142" i="80"/>
  <c r="AA142" i="80" s="1"/>
  <c r="Y140" i="80"/>
  <c r="I140" i="80"/>
  <c r="AA140" i="80" s="1"/>
  <c r="Y138" i="80"/>
  <c r="Y136" i="80"/>
  <c r="Y132" i="80"/>
  <c r="M77" i="76"/>
  <c r="F95" i="75" s="1"/>
  <c r="J86" i="76"/>
  <c r="J75" i="76"/>
  <c r="F142" i="80"/>
  <c r="Z142" i="80" s="1"/>
  <c r="F144" i="80"/>
  <c r="Z144" i="80" s="1"/>
  <c r="F138" i="80"/>
  <c r="Z138" i="80" s="1"/>
  <c r="F132" i="80"/>
  <c r="Z132" i="80" s="1"/>
  <c r="Z130" i="80"/>
  <c r="Z128" i="80"/>
  <c r="AL89" i="15"/>
  <c r="N15" i="59"/>
  <c r="FD39" i="14"/>
  <c r="FD51" i="14" s="1"/>
  <c r="BA41" i="72"/>
  <c r="BA39" i="72"/>
  <c r="BA37" i="72"/>
  <c r="BA35" i="72"/>
  <c r="BA33" i="72"/>
  <c r="BA31" i="72"/>
  <c r="BA29" i="72"/>
  <c r="BA27" i="72"/>
  <c r="BA25" i="72"/>
  <c r="BA23" i="72"/>
  <c r="B116" i="62"/>
  <c r="B117" i="62"/>
  <c r="B115" i="62"/>
  <c r="B114" i="62"/>
  <c r="BA21" i="72"/>
  <c r="BA19" i="72"/>
  <c r="BA17" i="72"/>
  <c r="BY2" i="4"/>
  <c r="DI4" i="34"/>
  <c r="BY2" i="5" s="1"/>
  <c r="BD107" i="4" l="1"/>
  <c r="BD142" i="4"/>
  <c r="O16" i="59"/>
  <c r="B27" i="54"/>
  <c r="GD50" i="4"/>
  <c r="GE50" i="4" s="1"/>
  <c r="GD46" i="4"/>
  <c r="GE46" i="4" s="1"/>
  <c r="GD42" i="4"/>
  <c r="GE42" i="4" s="1"/>
  <c r="GD38" i="4"/>
  <c r="GE38" i="4" s="1"/>
  <c r="GD34" i="4"/>
  <c r="GE34" i="4" s="1"/>
  <c r="GD30" i="4"/>
  <c r="GE30" i="4" s="1"/>
  <c r="GD26" i="4"/>
  <c r="GE26" i="4" s="1"/>
  <c r="GD22" i="4"/>
  <c r="GE22" i="4" s="1"/>
  <c r="GD49" i="4"/>
  <c r="GE49" i="4" s="1"/>
  <c r="GD45" i="4"/>
  <c r="GE45" i="4" s="1"/>
  <c r="GD48" i="4"/>
  <c r="GE48" i="4" s="1"/>
  <c r="GD44" i="4"/>
  <c r="GE44" i="4" s="1"/>
  <c r="GD40" i="4"/>
  <c r="GE40" i="4" s="1"/>
  <c r="GD36" i="4"/>
  <c r="GE36" i="4" s="1"/>
  <c r="GD32" i="4"/>
  <c r="GE32" i="4" s="1"/>
  <c r="GD28" i="4"/>
  <c r="GE28" i="4" s="1"/>
  <c r="GD24" i="4"/>
  <c r="GE24" i="4" s="1"/>
  <c r="GD20" i="4"/>
  <c r="GE20" i="4" s="1"/>
  <c r="GD41" i="4"/>
  <c r="GE41" i="4" s="1"/>
  <c r="GD33" i="4"/>
  <c r="GE33" i="4" s="1"/>
  <c r="GD25" i="4"/>
  <c r="GE25" i="4" s="1"/>
  <c r="GD53" i="5"/>
  <c r="GD39" i="4"/>
  <c r="GE39" i="4" s="1"/>
  <c r="GD31" i="4"/>
  <c r="GE31" i="4" s="1"/>
  <c r="GD23" i="4"/>
  <c r="GE23" i="4" s="1"/>
  <c r="GD47" i="4"/>
  <c r="GE47" i="4" s="1"/>
  <c r="GD37" i="4"/>
  <c r="GE37" i="4" s="1"/>
  <c r="GD29" i="4"/>
  <c r="GE29" i="4" s="1"/>
  <c r="GD21" i="4"/>
  <c r="GE21" i="4" s="1"/>
  <c r="GD43" i="4"/>
  <c r="GE43" i="4" s="1"/>
  <c r="GD27" i="4"/>
  <c r="GE27" i="4" s="1"/>
  <c r="GD35" i="4"/>
  <c r="GE35" i="4" s="1"/>
  <c r="GD53" i="4"/>
  <c r="DP4" i="5"/>
  <c r="DP4" i="4"/>
  <c r="AH89" i="15"/>
  <c r="FD56" i="14"/>
  <c r="P15" i="59"/>
  <c r="DI5" i="34"/>
  <c r="DP30" i="4" l="1"/>
  <c r="CX5" i="59" s="1"/>
  <c r="AD135" i="4"/>
  <c r="F84" i="74" s="1"/>
  <c r="DP30" i="5"/>
  <c r="CX6" i="59" s="1"/>
  <c r="AD135" i="5"/>
  <c r="I84" i="74" s="1"/>
  <c r="I87" i="74" s="1"/>
  <c r="DP29" i="4"/>
  <c r="CS5" i="59" s="1"/>
  <c r="DP28" i="4"/>
  <c r="CR5" i="59" s="1"/>
  <c r="DP27" i="4"/>
  <c r="CQ5" i="59" s="1"/>
  <c r="DP26" i="4"/>
  <c r="CP5" i="59" s="1"/>
  <c r="DP23" i="5"/>
  <c r="B34" i="5" s="1"/>
  <c r="CL6" i="59" s="1"/>
  <c r="DP29" i="5"/>
  <c r="CS6" i="59" s="1"/>
  <c r="DP28" i="5"/>
  <c r="CR6" i="59" s="1"/>
  <c r="DP27" i="5"/>
  <c r="CQ6" i="59" s="1"/>
  <c r="DP26" i="5"/>
  <c r="CP6" i="59" s="1"/>
  <c r="DP23" i="4"/>
  <c r="B34" i="4" s="1"/>
  <c r="T34" i="4" s="1"/>
  <c r="DP25" i="4" s="1"/>
  <c r="CO5" i="59" s="1"/>
  <c r="M16" i="59"/>
  <c r="B26" i="54"/>
  <c r="DP16" i="4"/>
  <c r="DP17" i="5"/>
  <c r="DP12" i="5"/>
  <c r="I92" i="74" s="1"/>
  <c r="DP16" i="5"/>
  <c r="AT5" i="18"/>
  <c r="BT19" i="18" s="1"/>
  <c r="DP3" i="4"/>
  <c r="DP13" i="4"/>
  <c r="U5" i="59" s="1"/>
  <c r="DP13" i="5"/>
  <c r="U6" i="59" s="1"/>
  <c r="DP19" i="5"/>
  <c r="AE129" i="5" s="1"/>
  <c r="DP9" i="5"/>
  <c r="I14" i="5" s="1"/>
  <c r="DP8" i="5"/>
  <c r="DP11" i="5"/>
  <c r="AL14" i="5" s="1"/>
  <c r="DP5" i="5"/>
  <c r="DP7" i="5"/>
  <c r="AE123" i="5" s="1"/>
  <c r="HK16" i="5" s="1"/>
  <c r="DP10" i="5"/>
  <c r="U14" i="5" s="1"/>
  <c r="BN20" i="5"/>
  <c r="BN21" i="5" s="1"/>
  <c r="AT5" i="35"/>
  <c r="AL19" i="35" s="1"/>
  <c r="DP2" i="5"/>
  <c r="Y15" i="5" s="1"/>
  <c r="DP3" i="5"/>
  <c r="DP11" i="4"/>
  <c r="AL14" i="4" s="1"/>
  <c r="DP2" i="4"/>
  <c r="Y15" i="4" s="1"/>
  <c r="DP7" i="4"/>
  <c r="AE123" i="4" s="1"/>
  <c r="DP5" i="4"/>
  <c r="DP12" i="4"/>
  <c r="N15" i="4" s="1"/>
  <c r="DP10" i="4"/>
  <c r="U14" i="4" s="1"/>
  <c r="DP8" i="4"/>
  <c r="DP17" i="4"/>
  <c r="BN20" i="4"/>
  <c r="BJ20" i="4" s="1"/>
  <c r="DP9" i="4"/>
  <c r="I14" i="4" s="1"/>
  <c r="DP19" i="4"/>
  <c r="AE129" i="4" s="1"/>
  <c r="F17" i="51"/>
  <c r="B49" i="50" s="1"/>
  <c r="DI6" i="34"/>
  <c r="BY2" i="6"/>
  <c r="BZ72" i="4" l="1"/>
  <c r="T32" i="4"/>
  <c r="T32" i="5"/>
  <c r="BZ72" i="5"/>
  <c r="CI6" i="59"/>
  <c r="BZ98" i="5"/>
  <c r="BZ102" i="5"/>
  <c r="E20" i="51" s="1"/>
  <c r="CI5" i="59"/>
  <c r="T34" i="5"/>
  <c r="A19" i="5"/>
  <c r="A20" i="5"/>
  <c r="A19" i="4"/>
  <c r="A20" i="4"/>
  <c r="BZ98" i="4"/>
  <c r="BN5" i="59" s="1"/>
  <c r="EO12" i="5"/>
  <c r="A18" i="5"/>
  <c r="L18" i="5" s="1"/>
  <c r="L19" i="5"/>
  <c r="BZ102" i="4"/>
  <c r="F20" i="51" s="1"/>
  <c r="CL5" i="59"/>
  <c r="L19" i="4"/>
  <c r="EO12" i="4"/>
  <c r="A18" i="4"/>
  <c r="L18" i="4" s="1"/>
  <c r="P20" i="4"/>
  <c r="P19" i="5"/>
  <c r="P18" i="5"/>
  <c r="AQ14" i="18"/>
  <c r="BJ20" i="5"/>
  <c r="A18" i="35" s="1"/>
  <c r="GD49" i="5"/>
  <c r="GE49" i="5" s="1"/>
  <c r="GD45" i="5"/>
  <c r="GE45" i="5" s="1"/>
  <c r="GD41" i="5"/>
  <c r="GE41" i="5" s="1"/>
  <c r="GD37" i="5"/>
  <c r="GE37" i="5" s="1"/>
  <c r="GD33" i="5"/>
  <c r="GE33" i="5" s="1"/>
  <c r="GD29" i="5"/>
  <c r="GE29" i="5" s="1"/>
  <c r="GD25" i="5"/>
  <c r="GE25" i="5" s="1"/>
  <c r="GD21" i="5"/>
  <c r="GE21" i="5" s="1"/>
  <c r="GD48" i="5"/>
  <c r="GE48" i="5" s="1"/>
  <c r="GD44" i="5"/>
  <c r="GE44" i="5" s="1"/>
  <c r="GD40" i="5"/>
  <c r="GE40" i="5" s="1"/>
  <c r="GD36" i="5"/>
  <c r="GE36" i="5" s="1"/>
  <c r="GD32" i="5"/>
  <c r="GE32" i="5" s="1"/>
  <c r="GD28" i="5"/>
  <c r="GE28" i="5" s="1"/>
  <c r="GD24" i="5"/>
  <c r="GE24" i="5" s="1"/>
  <c r="GD20" i="5"/>
  <c r="GE20" i="5" s="1"/>
  <c r="GD47" i="5"/>
  <c r="GE47" i="5" s="1"/>
  <c r="GD43" i="5"/>
  <c r="GE43" i="5" s="1"/>
  <c r="GD39" i="5"/>
  <c r="GE39" i="5" s="1"/>
  <c r="GD35" i="5"/>
  <c r="GE35" i="5" s="1"/>
  <c r="GD31" i="5"/>
  <c r="GE31" i="5" s="1"/>
  <c r="GD27" i="5"/>
  <c r="GE27" i="5" s="1"/>
  <c r="GD23" i="5"/>
  <c r="GE23" i="5" s="1"/>
  <c r="GD50" i="5"/>
  <c r="GE50" i="5" s="1"/>
  <c r="GD46" i="5"/>
  <c r="GE46" i="5" s="1"/>
  <c r="GD42" i="5"/>
  <c r="GE42" i="5" s="1"/>
  <c r="GD38" i="5"/>
  <c r="GE38" i="5" s="1"/>
  <c r="GD34" i="5"/>
  <c r="GE34" i="5" s="1"/>
  <c r="GD30" i="5"/>
  <c r="GE30" i="5" s="1"/>
  <c r="GD26" i="5"/>
  <c r="GE26" i="5" s="1"/>
  <c r="GD22" i="5"/>
  <c r="GE22" i="5" s="1"/>
  <c r="GD53" i="6"/>
  <c r="DK58" i="72"/>
  <c r="AP13" i="18"/>
  <c r="AK20" i="18"/>
  <c r="BQ17" i="18"/>
  <c r="AK16" i="35"/>
  <c r="BU20" i="18"/>
  <c r="A14" i="4"/>
  <c r="BW16" i="35"/>
  <c r="E11" i="35"/>
  <c r="W11" i="35" s="1"/>
  <c r="A14" i="5"/>
  <c r="AK19" i="35"/>
  <c r="BO17" i="18"/>
  <c r="AM17" i="18"/>
  <c r="BO16" i="18"/>
  <c r="BW20" i="18"/>
  <c r="BU19" i="18"/>
  <c r="BQ20" i="35"/>
  <c r="BW18" i="18"/>
  <c r="BX5" i="18"/>
  <c r="BR17" i="18"/>
  <c r="E10" i="35"/>
  <c r="BS18" i="18"/>
  <c r="AM14" i="18"/>
  <c r="BQ20" i="18"/>
  <c r="BT13" i="35"/>
  <c r="AO19" i="35"/>
  <c r="BS17" i="18"/>
  <c r="AN19" i="35"/>
  <c r="BN21" i="4"/>
  <c r="BJ21" i="4" s="1"/>
  <c r="BP13" i="35"/>
  <c r="BO20" i="35"/>
  <c r="R3" i="35"/>
  <c r="AM14" i="35"/>
  <c r="BO14" i="18"/>
  <c r="BS13" i="18"/>
  <c r="AS19" i="18"/>
  <c r="BQ15" i="18"/>
  <c r="BS14" i="18"/>
  <c r="BU14" i="18"/>
  <c r="BU17" i="18"/>
  <c r="BU18" i="18"/>
  <c r="AK14" i="35"/>
  <c r="AS17" i="35"/>
  <c r="AP19" i="35"/>
  <c r="AQ18" i="35"/>
  <c r="BR13" i="18"/>
  <c r="AK17" i="18"/>
  <c r="AM15" i="18"/>
  <c r="AN18" i="18"/>
  <c r="AO17" i="18"/>
  <c r="BT14" i="18"/>
  <c r="AM20" i="18"/>
  <c r="AL18" i="18"/>
  <c r="AM19" i="35"/>
  <c r="BQ15" i="35"/>
  <c r="AP14" i="35"/>
  <c r="BR17" i="35"/>
  <c r="AP15" i="35"/>
  <c r="BO15" i="35"/>
  <c r="AQ13" i="35"/>
  <c r="AS16" i="35"/>
  <c r="AO16" i="35"/>
  <c r="AQ19" i="35"/>
  <c r="BU18" i="35"/>
  <c r="AP16" i="35"/>
  <c r="BS17" i="35"/>
  <c r="AM18" i="35"/>
  <c r="BT18" i="35"/>
  <c r="AN20" i="35"/>
  <c r="BX5" i="35"/>
  <c r="BS14" i="35"/>
  <c r="V83" i="4"/>
  <c r="AK18" i="35"/>
  <c r="BW14" i="35"/>
  <c r="BQ13" i="35"/>
  <c r="BO19" i="35"/>
  <c r="BO16" i="35"/>
  <c r="BW20" i="35"/>
  <c r="AQ20" i="35"/>
  <c r="AO15" i="35"/>
  <c r="BQ18" i="35"/>
  <c r="AL17" i="35"/>
  <c r="AM20" i="35"/>
  <c r="BU17" i="35"/>
  <c r="BU19" i="35"/>
  <c r="BR19" i="35"/>
  <c r="BP14" i="35"/>
  <c r="AL16" i="35"/>
  <c r="AO13" i="18"/>
  <c r="AK13" i="18"/>
  <c r="BO19" i="18"/>
  <c r="AQ13" i="18"/>
  <c r="AK19" i="18"/>
  <c r="AS15" i="18"/>
  <c r="BQ18" i="18"/>
  <c r="BP16" i="18"/>
  <c r="AN14" i="18"/>
  <c r="BR14" i="18"/>
  <c r="BR19" i="18"/>
  <c r="BS15" i="18"/>
  <c r="BP15" i="18"/>
  <c r="BP17" i="18"/>
  <c r="BS16" i="18"/>
  <c r="BT17" i="18"/>
  <c r="AQ18" i="18"/>
  <c r="AP13" i="35"/>
  <c r="BW13" i="35"/>
  <c r="AO13" i="35"/>
  <c r="AS13" i="35"/>
  <c r="BW19" i="35"/>
  <c r="BP20" i="35"/>
  <c r="AL14" i="35"/>
  <c r="AO17" i="35"/>
  <c r="AN15" i="35"/>
  <c r="BS15" i="35"/>
  <c r="BR14" i="35"/>
  <c r="AM17" i="35"/>
  <c r="BS19" i="35"/>
  <c r="BU16" i="35"/>
  <c r="AM16" i="35"/>
  <c r="AO18" i="35"/>
  <c r="AK18" i="18"/>
  <c r="BU13" i="18"/>
  <c r="BT13" i="18"/>
  <c r="AK14" i="18"/>
  <c r="BW17" i="18"/>
  <c r="BK3" i="18"/>
  <c r="AM5" i="59" s="1"/>
  <c r="AM18" i="18"/>
  <c r="BP18" i="18"/>
  <c r="AQ19" i="18"/>
  <c r="BP19" i="18"/>
  <c r="BT18" i="18"/>
  <c r="AL16" i="18"/>
  <c r="BT20" i="18"/>
  <c r="AP14" i="18"/>
  <c r="BS19" i="18"/>
  <c r="BR15" i="18"/>
  <c r="N15" i="5"/>
  <c r="P20" i="5" s="1"/>
  <c r="AN13" i="35"/>
  <c r="AL13" i="35"/>
  <c r="AS18" i="35"/>
  <c r="AS15" i="35"/>
  <c r="BS13" i="35"/>
  <c r="BO13" i="35"/>
  <c r="BO18" i="35"/>
  <c r="AK13" i="35"/>
  <c r="BW15" i="35"/>
  <c r="AS19" i="35"/>
  <c r="BW18" i="35"/>
  <c r="BR20" i="35"/>
  <c r="BR18" i="35"/>
  <c r="BP16" i="35"/>
  <c r="BT14" i="35"/>
  <c r="BQ19" i="35"/>
  <c r="BU14" i="35"/>
  <c r="AN16" i="35"/>
  <c r="AL18" i="35"/>
  <c r="AN18" i="35"/>
  <c r="BU15" i="35"/>
  <c r="BS20" i="35"/>
  <c r="BQ16" i="35"/>
  <c r="AP18" i="35"/>
  <c r="AN17" i="35"/>
  <c r="BT16" i="35"/>
  <c r="AP20" i="35"/>
  <c r="BT15" i="35"/>
  <c r="BT20" i="35"/>
  <c r="AL20" i="35"/>
  <c r="BR15" i="35"/>
  <c r="AQ16" i="35"/>
  <c r="AM15" i="35"/>
  <c r="BO18" i="18"/>
  <c r="BW13" i="18"/>
  <c r="BP13" i="18"/>
  <c r="AK16" i="18"/>
  <c r="BO15" i="18"/>
  <c r="AL13" i="18"/>
  <c r="AS14" i="18"/>
  <c r="BW19" i="18"/>
  <c r="BW16" i="18"/>
  <c r="AS16" i="18"/>
  <c r="BW15" i="18"/>
  <c r="AL20" i="18"/>
  <c r="AN19" i="18"/>
  <c r="AP19" i="18"/>
  <c r="AN20" i="18"/>
  <c r="AL14" i="18"/>
  <c r="AP15" i="18"/>
  <c r="AO20" i="18"/>
  <c r="AP16" i="18"/>
  <c r="BR18" i="18"/>
  <c r="BU16" i="18"/>
  <c r="BR20" i="18"/>
  <c r="AM16" i="18"/>
  <c r="AQ16" i="18"/>
  <c r="AP17" i="18"/>
  <c r="AN17" i="18"/>
  <c r="BT16" i="18"/>
  <c r="AO15" i="18"/>
  <c r="AL15" i="18"/>
  <c r="BP14" i="18"/>
  <c r="AO18" i="18"/>
  <c r="AL19" i="18"/>
  <c r="BR13" i="35"/>
  <c r="AK15" i="35"/>
  <c r="AM13" i="35"/>
  <c r="BO14" i="35"/>
  <c r="AK20" i="35"/>
  <c r="AK17" i="35"/>
  <c r="BU13" i="35"/>
  <c r="BO17" i="35"/>
  <c r="BK3" i="35"/>
  <c r="AM6" i="59" s="1"/>
  <c r="AS20" i="35"/>
  <c r="AS14" i="35"/>
  <c r="BW17" i="35"/>
  <c r="AO14" i="35"/>
  <c r="AO20" i="35"/>
  <c r="AQ15" i="35"/>
  <c r="BT19" i="35"/>
  <c r="BP17" i="35"/>
  <c r="BU20" i="35"/>
  <c r="AP17" i="35"/>
  <c r="BP15" i="35"/>
  <c r="BS18" i="35"/>
  <c r="BR16" i="35"/>
  <c r="BP19" i="35"/>
  <c r="BS16" i="35"/>
  <c r="BT17" i="35"/>
  <c r="AQ14" i="35"/>
  <c r="AQ17" i="35"/>
  <c r="AN14" i="35"/>
  <c r="AL15" i="35"/>
  <c r="BP18" i="35"/>
  <c r="BQ17" i="35"/>
  <c r="BQ14" i="35"/>
  <c r="AK15" i="18"/>
  <c r="BW14" i="18"/>
  <c r="AS13" i="18"/>
  <c r="BQ13" i="18"/>
  <c r="BO13" i="18"/>
  <c r="AN13" i="18"/>
  <c r="AM13" i="18"/>
  <c r="AS17" i="18"/>
  <c r="BO20" i="18"/>
  <c r="AS20" i="18"/>
  <c r="AS18" i="18"/>
  <c r="R3" i="18"/>
  <c r="AQ15" i="18"/>
  <c r="AO16" i="18"/>
  <c r="BS20" i="18"/>
  <c r="BR16" i="18"/>
  <c r="BQ16" i="18"/>
  <c r="BT15" i="18"/>
  <c r="AO19" i="18"/>
  <c r="AM19" i="18"/>
  <c r="AP20" i="18"/>
  <c r="AP18" i="18"/>
  <c r="AN15" i="18"/>
  <c r="BP20" i="18"/>
  <c r="BQ19" i="18"/>
  <c r="BU15" i="18"/>
  <c r="AO14" i="18"/>
  <c r="BQ14" i="18"/>
  <c r="AQ20" i="18"/>
  <c r="AN16" i="18"/>
  <c r="AQ17" i="18"/>
  <c r="AL17" i="18"/>
  <c r="V83" i="5"/>
  <c r="FN50" i="5"/>
  <c r="FN33" i="5"/>
  <c r="DK87" i="72"/>
  <c r="FN49" i="5"/>
  <c r="DK57" i="72"/>
  <c r="FN34" i="5"/>
  <c r="DK72" i="72"/>
  <c r="V6" i="59"/>
  <c r="N136" i="76" s="1"/>
  <c r="F92" i="74"/>
  <c r="DP15" i="5"/>
  <c r="Y6" i="59" s="1"/>
  <c r="DP18" i="5"/>
  <c r="I42" i="74" s="1"/>
  <c r="FN25" i="5"/>
  <c r="FN41" i="5"/>
  <c r="FN26" i="5"/>
  <c r="FN42" i="5"/>
  <c r="DK73" i="72"/>
  <c r="DK71" i="72"/>
  <c r="DK80" i="72"/>
  <c r="DK64" i="72"/>
  <c r="V5" i="59"/>
  <c r="N135" i="76" s="1"/>
  <c r="Z6" i="59"/>
  <c r="FN21" i="5"/>
  <c r="FN29" i="5"/>
  <c r="FN37" i="5"/>
  <c r="FN45" i="5"/>
  <c r="FN22" i="5"/>
  <c r="FN30" i="5"/>
  <c r="FN38" i="5"/>
  <c r="FN46" i="5"/>
  <c r="DK81" i="72"/>
  <c r="DK65" i="72"/>
  <c r="DK79" i="72"/>
  <c r="DK63" i="72"/>
  <c r="DK84" i="72"/>
  <c r="DK76" i="72"/>
  <c r="DK68" i="72"/>
  <c r="DK60" i="72"/>
  <c r="T30" i="5"/>
  <c r="DC3" i="34"/>
  <c r="V84" i="5"/>
  <c r="FN23" i="5"/>
  <c r="FN27" i="5"/>
  <c r="FN31" i="5"/>
  <c r="FN35" i="5"/>
  <c r="FN39" i="5"/>
  <c r="FN43" i="5"/>
  <c r="FN47" i="5"/>
  <c r="FN20" i="5"/>
  <c r="FN24" i="5"/>
  <c r="FN28" i="5"/>
  <c r="FN32" i="5"/>
  <c r="FN36" i="5"/>
  <c r="FN40" i="5"/>
  <c r="FN44" i="5"/>
  <c r="FN48" i="5"/>
  <c r="DK85" i="72"/>
  <c r="DK77" i="72"/>
  <c r="DK69" i="72"/>
  <c r="DK61" i="72"/>
  <c r="DK83" i="72"/>
  <c r="DK75" i="72"/>
  <c r="DK67" i="72"/>
  <c r="DK59" i="72"/>
  <c r="DK86" i="72"/>
  <c r="DK82" i="72"/>
  <c r="DK78" i="72"/>
  <c r="DK74" i="72"/>
  <c r="DK70" i="72"/>
  <c r="DK66" i="72"/>
  <c r="DK62" i="72"/>
  <c r="EF16" i="4"/>
  <c r="E10" i="18"/>
  <c r="V84" i="4"/>
  <c r="DK14" i="72"/>
  <c r="DK16" i="72"/>
  <c r="DK18" i="72"/>
  <c r="DK20" i="72"/>
  <c r="DK22" i="72"/>
  <c r="DK24" i="72"/>
  <c r="DK26" i="72"/>
  <c r="DK28" i="72"/>
  <c r="DK30" i="72"/>
  <c r="DK32" i="72"/>
  <c r="DK34" i="72"/>
  <c r="DK36" i="72"/>
  <c r="DK38" i="72"/>
  <c r="DK40" i="72"/>
  <c r="DK42" i="72"/>
  <c r="DK15" i="72"/>
  <c r="DK19" i="72"/>
  <c r="DK23" i="72"/>
  <c r="DK27" i="72"/>
  <c r="DK31" i="72"/>
  <c r="DK35" i="72"/>
  <c r="DK39" i="72"/>
  <c r="DK12" i="72"/>
  <c r="DK13" i="72"/>
  <c r="DK17" i="72"/>
  <c r="DK21" i="72"/>
  <c r="DK25" i="72"/>
  <c r="DK29" i="72"/>
  <c r="DK33" i="72"/>
  <c r="DK37" i="72"/>
  <c r="DK41" i="72"/>
  <c r="FN24" i="4"/>
  <c r="FN26" i="4"/>
  <c r="FN28" i="4"/>
  <c r="FN30" i="4"/>
  <c r="FN32" i="4"/>
  <c r="FN34" i="4"/>
  <c r="FN36" i="4"/>
  <c r="FN38" i="4"/>
  <c r="FN40" i="4"/>
  <c r="FN42" i="4"/>
  <c r="FN44" i="4"/>
  <c r="FN46" i="4"/>
  <c r="FN48" i="4"/>
  <c r="FN50" i="4"/>
  <c r="FN22" i="4"/>
  <c r="FN23" i="4"/>
  <c r="FN25" i="4"/>
  <c r="FN27" i="4"/>
  <c r="FN29" i="4"/>
  <c r="FN31" i="4"/>
  <c r="FN33" i="4"/>
  <c r="FN35" i="4"/>
  <c r="FN37" i="4"/>
  <c r="FN39" i="4"/>
  <c r="FN41" i="4"/>
  <c r="FN43" i="4"/>
  <c r="FN45" i="4"/>
  <c r="FN47" i="4"/>
  <c r="FN49" i="4"/>
  <c r="FN21" i="4"/>
  <c r="FN20" i="4"/>
  <c r="T30" i="4"/>
  <c r="G99" i="4"/>
  <c r="G99" i="5" s="1"/>
  <c r="DC2" i="34"/>
  <c r="HK16" i="4"/>
  <c r="G100" i="4"/>
  <c r="G100" i="5" s="1"/>
  <c r="G100" i="6" s="1"/>
  <c r="G100" i="7" s="1"/>
  <c r="G100" i="8" s="1"/>
  <c r="EH16" i="4"/>
  <c r="I5" i="59" s="1"/>
  <c r="Z5" i="59"/>
  <c r="DP15" i="4"/>
  <c r="Y5" i="59" s="1"/>
  <c r="EG16" i="4"/>
  <c r="EI16" i="4"/>
  <c r="J5" i="59" s="1"/>
  <c r="E11" i="18"/>
  <c r="DP18" i="4"/>
  <c r="F42" i="74" s="1"/>
  <c r="DP4" i="6"/>
  <c r="E17" i="51"/>
  <c r="AU98" i="4"/>
  <c r="Q82" i="4"/>
  <c r="F27" i="51" s="1"/>
  <c r="AT99" i="4"/>
  <c r="BA5" i="59"/>
  <c r="A18" i="18"/>
  <c r="FB20" i="4"/>
  <c r="BH20" i="4" s="1"/>
  <c r="A12" i="72"/>
  <c r="P19" i="4"/>
  <c r="AL22" i="18"/>
  <c r="F91" i="74"/>
  <c r="AL15" i="4"/>
  <c r="P18" i="4"/>
  <c r="P22" i="4"/>
  <c r="T22" i="4" s="1"/>
  <c r="BJ10" i="18"/>
  <c r="BJ11" i="18" s="1"/>
  <c r="AL5" i="59" s="1"/>
  <c r="AU98" i="5"/>
  <c r="Q82" i="5"/>
  <c r="E27" i="51" s="1"/>
  <c r="BA6" i="59"/>
  <c r="AT99" i="5"/>
  <c r="AL22" i="35"/>
  <c r="I91" i="74"/>
  <c r="I93" i="74" s="1"/>
  <c r="AL15" i="5"/>
  <c r="BJ10" i="35"/>
  <c r="BJ21" i="5"/>
  <c r="BN22" i="5"/>
  <c r="DI7" i="34"/>
  <c r="BY2" i="7"/>
  <c r="DP25" i="5" l="1"/>
  <c r="CO6" i="59" s="1"/>
  <c r="C112" i="77"/>
  <c r="C124" i="77"/>
  <c r="C111" i="77"/>
  <c r="C123" i="77"/>
  <c r="N112" i="76"/>
  <c r="N124" i="76"/>
  <c r="DP30" i="6"/>
  <c r="CX7" i="59" s="1"/>
  <c r="AD135" i="6"/>
  <c r="L84" i="74" s="1"/>
  <c r="L87" i="74" s="1"/>
  <c r="N111" i="76"/>
  <c r="N123" i="76"/>
  <c r="FB20" i="5"/>
  <c r="BH20" i="5" s="1"/>
  <c r="GC20" i="5" s="1"/>
  <c r="FX34" i="34" s="1"/>
  <c r="A57" i="72"/>
  <c r="DX57" i="72" s="1"/>
  <c r="BP6" i="59"/>
  <c r="F18" i="51"/>
  <c r="B45" i="50" s="1"/>
  <c r="DP23" i="6"/>
  <c r="B34" i="6" s="1"/>
  <c r="CL7" i="59" s="1"/>
  <c r="DP29" i="6"/>
  <c r="CS7" i="59" s="1"/>
  <c r="DP28" i="6"/>
  <c r="CR7" i="59" s="1"/>
  <c r="DP27" i="6"/>
  <c r="CQ7" i="59" s="1"/>
  <c r="DP26" i="6"/>
  <c r="CP7" i="59" s="1"/>
  <c r="T18" i="5"/>
  <c r="T19" i="5"/>
  <c r="BP5" i="59"/>
  <c r="BN22" i="4"/>
  <c r="BJ22" i="4" s="1"/>
  <c r="EG16" i="5"/>
  <c r="EG18" i="5" s="1"/>
  <c r="EG18" i="4"/>
  <c r="E5" i="59"/>
  <c r="EF18" i="4"/>
  <c r="GC20" i="4"/>
  <c r="FX3" i="34" s="1"/>
  <c r="GD50" i="6"/>
  <c r="GE50" i="6" s="1"/>
  <c r="GD46" i="6"/>
  <c r="GE46" i="6" s="1"/>
  <c r="GD42" i="6"/>
  <c r="GE42" i="6" s="1"/>
  <c r="GD38" i="6"/>
  <c r="GE38" i="6" s="1"/>
  <c r="GD34" i="6"/>
  <c r="GE34" i="6" s="1"/>
  <c r="GD30" i="6"/>
  <c r="GE30" i="6" s="1"/>
  <c r="GD26" i="6"/>
  <c r="GE26" i="6" s="1"/>
  <c r="GD22" i="6"/>
  <c r="GE22" i="6" s="1"/>
  <c r="GD49" i="6"/>
  <c r="GE49" i="6" s="1"/>
  <c r="GD45" i="6"/>
  <c r="GE45" i="6" s="1"/>
  <c r="GD41" i="6"/>
  <c r="GE41" i="6" s="1"/>
  <c r="GD37" i="6"/>
  <c r="GE37" i="6" s="1"/>
  <c r="GD33" i="6"/>
  <c r="GE33" i="6" s="1"/>
  <c r="GD29" i="6"/>
  <c r="GE29" i="6" s="1"/>
  <c r="GD25" i="6"/>
  <c r="GE25" i="6" s="1"/>
  <c r="GD21" i="6"/>
  <c r="GE21" i="6" s="1"/>
  <c r="GD48" i="6"/>
  <c r="GE48" i="6" s="1"/>
  <c r="GD44" i="6"/>
  <c r="GE44" i="6" s="1"/>
  <c r="GD40" i="6"/>
  <c r="GE40" i="6" s="1"/>
  <c r="GD36" i="6"/>
  <c r="GE36" i="6" s="1"/>
  <c r="GD32" i="6"/>
  <c r="GE32" i="6" s="1"/>
  <c r="GD28" i="6"/>
  <c r="GE28" i="6" s="1"/>
  <c r="GD24" i="6"/>
  <c r="GE24" i="6" s="1"/>
  <c r="GD20" i="6"/>
  <c r="GE20" i="6" s="1"/>
  <c r="GD47" i="6"/>
  <c r="GE47" i="6" s="1"/>
  <c r="GD43" i="6"/>
  <c r="GE43" i="6" s="1"/>
  <c r="GD39" i="6"/>
  <c r="GE39" i="6" s="1"/>
  <c r="GD35" i="6"/>
  <c r="GE35" i="6" s="1"/>
  <c r="GD31" i="6"/>
  <c r="GE31" i="6" s="1"/>
  <c r="GD27" i="6"/>
  <c r="GE27" i="6" s="1"/>
  <c r="GD23" i="6"/>
  <c r="GE23" i="6" s="1"/>
  <c r="GD53" i="7"/>
  <c r="EO5" i="4"/>
  <c r="CC81" i="4"/>
  <c r="CC81" i="5"/>
  <c r="FS20" i="4"/>
  <c r="BE20" i="4"/>
  <c r="BC20" i="4" s="1"/>
  <c r="C87" i="77"/>
  <c r="C99" i="77"/>
  <c r="EC12" i="72"/>
  <c r="DY12" i="72"/>
  <c r="DU12" i="72"/>
  <c r="EB12" i="72"/>
  <c r="DX12" i="72"/>
  <c r="EH12" i="72"/>
  <c r="EI12" i="72" s="1"/>
  <c r="EA12" i="72"/>
  <c r="DW12" i="72"/>
  <c r="DZ12" i="72"/>
  <c r="DV12" i="72"/>
  <c r="H18" i="35"/>
  <c r="EM18" i="35"/>
  <c r="EB57" i="72"/>
  <c r="DW57" i="72"/>
  <c r="DY57" i="72"/>
  <c r="C88" i="77"/>
  <c r="C100" i="77"/>
  <c r="H18" i="18"/>
  <c r="EM18" i="18"/>
  <c r="N87" i="76"/>
  <c r="C105" i="75" s="1"/>
  <c r="N99" i="76"/>
  <c r="N88" i="76"/>
  <c r="C106" i="75" s="1"/>
  <c r="N100" i="76"/>
  <c r="J12" i="72"/>
  <c r="U12" i="72" s="1"/>
  <c r="AF12" i="72" s="1"/>
  <c r="F12" i="72"/>
  <c r="Q12" i="72" s="1"/>
  <c r="AB12" i="72" s="1"/>
  <c r="I12" i="72"/>
  <c r="T12" i="72" s="1"/>
  <c r="AE12" i="72" s="1"/>
  <c r="E12" i="72"/>
  <c r="P12" i="72" s="1"/>
  <c r="H12" i="72"/>
  <c r="S12" i="72" s="1"/>
  <c r="AD12" i="72" s="1"/>
  <c r="D12" i="72"/>
  <c r="O12" i="72" s="1"/>
  <c r="Z12" i="72" s="1"/>
  <c r="K12" i="72"/>
  <c r="V12" i="72" s="1"/>
  <c r="AG12" i="72" s="1"/>
  <c r="G12" i="72"/>
  <c r="R12" i="72" s="1"/>
  <c r="AC12" i="72" s="1"/>
  <c r="J57" i="72"/>
  <c r="U57" i="72" s="1"/>
  <c r="AF57" i="72" s="1"/>
  <c r="H57" i="72"/>
  <c r="S57" i="72" s="1"/>
  <c r="AD57" i="72" s="1"/>
  <c r="AR19" i="35"/>
  <c r="AM45" i="35" s="1"/>
  <c r="AO45" i="35" s="1"/>
  <c r="P16" i="35"/>
  <c r="D10" i="35"/>
  <c r="P16" i="18"/>
  <c r="D10" i="18"/>
  <c r="P36" i="35"/>
  <c r="Q39" i="35"/>
  <c r="Q36" i="35"/>
  <c r="P39" i="35"/>
  <c r="W10" i="35"/>
  <c r="BV17" i="18"/>
  <c r="BX17" i="18" s="1"/>
  <c r="BY17" i="18"/>
  <c r="BZ17" i="18" s="1"/>
  <c r="BY19" i="18"/>
  <c r="BZ19" i="18" s="1"/>
  <c r="T19" i="4"/>
  <c r="BY14" i="18"/>
  <c r="BZ14" i="18" s="1"/>
  <c r="AU19" i="35"/>
  <c r="AV19" i="35" s="1"/>
  <c r="BO21" i="18"/>
  <c r="BO11" i="18" s="1"/>
  <c r="BO10" i="18" s="1"/>
  <c r="AR16" i="35"/>
  <c r="AT16" i="35" s="1"/>
  <c r="BU21" i="18"/>
  <c r="BU11" i="18" s="1"/>
  <c r="BU10" i="18" s="1"/>
  <c r="BY18" i="18"/>
  <c r="BZ18" i="18" s="1"/>
  <c r="AU18" i="18"/>
  <c r="AV18" i="18" s="1"/>
  <c r="AU16" i="35"/>
  <c r="AV16" i="35" s="1"/>
  <c r="BV13" i="35"/>
  <c r="BX13" i="35" s="1"/>
  <c r="AU20" i="35"/>
  <c r="AV20" i="35" s="1"/>
  <c r="AU15" i="35"/>
  <c r="AV15" i="35" s="1"/>
  <c r="AK21" i="35"/>
  <c r="AK11" i="35" s="1"/>
  <c r="AK10" i="35" s="1"/>
  <c r="BY15" i="18"/>
  <c r="BZ15" i="18" s="1"/>
  <c r="BY20" i="35"/>
  <c r="BZ20" i="35" s="1"/>
  <c r="AU14" i="18"/>
  <c r="AV14" i="18" s="1"/>
  <c r="AU15" i="18"/>
  <c r="AV15" i="18" s="1"/>
  <c r="BV20" i="18"/>
  <c r="BX20" i="18" s="1"/>
  <c r="AR13" i="18"/>
  <c r="AW13" i="18" s="1"/>
  <c r="AX13" i="18" s="1"/>
  <c r="AM21" i="35"/>
  <c r="AM11" i="35" s="1"/>
  <c r="AM10" i="35" s="1"/>
  <c r="AK21" i="18"/>
  <c r="AK11" i="18" s="1"/>
  <c r="AK10" i="18" s="1"/>
  <c r="AR18" i="18"/>
  <c r="AT18" i="18" s="1"/>
  <c r="BS21" i="18"/>
  <c r="BS11" i="18" s="1"/>
  <c r="BS10" i="18" s="1"/>
  <c r="AR14" i="35"/>
  <c r="AW14" i="35" s="1"/>
  <c r="AX14" i="35" s="1"/>
  <c r="BY16" i="35"/>
  <c r="BZ16" i="35" s="1"/>
  <c r="BW21" i="35"/>
  <c r="P22" i="5"/>
  <c r="T22" i="5" s="1"/>
  <c r="BJ11" i="35"/>
  <c r="AL6" i="59" s="1"/>
  <c r="AR17" i="35"/>
  <c r="AS21" i="35"/>
  <c r="AU18" i="35"/>
  <c r="AV18" i="35" s="1"/>
  <c r="BO21" i="35"/>
  <c r="BO11" i="35" s="1"/>
  <c r="BO10" i="35" s="1"/>
  <c r="BT21" i="18"/>
  <c r="BT11" i="18" s="1"/>
  <c r="BT10" i="18" s="1"/>
  <c r="AQ21" i="35"/>
  <c r="AQ11" i="35" s="1"/>
  <c r="AQ10" i="35" s="1"/>
  <c r="BP21" i="18"/>
  <c r="BP11" i="18" s="1"/>
  <c r="BP10" i="18" s="1"/>
  <c r="BY16" i="18"/>
  <c r="BZ16" i="18" s="1"/>
  <c r="BY18" i="35"/>
  <c r="BZ18" i="35" s="1"/>
  <c r="BR21" i="35"/>
  <c r="BR11" i="35" s="1"/>
  <c r="BR10" i="35" s="1"/>
  <c r="BY15" i="35"/>
  <c r="BZ15" i="35" s="1"/>
  <c r="AN21" i="18"/>
  <c r="AN11" i="18" s="1"/>
  <c r="AN10" i="18" s="1"/>
  <c r="BY20" i="18"/>
  <c r="BZ20" i="18" s="1"/>
  <c r="AM21" i="18"/>
  <c r="AM11" i="18" s="1"/>
  <c r="AM10" i="18" s="1"/>
  <c r="AU17" i="18"/>
  <c r="AV17" i="18" s="1"/>
  <c r="BQ21" i="35"/>
  <c r="BQ11" i="35" s="1"/>
  <c r="BQ10" i="35" s="1"/>
  <c r="BY19" i="35"/>
  <c r="BZ19" i="35" s="1"/>
  <c r="AU17" i="35"/>
  <c r="AV17" i="35" s="1"/>
  <c r="BV14" i="35"/>
  <c r="BX14" i="35" s="1"/>
  <c r="AR15" i="35"/>
  <c r="AT15" i="35" s="1"/>
  <c r="BV14" i="18"/>
  <c r="BQ29" i="18" s="1"/>
  <c r="BR29" i="18" s="1"/>
  <c r="AU13" i="18"/>
  <c r="AV13" i="18" s="1"/>
  <c r="AP21" i="35"/>
  <c r="AP11" i="35" s="1"/>
  <c r="AP10" i="35" s="1"/>
  <c r="AL21" i="35"/>
  <c r="AL11" i="35" s="1"/>
  <c r="AL10" i="35" s="1"/>
  <c r="BU21" i="35"/>
  <c r="BU11" i="35" s="1"/>
  <c r="BU10" i="35" s="1"/>
  <c r="BV18" i="35"/>
  <c r="BQ33" i="35" s="1"/>
  <c r="BR33" i="35" s="1"/>
  <c r="AN21" i="35"/>
  <c r="AN11" i="35" s="1"/>
  <c r="AN10" i="35" s="1"/>
  <c r="AP21" i="18"/>
  <c r="AP11" i="18" s="1"/>
  <c r="AP10" i="18" s="1"/>
  <c r="BV18" i="18"/>
  <c r="BX18" i="18" s="1"/>
  <c r="AR14" i="18"/>
  <c r="AT14" i="18" s="1"/>
  <c r="AO21" i="35"/>
  <c r="AO11" i="35" s="1"/>
  <c r="AO10" i="35" s="1"/>
  <c r="BV20" i="35"/>
  <c r="BX20" i="35" s="1"/>
  <c r="BV15" i="18"/>
  <c r="AF5" i="59" s="1"/>
  <c r="AR20" i="35"/>
  <c r="AT20" i="35" s="1"/>
  <c r="BV16" i="35"/>
  <c r="BX16" i="35" s="1"/>
  <c r="BY13" i="35"/>
  <c r="BZ13" i="35" s="1"/>
  <c r="AR18" i="35"/>
  <c r="AM44" i="35" s="1"/>
  <c r="AO44" i="35" s="1"/>
  <c r="BW21" i="18"/>
  <c r="BV15" i="35"/>
  <c r="BQ30" i="35" s="1"/>
  <c r="BR30" i="35" s="1"/>
  <c r="AU13" i="35"/>
  <c r="AV13" i="35" s="1"/>
  <c r="AR13" i="35"/>
  <c r="AW13" i="35" s="1"/>
  <c r="AX13" i="35" s="1"/>
  <c r="AU20" i="18"/>
  <c r="AV20" i="18" s="1"/>
  <c r="BV19" i="18"/>
  <c r="BX19" i="18" s="1"/>
  <c r="AR20" i="18"/>
  <c r="AT20" i="18" s="1"/>
  <c r="AR17" i="18"/>
  <c r="BV16" i="18"/>
  <c r="BQ21" i="18"/>
  <c r="BQ11" i="18" s="1"/>
  <c r="BQ10" i="18" s="1"/>
  <c r="BT21" i="35"/>
  <c r="BT11" i="35" s="1"/>
  <c r="BT10" i="35" s="1"/>
  <c r="BV17" i="35"/>
  <c r="CA17" i="35" s="1"/>
  <c r="BY14" i="35"/>
  <c r="BZ14" i="35" s="1"/>
  <c r="AU19" i="18"/>
  <c r="AV19" i="18" s="1"/>
  <c r="AR15" i="18"/>
  <c r="AT15" i="18" s="1"/>
  <c r="AU16" i="18"/>
  <c r="AV16" i="18" s="1"/>
  <c r="DP5" i="6"/>
  <c r="AS21" i="18"/>
  <c r="AR19" i="18"/>
  <c r="AT19" i="18" s="1"/>
  <c r="AO21" i="18"/>
  <c r="AO11" i="18" s="1"/>
  <c r="AO10" i="18" s="1"/>
  <c r="BV19" i="35"/>
  <c r="BX19" i="35" s="1"/>
  <c r="AU14" i="35"/>
  <c r="AV14" i="35" s="1"/>
  <c r="BP21" i="35"/>
  <c r="BP11" i="35" s="1"/>
  <c r="BP10" i="35" s="1"/>
  <c r="BY17" i="35"/>
  <c r="BZ17" i="35" s="1"/>
  <c r="BY13" i="18"/>
  <c r="BZ13" i="18" s="1"/>
  <c r="BR21" i="18"/>
  <c r="BR11" i="18" s="1"/>
  <c r="BR10" i="18" s="1"/>
  <c r="BV13" i="18"/>
  <c r="BX13" i="18" s="1"/>
  <c r="BS21" i="35"/>
  <c r="BS11" i="35" s="1"/>
  <c r="BS10" i="35" s="1"/>
  <c r="AL21" i="18"/>
  <c r="AL11" i="18" s="1"/>
  <c r="AL10" i="18" s="1"/>
  <c r="AR16" i="18"/>
  <c r="AT16" i="18" s="1"/>
  <c r="AQ21" i="18"/>
  <c r="AQ11" i="18" s="1"/>
  <c r="AQ10" i="18" s="1"/>
  <c r="DK26" i="4"/>
  <c r="BZ79" i="4" s="1"/>
  <c r="F9" i="51" s="1"/>
  <c r="B19" i="50" s="1"/>
  <c r="DK26" i="5"/>
  <c r="BZ79" i="5" s="1"/>
  <c r="E9" i="51" s="1"/>
  <c r="D6" i="59"/>
  <c r="B119" i="62" s="1"/>
  <c r="D5" i="59"/>
  <c r="B118" i="62" s="1"/>
  <c r="DP7" i="6"/>
  <c r="AE123" i="6" s="1"/>
  <c r="HK16" i="6" s="1"/>
  <c r="F93" i="74"/>
  <c r="DP17" i="6"/>
  <c r="EF16" i="5"/>
  <c r="W10" i="18"/>
  <c r="W11" i="18"/>
  <c r="DP8" i="6"/>
  <c r="BN20" i="6"/>
  <c r="BN21" i="6" s="1"/>
  <c r="P39" i="18"/>
  <c r="G99" i="6"/>
  <c r="G99" i="7" s="1"/>
  <c r="G99" i="8" s="1"/>
  <c r="DP11" i="6"/>
  <c r="AL14" i="6" s="1"/>
  <c r="DP2" i="6"/>
  <c r="Y15" i="6" s="1"/>
  <c r="DP9" i="6"/>
  <c r="I14" i="6" s="1"/>
  <c r="DP16" i="6"/>
  <c r="AT5" i="36"/>
  <c r="BU18" i="36" s="1"/>
  <c r="DP13" i="6"/>
  <c r="U7" i="59" s="1"/>
  <c r="DP19" i="6"/>
  <c r="AE129" i="6" s="1"/>
  <c r="DP3" i="6"/>
  <c r="DP10" i="6"/>
  <c r="U14" i="6" s="1"/>
  <c r="DP12" i="6"/>
  <c r="N15" i="6" s="1"/>
  <c r="Q36" i="18"/>
  <c r="P36" i="18"/>
  <c r="F5" i="59"/>
  <c r="Q39" i="18"/>
  <c r="DP4" i="7"/>
  <c r="J17" i="51"/>
  <c r="E18" i="51"/>
  <c r="BN6" i="59"/>
  <c r="BN23" i="5"/>
  <c r="BJ22" i="5"/>
  <c r="Q11" i="18"/>
  <c r="BY2" i="8"/>
  <c r="DI8" i="34"/>
  <c r="BA18" i="35"/>
  <c r="FB21" i="4"/>
  <c r="BH21" i="4" s="1"/>
  <c r="A19" i="18"/>
  <c r="A13" i="72"/>
  <c r="FB21" i="5"/>
  <c r="BH21" i="5" s="1"/>
  <c r="A19" i="35"/>
  <c r="A58" i="72"/>
  <c r="Q10" i="35"/>
  <c r="P21" i="5"/>
  <c r="T21" i="5" s="1"/>
  <c r="Q11" i="35"/>
  <c r="Q10" i="18"/>
  <c r="P21" i="4"/>
  <c r="T21" i="4" s="1"/>
  <c r="BA18" i="18"/>
  <c r="BE20" i="5" l="1"/>
  <c r="BC20" i="5" s="1"/>
  <c r="FS20" i="5"/>
  <c r="DP30" i="7"/>
  <c r="CX8" i="59" s="1"/>
  <c r="AD135" i="7"/>
  <c r="O84" i="74" s="1"/>
  <c r="O87" i="74" s="1"/>
  <c r="T32" i="6"/>
  <c r="AL91" i="6" s="1"/>
  <c r="I57" i="72"/>
  <c r="T57" i="72" s="1"/>
  <c r="AE57" i="72" s="1"/>
  <c r="K57" i="72"/>
  <c r="V57" i="72" s="1"/>
  <c r="AG57" i="72" s="1"/>
  <c r="DV57" i="72"/>
  <c r="EH57" i="72"/>
  <c r="EI57" i="72" s="1"/>
  <c r="D57" i="72"/>
  <c r="O57" i="72" s="1"/>
  <c r="Z57" i="72" s="1"/>
  <c r="E57" i="72"/>
  <c r="P57" i="72" s="1"/>
  <c r="AA57" i="72" s="1"/>
  <c r="F57" i="72"/>
  <c r="Q57" i="72" s="1"/>
  <c r="AB57" i="72" s="1"/>
  <c r="G57" i="72"/>
  <c r="R57" i="72" s="1"/>
  <c r="AC57" i="72" s="1"/>
  <c r="DU57" i="72"/>
  <c r="EC57" i="72"/>
  <c r="DZ57" i="72"/>
  <c r="EA57" i="72"/>
  <c r="BN23" i="4"/>
  <c r="BN24" i="4" s="1"/>
  <c r="AH85" i="4"/>
  <c r="AH88" i="4" s="1"/>
  <c r="F6" i="59"/>
  <c r="J18" i="18"/>
  <c r="BZ72" i="6"/>
  <c r="CI7" i="59"/>
  <c r="T34" i="6"/>
  <c r="BZ102" i="6"/>
  <c r="J20" i="51" s="1"/>
  <c r="DP23" i="7"/>
  <c r="B34" i="7" s="1"/>
  <c r="T34" i="7" s="1"/>
  <c r="DP29" i="7"/>
  <c r="CS8" i="59" s="1"/>
  <c r="DP28" i="7"/>
  <c r="CR8" i="59" s="1"/>
  <c r="DP27" i="7"/>
  <c r="CQ8" i="59" s="1"/>
  <c r="DP26" i="7"/>
  <c r="CP8" i="59" s="1"/>
  <c r="BZ98" i="6"/>
  <c r="BN7" i="59" s="1"/>
  <c r="A19" i="6"/>
  <c r="A20" i="6"/>
  <c r="EG16" i="6"/>
  <c r="EG18" i="6" s="1"/>
  <c r="EO12" i="6"/>
  <c r="L19" i="6"/>
  <c r="A18" i="6"/>
  <c r="L18" i="6" s="1"/>
  <c r="P18" i="6"/>
  <c r="P19" i="6"/>
  <c r="P20" i="6"/>
  <c r="E6" i="59"/>
  <c r="EF18" i="5"/>
  <c r="AH85" i="5" s="1"/>
  <c r="AH88" i="5" s="1"/>
  <c r="GD47" i="7"/>
  <c r="GE47" i="7" s="1"/>
  <c r="GD43" i="7"/>
  <c r="GE43" i="7" s="1"/>
  <c r="GD39" i="7"/>
  <c r="GE39" i="7" s="1"/>
  <c r="GD35" i="7"/>
  <c r="GE35" i="7" s="1"/>
  <c r="GD31" i="7"/>
  <c r="GE31" i="7" s="1"/>
  <c r="GD27" i="7"/>
  <c r="GE27" i="7" s="1"/>
  <c r="GD23" i="7"/>
  <c r="GE23" i="7" s="1"/>
  <c r="GD50" i="7"/>
  <c r="GE50" i="7" s="1"/>
  <c r="GD46" i="7"/>
  <c r="GE46" i="7" s="1"/>
  <c r="GD42" i="7"/>
  <c r="GE42" i="7" s="1"/>
  <c r="GD38" i="7"/>
  <c r="GE38" i="7" s="1"/>
  <c r="GD34" i="7"/>
  <c r="GE34" i="7" s="1"/>
  <c r="GD30" i="7"/>
  <c r="GE30" i="7" s="1"/>
  <c r="GD26" i="7"/>
  <c r="GE26" i="7" s="1"/>
  <c r="GD22" i="7"/>
  <c r="GE22" i="7" s="1"/>
  <c r="GD49" i="7"/>
  <c r="GE49" i="7" s="1"/>
  <c r="GD45" i="7"/>
  <c r="GE45" i="7" s="1"/>
  <c r="GD41" i="7"/>
  <c r="GE41" i="7" s="1"/>
  <c r="GD37" i="7"/>
  <c r="GE37" i="7" s="1"/>
  <c r="GD33" i="7"/>
  <c r="GE33" i="7" s="1"/>
  <c r="GD29" i="7"/>
  <c r="GE29" i="7" s="1"/>
  <c r="GD25" i="7"/>
  <c r="GE25" i="7" s="1"/>
  <c r="GD21" i="7"/>
  <c r="GE21" i="7" s="1"/>
  <c r="GD48" i="7"/>
  <c r="GE48" i="7" s="1"/>
  <c r="GD44" i="7"/>
  <c r="GE44" i="7" s="1"/>
  <c r="GD40" i="7"/>
  <c r="GE40" i="7" s="1"/>
  <c r="GD36" i="7"/>
  <c r="GE36" i="7" s="1"/>
  <c r="GD32" i="7"/>
  <c r="GE32" i="7" s="1"/>
  <c r="GD28" i="7"/>
  <c r="GE28" i="7" s="1"/>
  <c r="GD24" i="7"/>
  <c r="GE24" i="7" s="1"/>
  <c r="GD20" i="7"/>
  <c r="GE20" i="7" s="1"/>
  <c r="GD53" i="8"/>
  <c r="GC21" i="4"/>
  <c r="FX4" i="34" s="1"/>
  <c r="GC21" i="5"/>
  <c r="FX35" i="34" s="1"/>
  <c r="AE5" i="59"/>
  <c r="BY32" i="18"/>
  <c r="BZ32" i="18" s="1"/>
  <c r="AW19" i="35"/>
  <c r="AA12" i="72"/>
  <c r="W12" i="72"/>
  <c r="X12" i="72" s="1"/>
  <c r="AT19" i="35"/>
  <c r="AX19" i="35"/>
  <c r="AP45" i="35" s="1"/>
  <c r="AQ45" i="35" s="1"/>
  <c r="J18" i="35"/>
  <c r="FS21" i="4"/>
  <c r="BE21" i="4"/>
  <c r="J19" i="18" s="1"/>
  <c r="FS21" i="5"/>
  <c r="BE21" i="5"/>
  <c r="BC21" i="5" s="1"/>
  <c r="ED12" i="72"/>
  <c r="EE12" i="72" s="1"/>
  <c r="H19" i="35"/>
  <c r="EM19" i="35"/>
  <c r="EB13" i="72"/>
  <c r="DX13" i="72"/>
  <c r="EH13" i="72"/>
  <c r="EI13" i="72" s="1"/>
  <c r="EA13" i="72"/>
  <c r="DW13" i="72"/>
  <c r="DZ13" i="72"/>
  <c r="DV13" i="72"/>
  <c r="EC13" i="72"/>
  <c r="DY13" i="72"/>
  <c r="DU13" i="72"/>
  <c r="EC58" i="72"/>
  <c r="DY58" i="72"/>
  <c r="DU58" i="72"/>
  <c r="EB58" i="72"/>
  <c r="DX58" i="72"/>
  <c r="EH58" i="72"/>
  <c r="EI58" i="72" s="1"/>
  <c r="EA58" i="72"/>
  <c r="DW58" i="72"/>
  <c r="DZ58" i="72"/>
  <c r="DV58" i="72"/>
  <c r="H19" i="18"/>
  <c r="EM19" i="18"/>
  <c r="AH5" i="59"/>
  <c r="AW18" i="35"/>
  <c r="BY28" i="35"/>
  <c r="BZ28" i="35" s="1"/>
  <c r="CA17" i="18"/>
  <c r="BQ32" i="18"/>
  <c r="BR32" i="18" s="1"/>
  <c r="CB17" i="18"/>
  <c r="J13" i="72"/>
  <c r="U13" i="72" s="1"/>
  <c r="AF13" i="72" s="1"/>
  <c r="F13" i="72"/>
  <c r="Q13" i="72" s="1"/>
  <c r="AB13" i="72" s="1"/>
  <c r="I13" i="72"/>
  <c r="T13" i="72" s="1"/>
  <c r="AE13" i="72" s="1"/>
  <c r="E13" i="72"/>
  <c r="P13" i="72" s="1"/>
  <c r="H13" i="72"/>
  <c r="S13" i="72" s="1"/>
  <c r="AD13" i="72" s="1"/>
  <c r="D13" i="72"/>
  <c r="O13" i="72" s="1"/>
  <c r="Z13" i="72" s="1"/>
  <c r="K13" i="72"/>
  <c r="V13" i="72" s="1"/>
  <c r="AG13" i="72" s="1"/>
  <c r="G13" i="72"/>
  <c r="R13" i="72" s="1"/>
  <c r="AC13" i="72" s="1"/>
  <c r="K58" i="72"/>
  <c r="V58" i="72" s="1"/>
  <c r="AG58" i="72" s="1"/>
  <c r="G58" i="72"/>
  <c r="R58" i="72" s="1"/>
  <c r="AC58" i="72" s="1"/>
  <c r="J58" i="72"/>
  <c r="U58" i="72" s="1"/>
  <c r="AF58" i="72" s="1"/>
  <c r="F58" i="72"/>
  <c r="Q58" i="72" s="1"/>
  <c r="AB58" i="72" s="1"/>
  <c r="I58" i="72"/>
  <c r="T58" i="72" s="1"/>
  <c r="AE58" i="72" s="1"/>
  <c r="E58" i="72"/>
  <c r="P58" i="72" s="1"/>
  <c r="H58" i="72"/>
  <c r="S58" i="72" s="1"/>
  <c r="AD58" i="72" s="1"/>
  <c r="D58" i="72"/>
  <c r="O58" i="72" s="1"/>
  <c r="Z58" i="72" s="1"/>
  <c r="AH83" i="5"/>
  <c r="E11" i="36"/>
  <c r="W11" i="36" s="1"/>
  <c r="A14" i="6"/>
  <c r="BZ21" i="18"/>
  <c r="AM40" i="35"/>
  <c r="AD6" i="59"/>
  <c r="BQ28" i="35"/>
  <c r="BR28" i="35" s="1"/>
  <c r="CA13" i="35"/>
  <c r="CB13" i="35" s="1"/>
  <c r="AD5" i="59"/>
  <c r="AT13" i="35"/>
  <c r="DK104" i="72"/>
  <c r="AW16" i="35"/>
  <c r="AX16" i="35" s="1"/>
  <c r="CA18" i="18"/>
  <c r="AM42" i="35"/>
  <c r="AI5" i="59"/>
  <c r="AG6" i="59"/>
  <c r="BY29" i="35"/>
  <c r="BZ29" i="35" s="1"/>
  <c r="BY31" i="35"/>
  <c r="BZ31" i="35" s="1"/>
  <c r="BQ31" i="18"/>
  <c r="BR31" i="18" s="1"/>
  <c r="AX19" i="18"/>
  <c r="BQ35" i="18"/>
  <c r="BR35" i="18" s="1"/>
  <c r="AM44" i="18"/>
  <c r="AO44" i="18" s="1"/>
  <c r="AW17" i="18"/>
  <c r="AX17" i="18" s="1"/>
  <c r="BQ32" i="35"/>
  <c r="BR32" i="35" s="1"/>
  <c r="AW15" i="18"/>
  <c r="AT17" i="35"/>
  <c r="AM43" i="35"/>
  <c r="AX18" i="35"/>
  <c r="AP44" i="35" s="1"/>
  <c r="AQ44" i="35" s="1"/>
  <c r="BY33" i="18"/>
  <c r="BZ33" i="18" s="1"/>
  <c r="BX14" i="18"/>
  <c r="BY29" i="18"/>
  <c r="BZ29" i="18" s="1"/>
  <c r="AW16" i="18"/>
  <c r="AW17" i="35"/>
  <c r="AX17" i="35" s="1"/>
  <c r="AM46" i="18"/>
  <c r="AO46" i="18" s="1"/>
  <c r="CB18" i="18"/>
  <c r="CB15" i="18"/>
  <c r="CB14" i="18"/>
  <c r="BS29" i="18" s="1"/>
  <c r="BT29" i="18" s="1"/>
  <c r="CA14" i="18"/>
  <c r="AT18" i="35"/>
  <c r="CB19" i="18"/>
  <c r="CA14" i="35"/>
  <c r="CB14" i="35" s="1"/>
  <c r="BQ33" i="18"/>
  <c r="BR33" i="18" s="1"/>
  <c r="AM39" i="18"/>
  <c r="AW14" i="18"/>
  <c r="AX14" i="18" s="1"/>
  <c r="AH6" i="59"/>
  <c r="AW18" i="18"/>
  <c r="CB18" i="35"/>
  <c r="BS33" i="35" s="1"/>
  <c r="BT33" i="35" s="1"/>
  <c r="AK5" i="59"/>
  <c r="AM45" i="18"/>
  <c r="AO45" i="18" s="1"/>
  <c r="AT17" i="18"/>
  <c r="AW20" i="35"/>
  <c r="AM43" i="18"/>
  <c r="CB17" i="35"/>
  <c r="AX18" i="18"/>
  <c r="AM39" i="35"/>
  <c r="CB20" i="18"/>
  <c r="CA13" i="18"/>
  <c r="CB13" i="18" s="1"/>
  <c r="BX17" i="35"/>
  <c r="BY32" i="35"/>
  <c r="BZ32" i="35" s="1"/>
  <c r="BY35" i="18"/>
  <c r="BZ35" i="18" s="1"/>
  <c r="CA35" i="18" s="1"/>
  <c r="CB35" i="18" s="1"/>
  <c r="CA20" i="18"/>
  <c r="CB19" i="35"/>
  <c r="CA19" i="18"/>
  <c r="AT14" i="35"/>
  <c r="BY34" i="35"/>
  <c r="BZ34" i="35" s="1"/>
  <c r="BY34" i="18"/>
  <c r="BZ34" i="18" s="1"/>
  <c r="AJ5" i="59"/>
  <c r="AE6" i="59"/>
  <c r="CA16" i="35"/>
  <c r="CB16" i="35" s="1"/>
  <c r="BQ34" i="18"/>
  <c r="BR34" i="18" s="1"/>
  <c r="AF6" i="59"/>
  <c r="BQ29" i="35"/>
  <c r="BR29" i="35" s="1"/>
  <c r="BQ31" i="35"/>
  <c r="BR31" i="35" s="1"/>
  <c r="AO16" i="36"/>
  <c r="BY35" i="35"/>
  <c r="BZ35" i="35" s="1"/>
  <c r="CA20" i="35"/>
  <c r="AX15" i="35"/>
  <c r="BX18" i="35"/>
  <c r="AM41" i="18"/>
  <c r="AO41" i="18" s="1"/>
  <c r="AT13" i="18"/>
  <c r="CB20" i="35"/>
  <c r="BY31" i="18"/>
  <c r="BZ31" i="18" s="1"/>
  <c r="AG5" i="59"/>
  <c r="AX20" i="18"/>
  <c r="AI6" i="59"/>
  <c r="CA18" i="35"/>
  <c r="AR21" i="35"/>
  <c r="BO15" i="36"/>
  <c r="BY30" i="35"/>
  <c r="BZ30" i="35" s="1"/>
  <c r="CB15" i="35"/>
  <c r="BS30" i="35" s="1"/>
  <c r="BT30" i="35" s="1"/>
  <c r="BQ30" i="18"/>
  <c r="BR30" i="18" s="1"/>
  <c r="CA15" i="35"/>
  <c r="CA15" i="18"/>
  <c r="BY30" i="18"/>
  <c r="BZ30" i="18" s="1"/>
  <c r="BX15" i="35"/>
  <c r="BX15" i="18"/>
  <c r="AV21" i="35"/>
  <c r="AL27" i="35" s="1"/>
  <c r="EF16" i="6"/>
  <c r="AV21" i="18"/>
  <c r="AL27" i="18" s="1"/>
  <c r="BV21" i="35"/>
  <c r="AX15" i="18"/>
  <c r="BV21" i="18"/>
  <c r="BY28" i="18"/>
  <c r="BZ28" i="18" s="1"/>
  <c r="BQ28" i="18"/>
  <c r="BX16" i="18"/>
  <c r="AM46" i="35"/>
  <c r="AO46" i="35" s="1"/>
  <c r="AX20" i="35"/>
  <c r="BQ35" i="35"/>
  <c r="BR35" i="35" s="1"/>
  <c r="AK6" i="59"/>
  <c r="BQ34" i="35"/>
  <c r="BR34" i="35" s="1"/>
  <c r="AJ6" i="59"/>
  <c r="CA19" i="35"/>
  <c r="CA16" i="18"/>
  <c r="CB16" i="18" s="1"/>
  <c r="AM40" i="18"/>
  <c r="AM41" i="35"/>
  <c r="AO41" i="35" s="1"/>
  <c r="AW15" i="35"/>
  <c r="AW20" i="18"/>
  <c r="BY33" i="35"/>
  <c r="BZ33" i="35" s="1"/>
  <c r="AW19" i="18"/>
  <c r="BZ21" i="35"/>
  <c r="AL13" i="36"/>
  <c r="AN15" i="36"/>
  <c r="DP3" i="7"/>
  <c r="AX16" i="18"/>
  <c r="AR21" i="18"/>
  <c r="AM42" i="18"/>
  <c r="AK14" i="36"/>
  <c r="BU19" i="36"/>
  <c r="AP16" i="36"/>
  <c r="BT18" i="36"/>
  <c r="AS18" i="36"/>
  <c r="BW15" i="36"/>
  <c r="AP14" i="36"/>
  <c r="BT15" i="36"/>
  <c r="BO14" i="36"/>
  <c r="AQ19" i="36"/>
  <c r="BT20" i="36"/>
  <c r="AM15" i="36"/>
  <c r="BW14" i="36"/>
  <c r="BW16" i="36"/>
  <c r="AP19" i="36"/>
  <c r="AN16" i="36"/>
  <c r="BU14" i="36"/>
  <c r="BQ20" i="36"/>
  <c r="AM19" i="36"/>
  <c r="AN19" i="36"/>
  <c r="BT13" i="36"/>
  <c r="AN13" i="36"/>
  <c r="BK3" i="36"/>
  <c r="AM7" i="59" s="1"/>
  <c r="BS14" i="36"/>
  <c r="BS15" i="36"/>
  <c r="AL20" i="36"/>
  <c r="BP18" i="36"/>
  <c r="AL16" i="36"/>
  <c r="BJ20" i="6"/>
  <c r="A102" i="72" s="1"/>
  <c r="AP13" i="36"/>
  <c r="AK16" i="36"/>
  <c r="AK15" i="36"/>
  <c r="BW20" i="36"/>
  <c r="BW18" i="36"/>
  <c r="BO17" i="36"/>
  <c r="BR13" i="36"/>
  <c r="BW19" i="36"/>
  <c r="AK13" i="36"/>
  <c r="AS17" i="36"/>
  <c r="BW17" i="36"/>
  <c r="R3" i="36"/>
  <c r="AP18" i="36"/>
  <c r="AM18" i="36"/>
  <c r="BP16" i="36"/>
  <c r="AQ18" i="36"/>
  <c r="BP17" i="36"/>
  <c r="AL15" i="36"/>
  <c r="AL17" i="36"/>
  <c r="AN17" i="36"/>
  <c r="BX5" i="36"/>
  <c r="AO18" i="36"/>
  <c r="AN14" i="36"/>
  <c r="AO20" i="36"/>
  <c r="BS20" i="36"/>
  <c r="BU16" i="36"/>
  <c r="BP14" i="36"/>
  <c r="AP17" i="36"/>
  <c r="BP20" i="36"/>
  <c r="BR14" i="36"/>
  <c r="AM17" i="36"/>
  <c r="BS17" i="36"/>
  <c r="AQ20" i="36"/>
  <c r="E10" i="36"/>
  <c r="DP7" i="7"/>
  <c r="AE123" i="7" s="1"/>
  <c r="L92" i="74"/>
  <c r="FN28" i="6"/>
  <c r="DK125" i="72"/>
  <c r="FN27" i="6"/>
  <c r="FN20" i="6"/>
  <c r="DK102" i="72"/>
  <c r="FN35" i="6"/>
  <c r="FN36" i="6"/>
  <c r="DK117" i="72"/>
  <c r="FN43" i="6"/>
  <c r="FN44" i="6"/>
  <c r="FN31" i="6"/>
  <c r="FN47" i="6"/>
  <c r="FN32" i="6"/>
  <c r="FN48" i="6"/>
  <c r="DK121" i="72"/>
  <c r="Z7" i="59"/>
  <c r="FN23" i="6"/>
  <c r="FN39" i="6"/>
  <c r="FN24" i="6"/>
  <c r="FN40" i="6"/>
  <c r="DK129" i="72"/>
  <c r="DK111" i="72"/>
  <c r="V7" i="59"/>
  <c r="N137" i="76" s="1"/>
  <c r="DP15" i="6"/>
  <c r="Y7" i="59" s="1"/>
  <c r="DP18" i="6"/>
  <c r="L42" i="74" s="1"/>
  <c r="BS13" i="36"/>
  <c r="AO13" i="36"/>
  <c r="BQ13" i="36"/>
  <c r="BO13" i="36"/>
  <c r="AQ13" i="36"/>
  <c r="AS16" i="36"/>
  <c r="AK18" i="36"/>
  <c r="BO20" i="36"/>
  <c r="AS15" i="36"/>
  <c r="AK17" i="36"/>
  <c r="AM13" i="36"/>
  <c r="AK20" i="36"/>
  <c r="BU13" i="36"/>
  <c r="BP13" i="36"/>
  <c r="BO18" i="36"/>
  <c r="BO19" i="36"/>
  <c r="BO16" i="36"/>
  <c r="AS13" i="36"/>
  <c r="BW13" i="36"/>
  <c r="AS14" i="36"/>
  <c r="AK19" i="36"/>
  <c r="AS19" i="36"/>
  <c r="AS20" i="36"/>
  <c r="BP19" i="36"/>
  <c r="BU20" i="36"/>
  <c r="AO15" i="36"/>
  <c r="AO17" i="36"/>
  <c r="BQ18" i="36"/>
  <c r="AO19" i="36"/>
  <c r="AL18" i="36"/>
  <c r="AM20" i="36"/>
  <c r="BR15" i="36"/>
  <c r="AP15" i="36"/>
  <c r="BQ15" i="36"/>
  <c r="BR16" i="36"/>
  <c r="AO14" i="36"/>
  <c r="AQ15" i="36"/>
  <c r="BT14" i="36"/>
  <c r="AM16" i="36"/>
  <c r="BR17" i="36"/>
  <c r="BS19" i="36"/>
  <c r="BT16" i="36"/>
  <c r="BR20" i="36"/>
  <c r="BR19" i="36"/>
  <c r="BU17" i="36"/>
  <c r="BS18" i="36"/>
  <c r="BR18" i="36"/>
  <c r="AQ17" i="36"/>
  <c r="AP20" i="36"/>
  <c r="BQ19" i="36"/>
  <c r="BS16" i="36"/>
  <c r="AN18" i="36"/>
  <c r="BQ14" i="36"/>
  <c r="BQ17" i="36"/>
  <c r="AL14" i="36"/>
  <c r="AM14" i="36"/>
  <c r="AL19" i="36"/>
  <c r="BU15" i="36"/>
  <c r="AN20" i="36"/>
  <c r="BT19" i="36"/>
  <c r="AQ16" i="36"/>
  <c r="BQ16" i="36"/>
  <c r="BT17" i="36"/>
  <c r="AQ14" i="36"/>
  <c r="BP15" i="36"/>
  <c r="DK103" i="72"/>
  <c r="DK126" i="72"/>
  <c r="DK118" i="72"/>
  <c r="DK110" i="72"/>
  <c r="T30" i="6"/>
  <c r="V83" i="6"/>
  <c r="DC4" i="34"/>
  <c r="V84" i="6"/>
  <c r="FN21" i="6"/>
  <c r="FN25" i="6"/>
  <c r="FN29" i="6"/>
  <c r="FN33" i="6"/>
  <c r="FN37" i="6"/>
  <c r="FN41" i="6"/>
  <c r="FN45" i="6"/>
  <c r="FN49" i="6"/>
  <c r="FN22" i="6"/>
  <c r="FN26" i="6"/>
  <c r="FN30" i="6"/>
  <c r="FN34" i="6"/>
  <c r="FN38" i="6"/>
  <c r="FN42" i="6"/>
  <c r="FN46" i="6"/>
  <c r="FN50" i="6"/>
  <c r="DK131" i="72"/>
  <c r="DK127" i="72"/>
  <c r="DK123" i="72"/>
  <c r="DK119" i="72"/>
  <c r="DK115" i="72"/>
  <c r="DK107" i="72"/>
  <c r="DK130" i="72"/>
  <c r="DK122" i="72"/>
  <c r="DK114" i="72"/>
  <c r="DK106" i="72"/>
  <c r="DK113" i="72"/>
  <c r="DK109" i="72"/>
  <c r="DK105" i="72"/>
  <c r="DK132" i="72"/>
  <c r="DK128" i="72"/>
  <c r="DK124" i="72"/>
  <c r="DK120" i="72"/>
  <c r="DK116" i="72"/>
  <c r="DK112" i="72"/>
  <c r="DK108" i="72"/>
  <c r="BN20" i="7"/>
  <c r="BJ20" i="7" s="1"/>
  <c r="DP11" i="7"/>
  <c r="AL14" i="7" s="1"/>
  <c r="DP5" i="7"/>
  <c r="DP9" i="7"/>
  <c r="I14" i="7" s="1"/>
  <c r="DP17" i="7"/>
  <c r="DP12" i="7"/>
  <c r="O92" i="74" s="1"/>
  <c r="DP16" i="7"/>
  <c r="DP2" i="7"/>
  <c r="Y15" i="7" s="1"/>
  <c r="DP10" i="7"/>
  <c r="U14" i="7" s="1"/>
  <c r="DP19" i="7"/>
  <c r="AE129" i="7" s="1"/>
  <c r="AT5" i="37"/>
  <c r="AO16" i="37" s="1"/>
  <c r="DP13" i="7"/>
  <c r="U8" i="59" s="1"/>
  <c r="DP8" i="7"/>
  <c r="DP4" i="8"/>
  <c r="C17" i="51"/>
  <c r="BA19" i="18"/>
  <c r="AC11" i="35"/>
  <c r="Q17" i="35"/>
  <c r="BE10" i="35"/>
  <c r="BA19" i="35"/>
  <c r="AL22" i="36"/>
  <c r="P22" i="6"/>
  <c r="T22" i="6" s="1"/>
  <c r="L91" i="74"/>
  <c r="AL15" i="6"/>
  <c r="BJ10" i="36"/>
  <c r="BJ11" i="36" s="1"/>
  <c r="AL7" i="59" s="1"/>
  <c r="I18" i="35"/>
  <c r="BN22" i="6"/>
  <c r="BJ21" i="6"/>
  <c r="BJ23" i="4"/>
  <c r="I18" i="18"/>
  <c r="BN24" i="5"/>
  <c r="BJ23" i="5"/>
  <c r="AC10" i="18"/>
  <c r="Q16" i="18"/>
  <c r="AC10" i="35"/>
  <c r="Q16" i="35"/>
  <c r="DI9" i="34"/>
  <c r="BY2" i="9"/>
  <c r="A20" i="18"/>
  <c r="A14" i="72"/>
  <c r="FB22" i="4"/>
  <c r="BH22" i="4" s="1"/>
  <c r="AC11" i="18"/>
  <c r="Q17" i="18"/>
  <c r="A20" i="35"/>
  <c r="FB22" i="5"/>
  <c r="BH22" i="5" s="1"/>
  <c r="A59" i="72"/>
  <c r="AU98" i="6"/>
  <c r="Q82" i="6"/>
  <c r="J27" i="51" s="1"/>
  <c r="AT99" i="6"/>
  <c r="BA7" i="59"/>
  <c r="DP25" i="6" l="1"/>
  <c r="CO7" i="59" s="1"/>
  <c r="DP25" i="7"/>
  <c r="CO8" i="59" s="1"/>
  <c r="BS30" i="18"/>
  <c r="BT30" i="18" s="1"/>
  <c r="BS29" i="35"/>
  <c r="BT29" i="35" s="1"/>
  <c r="CA31" i="18"/>
  <c r="CB31" i="18" s="1"/>
  <c r="BS31" i="18"/>
  <c r="BT31" i="18" s="1"/>
  <c r="C113" i="77"/>
  <c r="C125" i="77"/>
  <c r="T32" i="7"/>
  <c r="N113" i="76"/>
  <c r="N125" i="76"/>
  <c r="DP30" i="8"/>
  <c r="CX9" i="59" s="1"/>
  <c r="AD16" i="60" s="1"/>
  <c r="AD135" i="8"/>
  <c r="R84" i="74" s="1"/>
  <c r="R87" i="74" s="1"/>
  <c r="ED57" i="72"/>
  <c r="EE57" i="72" s="1"/>
  <c r="L57" i="72"/>
  <c r="M57" i="72" s="1"/>
  <c r="CD57" i="72" s="1"/>
  <c r="W57" i="72"/>
  <c r="X57" i="72" s="1"/>
  <c r="AI57" i="72" s="1"/>
  <c r="AL26" i="18"/>
  <c r="AO48" i="18" s="1"/>
  <c r="BS31" i="35"/>
  <c r="BT31" i="35" s="1"/>
  <c r="D18" i="60"/>
  <c r="J18" i="51"/>
  <c r="CA32" i="18"/>
  <c r="CB32" i="18" s="1"/>
  <c r="J19" i="35"/>
  <c r="BZ98" i="7"/>
  <c r="C18" i="51" s="1"/>
  <c r="EG16" i="7"/>
  <c r="EG18" i="7" s="1"/>
  <c r="F7" i="59"/>
  <c r="BZ72" i="7"/>
  <c r="BP7" i="59"/>
  <c r="BZ102" i="7"/>
  <c r="C20" i="51" s="1"/>
  <c r="CL8" i="59"/>
  <c r="DP29" i="8"/>
  <c r="CS9" i="59" s="1"/>
  <c r="DP28" i="8"/>
  <c r="CR9" i="59" s="1"/>
  <c r="AD14" i="60" s="1"/>
  <c r="DP27" i="8"/>
  <c r="CQ9" i="59" s="1"/>
  <c r="AD13" i="60" s="1"/>
  <c r="DP26" i="8"/>
  <c r="CP9" i="59" s="1"/>
  <c r="A20" i="7"/>
  <c r="A19" i="7"/>
  <c r="T19" i="6"/>
  <c r="T18" i="6"/>
  <c r="EO12" i="7"/>
  <c r="L19" i="7"/>
  <c r="A18" i="7"/>
  <c r="L18" i="7" s="1"/>
  <c r="P18" i="7"/>
  <c r="P19" i="7"/>
  <c r="DP7" i="8"/>
  <c r="AE123" i="8" s="1"/>
  <c r="HK16" i="8" s="1"/>
  <c r="DP23" i="8"/>
  <c r="B34" i="8" s="1"/>
  <c r="E7" i="59"/>
  <c r="EF18" i="6"/>
  <c r="AH85" i="6" s="1"/>
  <c r="AH88" i="6" s="1"/>
  <c r="GD48" i="8"/>
  <c r="GE48" i="8" s="1"/>
  <c r="GD44" i="8"/>
  <c r="GE44" i="8" s="1"/>
  <c r="GD40" i="8"/>
  <c r="GE40" i="8" s="1"/>
  <c r="GD36" i="8"/>
  <c r="GE36" i="8" s="1"/>
  <c r="GD32" i="8"/>
  <c r="GE32" i="8" s="1"/>
  <c r="GD28" i="8"/>
  <c r="GE28" i="8" s="1"/>
  <c r="GD24" i="8"/>
  <c r="GE24" i="8" s="1"/>
  <c r="GD20" i="8"/>
  <c r="GE20" i="8" s="1"/>
  <c r="GD47" i="8"/>
  <c r="GE47" i="8" s="1"/>
  <c r="GD43" i="8"/>
  <c r="GE43" i="8" s="1"/>
  <c r="GD39" i="8"/>
  <c r="GE39" i="8" s="1"/>
  <c r="GD35" i="8"/>
  <c r="GE35" i="8" s="1"/>
  <c r="GD31" i="8"/>
  <c r="GE31" i="8" s="1"/>
  <c r="GD27" i="8"/>
  <c r="GE27" i="8" s="1"/>
  <c r="GD23" i="8"/>
  <c r="GE23" i="8" s="1"/>
  <c r="GD50" i="8"/>
  <c r="GE50" i="8" s="1"/>
  <c r="GD46" i="8"/>
  <c r="GE46" i="8" s="1"/>
  <c r="GD42" i="8"/>
  <c r="GE42" i="8" s="1"/>
  <c r="GD38" i="8"/>
  <c r="GE38" i="8" s="1"/>
  <c r="GD34" i="8"/>
  <c r="GE34" i="8" s="1"/>
  <c r="GD30" i="8"/>
  <c r="GE30" i="8" s="1"/>
  <c r="GD26" i="8"/>
  <c r="GE26" i="8" s="1"/>
  <c r="GD22" i="8"/>
  <c r="GE22" i="8" s="1"/>
  <c r="GD49" i="8"/>
  <c r="GE49" i="8" s="1"/>
  <c r="GD45" i="8"/>
  <c r="GE45" i="8" s="1"/>
  <c r="GD41" i="8"/>
  <c r="GE41" i="8" s="1"/>
  <c r="GD37" i="8"/>
  <c r="GE37" i="8" s="1"/>
  <c r="GD33" i="8"/>
  <c r="GE33" i="8" s="1"/>
  <c r="GD29" i="8"/>
  <c r="GE29" i="8" s="1"/>
  <c r="GD25" i="8"/>
  <c r="GE25" i="8" s="1"/>
  <c r="GD21" i="8"/>
  <c r="GE21" i="8" s="1"/>
  <c r="GD53" i="9"/>
  <c r="GC22" i="5"/>
  <c r="FX36" i="34" s="1"/>
  <c r="GC22" i="4"/>
  <c r="FX5" i="34" s="1"/>
  <c r="EN18" i="18"/>
  <c r="BC21" i="4"/>
  <c r="I19" i="18" s="1"/>
  <c r="BX21" i="35"/>
  <c r="W58" i="72"/>
  <c r="X58" i="72" s="1"/>
  <c r="AA58" i="72"/>
  <c r="AI12" i="72"/>
  <c r="W13" i="72"/>
  <c r="X13" i="72" s="1"/>
  <c r="AA13" i="72"/>
  <c r="CC81" i="6"/>
  <c r="FS22" i="4"/>
  <c r="BE22" i="4"/>
  <c r="BC22" i="4" s="1"/>
  <c r="FS22" i="5"/>
  <c r="BE22" i="5"/>
  <c r="BC22" i="5" s="1"/>
  <c r="ED58" i="72"/>
  <c r="EE58" i="72" s="1"/>
  <c r="C89" i="77"/>
  <c r="C101" i="77"/>
  <c r="H20" i="35"/>
  <c r="EM20" i="35"/>
  <c r="EH14" i="72"/>
  <c r="EI14" i="72" s="1"/>
  <c r="EA14" i="72"/>
  <c r="DW14" i="72"/>
  <c r="DZ14" i="72"/>
  <c r="DV14" i="72"/>
  <c r="EC14" i="72"/>
  <c r="DY14" i="72"/>
  <c r="DU14" i="72"/>
  <c r="EB14" i="72"/>
  <c r="DX14" i="72"/>
  <c r="H20" i="18"/>
  <c r="EM20" i="18"/>
  <c r="BS32" i="18"/>
  <c r="BT32" i="18" s="1"/>
  <c r="DZ59" i="72"/>
  <c r="DV59" i="72"/>
  <c r="EC59" i="72"/>
  <c r="DY59" i="72"/>
  <c r="DU59" i="72"/>
  <c r="EB59" i="72"/>
  <c r="DX59" i="72"/>
  <c r="EH59" i="72"/>
  <c r="EI59" i="72" s="1"/>
  <c r="EA59" i="72"/>
  <c r="DW59" i="72"/>
  <c r="ED13" i="72"/>
  <c r="EE13" i="72" s="1"/>
  <c r="EN19" i="18" s="1"/>
  <c r="EA102" i="72"/>
  <c r="DW102" i="72"/>
  <c r="EH102" i="72"/>
  <c r="EI102" i="72" s="1"/>
  <c r="EB102" i="72"/>
  <c r="DX102" i="72"/>
  <c r="DV102" i="72"/>
  <c r="EC102" i="72"/>
  <c r="DU102" i="72"/>
  <c r="DZ102" i="72"/>
  <c r="DY102" i="72"/>
  <c r="CA28" i="35"/>
  <c r="CB28" i="35" s="1"/>
  <c r="N89" i="76"/>
  <c r="C107" i="75" s="1"/>
  <c r="N101" i="76"/>
  <c r="K59" i="72"/>
  <c r="V59" i="72" s="1"/>
  <c r="AG59" i="72" s="1"/>
  <c r="G59" i="72"/>
  <c r="R59" i="72" s="1"/>
  <c r="AC59" i="72" s="1"/>
  <c r="J59" i="72"/>
  <c r="U59" i="72" s="1"/>
  <c r="AF59" i="72" s="1"/>
  <c r="F59" i="72"/>
  <c r="Q59" i="72" s="1"/>
  <c r="AB59" i="72" s="1"/>
  <c r="I59" i="72"/>
  <c r="T59" i="72" s="1"/>
  <c r="AE59" i="72" s="1"/>
  <c r="E59" i="72"/>
  <c r="P59" i="72" s="1"/>
  <c r="AA59" i="72" s="1"/>
  <c r="H59" i="72"/>
  <c r="S59" i="72" s="1"/>
  <c r="AD59" i="72" s="1"/>
  <c r="D59" i="72"/>
  <c r="O59" i="72" s="1"/>
  <c r="J14" i="72"/>
  <c r="U14" i="72" s="1"/>
  <c r="AF14" i="72" s="1"/>
  <c r="F14" i="72"/>
  <c r="Q14" i="72" s="1"/>
  <c r="AB14" i="72" s="1"/>
  <c r="I14" i="72"/>
  <c r="T14" i="72" s="1"/>
  <c r="AE14" i="72" s="1"/>
  <c r="E14" i="72"/>
  <c r="P14" i="72" s="1"/>
  <c r="AA14" i="72" s="1"/>
  <c r="H14" i="72"/>
  <c r="S14" i="72" s="1"/>
  <c r="AD14" i="72" s="1"/>
  <c r="D14" i="72"/>
  <c r="O14" i="72" s="1"/>
  <c r="K14" i="72"/>
  <c r="V14" i="72" s="1"/>
  <c r="AG14" i="72" s="1"/>
  <c r="G14" i="72"/>
  <c r="R14" i="72" s="1"/>
  <c r="AC14" i="72" s="1"/>
  <c r="K102" i="72"/>
  <c r="V102" i="72" s="1"/>
  <c r="AG102" i="72" s="1"/>
  <c r="G102" i="72"/>
  <c r="R102" i="72" s="1"/>
  <c r="AC102" i="72" s="1"/>
  <c r="J102" i="72"/>
  <c r="U102" i="72" s="1"/>
  <c r="AF102" i="72" s="1"/>
  <c r="F102" i="72"/>
  <c r="Q102" i="72" s="1"/>
  <c r="AB102" i="72" s="1"/>
  <c r="I102" i="72"/>
  <c r="T102" i="72" s="1"/>
  <c r="AE102" i="72" s="1"/>
  <c r="E102" i="72"/>
  <c r="P102" i="72" s="1"/>
  <c r="H102" i="72"/>
  <c r="S102" i="72" s="1"/>
  <c r="AD102" i="72" s="1"/>
  <c r="D102" i="72"/>
  <c r="O102" i="72" s="1"/>
  <c r="Z102" i="72" s="1"/>
  <c r="AL26" i="35"/>
  <c r="AO48" i="35" s="1"/>
  <c r="P39" i="36"/>
  <c r="AT21" i="35"/>
  <c r="AL24" i="35" s="1"/>
  <c r="AL25" i="35" s="1"/>
  <c r="AP45" i="18"/>
  <c r="AQ45" i="18" s="1"/>
  <c r="BS35" i="18"/>
  <c r="BT35" i="18" s="1"/>
  <c r="P16" i="36"/>
  <c r="D10" i="36"/>
  <c r="CA29" i="35"/>
  <c r="CB29" i="35" s="1"/>
  <c r="AH83" i="6"/>
  <c r="CA34" i="35"/>
  <c r="CB34" i="35" s="1"/>
  <c r="E11" i="37"/>
  <c r="A14" i="7"/>
  <c r="BS28" i="35"/>
  <c r="BT28" i="35" s="1"/>
  <c r="AP44" i="18"/>
  <c r="AQ44" i="18" s="1"/>
  <c r="E10" i="37"/>
  <c r="BS32" i="35"/>
  <c r="BT32" i="35" s="1"/>
  <c r="CA31" i="35"/>
  <c r="CB31" i="35" s="1"/>
  <c r="V91" i="6"/>
  <c r="AH91" i="6"/>
  <c r="CA30" i="18"/>
  <c r="CB30" i="18" s="1"/>
  <c r="CA34" i="18"/>
  <c r="CB34" i="18" s="1"/>
  <c r="CA33" i="18"/>
  <c r="CB33" i="18" s="1"/>
  <c r="CA29" i="18"/>
  <c r="CB29" i="18" s="1"/>
  <c r="BS34" i="18"/>
  <c r="BT34" i="18" s="1"/>
  <c r="CA21" i="18"/>
  <c r="CB21" i="18" s="1"/>
  <c r="AW21" i="35"/>
  <c r="AX21" i="35" s="1"/>
  <c r="AW21" i="18"/>
  <c r="AX21" i="18" s="1"/>
  <c r="AP46" i="18"/>
  <c r="AQ46" i="18" s="1"/>
  <c r="AT21" i="18"/>
  <c r="AL24" i="18" s="1"/>
  <c r="AL25" i="18" s="1"/>
  <c r="BS33" i="18"/>
  <c r="BT33" i="18" s="1"/>
  <c r="CA30" i="35"/>
  <c r="CB30" i="35" s="1"/>
  <c r="CA28" i="18"/>
  <c r="CB28" i="18" s="1"/>
  <c r="CA32" i="35"/>
  <c r="CB32" i="35" s="1"/>
  <c r="CA33" i="35"/>
  <c r="CB33" i="35" s="1"/>
  <c r="BS34" i="35"/>
  <c r="BT34" i="35" s="1"/>
  <c r="EF16" i="7"/>
  <c r="CA21" i="35"/>
  <c r="CB21" i="35" s="1"/>
  <c r="AP41" i="35"/>
  <c r="AQ41" i="35" s="1"/>
  <c r="CA35" i="35"/>
  <c r="CB35" i="35" s="1"/>
  <c r="BS35" i="35"/>
  <c r="BT35" i="35" s="1"/>
  <c r="AP41" i="18"/>
  <c r="AQ41" i="18" s="1"/>
  <c r="BX21" i="18"/>
  <c r="AI83" i="35"/>
  <c r="AI83" i="18"/>
  <c r="FB20" i="6"/>
  <c r="BH20" i="6" s="1"/>
  <c r="AP46" i="35"/>
  <c r="AQ46" i="35" s="1"/>
  <c r="BV18" i="36"/>
  <c r="AI7" i="59" s="1"/>
  <c r="AS21" i="36"/>
  <c r="A18" i="36"/>
  <c r="BA18" i="36" s="1"/>
  <c r="BW21" i="36"/>
  <c r="DP17" i="8"/>
  <c r="CI8" i="59"/>
  <c r="DP3" i="8"/>
  <c r="DP8" i="8"/>
  <c r="BN20" i="8"/>
  <c r="BN21" i="8" s="1"/>
  <c r="AL13" i="37"/>
  <c r="AM21" i="36"/>
  <c r="AM11" i="36" s="1"/>
  <c r="AM10" i="36" s="1"/>
  <c r="BV13" i="36"/>
  <c r="BX13" i="36" s="1"/>
  <c r="AU15" i="36"/>
  <c r="AV15" i="36" s="1"/>
  <c r="BP21" i="36"/>
  <c r="BP11" i="36" s="1"/>
  <c r="BP10" i="36" s="1"/>
  <c r="AR18" i="36"/>
  <c r="AT18" i="36" s="1"/>
  <c r="BS21" i="36"/>
  <c r="BS11" i="36" s="1"/>
  <c r="BS10" i="36" s="1"/>
  <c r="AR13" i="36"/>
  <c r="AW13" i="36" s="1"/>
  <c r="AX13" i="36" s="1"/>
  <c r="DK26" i="6"/>
  <c r="BZ79" i="6" s="1"/>
  <c r="J9" i="51" s="1"/>
  <c r="BB7" i="59"/>
  <c r="BZ94" i="6"/>
  <c r="J16" i="51" s="1"/>
  <c r="AN21" i="36"/>
  <c r="AN11" i="36" s="1"/>
  <c r="AN10" i="36" s="1"/>
  <c r="BV16" i="36"/>
  <c r="AG7" i="59" s="1"/>
  <c r="AU18" i="36"/>
  <c r="AV18" i="36" s="1"/>
  <c r="BO21" i="36"/>
  <c r="BO11" i="36" s="1"/>
  <c r="BO10" i="36" s="1"/>
  <c r="AL17" i="37"/>
  <c r="W10" i="36"/>
  <c r="AL21" i="36"/>
  <c r="AL11" i="36" s="1"/>
  <c r="AL10" i="36" s="1"/>
  <c r="BV14" i="36"/>
  <c r="BY29" i="36" s="1"/>
  <c r="BZ29" i="36" s="1"/>
  <c r="AM15" i="37"/>
  <c r="AR16" i="36"/>
  <c r="AT16" i="36" s="1"/>
  <c r="BN21" i="7"/>
  <c r="BN22" i="7" s="1"/>
  <c r="AL20" i="37"/>
  <c r="Q36" i="36"/>
  <c r="BY18" i="36"/>
  <c r="BZ18" i="36" s="1"/>
  <c r="BO14" i="37"/>
  <c r="BW14" i="37"/>
  <c r="BS20" i="37"/>
  <c r="AN19" i="37"/>
  <c r="AO19" i="37"/>
  <c r="HK16" i="7"/>
  <c r="AU14" i="36"/>
  <c r="AV14" i="36" s="1"/>
  <c r="BU21" i="36"/>
  <c r="BU11" i="36" s="1"/>
  <c r="BU10" i="36" s="1"/>
  <c r="BR21" i="36"/>
  <c r="BR11" i="36" s="1"/>
  <c r="BR10" i="36" s="1"/>
  <c r="AR17" i="36"/>
  <c r="AW17" i="36" s="1"/>
  <c r="AU17" i="36"/>
  <c r="AV17" i="36" s="1"/>
  <c r="BY16" i="36"/>
  <c r="BZ16" i="36" s="1"/>
  <c r="BP13" i="37"/>
  <c r="BW17" i="37"/>
  <c r="BW19" i="37"/>
  <c r="BS16" i="37"/>
  <c r="AL15" i="37"/>
  <c r="BP19" i="37"/>
  <c r="AP14" i="37"/>
  <c r="BP15" i="37"/>
  <c r="AR14" i="36"/>
  <c r="AT14" i="36" s="1"/>
  <c r="DP11" i="8"/>
  <c r="AL14" i="8" s="1"/>
  <c r="AT5" i="38"/>
  <c r="AQ16" i="38" s="1"/>
  <c r="DP16" i="8"/>
  <c r="DP5" i="8"/>
  <c r="BY17" i="36"/>
  <c r="BZ17" i="36" s="1"/>
  <c r="P36" i="36"/>
  <c r="Q39" i="36"/>
  <c r="L93" i="74"/>
  <c r="AS14" i="37"/>
  <c r="BO15" i="37"/>
  <c r="AM13" i="37"/>
  <c r="BW13" i="37"/>
  <c r="AK20" i="37"/>
  <c r="BR14" i="37"/>
  <c r="AM20" i="37"/>
  <c r="BP18" i="37"/>
  <c r="AP20" i="37"/>
  <c r="BR16" i="37"/>
  <c r="AM16" i="37"/>
  <c r="AO18" i="37"/>
  <c r="BU16" i="37"/>
  <c r="AN15" i="37"/>
  <c r="BQ16" i="37"/>
  <c r="BU20" i="37"/>
  <c r="D7" i="59"/>
  <c r="B120" i="62" s="1"/>
  <c r="DK39" i="6"/>
  <c r="DP9" i="8"/>
  <c r="I14" i="8" s="1"/>
  <c r="DP2" i="8"/>
  <c r="Y15" i="8" s="1"/>
  <c r="DP13" i="8"/>
  <c r="U9" i="59" s="1"/>
  <c r="D7" i="60" s="1"/>
  <c r="DP10" i="8"/>
  <c r="U14" i="8" s="1"/>
  <c r="DP12" i="8"/>
  <c r="R92" i="74" s="1"/>
  <c r="DP19" i="8"/>
  <c r="AE129" i="8" s="1"/>
  <c r="BT21" i="36"/>
  <c r="BT11" i="36" s="1"/>
  <c r="BT10" i="36" s="1"/>
  <c r="N15" i="7"/>
  <c r="P20" i="7" s="1"/>
  <c r="V8" i="59"/>
  <c r="N138" i="76" s="1"/>
  <c r="BL7" i="59"/>
  <c r="DM29" i="6"/>
  <c r="BJ7" i="59" s="1"/>
  <c r="AR20" i="36"/>
  <c r="AT20" i="36" s="1"/>
  <c r="BV17" i="36"/>
  <c r="BY32" i="36" s="1"/>
  <c r="BZ32" i="36" s="1"/>
  <c r="BV19" i="36"/>
  <c r="BX19" i="36" s="1"/>
  <c r="AP21" i="36"/>
  <c r="AP11" i="36" s="1"/>
  <c r="AP10" i="36" s="1"/>
  <c r="AO21" i="36"/>
  <c r="AO11" i="36" s="1"/>
  <c r="AO10" i="36" s="1"/>
  <c r="BV20" i="36"/>
  <c r="BQ35" i="36" s="1"/>
  <c r="BR35" i="36" s="1"/>
  <c r="AU19" i="36"/>
  <c r="AV19" i="36" s="1"/>
  <c r="AU13" i="36"/>
  <c r="AV13" i="36" s="1"/>
  <c r="BY13" i="36"/>
  <c r="BZ13" i="36" s="1"/>
  <c r="AR19" i="36"/>
  <c r="AT19" i="36" s="1"/>
  <c r="BY19" i="36"/>
  <c r="BZ19" i="36" s="1"/>
  <c r="AU20" i="36"/>
  <c r="AV20" i="36" s="1"/>
  <c r="BY20" i="36"/>
  <c r="BZ20" i="36" s="1"/>
  <c r="BV15" i="36"/>
  <c r="BX15" i="36" s="1"/>
  <c r="AK21" i="36"/>
  <c r="AK11" i="36" s="1"/>
  <c r="AK10" i="36" s="1"/>
  <c r="AR15" i="36"/>
  <c r="AT15" i="36" s="1"/>
  <c r="AQ21" i="36"/>
  <c r="AQ11" i="36" s="1"/>
  <c r="AQ10" i="36" s="1"/>
  <c r="BY15" i="36"/>
  <c r="BZ15" i="36" s="1"/>
  <c r="BY14" i="36"/>
  <c r="BZ14" i="36" s="1"/>
  <c r="AU16" i="36"/>
  <c r="AV16" i="36" s="1"/>
  <c r="BQ21" i="36"/>
  <c r="BQ11" i="36" s="1"/>
  <c r="BQ10" i="36" s="1"/>
  <c r="DC5" i="34"/>
  <c r="DK148" i="72"/>
  <c r="DK150" i="72"/>
  <c r="DK152" i="72"/>
  <c r="DK154" i="72"/>
  <c r="DK156" i="72"/>
  <c r="DK158" i="72"/>
  <c r="DK160" i="72"/>
  <c r="DK162" i="72"/>
  <c r="DK164" i="72"/>
  <c r="DK166" i="72"/>
  <c r="DK168" i="72"/>
  <c r="DK170" i="72"/>
  <c r="DK172" i="72"/>
  <c r="DK174" i="72"/>
  <c r="DK176" i="72"/>
  <c r="DK147" i="72"/>
  <c r="DK149" i="72"/>
  <c r="DK151" i="72"/>
  <c r="DK153" i="72"/>
  <c r="DK155" i="72"/>
  <c r="DK157" i="72"/>
  <c r="DK159" i="72"/>
  <c r="DK161" i="72"/>
  <c r="DK163" i="72"/>
  <c r="DK165" i="72"/>
  <c r="DK167" i="72"/>
  <c r="DK169" i="72"/>
  <c r="DK171" i="72"/>
  <c r="DK173" i="72"/>
  <c r="DK175" i="72"/>
  <c r="DK177" i="72"/>
  <c r="FN49" i="7"/>
  <c r="FN47" i="7"/>
  <c r="FN45" i="7"/>
  <c r="FN43" i="7"/>
  <c r="FN41" i="7"/>
  <c r="FN39" i="7"/>
  <c r="FN37" i="7"/>
  <c r="FN35" i="7"/>
  <c r="FN33" i="7"/>
  <c r="FN31" i="7"/>
  <c r="FN29" i="7"/>
  <c r="FN27" i="7"/>
  <c r="FN25" i="7"/>
  <c r="FN23" i="7"/>
  <c r="FN21" i="7"/>
  <c r="FN50" i="7"/>
  <c r="FN48" i="7"/>
  <c r="FN46" i="7"/>
  <c r="FN44" i="7"/>
  <c r="FN42" i="7"/>
  <c r="FN40" i="7"/>
  <c r="FN38" i="7"/>
  <c r="FN36" i="7"/>
  <c r="FN34" i="7"/>
  <c r="FN32" i="7"/>
  <c r="FN30" i="7"/>
  <c r="FN28" i="7"/>
  <c r="FN26" i="7"/>
  <c r="FN24" i="7"/>
  <c r="FN22" i="7"/>
  <c r="FN20" i="7"/>
  <c r="AK14" i="37"/>
  <c r="BW15" i="37"/>
  <c r="BQ13" i="37"/>
  <c r="AK19" i="37"/>
  <c r="AQ13" i="37"/>
  <c r="BW16" i="37"/>
  <c r="BO17" i="37"/>
  <c r="AK18" i="37"/>
  <c r="BW20" i="37"/>
  <c r="AK13" i="37"/>
  <c r="AS19" i="37"/>
  <c r="BT15" i="37"/>
  <c r="BT14" i="37"/>
  <c r="BT16" i="37"/>
  <c r="BP17" i="37"/>
  <c r="AP16" i="37"/>
  <c r="BS17" i="37"/>
  <c r="AP15" i="37"/>
  <c r="AP18" i="37"/>
  <c r="BU14" i="37"/>
  <c r="BT18" i="37"/>
  <c r="BR20" i="37"/>
  <c r="BU18" i="37"/>
  <c r="BR15" i="37"/>
  <c r="BU17" i="37"/>
  <c r="AN14" i="37"/>
  <c r="BS19" i="37"/>
  <c r="BS15" i="37"/>
  <c r="AP19" i="37"/>
  <c r="AM19" i="37"/>
  <c r="BQ17" i="37"/>
  <c r="AQ17" i="37"/>
  <c r="BS13" i="37"/>
  <c r="BO13" i="37"/>
  <c r="AS15" i="37"/>
  <c r="BO20" i="37"/>
  <c r="AP13" i="37"/>
  <c r="BU13" i="37"/>
  <c r="AS17" i="37"/>
  <c r="AS18" i="37"/>
  <c r="AS20" i="37"/>
  <c r="BW18" i="37"/>
  <c r="AK16" i="37"/>
  <c r="BK3" i="37"/>
  <c r="AM8" i="59" s="1"/>
  <c r="BT19" i="37"/>
  <c r="BQ15" i="37"/>
  <c r="BQ18" i="37"/>
  <c r="BP14" i="37"/>
  <c r="AO17" i="37"/>
  <c r="BX5" i="37"/>
  <c r="BS14" i="37"/>
  <c r="AL18" i="37"/>
  <c r="AP17" i="37"/>
  <c r="AN16" i="37"/>
  <c r="BR19" i="37"/>
  <c r="AN20" i="37"/>
  <c r="AQ18" i="37"/>
  <c r="AL16" i="37"/>
  <c r="AN17" i="37"/>
  <c r="AL19" i="37"/>
  <c r="BQ19" i="37"/>
  <c r="AQ16" i="37"/>
  <c r="BP20" i="37"/>
  <c r="AL14" i="37"/>
  <c r="BU19" i="37"/>
  <c r="AO13" i="37"/>
  <c r="BT13" i="37"/>
  <c r="AK15" i="37"/>
  <c r="BO16" i="37"/>
  <c r="BR13" i="37"/>
  <c r="AN13" i="37"/>
  <c r="AK17" i="37"/>
  <c r="BO19" i="37"/>
  <c r="AS16" i="37"/>
  <c r="BO18" i="37"/>
  <c r="AS13" i="37"/>
  <c r="R3" i="37"/>
  <c r="BR17" i="37"/>
  <c r="AQ14" i="37"/>
  <c r="BR18" i="37"/>
  <c r="AO15" i="37"/>
  <c r="BP16" i="37"/>
  <c r="BU15" i="37"/>
  <c r="BT17" i="37"/>
  <c r="BQ20" i="37"/>
  <c r="AQ20" i="37"/>
  <c r="AM17" i="37"/>
  <c r="BQ14" i="37"/>
  <c r="AM14" i="37"/>
  <c r="AO20" i="37"/>
  <c r="BT20" i="37"/>
  <c r="AM18" i="37"/>
  <c r="AN18" i="37"/>
  <c r="AO14" i="37"/>
  <c r="AQ15" i="37"/>
  <c r="BS18" i="37"/>
  <c r="AQ19" i="37"/>
  <c r="AL28" i="35"/>
  <c r="V84" i="7"/>
  <c r="V83" i="7"/>
  <c r="DP18" i="7"/>
  <c r="O42" i="74" s="1"/>
  <c r="Z8" i="59"/>
  <c r="DP15" i="7"/>
  <c r="Y8" i="59" s="1"/>
  <c r="T30" i="7"/>
  <c r="DP4" i="9"/>
  <c r="I17" i="51"/>
  <c r="AL22" i="37"/>
  <c r="O91" i="74"/>
  <c r="O93" i="74" s="1"/>
  <c r="BJ10" i="37"/>
  <c r="AL15" i="7"/>
  <c r="BA20" i="18"/>
  <c r="DI10" i="34"/>
  <c r="BY2" i="10"/>
  <c r="L58" i="72"/>
  <c r="M58" i="72" s="1"/>
  <c r="BN25" i="5"/>
  <c r="BJ24" i="5"/>
  <c r="A15" i="72"/>
  <c r="A21" i="18"/>
  <c r="FB23" i="4"/>
  <c r="BH23" i="4" s="1"/>
  <c r="BN23" i="6"/>
  <c r="BJ22" i="6"/>
  <c r="Q11" i="36"/>
  <c r="I19" i="35"/>
  <c r="BA20" i="35"/>
  <c r="W14" i="18"/>
  <c r="A18" i="37"/>
  <c r="A147" i="72"/>
  <c r="FB20" i="7"/>
  <c r="BH20" i="7" s="1"/>
  <c r="W13" i="35"/>
  <c r="W13" i="18"/>
  <c r="A60" i="72"/>
  <c r="FB23" i="5"/>
  <c r="BH23" i="5" s="1"/>
  <c r="A21" i="35"/>
  <c r="AU98" i="7"/>
  <c r="BA8" i="59"/>
  <c r="AT99" i="7"/>
  <c r="Q82" i="7"/>
  <c r="C27" i="51" s="1"/>
  <c r="BB57" i="72"/>
  <c r="BN25" i="4"/>
  <c r="BJ24" i="4"/>
  <c r="FB21" i="6"/>
  <c r="BH21" i="6" s="1"/>
  <c r="A19" i="36"/>
  <c r="A103" i="72"/>
  <c r="P21" i="6"/>
  <c r="T21" i="6" s="1"/>
  <c r="Q10" i="36"/>
  <c r="BJ29" i="35"/>
  <c r="BH45" i="35"/>
  <c r="BJ45" i="35"/>
  <c r="BH29" i="35"/>
  <c r="W14" i="35"/>
  <c r="H32" i="60" l="1"/>
  <c r="H33" i="60"/>
  <c r="C114" i="77"/>
  <c r="C126" i="77"/>
  <c r="D113" i="77"/>
  <c r="D125" i="77"/>
  <c r="N114" i="76"/>
  <c r="N126" i="76"/>
  <c r="T32" i="8"/>
  <c r="DP30" i="9"/>
  <c r="CX10" i="59" s="1"/>
  <c r="AD135" i="9"/>
  <c r="U84" i="74" s="1"/>
  <c r="U87" i="74" s="1"/>
  <c r="F8" i="59"/>
  <c r="AY57" i="72"/>
  <c r="BG57" i="72"/>
  <c r="AL28" i="18"/>
  <c r="AI87" i="18" s="1"/>
  <c r="AP48" i="18"/>
  <c r="AQ48" i="18" s="1"/>
  <c r="EG16" i="8"/>
  <c r="EG18" i="8" s="1"/>
  <c r="BZ72" i="8"/>
  <c r="D18" i="62"/>
  <c r="AM44" i="36"/>
  <c r="AO44" i="36" s="1"/>
  <c r="BN8" i="59"/>
  <c r="BP8" i="59"/>
  <c r="DP23" i="9"/>
  <c r="B34" i="9" s="1"/>
  <c r="BZ102" i="9" s="1"/>
  <c r="DP29" i="9"/>
  <c r="CS10" i="59" s="1"/>
  <c r="DP28" i="9"/>
  <c r="CR10" i="59" s="1"/>
  <c r="DP27" i="9"/>
  <c r="CQ10" i="59" s="1"/>
  <c r="DP26" i="9"/>
  <c r="CP10" i="59" s="1"/>
  <c r="A20" i="8"/>
  <c r="A19" i="8"/>
  <c r="J20" i="18"/>
  <c r="T19" i="7"/>
  <c r="EO12" i="8"/>
  <c r="L19" i="8"/>
  <c r="A18" i="8"/>
  <c r="L18" i="8" s="1"/>
  <c r="T18" i="7"/>
  <c r="P19" i="8"/>
  <c r="P18" i="8"/>
  <c r="BQ33" i="36"/>
  <c r="BR33" i="36" s="1"/>
  <c r="CI9" i="59"/>
  <c r="T34" i="8"/>
  <c r="CL9" i="59"/>
  <c r="BZ102" i="8"/>
  <c r="BZ98" i="8"/>
  <c r="I18" i="51" s="1"/>
  <c r="E8" i="59"/>
  <c r="EF18" i="7"/>
  <c r="AH85" i="7" s="1"/>
  <c r="AH88" i="7" s="1"/>
  <c r="AM13" i="38"/>
  <c r="BJ21" i="7"/>
  <c r="A19" i="37" s="1"/>
  <c r="AW18" i="36"/>
  <c r="GC21" i="6"/>
  <c r="FX66" i="34" s="1"/>
  <c r="GC23" i="4"/>
  <c r="FX6" i="34" s="1"/>
  <c r="GC23" i="5"/>
  <c r="FX37" i="34" s="1"/>
  <c r="GD49" i="9"/>
  <c r="GE49" i="9" s="1"/>
  <c r="GD45" i="9"/>
  <c r="GE45" i="9" s="1"/>
  <c r="GD41" i="9"/>
  <c r="GE41" i="9" s="1"/>
  <c r="GD37" i="9"/>
  <c r="GE37" i="9" s="1"/>
  <c r="GD33" i="9"/>
  <c r="GE33" i="9" s="1"/>
  <c r="GD29" i="9"/>
  <c r="GE29" i="9" s="1"/>
  <c r="GD25" i="9"/>
  <c r="GE25" i="9" s="1"/>
  <c r="GD21" i="9"/>
  <c r="GE21" i="9" s="1"/>
  <c r="GD48" i="9"/>
  <c r="GE48" i="9" s="1"/>
  <c r="GD44" i="9"/>
  <c r="GE44" i="9" s="1"/>
  <c r="GD40" i="9"/>
  <c r="GE40" i="9" s="1"/>
  <c r="GD36" i="9"/>
  <c r="GE36" i="9" s="1"/>
  <c r="GD32" i="9"/>
  <c r="GE32" i="9" s="1"/>
  <c r="GD28" i="9"/>
  <c r="GE28" i="9" s="1"/>
  <c r="GD24" i="9"/>
  <c r="GE24" i="9" s="1"/>
  <c r="GD20" i="9"/>
  <c r="GE20" i="9" s="1"/>
  <c r="GD47" i="9"/>
  <c r="GE47" i="9" s="1"/>
  <c r="GD43" i="9"/>
  <c r="GE43" i="9" s="1"/>
  <c r="GD39" i="9"/>
  <c r="GE39" i="9" s="1"/>
  <c r="GD35" i="9"/>
  <c r="GE35" i="9" s="1"/>
  <c r="GD31" i="9"/>
  <c r="GE31" i="9" s="1"/>
  <c r="GD27" i="9"/>
  <c r="GE27" i="9" s="1"/>
  <c r="GD23" i="9"/>
  <c r="GE23" i="9" s="1"/>
  <c r="GD50" i="9"/>
  <c r="GE50" i="9" s="1"/>
  <c r="GD46" i="9"/>
  <c r="GE46" i="9" s="1"/>
  <c r="GD42" i="9"/>
  <c r="GE42" i="9" s="1"/>
  <c r="GD38" i="9"/>
  <c r="GE38" i="9" s="1"/>
  <c r="GD34" i="9"/>
  <c r="GE34" i="9" s="1"/>
  <c r="GD30" i="9"/>
  <c r="GE30" i="9" s="1"/>
  <c r="GD26" i="9"/>
  <c r="GE26" i="9" s="1"/>
  <c r="GD22" i="9"/>
  <c r="GE22" i="9" s="1"/>
  <c r="GD53" i="10"/>
  <c r="AM40" i="36"/>
  <c r="GC20" i="7"/>
  <c r="FX96" i="34" s="1"/>
  <c r="GC20" i="6"/>
  <c r="FX65" i="34" s="1"/>
  <c r="AL15" i="38"/>
  <c r="AW20" i="36"/>
  <c r="AX20" i="36"/>
  <c r="AA102" i="72"/>
  <c r="W102" i="72"/>
  <c r="X102" i="72" s="1"/>
  <c r="W14" i="72"/>
  <c r="X14" i="72" s="1"/>
  <c r="Z14" i="72"/>
  <c r="AI13" i="72"/>
  <c r="W59" i="72"/>
  <c r="X59" i="72" s="1"/>
  <c r="Z59" i="72"/>
  <c r="AI58" i="72"/>
  <c r="AQ58" i="72" s="1"/>
  <c r="BX18" i="36"/>
  <c r="CB18" i="36"/>
  <c r="BY33" i="36"/>
  <c r="BZ33" i="36" s="1"/>
  <c r="BY28" i="36"/>
  <c r="BZ28" i="36" s="1"/>
  <c r="J20" i="35"/>
  <c r="AI79" i="18"/>
  <c r="FS23" i="4"/>
  <c r="BE23" i="4"/>
  <c r="BC23" i="4" s="1"/>
  <c r="FS23" i="5"/>
  <c r="BE23" i="5"/>
  <c r="BC23" i="5" s="1"/>
  <c r="FS21" i="6"/>
  <c r="BE21" i="6"/>
  <c r="BC21" i="6" s="1"/>
  <c r="FS20" i="7"/>
  <c r="BE20" i="7"/>
  <c r="BC20" i="7" s="1"/>
  <c r="FS20" i="6"/>
  <c r="BE20" i="6"/>
  <c r="BC20" i="6" s="1"/>
  <c r="I18" i="36" s="1"/>
  <c r="EV20" i="5"/>
  <c r="AA20" i="5" s="1"/>
  <c r="H19" i="36"/>
  <c r="EM19" i="36"/>
  <c r="H21" i="35"/>
  <c r="EM21" i="35"/>
  <c r="DZ147" i="72"/>
  <c r="DV147" i="72"/>
  <c r="EC147" i="72"/>
  <c r="DY147" i="72"/>
  <c r="DU147" i="72"/>
  <c r="EH147" i="72"/>
  <c r="EI147" i="72" s="1"/>
  <c r="EB147" i="72"/>
  <c r="DX147" i="72"/>
  <c r="EA147" i="72"/>
  <c r="DW147" i="72"/>
  <c r="D89" i="77"/>
  <c r="D101" i="77"/>
  <c r="ED59" i="72"/>
  <c r="EE59" i="72" s="1"/>
  <c r="H18" i="37"/>
  <c r="EM18" i="37"/>
  <c r="H18" i="36"/>
  <c r="EM18" i="36"/>
  <c r="ED102" i="72"/>
  <c r="EE102" i="72" s="1"/>
  <c r="C90" i="77"/>
  <c r="C102" i="77"/>
  <c r="EH60" i="72"/>
  <c r="EI60" i="72" s="1"/>
  <c r="EA60" i="72"/>
  <c r="DW60" i="72"/>
  <c r="DZ60" i="72"/>
  <c r="DV60" i="72"/>
  <c r="EC60" i="72"/>
  <c r="DY60" i="72"/>
  <c r="DU60" i="72"/>
  <c r="EB60" i="72"/>
  <c r="DX60" i="72"/>
  <c r="H21" i="18"/>
  <c r="EM21" i="18"/>
  <c r="EA103" i="72"/>
  <c r="DW103" i="72"/>
  <c r="EH103" i="72"/>
  <c r="EI103" i="72" s="1"/>
  <c r="EB103" i="72"/>
  <c r="DX103" i="72"/>
  <c r="DZ103" i="72"/>
  <c r="DY103" i="72"/>
  <c r="DV103" i="72"/>
  <c r="EC103" i="72"/>
  <c r="DU103" i="72"/>
  <c r="DZ15" i="72"/>
  <c r="DV15" i="72"/>
  <c r="EC15" i="72"/>
  <c r="DY15" i="72"/>
  <c r="DU15" i="72"/>
  <c r="EB15" i="72"/>
  <c r="DX15" i="72"/>
  <c r="EH15" i="72"/>
  <c r="EI15" i="72" s="1"/>
  <c r="EA15" i="72"/>
  <c r="DW15" i="72"/>
  <c r="CD58" i="72"/>
  <c r="ED14" i="72"/>
  <c r="EE14" i="72" s="1"/>
  <c r="EN20" i="18" s="1"/>
  <c r="N90" i="76"/>
  <c r="C108" i="75" s="1"/>
  <c r="N102" i="76"/>
  <c r="AP48" i="35"/>
  <c r="AQ48" i="35" s="1"/>
  <c r="W10" i="37"/>
  <c r="P39" i="37"/>
  <c r="Q39" i="37"/>
  <c r="K60" i="72"/>
  <c r="V60" i="72" s="1"/>
  <c r="AG60" i="72" s="1"/>
  <c r="G60" i="72"/>
  <c r="R60" i="72" s="1"/>
  <c r="AC60" i="72" s="1"/>
  <c r="J60" i="72"/>
  <c r="U60" i="72" s="1"/>
  <c r="AF60" i="72" s="1"/>
  <c r="F60" i="72"/>
  <c r="Q60" i="72" s="1"/>
  <c r="AB60" i="72" s="1"/>
  <c r="I60" i="72"/>
  <c r="T60" i="72" s="1"/>
  <c r="AE60" i="72" s="1"/>
  <c r="E60" i="72"/>
  <c r="P60" i="72" s="1"/>
  <c r="H60" i="72"/>
  <c r="S60" i="72" s="1"/>
  <c r="AD60" i="72" s="1"/>
  <c r="D60" i="72"/>
  <c r="O60" i="72" s="1"/>
  <c r="Z60" i="72" s="1"/>
  <c r="P36" i="37"/>
  <c r="Q36" i="37"/>
  <c r="K103" i="72"/>
  <c r="V103" i="72" s="1"/>
  <c r="AG103" i="72" s="1"/>
  <c r="G103" i="72"/>
  <c r="R103" i="72" s="1"/>
  <c r="AC103" i="72" s="1"/>
  <c r="J103" i="72"/>
  <c r="U103" i="72" s="1"/>
  <c r="AF103" i="72" s="1"/>
  <c r="F103" i="72"/>
  <c r="Q103" i="72" s="1"/>
  <c r="AB103" i="72" s="1"/>
  <c r="I103" i="72"/>
  <c r="T103" i="72" s="1"/>
  <c r="AE103" i="72" s="1"/>
  <c r="E103" i="72"/>
  <c r="P103" i="72" s="1"/>
  <c r="H103" i="72"/>
  <c r="S103" i="72" s="1"/>
  <c r="AD103" i="72" s="1"/>
  <c r="D103" i="72"/>
  <c r="O103" i="72" s="1"/>
  <c r="Z103" i="72" s="1"/>
  <c r="K147" i="72"/>
  <c r="V147" i="72" s="1"/>
  <c r="AG147" i="72" s="1"/>
  <c r="G147" i="72"/>
  <c r="R147" i="72" s="1"/>
  <c r="AC147" i="72" s="1"/>
  <c r="J147" i="72"/>
  <c r="U147" i="72" s="1"/>
  <c r="AF147" i="72" s="1"/>
  <c r="F147" i="72"/>
  <c r="Q147" i="72" s="1"/>
  <c r="AB147" i="72" s="1"/>
  <c r="I147" i="72"/>
  <c r="T147" i="72" s="1"/>
  <c r="AE147" i="72" s="1"/>
  <c r="E147" i="72"/>
  <c r="P147" i="72" s="1"/>
  <c r="H147" i="72"/>
  <c r="S147" i="72" s="1"/>
  <c r="AD147" i="72" s="1"/>
  <c r="D147" i="72"/>
  <c r="O147" i="72" s="1"/>
  <c r="Z147" i="72" s="1"/>
  <c r="J15" i="72"/>
  <c r="U15" i="72" s="1"/>
  <c r="AF15" i="72" s="1"/>
  <c r="F15" i="72"/>
  <c r="Q15" i="72" s="1"/>
  <c r="AB15" i="72" s="1"/>
  <c r="I15" i="72"/>
  <c r="T15" i="72" s="1"/>
  <c r="AE15" i="72" s="1"/>
  <c r="E15" i="72"/>
  <c r="P15" i="72" s="1"/>
  <c r="H15" i="72"/>
  <c r="S15" i="72" s="1"/>
  <c r="AD15" i="72" s="1"/>
  <c r="D15" i="72"/>
  <c r="O15" i="72" s="1"/>
  <c r="Z15" i="72" s="1"/>
  <c r="K15" i="72"/>
  <c r="V15" i="72" s="1"/>
  <c r="AG15" i="72" s="1"/>
  <c r="G15" i="72"/>
  <c r="R15" i="72" s="1"/>
  <c r="AC15" i="72" s="1"/>
  <c r="AI79" i="35"/>
  <c r="BY31" i="36"/>
  <c r="BZ31" i="36" s="1"/>
  <c r="AI72" i="35"/>
  <c r="BE20" i="18"/>
  <c r="DK194" i="72"/>
  <c r="BQ31" i="36"/>
  <c r="BR31" i="36" s="1"/>
  <c r="W11" i="37"/>
  <c r="D10" i="37"/>
  <c r="P16" i="37"/>
  <c r="AH83" i="7"/>
  <c r="A14" i="8"/>
  <c r="E10" i="38"/>
  <c r="W10" i="38" s="1"/>
  <c r="AX18" i="36"/>
  <c r="AI72" i="18"/>
  <c r="CB41" i="18"/>
  <c r="BY49" i="18" s="1"/>
  <c r="AM46" i="36"/>
  <c r="AO46" i="36" s="1"/>
  <c r="AM45" i="36"/>
  <c r="AO45" i="36" s="1"/>
  <c r="CA13" i="36"/>
  <c r="CB13" i="36" s="1"/>
  <c r="CB39" i="35"/>
  <c r="BZ46" i="35" s="1"/>
  <c r="BJ56" i="35" s="1"/>
  <c r="GS4" i="34" s="1"/>
  <c r="CB41" i="35"/>
  <c r="BY49" i="35" s="1"/>
  <c r="BT41" i="35"/>
  <c r="BQ49" i="35" s="1"/>
  <c r="V84" i="8"/>
  <c r="FN20" i="8"/>
  <c r="DK222" i="72"/>
  <c r="DC6" i="34"/>
  <c r="DK192" i="72"/>
  <c r="EF16" i="8"/>
  <c r="CA18" i="36"/>
  <c r="CA16" i="36"/>
  <c r="CB16" i="36" s="1"/>
  <c r="BX16" i="36"/>
  <c r="AM42" i="36"/>
  <c r="CB39" i="18"/>
  <c r="BY46" i="18" s="1"/>
  <c r="AW16" i="36"/>
  <c r="AX16" i="36" s="1"/>
  <c r="BT39" i="35"/>
  <c r="BR46" i="35" s="1"/>
  <c r="AW15" i="36"/>
  <c r="AD7" i="59"/>
  <c r="CA14" i="36"/>
  <c r="CB14" i="36" s="1"/>
  <c r="CA29" i="36" s="1"/>
  <c r="CB29" i="36" s="1"/>
  <c r="FN33" i="8"/>
  <c r="FN34" i="8"/>
  <c r="DK209" i="72"/>
  <c r="DK208" i="72"/>
  <c r="T30" i="8"/>
  <c r="V83" i="8"/>
  <c r="Z9" i="59"/>
  <c r="BX20" i="36"/>
  <c r="BQ28" i="36"/>
  <c r="BR28" i="36" s="1"/>
  <c r="BY35" i="36"/>
  <c r="BZ35" i="36" s="1"/>
  <c r="FN35" i="8"/>
  <c r="FN36" i="8"/>
  <c r="DK207" i="72"/>
  <c r="DK206" i="72"/>
  <c r="FN49" i="8"/>
  <c r="FN50" i="8"/>
  <c r="DK193" i="72"/>
  <c r="AM39" i="36"/>
  <c r="FN25" i="8"/>
  <c r="FN41" i="8"/>
  <c r="FN26" i="8"/>
  <c r="FN42" i="8"/>
  <c r="DK217" i="72"/>
  <c r="DK201" i="72"/>
  <c r="DK216" i="72"/>
  <c r="DK200" i="72"/>
  <c r="FN27" i="8"/>
  <c r="FN43" i="8"/>
  <c r="FN28" i="8"/>
  <c r="FN44" i="8"/>
  <c r="DK215" i="72"/>
  <c r="DK199" i="72"/>
  <c r="DK214" i="72"/>
  <c r="DK198" i="72"/>
  <c r="BO15" i="38"/>
  <c r="BP20" i="38"/>
  <c r="BY34" i="36"/>
  <c r="BZ34" i="36" s="1"/>
  <c r="FN21" i="8"/>
  <c r="FN29" i="8"/>
  <c r="FN37" i="8"/>
  <c r="FN45" i="8"/>
  <c r="FN22" i="8"/>
  <c r="FN30" i="8"/>
  <c r="FN38" i="8"/>
  <c r="FN46" i="8"/>
  <c r="DK221" i="72"/>
  <c r="DK213" i="72"/>
  <c r="DK205" i="72"/>
  <c r="DK197" i="72"/>
  <c r="DK220" i="72"/>
  <c r="DK212" i="72"/>
  <c r="DK204" i="72"/>
  <c r="DK196" i="72"/>
  <c r="AS18" i="38"/>
  <c r="BQ20" i="38"/>
  <c r="BS16" i="38"/>
  <c r="BQ19" i="38"/>
  <c r="FN23" i="8"/>
  <c r="FN31" i="8"/>
  <c r="FN39" i="8"/>
  <c r="FN47" i="8"/>
  <c r="FN24" i="8"/>
  <c r="FN32" i="8"/>
  <c r="FN40" i="8"/>
  <c r="FN48" i="8"/>
  <c r="DK219" i="72"/>
  <c r="DK211" i="72"/>
  <c r="DK203" i="72"/>
  <c r="DK195" i="72"/>
  <c r="DK218" i="72"/>
  <c r="DK210" i="72"/>
  <c r="DK202" i="72"/>
  <c r="AP13" i="38"/>
  <c r="AS16" i="38"/>
  <c r="BR15" i="38"/>
  <c r="BT17" i="38"/>
  <c r="AM17" i="38"/>
  <c r="BJ20" i="8"/>
  <c r="A192" i="72" s="1"/>
  <c r="BO18" i="38"/>
  <c r="AS14" i="38"/>
  <c r="AK13" i="38"/>
  <c r="AM20" i="38"/>
  <c r="AL17" i="38"/>
  <c r="BP17" i="38"/>
  <c r="BR20" i="38"/>
  <c r="BT14" i="38"/>
  <c r="AS19" i="38"/>
  <c r="BX5" i="38"/>
  <c r="BR16" i="38"/>
  <c r="BU13" i="38"/>
  <c r="BO14" i="38"/>
  <c r="AQ18" i="38"/>
  <c r="AL20" i="38"/>
  <c r="AL14" i="38"/>
  <c r="BR19" i="38"/>
  <c r="BQ14" i="38"/>
  <c r="AN18" i="38"/>
  <c r="BO20" i="38"/>
  <c r="AN13" i="38"/>
  <c r="BK3" i="38"/>
  <c r="AM9" i="59" s="1"/>
  <c r="C41" i="58" s="1"/>
  <c r="H40" i="58" s="1"/>
  <c r="BW16" i="38"/>
  <c r="AS13" i="38"/>
  <c r="AO15" i="38"/>
  <c r="BR18" i="38"/>
  <c r="AP17" i="38"/>
  <c r="BP13" i="38"/>
  <c r="BO13" i="38"/>
  <c r="AK15" i="38"/>
  <c r="AO13" i="38"/>
  <c r="AL13" i="38"/>
  <c r="AS17" i="38"/>
  <c r="AS15" i="38"/>
  <c r="AK14" i="38"/>
  <c r="BW17" i="38"/>
  <c r="BW20" i="38"/>
  <c r="BW15" i="38"/>
  <c r="R3" i="38"/>
  <c r="BU14" i="38"/>
  <c r="AO20" i="38"/>
  <c r="BU18" i="38"/>
  <c r="AQ14" i="38"/>
  <c r="BU17" i="38"/>
  <c r="AQ19" i="38"/>
  <c r="AP16" i="38"/>
  <c r="AN16" i="38"/>
  <c r="AL19" i="38"/>
  <c r="BT16" i="38"/>
  <c r="BT20" i="38"/>
  <c r="BU16" i="38"/>
  <c r="BU15" i="38"/>
  <c r="BP16" i="38"/>
  <c r="BS20" i="38"/>
  <c r="BU19" i="38"/>
  <c r="AO19" i="38"/>
  <c r="AP19" i="38"/>
  <c r="BQ18" i="38"/>
  <c r="BP18" i="38"/>
  <c r="AM18" i="38"/>
  <c r="AQ13" i="38"/>
  <c r="BO16" i="38"/>
  <c r="BT13" i="38"/>
  <c r="AK18" i="38"/>
  <c r="AK19" i="38"/>
  <c r="BW19" i="38"/>
  <c r="AS20" i="38"/>
  <c r="AP20" i="38"/>
  <c r="BQ16" i="38"/>
  <c r="AN19" i="38"/>
  <c r="AO17" i="38"/>
  <c r="AL16" i="38"/>
  <c r="AM14" i="38"/>
  <c r="AM19" i="38"/>
  <c r="AQ20" i="38"/>
  <c r="BS17" i="38"/>
  <c r="BQ17" i="38"/>
  <c r="AP14" i="38"/>
  <c r="BS18" i="38"/>
  <c r="BP15" i="38"/>
  <c r="AM16" i="38"/>
  <c r="AN14" i="38"/>
  <c r="AO16" i="38"/>
  <c r="AN17" i="38"/>
  <c r="BT18" i="38"/>
  <c r="BQ13" i="38"/>
  <c r="AK20" i="38"/>
  <c r="BO19" i="38"/>
  <c r="BR13" i="38"/>
  <c r="BS13" i="38"/>
  <c r="AK17" i="38"/>
  <c r="AK16" i="38"/>
  <c r="BW14" i="38"/>
  <c r="BO17" i="38"/>
  <c r="BW18" i="38"/>
  <c r="BW13" i="38"/>
  <c r="AL18" i="38"/>
  <c r="AP18" i="38"/>
  <c r="AN15" i="38"/>
  <c r="BP19" i="38"/>
  <c r="AQ15" i="38"/>
  <c r="BR14" i="38"/>
  <c r="AO18" i="38"/>
  <c r="BT15" i="38"/>
  <c r="BS14" i="38"/>
  <c r="AP15" i="38"/>
  <c r="BR17" i="38"/>
  <c r="BU20" i="38"/>
  <c r="AM15" i="38"/>
  <c r="BS15" i="38"/>
  <c r="BQ15" i="38"/>
  <c r="BS19" i="38"/>
  <c r="AO14" i="38"/>
  <c r="AQ17" i="38"/>
  <c r="AN20" i="38"/>
  <c r="BT19" i="38"/>
  <c r="BP14" i="38"/>
  <c r="CB20" i="36"/>
  <c r="BS35" i="36" s="1"/>
  <c r="BT35" i="36" s="1"/>
  <c r="AM43" i="36"/>
  <c r="BY30" i="36"/>
  <c r="BZ30" i="36" s="1"/>
  <c r="V9" i="59"/>
  <c r="D11" i="62"/>
  <c r="D93" i="58"/>
  <c r="BX17" i="36"/>
  <c r="AX19" i="36"/>
  <c r="AK7" i="59"/>
  <c r="CA20" i="36"/>
  <c r="E11" i="38"/>
  <c r="AX15" i="36"/>
  <c r="CA17" i="36"/>
  <c r="CB17" i="36" s="1"/>
  <c r="CA32" i="36" s="1"/>
  <c r="CB32" i="36" s="1"/>
  <c r="AH7" i="59"/>
  <c r="BQ30" i="36"/>
  <c r="BR30" i="36" s="1"/>
  <c r="DP19" i="9"/>
  <c r="AE129" i="9" s="1"/>
  <c r="BC19" i="62"/>
  <c r="D9" i="62"/>
  <c r="D9" i="58"/>
  <c r="AV21" i="36"/>
  <c r="AL27" i="36" s="1"/>
  <c r="AM41" i="36"/>
  <c r="AO41" i="36" s="1"/>
  <c r="Q83" i="6"/>
  <c r="J28" i="51" s="1"/>
  <c r="AT17" i="36"/>
  <c r="CA19" i="36"/>
  <c r="CB19" i="36"/>
  <c r="AX17" i="36"/>
  <c r="AE7" i="59"/>
  <c r="AR21" i="36"/>
  <c r="BQ34" i="36"/>
  <c r="BR34" i="36" s="1"/>
  <c r="BX14" i="36"/>
  <c r="BQ29" i="36"/>
  <c r="BR29" i="36" s="1"/>
  <c r="AT13" i="36"/>
  <c r="AJ7" i="59"/>
  <c r="BV21" i="36"/>
  <c r="DK26" i="7"/>
  <c r="BZ79" i="7" s="1"/>
  <c r="C9" i="51" s="1"/>
  <c r="BQ32" i="36"/>
  <c r="BR32" i="36" s="1"/>
  <c r="CA15" i="36"/>
  <c r="AF7" i="59"/>
  <c r="AW14" i="36"/>
  <c r="AX14" i="36" s="1"/>
  <c r="AW19" i="36"/>
  <c r="CB15" i="36"/>
  <c r="AL21" i="37"/>
  <c r="AL11" i="37" s="1"/>
  <c r="AL10" i="37" s="1"/>
  <c r="DP17" i="9"/>
  <c r="DP15" i="8"/>
  <c r="Y9" i="59" s="1"/>
  <c r="BN20" i="9"/>
  <c r="BJ20" i="9" s="1"/>
  <c r="BY14" i="37"/>
  <c r="BZ14" i="37" s="1"/>
  <c r="AU17" i="37"/>
  <c r="AV17" i="37" s="1"/>
  <c r="AR13" i="37"/>
  <c r="AT13" i="37" s="1"/>
  <c r="N15" i="8"/>
  <c r="P20" i="8" s="1"/>
  <c r="DP18" i="8"/>
  <c r="R42" i="74" s="1"/>
  <c r="AK21" i="37"/>
  <c r="AK11" i="37" s="1"/>
  <c r="AK10" i="37" s="1"/>
  <c r="AU16" i="37"/>
  <c r="AV16" i="37" s="1"/>
  <c r="AP21" i="37"/>
  <c r="AP11" i="37" s="1"/>
  <c r="AP10" i="37" s="1"/>
  <c r="BW21" i="37"/>
  <c r="D8" i="59"/>
  <c r="B121" i="62" s="1"/>
  <c r="P22" i="7"/>
  <c r="T22" i="7" s="1"/>
  <c r="BJ11" i="37"/>
  <c r="AL8" i="59" s="1"/>
  <c r="AS21" i="37"/>
  <c r="BY20" i="37"/>
  <c r="BZ20" i="37" s="1"/>
  <c r="AR20" i="37"/>
  <c r="AX20" i="37" s="1"/>
  <c r="BS21" i="37"/>
  <c r="BS11" i="37" s="1"/>
  <c r="BS10" i="37" s="1"/>
  <c r="AR18" i="37"/>
  <c r="AT18" i="37" s="1"/>
  <c r="BV14" i="37"/>
  <c r="BX14" i="37" s="1"/>
  <c r="BR21" i="37"/>
  <c r="BR11" i="37" s="1"/>
  <c r="BR10" i="37" s="1"/>
  <c r="BZ21" i="36"/>
  <c r="AR17" i="37"/>
  <c r="AT17" i="37" s="1"/>
  <c r="BY19" i="37"/>
  <c r="BZ19" i="37" s="1"/>
  <c r="AU13" i="37"/>
  <c r="AV13" i="37" s="1"/>
  <c r="BV13" i="37"/>
  <c r="BX13" i="37" s="1"/>
  <c r="AU20" i="37"/>
  <c r="AV20" i="37" s="1"/>
  <c r="AR15" i="37"/>
  <c r="AT15" i="37" s="1"/>
  <c r="AO21" i="37"/>
  <c r="AO11" i="37" s="1"/>
  <c r="AO10" i="37" s="1"/>
  <c r="AU19" i="37"/>
  <c r="AV19" i="37" s="1"/>
  <c r="BT21" i="37"/>
  <c r="BT11" i="37" s="1"/>
  <c r="BT10" i="37" s="1"/>
  <c r="DP13" i="9"/>
  <c r="U10" i="59" s="1"/>
  <c r="DP12" i="9"/>
  <c r="U92" i="74" s="1"/>
  <c r="BV19" i="37"/>
  <c r="BX19" i="37" s="1"/>
  <c r="BY18" i="37"/>
  <c r="BZ18" i="37" s="1"/>
  <c r="BV18" i="37"/>
  <c r="BX18" i="37" s="1"/>
  <c r="BP21" i="37"/>
  <c r="BP11" i="37" s="1"/>
  <c r="BP10" i="37" s="1"/>
  <c r="BV17" i="37"/>
  <c r="BX17" i="37" s="1"/>
  <c r="BQ21" i="37"/>
  <c r="BQ11" i="37" s="1"/>
  <c r="BQ10" i="37" s="1"/>
  <c r="AU18" i="37"/>
  <c r="AV18" i="37" s="1"/>
  <c r="AM21" i="37"/>
  <c r="AM11" i="37" s="1"/>
  <c r="AM10" i="37" s="1"/>
  <c r="BV20" i="37"/>
  <c r="BY35" i="37" s="1"/>
  <c r="BZ35" i="37" s="1"/>
  <c r="AU15" i="37"/>
  <c r="AV15" i="37" s="1"/>
  <c r="BV16" i="37"/>
  <c r="BX16" i="37" s="1"/>
  <c r="AR16" i="37"/>
  <c r="AM42" i="37" s="1"/>
  <c r="AN21" i="37"/>
  <c r="AN11" i="37" s="1"/>
  <c r="AN10" i="37" s="1"/>
  <c r="BV15" i="37"/>
  <c r="BX15" i="37" s="1"/>
  <c r="BU21" i="37"/>
  <c r="BU11" i="37" s="1"/>
  <c r="BU10" i="37" s="1"/>
  <c r="BO21" i="37"/>
  <c r="BO11" i="37" s="1"/>
  <c r="BO10" i="37" s="1"/>
  <c r="AR19" i="37"/>
  <c r="AT19" i="37" s="1"/>
  <c r="DP2" i="9"/>
  <c r="Y15" i="9" s="1"/>
  <c r="DP10" i="9"/>
  <c r="U14" i="9" s="1"/>
  <c r="DP7" i="9"/>
  <c r="AE123" i="9" s="1"/>
  <c r="HK16" i="9" s="1"/>
  <c r="DP3" i="9"/>
  <c r="BY16" i="37"/>
  <c r="BZ16" i="37" s="1"/>
  <c r="AU14" i="37"/>
  <c r="AV14" i="37" s="1"/>
  <c r="BY15" i="37"/>
  <c r="BZ15" i="37" s="1"/>
  <c r="BY13" i="37"/>
  <c r="BZ13" i="37" s="1"/>
  <c r="DP8" i="9"/>
  <c r="AT5" i="39"/>
  <c r="AP17" i="39" s="1"/>
  <c r="DP5" i="9"/>
  <c r="DP16" i="9"/>
  <c r="BY17" i="37"/>
  <c r="BZ17" i="37" s="1"/>
  <c r="AR14" i="37"/>
  <c r="AT14" i="37" s="1"/>
  <c r="AQ21" i="37"/>
  <c r="AQ11" i="37" s="1"/>
  <c r="AQ10" i="37" s="1"/>
  <c r="DP9" i="9"/>
  <c r="I14" i="9" s="1"/>
  <c r="DP11" i="9"/>
  <c r="V10" i="59" s="1"/>
  <c r="N140" i="76" s="1"/>
  <c r="AI87" i="35"/>
  <c r="DP4" i="10"/>
  <c r="H17" i="51"/>
  <c r="BI59" i="35"/>
  <c r="BI50" i="35"/>
  <c r="AC10" i="36"/>
  <c r="Q16" i="36"/>
  <c r="BJ21" i="8"/>
  <c r="BN22" i="8"/>
  <c r="AL22" i="38"/>
  <c r="R91" i="74"/>
  <c r="R93" i="74" s="1"/>
  <c r="BJ10" i="38"/>
  <c r="AL15" i="8"/>
  <c r="BA19" i="36"/>
  <c r="BN26" i="4"/>
  <c r="BJ25" i="4"/>
  <c r="L102" i="72"/>
  <c r="M102" i="72" s="1"/>
  <c r="F9" i="59"/>
  <c r="Q82" i="8"/>
  <c r="I27" i="51" s="1"/>
  <c r="AU98" i="8"/>
  <c r="BA9" i="59"/>
  <c r="AT99" i="8"/>
  <c r="FB22" i="6"/>
  <c r="BH22" i="6" s="1"/>
  <c r="A104" i="72"/>
  <c r="A20" i="36"/>
  <c r="BA21" i="18"/>
  <c r="BE21" i="18" s="1"/>
  <c r="AQ57" i="72"/>
  <c r="BN26" i="5"/>
  <c r="BJ25" i="5"/>
  <c r="BG58" i="72"/>
  <c r="BB58" i="72"/>
  <c r="DI11" i="34"/>
  <c r="BY2" i="11"/>
  <c r="P21" i="7"/>
  <c r="T21" i="7" s="1"/>
  <c r="Q10" i="37"/>
  <c r="FB24" i="4"/>
  <c r="BH24" i="4" s="1"/>
  <c r="A16" i="72"/>
  <c r="A22" i="18"/>
  <c r="BF57" i="72"/>
  <c r="BC57" i="72"/>
  <c r="BD57" i="72" s="1"/>
  <c r="AM57" i="72" s="1"/>
  <c r="AP57" i="72" s="1"/>
  <c r="BA21" i="35"/>
  <c r="BA18" i="37"/>
  <c r="L59" i="72"/>
  <c r="M59" i="72" s="1"/>
  <c r="I20" i="18"/>
  <c r="I20" i="35"/>
  <c r="Q17" i="36"/>
  <c r="AC11" i="36"/>
  <c r="BN24" i="6"/>
  <c r="BJ23" i="6"/>
  <c r="FB24" i="5"/>
  <c r="BH24" i="5" s="1"/>
  <c r="A22" i="35"/>
  <c r="A61" i="72"/>
  <c r="AY58" i="72"/>
  <c r="Q11" i="37"/>
  <c r="BN23" i="7"/>
  <c r="BJ22" i="7"/>
  <c r="N127" i="76" l="1"/>
  <c r="N139" i="76"/>
  <c r="DP25" i="8"/>
  <c r="CO9" i="59" s="1"/>
  <c r="H33" i="62"/>
  <c r="H35" i="62"/>
  <c r="F24" i="62"/>
  <c r="H28" i="62" s="1"/>
  <c r="C115" i="77"/>
  <c r="C127" i="77"/>
  <c r="DP30" i="10"/>
  <c r="CX11" i="59" s="1"/>
  <c r="AD135" i="10"/>
  <c r="X84" i="74" s="1"/>
  <c r="X87" i="74" s="1"/>
  <c r="N116" i="76"/>
  <c r="N128" i="76"/>
  <c r="T32" i="9"/>
  <c r="A148" i="72"/>
  <c r="CI10" i="59"/>
  <c r="BZ72" i="9"/>
  <c r="BS34" i="36"/>
  <c r="BT34" i="36" s="1"/>
  <c r="AP44" i="36"/>
  <c r="AQ44" i="36" s="1"/>
  <c r="AH92" i="6"/>
  <c r="BS33" i="36"/>
  <c r="BT33" i="36" s="1"/>
  <c r="BZ98" i="9"/>
  <c r="H18" i="51" s="1"/>
  <c r="J18" i="36"/>
  <c r="J19" i="36"/>
  <c r="T34" i="9"/>
  <c r="DP25" i="9" s="1"/>
  <c r="CO10" i="59" s="1"/>
  <c r="CL10" i="59"/>
  <c r="BM12" i="63"/>
  <c r="AD15" i="60"/>
  <c r="DP29" i="10"/>
  <c r="CS11" i="59" s="1"/>
  <c r="DP28" i="10"/>
  <c r="CR11" i="59" s="1"/>
  <c r="DP27" i="10"/>
  <c r="CQ11" i="59" s="1"/>
  <c r="DP26" i="10"/>
  <c r="CP11" i="59" s="1"/>
  <c r="A19" i="9"/>
  <c r="A20" i="9"/>
  <c r="T19" i="8"/>
  <c r="AD10" i="60"/>
  <c r="BM9" i="63"/>
  <c r="EO12" i="9"/>
  <c r="L19" i="9"/>
  <c r="A18" i="9"/>
  <c r="L18" i="9" s="1"/>
  <c r="T18" i="8"/>
  <c r="D11" i="60"/>
  <c r="D13" i="60" s="1"/>
  <c r="E13" i="60" s="1"/>
  <c r="BM10" i="63"/>
  <c r="AD11" i="60"/>
  <c r="BN9" i="59"/>
  <c r="FB21" i="7"/>
  <c r="BH21" i="7" s="1"/>
  <c r="GC21" i="7" s="1"/>
  <c r="FX97" i="34" s="1"/>
  <c r="CA33" i="36"/>
  <c r="CB33" i="36" s="1"/>
  <c r="BP9" i="59"/>
  <c r="I20" i="51"/>
  <c r="H20" i="51"/>
  <c r="BP10" i="59"/>
  <c r="DP2" i="10"/>
  <c r="Y15" i="10" s="1"/>
  <c r="DP23" i="10"/>
  <c r="B34" i="10" s="1"/>
  <c r="E9" i="59"/>
  <c r="EF18" i="8"/>
  <c r="AH85" i="8" s="1"/>
  <c r="AH88" i="8" s="1"/>
  <c r="FB20" i="8"/>
  <c r="BH20" i="8" s="1"/>
  <c r="GC20" i="8" s="1"/>
  <c r="FX127" i="34" s="1"/>
  <c r="A18" i="38"/>
  <c r="BA18" i="38" s="1"/>
  <c r="GC24" i="5"/>
  <c r="FX38" i="34" s="1"/>
  <c r="GC22" i="6"/>
  <c r="FX67" i="34" s="1"/>
  <c r="GD50" i="10"/>
  <c r="GE50" i="10" s="1"/>
  <c r="GD46" i="10"/>
  <c r="GE46" i="10" s="1"/>
  <c r="GD42" i="10"/>
  <c r="GE42" i="10" s="1"/>
  <c r="GD38" i="10"/>
  <c r="GE38" i="10" s="1"/>
  <c r="GD34" i="10"/>
  <c r="GE34" i="10" s="1"/>
  <c r="GD30" i="10"/>
  <c r="GE30" i="10" s="1"/>
  <c r="GD26" i="10"/>
  <c r="GE26" i="10" s="1"/>
  <c r="GD22" i="10"/>
  <c r="GE22" i="10" s="1"/>
  <c r="GD49" i="10"/>
  <c r="GE49" i="10" s="1"/>
  <c r="GD45" i="10"/>
  <c r="GE45" i="10" s="1"/>
  <c r="GD41" i="10"/>
  <c r="GE41" i="10" s="1"/>
  <c r="GD37" i="10"/>
  <c r="GE37" i="10" s="1"/>
  <c r="GD33" i="10"/>
  <c r="GE33" i="10" s="1"/>
  <c r="GD29" i="10"/>
  <c r="GE29" i="10" s="1"/>
  <c r="GD25" i="10"/>
  <c r="GE25" i="10" s="1"/>
  <c r="GD21" i="10"/>
  <c r="GE21" i="10" s="1"/>
  <c r="GD48" i="10"/>
  <c r="GE48" i="10" s="1"/>
  <c r="GD44" i="10"/>
  <c r="GE44" i="10" s="1"/>
  <c r="GD40" i="10"/>
  <c r="GE40" i="10" s="1"/>
  <c r="GD36" i="10"/>
  <c r="GE36" i="10" s="1"/>
  <c r="GD32" i="10"/>
  <c r="GE32" i="10" s="1"/>
  <c r="GD28" i="10"/>
  <c r="GE28" i="10" s="1"/>
  <c r="GD24" i="10"/>
  <c r="GE24" i="10" s="1"/>
  <c r="GD20" i="10"/>
  <c r="GE20" i="10" s="1"/>
  <c r="GD47" i="10"/>
  <c r="GE47" i="10" s="1"/>
  <c r="GD43" i="10"/>
  <c r="GE43" i="10" s="1"/>
  <c r="GD39" i="10"/>
  <c r="GE39" i="10" s="1"/>
  <c r="GD35" i="10"/>
  <c r="GE35" i="10" s="1"/>
  <c r="GD31" i="10"/>
  <c r="GE31" i="10" s="1"/>
  <c r="GD27" i="10"/>
  <c r="GE27" i="10" s="1"/>
  <c r="GD23" i="10"/>
  <c r="GE23" i="10" s="1"/>
  <c r="GD53" i="11"/>
  <c r="GC24" i="4"/>
  <c r="FX7" i="34" s="1"/>
  <c r="N103" i="76"/>
  <c r="N115" i="76"/>
  <c r="C21" i="75" s="1"/>
  <c r="CC81" i="8"/>
  <c r="J21" i="18"/>
  <c r="J18" i="37"/>
  <c r="J21" i="35"/>
  <c r="AP46" i="36"/>
  <c r="AQ46" i="36" s="1"/>
  <c r="AI102" i="72"/>
  <c r="AI14" i="72"/>
  <c r="AI59" i="72"/>
  <c r="AQ59" i="72" s="1"/>
  <c r="W15" i="72"/>
  <c r="X15" i="72" s="1"/>
  <c r="AA15" i="72"/>
  <c r="W60" i="72"/>
  <c r="X60" i="72" s="1"/>
  <c r="AA60" i="72"/>
  <c r="AA147" i="72"/>
  <c r="W147" i="72"/>
  <c r="X147" i="72" s="1"/>
  <c r="W103" i="72"/>
  <c r="X103" i="72" s="1"/>
  <c r="AA103" i="72"/>
  <c r="CA28" i="36"/>
  <c r="CB28" i="36" s="1"/>
  <c r="FS24" i="4"/>
  <c r="BE24" i="4"/>
  <c r="BC24" i="4" s="1"/>
  <c r="FS24" i="5"/>
  <c r="BE24" i="5"/>
  <c r="BC24" i="5" s="1"/>
  <c r="FS22" i="6"/>
  <c r="BE22" i="6"/>
  <c r="BC22" i="6" s="1"/>
  <c r="FS21" i="7"/>
  <c r="EV21" i="5"/>
  <c r="AA21" i="5" s="1"/>
  <c r="EB61" i="72"/>
  <c r="DX61" i="72"/>
  <c r="EH61" i="72"/>
  <c r="EI61" i="72" s="1"/>
  <c r="EA61" i="72"/>
  <c r="DW61" i="72"/>
  <c r="DZ61" i="72"/>
  <c r="DV61" i="72"/>
  <c r="EC61" i="72"/>
  <c r="DY61" i="72"/>
  <c r="DU61" i="72"/>
  <c r="H22" i="35"/>
  <c r="EM22" i="35"/>
  <c r="CD59" i="72"/>
  <c r="H19" i="37"/>
  <c r="EM19" i="37"/>
  <c r="C91" i="77"/>
  <c r="C103" i="77"/>
  <c r="EC192" i="72"/>
  <c r="DY192" i="72"/>
  <c r="DU192" i="72"/>
  <c r="EB192" i="72"/>
  <c r="DX192" i="72"/>
  <c r="EH192" i="72"/>
  <c r="EI192" i="72" s="1"/>
  <c r="EA192" i="72"/>
  <c r="DW192" i="72"/>
  <c r="DZ192" i="72"/>
  <c r="DV192" i="72"/>
  <c r="H22" i="18"/>
  <c r="EM22" i="18"/>
  <c r="DZ148" i="72"/>
  <c r="DV148" i="72"/>
  <c r="EC148" i="72"/>
  <c r="DY148" i="72"/>
  <c r="DU148" i="72"/>
  <c r="EH148" i="72"/>
  <c r="EI148" i="72" s="1"/>
  <c r="EB148" i="72"/>
  <c r="DX148" i="72"/>
  <c r="EA148" i="72"/>
  <c r="DW148" i="72"/>
  <c r="EA104" i="72"/>
  <c r="DW104" i="72"/>
  <c r="EH104" i="72"/>
  <c r="EI104" i="72" s="1"/>
  <c r="EB104" i="72"/>
  <c r="DX104" i="72"/>
  <c r="DV104" i="72"/>
  <c r="EC104" i="72"/>
  <c r="DU104" i="72"/>
  <c r="DZ104" i="72"/>
  <c r="DY104" i="72"/>
  <c r="ED103" i="72"/>
  <c r="EE103" i="72" s="1"/>
  <c r="EC16" i="72"/>
  <c r="DY16" i="72"/>
  <c r="DU16" i="72"/>
  <c r="EB16" i="72"/>
  <c r="DX16" i="72"/>
  <c r="EH16" i="72"/>
  <c r="EI16" i="72" s="1"/>
  <c r="EA16" i="72"/>
  <c r="DW16" i="72"/>
  <c r="DZ16" i="72"/>
  <c r="DV16" i="72"/>
  <c r="CD102" i="72"/>
  <c r="ED60" i="72"/>
  <c r="EE60" i="72" s="1"/>
  <c r="ED15" i="72"/>
  <c r="EE15" i="72" s="1"/>
  <c r="EN21" i="18" s="1"/>
  <c r="ED147" i="72"/>
  <c r="EE147" i="72" s="1"/>
  <c r="H20" i="36"/>
  <c r="EM20" i="36"/>
  <c r="N92" i="76"/>
  <c r="C110" i="75" s="1"/>
  <c r="N104" i="76"/>
  <c r="K16" i="72"/>
  <c r="V16" i="72" s="1"/>
  <c r="AG16" i="72" s="1"/>
  <c r="J16" i="72"/>
  <c r="U16" i="72" s="1"/>
  <c r="AF16" i="72" s="1"/>
  <c r="I16" i="72"/>
  <c r="T16" i="72" s="1"/>
  <c r="AE16" i="72" s="1"/>
  <c r="H16" i="72"/>
  <c r="S16" i="72" s="1"/>
  <c r="AD16" i="72" s="1"/>
  <c r="D16" i="72"/>
  <c r="O16" i="72" s="1"/>
  <c r="Z16" i="72" s="1"/>
  <c r="G16" i="72"/>
  <c r="R16" i="72" s="1"/>
  <c r="AC16" i="72" s="1"/>
  <c r="F16" i="72"/>
  <c r="Q16" i="72" s="1"/>
  <c r="AB16" i="72" s="1"/>
  <c r="E16" i="72"/>
  <c r="P16" i="72" s="1"/>
  <c r="K104" i="72"/>
  <c r="V104" i="72" s="1"/>
  <c r="AG104" i="72" s="1"/>
  <c r="G104" i="72"/>
  <c r="R104" i="72" s="1"/>
  <c r="AC104" i="72" s="1"/>
  <c r="J104" i="72"/>
  <c r="U104" i="72" s="1"/>
  <c r="AF104" i="72" s="1"/>
  <c r="F104" i="72"/>
  <c r="Q104" i="72" s="1"/>
  <c r="AB104" i="72" s="1"/>
  <c r="I104" i="72"/>
  <c r="T104" i="72" s="1"/>
  <c r="AE104" i="72" s="1"/>
  <c r="E104" i="72"/>
  <c r="P104" i="72" s="1"/>
  <c r="AA104" i="72" s="1"/>
  <c r="H104" i="72"/>
  <c r="S104" i="72" s="1"/>
  <c r="AD104" i="72" s="1"/>
  <c r="D104" i="72"/>
  <c r="O104" i="72" s="1"/>
  <c r="K192" i="72"/>
  <c r="V192" i="72" s="1"/>
  <c r="AG192" i="72" s="1"/>
  <c r="G192" i="72"/>
  <c r="R192" i="72" s="1"/>
  <c r="AC192" i="72" s="1"/>
  <c r="J192" i="72"/>
  <c r="U192" i="72" s="1"/>
  <c r="AF192" i="72" s="1"/>
  <c r="F192" i="72"/>
  <c r="Q192" i="72" s="1"/>
  <c r="AB192" i="72" s="1"/>
  <c r="I192" i="72"/>
  <c r="T192" i="72" s="1"/>
  <c r="AE192" i="72" s="1"/>
  <c r="E192" i="72"/>
  <c r="P192" i="72" s="1"/>
  <c r="H192" i="72"/>
  <c r="S192" i="72" s="1"/>
  <c r="AD192" i="72" s="1"/>
  <c r="D192" i="72"/>
  <c r="O192" i="72" s="1"/>
  <c r="Z192" i="72" s="1"/>
  <c r="CA31" i="36"/>
  <c r="CB31" i="36" s="1"/>
  <c r="K61" i="72"/>
  <c r="V61" i="72" s="1"/>
  <c r="AG61" i="72" s="1"/>
  <c r="G61" i="72"/>
  <c r="R61" i="72" s="1"/>
  <c r="AC61" i="72" s="1"/>
  <c r="J61" i="72"/>
  <c r="U61" i="72" s="1"/>
  <c r="AF61" i="72" s="1"/>
  <c r="F61" i="72"/>
  <c r="Q61" i="72" s="1"/>
  <c r="AB61" i="72" s="1"/>
  <c r="I61" i="72"/>
  <c r="T61" i="72" s="1"/>
  <c r="AE61" i="72" s="1"/>
  <c r="E61" i="72"/>
  <c r="P61" i="72" s="1"/>
  <c r="H61" i="72"/>
  <c r="S61" i="72" s="1"/>
  <c r="AD61" i="72" s="1"/>
  <c r="D61" i="72"/>
  <c r="O61" i="72" s="1"/>
  <c r="Z61" i="72" s="1"/>
  <c r="BS31" i="36"/>
  <c r="BT31" i="36" s="1"/>
  <c r="K148" i="72"/>
  <c r="V148" i="72" s="1"/>
  <c r="AG148" i="72" s="1"/>
  <c r="G148" i="72"/>
  <c r="R148" i="72" s="1"/>
  <c r="AC148" i="72" s="1"/>
  <c r="J148" i="72"/>
  <c r="U148" i="72" s="1"/>
  <c r="AF148" i="72" s="1"/>
  <c r="F148" i="72"/>
  <c r="Q148" i="72" s="1"/>
  <c r="AB148" i="72" s="1"/>
  <c r="I148" i="72"/>
  <c r="T148" i="72" s="1"/>
  <c r="AE148" i="72" s="1"/>
  <c r="E148" i="72"/>
  <c r="P148" i="72" s="1"/>
  <c r="H148" i="72"/>
  <c r="S148" i="72" s="1"/>
  <c r="AD148" i="72" s="1"/>
  <c r="D148" i="72"/>
  <c r="O148" i="72" s="1"/>
  <c r="Z148" i="72" s="1"/>
  <c r="C33" i="75"/>
  <c r="BE10" i="36"/>
  <c r="BH29" i="36" s="1"/>
  <c r="V83" i="9"/>
  <c r="AP45" i="36"/>
  <c r="AQ45" i="36" s="1"/>
  <c r="BZ49" i="18"/>
  <c r="D9" i="60"/>
  <c r="N91" i="76"/>
  <c r="C109" i="75" s="1"/>
  <c r="D10" i="38"/>
  <c r="P16" i="38"/>
  <c r="BZ49" i="35"/>
  <c r="BJ64" i="35" s="1"/>
  <c r="Q39" i="38"/>
  <c r="AH83" i="8"/>
  <c r="E11" i="39"/>
  <c r="A14" i="9"/>
  <c r="AL26" i="36"/>
  <c r="AO48" i="36" s="1"/>
  <c r="BQ46" i="35"/>
  <c r="BX21" i="36"/>
  <c r="BS32" i="36"/>
  <c r="BT32" i="36" s="1"/>
  <c r="BS28" i="36"/>
  <c r="BT28" i="36" s="1"/>
  <c r="BY46" i="35"/>
  <c r="BR49" i="35"/>
  <c r="BZ46" i="18"/>
  <c r="D9" i="59"/>
  <c r="B122" i="62" s="1"/>
  <c r="D95" i="58"/>
  <c r="CA34" i="36"/>
  <c r="CB34" i="36" s="1"/>
  <c r="CA35" i="36"/>
  <c r="CB35" i="36" s="1"/>
  <c r="BY14" i="38"/>
  <c r="BZ14" i="38" s="1"/>
  <c r="Q36" i="38"/>
  <c r="BS29" i="36"/>
  <c r="BT29" i="36" s="1"/>
  <c r="BY16" i="38"/>
  <c r="BZ16" i="38" s="1"/>
  <c r="BQ28" i="37"/>
  <c r="BR28" i="37" s="1"/>
  <c r="BR21" i="38"/>
  <c r="BR11" i="38" s="1"/>
  <c r="BR10" i="38" s="1"/>
  <c r="AU18" i="38"/>
  <c r="AV18" i="38" s="1"/>
  <c r="BO21" i="38"/>
  <c r="BO11" i="38" s="1"/>
  <c r="BO10" i="38" s="1"/>
  <c r="AM43" i="37"/>
  <c r="AI83" i="36"/>
  <c r="P39" i="38"/>
  <c r="AX15" i="37"/>
  <c r="BS30" i="36"/>
  <c r="BT30" i="36" s="1"/>
  <c r="BV17" i="38"/>
  <c r="CA17" i="38" s="1"/>
  <c r="BY13" i="38"/>
  <c r="BZ13" i="38" s="1"/>
  <c r="BV18" i="38"/>
  <c r="BX18" i="38" s="1"/>
  <c r="BY20" i="38"/>
  <c r="BZ20" i="38" s="1"/>
  <c r="BV14" i="38"/>
  <c r="BX14" i="38" s="1"/>
  <c r="AS21" i="38"/>
  <c r="AM21" i="38"/>
  <c r="AM11" i="38" s="1"/>
  <c r="AM10" i="38" s="1"/>
  <c r="AN21" i="38"/>
  <c r="AN11" i="38" s="1"/>
  <c r="AN10" i="38" s="1"/>
  <c r="AX18" i="37"/>
  <c r="P36" i="38"/>
  <c r="AW18" i="37"/>
  <c r="W11" i="38"/>
  <c r="AM39" i="37"/>
  <c r="BY18" i="38"/>
  <c r="BZ18" i="38" s="1"/>
  <c r="BQ21" i="38"/>
  <c r="BQ11" i="38" s="1"/>
  <c r="BQ10" i="38" s="1"/>
  <c r="BV20" i="38"/>
  <c r="BY35" i="38" s="1"/>
  <c r="BZ35" i="38" s="1"/>
  <c r="AU16" i="38"/>
  <c r="AV16" i="38" s="1"/>
  <c r="AW17" i="37"/>
  <c r="BN21" i="9"/>
  <c r="BN22" i="9" s="1"/>
  <c r="AR13" i="38"/>
  <c r="AT13" i="38" s="1"/>
  <c r="BY17" i="38"/>
  <c r="BZ17" i="38" s="1"/>
  <c r="BW21" i="38"/>
  <c r="AR15" i="38"/>
  <c r="AX15" i="38" s="1"/>
  <c r="AR17" i="38"/>
  <c r="AW17" i="38" s="1"/>
  <c r="AR20" i="38"/>
  <c r="AW20" i="38" s="1"/>
  <c r="BT21" i="38"/>
  <c r="BT11" i="38" s="1"/>
  <c r="BT10" i="38" s="1"/>
  <c r="BV16" i="38"/>
  <c r="BX16" i="38" s="1"/>
  <c r="AQ21" i="38"/>
  <c r="AQ11" i="38" s="1"/>
  <c r="AQ10" i="38" s="1"/>
  <c r="AR14" i="38"/>
  <c r="AT14" i="38" s="1"/>
  <c r="AU13" i="38"/>
  <c r="AV13" i="38" s="1"/>
  <c r="AP21" i="38"/>
  <c r="AP11" i="38" s="1"/>
  <c r="AP10" i="38" s="1"/>
  <c r="AT20" i="37"/>
  <c r="BV19" i="38"/>
  <c r="BX19" i="38" s="1"/>
  <c r="BV15" i="38"/>
  <c r="BX15" i="38" s="1"/>
  <c r="BS21" i="38"/>
  <c r="BS11" i="38" s="1"/>
  <c r="BS10" i="38" s="1"/>
  <c r="AL21" i="38"/>
  <c r="AL11" i="38" s="1"/>
  <c r="AL10" i="38" s="1"/>
  <c r="AR18" i="38"/>
  <c r="AX18" i="38" s="1"/>
  <c r="AU19" i="38"/>
  <c r="AV19" i="38" s="1"/>
  <c r="AR19" i="38"/>
  <c r="AM45" i="38" s="1"/>
  <c r="AO45" i="38" s="1"/>
  <c r="AM46" i="37"/>
  <c r="AO46" i="37" s="1"/>
  <c r="AP46" i="37" s="1"/>
  <c r="AQ46" i="37" s="1"/>
  <c r="AK21" i="38"/>
  <c r="AK11" i="38" s="1"/>
  <c r="AK10" i="38" s="1"/>
  <c r="BU21" i="38"/>
  <c r="BU11" i="38" s="1"/>
  <c r="BU10" i="38" s="1"/>
  <c r="AR16" i="38"/>
  <c r="AW16" i="38" s="1"/>
  <c r="AU17" i="38"/>
  <c r="AV17" i="38" s="1"/>
  <c r="BY19" i="38"/>
  <c r="BZ19" i="38" s="1"/>
  <c r="AU20" i="38"/>
  <c r="AV20" i="38" s="1"/>
  <c r="AU14" i="38"/>
  <c r="AV14" i="38" s="1"/>
  <c r="BV13" i="38"/>
  <c r="BX13" i="38" s="1"/>
  <c r="AO21" i="38"/>
  <c r="AO11" i="38" s="1"/>
  <c r="AO10" i="38" s="1"/>
  <c r="BP21" i="38"/>
  <c r="BP11" i="38" s="1"/>
  <c r="BP10" i="38" s="1"/>
  <c r="BY15" i="38"/>
  <c r="BZ15" i="38" s="1"/>
  <c r="AU15" i="38"/>
  <c r="AV15" i="38" s="1"/>
  <c r="CA30" i="36"/>
  <c r="CB30" i="36" s="1"/>
  <c r="AP41" i="36"/>
  <c r="AQ41" i="36" s="1"/>
  <c r="C127" i="58"/>
  <c r="H129" i="58" s="1"/>
  <c r="DP3" i="10"/>
  <c r="CA21" i="36"/>
  <c r="CB21" i="36" s="1"/>
  <c r="AW15" i="37"/>
  <c r="CA20" i="37"/>
  <c r="BT19" i="39"/>
  <c r="AS15" i="39"/>
  <c r="AT21" i="36"/>
  <c r="AL24" i="36" s="1"/>
  <c r="AL25" i="36" s="1"/>
  <c r="AW21" i="36"/>
  <c r="AX21" i="36" s="1"/>
  <c r="BY31" i="37"/>
  <c r="BZ31" i="37" s="1"/>
  <c r="DK26" i="8"/>
  <c r="BZ79" i="8" s="1"/>
  <c r="I9" i="51" s="1"/>
  <c r="CA14" i="37"/>
  <c r="CB14" i="37" s="1"/>
  <c r="AM41" i="37"/>
  <c r="AO41" i="37" s="1"/>
  <c r="AM44" i="37"/>
  <c r="AO44" i="37" s="1"/>
  <c r="AX17" i="37"/>
  <c r="AO17" i="39"/>
  <c r="AW20" i="37"/>
  <c r="BJ11" i="38"/>
  <c r="AL9" i="59" s="1"/>
  <c r="D11" i="58" s="1"/>
  <c r="P22" i="8"/>
  <c r="T22" i="8" s="1"/>
  <c r="DP19" i="10"/>
  <c r="AE129" i="10" s="1"/>
  <c r="CB18" i="37"/>
  <c r="N15" i="9"/>
  <c r="BY28" i="37"/>
  <c r="BZ28" i="37" s="1"/>
  <c r="BO18" i="39"/>
  <c r="AO18" i="39"/>
  <c r="BQ19" i="39"/>
  <c r="AO13" i="39"/>
  <c r="AQ13" i="39"/>
  <c r="AS19" i="39"/>
  <c r="BQ15" i="39"/>
  <c r="BP18" i="39"/>
  <c r="AM15" i="39"/>
  <c r="BR17" i="39"/>
  <c r="DP13" i="10"/>
  <c r="U11" i="59" s="1"/>
  <c r="DP16" i="10"/>
  <c r="AG8" i="59"/>
  <c r="AL14" i="9"/>
  <c r="CB20" i="37"/>
  <c r="CA35" i="37" s="1"/>
  <c r="CB35" i="37" s="1"/>
  <c r="AW13" i="37"/>
  <c r="AX13" i="37" s="1"/>
  <c r="CA13" i="37"/>
  <c r="CB13" i="37" s="1"/>
  <c r="AD8" i="59"/>
  <c r="BN20" i="10"/>
  <c r="BJ20" i="10" s="1"/>
  <c r="DP7" i="10"/>
  <c r="AE123" i="10" s="1"/>
  <c r="HK16" i="10" s="1"/>
  <c r="DP8" i="10"/>
  <c r="BQ31" i="37"/>
  <c r="BR31" i="37" s="1"/>
  <c r="CA16" i="37"/>
  <c r="CB16" i="37" s="1"/>
  <c r="BX20" i="37"/>
  <c r="BX21" i="37" s="1"/>
  <c r="AK8" i="59"/>
  <c r="CA17" i="37"/>
  <c r="CB17" i="37" s="1"/>
  <c r="CA19" i="37"/>
  <c r="AW19" i="37"/>
  <c r="CB15" i="37"/>
  <c r="AT16" i="37"/>
  <c r="BO14" i="39"/>
  <c r="BW14" i="39"/>
  <c r="AK18" i="39"/>
  <c r="AS18" i="39"/>
  <c r="AQ16" i="39"/>
  <c r="BU20" i="39"/>
  <c r="AM20" i="39"/>
  <c r="BS19" i="39"/>
  <c r="BP16" i="39"/>
  <c r="BU15" i="39"/>
  <c r="AQ18" i="39"/>
  <c r="BS17" i="39"/>
  <c r="AW16" i="37"/>
  <c r="AX16" i="37" s="1"/>
  <c r="BK3" i="39"/>
  <c r="AM10" i="59" s="1"/>
  <c r="BU13" i="39"/>
  <c r="AQ19" i="39"/>
  <c r="BP19" i="39"/>
  <c r="AM18" i="39"/>
  <c r="BQ20" i="39"/>
  <c r="BT16" i="39"/>
  <c r="AN17" i="39"/>
  <c r="BQ29" i="37"/>
  <c r="BR29" i="37" s="1"/>
  <c r="BY29" i="37"/>
  <c r="BZ29" i="37" s="1"/>
  <c r="AE8" i="59"/>
  <c r="AV21" i="37"/>
  <c r="AL27" i="37" s="1"/>
  <c r="BZ21" i="37"/>
  <c r="BQ30" i="37"/>
  <c r="BR30" i="37" s="1"/>
  <c r="CA15" i="37"/>
  <c r="AF8" i="59"/>
  <c r="AM45" i="37"/>
  <c r="AO45" i="37" s="1"/>
  <c r="AX19" i="37"/>
  <c r="BY30" i="37"/>
  <c r="BZ30" i="37" s="1"/>
  <c r="AH8" i="59"/>
  <c r="CB19" i="37"/>
  <c r="BY33" i="37"/>
  <c r="BZ33" i="37" s="1"/>
  <c r="BV21" i="37"/>
  <c r="DP15" i="9"/>
  <c r="Y10" i="59" s="1"/>
  <c r="AT5" i="40"/>
  <c r="BS14" i="40" s="1"/>
  <c r="DP12" i="10"/>
  <c r="N15" i="10" s="1"/>
  <c r="DP9" i="10"/>
  <c r="I14" i="10" s="1"/>
  <c r="DP11" i="10"/>
  <c r="V11" i="59" s="1"/>
  <c r="N141" i="76" s="1"/>
  <c r="DP10" i="10"/>
  <c r="U14" i="10" s="1"/>
  <c r="DP5" i="10"/>
  <c r="DP17" i="10"/>
  <c r="BQ35" i="37"/>
  <c r="BR35" i="37" s="1"/>
  <c r="BQ32" i="37"/>
  <c r="BR32" i="37" s="1"/>
  <c r="BY32" i="37"/>
  <c r="BZ32" i="37" s="1"/>
  <c r="BY34" i="37"/>
  <c r="BZ34" i="37" s="1"/>
  <c r="BQ34" i="37"/>
  <c r="BR34" i="37" s="1"/>
  <c r="AJ8" i="59"/>
  <c r="BQ33" i="37"/>
  <c r="BR33" i="37" s="1"/>
  <c r="CA18" i="37"/>
  <c r="AI8" i="59"/>
  <c r="Z10" i="59"/>
  <c r="V84" i="9"/>
  <c r="DC7" i="34"/>
  <c r="DK238" i="72"/>
  <c r="DK240" i="72"/>
  <c r="DK242" i="72"/>
  <c r="DK244" i="72"/>
  <c r="DK246" i="72"/>
  <c r="DK248" i="72"/>
  <c r="DK250" i="72"/>
  <c r="DK252" i="72"/>
  <c r="DK254" i="72"/>
  <c r="DK256" i="72"/>
  <c r="DK258" i="72"/>
  <c r="DK260" i="72"/>
  <c r="DK262" i="72"/>
  <c r="DK264" i="72"/>
  <c r="DK266" i="72"/>
  <c r="DK237" i="72"/>
  <c r="DK239" i="72"/>
  <c r="DK241" i="72"/>
  <c r="DK243" i="72"/>
  <c r="DK245" i="72"/>
  <c r="DK247" i="72"/>
  <c r="DK249" i="72"/>
  <c r="DK251" i="72"/>
  <c r="DK253" i="72"/>
  <c r="DK255" i="72"/>
  <c r="DK257" i="72"/>
  <c r="DK259" i="72"/>
  <c r="DK261" i="72"/>
  <c r="DK263" i="72"/>
  <c r="DK265" i="72"/>
  <c r="DK267" i="72"/>
  <c r="FN49" i="9"/>
  <c r="FN47" i="9"/>
  <c r="FN45" i="9"/>
  <c r="FN43" i="9"/>
  <c r="FN41" i="9"/>
  <c r="FN39" i="9"/>
  <c r="FN37" i="9"/>
  <c r="FN35" i="9"/>
  <c r="FN33" i="9"/>
  <c r="FN31" i="9"/>
  <c r="FN29" i="9"/>
  <c r="FN27" i="9"/>
  <c r="FN25" i="9"/>
  <c r="FN23" i="9"/>
  <c r="FN21" i="9"/>
  <c r="FN50" i="9"/>
  <c r="FN48" i="9"/>
  <c r="FN46" i="9"/>
  <c r="FN44" i="9"/>
  <c r="FN42" i="9"/>
  <c r="FN40" i="9"/>
  <c r="FN38" i="9"/>
  <c r="FN36" i="9"/>
  <c r="FN34" i="9"/>
  <c r="FN32" i="9"/>
  <c r="FN30" i="9"/>
  <c r="FN28" i="9"/>
  <c r="FN26" i="9"/>
  <c r="FN24" i="9"/>
  <c r="FN22" i="9"/>
  <c r="FN20" i="9"/>
  <c r="DP18" i="9"/>
  <c r="U42" i="74" s="1"/>
  <c r="AM40" i="37"/>
  <c r="AR21" i="37"/>
  <c r="BO17" i="39"/>
  <c r="AK14" i="39"/>
  <c r="AK13" i="39"/>
  <c r="BW15" i="39"/>
  <c r="BR13" i="39"/>
  <c r="BO13" i="39"/>
  <c r="AK19" i="39"/>
  <c r="AL13" i="39"/>
  <c r="BO16" i="39"/>
  <c r="BW17" i="39"/>
  <c r="AS16" i="39"/>
  <c r="AM16" i="39"/>
  <c r="BU16" i="39"/>
  <c r="AP20" i="39"/>
  <c r="AQ17" i="39"/>
  <c r="BT14" i="39"/>
  <c r="AP19" i="39"/>
  <c r="BR19" i="39"/>
  <c r="AL15" i="39"/>
  <c r="AO16" i="39"/>
  <c r="BR16" i="39"/>
  <c r="R3" i="39"/>
  <c r="BT15" i="39"/>
  <c r="BQ18" i="39"/>
  <c r="AL14" i="39"/>
  <c r="BQ17" i="39"/>
  <c r="BP20" i="39"/>
  <c r="AL18" i="39"/>
  <c r="AL17" i="39"/>
  <c r="AQ15" i="39"/>
  <c r="AQ14" i="39"/>
  <c r="AO19" i="39"/>
  <c r="E10" i="39"/>
  <c r="AW14" i="37"/>
  <c r="AX14" i="37" s="1"/>
  <c r="BS13" i="39"/>
  <c r="AK17" i="39"/>
  <c r="AK15" i="39"/>
  <c r="BW13" i="39"/>
  <c r="BW18" i="39"/>
  <c r="BQ13" i="39"/>
  <c r="BO20" i="39"/>
  <c r="BT13" i="39"/>
  <c r="BW19" i="39"/>
  <c r="BO15" i="39"/>
  <c r="AS20" i="39"/>
  <c r="AS17" i="39"/>
  <c r="BT20" i="39"/>
  <c r="AO15" i="39"/>
  <c r="BP14" i="39"/>
  <c r="BU19" i="39"/>
  <c r="AN19" i="39"/>
  <c r="BP15" i="39"/>
  <c r="AN15" i="39"/>
  <c r="BU17" i="39"/>
  <c r="BP17" i="39"/>
  <c r="AL16" i="39"/>
  <c r="AM14" i="39"/>
  <c r="AN18" i="39"/>
  <c r="BQ16" i="39"/>
  <c r="AL19" i="39"/>
  <c r="AN20" i="39"/>
  <c r="BR15" i="39"/>
  <c r="AN16" i="39"/>
  <c r="BT18" i="39"/>
  <c r="AM17" i="39"/>
  <c r="AN14" i="39"/>
  <c r="BQ14" i="39"/>
  <c r="AP13" i="39"/>
  <c r="AN13" i="39"/>
  <c r="AK20" i="39"/>
  <c r="AS13" i="39"/>
  <c r="BW16" i="39"/>
  <c r="AM13" i="39"/>
  <c r="BO19" i="39"/>
  <c r="BP13" i="39"/>
  <c r="AK16" i="39"/>
  <c r="AS14" i="39"/>
  <c r="BW20" i="39"/>
  <c r="AP16" i="39"/>
  <c r="AO20" i="39"/>
  <c r="AM19" i="39"/>
  <c r="BU18" i="39"/>
  <c r="BX5" i="39"/>
  <c r="AO14" i="39"/>
  <c r="AP14" i="39"/>
  <c r="BR20" i="39"/>
  <c r="BU14" i="39"/>
  <c r="BS18" i="39"/>
  <c r="BS14" i="39"/>
  <c r="BT17" i="39"/>
  <c r="BS16" i="39"/>
  <c r="BS20" i="39"/>
  <c r="AP15" i="39"/>
  <c r="AP18" i="39"/>
  <c r="AL20" i="39"/>
  <c r="BS15" i="39"/>
  <c r="BR18" i="39"/>
  <c r="BR14" i="39"/>
  <c r="AQ20" i="39"/>
  <c r="AL28" i="36"/>
  <c r="DP4" i="11"/>
  <c r="G17" i="51"/>
  <c r="BN24" i="7"/>
  <c r="BJ23" i="7"/>
  <c r="BN25" i="6"/>
  <c r="BJ24" i="6"/>
  <c r="I18" i="37"/>
  <c r="AT99" i="9"/>
  <c r="BA10" i="59"/>
  <c r="Q82" i="9"/>
  <c r="H27" i="51" s="1"/>
  <c r="AU98" i="9"/>
  <c r="L60" i="72"/>
  <c r="M60" i="72" s="1"/>
  <c r="BA22" i="18"/>
  <c r="BE22" i="18" s="1"/>
  <c r="BA19" i="37"/>
  <c r="BE10" i="37"/>
  <c r="BC58" i="72"/>
  <c r="BD58" i="72" s="1"/>
  <c r="AM58" i="72" s="1"/>
  <c r="AP58" i="72" s="1"/>
  <c r="BF58" i="72"/>
  <c r="FB25" i="5"/>
  <c r="BH25" i="5" s="1"/>
  <c r="A23" i="35"/>
  <c r="A62" i="72"/>
  <c r="L147" i="72"/>
  <c r="M147" i="72" s="1"/>
  <c r="BG102" i="72"/>
  <c r="BB102" i="72"/>
  <c r="A18" i="39"/>
  <c r="A237" i="72"/>
  <c r="FB20" i="9"/>
  <c r="BH20" i="9" s="1"/>
  <c r="A23" i="18"/>
  <c r="A17" i="72"/>
  <c r="FB25" i="4"/>
  <c r="BH25" i="4" s="1"/>
  <c r="Q11" i="38"/>
  <c r="BN23" i="8"/>
  <c r="BJ22" i="8"/>
  <c r="BA22" i="35"/>
  <c r="FB22" i="7"/>
  <c r="BH22" i="7" s="1"/>
  <c r="A20" i="37"/>
  <c r="A149" i="72"/>
  <c r="Q17" i="37"/>
  <c r="AC11" i="37"/>
  <c r="I21" i="18"/>
  <c r="A21" i="36"/>
  <c r="FB23" i="6"/>
  <c r="BH23" i="6" s="1"/>
  <c r="A105" i="72"/>
  <c r="W14" i="36"/>
  <c r="BG59" i="72"/>
  <c r="AY59" i="72"/>
  <c r="BB59" i="72"/>
  <c r="K18" i="35"/>
  <c r="L18" i="35" s="1"/>
  <c r="E18" i="35" s="1"/>
  <c r="D57" i="35" s="1"/>
  <c r="EU20" i="5"/>
  <c r="I19" i="36"/>
  <c r="L103" i="72"/>
  <c r="M103" i="72" s="1"/>
  <c r="AC10" i="37"/>
  <c r="Q16" i="37"/>
  <c r="DI12" i="34"/>
  <c r="BY2" i="12"/>
  <c r="BN27" i="5"/>
  <c r="BJ26" i="5"/>
  <c r="BA20" i="36"/>
  <c r="AY102" i="72"/>
  <c r="I21" i="35"/>
  <c r="BN27" i="4"/>
  <c r="BJ26" i="4"/>
  <c r="Q10" i="38"/>
  <c r="P21" i="8"/>
  <c r="T21" i="8" s="1"/>
  <c r="A19" i="38"/>
  <c r="FB21" i="8"/>
  <c r="BH21" i="8" s="1"/>
  <c r="A193" i="72"/>
  <c r="W13" i="36"/>
  <c r="AL26" i="37" l="1"/>
  <c r="AO48" i="37" s="1"/>
  <c r="D35" i="62"/>
  <c r="H32" i="62"/>
  <c r="C116" i="77"/>
  <c r="C128" i="77"/>
  <c r="DP30" i="11"/>
  <c r="CX12" i="59" s="1"/>
  <c r="AD135" i="11"/>
  <c r="AA84" i="74" s="1"/>
  <c r="AA87" i="74" s="1"/>
  <c r="T32" i="10"/>
  <c r="AL91" i="10" s="1"/>
  <c r="N117" i="76"/>
  <c r="N129" i="76"/>
  <c r="AB6" i="59"/>
  <c r="GT4" i="34"/>
  <c r="AW15" i="38"/>
  <c r="C22" i="75"/>
  <c r="Q7" i="59"/>
  <c r="AQ16" i="6"/>
  <c r="AQ51" i="6" s="1"/>
  <c r="BQ32" i="38"/>
  <c r="BR32" i="38" s="1"/>
  <c r="AT17" i="38"/>
  <c r="CI11" i="59"/>
  <c r="H27" i="62"/>
  <c r="FS20" i="8"/>
  <c r="BN10" i="59"/>
  <c r="BE21" i="7"/>
  <c r="BC21" i="7" s="1"/>
  <c r="I19" i="37" s="1"/>
  <c r="BC4" i="63"/>
  <c r="T15" i="60"/>
  <c r="CA14" i="38"/>
  <c r="CB14" i="38" s="1"/>
  <c r="J22" i="35"/>
  <c r="BZ72" i="10"/>
  <c r="A19" i="10"/>
  <c r="A20" i="10"/>
  <c r="DP23" i="11"/>
  <c r="B34" i="11" s="1"/>
  <c r="BZ102" i="11" s="1"/>
  <c r="DP29" i="11"/>
  <c r="CS12" i="59" s="1"/>
  <c r="DP28" i="11"/>
  <c r="CR12" i="59" s="1"/>
  <c r="DP27" i="11"/>
  <c r="CQ12" i="59" s="1"/>
  <c r="DP26" i="11"/>
  <c r="CP12" i="59" s="1"/>
  <c r="EO12" i="10"/>
  <c r="L19" i="10"/>
  <c r="A18" i="10"/>
  <c r="L18" i="10" s="1"/>
  <c r="P19" i="9"/>
  <c r="T19" i="9" s="1"/>
  <c r="P18" i="9"/>
  <c r="T18" i="9" s="1"/>
  <c r="P20" i="9"/>
  <c r="A1" i="63"/>
  <c r="BM11" i="63"/>
  <c r="AD12" i="60"/>
  <c r="A1" i="60"/>
  <c r="AL13" i="40"/>
  <c r="AW19" i="38"/>
  <c r="AL18" i="40"/>
  <c r="T34" i="10"/>
  <c r="DP25" i="10" s="1"/>
  <c r="CO11" i="59" s="1"/>
  <c r="CL11" i="59"/>
  <c r="BZ102" i="10"/>
  <c r="BZ98" i="10"/>
  <c r="G18" i="51" s="1"/>
  <c r="AX17" i="38"/>
  <c r="BE20" i="8"/>
  <c r="BC20" i="8" s="1"/>
  <c r="I18" i="38" s="1"/>
  <c r="AX16" i="38"/>
  <c r="BY31" i="38"/>
  <c r="BZ31" i="38" s="1"/>
  <c r="AT16" i="38"/>
  <c r="CA20" i="38"/>
  <c r="EM18" i="38"/>
  <c r="H18" i="38"/>
  <c r="BT20" i="40"/>
  <c r="BU19" i="40"/>
  <c r="AK16" i="40"/>
  <c r="BP17" i="40"/>
  <c r="BW15" i="40"/>
  <c r="BT16" i="40"/>
  <c r="GC20" i="9"/>
  <c r="FX158" i="34" s="1"/>
  <c r="GC21" i="8"/>
  <c r="FX128" i="34" s="1"/>
  <c r="GC25" i="5"/>
  <c r="FX39" i="34" s="1"/>
  <c r="GD47" i="11"/>
  <c r="GE47" i="11" s="1"/>
  <c r="GD43" i="11"/>
  <c r="GE43" i="11" s="1"/>
  <c r="GD39" i="11"/>
  <c r="GE39" i="11" s="1"/>
  <c r="GD35" i="11"/>
  <c r="GE35" i="11" s="1"/>
  <c r="GD31" i="11"/>
  <c r="GE31" i="11" s="1"/>
  <c r="GD27" i="11"/>
  <c r="GE27" i="11" s="1"/>
  <c r="GD23" i="11"/>
  <c r="GE23" i="11" s="1"/>
  <c r="GD50" i="11"/>
  <c r="GE50" i="11" s="1"/>
  <c r="GD46" i="11"/>
  <c r="GE46" i="11" s="1"/>
  <c r="GD42" i="11"/>
  <c r="GE42" i="11" s="1"/>
  <c r="GD38" i="11"/>
  <c r="GE38" i="11" s="1"/>
  <c r="GD34" i="11"/>
  <c r="GE34" i="11" s="1"/>
  <c r="GD30" i="11"/>
  <c r="GE30" i="11" s="1"/>
  <c r="GD26" i="11"/>
  <c r="GE26" i="11" s="1"/>
  <c r="GD22" i="11"/>
  <c r="GE22" i="11" s="1"/>
  <c r="GD49" i="11"/>
  <c r="GE49" i="11" s="1"/>
  <c r="GD45" i="11"/>
  <c r="GE45" i="11" s="1"/>
  <c r="GD41" i="11"/>
  <c r="GE41" i="11" s="1"/>
  <c r="GD37" i="11"/>
  <c r="GE37" i="11" s="1"/>
  <c r="GD33" i="11"/>
  <c r="GE33" i="11" s="1"/>
  <c r="GD29" i="11"/>
  <c r="GE29" i="11" s="1"/>
  <c r="GD25" i="11"/>
  <c r="GE25" i="11" s="1"/>
  <c r="GD21" i="11"/>
  <c r="GE21" i="11" s="1"/>
  <c r="GD48" i="11"/>
  <c r="GE48" i="11" s="1"/>
  <c r="GD44" i="11"/>
  <c r="GE44" i="11" s="1"/>
  <c r="GD40" i="11"/>
  <c r="GE40" i="11" s="1"/>
  <c r="GD36" i="11"/>
  <c r="GE36" i="11" s="1"/>
  <c r="GD32" i="11"/>
  <c r="GE32" i="11" s="1"/>
  <c r="GD28" i="11"/>
  <c r="GE28" i="11" s="1"/>
  <c r="GD24" i="11"/>
  <c r="GE24" i="11" s="1"/>
  <c r="GD20" i="11"/>
  <c r="GE20" i="11" s="1"/>
  <c r="GD53" i="12"/>
  <c r="GC23" i="6"/>
  <c r="FX68" i="34" s="1"/>
  <c r="GC22" i="7"/>
  <c r="FX98" i="34" s="1"/>
  <c r="GC25" i="4"/>
  <c r="FX8" i="34" s="1"/>
  <c r="BH45" i="36"/>
  <c r="BN21" i="10"/>
  <c r="BJ21" i="10" s="1"/>
  <c r="J22" i="18"/>
  <c r="AI103" i="72"/>
  <c r="AQ103" i="72" s="1"/>
  <c r="AI60" i="72"/>
  <c r="AQ60" i="72" s="1"/>
  <c r="AI147" i="72"/>
  <c r="AI15" i="72"/>
  <c r="AA192" i="72"/>
  <c r="W192" i="72"/>
  <c r="X192" i="72" s="1"/>
  <c r="W148" i="72"/>
  <c r="X148" i="72" s="1"/>
  <c r="AA148" i="72"/>
  <c r="W104" i="72"/>
  <c r="X104" i="72" s="1"/>
  <c r="Z104" i="72"/>
  <c r="AA16" i="72"/>
  <c r="W16" i="72"/>
  <c r="X16" i="72" s="1"/>
  <c r="AA61" i="72"/>
  <c r="W61" i="72"/>
  <c r="X61" i="72" s="1"/>
  <c r="AT15" i="38"/>
  <c r="AM42" i="38"/>
  <c r="BQ31" i="38"/>
  <c r="BR31" i="38" s="1"/>
  <c r="BQ35" i="38"/>
  <c r="BR35" i="38" s="1"/>
  <c r="AX19" i="38"/>
  <c r="AP45" i="38" s="1"/>
  <c r="AQ45" i="38" s="1"/>
  <c r="AM39" i="38"/>
  <c r="AK9" i="59"/>
  <c r="AI9" i="59"/>
  <c r="AF9" i="59"/>
  <c r="FS25" i="4"/>
  <c r="BE25" i="4"/>
  <c r="BC25" i="4" s="1"/>
  <c r="J20" i="36"/>
  <c r="FS25" i="5"/>
  <c r="BE25" i="5"/>
  <c r="BC25" i="5" s="1"/>
  <c r="FS21" i="8"/>
  <c r="BE21" i="8"/>
  <c r="BC21" i="8" s="1"/>
  <c r="FS20" i="9"/>
  <c r="BE20" i="9"/>
  <c r="BC20" i="9" s="1"/>
  <c r="FS23" i="6"/>
  <c r="BE23" i="6"/>
  <c r="BC23" i="6" s="1"/>
  <c r="FS22" i="7"/>
  <c r="BE22" i="7"/>
  <c r="BC22" i="7" s="1"/>
  <c r="ED16" i="72"/>
  <c r="EE16" i="72" s="1"/>
  <c r="EN22" i="18" s="1"/>
  <c r="EV22" i="5"/>
  <c r="AA22" i="5" s="1"/>
  <c r="EV20" i="6"/>
  <c r="AA20" i="6" s="1"/>
  <c r="H19" i="38"/>
  <c r="EM19" i="38"/>
  <c r="CD103" i="72"/>
  <c r="EA105" i="72"/>
  <c r="DW105" i="72"/>
  <c r="EH105" i="72"/>
  <c r="EI105" i="72" s="1"/>
  <c r="EB105" i="72"/>
  <c r="DX105" i="72"/>
  <c r="DZ105" i="72"/>
  <c r="DY105" i="72"/>
  <c r="DV105" i="72"/>
  <c r="EC105" i="72"/>
  <c r="DU105" i="72"/>
  <c r="EH237" i="72"/>
  <c r="EI237" i="72" s="1"/>
  <c r="EB237" i="72"/>
  <c r="DX237" i="72"/>
  <c r="EA237" i="72"/>
  <c r="DW237" i="72"/>
  <c r="DZ237" i="72"/>
  <c r="DV237" i="72"/>
  <c r="EC237" i="72"/>
  <c r="DY237" i="72"/>
  <c r="DU237" i="72"/>
  <c r="CD147" i="72"/>
  <c r="DZ193" i="72"/>
  <c r="DV193" i="72"/>
  <c r="EC193" i="72"/>
  <c r="DY193" i="72"/>
  <c r="DU193" i="72"/>
  <c r="EB193" i="72"/>
  <c r="DX193" i="72"/>
  <c r="EH193" i="72"/>
  <c r="EI193" i="72" s="1"/>
  <c r="EA193" i="72"/>
  <c r="DW193" i="72"/>
  <c r="H21" i="36"/>
  <c r="EM21" i="36"/>
  <c r="DZ149" i="72"/>
  <c r="DV149" i="72"/>
  <c r="EC149" i="72"/>
  <c r="DY149" i="72"/>
  <c r="DU149" i="72"/>
  <c r="EH149" i="72"/>
  <c r="EI149" i="72" s="1"/>
  <c r="EB149" i="72"/>
  <c r="DX149" i="72"/>
  <c r="EA149" i="72"/>
  <c r="DW149" i="72"/>
  <c r="EB17" i="72"/>
  <c r="DX17" i="72"/>
  <c r="EH17" i="72"/>
  <c r="EI17" i="72" s="1"/>
  <c r="EA17" i="72"/>
  <c r="DW17" i="72"/>
  <c r="DZ17" i="72"/>
  <c r="DV17" i="72"/>
  <c r="EC17" i="72"/>
  <c r="DY17" i="72"/>
  <c r="DU17" i="72"/>
  <c r="H18" i="39"/>
  <c r="EM18" i="39"/>
  <c r="EC62" i="72"/>
  <c r="DY62" i="72"/>
  <c r="DU62" i="72"/>
  <c r="EB62" i="72"/>
  <c r="DX62" i="72"/>
  <c r="EH62" i="72"/>
  <c r="EI62" i="72" s="1"/>
  <c r="EA62" i="72"/>
  <c r="DW62" i="72"/>
  <c r="DZ62" i="72"/>
  <c r="DV62" i="72"/>
  <c r="C92" i="77"/>
  <c r="C104" i="77"/>
  <c r="ED104" i="72"/>
  <c r="EE104" i="72" s="1"/>
  <c r="H20" i="37"/>
  <c r="EM20" i="37"/>
  <c r="H23" i="18"/>
  <c r="EM23" i="18"/>
  <c r="H23" i="35"/>
  <c r="EM23" i="35"/>
  <c r="CD60" i="72"/>
  <c r="ED192" i="72"/>
  <c r="EE192" i="72" s="1"/>
  <c r="ED61" i="72"/>
  <c r="EE61" i="72" s="1"/>
  <c r="ED148" i="72"/>
  <c r="EE148" i="72" s="1"/>
  <c r="BJ45" i="36"/>
  <c r="BJ29" i="36"/>
  <c r="N93" i="76"/>
  <c r="C111" i="75" s="1"/>
  <c r="N105" i="76"/>
  <c r="K193" i="72"/>
  <c r="V193" i="72" s="1"/>
  <c r="AG193" i="72" s="1"/>
  <c r="G193" i="72"/>
  <c r="R193" i="72" s="1"/>
  <c r="AC193" i="72" s="1"/>
  <c r="J193" i="72"/>
  <c r="U193" i="72" s="1"/>
  <c r="AF193" i="72" s="1"/>
  <c r="F193" i="72"/>
  <c r="Q193" i="72" s="1"/>
  <c r="AB193" i="72" s="1"/>
  <c r="I193" i="72"/>
  <c r="T193" i="72" s="1"/>
  <c r="AE193" i="72" s="1"/>
  <c r="E193" i="72"/>
  <c r="P193" i="72" s="1"/>
  <c r="H193" i="72"/>
  <c r="S193" i="72" s="1"/>
  <c r="AD193" i="72" s="1"/>
  <c r="D193" i="72"/>
  <c r="O193" i="72" s="1"/>
  <c r="Z193" i="72" s="1"/>
  <c r="K149" i="72"/>
  <c r="V149" i="72" s="1"/>
  <c r="AG149" i="72" s="1"/>
  <c r="G149" i="72"/>
  <c r="R149" i="72" s="1"/>
  <c r="AC149" i="72" s="1"/>
  <c r="J149" i="72"/>
  <c r="U149" i="72" s="1"/>
  <c r="AF149" i="72" s="1"/>
  <c r="F149" i="72"/>
  <c r="Q149" i="72" s="1"/>
  <c r="AB149" i="72" s="1"/>
  <c r="I149" i="72"/>
  <c r="T149" i="72" s="1"/>
  <c r="AE149" i="72" s="1"/>
  <c r="E149" i="72"/>
  <c r="P149" i="72" s="1"/>
  <c r="AA149" i="72" s="1"/>
  <c r="H149" i="72"/>
  <c r="S149" i="72" s="1"/>
  <c r="AD149" i="72" s="1"/>
  <c r="D149" i="72"/>
  <c r="O149" i="72" s="1"/>
  <c r="K237" i="72"/>
  <c r="V237" i="72" s="1"/>
  <c r="AG237" i="72" s="1"/>
  <c r="G237" i="72"/>
  <c r="R237" i="72" s="1"/>
  <c r="AC237" i="72" s="1"/>
  <c r="J237" i="72"/>
  <c r="U237" i="72" s="1"/>
  <c r="AF237" i="72" s="1"/>
  <c r="F237" i="72"/>
  <c r="Q237" i="72" s="1"/>
  <c r="AB237" i="72" s="1"/>
  <c r="I237" i="72"/>
  <c r="T237" i="72" s="1"/>
  <c r="AE237" i="72" s="1"/>
  <c r="E237" i="72"/>
  <c r="P237" i="72" s="1"/>
  <c r="H237" i="72"/>
  <c r="S237" i="72" s="1"/>
  <c r="AD237" i="72" s="1"/>
  <c r="D237" i="72"/>
  <c r="O237" i="72" s="1"/>
  <c r="Z237" i="72" s="1"/>
  <c r="K17" i="72"/>
  <c r="V17" i="72" s="1"/>
  <c r="AG17" i="72" s="1"/>
  <c r="G17" i="72"/>
  <c r="R17" i="72" s="1"/>
  <c r="AC17" i="72" s="1"/>
  <c r="J17" i="72"/>
  <c r="U17" i="72" s="1"/>
  <c r="AF17" i="72" s="1"/>
  <c r="F17" i="72"/>
  <c r="Q17" i="72" s="1"/>
  <c r="AB17" i="72" s="1"/>
  <c r="I17" i="72"/>
  <c r="T17" i="72" s="1"/>
  <c r="AE17" i="72" s="1"/>
  <c r="E17" i="72"/>
  <c r="P17" i="72" s="1"/>
  <c r="H17" i="72"/>
  <c r="S17" i="72" s="1"/>
  <c r="AD17" i="72" s="1"/>
  <c r="D17" i="72"/>
  <c r="O17" i="72" s="1"/>
  <c r="Z17" i="72" s="1"/>
  <c r="K62" i="72"/>
  <c r="V62" i="72" s="1"/>
  <c r="AG62" i="72" s="1"/>
  <c r="G62" i="72"/>
  <c r="R62" i="72" s="1"/>
  <c r="AC62" i="72" s="1"/>
  <c r="J62" i="72"/>
  <c r="U62" i="72" s="1"/>
  <c r="AF62" i="72" s="1"/>
  <c r="F62" i="72"/>
  <c r="Q62" i="72" s="1"/>
  <c r="AB62" i="72" s="1"/>
  <c r="I62" i="72"/>
  <c r="T62" i="72" s="1"/>
  <c r="AE62" i="72" s="1"/>
  <c r="E62" i="72"/>
  <c r="P62" i="72" s="1"/>
  <c r="H62" i="72"/>
  <c r="S62" i="72" s="1"/>
  <c r="AD62" i="72" s="1"/>
  <c r="D62" i="72"/>
  <c r="O62" i="72" s="1"/>
  <c r="Z62" i="72" s="1"/>
  <c r="K105" i="72"/>
  <c r="V105" i="72" s="1"/>
  <c r="AG105" i="72" s="1"/>
  <c r="G105" i="72"/>
  <c r="R105" i="72" s="1"/>
  <c r="AC105" i="72" s="1"/>
  <c r="J105" i="72"/>
  <c r="U105" i="72" s="1"/>
  <c r="AF105" i="72" s="1"/>
  <c r="F105" i="72"/>
  <c r="Q105" i="72" s="1"/>
  <c r="AB105" i="72" s="1"/>
  <c r="I105" i="72"/>
  <c r="T105" i="72" s="1"/>
  <c r="AE105" i="72" s="1"/>
  <c r="E105" i="72"/>
  <c r="P105" i="72" s="1"/>
  <c r="H105" i="72"/>
  <c r="S105" i="72" s="1"/>
  <c r="AD105" i="72" s="1"/>
  <c r="D105" i="72"/>
  <c r="O105" i="72" s="1"/>
  <c r="Z105" i="72" s="1"/>
  <c r="C34" i="75"/>
  <c r="AP41" i="37"/>
  <c r="AQ41" i="37" s="1"/>
  <c r="BW54" i="35"/>
  <c r="BJ53" i="35" s="1"/>
  <c r="GQ4" i="34" s="1"/>
  <c r="DK286" i="72"/>
  <c r="AW14" i="38"/>
  <c r="AX14" i="38" s="1"/>
  <c r="AT20" i="38"/>
  <c r="CB19" i="38"/>
  <c r="AP48" i="36"/>
  <c r="AQ48" i="36" s="1"/>
  <c r="AT21" i="37"/>
  <c r="AL24" i="37" s="1"/>
  <c r="AL25" i="37" s="1"/>
  <c r="W11" i="39"/>
  <c r="P16" i="39"/>
  <c r="D10" i="39"/>
  <c r="BW52" i="35"/>
  <c r="BJ61" i="35" s="1"/>
  <c r="GR4" i="34" s="1"/>
  <c r="E11" i="40"/>
  <c r="W11" i="40" s="1"/>
  <c r="A14" i="10"/>
  <c r="AW18" i="38"/>
  <c r="AG9" i="59"/>
  <c r="AM41" i="38"/>
  <c r="AO41" i="38" s="1"/>
  <c r="AP41" i="38" s="1"/>
  <c r="AQ41" i="38" s="1"/>
  <c r="AT19" i="38"/>
  <c r="AW13" i="38"/>
  <c r="AX13" i="38" s="1"/>
  <c r="CB20" i="38"/>
  <c r="CA35" i="38" s="1"/>
  <c r="CB35" i="38" s="1"/>
  <c r="CA16" i="38"/>
  <c r="CB16" i="38" s="1"/>
  <c r="BX20" i="38"/>
  <c r="BT41" i="36"/>
  <c r="BR49" i="36" s="1"/>
  <c r="BS28" i="37"/>
  <c r="BT28" i="37" s="1"/>
  <c r="BQ29" i="38"/>
  <c r="BR29" i="38" s="1"/>
  <c r="AH9" i="59"/>
  <c r="AP44" i="37"/>
  <c r="AQ44" i="37" s="1"/>
  <c r="CB41" i="36"/>
  <c r="BY49" i="36" s="1"/>
  <c r="AD9" i="59"/>
  <c r="BY29" i="38"/>
  <c r="BZ29" i="38" s="1"/>
  <c r="AE9" i="59"/>
  <c r="BX17" i="38"/>
  <c r="BY32" i="38"/>
  <c r="BZ32" i="38" s="1"/>
  <c r="CB17" i="38"/>
  <c r="CB39" i="36"/>
  <c r="BZ46" i="36" s="1"/>
  <c r="AM43" i="38"/>
  <c r="BS35" i="37"/>
  <c r="BT35" i="37" s="1"/>
  <c r="BS30" i="37"/>
  <c r="BT30" i="37" s="1"/>
  <c r="CA29" i="37"/>
  <c r="CB29" i="37" s="1"/>
  <c r="CB15" i="38"/>
  <c r="BT39" i="36"/>
  <c r="BQ46" i="36" s="1"/>
  <c r="BS33" i="37"/>
  <c r="BT33" i="37" s="1"/>
  <c r="CA33" i="37"/>
  <c r="CB33" i="37" s="1"/>
  <c r="FN47" i="10"/>
  <c r="BZ21" i="38"/>
  <c r="AM14" i="40"/>
  <c r="AS16" i="40"/>
  <c r="BQ14" i="40"/>
  <c r="AM46" i="38"/>
  <c r="AO46" i="38" s="1"/>
  <c r="CA19" i="38"/>
  <c r="BY34" i="38"/>
  <c r="BZ34" i="38" s="1"/>
  <c r="CA13" i="38"/>
  <c r="CB13" i="38" s="1"/>
  <c r="BP13" i="40"/>
  <c r="AS14" i="40"/>
  <c r="BO16" i="40"/>
  <c r="AP18" i="40"/>
  <c r="BR18" i="40"/>
  <c r="BP19" i="40"/>
  <c r="AQ17" i="40"/>
  <c r="AN18" i="40"/>
  <c r="AQ19" i="40"/>
  <c r="AX20" i="38"/>
  <c r="BQ34" i="38"/>
  <c r="BR34" i="38" s="1"/>
  <c r="AM44" i="38"/>
  <c r="AO44" i="38" s="1"/>
  <c r="AP44" i="38" s="1"/>
  <c r="AQ44" i="38" s="1"/>
  <c r="BY28" i="38"/>
  <c r="BZ28" i="38" s="1"/>
  <c r="AP13" i="40"/>
  <c r="BP15" i="40"/>
  <c r="AM20" i="40"/>
  <c r="BP18" i="40"/>
  <c r="BU16" i="40"/>
  <c r="AR21" i="38"/>
  <c r="BQ28" i="38"/>
  <c r="BR28" i="38" s="1"/>
  <c r="BS28" i="38" s="1"/>
  <c r="BT28" i="38" s="1"/>
  <c r="AM40" i="38"/>
  <c r="BO14" i="40"/>
  <c r="BO15" i="40"/>
  <c r="BO19" i="40"/>
  <c r="BR15" i="40"/>
  <c r="BU14" i="40"/>
  <c r="BQ20" i="40"/>
  <c r="BS17" i="40"/>
  <c r="BR14" i="40"/>
  <c r="AT18" i="38"/>
  <c r="AJ9" i="59"/>
  <c r="AV21" i="38"/>
  <c r="AL27" i="38" s="1"/>
  <c r="BV21" i="38"/>
  <c r="BJ21" i="9"/>
  <c r="A19" i="39" s="1"/>
  <c r="BY33" i="38"/>
  <c r="BZ33" i="38" s="1"/>
  <c r="BY30" i="38"/>
  <c r="BZ30" i="38" s="1"/>
  <c r="CB18" i="38"/>
  <c r="CA15" i="38"/>
  <c r="CA18" i="38"/>
  <c r="BQ33" i="38"/>
  <c r="BR33" i="38" s="1"/>
  <c r="BQ30" i="38"/>
  <c r="BR30" i="38" s="1"/>
  <c r="DK285" i="72"/>
  <c r="BT13" i="40"/>
  <c r="AK15" i="40"/>
  <c r="AS17" i="40"/>
  <c r="AS15" i="40"/>
  <c r="AS20" i="40"/>
  <c r="BW20" i="40"/>
  <c r="AL20" i="40"/>
  <c r="AM19" i="40"/>
  <c r="BS19" i="40"/>
  <c r="AN17" i="40"/>
  <c r="BR17" i="40"/>
  <c r="BQ15" i="40"/>
  <c r="BQ17" i="40"/>
  <c r="AM18" i="40"/>
  <c r="AL15" i="40"/>
  <c r="AP15" i="40"/>
  <c r="AL14" i="40"/>
  <c r="AM13" i="40"/>
  <c r="BU13" i="40"/>
  <c r="BW18" i="40"/>
  <c r="AK20" i="40"/>
  <c r="AK18" i="40"/>
  <c r="BK3" i="40"/>
  <c r="AM11" i="59" s="1"/>
  <c r="BP20" i="40"/>
  <c r="BT14" i="40"/>
  <c r="AP17" i="40"/>
  <c r="AO16" i="40"/>
  <c r="AM16" i="40"/>
  <c r="AQ15" i="40"/>
  <c r="AO17" i="40"/>
  <c r="BR16" i="40"/>
  <c r="BT15" i="40"/>
  <c r="X92" i="74"/>
  <c r="BV19" i="39"/>
  <c r="BX19" i="39" s="1"/>
  <c r="DP2" i="11"/>
  <c r="Y15" i="11" s="1"/>
  <c r="BS29" i="37"/>
  <c r="BT29" i="37" s="1"/>
  <c r="CA31" i="37"/>
  <c r="CB31" i="37" s="1"/>
  <c r="AB15" i="58"/>
  <c r="AA15" i="58" s="1"/>
  <c r="AD15" i="58" s="1"/>
  <c r="AE15" i="58" s="1"/>
  <c r="AF15" i="58" s="1"/>
  <c r="AB105" i="58"/>
  <c r="AA105" i="58" s="1"/>
  <c r="AD105" i="58" s="1"/>
  <c r="AE105" i="58" s="1"/>
  <c r="AF105" i="58" s="1"/>
  <c r="AB14" i="58"/>
  <c r="AA14" i="58" s="1"/>
  <c r="AD14" i="58" s="1"/>
  <c r="AE14" i="58" s="1"/>
  <c r="AF14" i="58" s="1"/>
  <c r="AB104" i="58"/>
  <c r="AA104" i="58" s="1"/>
  <c r="AD104" i="58" s="1"/>
  <c r="AE104" i="58" s="1"/>
  <c r="AF104" i="58" s="1"/>
  <c r="AB12" i="58"/>
  <c r="AA12" i="58" s="1"/>
  <c r="AD12" i="58" s="1"/>
  <c r="AE12" i="58" s="1"/>
  <c r="AF12" i="58" s="1"/>
  <c r="AB102" i="58"/>
  <c r="AA102" i="58" s="1"/>
  <c r="AD102" i="58" s="1"/>
  <c r="AE102" i="58" s="1"/>
  <c r="AF102" i="58" s="1"/>
  <c r="AB17" i="58"/>
  <c r="AA17" i="58" s="1"/>
  <c r="AD17" i="58" s="1"/>
  <c r="AE17" i="58" s="1"/>
  <c r="AF17" i="58" s="1"/>
  <c r="AB107" i="58"/>
  <c r="AB10" i="58"/>
  <c r="AB100" i="58"/>
  <c r="AA100" i="58" s="1"/>
  <c r="AD100" i="58" s="1"/>
  <c r="AB101" i="58"/>
  <c r="AB11" i="58"/>
  <c r="AB13" i="58"/>
  <c r="AA13" i="58" s="1"/>
  <c r="AD13" i="58" s="1"/>
  <c r="AE13" i="58" s="1"/>
  <c r="AF13" i="58" s="1"/>
  <c r="AB103" i="58"/>
  <c r="AA103" i="58" s="1"/>
  <c r="AD103" i="58" s="1"/>
  <c r="AE103" i="58" s="1"/>
  <c r="AF103" i="58" s="1"/>
  <c r="AB16" i="58"/>
  <c r="AA16" i="58" s="1"/>
  <c r="AD16" i="58" s="1"/>
  <c r="AE16" i="58" s="1"/>
  <c r="AF16" i="58" s="1"/>
  <c r="AB106" i="58"/>
  <c r="AA106" i="58" s="1"/>
  <c r="AD106" i="58" s="1"/>
  <c r="AE106" i="58" s="1"/>
  <c r="AF106" i="58" s="1"/>
  <c r="AL14" i="10"/>
  <c r="AI72" i="36"/>
  <c r="DK284" i="72"/>
  <c r="FN48" i="10"/>
  <c r="AI79" i="36"/>
  <c r="AP45" i="37"/>
  <c r="AQ45" i="37" s="1"/>
  <c r="CA21" i="37"/>
  <c r="CB21" i="37" s="1"/>
  <c r="BS31" i="37"/>
  <c r="BT31" i="37" s="1"/>
  <c r="CA32" i="37"/>
  <c r="CB32" i="37" s="1"/>
  <c r="BS32" i="37"/>
  <c r="BT32" i="37" s="1"/>
  <c r="Z11" i="59"/>
  <c r="BJ10" i="39"/>
  <c r="BJ11" i="39" s="1"/>
  <c r="AL10" i="59" s="1"/>
  <c r="FN23" i="10"/>
  <c r="FN24" i="10"/>
  <c r="DK309" i="72"/>
  <c r="DK308" i="72"/>
  <c r="AL22" i="39"/>
  <c r="FN31" i="10"/>
  <c r="FN32" i="10"/>
  <c r="DK301" i="72"/>
  <c r="DK300" i="72"/>
  <c r="FN39" i="10"/>
  <c r="FN40" i="10"/>
  <c r="DK293" i="72"/>
  <c r="DK292" i="72"/>
  <c r="DP5" i="11"/>
  <c r="V83" i="10"/>
  <c r="AL15" i="9"/>
  <c r="FN27" i="10"/>
  <c r="FN35" i="10"/>
  <c r="FN43" i="10"/>
  <c r="FN20" i="10"/>
  <c r="FN28" i="10"/>
  <c r="FN36" i="10"/>
  <c r="FN44" i="10"/>
  <c r="DK282" i="72"/>
  <c r="DK305" i="72"/>
  <c r="DK297" i="72"/>
  <c r="DK289" i="72"/>
  <c r="DK312" i="72"/>
  <c r="DK304" i="72"/>
  <c r="DK296" i="72"/>
  <c r="DK288" i="72"/>
  <c r="CA28" i="37"/>
  <c r="CB28" i="37" s="1"/>
  <c r="T30" i="10"/>
  <c r="V84" i="10"/>
  <c r="DC8" i="34"/>
  <c r="U91" i="74"/>
  <c r="U93" i="74" s="1"/>
  <c r="FN21" i="10"/>
  <c r="FN25" i="10"/>
  <c r="FN29" i="10"/>
  <c r="FN33" i="10"/>
  <c r="FN37" i="10"/>
  <c r="FN41" i="10"/>
  <c r="FN45" i="10"/>
  <c r="FN49" i="10"/>
  <c r="FN22" i="10"/>
  <c r="FN26" i="10"/>
  <c r="FN30" i="10"/>
  <c r="FN34" i="10"/>
  <c r="FN38" i="10"/>
  <c r="FN42" i="10"/>
  <c r="FN46" i="10"/>
  <c r="FN50" i="10"/>
  <c r="DK311" i="72"/>
  <c r="DK307" i="72"/>
  <c r="DK303" i="72"/>
  <c r="DK299" i="72"/>
  <c r="DK295" i="72"/>
  <c r="DK291" i="72"/>
  <c r="DK287" i="72"/>
  <c r="DK283" i="72"/>
  <c r="DK310" i="72"/>
  <c r="DK306" i="72"/>
  <c r="DK302" i="72"/>
  <c r="DK298" i="72"/>
  <c r="DK294" i="72"/>
  <c r="DK290" i="72"/>
  <c r="DP15" i="10"/>
  <c r="Y11" i="59" s="1"/>
  <c r="P22" i="9"/>
  <c r="T22" i="9" s="1"/>
  <c r="CA30" i="37"/>
  <c r="CB30" i="37" s="1"/>
  <c r="AI83" i="37"/>
  <c r="BY15" i="39"/>
  <c r="BZ15" i="39" s="1"/>
  <c r="AW21" i="37"/>
  <c r="AX21" i="37" s="1"/>
  <c r="AP48" i="37" s="1"/>
  <c r="AQ48" i="37" s="1"/>
  <c r="BY19" i="39"/>
  <c r="BZ19" i="39" s="1"/>
  <c r="AQ21" i="39"/>
  <c r="AQ11" i="39" s="1"/>
  <c r="AQ10" i="39" s="1"/>
  <c r="AU18" i="39"/>
  <c r="AV18" i="39" s="1"/>
  <c r="AS21" i="39"/>
  <c r="AR18" i="39"/>
  <c r="AT18" i="39" s="1"/>
  <c r="CA34" i="37"/>
  <c r="CB34" i="37" s="1"/>
  <c r="AO21" i="39"/>
  <c r="AO11" i="39" s="1"/>
  <c r="AO10" i="39" s="1"/>
  <c r="DP18" i="10"/>
  <c r="X42" i="74" s="1"/>
  <c r="BV18" i="39"/>
  <c r="BY33" i="39" s="1"/>
  <c r="BZ33" i="39" s="1"/>
  <c r="BW21" i="39"/>
  <c r="BV15" i="39"/>
  <c r="BQ30" i="39" s="1"/>
  <c r="BR30" i="39" s="1"/>
  <c r="AU16" i="39"/>
  <c r="AV16" i="39" s="1"/>
  <c r="AK21" i="39"/>
  <c r="AK11" i="39" s="1"/>
  <c r="AK10" i="39" s="1"/>
  <c r="E10" i="40"/>
  <c r="BQ18" i="40"/>
  <c r="BU18" i="40"/>
  <c r="AO19" i="40"/>
  <c r="BS18" i="40"/>
  <c r="BT18" i="40"/>
  <c r="AO18" i="40"/>
  <c r="AN20" i="40"/>
  <c r="BT19" i="40"/>
  <c r="AM17" i="40"/>
  <c r="AQ18" i="40"/>
  <c r="AL17" i="40"/>
  <c r="BR20" i="40"/>
  <c r="AP19" i="40"/>
  <c r="BS16" i="40"/>
  <c r="BX5" i="40"/>
  <c r="AN15" i="40"/>
  <c r="AO20" i="40"/>
  <c r="BP14" i="40"/>
  <c r="AP14" i="40"/>
  <c r="AL19" i="40"/>
  <c r="BU15" i="40"/>
  <c r="BR19" i="40"/>
  <c r="BQ16" i="40"/>
  <c r="AL16" i="40"/>
  <c r="AQ16" i="40"/>
  <c r="BU17" i="40"/>
  <c r="AO14" i="40"/>
  <c r="AP16" i="40"/>
  <c r="AN14" i="40"/>
  <c r="BS20" i="40"/>
  <c r="AQ20" i="40"/>
  <c r="AM15" i="40"/>
  <c r="AQ14" i="40"/>
  <c r="AO15" i="40"/>
  <c r="BT17" i="40"/>
  <c r="BS15" i="40"/>
  <c r="AN16" i="40"/>
  <c r="BU20" i="40"/>
  <c r="BP16" i="40"/>
  <c r="AN19" i="40"/>
  <c r="AP20" i="40"/>
  <c r="BQ19" i="40"/>
  <c r="R3" i="40"/>
  <c r="AS18" i="40"/>
  <c r="BW17" i="40"/>
  <c r="BW14" i="40"/>
  <c r="BW13" i="40"/>
  <c r="AK13" i="40"/>
  <c r="BW16" i="40"/>
  <c r="BS13" i="40"/>
  <c r="BO20" i="40"/>
  <c r="BO18" i="40"/>
  <c r="AO13" i="40"/>
  <c r="BO17" i="40"/>
  <c r="AS13" i="40"/>
  <c r="BW19" i="40"/>
  <c r="AK17" i="40"/>
  <c r="AS19" i="40"/>
  <c r="BQ13" i="40"/>
  <c r="AQ13" i="40"/>
  <c r="BO13" i="40"/>
  <c r="AK19" i="40"/>
  <c r="AK14" i="40"/>
  <c r="AN13" i="40"/>
  <c r="BR13" i="40"/>
  <c r="DP19" i="11"/>
  <c r="AE129" i="11" s="1"/>
  <c r="DP16" i="11"/>
  <c r="DP12" i="11"/>
  <c r="AA92" i="74" s="1"/>
  <c r="DP9" i="11"/>
  <c r="I14" i="11" s="1"/>
  <c r="BY14" i="39"/>
  <c r="BZ14" i="39" s="1"/>
  <c r="P39" i="39"/>
  <c r="DP10" i="11"/>
  <c r="U14" i="11" s="1"/>
  <c r="BT21" i="39"/>
  <c r="BT11" i="39" s="1"/>
  <c r="BT10" i="39" s="1"/>
  <c r="BS34" i="37"/>
  <c r="BT34" i="37" s="1"/>
  <c r="AN21" i="39"/>
  <c r="AN11" i="39" s="1"/>
  <c r="AN10" i="39" s="1"/>
  <c r="DP13" i="11"/>
  <c r="U12" i="59" s="1"/>
  <c r="AT5" i="41"/>
  <c r="BS17" i="41" s="1"/>
  <c r="BN20" i="11"/>
  <c r="BN21" i="11" s="1"/>
  <c r="DP11" i="11"/>
  <c r="V12" i="59" s="1"/>
  <c r="N142" i="76" s="1"/>
  <c r="DP3" i="11"/>
  <c r="DP17" i="11"/>
  <c r="BS21" i="39"/>
  <c r="BS11" i="39" s="1"/>
  <c r="BS10" i="39" s="1"/>
  <c r="AR16" i="39"/>
  <c r="AW16" i="39" s="1"/>
  <c r="AU14" i="39"/>
  <c r="AV14" i="39" s="1"/>
  <c r="BQ21" i="39"/>
  <c r="BQ11" i="39" s="1"/>
  <c r="BQ10" i="39" s="1"/>
  <c r="BY18" i="39"/>
  <c r="BZ18" i="39" s="1"/>
  <c r="AR19" i="39"/>
  <c r="AT19" i="39" s="1"/>
  <c r="AM21" i="39"/>
  <c r="AM11" i="39" s="1"/>
  <c r="AM10" i="39" s="1"/>
  <c r="AU20" i="39"/>
  <c r="AV20" i="39" s="1"/>
  <c r="BP21" i="39"/>
  <c r="BP11" i="39" s="1"/>
  <c r="BP10" i="39" s="1"/>
  <c r="BV20" i="39"/>
  <c r="BX20" i="39" s="1"/>
  <c r="AR15" i="39"/>
  <c r="AT15" i="39" s="1"/>
  <c r="AU17" i="39"/>
  <c r="AV17" i="39" s="1"/>
  <c r="AR14" i="39"/>
  <c r="AT14" i="39" s="1"/>
  <c r="BU21" i="39"/>
  <c r="BU11" i="39" s="1"/>
  <c r="BU10" i="39" s="1"/>
  <c r="BV16" i="39"/>
  <c r="BV13" i="39"/>
  <c r="BX13" i="39" s="1"/>
  <c r="BY17" i="39"/>
  <c r="BZ17" i="39" s="1"/>
  <c r="Q39" i="39"/>
  <c r="BY16" i="39"/>
  <c r="BZ16" i="39" s="1"/>
  <c r="AU19" i="39"/>
  <c r="AV19" i="39" s="1"/>
  <c r="BO21" i="39"/>
  <c r="BO11" i="39" s="1"/>
  <c r="BO10" i="39" s="1"/>
  <c r="AR20" i="39"/>
  <c r="AT20" i="39" s="1"/>
  <c r="BV17" i="39"/>
  <c r="BX17" i="39" s="1"/>
  <c r="Q36" i="39"/>
  <c r="AL21" i="39"/>
  <c r="AL11" i="39" s="1"/>
  <c r="AL10" i="39" s="1"/>
  <c r="AP21" i="39"/>
  <c r="AP11" i="39" s="1"/>
  <c r="AP10" i="39" s="1"/>
  <c r="BY20" i="39"/>
  <c r="BZ20" i="39" s="1"/>
  <c r="BV14" i="39"/>
  <c r="BX14" i="39" s="1"/>
  <c r="AU15" i="39"/>
  <c r="AV15" i="39" s="1"/>
  <c r="AR17" i="39"/>
  <c r="AT17" i="39" s="1"/>
  <c r="W10" i="39"/>
  <c r="BY13" i="39"/>
  <c r="BZ13" i="39" s="1"/>
  <c r="AR13" i="39"/>
  <c r="AT13" i="39" s="1"/>
  <c r="P36" i="39"/>
  <c r="BR21" i="39"/>
  <c r="BR11" i="39" s="1"/>
  <c r="BR10" i="39" s="1"/>
  <c r="AU13" i="39"/>
  <c r="AV13" i="39" s="1"/>
  <c r="AL28" i="37"/>
  <c r="AI87" i="36"/>
  <c r="DP4" i="12"/>
  <c r="DP7" i="11"/>
  <c r="AE123" i="11" s="1"/>
  <c r="DP8" i="11"/>
  <c r="B17" i="51"/>
  <c r="BA19" i="38"/>
  <c r="L192" i="72"/>
  <c r="M192" i="72" s="1"/>
  <c r="AC10" i="38"/>
  <c r="Q16" i="38"/>
  <c r="A24" i="18"/>
  <c r="FB26" i="4"/>
  <c r="BH26" i="4" s="1"/>
  <c r="A18" i="72"/>
  <c r="BJ27" i="5"/>
  <c r="BN28" i="5"/>
  <c r="BY2" i="13"/>
  <c r="DI13" i="34"/>
  <c r="DI14" i="34" s="1"/>
  <c r="W13" i="37"/>
  <c r="BA21" i="36"/>
  <c r="I22" i="35"/>
  <c r="L61" i="72"/>
  <c r="M61" i="72" s="1"/>
  <c r="A18" i="40"/>
  <c r="FB20" i="10"/>
  <c r="BH20" i="10" s="1"/>
  <c r="A282" i="72"/>
  <c r="BN24" i="8"/>
  <c r="BJ23" i="8"/>
  <c r="BA23" i="18"/>
  <c r="BE23" i="18" s="1"/>
  <c r="BA18" i="39"/>
  <c r="AY147" i="72"/>
  <c r="L104" i="72"/>
  <c r="M104" i="72" s="1"/>
  <c r="BH29" i="37"/>
  <c r="BJ45" i="37"/>
  <c r="BH45" i="37"/>
  <c r="BJ29" i="37"/>
  <c r="BG60" i="72"/>
  <c r="BB60" i="72"/>
  <c r="BN26" i="6"/>
  <c r="BJ25" i="6"/>
  <c r="BN25" i="7"/>
  <c r="BJ24" i="7"/>
  <c r="BN28" i="4"/>
  <c r="BJ27" i="4"/>
  <c r="BN23" i="9"/>
  <c r="BJ22" i="9"/>
  <c r="AQ102" i="72"/>
  <c r="I20" i="36"/>
  <c r="A24" i="35"/>
  <c r="FB26" i="5"/>
  <c r="BH26" i="5" s="1"/>
  <c r="A63" i="72"/>
  <c r="L148" i="72"/>
  <c r="M148" i="72" s="1"/>
  <c r="AY103" i="72"/>
  <c r="BB103" i="72"/>
  <c r="BG103" i="72"/>
  <c r="ER20" i="5"/>
  <c r="BC59" i="72"/>
  <c r="BD59" i="72" s="1"/>
  <c r="AM59" i="72" s="1"/>
  <c r="AP59" i="72" s="1"/>
  <c r="BF59" i="72"/>
  <c r="W14" i="37"/>
  <c r="BA20" i="37"/>
  <c r="Q82" i="10"/>
  <c r="G27" i="51" s="1"/>
  <c r="AT99" i="10"/>
  <c r="BA11" i="59"/>
  <c r="AU98" i="10"/>
  <c r="A20" i="38"/>
  <c r="FB22" i="8"/>
  <c r="BH22" i="8" s="1"/>
  <c r="A194" i="72"/>
  <c r="AC11" i="38"/>
  <c r="Q17" i="38"/>
  <c r="BC102" i="72"/>
  <c r="BD102" i="72" s="1"/>
  <c r="AM102" i="72" s="1"/>
  <c r="AP102" i="72" s="1"/>
  <c r="BF102" i="72"/>
  <c r="BG147" i="72"/>
  <c r="BB147" i="72"/>
  <c r="BA23" i="35"/>
  <c r="K19" i="35"/>
  <c r="L19" i="35" s="1"/>
  <c r="E19" i="35" s="1"/>
  <c r="D58" i="35" s="1"/>
  <c r="I22" i="18"/>
  <c r="AY60" i="72"/>
  <c r="FB24" i="6"/>
  <c r="BH24" i="6" s="1"/>
  <c r="A22" i="36"/>
  <c r="A106" i="72"/>
  <c r="A150" i="72"/>
  <c r="A21" i="37"/>
  <c r="FB23" i="7"/>
  <c r="BH23" i="7" s="1"/>
  <c r="C117" i="77" l="1"/>
  <c r="C129" i="77"/>
  <c r="N118" i="76"/>
  <c r="C23" i="75" s="1"/>
  <c r="N130" i="76"/>
  <c r="T32" i="11"/>
  <c r="DP30" i="12"/>
  <c r="CX13" i="59" s="1"/>
  <c r="AD135" i="12"/>
  <c r="AD84" i="74" s="1"/>
  <c r="AD87" i="74" s="1"/>
  <c r="GV4" i="34"/>
  <c r="T28" i="5" s="1"/>
  <c r="T27" i="5"/>
  <c r="GU4" i="34"/>
  <c r="BS32" i="38"/>
  <c r="BT32" i="38" s="1"/>
  <c r="J19" i="37"/>
  <c r="CI12" i="59"/>
  <c r="J23" i="18"/>
  <c r="AL26" i="38"/>
  <c r="AO48" i="38" s="1"/>
  <c r="AI79" i="37"/>
  <c r="Q11" i="39"/>
  <c r="Q17" i="39" s="1"/>
  <c r="CA29" i="38"/>
  <c r="CB29" i="38" s="1"/>
  <c r="BS29" i="38"/>
  <c r="BT29" i="38" s="1"/>
  <c r="T34" i="11"/>
  <c r="DP25" i="11" s="1"/>
  <c r="CO12" i="59" s="1"/>
  <c r="BN22" i="10"/>
  <c r="BN23" i="10" s="1"/>
  <c r="BZ72" i="11"/>
  <c r="CL12" i="59"/>
  <c r="BZ98" i="11"/>
  <c r="B18" i="51" s="1"/>
  <c r="BS34" i="38"/>
  <c r="BT34" i="38" s="1"/>
  <c r="DP23" i="12"/>
  <c r="B34" i="12" s="1"/>
  <c r="BZ102" i="12" s="1"/>
  <c r="DP29" i="12"/>
  <c r="CS13" i="59" s="1"/>
  <c r="DP28" i="12"/>
  <c r="CR13" i="59" s="1"/>
  <c r="DP27" i="12"/>
  <c r="CQ13" i="59" s="1"/>
  <c r="DP26" i="12"/>
  <c r="CP13" i="59" s="1"/>
  <c r="A20" i="11"/>
  <c r="A19" i="11"/>
  <c r="J18" i="38"/>
  <c r="Q10" i="39"/>
  <c r="Q16" i="39" s="1"/>
  <c r="EO12" i="11"/>
  <c r="L19" i="11"/>
  <c r="A18" i="11"/>
  <c r="L18" i="11" s="1"/>
  <c r="P18" i="10"/>
  <c r="T18" i="10" s="1"/>
  <c r="P19" i="10"/>
  <c r="T19" i="10" s="1"/>
  <c r="P20" i="10"/>
  <c r="BN11" i="59"/>
  <c r="G20" i="51"/>
  <c r="BP11" i="59"/>
  <c r="CA31" i="38"/>
  <c r="CB31" i="38" s="1"/>
  <c r="B20" i="51"/>
  <c r="BP12" i="59"/>
  <c r="J19" i="38"/>
  <c r="A238" i="72"/>
  <c r="DX238" i="72" s="1"/>
  <c r="GC23" i="7"/>
  <c r="FX99" i="34" s="1"/>
  <c r="GC20" i="10"/>
  <c r="FX189" i="34" s="1"/>
  <c r="GC22" i="8"/>
  <c r="FX129" i="34" s="1"/>
  <c r="GC26" i="5"/>
  <c r="FX40" i="34" s="1"/>
  <c r="GD48" i="12"/>
  <c r="GE48" i="12" s="1"/>
  <c r="GD44" i="12"/>
  <c r="GE44" i="12" s="1"/>
  <c r="GD40" i="12"/>
  <c r="GE40" i="12" s="1"/>
  <c r="GD36" i="12"/>
  <c r="GE36" i="12" s="1"/>
  <c r="GD32" i="12"/>
  <c r="GE32" i="12" s="1"/>
  <c r="GD28" i="12"/>
  <c r="GE28" i="12" s="1"/>
  <c r="GD24" i="12"/>
  <c r="GE24" i="12" s="1"/>
  <c r="GD20" i="12"/>
  <c r="GE20" i="12" s="1"/>
  <c r="GD47" i="12"/>
  <c r="GE47" i="12" s="1"/>
  <c r="GD43" i="12"/>
  <c r="GE43" i="12" s="1"/>
  <c r="GD39" i="12"/>
  <c r="GE39" i="12" s="1"/>
  <c r="GD35" i="12"/>
  <c r="GE35" i="12" s="1"/>
  <c r="GD31" i="12"/>
  <c r="GE31" i="12" s="1"/>
  <c r="GD27" i="12"/>
  <c r="GE27" i="12" s="1"/>
  <c r="GD23" i="12"/>
  <c r="GE23" i="12" s="1"/>
  <c r="GD50" i="12"/>
  <c r="GE50" i="12" s="1"/>
  <c r="GD46" i="12"/>
  <c r="GE46" i="12" s="1"/>
  <c r="GD42" i="12"/>
  <c r="GE42" i="12" s="1"/>
  <c r="GD38" i="12"/>
  <c r="GE38" i="12" s="1"/>
  <c r="GD34" i="12"/>
  <c r="GE34" i="12" s="1"/>
  <c r="GD30" i="12"/>
  <c r="GE30" i="12" s="1"/>
  <c r="GD26" i="12"/>
  <c r="GE26" i="12" s="1"/>
  <c r="GD22" i="12"/>
  <c r="GE22" i="12" s="1"/>
  <c r="GD49" i="12"/>
  <c r="GE49" i="12" s="1"/>
  <c r="GD45" i="12"/>
  <c r="GE45" i="12" s="1"/>
  <c r="GD41" i="12"/>
  <c r="GE41" i="12" s="1"/>
  <c r="GD37" i="12"/>
  <c r="GE37" i="12" s="1"/>
  <c r="GD33" i="12"/>
  <c r="GE33" i="12" s="1"/>
  <c r="GD29" i="12"/>
  <c r="GE29" i="12" s="1"/>
  <c r="GD25" i="12"/>
  <c r="GE25" i="12" s="1"/>
  <c r="GD21" i="12"/>
  <c r="GE21" i="12" s="1"/>
  <c r="GD53" i="13"/>
  <c r="GC26" i="4"/>
  <c r="FX9" i="34" s="1"/>
  <c r="GC24" i="6"/>
  <c r="FX69" i="34" s="1"/>
  <c r="BS31" i="38"/>
  <c r="BT31" i="38" s="1"/>
  <c r="BS30" i="38"/>
  <c r="BT30" i="38" s="1"/>
  <c r="AI16" i="72"/>
  <c r="AI148" i="72"/>
  <c r="AQ148" i="72" s="1"/>
  <c r="AI192" i="72"/>
  <c r="CC81" i="10"/>
  <c r="W149" i="72"/>
  <c r="X149" i="72" s="1"/>
  <c r="Z149" i="72"/>
  <c r="AI61" i="72"/>
  <c r="AQ61" i="72" s="1"/>
  <c r="W105" i="72"/>
  <c r="X105" i="72" s="1"/>
  <c r="AA105" i="72"/>
  <c r="W62" i="72"/>
  <c r="X62" i="72" s="1"/>
  <c r="AA62" i="72"/>
  <c r="W17" i="72"/>
  <c r="X17" i="72" s="1"/>
  <c r="AA17" i="72"/>
  <c r="AA237" i="72"/>
  <c r="W237" i="72"/>
  <c r="X237" i="72" s="1"/>
  <c r="W193" i="72"/>
  <c r="X193" i="72" s="1"/>
  <c r="AA193" i="72"/>
  <c r="AI104" i="72"/>
  <c r="BE10" i="38"/>
  <c r="BJ29" i="38" s="1"/>
  <c r="FS26" i="4"/>
  <c r="BE26" i="4"/>
  <c r="BC26" i="4" s="1"/>
  <c r="J18" i="39"/>
  <c r="FB21" i="9"/>
  <c r="BH21" i="9" s="1"/>
  <c r="GC21" i="9" s="1"/>
  <c r="J23" i="35"/>
  <c r="J20" i="37"/>
  <c r="BX21" i="38"/>
  <c r="AT21" i="38"/>
  <c r="AL24" i="38" s="1"/>
  <c r="FS26" i="5"/>
  <c r="BE26" i="5"/>
  <c r="BC26" i="5" s="1"/>
  <c r="FS20" i="10"/>
  <c r="BE20" i="10"/>
  <c r="BC20" i="10" s="1"/>
  <c r="FS24" i="6"/>
  <c r="BE24" i="6"/>
  <c r="BC24" i="6" s="1"/>
  <c r="FS23" i="7"/>
  <c r="BE23" i="7"/>
  <c r="BC23" i="7" s="1"/>
  <c r="FS22" i="8"/>
  <c r="BE22" i="8"/>
  <c r="BC22" i="8" s="1"/>
  <c r="J21" i="36"/>
  <c r="BJ56" i="36"/>
  <c r="GS5" i="34" s="1"/>
  <c r="EV21" i="6"/>
  <c r="AA21" i="6" s="1"/>
  <c r="EV23" i="5"/>
  <c r="AA23" i="5" s="1"/>
  <c r="EV20" i="7"/>
  <c r="AA20" i="7" s="1"/>
  <c r="ED149" i="72"/>
  <c r="EE149" i="72" s="1"/>
  <c r="H24" i="35"/>
  <c r="EM24" i="35"/>
  <c r="EA282" i="72"/>
  <c r="DW282" i="72"/>
  <c r="DZ282" i="72"/>
  <c r="DV282" i="72"/>
  <c r="EC282" i="72"/>
  <c r="DY282" i="72"/>
  <c r="DU282" i="72"/>
  <c r="EH282" i="72"/>
  <c r="EI282" i="72" s="1"/>
  <c r="EB282" i="72"/>
  <c r="DX282" i="72"/>
  <c r="H22" i="36"/>
  <c r="EM22" i="36"/>
  <c r="H20" i="38"/>
  <c r="EM20" i="38"/>
  <c r="DZ63" i="72"/>
  <c r="DV63" i="72"/>
  <c r="EC63" i="72"/>
  <c r="DY63" i="72"/>
  <c r="DU63" i="72"/>
  <c r="EB63" i="72"/>
  <c r="DX63" i="72"/>
  <c r="EH63" i="72"/>
  <c r="EI63" i="72" s="1"/>
  <c r="EA63" i="72"/>
  <c r="DW63" i="72"/>
  <c r="H18" i="40"/>
  <c r="EM18" i="40"/>
  <c r="CD61" i="72"/>
  <c r="EH18" i="72"/>
  <c r="EI18" i="72" s="1"/>
  <c r="EA18" i="72"/>
  <c r="DW18" i="72"/>
  <c r="DZ18" i="72"/>
  <c r="DV18" i="72"/>
  <c r="EC18" i="72"/>
  <c r="DY18" i="72"/>
  <c r="DU18" i="72"/>
  <c r="EB18" i="72"/>
  <c r="DX18" i="72"/>
  <c r="CD192" i="72"/>
  <c r="ED237" i="72"/>
  <c r="EE237" i="72" s="1"/>
  <c r="EH194" i="72"/>
  <c r="EI194" i="72" s="1"/>
  <c r="EA194" i="72"/>
  <c r="DW194" i="72"/>
  <c r="DZ194" i="72"/>
  <c r="DV194" i="72"/>
  <c r="EC194" i="72"/>
  <c r="DY194" i="72"/>
  <c r="DU194" i="72"/>
  <c r="EB194" i="72"/>
  <c r="DX194" i="72"/>
  <c r="ED193" i="72"/>
  <c r="EE193" i="72" s="1"/>
  <c r="H21" i="37"/>
  <c r="EM21" i="37"/>
  <c r="DZ150" i="72"/>
  <c r="DV150" i="72"/>
  <c r="EC150" i="72"/>
  <c r="DY150" i="72"/>
  <c r="DU150" i="72"/>
  <c r="EH150" i="72"/>
  <c r="EI150" i="72" s="1"/>
  <c r="EB150" i="72"/>
  <c r="DX150" i="72"/>
  <c r="EA150" i="72"/>
  <c r="DW150" i="72"/>
  <c r="C93" i="77"/>
  <c r="C105" i="77"/>
  <c r="H24" i="18"/>
  <c r="EM24" i="18"/>
  <c r="EA106" i="72"/>
  <c r="DW106" i="72"/>
  <c r="EH106" i="72"/>
  <c r="EI106" i="72" s="1"/>
  <c r="EB106" i="72"/>
  <c r="DX106" i="72"/>
  <c r="DV106" i="72"/>
  <c r="EC106" i="72"/>
  <c r="DU106" i="72"/>
  <c r="DZ106" i="72"/>
  <c r="DY106" i="72"/>
  <c r="CD148" i="72"/>
  <c r="CD104" i="72"/>
  <c r="H19" i="39"/>
  <c r="EM19" i="39"/>
  <c r="ED62" i="72"/>
  <c r="EE62" i="72" s="1"/>
  <c r="ED17" i="72"/>
  <c r="EE17" i="72" s="1"/>
  <c r="EN23" i="18" s="1"/>
  <c r="ED105" i="72"/>
  <c r="EE105" i="72" s="1"/>
  <c r="D11" i="59"/>
  <c r="B112" i="62" s="1"/>
  <c r="BI59" i="36"/>
  <c r="BI50" i="36"/>
  <c r="N94" i="76"/>
  <c r="C112" i="75" s="1"/>
  <c r="N106" i="76"/>
  <c r="K106" i="72"/>
  <c r="V106" i="72" s="1"/>
  <c r="AG106" i="72" s="1"/>
  <c r="G106" i="72"/>
  <c r="R106" i="72" s="1"/>
  <c r="AC106" i="72" s="1"/>
  <c r="J106" i="72"/>
  <c r="U106" i="72" s="1"/>
  <c r="AF106" i="72" s="1"/>
  <c r="F106" i="72"/>
  <c r="Q106" i="72" s="1"/>
  <c r="AB106" i="72" s="1"/>
  <c r="I106" i="72"/>
  <c r="T106" i="72" s="1"/>
  <c r="AE106" i="72" s="1"/>
  <c r="E106" i="72"/>
  <c r="P106" i="72" s="1"/>
  <c r="H106" i="72"/>
  <c r="S106" i="72" s="1"/>
  <c r="AD106" i="72" s="1"/>
  <c r="D106" i="72"/>
  <c r="O106" i="72" s="1"/>
  <c r="Z106" i="72" s="1"/>
  <c r="K63" i="72"/>
  <c r="V63" i="72" s="1"/>
  <c r="AG63" i="72" s="1"/>
  <c r="G63" i="72"/>
  <c r="R63" i="72" s="1"/>
  <c r="AC63" i="72" s="1"/>
  <c r="J63" i="72"/>
  <c r="U63" i="72" s="1"/>
  <c r="AF63" i="72" s="1"/>
  <c r="F63" i="72"/>
  <c r="Q63" i="72" s="1"/>
  <c r="AB63" i="72" s="1"/>
  <c r="I63" i="72"/>
  <c r="T63" i="72" s="1"/>
  <c r="AE63" i="72" s="1"/>
  <c r="E63" i="72"/>
  <c r="P63" i="72" s="1"/>
  <c r="AA63" i="72" s="1"/>
  <c r="H63" i="72"/>
  <c r="S63" i="72" s="1"/>
  <c r="AD63" i="72" s="1"/>
  <c r="D63" i="72"/>
  <c r="O63" i="72" s="1"/>
  <c r="K282" i="72"/>
  <c r="V282" i="72" s="1"/>
  <c r="AG282" i="72" s="1"/>
  <c r="G282" i="72"/>
  <c r="R282" i="72" s="1"/>
  <c r="AC282" i="72" s="1"/>
  <c r="J282" i="72"/>
  <c r="U282" i="72" s="1"/>
  <c r="AF282" i="72" s="1"/>
  <c r="F282" i="72"/>
  <c r="Q282" i="72" s="1"/>
  <c r="AB282" i="72" s="1"/>
  <c r="I282" i="72"/>
  <c r="T282" i="72" s="1"/>
  <c r="AE282" i="72" s="1"/>
  <c r="E282" i="72"/>
  <c r="P282" i="72" s="1"/>
  <c r="H282" i="72"/>
  <c r="S282" i="72" s="1"/>
  <c r="AD282" i="72" s="1"/>
  <c r="D282" i="72"/>
  <c r="O282" i="72" s="1"/>
  <c r="Z282" i="72" s="1"/>
  <c r="K150" i="72"/>
  <c r="V150" i="72" s="1"/>
  <c r="AG150" i="72" s="1"/>
  <c r="G150" i="72"/>
  <c r="R150" i="72" s="1"/>
  <c r="AC150" i="72" s="1"/>
  <c r="J150" i="72"/>
  <c r="U150" i="72" s="1"/>
  <c r="AF150" i="72" s="1"/>
  <c r="F150" i="72"/>
  <c r="Q150" i="72" s="1"/>
  <c r="AB150" i="72" s="1"/>
  <c r="I150" i="72"/>
  <c r="T150" i="72" s="1"/>
  <c r="AE150" i="72" s="1"/>
  <c r="E150" i="72"/>
  <c r="P150" i="72" s="1"/>
  <c r="H150" i="72"/>
  <c r="S150" i="72" s="1"/>
  <c r="AD150" i="72" s="1"/>
  <c r="D150" i="72"/>
  <c r="O150" i="72" s="1"/>
  <c r="Z150" i="72" s="1"/>
  <c r="K194" i="72"/>
  <c r="V194" i="72" s="1"/>
  <c r="AG194" i="72" s="1"/>
  <c r="G194" i="72"/>
  <c r="R194" i="72" s="1"/>
  <c r="AC194" i="72" s="1"/>
  <c r="J194" i="72"/>
  <c r="U194" i="72" s="1"/>
  <c r="AF194" i="72" s="1"/>
  <c r="F194" i="72"/>
  <c r="Q194" i="72" s="1"/>
  <c r="AB194" i="72" s="1"/>
  <c r="I194" i="72"/>
  <c r="T194" i="72" s="1"/>
  <c r="AE194" i="72" s="1"/>
  <c r="E194" i="72"/>
  <c r="P194" i="72" s="1"/>
  <c r="AA194" i="72" s="1"/>
  <c r="H194" i="72"/>
  <c r="S194" i="72" s="1"/>
  <c r="AD194" i="72" s="1"/>
  <c r="D194" i="72"/>
  <c r="O194" i="72" s="1"/>
  <c r="K18" i="72"/>
  <c r="V18" i="72" s="1"/>
  <c r="AG18" i="72" s="1"/>
  <c r="G18" i="72"/>
  <c r="R18" i="72" s="1"/>
  <c r="AC18" i="72" s="1"/>
  <c r="J18" i="72"/>
  <c r="U18" i="72" s="1"/>
  <c r="AF18" i="72" s="1"/>
  <c r="F18" i="72"/>
  <c r="Q18" i="72" s="1"/>
  <c r="AB18" i="72" s="1"/>
  <c r="I18" i="72"/>
  <c r="T18" i="72" s="1"/>
  <c r="AE18" i="72" s="1"/>
  <c r="E18" i="72"/>
  <c r="P18" i="72" s="1"/>
  <c r="AA18" i="72" s="1"/>
  <c r="H18" i="72"/>
  <c r="S18" i="72" s="1"/>
  <c r="AD18" i="72" s="1"/>
  <c r="D18" i="72"/>
  <c r="O18" i="72" s="1"/>
  <c r="AW21" i="38"/>
  <c r="AX21" i="38" s="1"/>
  <c r="BQ34" i="39"/>
  <c r="BR34" i="39" s="1"/>
  <c r="C35" i="75"/>
  <c r="P36" i="40"/>
  <c r="CA34" i="38"/>
  <c r="CB34" i="38" s="1"/>
  <c r="BS35" i="38"/>
  <c r="BT35" i="38" s="1"/>
  <c r="AI72" i="37"/>
  <c r="BZ49" i="36"/>
  <c r="P16" i="40"/>
  <c r="D10" i="40"/>
  <c r="BY46" i="36"/>
  <c r="E11" i="41"/>
  <c r="W11" i="41" s="1"/>
  <c r="A14" i="11"/>
  <c r="CA32" i="38"/>
  <c r="CB32" i="38" s="1"/>
  <c r="BQ49" i="36"/>
  <c r="AP46" i="38"/>
  <c r="AQ46" i="38" s="1"/>
  <c r="CB15" i="39"/>
  <c r="BS30" i="39" s="1"/>
  <c r="BT30" i="39" s="1"/>
  <c r="CA30" i="38"/>
  <c r="CB30" i="38" s="1"/>
  <c r="AL15" i="10"/>
  <c r="DK26" i="10" s="1"/>
  <c r="BZ79" i="10" s="1"/>
  <c r="G9" i="51" s="1"/>
  <c r="AP15" i="41"/>
  <c r="BS33" i="38"/>
  <c r="BT33" i="38" s="1"/>
  <c r="V91" i="10"/>
  <c r="CB19" i="39"/>
  <c r="X91" i="74"/>
  <c r="X93" i="74" s="1"/>
  <c r="DM29" i="10"/>
  <c r="BJ11" i="59" s="1"/>
  <c r="CA28" i="38"/>
  <c r="CB28" i="38" s="1"/>
  <c r="BR46" i="36"/>
  <c r="P22" i="10"/>
  <c r="T22" i="10" s="1"/>
  <c r="AJ10" i="59"/>
  <c r="AL22" i="40"/>
  <c r="CA21" i="38"/>
  <c r="CB21" i="38" s="1"/>
  <c r="CA19" i="39"/>
  <c r="BY34" i="39"/>
  <c r="BZ34" i="39" s="1"/>
  <c r="BJ10" i="40"/>
  <c r="BJ11" i="40" s="1"/>
  <c r="AL11" i="59" s="1"/>
  <c r="AI83" i="38"/>
  <c r="BV14" i="40"/>
  <c r="BQ29" i="40" s="1"/>
  <c r="BR29" i="40" s="1"/>
  <c r="CA33" i="38"/>
  <c r="CB33" i="38" s="1"/>
  <c r="AM44" i="39"/>
  <c r="AO44" i="39" s="1"/>
  <c r="AR17" i="40"/>
  <c r="AT17" i="40" s="1"/>
  <c r="BT21" i="40"/>
  <c r="BT11" i="40" s="1"/>
  <c r="BT10" i="40" s="1"/>
  <c r="BO13" i="41"/>
  <c r="AM17" i="41"/>
  <c r="BJ20" i="11"/>
  <c r="A327" i="72" s="1"/>
  <c r="BQ31" i="39"/>
  <c r="BR31" i="39" s="1"/>
  <c r="DP17" i="12"/>
  <c r="AU14" i="40"/>
  <c r="AV14" i="40" s="1"/>
  <c r="AU20" i="40"/>
  <c r="AV20" i="40" s="1"/>
  <c r="AU17" i="40"/>
  <c r="AV17" i="40" s="1"/>
  <c r="DP2" i="12"/>
  <c r="Y15" i="12" s="1"/>
  <c r="DP3" i="12"/>
  <c r="BV13" i="40"/>
  <c r="BX13" i="40" s="1"/>
  <c r="BY16" i="40"/>
  <c r="BZ16" i="40" s="1"/>
  <c r="CB18" i="39"/>
  <c r="CA33" i="39" s="1"/>
  <c r="CB33" i="39" s="1"/>
  <c r="AA11" i="58"/>
  <c r="AD11" i="58" s="1"/>
  <c r="AE11" i="58" s="1"/>
  <c r="AF11" i="58" s="1"/>
  <c r="AA107" i="58"/>
  <c r="AD107" i="58" s="1"/>
  <c r="AE107" i="58" s="1"/>
  <c r="AF107" i="58" s="1"/>
  <c r="AA101" i="58"/>
  <c r="AD101" i="58" s="1"/>
  <c r="AE101" i="58" s="1"/>
  <c r="AF101" i="58" s="1"/>
  <c r="AE100" i="58"/>
  <c r="AF100" i="58" s="1"/>
  <c r="AA10" i="58"/>
  <c r="AD10" i="58" s="1"/>
  <c r="AE10" i="58" s="1"/>
  <c r="DP11" i="12"/>
  <c r="AL14" i="12" s="1"/>
  <c r="DP7" i="12"/>
  <c r="AE123" i="12" s="1"/>
  <c r="HK16" i="12" s="1"/>
  <c r="DP19" i="12"/>
  <c r="AE129" i="12" s="1"/>
  <c r="DP12" i="12"/>
  <c r="AD92" i="74" s="1"/>
  <c r="DP5" i="12"/>
  <c r="AU18" i="40"/>
  <c r="AV18" i="40" s="1"/>
  <c r="BS13" i="41"/>
  <c r="AS14" i="41"/>
  <c r="BT17" i="41"/>
  <c r="AO14" i="41"/>
  <c r="AW18" i="39"/>
  <c r="AI10" i="59"/>
  <c r="AS18" i="41"/>
  <c r="BU14" i="41"/>
  <c r="AL16" i="41"/>
  <c r="BY14" i="40"/>
  <c r="BZ14" i="40" s="1"/>
  <c r="BQ33" i="39"/>
  <c r="BR33" i="39" s="1"/>
  <c r="BW20" i="41"/>
  <c r="BR15" i="41"/>
  <c r="BS15" i="41"/>
  <c r="BX18" i="39"/>
  <c r="CA18" i="39"/>
  <c r="AR14" i="40"/>
  <c r="AT14" i="40" s="1"/>
  <c r="AM41" i="39"/>
  <c r="AO41" i="39" s="1"/>
  <c r="CA16" i="39"/>
  <c r="CB16" i="39" s="1"/>
  <c r="AX15" i="39"/>
  <c r="BY29" i="39"/>
  <c r="BZ29" i="39" s="1"/>
  <c r="E10" i="41"/>
  <c r="W10" i="41" s="1"/>
  <c r="BT41" i="37"/>
  <c r="BQ49" i="37" s="1"/>
  <c r="AR13" i="40"/>
  <c r="AM39" i="40" s="1"/>
  <c r="AR16" i="40"/>
  <c r="AT16" i="40" s="1"/>
  <c r="N15" i="11"/>
  <c r="AW15" i="39"/>
  <c r="BY31" i="39"/>
  <c r="BZ31" i="39" s="1"/>
  <c r="DK26" i="9"/>
  <c r="BZ79" i="9" s="1"/>
  <c r="H9" i="51" s="1"/>
  <c r="BV17" i="40"/>
  <c r="BQ32" i="40" s="1"/>
  <c r="BR32" i="40" s="1"/>
  <c r="DK39" i="10"/>
  <c r="BZ94" i="10"/>
  <c r="G16" i="51" s="1"/>
  <c r="BL11" i="59"/>
  <c r="AO21" i="40"/>
  <c r="AO11" i="40" s="1"/>
  <c r="AO10" i="40" s="1"/>
  <c r="BU21" i="40"/>
  <c r="BU11" i="40" s="1"/>
  <c r="BU10" i="40" s="1"/>
  <c r="AR18" i="40"/>
  <c r="AX18" i="40" s="1"/>
  <c r="BW14" i="41"/>
  <c r="BU19" i="41"/>
  <c r="BP19" i="41"/>
  <c r="AX18" i="39"/>
  <c r="Q83" i="10"/>
  <c r="G28" i="51" s="1"/>
  <c r="AK15" i="41"/>
  <c r="AK18" i="41"/>
  <c r="BT13" i="41"/>
  <c r="AN15" i="41"/>
  <c r="BU17" i="41"/>
  <c r="AN20" i="41"/>
  <c r="AM14" i="41"/>
  <c r="BQ14" i="41"/>
  <c r="AP17" i="41"/>
  <c r="BO17" i="41"/>
  <c r="BO16" i="41"/>
  <c r="BO19" i="41"/>
  <c r="AS15" i="41"/>
  <c r="AN16" i="41"/>
  <c r="AO16" i="41"/>
  <c r="AQ15" i="41"/>
  <c r="BR17" i="41"/>
  <c r="BP14" i="41"/>
  <c r="BP15" i="41"/>
  <c r="AO19" i="41"/>
  <c r="AM18" i="41"/>
  <c r="AQ13" i="41"/>
  <c r="AS17" i="41"/>
  <c r="AK19" i="41"/>
  <c r="BK3" i="41"/>
  <c r="AM12" i="59" s="1"/>
  <c r="AN17" i="41"/>
  <c r="AO15" i="41"/>
  <c r="AQ16" i="41"/>
  <c r="AN18" i="41"/>
  <c r="BT15" i="41"/>
  <c r="BR20" i="41"/>
  <c r="BR19" i="41"/>
  <c r="AL18" i="41"/>
  <c r="BP21" i="40"/>
  <c r="BP11" i="40" s="1"/>
  <c r="BP10" i="40" s="1"/>
  <c r="DP13" i="12"/>
  <c r="DP10" i="12"/>
  <c r="U14" i="12" s="1"/>
  <c r="BN20" i="12"/>
  <c r="BJ20" i="12" s="1"/>
  <c r="DP16" i="12"/>
  <c r="AT5" i="42"/>
  <c r="AQ20" i="42" s="1"/>
  <c r="DP8" i="12"/>
  <c r="DP9" i="12"/>
  <c r="I14" i="12" s="1"/>
  <c r="P21" i="9"/>
  <c r="T21" i="9" s="1"/>
  <c r="CB41" i="37"/>
  <c r="BY49" i="37" s="1"/>
  <c r="AW20" i="39"/>
  <c r="BQ29" i="39"/>
  <c r="BR29" i="39" s="1"/>
  <c r="BQ21" i="40"/>
  <c r="BQ11" i="40" s="1"/>
  <c r="BQ10" i="40" s="1"/>
  <c r="BY13" i="40"/>
  <c r="BZ13" i="40" s="1"/>
  <c r="BW21" i="40"/>
  <c r="BY17" i="40"/>
  <c r="BZ17" i="40" s="1"/>
  <c r="AL21" i="40"/>
  <c r="AL11" i="40" s="1"/>
  <c r="AL10" i="40" s="1"/>
  <c r="AR20" i="40"/>
  <c r="AT20" i="40" s="1"/>
  <c r="BV18" i="40"/>
  <c r="BX18" i="40" s="1"/>
  <c r="DP18" i="11"/>
  <c r="AA42" i="74" s="1"/>
  <c r="AD10" i="59"/>
  <c r="BV16" i="40"/>
  <c r="BX16" i="40" s="1"/>
  <c r="CA14" i="39"/>
  <c r="CB14" i="39" s="1"/>
  <c r="AE10" i="59"/>
  <c r="AM39" i="39"/>
  <c r="CB39" i="37"/>
  <c r="BY46" i="37" s="1"/>
  <c r="AN21" i="40"/>
  <c r="AN11" i="40" s="1"/>
  <c r="AN10" i="40" s="1"/>
  <c r="AQ21" i="40"/>
  <c r="AQ11" i="40" s="1"/>
  <c r="AQ10" i="40" s="1"/>
  <c r="AM21" i="40"/>
  <c r="AM11" i="40" s="1"/>
  <c r="AM10" i="40" s="1"/>
  <c r="BX16" i="39"/>
  <c r="AM42" i="39"/>
  <c r="AG10" i="59"/>
  <c r="AO13" i="41"/>
  <c r="AM13" i="41"/>
  <c r="BO15" i="41"/>
  <c r="BW17" i="41"/>
  <c r="BP13" i="41"/>
  <c r="BO18" i="41"/>
  <c r="BU15" i="41"/>
  <c r="BR14" i="41"/>
  <c r="AP14" i="41"/>
  <c r="AO20" i="41"/>
  <c r="AL17" i="41"/>
  <c r="AQ17" i="41"/>
  <c r="AP16" i="41"/>
  <c r="BT20" i="41"/>
  <c r="BQ18" i="41"/>
  <c r="BQ20" i="41"/>
  <c r="AQ19" i="41"/>
  <c r="AW14" i="39"/>
  <c r="CB20" i="39"/>
  <c r="AS21" i="40"/>
  <c r="AV21" i="39"/>
  <c r="AL27" i="39" s="1"/>
  <c r="BZ21" i="39"/>
  <c r="BO21" i="40"/>
  <c r="BO11" i="40" s="1"/>
  <c r="BO10" i="40" s="1"/>
  <c r="AU13" i="40"/>
  <c r="AV13" i="40" s="1"/>
  <c r="BS21" i="40"/>
  <c r="BS11" i="40" s="1"/>
  <c r="BS10" i="40" s="1"/>
  <c r="AP21" i="40"/>
  <c r="AP11" i="40" s="1"/>
  <c r="AP10" i="40" s="1"/>
  <c r="AU16" i="40"/>
  <c r="AV16" i="40" s="1"/>
  <c r="AR19" i="40"/>
  <c r="AT19" i="40" s="1"/>
  <c r="BR21" i="40"/>
  <c r="BR11" i="40" s="1"/>
  <c r="BR10" i="40" s="1"/>
  <c r="BY19" i="40"/>
  <c r="BZ19" i="40" s="1"/>
  <c r="BX15" i="39"/>
  <c r="CA13" i="39"/>
  <c r="CB13" i="39" s="1"/>
  <c r="BV19" i="40"/>
  <c r="BQ34" i="40" s="1"/>
  <c r="BR34" i="40" s="1"/>
  <c r="BV15" i="40"/>
  <c r="BX15" i="40" s="1"/>
  <c r="AU15" i="40"/>
  <c r="AV15" i="40" s="1"/>
  <c r="CA15" i="39"/>
  <c r="AL14" i="11"/>
  <c r="AX19" i="39"/>
  <c r="BY20" i="40"/>
  <c r="BZ20" i="40" s="1"/>
  <c r="AU19" i="40"/>
  <c r="AV19" i="40" s="1"/>
  <c r="BY28" i="39"/>
  <c r="BZ28" i="39" s="1"/>
  <c r="BT39" i="37"/>
  <c r="BQ46" i="37" s="1"/>
  <c r="BY15" i="40"/>
  <c r="BZ15" i="40" s="1"/>
  <c r="AR15" i="40"/>
  <c r="AT15" i="40" s="1"/>
  <c r="AF10" i="59"/>
  <c r="BY30" i="39"/>
  <c r="BZ30" i="39" s="1"/>
  <c r="AM45" i="39"/>
  <c r="AO45" i="39" s="1"/>
  <c r="AK21" i="40"/>
  <c r="AK11" i="40" s="1"/>
  <c r="AK10" i="40" s="1"/>
  <c r="BV20" i="40"/>
  <c r="BX20" i="40" s="1"/>
  <c r="Q39" i="40"/>
  <c r="P39" i="40"/>
  <c r="Q36" i="40"/>
  <c r="BQ28" i="39"/>
  <c r="BR28" i="39" s="1"/>
  <c r="AW19" i="39"/>
  <c r="BY18" i="40"/>
  <c r="BZ18" i="40" s="1"/>
  <c r="W10" i="40"/>
  <c r="AW17" i="39"/>
  <c r="AX17" i="39" s="1"/>
  <c r="CA17" i="39"/>
  <c r="CB17" i="39" s="1"/>
  <c r="AH10" i="59"/>
  <c r="BV21" i="39"/>
  <c r="BY35" i="39"/>
  <c r="BZ35" i="39" s="1"/>
  <c r="AP13" i="41"/>
  <c r="AL13" i="41"/>
  <c r="AS20" i="41"/>
  <c r="AK13" i="41"/>
  <c r="BW13" i="41"/>
  <c r="AS19" i="41"/>
  <c r="BW19" i="41"/>
  <c r="AK16" i="41"/>
  <c r="BU13" i="41"/>
  <c r="AK14" i="41"/>
  <c r="BW16" i="41"/>
  <c r="AM19" i="41"/>
  <c r="AL19" i="41"/>
  <c r="BU18" i="41"/>
  <c r="BS16" i="41"/>
  <c r="BU20" i="41"/>
  <c r="AN19" i="41"/>
  <c r="BQ17" i="41"/>
  <c r="BT14" i="41"/>
  <c r="BS18" i="41"/>
  <c r="AP18" i="41"/>
  <c r="BQ15" i="41"/>
  <c r="AM16" i="41"/>
  <c r="AQ18" i="41"/>
  <c r="AP20" i="41"/>
  <c r="AQ14" i="41"/>
  <c r="BX5" i="41"/>
  <c r="AN14" i="41"/>
  <c r="BR18" i="41"/>
  <c r="AL15" i="41"/>
  <c r="AP19" i="41"/>
  <c r="BT19" i="41"/>
  <c r="R3" i="41"/>
  <c r="BY32" i="39"/>
  <c r="BZ32" i="39" s="1"/>
  <c r="AX14" i="39"/>
  <c r="AM46" i="39"/>
  <c r="AO46" i="39" s="1"/>
  <c r="AT16" i="39"/>
  <c r="AT21" i="39" s="1"/>
  <c r="AL24" i="39" s="1"/>
  <c r="AK10" i="59"/>
  <c r="AR21" i="39"/>
  <c r="AX16" i="39"/>
  <c r="BO20" i="41"/>
  <c r="BQ13" i="41"/>
  <c r="AK20" i="41"/>
  <c r="BO14" i="41"/>
  <c r="BW18" i="41"/>
  <c r="BW15" i="41"/>
  <c r="BR13" i="41"/>
  <c r="AK17" i="41"/>
  <c r="AN13" i="41"/>
  <c r="AS13" i="41"/>
  <c r="AS16" i="41"/>
  <c r="BP16" i="41"/>
  <c r="BQ16" i="41"/>
  <c r="AM15" i="41"/>
  <c r="BS20" i="41"/>
  <c r="BP18" i="41"/>
  <c r="AM20" i="41"/>
  <c r="BS19" i="41"/>
  <c r="BQ19" i="41"/>
  <c r="BP20" i="41"/>
  <c r="BR16" i="41"/>
  <c r="AO18" i="41"/>
  <c r="BT16" i="41"/>
  <c r="AO17" i="41"/>
  <c r="BU16" i="41"/>
  <c r="AL20" i="41"/>
  <c r="BT18" i="41"/>
  <c r="AQ20" i="41"/>
  <c r="AL14" i="41"/>
  <c r="BP17" i="41"/>
  <c r="BS14" i="41"/>
  <c r="BQ32" i="39"/>
  <c r="BR32" i="39" s="1"/>
  <c r="AM40" i="39"/>
  <c r="AX20" i="39"/>
  <c r="BQ35" i="39"/>
  <c r="BR35" i="39" s="1"/>
  <c r="CA20" i="39"/>
  <c r="AW13" i="39"/>
  <c r="AX13" i="39" s="1"/>
  <c r="AM43" i="39"/>
  <c r="HK16" i="11"/>
  <c r="DP15" i="11"/>
  <c r="Y12" i="59" s="1"/>
  <c r="BJ64" i="36"/>
  <c r="DC9" i="34"/>
  <c r="DK328" i="72"/>
  <c r="DK330" i="72"/>
  <c r="DK332" i="72"/>
  <c r="DK334" i="72"/>
  <c r="DK336" i="72"/>
  <c r="DK338" i="72"/>
  <c r="DK340" i="72"/>
  <c r="DK342" i="72"/>
  <c r="DK344" i="72"/>
  <c r="DK346" i="72"/>
  <c r="DK348" i="72"/>
  <c r="DK350" i="72"/>
  <c r="DK352" i="72"/>
  <c r="DK354" i="72"/>
  <c r="DK356" i="72"/>
  <c r="DK327" i="72"/>
  <c r="DK329" i="72"/>
  <c r="DK331" i="72"/>
  <c r="DK333" i="72"/>
  <c r="DK335" i="72"/>
  <c r="DK337" i="72"/>
  <c r="DK339" i="72"/>
  <c r="DK341" i="72"/>
  <c r="DK343" i="72"/>
  <c r="DK345" i="72"/>
  <c r="DK347" i="72"/>
  <c r="DK349" i="72"/>
  <c r="DK351" i="72"/>
  <c r="DK353" i="72"/>
  <c r="DK355" i="72"/>
  <c r="DK357" i="72"/>
  <c r="FN49" i="11"/>
  <c r="FN47" i="11"/>
  <c r="FN45" i="11"/>
  <c r="FN43" i="11"/>
  <c r="FN41" i="11"/>
  <c r="FN39" i="11"/>
  <c r="FN37" i="11"/>
  <c r="FN35" i="11"/>
  <c r="FN33" i="11"/>
  <c r="FN31" i="11"/>
  <c r="FN29" i="11"/>
  <c r="FN27" i="11"/>
  <c r="FN25" i="11"/>
  <c r="FN23" i="11"/>
  <c r="FN21" i="11"/>
  <c r="FN50" i="11"/>
  <c r="FN48" i="11"/>
  <c r="FN46" i="11"/>
  <c r="FN44" i="11"/>
  <c r="FN42" i="11"/>
  <c r="FN40" i="11"/>
  <c r="FN38" i="11"/>
  <c r="FN36" i="11"/>
  <c r="FN34" i="11"/>
  <c r="FN32" i="11"/>
  <c r="FN30" i="11"/>
  <c r="FN28" i="11"/>
  <c r="FN26" i="11"/>
  <c r="FN24" i="11"/>
  <c r="FN22" i="11"/>
  <c r="FN20" i="11"/>
  <c r="AL25" i="38"/>
  <c r="AI87" i="37"/>
  <c r="AL28" i="38"/>
  <c r="T30" i="11"/>
  <c r="V84" i="11"/>
  <c r="Z12" i="59"/>
  <c r="V83" i="11"/>
  <c r="DP4" i="13"/>
  <c r="M17" i="51"/>
  <c r="ER21" i="5"/>
  <c r="EU21" i="5"/>
  <c r="BA21" i="37"/>
  <c r="BA22" i="36"/>
  <c r="BF147" i="72"/>
  <c r="BC147" i="72"/>
  <c r="BD147" i="72" s="1"/>
  <c r="AM147" i="72" s="1"/>
  <c r="AP147" i="72" s="1"/>
  <c r="K18" i="36"/>
  <c r="L18" i="36" s="1"/>
  <c r="E18" i="36" s="1"/>
  <c r="D57" i="36" s="1"/>
  <c r="EU20" i="6"/>
  <c r="I18" i="39"/>
  <c r="BA20" i="38"/>
  <c r="BJ22" i="10"/>
  <c r="BG148" i="72"/>
  <c r="BB148" i="72"/>
  <c r="BA24" i="35"/>
  <c r="FB22" i="9"/>
  <c r="BH22" i="9" s="1"/>
  <c r="A20" i="39"/>
  <c r="A239" i="72"/>
  <c r="BN29" i="4"/>
  <c r="BJ28" i="4"/>
  <c r="I19" i="38"/>
  <c r="A151" i="72"/>
  <c r="A22" i="37"/>
  <c r="FB24" i="7"/>
  <c r="BH24" i="7" s="1"/>
  <c r="A23" i="36"/>
  <c r="A107" i="72"/>
  <c r="FB25" i="6"/>
  <c r="BH25" i="6" s="1"/>
  <c r="BC60" i="72"/>
  <c r="BD60" i="72" s="1"/>
  <c r="AM60" i="72" s="1"/>
  <c r="AP60" i="72" s="1"/>
  <c r="BF60" i="72"/>
  <c r="BI59" i="37"/>
  <c r="BI50" i="37"/>
  <c r="AT99" i="11"/>
  <c r="BA12" i="59"/>
  <c r="Q82" i="11"/>
  <c r="B27" i="51" s="1"/>
  <c r="AU98" i="11"/>
  <c r="L62" i="72"/>
  <c r="M62" i="72" s="1"/>
  <c r="AY104" i="72"/>
  <c r="AQ147" i="72"/>
  <c r="I23" i="18"/>
  <c r="BN25" i="8"/>
  <c r="BJ24" i="8"/>
  <c r="I20" i="37"/>
  <c r="L149" i="72"/>
  <c r="M149" i="72" s="1"/>
  <c r="BG61" i="72"/>
  <c r="BB61" i="72"/>
  <c r="A64" i="72"/>
  <c r="FB27" i="5"/>
  <c r="BH27" i="5" s="1"/>
  <c r="A25" i="35"/>
  <c r="BA24" i="18"/>
  <c r="BE24" i="18" s="1"/>
  <c r="W13" i="38"/>
  <c r="L193" i="72"/>
  <c r="M193" i="72" s="1"/>
  <c r="BG192" i="72"/>
  <c r="BB192" i="72"/>
  <c r="BN22" i="11"/>
  <c r="BJ21" i="11"/>
  <c r="W14" i="38"/>
  <c r="FB21" i="10"/>
  <c r="BH21" i="10" s="1"/>
  <c r="A19" i="40"/>
  <c r="A283" i="72"/>
  <c r="I21" i="36"/>
  <c r="K20" i="35"/>
  <c r="L20" i="35" s="1"/>
  <c r="E20" i="35" s="1"/>
  <c r="D59" i="35" s="1"/>
  <c r="BF103" i="72"/>
  <c r="BC103" i="72"/>
  <c r="BD103" i="72" s="1"/>
  <c r="AM103" i="72" s="1"/>
  <c r="AP103" i="72" s="1"/>
  <c r="AY148" i="72"/>
  <c r="BN24" i="9"/>
  <c r="BJ23" i="9"/>
  <c r="A25" i="18"/>
  <c r="A19" i="72"/>
  <c r="FB27" i="4"/>
  <c r="BH27" i="4" s="1"/>
  <c r="BN26" i="7"/>
  <c r="BJ25" i="7"/>
  <c r="BN27" i="6"/>
  <c r="BJ26" i="6"/>
  <c r="I23" i="35"/>
  <c r="BG104" i="72"/>
  <c r="BB104" i="72"/>
  <c r="L237" i="72"/>
  <c r="M237" i="72" s="1"/>
  <c r="A21" i="38"/>
  <c r="FB23" i="8"/>
  <c r="BH23" i="8" s="1"/>
  <c r="A195" i="72"/>
  <c r="BA18" i="40"/>
  <c r="AY61" i="72"/>
  <c r="L105" i="72"/>
  <c r="M105" i="72" s="1"/>
  <c r="BY2" i="14"/>
  <c r="BY2" i="15"/>
  <c r="BN29" i="5"/>
  <c r="BJ28" i="5"/>
  <c r="BA19" i="39"/>
  <c r="AY192" i="72"/>
  <c r="CA31" i="39" l="1"/>
  <c r="CB31" i="39" s="1"/>
  <c r="BS31" i="39"/>
  <c r="BT31" i="39" s="1"/>
  <c r="AP48" i="38"/>
  <c r="AQ48" i="38" s="1"/>
  <c r="C118" i="77"/>
  <c r="C130" i="77"/>
  <c r="DP30" i="13"/>
  <c r="CX14" i="59" s="1"/>
  <c r="AD135" i="13"/>
  <c r="AG84" i="74" s="1"/>
  <c r="AG87" i="74" s="1"/>
  <c r="T32" i="12"/>
  <c r="AL91" i="12" s="1"/>
  <c r="Q11" i="40"/>
  <c r="AC11" i="40" s="1"/>
  <c r="AB7" i="59"/>
  <c r="GT5" i="34"/>
  <c r="AC11" i="39"/>
  <c r="P21" i="10"/>
  <c r="T21" i="10" s="1"/>
  <c r="J20" i="38"/>
  <c r="AI79" i="38"/>
  <c r="BN12" i="59"/>
  <c r="AC10" i="39"/>
  <c r="CI13" i="59"/>
  <c r="J24" i="18"/>
  <c r="DZ238" i="72"/>
  <c r="CL13" i="59"/>
  <c r="EB238" i="72"/>
  <c r="BZ72" i="12"/>
  <c r="I238" i="72"/>
  <c r="T238" i="72" s="1"/>
  <c r="AE238" i="72" s="1"/>
  <c r="K238" i="72"/>
  <c r="V238" i="72" s="1"/>
  <c r="AG238" i="72" s="1"/>
  <c r="DU238" i="72"/>
  <c r="BD147" i="15"/>
  <c r="BD146" i="15"/>
  <c r="BD111" i="15"/>
  <c r="BD112" i="15"/>
  <c r="D238" i="72"/>
  <c r="O238" i="72" s="1"/>
  <c r="Z238" i="72" s="1"/>
  <c r="F238" i="72"/>
  <c r="Q238" i="72" s="1"/>
  <c r="AB238" i="72" s="1"/>
  <c r="DY238" i="72"/>
  <c r="DW238" i="72"/>
  <c r="EH238" i="72"/>
  <c r="EI238" i="72" s="1"/>
  <c r="H238" i="72"/>
  <c r="S238" i="72" s="1"/>
  <c r="AD238" i="72" s="1"/>
  <c r="J238" i="72"/>
  <c r="U238" i="72" s="1"/>
  <c r="AF238" i="72" s="1"/>
  <c r="EC238" i="72"/>
  <c r="EA238" i="72"/>
  <c r="E238" i="72"/>
  <c r="P238" i="72" s="1"/>
  <c r="AA238" i="72" s="1"/>
  <c r="G238" i="72"/>
  <c r="R238" i="72" s="1"/>
  <c r="AC238" i="72" s="1"/>
  <c r="DV238" i="72"/>
  <c r="BZ98" i="12"/>
  <c r="M18" i="51" s="1"/>
  <c r="T34" i="12"/>
  <c r="DP25" i="12" s="1"/>
  <c r="CO13" i="59" s="1"/>
  <c r="DP29" i="13"/>
  <c r="CS14" i="59" s="1"/>
  <c r="DP28" i="13"/>
  <c r="CR14" i="59" s="1"/>
  <c r="DP27" i="13"/>
  <c r="CQ14" i="59" s="1"/>
  <c r="DP26" i="13"/>
  <c r="CP14" i="59" s="1"/>
  <c r="A20" i="12"/>
  <c r="A19" i="12"/>
  <c r="J21" i="37"/>
  <c r="P19" i="12"/>
  <c r="P18" i="12"/>
  <c r="EO12" i="12"/>
  <c r="L19" i="12"/>
  <c r="A18" i="12"/>
  <c r="L18" i="12" s="1"/>
  <c r="P18" i="11"/>
  <c r="T18" i="11" s="1"/>
  <c r="P19" i="11"/>
  <c r="T19" i="11" s="1"/>
  <c r="P20" i="11"/>
  <c r="M20" i="51"/>
  <c r="BP13" i="59"/>
  <c r="DP11" i="13"/>
  <c r="AL14" i="13" s="1"/>
  <c r="DP23" i="13"/>
  <c r="B34" i="13" s="1"/>
  <c r="BH29" i="38"/>
  <c r="CC81" i="11"/>
  <c r="BJ45" i="38"/>
  <c r="BI50" i="38" s="1"/>
  <c r="BH45" i="38"/>
  <c r="J18" i="40"/>
  <c r="AI72" i="38"/>
  <c r="CA14" i="40"/>
  <c r="CB14" i="40" s="1"/>
  <c r="BS29" i="40" s="1"/>
  <c r="BT29" i="40" s="1"/>
  <c r="BY29" i="40"/>
  <c r="BZ29" i="40" s="1"/>
  <c r="GC23" i="8"/>
  <c r="FX130" i="34" s="1"/>
  <c r="GC21" i="10"/>
  <c r="FX190" i="34" s="1"/>
  <c r="GC25" i="6"/>
  <c r="FX70" i="34" s="1"/>
  <c r="GC27" i="4"/>
  <c r="FX10" i="34" s="1"/>
  <c r="GD50" i="14"/>
  <c r="GE50" i="14" s="1"/>
  <c r="GD46" i="14"/>
  <c r="GE46" i="14" s="1"/>
  <c r="GD42" i="14"/>
  <c r="GE42" i="14" s="1"/>
  <c r="GD38" i="14"/>
  <c r="GE38" i="14" s="1"/>
  <c r="GD34" i="14"/>
  <c r="GE34" i="14" s="1"/>
  <c r="GD30" i="14"/>
  <c r="GE30" i="14" s="1"/>
  <c r="GD26" i="14"/>
  <c r="GE26" i="14" s="1"/>
  <c r="GD22" i="14"/>
  <c r="GE22" i="14" s="1"/>
  <c r="GD49" i="14"/>
  <c r="GE49" i="14" s="1"/>
  <c r="GD45" i="14"/>
  <c r="GE45" i="14" s="1"/>
  <c r="GD41" i="14"/>
  <c r="GE41" i="14" s="1"/>
  <c r="GD37" i="14"/>
  <c r="GE37" i="14" s="1"/>
  <c r="GD33" i="14"/>
  <c r="GE33" i="14" s="1"/>
  <c r="GD29" i="14"/>
  <c r="GE29" i="14" s="1"/>
  <c r="GD25" i="14"/>
  <c r="GE25" i="14" s="1"/>
  <c r="GD21" i="14"/>
  <c r="GE21" i="14" s="1"/>
  <c r="GD48" i="14"/>
  <c r="GE48" i="14" s="1"/>
  <c r="GD44" i="14"/>
  <c r="GE44" i="14" s="1"/>
  <c r="GD40" i="14"/>
  <c r="GE40" i="14" s="1"/>
  <c r="GD36" i="14"/>
  <c r="GE36" i="14" s="1"/>
  <c r="GD32" i="14"/>
  <c r="GE32" i="14" s="1"/>
  <c r="GD28" i="14"/>
  <c r="GE28" i="14" s="1"/>
  <c r="GD24" i="14"/>
  <c r="GE24" i="14" s="1"/>
  <c r="GD20" i="14"/>
  <c r="GE20" i="14" s="1"/>
  <c r="GD47" i="14"/>
  <c r="GE47" i="14" s="1"/>
  <c r="GD43" i="14"/>
  <c r="GE43" i="14" s="1"/>
  <c r="GD39" i="14"/>
  <c r="GE39" i="14" s="1"/>
  <c r="GD35" i="14"/>
  <c r="GE35" i="14" s="1"/>
  <c r="GD31" i="14"/>
  <c r="GE31" i="14" s="1"/>
  <c r="GD27" i="14"/>
  <c r="GE27" i="14" s="1"/>
  <c r="GD23" i="14"/>
  <c r="GE23" i="14" s="1"/>
  <c r="GD49" i="13"/>
  <c r="GE49" i="13" s="1"/>
  <c r="GD45" i="13"/>
  <c r="GE45" i="13" s="1"/>
  <c r="GD41" i="13"/>
  <c r="GE41" i="13" s="1"/>
  <c r="GD37" i="13"/>
  <c r="GE37" i="13" s="1"/>
  <c r="GD33" i="13"/>
  <c r="GE33" i="13" s="1"/>
  <c r="GD29" i="13"/>
  <c r="GE29" i="13" s="1"/>
  <c r="GD25" i="13"/>
  <c r="GE25" i="13" s="1"/>
  <c r="GD21" i="13"/>
  <c r="GE21" i="13" s="1"/>
  <c r="GD48" i="13"/>
  <c r="GE48" i="13" s="1"/>
  <c r="GD44" i="13"/>
  <c r="GE44" i="13" s="1"/>
  <c r="GD40" i="13"/>
  <c r="GE40" i="13" s="1"/>
  <c r="GD36" i="13"/>
  <c r="GE36" i="13" s="1"/>
  <c r="GD32" i="13"/>
  <c r="GE32" i="13" s="1"/>
  <c r="GD28" i="13"/>
  <c r="GE28" i="13" s="1"/>
  <c r="GD24" i="13"/>
  <c r="GE24" i="13" s="1"/>
  <c r="GD20" i="13"/>
  <c r="GE20" i="13" s="1"/>
  <c r="GD47" i="13"/>
  <c r="GE47" i="13" s="1"/>
  <c r="GD43" i="13"/>
  <c r="GE43" i="13" s="1"/>
  <c r="GD39" i="13"/>
  <c r="GE39" i="13" s="1"/>
  <c r="GD35" i="13"/>
  <c r="GE35" i="13" s="1"/>
  <c r="GD31" i="13"/>
  <c r="GE31" i="13" s="1"/>
  <c r="GD27" i="13"/>
  <c r="GE27" i="13" s="1"/>
  <c r="GD23" i="13"/>
  <c r="GE23" i="13" s="1"/>
  <c r="GD50" i="13"/>
  <c r="GE50" i="13" s="1"/>
  <c r="GD46" i="13"/>
  <c r="GE46" i="13" s="1"/>
  <c r="GD42" i="13"/>
  <c r="GE42" i="13" s="1"/>
  <c r="GD38" i="13"/>
  <c r="GE38" i="13" s="1"/>
  <c r="GD34" i="13"/>
  <c r="GE34" i="13" s="1"/>
  <c r="GD30" i="13"/>
  <c r="GE30" i="13" s="1"/>
  <c r="GD26" i="13"/>
  <c r="GE26" i="13" s="1"/>
  <c r="GD22" i="13"/>
  <c r="GE22" i="13" s="1"/>
  <c r="GD53" i="14"/>
  <c r="GC27" i="5"/>
  <c r="FX41" i="34" s="1"/>
  <c r="GC24" i="7"/>
  <c r="FX100" i="34" s="1"/>
  <c r="BI9" i="4" s="1"/>
  <c r="GC22" i="9"/>
  <c r="FX160" i="34" s="1"/>
  <c r="FS21" i="9"/>
  <c r="FX159" i="34"/>
  <c r="AI237" i="72"/>
  <c r="C40" i="75"/>
  <c r="AI149" i="72"/>
  <c r="AQ149" i="72" s="1"/>
  <c r="AI193" i="72"/>
  <c r="AQ193" i="72" s="1"/>
  <c r="AI17" i="72"/>
  <c r="AI105" i="72"/>
  <c r="AQ105" i="72" s="1"/>
  <c r="AI62" i="72"/>
  <c r="AQ62" i="72" s="1"/>
  <c r="W150" i="72"/>
  <c r="X150" i="72" s="1"/>
  <c r="AA150" i="72"/>
  <c r="AA282" i="72"/>
  <c r="W282" i="72"/>
  <c r="X282" i="72" s="1"/>
  <c r="AA106" i="72"/>
  <c r="W106" i="72"/>
  <c r="X106" i="72" s="1"/>
  <c r="W18" i="72"/>
  <c r="X18" i="72" s="1"/>
  <c r="Z18" i="72"/>
  <c r="W194" i="72"/>
  <c r="X194" i="72" s="1"/>
  <c r="Z194" i="72"/>
  <c r="W63" i="72"/>
  <c r="X63" i="72" s="1"/>
  <c r="Z63" i="72"/>
  <c r="FS27" i="4"/>
  <c r="BE27" i="4"/>
  <c r="BC27" i="4" s="1"/>
  <c r="BE21" i="9"/>
  <c r="J22" i="36"/>
  <c r="J24" i="35"/>
  <c r="AE11" i="59"/>
  <c r="AK15" i="42"/>
  <c r="FS27" i="5"/>
  <c r="BE27" i="5"/>
  <c r="BC27" i="5" s="1"/>
  <c r="FS23" i="8"/>
  <c r="BE23" i="8"/>
  <c r="J21" i="38" s="1"/>
  <c r="FS21" i="10"/>
  <c r="BE21" i="10"/>
  <c r="BC21" i="10" s="1"/>
  <c r="FS24" i="7"/>
  <c r="BE24" i="7"/>
  <c r="BC24" i="7" s="1"/>
  <c r="FS22" i="9"/>
  <c r="BE22" i="9"/>
  <c r="BC22" i="9" s="1"/>
  <c r="FS25" i="6"/>
  <c r="BE25" i="6"/>
  <c r="BC25" i="6" s="1"/>
  <c r="EV20" i="8"/>
  <c r="AA20" i="8" s="1"/>
  <c r="EV21" i="7"/>
  <c r="AA21" i="7" s="1"/>
  <c r="EV22" i="6"/>
  <c r="AA22" i="6" s="1"/>
  <c r="EV24" i="5"/>
  <c r="AA24" i="5" s="1"/>
  <c r="CD149" i="72"/>
  <c r="EA283" i="72"/>
  <c r="DW283" i="72"/>
  <c r="DZ283" i="72"/>
  <c r="DV283" i="72"/>
  <c r="EC283" i="72"/>
  <c r="DY283" i="72"/>
  <c r="DU283" i="72"/>
  <c r="EH283" i="72"/>
  <c r="EI283" i="72" s="1"/>
  <c r="EB283" i="72"/>
  <c r="DX283" i="72"/>
  <c r="CD193" i="72"/>
  <c r="EH64" i="72"/>
  <c r="EI64" i="72" s="1"/>
  <c r="EA64" i="72"/>
  <c r="DW64" i="72"/>
  <c r="DZ64" i="72"/>
  <c r="DV64" i="72"/>
  <c r="EC64" i="72"/>
  <c r="DY64" i="72"/>
  <c r="DU64" i="72"/>
  <c r="EB64" i="72"/>
  <c r="DX64" i="72"/>
  <c r="CD105" i="72"/>
  <c r="EB195" i="72"/>
  <c r="DX195" i="72"/>
  <c r="EH195" i="72"/>
  <c r="EI195" i="72" s="1"/>
  <c r="EA195" i="72"/>
  <c r="DW195" i="72"/>
  <c r="DZ195" i="72"/>
  <c r="DV195" i="72"/>
  <c r="EC195" i="72"/>
  <c r="DY195" i="72"/>
  <c r="DU195" i="72"/>
  <c r="H25" i="18"/>
  <c r="EM25" i="18"/>
  <c r="H25" i="35"/>
  <c r="EM25" i="35"/>
  <c r="C94" i="77"/>
  <c r="C106" i="77"/>
  <c r="H23" i="36"/>
  <c r="EM23" i="36"/>
  <c r="EH239" i="72"/>
  <c r="EI239" i="72" s="1"/>
  <c r="EB239" i="72"/>
  <c r="DX239" i="72"/>
  <c r="EA239" i="72"/>
  <c r="DW239" i="72"/>
  <c r="DZ239" i="72"/>
  <c r="DV239" i="72"/>
  <c r="EC239" i="72"/>
  <c r="DY239" i="72"/>
  <c r="DU239" i="72"/>
  <c r="ED106" i="72"/>
  <c r="EE106" i="72" s="1"/>
  <c r="ED150" i="72"/>
  <c r="EE150" i="72" s="1"/>
  <c r="ED63" i="72"/>
  <c r="EE63" i="72" s="1"/>
  <c r="ED282" i="72"/>
  <c r="EE282" i="72" s="1"/>
  <c r="H22" i="37"/>
  <c r="EM22" i="37"/>
  <c r="CD62" i="72"/>
  <c r="H20" i="39"/>
  <c r="EM20" i="39"/>
  <c r="H21" i="38"/>
  <c r="EM21" i="38"/>
  <c r="CD237" i="72"/>
  <c r="DZ19" i="72"/>
  <c r="DV19" i="72"/>
  <c r="EC19" i="72"/>
  <c r="DY19" i="72"/>
  <c r="DU19" i="72"/>
  <c r="EB19" i="72"/>
  <c r="DX19" i="72"/>
  <c r="EH19" i="72"/>
  <c r="EI19" i="72" s="1"/>
  <c r="EA19" i="72"/>
  <c r="DW19" i="72"/>
  <c r="H19" i="40"/>
  <c r="EM19" i="40"/>
  <c r="EA107" i="72"/>
  <c r="DW107" i="72"/>
  <c r="EH107" i="72"/>
  <c r="EI107" i="72" s="1"/>
  <c r="EB107" i="72"/>
  <c r="DX107" i="72"/>
  <c r="DZ107" i="72"/>
  <c r="DY107" i="72"/>
  <c r="DV107" i="72"/>
  <c r="EC107" i="72"/>
  <c r="DU107" i="72"/>
  <c r="DZ151" i="72"/>
  <c r="DV151" i="72"/>
  <c r="EC151" i="72"/>
  <c r="DY151" i="72"/>
  <c r="DU151" i="72"/>
  <c r="EH151" i="72"/>
  <c r="EI151" i="72" s="1"/>
  <c r="EB151" i="72"/>
  <c r="DX151" i="72"/>
  <c r="EA151" i="72"/>
  <c r="DW151" i="72"/>
  <c r="DZ327" i="72"/>
  <c r="DV327" i="72"/>
  <c r="EC327" i="72"/>
  <c r="DY327" i="72"/>
  <c r="DU327" i="72"/>
  <c r="EH327" i="72"/>
  <c r="EI327" i="72" s="1"/>
  <c r="EB327" i="72"/>
  <c r="DX327" i="72"/>
  <c r="EA327" i="72"/>
  <c r="DW327" i="72"/>
  <c r="ED194" i="72"/>
  <c r="EE194" i="72" s="1"/>
  <c r="ED18" i="72"/>
  <c r="EE18" i="72" s="1"/>
  <c r="EN24" i="18" s="1"/>
  <c r="D12" i="59"/>
  <c r="B113" i="62" s="1"/>
  <c r="BU16" i="42"/>
  <c r="BQ14" i="42"/>
  <c r="AP19" i="42"/>
  <c r="K195" i="72"/>
  <c r="V195" i="72" s="1"/>
  <c r="AG195" i="72" s="1"/>
  <c r="G195" i="72"/>
  <c r="R195" i="72" s="1"/>
  <c r="AC195" i="72" s="1"/>
  <c r="J195" i="72"/>
  <c r="U195" i="72" s="1"/>
  <c r="AF195" i="72" s="1"/>
  <c r="F195" i="72"/>
  <c r="Q195" i="72" s="1"/>
  <c r="AB195" i="72" s="1"/>
  <c r="I195" i="72"/>
  <c r="T195" i="72" s="1"/>
  <c r="AE195" i="72" s="1"/>
  <c r="E195" i="72"/>
  <c r="P195" i="72" s="1"/>
  <c r="H195" i="72"/>
  <c r="S195" i="72" s="1"/>
  <c r="AD195" i="72" s="1"/>
  <c r="D195" i="72"/>
  <c r="O195" i="72" s="1"/>
  <c r="Z195" i="72" s="1"/>
  <c r="K107" i="72"/>
  <c r="V107" i="72" s="1"/>
  <c r="AG107" i="72" s="1"/>
  <c r="G107" i="72"/>
  <c r="R107" i="72" s="1"/>
  <c r="AC107" i="72" s="1"/>
  <c r="J107" i="72"/>
  <c r="U107" i="72" s="1"/>
  <c r="AF107" i="72" s="1"/>
  <c r="F107" i="72"/>
  <c r="Q107" i="72" s="1"/>
  <c r="AB107" i="72" s="1"/>
  <c r="I107" i="72"/>
  <c r="T107" i="72" s="1"/>
  <c r="AE107" i="72" s="1"/>
  <c r="E107" i="72"/>
  <c r="P107" i="72" s="1"/>
  <c r="H107" i="72"/>
  <c r="S107" i="72" s="1"/>
  <c r="AD107" i="72" s="1"/>
  <c r="D107" i="72"/>
  <c r="O107" i="72" s="1"/>
  <c r="Z107" i="72" s="1"/>
  <c r="K151" i="72"/>
  <c r="V151" i="72" s="1"/>
  <c r="AG151" i="72" s="1"/>
  <c r="G151" i="72"/>
  <c r="R151" i="72" s="1"/>
  <c r="AC151" i="72" s="1"/>
  <c r="J151" i="72"/>
  <c r="U151" i="72" s="1"/>
  <c r="AF151" i="72" s="1"/>
  <c r="F151" i="72"/>
  <c r="Q151" i="72" s="1"/>
  <c r="AB151" i="72" s="1"/>
  <c r="I151" i="72"/>
  <c r="T151" i="72" s="1"/>
  <c r="AE151" i="72" s="1"/>
  <c r="E151" i="72"/>
  <c r="P151" i="72" s="1"/>
  <c r="H151" i="72"/>
  <c r="S151" i="72" s="1"/>
  <c r="AD151" i="72" s="1"/>
  <c r="D151" i="72"/>
  <c r="O151" i="72" s="1"/>
  <c r="Z151" i="72" s="1"/>
  <c r="K19" i="72"/>
  <c r="V19" i="72" s="1"/>
  <c r="AG19" i="72" s="1"/>
  <c r="G19" i="72"/>
  <c r="R19" i="72" s="1"/>
  <c r="AC19" i="72" s="1"/>
  <c r="J19" i="72"/>
  <c r="U19" i="72" s="1"/>
  <c r="AF19" i="72" s="1"/>
  <c r="F19" i="72"/>
  <c r="Q19" i="72" s="1"/>
  <c r="AB19" i="72" s="1"/>
  <c r="I19" i="72"/>
  <c r="T19" i="72" s="1"/>
  <c r="AE19" i="72" s="1"/>
  <c r="E19" i="72"/>
  <c r="P19" i="72" s="1"/>
  <c r="H19" i="72"/>
  <c r="S19" i="72" s="1"/>
  <c r="AD19" i="72" s="1"/>
  <c r="D19" i="72"/>
  <c r="O19" i="72" s="1"/>
  <c r="Z19" i="72" s="1"/>
  <c r="K239" i="72"/>
  <c r="V239" i="72" s="1"/>
  <c r="AG239" i="72" s="1"/>
  <c r="G239" i="72"/>
  <c r="R239" i="72" s="1"/>
  <c r="AC239" i="72" s="1"/>
  <c r="J239" i="72"/>
  <c r="U239" i="72" s="1"/>
  <c r="AF239" i="72" s="1"/>
  <c r="F239" i="72"/>
  <c r="Q239" i="72" s="1"/>
  <c r="AB239" i="72" s="1"/>
  <c r="I239" i="72"/>
  <c r="T239" i="72" s="1"/>
  <c r="AE239" i="72" s="1"/>
  <c r="E239" i="72"/>
  <c r="P239" i="72" s="1"/>
  <c r="AA239" i="72" s="1"/>
  <c r="H239" i="72"/>
  <c r="S239" i="72" s="1"/>
  <c r="AD239" i="72" s="1"/>
  <c r="D239" i="72"/>
  <c r="O239" i="72" s="1"/>
  <c r="K64" i="72"/>
  <c r="V64" i="72" s="1"/>
  <c r="AG64" i="72" s="1"/>
  <c r="G64" i="72"/>
  <c r="R64" i="72" s="1"/>
  <c r="AC64" i="72" s="1"/>
  <c r="J64" i="72"/>
  <c r="U64" i="72" s="1"/>
  <c r="AF64" i="72" s="1"/>
  <c r="F64" i="72"/>
  <c r="Q64" i="72" s="1"/>
  <c r="AB64" i="72" s="1"/>
  <c r="I64" i="72"/>
  <c r="T64" i="72" s="1"/>
  <c r="AE64" i="72" s="1"/>
  <c r="E64" i="72"/>
  <c r="P64" i="72" s="1"/>
  <c r="H64" i="72"/>
  <c r="S64" i="72" s="1"/>
  <c r="AD64" i="72" s="1"/>
  <c r="D64" i="72"/>
  <c r="O64" i="72" s="1"/>
  <c r="Z64" i="72" s="1"/>
  <c r="K283" i="72"/>
  <c r="V283" i="72" s="1"/>
  <c r="AG283" i="72" s="1"/>
  <c r="G283" i="72"/>
  <c r="R283" i="72" s="1"/>
  <c r="AC283" i="72" s="1"/>
  <c r="J283" i="72"/>
  <c r="U283" i="72" s="1"/>
  <c r="AF283" i="72" s="1"/>
  <c r="F283" i="72"/>
  <c r="Q283" i="72" s="1"/>
  <c r="AB283" i="72" s="1"/>
  <c r="I283" i="72"/>
  <c r="T283" i="72" s="1"/>
  <c r="AE283" i="72" s="1"/>
  <c r="E283" i="72"/>
  <c r="P283" i="72" s="1"/>
  <c r="H283" i="72"/>
  <c r="S283" i="72" s="1"/>
  <c r="AD283" i="72" s="1"/>
  <c r="D283" i="72"/>
  <c r="O283" i="72" s="1"/>
  <c r="Z283" i="72" s="1"/>
  <c r="BS34" i="39"/>
  <c r="BT34" i="39" s="1"/>
  <c r="K327" i="72"/>
  <c r="V327" i="72" s="1"/>
  <c r="AG327" i="72" s="1"/>
  <c r="G327" i="72"/>
  <c r="R327" i="72" s="1"/>
  <c r="AC327" i="72" s="1"/>
  <c r="J327" i="72"/>
  <c r="U327" i="72" s="1"/>
  <c r="AF327" i="72" s="1"/>
  <c r="F327" i="72"/>
  <c r="Q327" i="72" s="1"/>
  <c r="AB327" i="72" s="1"/>
  <c r="I327" i="72"/>
  <c r="T327" i="72" s="1"/>
  <c r="AE327" i="72" s="1"/>
  <c r="E327" i="72"/>
  <c r="P327" i="72" s="1"/>
  <c r="H327" i="72"/>
  <c r="S327" i="72" s="1"/>
  <c r="AD327" i="72" s="1"/>
  <c r="D327" i="72"/>
  <c r="O327" i="72" s="1"/>
  <c r="Z327" i="72" s="1"/>
  <c r="AM45" i="40"/>
  <c r="AO45" i="40" s="1"/>
  <c r="CA30" i="39"/>
  <c r="CB30" i="39" s="1"/>
  <c r="BO15" i="42"/>
  <c r="BS18" i="42"/>
  <c r="BR17" i="42"/>
  <c r="AK14" i="42"/>
  <c r="BP17" i="42"/>
  <c r="AN17" i="42"/>
  <c r="BW20" i="42"/>
  <c r="BQ18" i="42"/>
  <c r="AN19" i="42"/>
  <c r="AW20" i="40"/>
  <c r="BY28" i="40"/>
  <c r="BZ28" i="40" s="1"/>
  <c r="Q10" i="40"/>
  <c r="Q16" i="40" s="1"/>
  <c r="CA13" i="40"/>
  <c r="CB13" i="40" s="1"/>
  <c r="DK374" i="72"/>
  <c r="BT41" i="38"/>
  <c r="BR49" i="38" s="1"/>
  <c r="BW52" i="36"/>
  <c r="BJ61" i="36" s="1"/>
  <c r="GR5" i="34" s="1"/>
  <c r="AW17" i="40"/>
  <c r="AW16" i="40"/>
  <c r="AX16" i="40" s="1"/>
  <c r="AM43" i="40"/>
  <c r="A18" i="41"/>
  <c r="BA18" i="41" s="1"/>
  <c r="AX17" i="40"/>
  <c r="P16" i="41"/>
  <c r="D10" i="41"/>
  <c r="A14" i="12"/>
  <c r="CA34" i="39"/>
  <c r="CB34" i="39" s="1"/>
  <c r="BT39" i="38"/>
  <c r="BR46" i="38" s="1"/>
  <c r="CB41" i="38"/>
  <c r="BY49" i="38" s="1"/>
  <c r="BW19" i="42"/>
  <c r="AS16" i="42"/>
  <c r="AM18" i="42"/>
  <c r="BR14" i="42"/>
  <c r="DP3" i="13"/>
  <c r="AP44" i="39"/>
  <c r="AQ44" i="39" s="1"/>
  <c r="BN21" i="12"/>
  <c r="BN22" i="12" s="1"/>
  <c r="BX17" i="40"/>
  <c r="AH11" i="59"/>
  <c r="T30" i="12"/>
  <c r="CA29" i="39"/>
  <c r="CB29" i="39" s="1"/>
  <c r="AI11" i="59"/>
  <c r="DC10" i="34"/>
  <c r="FN33" i="12"/>
  <c r="AT13" i="40"/>
  <c r="BX14" i="40"/>
  <c r="AA91" i="74"/>
  <c r="AA93" i="74" s="1"/>
  <c r="V13" i="59"/>
  <c r="N143" i="76" s="1"/>
  <c r="CB39" i="38"/>
  <c r="BZ46" i="38" s="1"/>
  <c r="Q39" i="41"/>
  <c r="CA20" i="40"/>
  <c r="AI83" i="39"/>
  <c r="BY35" i="40"/>
  <c r="BZ35" i="40" s="1"/>
  <c r="AK11" i="59"/>
  <c r="CB17" i="40"/>
  <c r="BS32" i="40" s="1"/>
  <c r="BT32" i="40" s="1"/>
  <c r="BY33" i="40"/>
  <c r="BZ33" i="40" s="1"/>
  <c r="CB18" i="40"/>
  <c r="V84" i="12"/>
  <c r="N15" i="12"/>
  <c r="P20" i="12" s="1"/>
  <c r="BW54" i="36"/>
  <c r="BJ53" i="36" s="1"/>
  <c r="GQ5" i="34" s="1"/>
  <c r="FN50" i="12"/>
  <c r="AM40" i="40"/>
  <c r="BY32" i="40"/>
  <c r="BZ32" i="40" s="1"/>
  <c r="CA17" i="40"/>
  <c r="DK389" i="72"/>
  <c r="CA18" i="40"/>
  <c r="AW14" i="40"/>
  <c r="AX14" i="40" s="1"/>
  <c r="AM42" i="40"/>
  <c r="BQ33" i="40"/>
  <c r="BR33" i="40" s="1"/>
  <c r="BZ46" i="37"/>
  <c r="BJ64" i="37" s="1"/>
  <c r="Z13" i="59"/>
  <c r="BY15" i="41"/>
  <c r="BZ15" i="41" s="1"/>
  <c r="AW19" i="40"/>
  <c r="AW15" i="40"/>
  <c r="AT18" i="40"/>
  <c r="CA15" i="40"/>
  <c r="AP46" i="39"/>
  <c r="AQ46" i="39" s="1"/>
  <c r="AR17" i="41"/>
  <c r="AT17" i="41" s="1"/>
  <c r="BJ10" i="41"/>
  <c r="BJ11" i="41" s="1"/>
  <c r="AL12" i="59" s="1"/>
  <c r="E10" i="42"/>
  <c r="W10" i="42" s="1"/>
  <c r="AD11" i="59"/>
  <c r="BX19" i="40"/>
  <c r="P36" i="41"/>
  <c r="AM41" i="40"/>
  <c r="AO41" i="40" s="1"/>
  <c r="BQ28" i="40"/>
  <c r="BR28" i="40" s="1"/>
  <c r="AX15" i="40"/>
  <c r="BY34" i="40"/>
  <c r="BZ34" i="40" s="1"/>
  <c r="P39" i="41"/>
  <c r="AP41" i="39"/>
  <c r="AQ41" i="39" s="1"/>
  <c r="AR19" i="41"/>
  <c r="AM45" i="41" s="1"/>
  <c r="AO45" i="41" s="1"/>
  <c r="BQ17" i="42"/>
  <c r="AL20" i="42"/>
  <c r="AM15" i="42"/>
  <c r="BR20" i="42"/>
  <c r="BO14" i="42"/>
  <c r="AS17" i="42"/>
  <c r="BO16" i="42"/>
  <c r="AK16" i="42"/>
  <c r="BO20" i="42"/>
  <c r="AS19" i="42"/>
  <c r="BQ19" i="42"/>
  <c r="BS19" i="42"/>
  <c r="AO19" i="42"/>
  <c r="BS17" i="42"/>
  <c r="AQ17" i="42"/>
  <c r="AM19" i="42"/>
  <c r="AX20" i="40"/>
  <c r="BQ31" i="40"/>
  <c r="BR31" i="40" s="1"/>
  <c r="AL13" i="42"/>
  <c r="AS18" i="42"/>
  <c r="AM13" i="42"/>
  <c r="AQ13" i="42"/>
  <c r="BW18" i="42"/>
  <c r="BR19" i="42"/>
  <c r="AN14" i="42"/>
  <c r="BP20" i="42"/>
  <c r="AL14" i="42"/>
  <c r="AM20" i="42"/>
  <c r="BT19" i="42"/>
  <c r="BT16" i="42"/>
  <c r="AM17" i="42"/>
  <c r="AO15" i="42"/>
  <c r="BT14" i="42"/>
  <c r="BR18" i="42"/>
  <c r="BV21" i="40"/>
  <c r="AR21" i="40"/>
  <c r="BY31" i="40"/>
  <c r="BZ31" i="40" s="1"/>
  <c r="AS15" i="42"/>
  <c r="AK13" i="42"/>
  <c r="AO13" i="42"/>
  <c r="BS13" i="42"/>
  <c r="BO18" i="42"/>
  <c r="BT17" i="42"/>
  <c r="AP14" i="42"/>
  <c r="AL16" i="42"/>
  <c r="BU15" i="42"/>
  <c r="AL18" i="42"/>
  <c r="AQ14" i="42"/>
  <c r="BU20" i="42"/>
  <c r="AO16" i="42"/>
  <c r="AN18" i="42"/>
  <c r="BP15" i="42"/>
  <c r="AO17" i="42"/>
  <c r="FB20" i="11"/>
  <c r="BH20" i="11" s="1"/>
  <c r="AU19" i="41"/>
  <c r="AV19" i="41" s="1"/>
  <c r="AS21" i="41"/>
  <c r="AP45" i="39"/>
  <c r="AQ45" i="39" s="1"/>
  <c r="AX19" i="40"/>
  <c r="AW13" i="40"/>
  <c r="AX13" i="40" s="1"/>
  <c r="CA16" i="40"/>
  <c r="CB16" i="40" s="1"/>
  <c r="BP13" i="42"/>
  <c r="BU13" i="42"/>
  <c r="BO19" i="42"/>
  <c r="AK17" i="42"/>
  <c r="BW13" i="42"/>
  <c r="BW14" i="42"/>
  <c r="AN13" i="42"/>
  <c r="BO17" i="42"/>
  <c r="BQ13" i="42"/>
  <c r="AS20" i="42"/>
  <c r="AK18" i="42"/>
  <c r="BW15" i="42"/>
  <c r="AL19" i="42"/>
  <c r="BS15" i="42"/>
  <c r="BP19" i="42"/>
  <c r="BS20" i="42"/>
  <c r="BP16" i="42"/>
  <c r="AM16" i="42"/>
  <c r="AL17" i="42"/>
  <c r="AN20" i="42"/>
  <c r="BU18" i="42"/>
  <c r="BT15" i="42"/>
  <c r="AL15" i="42"/>
  <c r="BR15" i="42"/>
  <c r="AP15" i="42"/>
  <c r="BU14" i="42"/>
  <c r="BQ20" i="42"/>
  <c r="BU17" i="42"/>
  <c r="BS14" i="42"/>
  <c r="AQ19" i="42"/>
  <c r="BT20" i="42"/>
  <c r="BX5" i="42"/>
  <c r="AO18" i="42"/>
  <c r="FN49" i="12"/>
  <c r="DK373" i="72"/>
  <c r="E11" i="42"/>
  <c r="AG11" i="59"/>
  <c r="BZ49" i="37"/>
  <c r="BT13" i="42"/>
  <c r="BR13" i="42"/>
  <c r="AS14" i="42"/>
  <c r="BW16" i="42"/>
  <c r="AS13" i="42"/>
  <c r="BK3" i="42"/>
  <c r="AM13" i="59" s="1"/>
  <c r="BO13" i="42"/>
  <c r="AK19" i="42"/>
  <c r="AP13" i="42"/>
  <c r="AK20" i="42"/>
  <c r="BW17" i="42"/>
  <c r="R3" i="42"/>
  <c r="BP14" i="42"/>
  <c r="BS16" i="42"/>
  <c r="AP18" i="42"/>
  <c r="AP20" i="42"/>
  <c r="BQ15" i="42"/>
  <c r="AP17" i="42"/>
  <c r="BQ16" i="42"/>
  <c r="AN15" i="42"/>
  <c r="AN16" i="42"/>
  <c r="AO14" i="42"/>
  <c r="AP16" i="42"/>
  <c r="BT18" i="42"/>
  <c r="BR16" i="42"/>
  <c r="AQ18" i="42"/>
  <c r="BP18" i="42"/>
  <c r="BU19" i="42"/>
  <c r="AQ16" i="42"/>
  <c r="AO20" i="42"/>
  <c r="AQ15" i="42"/>
  <c r="AM14" i="42"/>
  <c r="FN34" i="12"/>
  <c r="DK388" i="72"/>
  <c r="AU18" i="41"/>
  <c r="AV18" i="41" s="1"/>
  <c r="FN21" i="12"/>
  <c r="FN37" i="12"/>
  <c r="FN22" i="12"/>
  <c r="FN38" i="12"/>
  <c r="DK401" i="72"/>
  <c r="DK385" i="72"/>
  <c r="DK400" i="72"/>
  <c r="DK384" i="72"/>
  <c r="FN25" i="12"/>
  <c r="FN41" i="12"/>
  <c r="FN26" i="12"/>
  <c r="FN42" i="12"/>
  <c r="DK397" i="72"/>
  <c r="DK381" i="72"/>
  <c r="DK396" i="72"/>
  <c r="DK380" i="72"/>
  <c r="V83" i="12"/>
  <c r="FN29" i="12"/>
  <c r="FN45" i="12"/>
  <c r="FN30" i="12"/>
  <c r="FN46" i="12"/>
  <c r="DK393" i="72"/>
  <c r="DK377" i="72"/>
  <c r="DK392" i="72"/>
  <c r="DK376" i="72"/>
  <c r="CA35" i="39"/>
  <c r="CB35" i="39" s="1"/>
  <c r="DP18" i="12"/>
  <c r="AD42" i="74" s="1"/>
  <c r="BS29" i="39"/>
  <c r="BT29" i="39" s="1"/>
  <c r="Q36" i="41"/>
  <c r="AL15" i="11"/>
  <c r="DK26" i="11" s="1"/>
  <c r="BZ79" i="11" s="1"/>
  <c r="B9" i="51" s="1"/>
  <c r="AL22" i="41"/>
  <c r="AM46" i="40"/>
  <c r="AO46" i="40" s="1"/>
  <c r="DP17" i="13"/>
  <c r="BE10" i="39"/>
  <c r="BH45" i="39" s="1"/>
  <c r="FN27" i="12"/>
  <c r="FN35" i="12"/>
  <c r="FN43" i="12"/>
  <c r="FN20" i="12"/>
  <c r="FN28" i="12"/>
  <c r="FN36" i="12"/>
  <c r="FN44" i="12"/>
  <c r="DK372" i="72"/>
  <c r="DK395" i="72"/>
  <c r="DK387" i="72"/>
  <c r="DK379" i="72"/>
  <c r="DK402" i="72"/>
  <c r="DK394" i="72"/>
  <c r="DK386" i="72"/>
  <c r="DK378" i="72"/>
  <c r="FN23" i="12"/>
  <c r="FN31" i="12"/>
  <c r="FN39" i="12"/>
  <c r="FN47" i="12"/>
  <c r="FN24" i="12"/>
  <c r="FN32" i="12"/>
  <c r="FN40" i="12"/>
  <c r="FN48" i="12"/>
  <c r="DK399" i="72"/>
  <c r="DK391" i="72"/>
  <c r="DK383" i="72"/>
  <c r="DK375" i="72"/>
  <c r="DK398" i="72"/>
  <c r="DK390" i="72"/>
  <c r="DK382" i="72"/>
  <c r="AR16" i="41"/>
  <c r="AT16" i="41" s="1"/>
  <c r="AU17" i="41"/>
  <c r="AV17" i="41" s="1"/>
  <c r="BV15" i="41"/>
  <c r="CB15" i="41" s="1"/>
  <c r="BS32" i="39"/>
  <c r="BT32" i="39" s="1"/>
  <c r="CB15" i="40"/>
  <c r="AW18" i="40"/>
  <c r="AM44" i="40"/>
  <c r="AO44" i="40" s="1"/>
  <c r="AP44" i="40" s="1"/>
  <c r="AQ44" i="40" s="1"/>
  <c r="CB20" i="40"/>
  <c r="AW21" i="39"/>
  <c r="AX21" i="39" s="1"/>
  <c r="BY30" i="40"/>
  <c r="BZ30" i="40" s="1"/>
  <c r="AT5" i="43"/>
  <c r="AN18" i="43" s="1"/>
  <c r="BQ30" i="40"/>
  <c r="BR30" i="40" s="1"/>
  <c r="BR21" i="41"/>
  <c r="BR11" i="41" s="1"/>
  <c r="BR10" i="41" s="1"/>
  <c r="DP5" i="13"/>
  <c r="BQ35" i="40"/>
  <c r="BR35" i="40" s="1"/>
  <c r="AF11" i="59"/>
  <c r="BS33" i="39"/>
  <c r="BT33" i="39" s="1"/>
  <c r="DP15" i="12"/>
  <c r="Y13" i="59" s="1"/>
  <c r="U13" i="59"/>
  <c r="BR49" i="37"/>
  <c r="BX21" i="39"/>
  <c r="CA32" i="39"/>
  <c r="CB32" i="39" s="1"/>
  <c r="AF10" i="58"/>
  <c r="AE23" i="58" s="1"/>
  <c r="AE21" i="58"/>
  <c r="AE115" i="58"/>
  <c r="AE113" i="58"/>
  <c r="CA28" i="39"/>
  <c r="CB28" i="39" s="1"/>
  <c r="P22" i="11"/>
  <c r="T22" i="11" s="1"/>
  <c r="BS28" i="39"/>
  <c r="BT28" i="39" s="1"/>
  <c r="BY19" i="41"/>
  <c r="BZ19" i="41" s="1"/>
  <c r="AU16" i="41"/>
  <c r="AV16" i="41" s="1"/>
  <c r="AR13" i="41"/>
  <c r="AT13" i="41" s="1"/>
  <c r="BO21" i="41"/>
  <c r="BO11" i="41" s="1"/>
  <c r="BO10" i="41" s="1"/>
  <c r="BR46" i="37"/>
  <c r="AQ21" i="41"/>
  <c r="AQ11" i="41" s="1"/>
  <c r="AQ10" i="41" s="1"/>
  <c r="BB11" i="59"/>
  <c r="AU15" i="41"/>
  <c r="AV15" i="41" s="1"/>
  <c r="AU14" i="41"/>
  <c r="AV14" i="41" s="1"/>
  <c r="CB19" i="40"/>
  <c r="BS34" i="40" s="1"/>
  <c r="BT34" i="40" s="1"/>
  <c r="BP21" i="41"/>
  <c r="BP11" i="41" s="1"/>
  <c r="BP10" i="41" s="1"/>
  <c r="AR15" i="41"/>
  <c r="AT15" i="41" s="1"/>
  <c r="AJ11" i="59"/>
  <c r="CA19" i="40"/>
  <c r="AR14" i="41"/>
  <c r="AT14" i="41" s="1"/>
  <c r="AM21" i="41"/>
  <c r="AM11" i="41" s="1"/>
  <c r="AM10" i="41" s="1"/>
  <c r="BY16" i="41"/>
  <c r="BZ16" i="41" s="1"/>
  <c r="CA21" i="39"/>
  <c r="CB21" i="39" s="1"/>
  <c r="DP12" i="13"/>
  <c r="N15" i="13" s="1"/>
  <c r="DP2" i="13"/>
  <c r="Y15" i="13" s="1"/>
  <c r="BN20" i="13"/>
  <c r="BN21" i="13" s="1"/>
  <c r="DP16" i="13"/>
  <c r="BS35" i="39"/>
  <c r="BT35" i="39" s="1"/>
  <c r="DP10" i="13"/>
  <c r="U14" i="13" s="1"/>
  <c r="DP8" i="13"/>
  <c r="DP13" i="13"/>
  <c r="U14" i="59" s="1"/>
  <c r="DP9" i="13"/>
  <c r="I14" i="13" s="1"/>
  <c r="E10" i="43" s="1"/>
  <c r="DP7" i="13"/>
  <c r="AE123" i="13" s="1"/>
  <c r="HK16" i="13" s="1"/>
  <c r="DP19" i="13"/>
  <c r="AE129" i="13" s="1"/>
  <c r="BW21" i="41"/>
  <c r="BV13" i="41"/>
  <c r="BY28" i="41" s="1"/>
  <c r="BZ28" i="41" s="1"/>
  <c r="BV14" i="41"/>
  <c r="BX14" i="41" s="1"/>
  <c r="BQ21" i="41"/>
  <c r="BQ11" i="41" s="1"/>
  <c r="BQ10" i="41" s="1"/>
  <c r="BV17" i="41"/>
  <c r="BX17" i="41" s="1"/>
  <c r="AV21" i="40"/>
  <c r="AL27" i="40" s="1"/>
  <c r="BZ21" i="40"/>
  <c r="BV20" i="41"/>
  <c r="BX20" i="41" s="1"/>
  <c r="BY13" i="41"/>
  <c r="BZ13" i="41" s="1"/>
  <c r="AO21" i="41"/>
  <c r="AO11" i="41" s="1"/>
  <c r="AO10" i="41" s="1"/>
  <c r="BT21" i="41"/>
  <c r="BT11" i="41" s="1"/>
  <c r="BT10" i="41" s="1"/>
  <c r="AR20" i="41"/>
  <c r="AT20" i="41" s="1"/>
  <c r="BY18" i="41"/>
  <c r="BZ18" i="41" s="1"/>
  <c r="AR18" i="41"/>
  <c r="AT18" i="41" s="1"/>
  <c r="AN21" i="41"/>
  <c r="AN11" i="41" s="1"/>
  <c r="AN10" i="41" s="1"/>
  <c r="AL21" i="41"/>
  <c r="AL11" i="41" s="1"/>
  <c r="AL10" i="41" s="1"/>
  <c r="BU21" i="41"/>
  <c r="BU11" i="41" s="1"/>
  <c r="BU10" i="41" s="1"/>
  <c r="AU13" i="41"/>
  <c r="AV13" i="41" s="1"/>
  <c r="AL26" i="39"/>
  <c r="AL28" i="39" s="1"/>
  <c r="BV19" i="41"/>
  <c r="BX19" i="41" s="1"/>
  <c r="AU20" i="41"/>
  <c r="AV20" i="41" s="1"/>
  <c r="BV18" i="41"/>
  <c r="CB18" i="41" s="1"/>
  <c r="BY14" i="41"/>
  <c r="BZ14" i="41" s="1"/>
  <c r="BY20" i="41"/>
  <c r="BZ20" i="41" s="1"/>
  <c r="AK21" i="41"/>
  <c r="AK11" i="41" s="1"/>
  <c r="AK10" i="41" s="1"/>
  <c r="BS21" i="41"/>
  <c r="BS11" i="41" s="1"/>
  <c r="BS10" i="41" s="1"/>
  <c r="AP21" i="41"/>
  <c r="AP11" i="41" s="1"/>
  <c r="AP10" i="41" s="1"/>
  <c r="BV16" i="41"/>
  <c r="BX16" i="41" s="1"/>
  <c r="BY17" i="41"/>
  <c r="BZ17" i="41" s="1"/>
  <c r="BJ56" i="37"/>
  <c r="GS6" i="34" s="1"/>
  <c r="AL25" i="39"/>
  <c r="AI72" i="39" s="1"/>
  <c r="AI87" i="38"/>
  <c r="Q83" i="11"/>
  <c r="B28" i="51" s="1"/>
  <c r="DP4" i="14"/>
  <c r="L17" i="51"/>
  <c r="ER22" i="5"/>
  <c r="EU22" i="5"/>
  <c r="L282" i="72"/>
  <c r="M282" i="72" s="1"/>
  <c r="BA21" i="38"/>
  <c r="AY237" i="72"/>
  <c r="BF104" i="72"/>
  <c r="BC104" i="72"/>
  <c r="BD104" i="72" s="1"/>
  <c r="AM104" i="72" s="1"/>
  <c r="AP104" i="72" s="1"/>
  <c r="W13" i="39"/>
  <c r="BN28" i="6"/>
  <c r="BJ27" i="6"/>
  <c r="BN27" i="7"/>
  <c r="BJ26" i="7"/>
  <c r="BA25" i="18"/>
  <c r="BE25" i="18" s="1"/>
  <c r="FB23" i="9"/>
  <c r="BH23" i="9" s="1"/>
  <c r="A240" i="72"/>
  <c r="A21" i="39"/>
  <c r="I24" i="35"/>
  <c r="A18" i="42"/>
  <c r="FB20" i="12"/>
  <c r="BH20" i="12" s="1"/>
  <c r="A372" i="72"/>
  <c r="I20" i="38"/>
  <c r="A328" i="72"/>
  <c r="FB21" i="11"/>
  <c r="BH21" i="11" s="1"/>
  <c r="A19" i="41"/>
  <c r="BF192" i="72"/>
  <c r="BC192" i="72"/>
  <c r="BD192" i="72" s="1"/>
  <c r="AM192" i="72" s="1"/>
  <c r="AP192" i="72" s="1"/>
  <c r="AY193" i="72"/>
  <c r="BA25" i="35"/>
  <c r="BF61" i="72"/>
  <c r="BC61" i="72"/>
  <c r="BD61" i="72" s="1"/>
  <c r="AM61" i="72" s="1"/>
  <c r="AP61" i="72" s="1"/>
  <c r="A22" i="38"/>
  <c r="FB24" i="8"/>
  <c r="BH24" i="8" s="1"/>
  <c r="A196" i="72"/>
  <c r="BB62" i="72"/>
  <c r="BG62" i="72"/>
  <c r="BA23" i="36"/>
  <c r="BN30" i="4"/>
  <c r="BJ29" i="4"/>
  <c r="BA20" i="39"/>
  <c r="L63" i="72"/>
  <c r="M63" i="72" s="1"/>
  <c r="AL22" i="42"/>
  <c r="AD91" i="74"/>
  <c r="AD93" i="74" s="1"/>
  <c r="AL15" i="12"/>
  <c r="BJ10" i="42"/>
  <c r="BC148" i="72"/>
  <c r="BD148" i="72" s="1"/>
  <c r="AM148" i="72" s="1"/>
  <c r="AP148" i="72" s="1"/>
  <c r="BF148" i="72"/>
  <c r="A20" i="40"/>
  <c r="A284" i="72"/>
  <c r="FB22" i="10"/>
  <c r="BH22" i="10" s="1"/>
  <c r="L194" i="72"/>
  <c r="M194" i="72" s="1"/>
  <c r="ER20" i="6"/>
  <c r="K18" i="37"/>
  <c r="L18" i="37" s="1"/>
  <c r="E18" i="37" s="1"/>
  <c r="D57" i="37" s="1"/>
  <c r="EU20" i="7"/>
  <c r="I21" i="37"/>
  <c r="A65" i="72"/>
  <c r="A26" i="35"/>
  <c r="FB28" i="5"/>
  <c r="BH28" i="5" s="1"/>
  <c r="CE28" i="15"/>
  <c r="CE32" i="15"/>
  <c r="CE30" i="15"/>
  <c r="CE33" i="15"/>
  <c r="CE29" i="15"/>
  <c r="CE31" i="15"/>
  <c r="DP4" i="15"/>
  <c r="BG105" i="72"/>
  <c r="BB105" i="72"/>
  <c r="AQ192" i="72"/>
  <c r="I24" i="18"/>
  <c r="BN30" i="5"/>
  <c r="BJ29" i="5"/>
  <c r="AY105" i="72"/>
  <c r="BG237" i="72"/>
  <c r="BB237" i="72"/>
  <c r="A108" i="72"/>
  <c r="FB26" i="6"/>
  <c r="BH26" i="6" s="1"/>
  <c r="A24" i="36"/>
  <c r="FB25" i="7"/>
  <c r="BH25" i="7" s="1"/>
  <c r="A152" i="72"/>
  <c r="A23" i="37"/>
  <c r="BN25" i="9"/>
  <c r="BJ24" i="9"/>
  <c r="AT99" i="12"/>
  <c r="Q82" i="12"/>
  <c r="M27" i="51" s="1"/>
  <c r="BA13" i="59"/>
  <c r="AU98" i="12"/>
  <c r="K19" i="36"/>
  <c r="L19" i="36" s="1"/>
  <c r="E19" i="36" s="1"/>
  <c r="D58" i="36" s="1"/>
  <c r="BA19" i="40"/>
  <c r="BJ22" i="11"/>
  <c r="BN23" i="11"/>
  <c r="BG193" i="72"/>
  <c r="BB193" i="72"/>
  <c r="BB149" i="72"/>
  <c r="BG149" i="72"/>
  <c r="AY149" i="72"/>
  <c r="I18" i="40"/>
  <c r="BN26" i="8"/>
  <c r="BJ25" i="8"/>
  <c r="AQ104" i="72"/>
  <c r="AY62" i="72"/>
  <c r="K21" i="35"/>
  <c r="L21" i="35" s="1"/>
  <c r="E21" i="35" s="1"/>
  <c r="D60" i="35" s="1"/>
  <c r="EU23" i="5"/>
  <c r="BA22" i="37"/>
  <c r="A26" i="18"/>
  <c r="A20" i="72"/>
  <c r="FB28" i="4"/>
  <c r="BH28" i="4" s="1"/>
  <c r="BN24" i="10"/>
  <c r="BJ23" i="10"/>
  <c r="W14" i="39"/>
  <c r="I22" i="36"/>
  <c r="L150" i="72"/>
  <c r="M150" i="72" s="1"/>
  <c r="L106" i="72"/>
  <c r="M106" i="72" s="1"/>
  <c r="Q17" i="40" l="1"/>
  <c r="GV5" i="34"/>
  <c r="T28" i="6" s="1"/>
  <c r="C119" i="77"/>
  <c r="C131" i="77"/>
  <c r="D117" i="77"/>
  <c r="D129" i="77"/>
  <c r="DP30" i="14"/>
  <c r="CX15" i="59" s="1"/>
  <c r="AD135" i="14"/>
  <c r="AJ84" i="74" s="1"/>
  <c r="AJ87" i="74" s="1"/>
  <c r="T32" i="13"/>
  <c r="AL91" i="13" s="1"/>
  <c r="N119" i="76"/>
  <c r="C24" i="75" s="1"/>
  <c r="N131" i="76"/>
  <c r="DP30" i="15"/>
  <c r="CX16" i="59" s="1"/>
  <c r="AD135" i="15"/>
  <c r="AM84" i="74" s="1"/>
  <c r="AM87" i="74" s="1"/>
  <c r="AB8" i="59"/>
  <c r="GT6" i="34"/>
  <c r="T27" i="6"/>
  <c r="GU5" i="34"/>
  <c r="BC23" i="8"/>
  <c r="I21" i="38" s="1"/>
  <c r="J19" i="40"/>
  <c r="BZ72" i="13"/>
  <c r="J22" i="37"/>
  <c r="BJ56" i="38"/>
  <c r="GS7" i="34" s="1"/>
  <c r="V14" i="59"/>
  <c r="N144" i="76" s="1"/>
  <c r="L238" i="72"/>
  <c r="M238" i="72" s="1"/>
  <c r="CD238" i="72" s="1"/>
  <c r="CI14" i="59"/>
  <c r="ED238" i="72"/>
  <c r="EE238" i="72" s="1"/>
  <c r="BN13" i="59"/>
  <c r="W238" i="72"/>
  <c r="X238" i="72" s="1"/>
  <c r="AI238" i="72" s="1"/>
  <c r="AQ238" i="72" s="1"/>
  <c r="CA29" i="40"/>
  <c r="CB29" i="40" s="1"/>
  <c r="BJ21" i="12"/>
  <c r="A19" i="42" s="1"/>
  <c r="DP29" i="14"/>
  <c r="CS15" i="59" s="1"/>
  <c r="DP28" i="14"/>
  <c r="CR15" i="59" s="1"/>
  <c r="DP27" i="14"/>
  <c r="CQ15" i="59" s="1"/>
  <c r="DP26" i="14"/>
  <c r="CP15" i="59" s="1"/>
  <c r="DP29" i="15"/>
  <c r="CS16" i="59" s="1"/>
  <c r="DP28" i="15"/>
  <c r="CR16" i="59" s="1"/>
  <c r="DP27" i="15"/>
  <c r="CQ16" i="59" s="1"/>
  <c r="DP26" i="15"/>
  <c r="CP16" i="59" s="1"/>
  <c r="A19" i="13"/>
  <c r="A20" i="13"/>
  <c r="BS31" i="40"/>
  <c r="BT31" i="40" s="1"/>
  <c r="CC81" i="12"/>
  <c r="BI59" i="38"/>
  <c r="BJ64" i="38"/>
  <c r="Q11" i="41"/>
  <c r="Q17" i="41" s="1"/>
  <c r="EO12" i="13"/>
  <c r="A18" i="13"/>
  <c r="L18" i="13" s="1"/>
  <c r="L19" i="13"/>
  <c r="T18" i="12"/>
  <c r="P19" i="13"/>
  <c r="P18" i="13"/>
  <c r="P20" i="13"/>
  <c r="T19" i="12"/>
  <c r="J23" i="36"/>
  <c r="CL14" i="59"/>
  <c r="T34" i="13"/>
  <c r="DP25" i="13" s="1"/>
  <c r="CO14" i="59" s="1"/>
  <c r="BZ102" i="13"/>
  <c r="BZ98" i="13"/>
  <c r="BN14" i="59" s="1"/>
  <c r="J20" i="39"/>
  <c r="DP23" i="15"/>
  <c r="DP10" i="14"/>
  <c r="U14" i="14" s="1"/>
  <c r="DP23" i="14"/>
  <c r="B34" i="14" s="1"/>
  <c r="J25" i="35"/>
  <c r="GC28" i="5"/>
  <c r="FX42" i="34" s="1"/>
  <c r="GC22" i="10"/>
  <c r="FX191" i="34" s="1"/>
  <c r="GC23" i="9"/>
  <c r="FX161" i="34" s="1"/>
  <c r="GC26" i="6"/>
  <c r="FX71" i="34" s="1"/>
  <c r="GC20" i="11"/>
  <c r="FX220" i="34" s="1"/>
  <c r="GC28" i="4"/>
  <c r="FX11" i="34" s="1"/>
  <c r="GC21" i="11"/>
  <c r="FX221" i="34" s="1"/>
  <c r="GC24" i="8"/>
  <c r="FX131" i="34" s="1"/>
  <c r="GC25" i="7"/>
  <c r="FX101" i="34" s="1"/>
  <c r="GC20" i="12"/>
  <c r="FX251" i="34" s="1"/>
  <c r="AI282" i="72"/>
  <c r="AI150" i="72"/>
  <c r="AI106" i="72"/>
  <c r="AX19" i="41"/>
  <c r="AP45" i="41" s="1"/>
  <c r="AQ45" i="41" s="1"/>
  <c r="AT19" i="41"/>
  <c r="AT21" i="41" s="1"/>
  <c r="AL24" i="41" s="1"/>
  <c r="W239" i="72"/>
  <c r="X239" i="72" s="1"/>
  <c r="Z239" i="72"/>
  <c r="AI63" i="72"/>
  <c r="AQ63" i="72" s="1"/>
  <c r="AI18" i="72"/>
  <c r="AA327" i="72"/>
  <c r="W327" i="72"/>
  <c r="X327" i="72" s="1"/>
  <c r="W283" i="72"/>
  <c r="X283" i="72" s="1"/>
  <c r="AA283" i="72"/>
  <c r="W64" i="72"/>
  <c r="X64" i="72" s="1"/>
  <c r="AA64" i="72"/>
  <c r="W19" i="72"/>
  <c r="X19" i="72" s="1"/>
  <c r="AA19" i="72"/>
  <c r="AA151" i="72"/>
  <c r="W151" i="72"/>
  <c r="X151" i="72" s="1"/>
  <c r="W107" i="72"/>
  <c r="X107" i="72" s="1"/>
  <c r="AA107" i="72"/>
  <c r="W195" i="72"/>
  <c r="X195" i="72" s="1"/>
  <c r="AA195" i="72"/>
  <c r="AI194" i="72"/>
  <c r="J25" i="18"/>
  <c r="FS28" i="4"/>
  <c r="BE28" i="4"/>
  <c r="BC28" i="4" s="1"/>
  <c r="BJ11" i="42"/>
  <c r="AL13" i="59" s="1"/>
  <c r="CA31" i="40"/>
  <c r="CB31" i="40" s="1"/>
  <c r="BC21" i="9"/>
  <c r="I19" i="39" s="1"/>
  <c r="J19" i="39"/>
  <c r="FS28" i="5"/>
  <c r="BE28" i="5"/>
  <c r="BC28" i="5" s="1"/>
  <c r="BX13" i="41"/>
  <c r="FS25" i="7"/>
  <c r="BE25" i="7"/>
  <c r="BC25" i="7" s="1"/>
  <c r="FS20" i="12"/>
  <c r="BE20" i="12"/>
  <c r="BC20" i="12" s="1"/>
  <c r="FS22" i="10"/>
  <c r="BE22" i="10"/>
  <c r="BC22" i="10" s="1"/>
  <c r="FS23" i="9"/>
  <c r="BE23" i="9"/>
  <c r="BC23" i="9" s="1"/>
  <c r="FS20" i="11"/>
  <c r="BE20" i="11"/>
  <c r="BC20" i="11" s="1"/>
  <c r="I18" i="41" s="1"/>
  <c r="FS26" i="6"/>
  <c r="BE26" i="6"/>
  <c r="BC26" i="6" s="1"/>
  <c r="FS24" i="8"/>
  <c r="BE24" i="8"/>
  <c r="BC24" i="8" s="1"/>
  <c r="FS21" i="11"/>
  <c r="BE21" i="11"/>
  <c r="BC21" i="11" s="1"/>
  <c r="ED151" i="72"/>
  <c r="EE151" i="72" s="1"/>
  <c r="EV20" i="9"/>
  <c r="AA20" i="9" s="1"/>
  <c r="EV22" i="7"/>
  <c r="AA22" i="7" s="1"/>
  <c r="EV21" i="8"/>
  <c r="AA21" i="8" s="1"/>
  <c r="EV23" i="6"/>
  <c r="AA23" i="6" s="1"/>
  <c r="EV25" i="5"/>
  <c r="AA25" i="5" s="1"/>
  <c r="H23" i="37"/>
  <c r="EM23" i="37"/>
  <c r="H26" i="18"/>
  <c r="EM26" i="18"/>
  <c r="EB65" i="72"/>
  <c r="DX65" i="72"/>
  <c r="EH65" i="72"/>
  <c r="EI65" i="72" s="1"/>
  <c r="EA65" i="72"/>
  <c r="DW65" i="72"/>
  <c r="DZ65" i="72"/>
  <c r="DV65" i="72"/>
  <c r="EC65" i="72"/>
  <c r="DY65" i="72"/>
  <c r="DU65" i="72"/>
  <c r="EA284" i="72"/>
  <c r="DW284" i="72"/>
  <c r="DZ284" i="72"/>
  <c r="DV284" i="72"/>
  <c r="EC284" i="72"/>
  <c r="DY284" i="72"/>
  <c r="DU284" i="72"/>
  <c r="EH284" i="72"/>
  <c r="EI284" i="72" s="1"/>
  <c r="EB284" i="72"/>
  <c r="DX284" i="72"/>
  <c r="EC196" i="72"/>
  <c r="DY196" i="72"/>
  <c r="DU196" i="72"/>
  <c r="EB196" i="72"/>
  <c r="DX196" i="72"/>
  <c r="EH196" i="72"/>
  <c r="EI196" i="72" s="1"/>
  <c r="EA196" i="72"/>
  <c r="DW196" i="72"/>
  <c r="DZ196" i="72"/>
  <c r="DV196" i="72"/>
  <c r="D93" i="77"/>
  <c r="D105" i="77"/>
  <c r="ED19" i="72"/>
  <c r="EE19" i="72" s="1"/>
  <c r="EN25" i="18" s="1"/>
  <c r="CD106" i="72"/>
  <c r="CD150" i="72"/>
  <c r="H24" i="36"/>
  <c r="EM24" i="36"/>
  <c r="H20" i="40"/>
  <c r="EM20" i="40"/>
  <c r="H19" i="41"/>
  <c r="EM19" i="41"/>
  <c r="EC372" i="72"/>
  <c r="DY372" i="72"/>
  <c r="DU372" i="72"/>
  <c r="EB372" i="72"/>
  <c r="DX372" i="72"/>
  <c r="EH372" i="72"/>
  <c r="EI372" i="72" s="1"/>
  <c r="EA372" i="72"/>
  <c r="DW372" i="72"/>
  <c r="DZ372" i="72"/>
  <c r="DV372" i="72"/>
  <c r="ED195" i="72"/>
  <c r="EE195" i="72" s="1"/>
  <c r="ED283" i="72"/>
  <c r="EE283" i="72" s="1"/>
  <c r="CD194" i="72"/>
  <c r="CD63" i="72"/>
  <c r="H22" i="38"/>
  <c r="EM22" i="38"/>
  <c r="H21" i="39"/>
  <c r="EM21" i="39"/>
  <c r="CD282" i="72"/>
  <c r="AP45" i="40"/>
  <c r="AQ45" i="40" s="1"/>
  <c r="C95" i="77"/>
  <c r="C107" i="77"/>
  <c r="EC20" i="72"/>
  <c r="DY20" i="72"/>
  <c r="DU20" i="72"/>
  <c r="EB20" i="72"/>
  <c r="DX20" i="72"/>
  <c r="EH20" i="72"/>
  <c r="EI20" i="72" s="1"/>
  <c r="EA20" i="72"/>
  <c r="DW20" i="72"/>
  <c r="DZ20" i="72"/>
  <c r="DV20" i="72"/>
  <c r="DZ152" i="72"/>
  <c r="DV152" i="72"/>
  <c r="EC152" i="72"/>
  <c r="DY152" i="72"/>
  <c r="DU152" i="72"/>
  <c r="EH152" i="72"/>
  <c r="EI152" i="72" s="1"/>
  <c r="EB152" i="72"/>
  <c r="DX152" i="72"/>
  <c r="EA152" i="72"/>
  <c r="DW152" i="72"/>
  <c r="EA108" i="72"/>
  <c r="DW108" i="72"/>
  <c r="EH108" i="72"/>
  <c r="EI108" i="72" s="1"/>
  <c r="EB108" i="72"/>
  <c r="DX108" i="72"/>
  <c r="DV108" i="72"/>
  <c r="EC108" i="72"/>
  <c r="DU108" i="72"/>
  <c r="DZ108" i="72"/>
  <c r="DY108" i="72"/>
  <c r="H26" i="35"/>
  <c r="EM26" i="35"/>
  <c r="DZ328" i="72"/>
  <c r="DV328" i="72"/>
  <c r="EC328" i="72"/>
  <c r="DY328" i="72"/>
  <c r="DU328" i="72"/>
  <c r="EH328" i="72"/>
  <c r="EI328" i="72" s="1"/>
  <c r="EB328" i="72"/>
  <c r="DX328" i="72"/>
  <c r="EA328" i="72"/>
  <c r="DW328" i="72"/>
  <c r="H18" i="42"/>
  <c r="EM18" i="42"/>
  <c r="EH240" i="72"/>
  <c r="EI240" i="72" s="1"/>
  <c r="EB240" i="72"/>
  <c r="DX240" i="72"/>
  <c r="EA240" i="72"/>
  <c r="DW240" i="72"/>
  <c r="DZ240" i="72"/>
  <c r="DV240" i="72"/>
  <c r="EC240" i="72"/>
  <c r="DY240" i="72"/>
  <c r="DU240" i="72"/>
  <c r="H18" i="41"/>
  <c r="EM18" i="41"/>
  <c r="ED327" i="72"/>
  <c r="EE327" i="72" s="1"/>
  <c r="ED107" i="72"/>
  <c r="EE107" i="72" s="1"/>
  <c r="ED239" i="72"/>
  <c r="EE239" i="72" s="1"/>
  <c r="ED64" i="72"/>
  <c r="EE64" i="72" s="1"/>
  <c r="D13" i="59"/>
  <c r="N96" i="76"/>
  <c r="C114" i="75" s="1"/>
  <c r="N108" i="76"/>
  <c r="CA28" i="40"/>
  <c r="CB28" i="40" s="1"/>
  <c r="N95" i="76"/>
  <c r="C113" i="75" s="1"/>
  <c r="N107" i="76"/>
  <c r="K152" i="72"/>
  <c r="V152" i="72" s="1"/>
  <c r="AG152" i="72" s="1"/>
  <c r="G152" i="72"/>
  <c r="R152" i="72" s="1"/>
  <c r="AC152" i="72" s="1"/>
  <c r="J152" i="72"/>
  <c r="U152" i="72" s="1"/>
  <c r="AF152" i="72" s="1"/>
  <c r="F152" i="72"/>
  <c r="Q152" i="72" s="1"/>
  <c r="AB152" i="72" s="1"/>
  <c r="I152" i="72"/>
  <c r="T152" i="72" s="1"/>
  <c r="AE152" i="72" s="1"/>
  <c r="E152" i="72"/>
  <c r="P152" i="72" s="1"/>
  <c r="H152" i="72"/>
  <c r="S152" i="72" s="1"/>
  <c r="AD152" i="72" s="1"/>
  <c r="D152" i="72"/>
  <c r="O152" i="72" s="1"/>
  <c r="Z152" i="72" s="1"/>
  <c r="K108" i="72"/>
  <c r="V108" i="72" s="1"/>
  <c r="AG108" i="72" s="1"/>
  <c r="G108" i="72"/>
  <c r="R108" i="72" s="1"/>
  <c r="AC108" i="72" s="1"/>
  <c r="J108" i="72"/>
  <c r="U108" i="72" s="1"/>
  <c r="AF108" i="72" s="1"/>
  <c r="F108" i="72"/>
  <c r="Q108" i="72" s="1"/>
  <c r="AB108" i="72" s="1"/>
  <c r="I108" i="72"/>
  <c r="T108" i="72" s="1"/>
  <c r="AE108" i="72" s="1"/>
  <c r="E108" i="72"/>
  <c r="P108" i="72" s="1"/>
  <c r="AA108" i="72" s="1"/>
  <c r="H108" i="72"/>
  <c r="S108" i="72" s="1"/>
  <c r="AD108" i="72" s="1"/>
  <c r="D108" i="72"/>
  <c r="O108" i="72" s="1"/>
  <c r="K196" i="72"/>
  <c r="V196" i="72" s="1"/>
  <c r="AG196" i="72" s="1"/>
  <c r="G196" i="72"/>
  <c r="R196" i="72" s="1"/>
  <c r="AC196" i="72" s="1"/>
  <c r="J196" i="72"/>
  <c r="U196" i="72" s="1"/>
  <c r="AF196" i="72" s="1"/>
  <c r="F196" i="72"/>
  <c r="Q196" i="72" s="1"/>
  <c r="AB196" i="72" s="1"/>
  <c r="I196" i="72"/>
  <c r="T196" i="72" s="1"/>
  <c r="AE196" i="72" s="1"/>
  <c r="E196" i="72"/>
  <c r="P196" i="72" s="1"/>
  <c r="H196" i="72"/>
  <c r="S196" i="72" s="1"/>
  <c r="AD196" i="72" s="1"/>
  <c r="D196" i="72"/>
  <c r="O196" i="72" s="1"/>
  <c r="Z196" i="72" s="1"/>
  <c r="K328" i="72"/>
  <c r="V328" i="72" s="1"/>
  <c r="AG328" i="72" s="1"/>
  <c r="G328" i="72"/>
  <c r="R328" i="72" s="1"/>
  <c r="AC328" i="72" s="1"/>
  <c r="J328" i="72"/>
  <c r="U328" i="72" s="1"/>
  <c r="AF328" i="72" s="1"/>
  <c r="F328" i="72"/>
  <c r="Q328" i="72" s="1"/>
  <c r="AB328" i="72" s="1"/>
  <c r="I328" i="72"/>
  <c r="T328" i="72" s="1"/>
  <c r="AE328" i="72" s="1"/>
  <c r="E328" i="72"/>
  <c r="P328" i="72" s="1"/>
  <c r="H328" i="72"/>
  <c r="S328" i="72" s="1"/>
  <c r="AD328" i="72" s="1"/>
  <c r="D328" i="72"/>
  <c r="O328" i="72" s="1"/>
  <c r="Z328" i="72" s="1"/>
  <c r="K240" i="72"/>
  <c r="V240" i="72" s="1"/>
  <c r="AG240" i="72" s="1"/>
  <c r="G240" i="72"/>
  <c r="R240" i="72" s="1"/>
  <c r="AC240" i="72" s="1"/>
  <c r="J240" i="72"/>
  <c r="U240" i="72" s="1"/>
  <c r="AF240" i="72" s="1"/>
  <c r="F240" i="72"/>
  <c r="Q240" i="72" s="1"/>
  <c r="AB240" i="72" s="1"/>
  <c r="I240" i="72"/>
  <c r="T240" i="72" s="1"/>
  <c r="AE240" i="72" s="1"/>
  <c r="E240" i="72"/>
  <c r="P240" i="72" s="1"/>
  <c r="H240" i="72"/>
  <c r="S240" i="72" s="1"/>
  <c r="AD240" i="72" s="1"/>
  <c r="D240" i="72"/>
  <c r="O240" i="72" s="1"/>
  <c r="Z240" i="72" s="1"/>
  <c r="K20" i="72"/>
  <c r="V20" i="72" s="1"/>
  <c r="AG20" i="72" s="1"/>
  <c r="G20" i="72"/>
  <c r="R20" i="72" s="1"/>
  <c r="AC20" i="72" s="1"/>
  <c r="J20" i="72"/>
  <c r="U20" i="72" s="1"/>
  <c r="AF20" i="72" s="1"/>
  <c r="F20" i="72"/>
  <c r="Q20" i="72" s="1"/>
  <c r="AB20" i="72" s="1"/>
  <c r="I20" i="72"/>
  <c r="T20" i="72" s="1"/>
  <c r="AE20" i="72" s="1"/>
  <c r="E20" i="72"/>
  <c r="P20" i="72" s="1"/>
  <c r="H20" i="72"/>
  <c r="S20" i="72" s="1"/>
  <c r="AD20" i="72" s="1"/>
  <c r="D20" i="72"/>
  <c r="O20" i="72" s="1"/>
  <c r="Z20" i="72" s="1"/>
  <c r="K372" i="72"/>
  <c r="V372" i="72" s="1"/>
  <c r="AG372" i="72" s="1"/>
  <c r="G372" i="72"/>
  <c r="R372" i="72" s="1"/>
  <c r="AC372" i="72" s="1"/>
  <c r="J372" i="72"/>
  <c r="U372" i="72" s="1"/>
  <c r="AF372" i="72" s="1"/>
  <c r="F372" i="72"/>
  <c r="Q372" i="72" s="1"/>
  <c r="AB372" i="72" s="1"/>
  <c r="I372" i="72"/>
  <c r="T372" i="72" s="1"/>
  <c r="AE372" i="72" s="1"/>
  <c r="E372" i="72"/>
  <c r="P372" i="72" s="1"/>
  <c r="H372" i="72"/>
  <c r="S372" i="72" s="1"/>
  <c r="AD372" i="72" s="1"/>
  <c r="D372" i="72"/>
  <c r="O372" i="72" s="1"/>
  <c r="Z372" i="72" s="1"/>
  <c r="K65" i="72"/>
  <c r="V65" i="72" s="1"/>
  <c r="AG65" i="72" s="1"/>
  <c r="G65" i="72"/>
  <c r="R65" i="72" s="1"/>
  <c r="AC65" i="72" s="1"/>
  <c r="J65" i="72"/>
  <c r="U65" i="72" s="1"/>
  <c r="AF65" i="72" s="1"/>
  <c r="F65" i="72"/>
  <c r="Q65" i="72" s="1"/>
  <c r="AB65" i="72" s="1"/>
  <c r="I65" i="72"/>
  <c r="T65" i="72" s="1"/>
  <c r="AE65" i="72" s="1"/>
  <c r="E65" i="72"/>
  <c r="P65" i="72" s="1"/>
  <c r="H65" i="72"/>
  <c r="S65" i="72" s="1"/>
  <c r="AD65" i="72" s="1"/>
  <c r="D65" i="72"/>
  <c r="O65" i="72" s="1"/>
  <c r="Z65" i="72" s="1"/>
  <c r="K284" i="72"/>
  <c r="V284" i="72" s="1"/>
  <c r="AG284" i="72" s="1"/>
  <c r="G284" i="72"/>
  <c r="R284" i="72" s="1"/>
  <c r="AC284" i="72" s="1"/>
  <c r="J284" i="72"/>
  <c r="U284" i="72" s="1"/>
  <c r="AF284" i="72" s="1"/>
  <c r="F284" i="72"/>
  <c r="Q284" i="72" s="1"/>
  <c r="AB284" i="72" s="1"/>
  <c r="I284" i="72"/>
  <c r="T284" i="72" s="1"/>
  <c r="AE284" i="72" s="1"/>
  <c r="E284" i="72"/>
  <c r="P284" i="72" s="1"/>
  <c r="AA284" i="72" s="1"/>
  <c r="H284" i="72"/>
  <c r="S284" i="72" s="1"/>
  <c r="AD284" i="72" s="1"/>
  <c r="D284" i="72"/>
  <c r="O284" i="72" s="1"/>
  <c r="BQ46" i="38"/>
  <c r="AC10" i="40"/>
  <c r="C37" i="75"/>
  <c r="C36" i="75"/>
  <c r="BE10" i="40"/>
  <c r="BH29" i="40" s="1"/>
  <c r="BQ49" i="38"/>
  <c r="AW19" i="41"/>
  <c r="BS28" i="40"/>
  <c r="BT28" i="40" s="1"/>
  <c r="DK420" i="72"/>
  <c r="AM43" i="41"/>
  <c r="BQ28" i="41"/>
  <c r="BZ49" i="38"/>
  <c r="BW52" i="38" s="1"/>
  <c r="AU19" i="42"/>
  <c r="AV19" i="42" s="1"/>
  <c r="AL26" i="40"/>
  <c r="AO48" i="40" s="1"/>
  <c r="Q10" i="41"/>
  <c r="AC10" i="41" s="1"/>
  <c r="AT21" i="40"/>
  <c r="AL24" i="40" s="1"/>
  <c r="AL25" i="40" s="1"/>
  <c r="P21" i="11"/>
  <c r="T21" i="11" s="1"/>
  <c r="BV15" i="42"/>
  <c r="BX15" i="42" s="1"/>
  <c r="AW18" i="41"/>
  <c r="BS13" i="43"/>
  <c r="BT14" i="43"/>
  <c r="BP15" i="43"/>
  <c r="BP13" i="43"/>
  <c r="BR14" i="43"/>
  <c r="BY29" i="41"/>
  <c r="BZ29" i="41" s="1"/>
  <c r="AK16" i="43"/>
  <c r="BP16" i="43"/>
  <c r="CA32" i="40"/>
  <c r="CB32" i="40" s="1"/>
  <c r="P16" i="42"/>
  <c r="D10" i="42"/>
  <c r="BY17" i="42"/>
  <c r="BZ17" i="42" s="1"/>
  <c r="AP46" i="40"/>
  <c r="AQ46" i="40" s="1"/>
  <c r="P36" i="42"/>
  <c r="BS35" i="40"/>
  <c r="BT35" i="40" s="1"/>
  <c r="E11" i="43"/>
  <c r="Q39" i="43" s="1"/>
  <c r="A14" i="13"/>
  <c r="BX21" i="40"/>
  <c r="BQ16" i="43"/>
  <c r="BP14" i="43"/>
  <c r="Q39" i="42"/>
  <c r="P39" i="42"/>
  <c r="BJ45" i="39"/>
  <c r="V84" i="13"/>
  <c r="BW21" i="42"/>
  <c r="BW16" i="43"/>
  <c r="BO19" i="43"/>
  <c r="AS13" i="43"/>
  <c r="AM14" i="43"/>
  <c r="BR15" i="43"/>
  <c r="AN16" i="43"/>
  <c r="AP16" i="43"/>
  <c r="BP19" i="43"/>
  <c r="BS33" i="40"/>
  <c r="BT33" i="40" s="1"/>
  <c r="CA34" i="40"/>
  <c r="CB34" i="40" s="1"/>
  <c r="BO20" i="43"/>
  <c r="BO13" i="43"/>
  <c r="BW15" i="43"/>
  <c r="BU14" i="43"/>
  <c r="BS18" i="43"/>
  <c r="AQ19" i="43"/>
  <c r="AM20" i="43"/>
  <c r="BP20" i="43"/>
  <c r="AS21" i="42"/>
  <c r="BY19" i="42"/>
  <c r="BZ19" i="42" s="1"/>
  <c r="AM46" i="41"/>
  <c r="AO46" i="41" s="1"/>
  <c r="BX15" i="41"/>
  <c r="AS15" i="43"/>
  <c r="AO13" i="43"/>
  <c r="BU15" i="43"/>
  <c r="AP17" i="43"/>
  <c r="BT17" i="43"/>
  <c r="AL19" i="43"/>
  <c r="AO14" i="43"/>
  <c r="AP15" i="43"/>
  <c r="BJ29" i="39"/>
  <c r="BH29" i="39"/>
  <c r="AM41" i="41"/>
  <c r="AO41" i="41" s="1"/>
  <c r="AX18" i="41"/>
  <c r="BX18" i="41"/>
  <c r="AW15" i="41"/>
  <c r="AE12" i="59"/>
  <c r="AW13" i="41"/>
  <c r="AX13" i="41" s="1"/>
  <c r="CA14" i="41"/>
  <c r="CB14" i="41" s="1"/>
  <c r="BY33" i="41"/>
  <c r="BZ33" i="41" s="1"/>
  <c r="CA33" i="41" s="1"/>
  <c r="CB33" i="41" s="1"/>
  <c r="DP8" i="14"/>
  <c r="AX15" i="41"/>
  <c r="AM44" i="41"/>
  <c r="AO44" i="41" s="1"/>
  <c r="BQ29" i="41"/>
  <c r="BR29" i="41" s="1"/>
  <c r="DP17" i="14"/>
  <c r="AR19" i="42"/>
  <c r="AT19" i="42" s="1"/>
  <c r="AP41" i="40"/>
  <c r="AQ41" i="40" s="1"/>
  <c r="BY46" i="38"/>
  <c r="BV18" i="42"/>
  <c r="BX18" i="42" s="1"/>
  <c r="AR16" i="42"/>
  <c r="AT16" i="42" s="1"/>
  <c r="BY15" i="42"/>
  <c r="BZ15" i="42" s="1"/>
  <c r="BV17" i="42"/>
  <c r="AR17" i="42"/>
  <c r="AT17" i="42" s="1"/>
  <c r="AR14" i="42"/>
  <c r="AM40" i="42" s="1"/>
  <c r="AR15" i="42"/>
  <c r="AW15" i="42" s="1"/>
  <c r="CA33" i="40"/>
  <c r="CB33" i="40" s="1"/>
  <c r="CA35" i="40"/>
  <c r="CB35" i="40" s="1"/>
  <c r="AD12" i="59"/>
  <c r="CA13" i="41"/>
  <c r="CB13" i="41" s="1"/>
  <c r="CA28" i="41" s="1"/>
  <c r="AW14" i="41"/>
  <c r="AX14" i="41" s="1"/>
  <c r="AU14" i="42"/>
  <c r="AV14" i="42" s="1"/>
  <c r="AW21" i="40"/>
  <c r="AX21" i="40" s="1"/>
  <c r="BY18" i="42"/>
  <c r="BZ18" i="42" s="1"/>
  <c r="AM40" i="41"/>
  <c r="AW17" i="41"/>
  <c r="AX17" i="41" s="1"/>
  <c r="AR20" i="42"/>
  <c r="AT20" i="42" s="1"/>
  <c r="BY14" i="42"/>
  <c r="BZ14" i="42" s="1"/>
  <c r="BP21" i="42"/>
  <c r="BP11" i="42" s="1"/>
  <c r="BP10" i="42" s="1"/>
  <c r="BW54" i="37"/>
  <c r="BJ53" i="37" s="1"/>
  <c r="GQ6" i="34" s="1"/>
  <c r="DP18" i="13"/>
  <c r="AG42" i="74" s="1"/>
  <c r="P22" i="12"/>
  <c r="T22" i="12" s="1"/>
  <c r="BW52" i="37"/>
  <c r="BJ61" i="37" s="1"/>
  <c r="GR6" i="34" s="1"/>
  <c r="DM29" i="12"/>
  <c r="BJ13" i="59" s="1"/>
  <c r="AI83" i="40"/>
  <c r="AT5" i="44"/>
  <c r="BS16" i="44" s="1"/>
  <c r="V91" i="12"/>
  <c r="BT39" i="39"/>
  <c r="BQ46" i="39" s="1"/>
  <c r="BY16" i="42"/>
  <c r="BZ16" i="42" s="1"/>
  <c r="DK39" i="12"/>
  <c r="BL13" i="59"/>
  <c r="Q83" i="12"/>
  <c r="M28" i="51" s="1"/>
  <c r="BZ94" i="12"/>
  <c r="M16" i="51" s="1"/>
  <c r="BQ21" i="42"/>
  <c r="BQ11" i="42" s="1"/>
  <c r="BQ10" i="42" s="1"/>
  <c r="BY13" i="42"/>
  <c r="BZ13" i="42" s="1"/>
  <c r="BV20" i="42"/>
  <c r="BX20" i="42" s="1"/>
  <c r="AU15" i="42"/>
  <c r="AV15" i="42" s="1"/>
  <c r="AU17" i="42"/>
  <c r="AV17" i="42" s="1"/>
  <c r="AR18" i="42"/>
  <c r="AT18" i="42" s="1"/>
  <c r="AR13" i="42"/>
  <c r="AT13" i="42" s="1"/>
  <c r="BV19" i="42"/>
  <c r="BX19" i="42" s="1"/>
  <c r="AU18" i="42"/>
  <c r="AV18" i="42" s="1"/>
  <c r="AU13" i="42"/>
  <c r="AV13" i="42" s="1"/>
  <c r="BQ31" i="41"/>
  <c r="BR31" i="41" s="1"/>
  <c r="AK12" i="59"/>
  <c r="BS30" i="40"/>
  <c r="BT30" i="40" s="1"/>
  <c r="AP21" i="42"/>
  <c r="AP11" i="42" s="1"/>
  <c r="AP10" i="42" s="1"/>
  <c r="BU21" i="42"/>
  <c r="BU11" i="42" s="1"/>
  <c r="BU10" i="42" s="1"/>
  <c r="Q36" i="42"/>
  <c r="BJ20" i="13"/>
  <c r="A417" i="72" s="1"/>
  <c r="AQ21" i="42"/>
  <c r="AQ11" i="42" s="1"/>
  <c r="AQ10" i="42" s="1"/>
  <c r="AO21" i="42"/>
  <c r="AO11" i="42" s="1"/>
  <c r="AO10" i="42" s="1"/>
  <c r="AU20" i="42"/>
  <c r="AV20" i="42" s="1"/>
  <c r="BR21" i="42"/>
  <c r="BR11" i="42" s="1"/>
  <c r="BR10" i="42" s="1"/>
  <c r="BY20" i="42"/>
  <c r="BZ20" i="42" s="1"/>
  <c r="AK21" i="42"/>
  <c r="AK11" i="42" s="1"/>
  <c r="AK10" i="42" s="1"/>
  <c r="AL21" i="42"/>
  <c r="AL11" i="42" s="1"/>
  <c r="AL10" i="42" s="1"/>
  <c r="BS21" i="42"/>
  <c r="BS11" i="42" s="1"/>
  <c r="BS10" i="42" s="1"/>
  <c r="BT21" i="42"/>
  <c r="BT11" i="42" s="1"/>
  <c r="BT10" i="42" s="1"/>
  <c r="AN21" i="42"/>
  <c r="AN11" i="42" s="1"/>
  <c r="AN10" i="42" s="1"/>
  <c r="AM21" i="42"/>
  <c r="AM11" i="42" s="1"/>
  <c r="AM10" i="42" s="1"/>
  <c r="BV16" i="42"/>
  <c r="BX16" i="42" s="1"/>
  <c r="AU16" i="42"/>
  <c r="AV16" i="42" s="1"/>
  <c r="BV13" i="42"/>
  <c r="BX13" i="42" s="1"/>
  <c r="BV14" i="42"/>
  <c r="BX14" i="42" s="1"/>
  <c r="W11" i="42"/>
  <c r="BO21" i="42"/>
  <c r="BO11" i="42" s="1"/>
  <c r="BO10" i="42" s="1"/>
  <c r="CA21" i="40"/>
  <c r="CB21" i="40" s="1"/>
  <c r="BT41" i="39"/>
  <c r="BR49" i="39" s="1"/>
  <c r="FN50" i="13"/>
  <c r="AW16" i="41"/>
  <c r="AX16" i="41" s="1"/>
  <c r="DK431" i="72"/>
  <c r="FN34" i="13"/>
  <c r="DK447" i="72"/>
  <c r="DK446" i="72"/>
  <c r="AF12" i="59"/>
  <c r="CA15" i="41"/>
  <c r="BQ34" i="41"/>
  <c r="BR34" i="41" s="1"/>
  <c r="CB39" i="39"/>
  <c r="BZ46" i="39" s="1"/>
  <c r="DP3" i="14"/>
  <c r="CB41" i="39"/>
  <c r="BY49" i="39" s="1"/>
  <c r="AM42" i="41"/>
  <c r="AI12" i="59"/>
  <c r="CA30" i="40"/>
  <c r="CB30" i="40" s="1"/>
  <c r="CA18" i="41"/>
  <c r="FN35" i="13"/>
  <c r="DK430" i="72"/>
  <c r="BQ32" i="41"/>
  <c r="BR32" i="41" s="1"/>
  <c r="AX20" i="41"/>
  <c r="AG12" i="59"/>
  <c r="BN20" i="14"/>
  <c r="BN21" i="14" s="1"/>
  <c r="DP2" i="14"/>
  <c r="Y15" i="14" s="1"/>
  <c r="DP16" i="14"/>
  <c r="DP5" i="14"/>
  <c r="BY32" i="41"/>
  <c r="BZ32" i="41" s="1"/>
  <c r="CA17" i="41"/>
  <c r="CB17" i="41" s="1"/>
  <c r="AM39" i="41"/>
  <c r="BY31" i="41"/>
  <c r="BZ31" i="41" s="1"/>
  <c r="BV21" i="41"/>
  <c r="BQ35" i="41"/>
  <c r="BR35" i="41" s="1"/>
  <c r="AH12" i="59"/>
  <c r="AW20" i="41"/>
  <c r="AR21" i="41"/>
  <c r="CA16" i="41"/>
  <c r="CB16" i="41" s="1"/>
  <c r="BY35" i="41"/>
  <c r="BZ35" i="41" s="1"/>
  <c r="CA20" i="41"/>
  <c r="DP12" i="14"/>
  <c r="N15" i="14" s="1"/>
  <c r="DP9" i="14"/>
  <c r="I14" i="14" s="1"/>
  <c r="DP11" i="14"/>
  <c r="AL14" i="14" s="1"/>
  <c r="DP19" i="14"/>
  <c r="AE129" i="14" s="1"/>
  <c r="BY34" i="41"/>
  <c r="BZ34" i="41" s="1"/>
  <c r="BY30" i="41"/>
  <c r="BZ30" i="41" s="1"/>
  <c r="CA30" i="41" s="1"/>
  <c r="CB30" i="41" s="1"/>
  <c r="CA19" i="41"/>
  <c r="BQ30" i="41"/>
  <c r="BR30" i="41" s="1"/>
  <c r="BS30" i="41" s="1"/>
  <c r="BT30" i="41" s="1"/>
  <c r="CB20" i="41"/>
  <c r="DP7" i="14"/>
  <c r="AE123" i="14" s="1"/>
  <c r="HK16" i="14" s="1"/>
  <c r="DP13" i="14"/>
  <c r="U15" i="59" s="1"/>
  <c r="CB19" i="41"/>
  <c r="AJ12" i="59"/>
  <c r="AN13" i="43"/>
  <c r="BO16" i="43"/>
  <c r="BW20" i="43"/>
  <c r="BQ13" i="43"/>
  <c r="BT13" i="43"/>
  <c r="BO18" i="43"/>
  <c r="AQ13" i="43"/>
  <c r="BO14" i="43"/>
  <c r="AS14" i="43"/>
  <c r="AS20" i="43"/>
  <c r="BW14" i="43"/>
  <c r="AN17" i="43"/>
  <c r="AP20" i="43"/>
  <c r="BT15" i="43"/>
  <c r="AL20" i="43"/>
  <c r="BU17" i="43"/>
  <c r="BS20" i="43"/>
  <c r="AL18" i="43"/>
  <c r="AM16" i="43"/>
  <c r="AN19" i="43"/>
  <c r="BQ19" i="43"/>
  <c r="R3" i="43"/>
  <c r="AQ15" i="43"/>
  <c r="AN20" i="43"/>
  <c r="BS19" i="43"/>
  <c r="AO19" i="43"/>
  <c r="AL16" i="43"/>
  <c r="BU16" i="43"/>
  <c r="BQ18" i="43"/>
  <c r="AM15" i="43"/>
  <c r="BP18" i="43"/>
  <c r="AP18" i="43"/>
  <c r="AK14" i="43"/>
  <c r="AS18" i="43"/>
  <c r="AK20" i="43"/>
  <c r="BW19" i="43"/>
  <c r="AP13" i="43"/>
  <c r="AL13" i="43"/>
  <c r="AK19" i="43"/>
  <c r="BU13" i="43"/>
  <c r="AS17" i="43"/>
  <c r="AK13" i="43"/>
  <c r="BW18" i="43"/>
  <c r="BK3" i="43"/>
  <c r="AM14" i="59" s="1"/>
  <c r="AO20" i="43"/>
  <c r="AO17" i="43"/>
  <c r="BU19" i="43"/>
  <c r="BS16" i="43"/>
  <c r="AM18" i="43"/>
  <c r="BR20" i="43"/>
  <c r="BX5" i="43"/>
  <c r="AN14" i="43"/>
  <c r="AL15" i="43"/>
  <c r="AL17" i="43"/>
  <c r="BT20" i="43"/>
  <c r="BS15" i="43"/>
  <c r="BS14" i="43"/>
  <c r="BS17" i="43"/>
  <c r="BR19" i="43"/>
  <c r="BR16" i="43"/>
  <c r="BT16" i="43"/>
  <c r="BU20" i="43"/>
  <c r="BR17" i="43"/>
  <c r="AP14" i="43"/>
  <c r="AO18" i="43"/>
  <c r="AK17" i="43"/>
  <c r="AK18" i="43"/>
  <c r="BO17" i="43"/>
  <c r="AS19" i="43"/>
  <c r="BR13" i="43"/>
  <c r="BO15" i="43"/>
  <c r="AK15" i="43"/>
  <c r="AM13" i="43"/>
  <c r="AS16" i="43"/>
  <c r="BW13" i="43"/>
  <c r="BW17" i="43"/>
  <c r="BT18" i="43"/>
  <c r="BR18" i="43"/>
  <c r="AL14" i="43"/>
  <c r="AO16" i="43"/>
  <c r="BQ14" i="43"/>
  <c r="AQ20" i="43"/>
  <c r="AQ17" i="43"/>
  <c r="AQ14" i="43"/>
  <c r="AQ16" i="43"/>
  <c r="BQ15" i="43"/>
  <c r="AP19" i="43"/>
  <c r="BU18" i="43"/>
  <c r="BT19" i="43"/>
  <c r="AM17" i="43"/>
  <c r="AQ18" i="43"/>
  <c r="BP17" i="43"/>
  <c r="BQ17" i="43"/>
  <c r="AN15" i="43"/>
  <c r="AM19" i="43"/>
  <c r="AO15" i="43"/>
  <c r="BQ20" i="43"/>
  <c r="AC120" i="58"/>
  <c r="AB120" i="58"/>
  <c r="AB123" i="58"/>
  <c r="AC123" i="58"/>
  <c r="AB31" i="58"/>
  <c r="AC31" i="58"/>
  <c r="AB34" i="58"/>
  <c r="AC34" i="58"/>
  <c r="BZ21" i="41"/>
  <c r="AG92" i="74"/>
  <c r="FN26" i="13"/>
  <c r="FN42" i="13"/>
  <c r="FN27" i="13"/>
  <c r="FN43" i="13"/>
  <c r="DK439" i="72"/>
  <c r="DK423" i="72"/>
  <c r="DK438" i="72"/>
  <c r="DK422" i="72"/>
  <c r="V83" i="13"/>
  <c r="T30" i="13"/>
  <c r="DC11" i="34"/>
  <c r="AI87" i="39"/>
  <c r="FN30" i="13"/>
  <c r="FN46" i="13"/>
  <c r="FN31" i="13"/>
  <c r="FN47" i="13"/>
  <c r="DK435" i="72"/>
  <c r="DK419" i="72"/>
  <c r="DK434" i="72"/>
  <c r="DK418" i="72"/>
  <c r="DP15" i="13"/>
  <c r="Y14" i="59" s="1"/>
  <c r="Z14" i="59"/>
  <c r="FN22" i="13"/>
  <c r="FN38" i="13"/>
  <c r="FN23" i="13"/>
  <c r="FN39" i="13"/>
  <c r="DK443" i="72"/>
  <c r="DK427" i="72"/>
  <c r="DK442" i="72"/>
  <c r="DK426" i="72"/>
  <c r="DK26" i="12"/>
  <c r="BZ79" i="12" s="1"/>
  <c r="M9" i="51" s="1"/>
  <c r="FN20" i="13"/>
  <c r="FN24" i="13"/>
  <c r="FN28" i="13"/>
  <c r="FN32" i="13"/>
  <c r="FN36" i="13"/>
  <c r="FN40" i="13"/>
  <c r="FN44" i="13"/>
  <c r="FN48" i="13"/>
  <c r="FN21" i="13"/>
  <c r="FN25" i="13"/>
  <c r="FN29" i="13"/>
  <c r="FN33" i="13"/>
  <c r="FN37" i="13"/>
  <c r="FN41" i="13"/>
  <c r="FN45" i="13"/>
  <c r="FN49" i="13"/>
  <c r="DK445" i="72"/>
  <c r="DK441" i="72"/>
  <c r="DK437" i="72"/>
  <c r="DK433" i="72"/>
  <c r="DK429" i="72"/>
  <c r="DK425" i="72"/>
  <c r="DK421" i="72"/>
  <c r="DK417" i="72"/>
  <c r="DK444" i="72"/>
  <c r="DK440" i="72"/>
  <c r="DK436" i="72"/>
  <c r="DK432" i="72"/>
  <c r="DK428" i="72"/>
  <c r="DK424" i="72"/>
  <c r="BQ33" i="41"/>
  <c r="BR33" i="41" s="1"/>
  <c r="BS33" i="41" s="1"/>
  <c r="BT33" i="41" s="1"/>
  <c r="AO48" i="39"/>
  <c r="AI79" i="39"/>
  <c r="AV21" i="41"/>
  <c r="AL27" i="41" s="1"/>
  <c r="AL26" i="41"/>
  <c r="BB12" i="59"/>
  <c r="K17" i="51"/>
  <c r="ER21" i="6"/>
  <c r="EU21" i="6"/>
  <c r="BB106" i="72"/>
  <c r="BG106" i="72"/>
  <c r="BN25" i="10"/>
  <c r="BJ24" i="10"/>
  <c r="BA26" i="18"/>
  <c r="L107" i="72"/>
  <c r="M107" i="72" s="1"/>
  <c r="BN27" i="8"/>
  <c r="BJ26" i="8"/>
  <c r="BF149" i="72"/>
  <c r="BC149" i="72"/>
  <c r="BD149" i="72" s="1"/>
  <c r="AM149" i="72" s="1"/>
  <c r="AP149" i="72" s="1"/>
  <c r="Q82" i="13"/>
  <c r="L27" i="51" s="1"/>
  <c r="BA14" i="59"/>
  <c r="AT99" i="13"/>
  <c r="AU98" i="13"/>
  <c r="W10" i="43"/>
  <c r="I25" i="35"/>
  <c r="BF193" i="72"/>
  <c r="BC193" i="72"/>
  <c r="BD193" i="72" s="1"/>
  <c r="A20" i="41"/>
  <c r="FB22" i="11"/>
  <c r="BH22" i="11" s="1"/>
  <c r="A329" i="72"/>
  <c r="FB21" i="12"/>
  <c r="BH21" i="12" s="1"/>
  <c r="A241" i="72"/>
  <c r="FB24" i="9"/>
  <c r="BH24" i="9" s="1"/>
  <c r="A22" i="39"/>
  <c r="BC237" i="72"/>
  <c r="BD237" i="72" s="1"/>
  <c r="AM237" i="72" s="1"/>
  <c r="AP237" i="72" s="1"/>
  <c r="BF237" i="72"/>
  <c r="L195" i="72"/>
  <c r="M195" i="72" s="1"/>
  <c r="A66" i="72"/>
  <c r="FB29" i="5"/>
  <c r="BH29" i="5" s="1"/>
  <c r="A27" i="35"/>
  <c r="BC105" i="72"/>
  <c r="BD105" i="72" s="1"/>
  <c r="AM105" i="72" s="1"/>
  <c r="AP105" i="72" s="1"/>
  <c r="BF105" i="72"/>
  <c r="DP3" i="15"/>
  <c r="DP17" i="15"/>
  <c r="DP16" i="15"/>
  <c r="DP19" i="15"/>
  <c r="DP5" i="15"/>
  <c r="DP2" i="15"/>
  <c r="Y15" i="15" s="1"/>
  <c r="DP7" i="15"/>
  <c r="AE123" i="15" s="1"/>
  <c r="DP9" i="15"/>
  <c r="I14" i="15" s="1"/>
  <c r="DP11" i="15"/>
  <c r="DP12" i="15"/>
  <c r="DP8" i="15"/>
  <c r="DP10" i="15"/>
  <c r="U14" i="15" s="1"/>
  <c r="DP13" i="15"/>
  <c r="BN20" i="15"/>
  <c r="AT5" i="45"/>
  <c r="BA26" i="35"/>
  <c r="ER20" i="7"/>
  <c r="BB194" i="72"/>
  <c r="BG194" i="72"/>
  <c r="P21" i="12"/>
  <c r="T21" i="12" s="1"/>
  <c r="Q10" i="42"/>
  <c r="BN31" i="4"/>
  <c r="BJ30" i="4"/>
  <c r="BA22" i="38"/>
  <c r="AL15" i="13"/>
  <c r="AL22" i="43"/>
  <c r="AG91" i="74"/>
  <c r="P22" i="13"/>
  <c r="T22" i="13" s="1"/>
  <c r="BJ10" i="43"/>
  <c r="BJ11" i="43" s="1"/>
  <c r="AL14" i="59" s="1"/>
  <c r="L64" i="72"/>
  <c r="M64" i="72" s="1"/>
  <c r="EU20" i="8"/>
  <c r="BA19" i="41"/>
  <c r="BA18" i="42"/>
  <c r="BA21" i="39"/>
  <c r="A24" i="37"/>
  <c r="FB26" i="7"/>
  <c r="BH26" i="7" s="1"/>
  <c r="A153" i="72"/>
  <c r="A109" i="72"/>
  <c r="A25" i="36"/>
  <c r="FB27" i="6"/>
  <c r="BH27" i="6" s="1"/>
  <c r="AY106" i="72"/>
  <c r="BG150" i="72"/>
  <c r="BB150" i="72"/>
  <c r="AY150" i="72"/>
  <c r="A21" i="40"/>
  <c r="FB23" i="10"/>
  <c r="BH23" i="10" s="1"/>
  <c r="A285" i="72"/>
  <c r="I20" i="39"/>
  <c r="L239" i="72"/>
  <c r="M239" i="72" s="1"/>
  <c r="ER23" i="5"/>
  <c r="A23" i="38"/>
  <c r="A197" i="72"/>
  <c r="FB25" i="8"/>
  <c r="BH25" i="8" s="1"/>
  <c r="W14" i="40"/>
  <c r="BN24" i="11"/>
  <c r="BJ23" i="11"/>
  <c r="BN23" i="12"/>
  <c r="BJ22" i="12"/>
  <c r="BJ25" i="9"/>
  <c r="BN26" i="9"/>
  <c r="I25" i="18"/>
  <c r="BA23" i="37"/>
  <c r="J23" i="37"/>
  <c r="BA24" i="36"/>
  <c r="BJ30" i="5"/>
  <c r="BN31" i="5"/>
  <c r="L327" i="72"/>
  <c r="M327" i="72" s="1"/>
  <c r="AY194" i="72"/>
  <c r="BA20" i="40"/>
  <c r="K19" i="37"/>
  <c r="L19" i="37" s="1"/>
  <c r="E19" i="37" s="1"/>
  <c r="D58" i="37" s="1"/>
  <c r="Q11" i="42"/>
  <c r="AY63" i="72"/>
  <c r="BB63" i="72"/>
  <c r="BG63" i="72"/>
  <c r="FB29" i="4"/>
  <c r="BH29" i="4" s="1"/>
  <c r="A27" i="18"/>
  <c r="A21" i="72"/>
  <c r="L151" i="72"/>
  <c r="M151" i="72" s="1"/>
  <c r="I22" i="37"/>
  <c r="I23" i="36"/>
  <c r="BF62" i="72"/>
  <c r="BC62" i="72"/>
  <c r="BD62" i="72" s="1"/>
  <c r="AM62" i="72" s="1"/>
  <c r="AP62" i="72" s="1"/>
  <c r="J22" i="38"/>
  <c r="W13" i="40"/>
  <c r="K22" i="35"/>
  <c r="L22" i="35" s="1"/>
  <c r="E22" i="35" s="1"/>
  <c r="D61" i="35" s="1"/>
  <c r="BN22" i="13"/>
  <c r="BJ21" i="13"/>
  <c r="K18" i="38"/>
  <c r="L18" i="38" s="1"/>
  <c r="E18" i="38" s="1"/>
  <c r="D57" i="38" s="1"/>
  <c r="I19" i="40"/>
  <c r="L283" i="72"/>
  <c r="M283" i="72" s="1"/>
  <c r="BN28" i="7"/>
  <c r="BJ27" i="7"/>
  <c r="BN29" i="6"/>
  <c r="BJ28" i="6"/>
  <c r="K20" i="36"/>
  <c r="L20" i="36" s="1"/>
  <c r="E20" i="36" s="1"/>
  <c r="D59" i="36" s="1"/>
  <c r="AQ237" i="72"/>
  <c r="BG282" i="72"/>
  <c r="BB282" i="72"/>
  <c r="AY282" i="72"/>
  <c r="GV6" i="34" l="1"/>
  <c r="T28" i="7" s="1"/>
  <c r="J26" i="35"/>
  <c r="D118" i="77"/>
  <c r="D130" i="77"/>
  <c r="C120" i="77"/>
  <c r="C132" i="77"/>
  <c r="T32" i="15"/>
  <c r="T32" i="14"/>
  <c r="AL91" i="14" s="1"/>
  <c r="N120" i="76"/>
  <c r="C25" i="75" s="1"/>
  <c r="N132" i="76"/>
  <c r="J20" i="40"/>
  <c r="A373" i="72"/>
  <c r="AL28" i="40"/>
  <c r="AI87" i="40" s="1"/>
  <c r="AB9" i="59"/>
  <c r="GT7" i="34"/>
  <c r="GU6" i="34"/>
  <c r="T27" i="7"/>
  <c r="AC11" i="41"/>
  <c r="A14" i="14"/>
  <c r="CA18" i="42"/>
  <c r="AW17" i="42"/>
  <c r="FB20" i="13"/>
  <c r="BH20" i="13" s="1"/>
  <c r="GC20" i="13" s="1"/>
  <c r="FX282" i="34" s="1"/>
  <c r="BG238" i="72"/>
  <c r="BB238" i="72"/>
  <c r="BF238" i="72" s="1"/>
  <c r="AY238" i="72"/>
  <c r="BZ72" i="14"/>
  <c r="CI15" i="59"/>
  <c r="T18" i="13"/>
  <c r="BY33" i="42"/>
  <c r="BZ33" i="42" s="1"/>
  <c r="AI13" i="59"/>
  <c r="BQ33" i="42"/>
  <c r="BR33" i="42" s="1"/>
  <c r="CB18" i="42"/>
  <c r="J26" i="18"/>
  <c r="BZ72" i="15"/>
  <c r="AX19" i="42"/>
  <c r="AX17" i="42"/>
  <c r="A20" i="15"/>
  <c r="A19" i="15"/>
  <c r="AM43" i="42"/>
  <c r="A19" i="14"/>
  <c r="A20" i="14"/>
  <c r="J21" i="39"/>
  <c r="BJ61" i="38"/>
  <c r="GR7" i="34" s="1"/>
  <c r="GV7" i="34" s="1"/>
  <c r="T28" i="8" s="1"/>
  <c r="P18" i="14"/>
  <c r="P19" i="14"/>
  <c r="P20" i="14"/>
  <c r="T19" i="13"/>
  <c r="E11" i="44"/>
  <c r="D10" i="44" s="1"/>
  <c r="EO12" i="14"/>
  <c r="L19" i="14"/>
  <c r="A18" i="14"/>
  <c r="L18" i="14" s="1"/>
  <c r="EO12" i="15"/>
  <c r="L19" i="15"/>
  <c r="A18" i="15"/>
  <c r="L18" i="15" s="1"/>
  <c r="L18" i="51"/>
  <c r="J24" i="36"/>
  <c r="AT15" i="42"/>
  <c r="J19" i="41"/>
  <c r="J18" i="42"/>
  <c r="L20" i="51"/>
  <c r="BP14" i="59"/>
  <c r="CI16" i="59"/>
  <c r="B34" i="15"/>
  <c r="T34" i="14"/>
  <c r="DP25" i="14" s="1"/>
  <c r="CO15" i="59" s="1"/>
  <c r="CL15" i="59"/>
  <c r="BZ102" i="14"/>
  <c r="BZ98" i="14"/>
  <c r="K18" i="51" s="1"/>
  <c r="BW20" i="44"/>
  <c r="AL20" i="44"/>
  <c r="BU17" i="44"/>
  <c r="BW17" i="44"/>
  <c r="AO15" i="44"/>
  <c r="AM19" i="44"/>
  <c r="AX15" i="42"/>
  <c r="BO14" i="44"/>
  <c r="AQ13" i="44"/>
  <c r="BQ16" i="44"/>
  <c r="AQ15" i="44"/>
  <c r="BU18" i="44"/>
  <c r="AN20" i="44"/>
  <c r="AO19" i="44"/>
  <c r="AF13" i="59"/>
  <c r="BU13" i="44"/>
  <c r="BW19" i="44"/>
  <c r="AP20" i="44"/>
  <c r="AP17" i="44"/>
  <c r="BQ15" i="44"/>
  <c r="AQ20" i="44"/>
  <c r="AH13" i="59"/>
  <c r="BW14" i="44"/>
  <c r="AK13" i="44"/>
  <c r="AO17" i="44"/>
  <c r="AQ19" i="44"/>
  <c r="BQ18" i="44"/>
  <c r="BR16" i="44"/>
  <c r="CA15" i="42"/>
  <c r="BQ32" i="42"/>
  <c r="BR32" i="42" s="1"/>
  <c r="BO13" i="44"/>
  <c r="BR13" i="44"/>
  <c r="AS19" i="44"/>
  <c r="BW16" i="44"/>
  <c r="BO18" i="44"/>
  <c r="BO19" i="44"/>
  <c r="BK3" i="44"/>
  <c r="AM15" i="59" s="1"/>
  <c r="AS18" i="44"/>
  <c r="BT15" i="44"/>
  <c r="BU19" i="44"/>
  <c r="AN18" i="44"/>
  <c r="BU16" i="44"/>
  <c r="BR19" i="44"/>
  <c r="AN19" i="44"/>
  <c r="AP14" i="44"/>
  <c r="BP20" i="44"/>
  <c r="BT18" i="44"/>
  <c r="BP16" i="44"/>
  <c r="BT16" i="44"/>
  <c r="AO14" i="44"/>
  <c r="BS20" i="44"/>
  <c r="AL19" i="44"/>
  <c r="AQ18" i="44"/>
  <c r="BX5" i="44"/>
  <c r="AL13" i="44"/>
  <c r="BP13" i="44"/>
  <c r="BW13" i="44"/>
  <c r="BO17" i="44"/>
  <c r="AM20" i="44"/>
  <c r="AO18" i="44"/>
  <c r="BQ14" i="44"/>
  <c r="BS15" i="44"/>
  <c r="AN16" i="44"/>
  <c r="AL16" i="44"/>
  <c r="AP15" i="44"/>
  <c r="AE13" i="59"/>
  <c r="BQ30" i="42"/>
  <c r="BR30" i="42" s="1"/>
  <c r="CA17" i="42"/>
  <c r="CB17" i="42" s="1"/>
  <c r="AN13" i="44"/>
  <c r="AK16" i="44"/>
  <c r="BO15" i="44"/>
  <c r="AK15" i="44"/>
  <c r="BW15" i="44"/>
  <c r="BT14" i="44"/>
  <c r="AM17" i="44"/>
  <c r="AQ17" i="44"/>
  <c r="AN15" i="44"/>
  <c r="BR15" i="44"/>
  <c r="AM14" i="44"/>
  <c r="AN14" i="44"/>
  <c r="AQ14" i="44"/>
  <c r="BS18" i="44"/>
  <c r="BY30" i="42"/>
  <c r="BZ30" i="42" s="1"/>
  <c r="BY32" i="42"/>
  <c r="BZ32" i="42" s="1"/>
  <c r="BO16" i="44"/>
  <c r="BQ13" i="44"/>
  <c r="AO13" i="44"/>
  <c r="AK18" i="44"/>
  <c r="BS13" i="44"/>
  <c r="AK17" i="44"/>
  <c r="AK20" i="44"/>
  <c r="AS20" i="44"/>
  <c r="AS17" i="44"/>
  <c r="AM15" i="44"/>
  <c r="AP18" i="44"/>
  <c r="BR14" i="44"/>
  <c r="AQ16" i="44"/>
  <c r="AM16" i="44"/>
  <c r="BS19" i="44"/>
  <c r="AP19" i="44"/>
  <c r="BP15" i="44"/>
  <c r="BS14" i="44"/>
  <c r="BQ20" i="44"/>
  <c r="AL17" i="44"/>
  <c r="BP19" i="44"/>
  <c r="BT19" i="44"/>
  <c r="BU15" i="44"/>
  <c r="BT17" i="44"/>
  <c r="BT20" i="44"/>
  <c r="BJ20" i="14"/>
  <c r="A18" i="44" s="1"/>
  <c r="GC29" i="5"/>
  <c r="FX43" i="34" s="1"/>
  <c r="GC29" i="4"/>
  <c r="FX12" i="34" s="1"/>
  <c r="BX17" i="42"/>
  <c r="BX21" i="42" s="1"/>
  <c r="GC25" i="8"/>
  <c r="FX132" i="34" s="1"/>
  <c r="CB15" i="42"/>
  <c r="GC27" i="6"/>
  <c r="FX72" i="34" s="1"/>
  <c r="GC26" i="7"/>
  <c r="FX102" i="34" s="1"/>
  <c r="BO20" i="44"/>
  <c r="AM13" i="44"/>
  <c r="BT13" i="44"/>
  <c r="AK19" i="44"/>
  <c r="AS14" i="44"/>
  <c r="AP13" i="44"/>
  <c r="AK14" i="44"/>
  <c r="AS16" i="44"/>
  <c r="AS13" i="44"/>
  <c r="BW18" i="44"/>
  <c r="AS15" i="44"/>
  <c r="BQ17" i="44"/>
  <c r="BR17" i="44"/>
  <c r="AM18" i="44"/>
  <c r="BU14" i="44"/>
  <c r="AO20" i="44"/>
  <c r="AO16" i="44"/>
  <c r="AN17" i="44"/>
  <c r="BP14" i="44"/>
  <c r="AL15" i="44"/>
  <c r="AP16" i="44"/>
  <c r="R3" i="44"/>
  <c r="BR18" i="44"/>
  <c r="AL14" i="44"/>
  <c r="BR20" i="44"/>
  <c r="BP18" i="44"/>
  <c r="AL18" i="44"/>
  <c r="BU20" i="44"/>
  <c r="BP17" i="44"/>
  <c r="BS17" i="44"/>
  <c r="BQ19" i="44"/>
  <c r="GC21" i="12"/>
  <c r="FX252" i="34" s="1"/>
  <c r="GC22" i="11"/>
  <c r="FX222" i="34" s="1"/>
  <c r="GC23" i="10"/>
  <c r="FX192" i="34" s="1"/>
  <c r="GC24" i="9"/>
  <c r="FX162" i="34" s="1"/>
  <c r="AX20" i="42"/>
  <c r="BQ28" i="42"/>
  <c r="BR28" i="42" s="1"/>
  <c r="AM46" i="42"/>
  <c r="AO46" i="42" s="1"/>
  <c r="AW20" i="42"/>
  <c r="AM41" i="42"/>
  <c r="AO41" i="42" s="1"/>
  <c r="C42" i="75"/>
  <c r="C41" i="75"/>
  <c r="AI195" i="72"/>
  <c r="AQ195" i="72" s="1"/>
  <c r="AI327" i="72"/>
  <c r="AI151" i="72"/>
  <c r="AQ151" i="72" s="1"/>
  <c r="AI64" i="72"/>
  <c r="AQ64" i="72" s="1"/>
  <c r="AI19" i="72"/>
  <c r="AI283" i="72"/>
  <c r="AQ283" i="72" s="1"/>
  <c r="AI239" i="72"/>
  <c r="W284" i="72"/>
  <c r="X284" i="72" s="1"/>
  <c r="Z284" i="72"/>
  <c r="W108" i="72"/>
  <c r="X108" i="72" s="1"/>
  <c r="Z108" i="72"/>
  <c r="AI107" i="72"/>
  <c r="AQ107" i="72" s="1"/>
  <c r="AA65" i="72"/>
  <c r="W65" i="72"/>
  <c r="X65" i="72" s="1"/>
  <c r="AA372" i="72"/>
  <c r="W372" i="72"/>
  <c r="X372" i="72" s="1"/>
  <c r="AA20" i="72"/>
  <c r="W20" i="72"/>
  <c r="X20" i="72" s="1"/>
  <c r="W240" i="72"/>
  <c r="X240" i="72" s="1"/>
  <c r="AA240" i="72"/>
  <c r="W328" i="72"/>
  <c r="X328" i="72" s="1"/>
  <c r="AA328" i="72"/>
  <c r="AA196" i="72"/>
  <c r="W196" i="72"/>
  <c r="X196" i="72" s="1"/>
  <c r="W152" i="72"/>
  <c r="X152" i="72" s="1"/>
  <c r="AA152" i="72"/>
  <c r="CC81" i="13"/>
  <c r="AK13" i="59"/>
  <c r="AW13" i="42"/>
  <c r="AX13" i="42" s="1"/>
  <c r="C30" i="75"/>
  <c r="BE10" i="41"/>
  <c r="BJ45" i="41" s="1"/>
  <c r="AP48" i="40"/>
  <c r="AQ48" i="40" s="1"/>
  <c r="AW14" i="42"/>
  <c r="AX14" i="42" s="1"/>
  <c r="A18" i="43"/>
  <c r="EM18" i="43" s="1"/>
  <c r="AI79" i="40"/>
  <c r="J18" i="41"/>
  <c r="AG13" i="59"/>
  <c r="FS29" i="4"/>
  <c r="BE29" i="4"/>
  <c r="BC29" i="4" s="1"/>
  <c r="FS29" i="5"/>
  <c r="BE29" i="5"/>
  <c r="BC29" i="5" s="1"/>
  <c r="FS25" i="8"/>
  <c r="BE25" i="8"/>
  <c r="BC25" i="8" s="1"/>
  <c r="FS24" i="9"/>
  <c r="BE24" i="9"/>
  <c r="BC24" i="9" s="1"/>
  <c r="FS27" i="6"/>
  <c r="BE27" i="6"/>
  <c r="BC27" i="6" s="1"/>
  <c r="FS26" i="7"/>
  <c r="BE26" i="7"/>
  <c r="BC26" i="7" s="1"/>
  <c r="FS23" i="10"/>
  <c r="BE23" i="10"/>
  <c r="BC23" i="10" s="1"/>
  <c r="FS21" i="12"/>
  <c r="BE21" i="12"/>
  <c r="BC21" i="12" s="1"/>
  <c r="FS22" i="11"/>
  <c r="BE22" i="11"/>
  <c r="BC22" i="11" s="1"/>
  <c r="EV20" i="10"/>
  <c r="AA20" i="10" s="1"/>
  <c r="EV22" i="8"/>
  <c r="AA22" i="8" s="1"/>
  <c r="EV24" i="6"/>
  <c r="AA24" i="6" s="1"/>
  <c r="EV26" i="5"/>
  <c r="AA26" i="5" s="1"/>
  <c r="EV23" i="7"/>
  <c r="AA23" i="7" s="1"/>
  <c r="CD151" i="72"/>
  <c r="EB21" i="72"/>
  <c r="DX21" i="72"/>
  <c r="EH21" i="72"/>
  <c r="EI21" i="72" s="1"/>
  <c r="EA21" i="72"/>
  <c r="DW21" i="72"/>
  <c r="DZ21" i="72"/>
  <c r="DV21" i="72"/>
  <c r="EC21" i="72"/>
  <c r="DY21" i="72"/>
  <c r="DU21" i="72"/>
  <c r="H23" i="38"/>
  <c r="EM23" i="38"/>
  <c r="H21" i="40"/>
  <c r="EM21" i="40"/>
  <c r="H25" i="36"/>
  <c r="EM25" i="36"/>
  <c r="H24" i="37"/>
  <c r="EM24" i="37"/>
  <c r="CD64" i="72"/>
  <c r="DZ417" i="72"/>
  <c r="DV417" i="72"/>
  <c r="EC417" i="72"/>
  <c r="DY417" i="72"/>
  <c r="DU417" i="72"/>
  <c r="EH417" i="72"/>
  <c r="EI417" i="72" s="1"/>
  <c r="EB417" i="72"/>
  <c r="DX417" i="72"/>
  <c r="EA417" i="72"/>
  <c r="DW417" i="72"/>
  <c r="H22" i="39"/>
  <c r="EM22" i="39"/>
  <c r="CD107" i="72"/>
  <c r="ED240" i="72"/>
  <c r="EE240" i="72" s="1"/>
  <c r="ED328" i="72"/>
  <c r="EE328" i="72" s="1"/>
  <c r="ED152" i="72"/>
  <c r="EE152" i="72" s="1"/>
  <c r="ED20" i="72"/>
  <c r="EE20" i="72" s="1"/>
  <c r="EN26" i="18" s="1"/>
  <c r="ED284" i="72"/>
  <c r="EE284" i="72" s="1"/>
  <c r="DZ197" i="72"/>
  <c r="DV197" i="72"/>
  <c r="EC197" i="72"/>
  <c r="DY197" i="72"/>
  <c r="DU197" i="72"/>
  <c r="EB197" i="72"/>
  <c r="DX197" i="72"/>
  <c r="EH197" i="72"/>
  <c r="EI197" i="72" s="1"/>
  <c r="EA197" i="72"/>
  <c r="DW197" i="72"/>
  <c r="CD283" i="72"/>
  <c r="H27" i="18"/>
  <c r="EM27" i="18"/>
  <c r="EA109" i="72"/>
  <c r="DW109" i="72"/>
  <c r="EH109" i="72"/>
  <c r="EI109" i="72" s="1"/>
  <c r="EB109" i="72"/>
  <c r="DX109" i="72"/>
  <c r="DZ109" i="72"/>
  <c r="DY109" i="72"/>
  <c r="DV109" i="72"/>
  <c r="EC109" i="72"/>
  <c r="DU109" i="72"/>
  <c r="H19" i="42"/>
  <c r="EM19" i="42"/>
  <c r="H20" i="41"/>
  <c r="EM20" i="41"/>
  <c r="D94" i="77"/>
  <c r="D106" i="77"/>
  <c r="CD239" i="72"/>
  <c r="EC66" i="72"/>
  <c r="DY66" i="72"/>
  <c r="DU66" i="72"/>
  <c r="EB66" i="72"/>
  <c r="DX66" i="72"/>
  <c r="EH66" i="72"/>
  <c r="EI66" i="72" s="1"/>
  <c r="EA66" i="72"/>
  <c r="DW66" i="72"/>
  <c r="DZ66" i="72"/>
  <c r="DV66" i="72"/>
  <c r="CD327" i="72"/>
  <c r="EA285" i="72"/>
  <c r="DW285" i="72"/>
  <c r="DZ285" i="72"/>
  <c r="DV285" i="72"/>
  <c r="EC285" i="72"/>
  <c r="DY285" i="72"/>
  <c r="DU285" i="72"/>
  <c r="EH285" i="72"/>
  <c r="EI285" i="72" s="1"/>
  <c r="EB285" i="72"/>
  <c r="DX285" i="72"/>
  <c r="DZ153" i="72"/>
  <c r="DV153" i="72"/>
  <c r="EC153" i="72"/>
  <c r="DY153" i="72"/>
  <c r="DU153" i="72"/>
  <c r="EH153" i="72"/>
  <c r="EI153" i="72" s="1"/>
  <c r="EB153" i="72"/>
  <c r="DX153" i="72"/>
  <c r="EA153" i="72"/>
  <c r="DW153" i="72"/>
  <c r="CD195" i="72"/>
  <c r="EH241" i="72"/>
  <c r="EI241" i="72" s="1"/>
  <c r="EB241" i="72"/>
  <c r="DX241" i="72"/>
  <c r="EA241" i="72"/>
  <c r="DW241" i="72"/>
  <c r="DZ241" i="72"/>
  <c r="DV241" i="72"/>
  <c r="EC241" i="72"/>
  <c r="DY241" i="72"/>
  <c r="DU241" i="72"/>
  <c r="AM193" i="72"/>
  <c r="AP193" i="72" s="1"/>
  <c r="EU21" i="8" s="1"/>
  <c r="C96" i="77"/>
  <c r="C108" i="77"/>
  <c r="ED108" i="72"/>
  <c r="EE108" i="72" s="1"/>
  <c r="ED372" i="72"/>
  <c r="EE372" i="72" s="1"/>
  <c r="H27" i="35"/>
  <c r="EM27" i="35"/>
  <c r="EC373" i="72"/>
  <c r="DY373" i="72"/>
  <c r="DU373" i="72"/>
  <c r="EB373" i="72"/>
  <c r="DX373" i="72"/>
  <c r="EH373" i="72"/>
  <c r="EI373" i="72" s="1"/>
  <c r="EA373" i="72"/>
  <c r="DW373" i="72"/>
  <c r="DZ373" i="72"/>
  <c r="DV373" i="72"/>
  <c r="DZ329" i="72"/>
  <c r="DV329" i="72"/>
  <c r="EC329" i="72"/>
  <c r="DY329" i="72"/>
  <c r="DU329" i="72"/>
  <c r="EH329" i="72"/>
  <c r="EI329" i="72" s="1"/>
  <c r="EB329" i="72"/>
  <c r="DX329" i="72"/>
  <c r="EA329" i="72"/>
  <c r="DW329" i="72"/>
  <c r="ED196" i="72"/>
  <c r="EE196" i="72" s="1"/>
  <c r="ED65" i="72"/>
  <c r="EE65" i="72" s="1"/>
  <c r="D14" i="59"/>
  <c r="K285" i="72"/>
  <c r="V285" i="72" s="1"/>
  <c r="AG285" i="72" s="1"/>
  <c r="G285" i="72"/>
  <c r="R285" i="72" s="1"/>
  <c r="AC285" i="72" s="1"/>
  <c r="J285" i="72"/>
  <c r="U285" i="72" s="1"/>
  <c r="AF285" i="72" s="1"/>
  <c r="F285" i="72"/>
  <c r="Q285" i="72" s="1"/>
  <c r="AB285" i="72" s="1"/>
  <c r="I285" i="72"/>
  <c r="T285" i="72" s="1"/>
  <c r="AE285" i="72" s="1"/>
  <c r="E285" i="72"/>
  <c r="P285" i="72" s="1"/>
  <c r="H285" i="72"/>
  <c r="S285" i="72" s="1"/>
  <c r="AD285" i="72" s="1"/>
  <c r="D285" i="72"/>
  <c r="O285" i="72" s="1"/>
  <c r="Z285" i="72" s="1"/>
  <c r="K153" i="72"/>
  <c r="V153" i="72" s="1"/>
  <c r="AG153" i="72" s="1"/>
  <c r="G153" i="72"/>
  <c r="R153" i="72" s="1"/>
  <c r="AC153" i="72" s="1"/>
  <c r="J153" i="72"/>
  <c r="U153" i="72" s="1"/>
  <c r="AF153" i="72" s="1"/>
  <c r="F153" i="72"/>
  <c r="Q153" i="72" s="1"/>
  <c r="AB153" i="72" s="1"/>
  <c r="I153" i="72"/>
  <c r="T153" i="72" s="1"/>
  <c r="AE153" i="72" s="1"/>
  <c r="E153" i="72"/>
  <c r="P153" i="72" s="1"/>
  <c r="AA153" i="72" s="1"/>
  <c r="H153" i="72"/>
  <c r="S153" i="72" s="1"/>
  <c r="AD153" i="72" s="1"/>
  <c r="D153" i="72"/>
  <c r="O153" i="72" s="1"/>
  <c r="K417" i="72"/>
  <c r="V417" i="72" s="1"/>
  <c r="AG417" i="72" s="1"/>
  <c r="G417" i="72"/>
  <c r="R417" i="72" s="1"/>
  <c r="AC417" i="72" s="1"/>
  <c r="J417" i="72"/>
  <c r="U417" i="72" s="1"/>
  <c r="AF417" i="72" s="1"/>
  <c r="F417" i="72"/>
  <c r="Q417" i="72" s="1"/>
  <c r="AB417" i="72" s="1"/>
  <c r="I417" i="72"/>
  <c r="T417" i="72" s="1"/>
  <c r="AE417" i="72" s="1"/>
  <c r="E417" i="72"/>
  <c r="P417" i="72" s="1"/>
  <c r="H417" i="72"/>
  <c r="S417" i="72" s="1"/>
  <c r="AD417" i="72" s="1"/>
  <c r="D417" i="72"/>
  <c r="O417" i="72" s="1"/>
  <c r="Z417" i="72" s="1"/>
  <c r="K241" i="72"/>
  <c r="V241" i="72" s="1"/>
  <c r="AG241" i="72" s="1"/>
  <c r="G241" i="72"/>
  <c r="R241" i="72" s="1"/>
  <c r="AC241" i="72" s="1"/>
  <c r="J241" i="72"/>
  <c r="U241" i="72" s="1"/>
  <c r="AF241" i="72" s="1"/>
  <c r="F241" i="72"/>
  <c r="Q241" i="72" s="1"/>
  <c r="AB241" i="72" s="1"/>
  <c r="I241" i="72"/>
  <c r="T241" i="72" s="1"/>
  <c r="AE241" i="72" s="1"/>
  <c r="E241" i="72"/>
  <c r="P241" i="72" s="1"/>
  <c r="H241" i="72"/>
  <c r="S241" i="72" s="1"/>
  <c r="AD241" i="72" s="1"/>
  <c r="D241" i="72"/>
  <c r="O241" i="72" s="1"/>
  <c r="Z241" i="72" s="1"/>
  <c r="K197" i="72"/>
  <c r="V197" i="72" s="1"/>
  <c r="AG197" i="72" s="1"/>
  <c r="G197" i="72"/>
  <c r="R197" i="72" s="1"/>
  <c r="AC197" i="72" s="1"/>
  <c r="J197" i="72"/>
  <c r="U197" i="72" s="1"/>
  <c r="AF197" i="72" s="1"/>
  <c r="F197" i="72"/>
  <c r="Q197" i="72" s="1"/>
  <c r="AB197" i="72" s="1"/>
  <c r="I197" i="72"/>
  <c r="T197" i="72" s="1"/>
  <c r="AE197" i="72" s="1"/>
  <c r="E197" i="72"/>
  <c r="P197" i="72" s="1"/>
  <c r="H197" i="72"/>
  <c r="S197" i="72" s="1"/>
  <c r="AD197" i="72" s="1"/>
  <c r="D197" i="72"/>
  <c r="O197" i="72" s="1"/>
  <c r="Z197" i="72" s="1"/>
  <c r="K373" i="72"/>
  <c r="V373" i="72" s="1"/>
  <c r="AG373" i="72" s="1"/>
  <c r="G373" i="72"/>
  <c r="R373" i="72" s="1"/>
  <c r="AC373" i="72" s="1"/>
  <c r="J373" i="72"/>
  <c r="U373" i="72" s="1"/>
  <c r="AF373" i="72" s="1"/>
  <c r="F373" i="72"/>
  <c r="Q373" i="72" s="1"/>
  <c r="AB373" i="72" s="1"/>
  <c r="I373" i="72"/>
  <c r="T373" i="72" s="1"/>
  <c r="AE373" i="72" s="1"/>
  <c r="E373" i="72"/>
  <c r="P373" i="72" s="1"/>
  <c r="H373" i="72"/>
  <c r="S373" i="72" s="1"/>
  <c r="AD373" i="72" s="1"/>
  <c r="D373" i="72"/>
  <c r="O373" i="72" s="1"/>
  <c r="Z373" i="72" s="1"/>
  <c r="K329" i="72"/>
  <c r="V329" i="72" s="1"/>
  <c r="AG329" i="72" s="1"/>
  <c r="G329" i="72"/>
  <c r="R329" i="72" s="1"/>
  <c r="AC329" i="72" s="1"/>
  <c r="J329" i="72"/>
  <c r="U329" i="72" s="1"/>
  <c r="AF329" i="72" s="1"/>
  <c r="F329" i="72"/>
  <c r="Q329" i="72" s="1"/>
  <c r="AB329" i="72" s="1"/>
  <c r="I329" i="72"/>
  <c r="T329" i="72" s="1"/>
  <c r="AE329" i="72" s="1"/>
  <c r="E329" i="72"/>
  <c r="P329" i="72" s="1"/>
  <c r="AA329" i="72" s="1"/>
  <c r="H329" i="72"/>
  <c r="S329" i="72" s="1"/>
  <c r="AD329" i="72" s="1"/>
  <c r="D329" i="72"/>
  <c r="O329" i="72" s="1"/>
  <c r="K21" i="72"/>
  <c r="V21" i="72" s="1"/>
  <c r="AG21" i="72" s="1"/>
  <c r="G21" i="72"/>
  <c r="R21" i="72" s="1"/>
  <c r="AC21" i="72" s="1"/>
  <c r="J21" i="72"/>
  <c r="U21" i="72" s="1"/>
  <c r="AF21" i="72" s="1"/>
  <c r="F21" i="72"/>
  <c r="Q21" i="72" s="1"/>
  <c r="AB21" i="72" s="1"/>
  <c r="I21" i="72"/>
  <c r="T21" i="72" s="1"/>
  <c r="AE21" i="72" s="1"/>
  <c r="E21" i="72"/>
  <c r="P21" i="72" s="1"/>
  <c r="H21" i="72"/>
  <c r="S21" i="72" s="1"/>
  <c r="AD21" i="72" s="1"/>
  <c r="D21" i="72"/>
  <c r="O21" i="72" s="1"/>
  <c r="Z21" i="72" s="1"/>
  <c r="K109" i="72"/>
  <c r="V109" i="72" s="1"/>
  <c r="AG109" i="72" s="1"/>
  <c r="G109" i="72"/>
  <c r="R109" i="72" s="1"/>
  <c r="AC109" i="72" s="1"/>
  <c r="J109" i="72"/>
  <c r="U109" i="72" s="1"/>
  <c r="AF109" i="72" s="1"/>
  <c r="F109" i="72"/>
  <c r="Q109" i="72" s="1"/>
  <c r="AB109" i="72" s="1"/>
  <c r="I109" i="72"/>
  <c r="T109" i="72" s="1"/>
  <c r="AE109" i="72" s="1"/>
  <c r="E109" i="72"/>
  <c r="P109" i="72" s="1"/>
  <c r="H109" i="72"/>
  <c r="S109" i="72" s="1"/>
  <c r="AD109" i="72" s="1"/>
  <c r="D109" i="72"/>
  <c r="O109" i="72" s="1"/>
  <c r="Z109" i="72" s="1"/>
  <c r="K66" i="72"/>
  <c r="V66" i="72" s="1"/>
  <c r="AG66" i="72" s="1"/>
  <c r="G66" i="72"/>
  <c r="R66" i="72" s="1"/>
  <c r="AC66" i="72" s="1"/>
  <c r="J66" i="72"/>
  <c r="U66" i="72" s="1"/>
  <c r="AF66" i="72" s="1"/>
  <c r="F66" i="72"/>
  <c r="Q66" i="72" s="1"/>
  <c r="AB66" i="72" s="1"/>
  <c r="I66" i="72"/>
  <c r="T66" i="72" s="1"/>
  <c r="AE66" i="72" s="1"/>
  <c r="E66" i="72"/>
  <c r="P66" i="72" s="1"/>
  <c r="H66" i="72"/>
  <c r="S66" i="72" s="1"/>
  <c r="AD66" i="72" s="1"/>
  <c r="D66" i="72"/>
  <c r="O66" i="72" s="1"/>
  <c r="Z66" i="72" s="1"/>
  <c r="BW54" i="38"/>
  <c r="BJ53" i="38" s="1"/>
  <c r="GQ7" i="34" s="1"/>
  <c r="BJ45" i="40"/>
  <c r="BJ29" i="40"/>
  <c r="BH45" i="40"/>
  <c r="P36" i="43"/>
  <c r="Q16" i="41"/>
  <c r="BR46" i="39"/>
  <c r="BL14" i="59"/>
  <c r="BS32" i="41"/>
  <c r="BT32" i="41" s="1"/>
  <c r="DK466" i="72"/>
  <c r="CA13" i="42"/>
  <c r="CB13" i="42" s="1"/>
  <c r="AW19" i="42"/>
  <c r="BS29" i="41"/>
  <c r="BT29" i="41" s="1"/>
  <c r="W11" i="43"/>
  <c r="P39" i="43"/>
  <c r="Q36" i="43"/>
  <c r="CA29" i="41"/>
  <c r="CB29" i="41" s="1"/>
  <c r="AM42" i="42"/>
  <c r="AM45" i="42"/>
  <c r="AO45" i="42" s="1"/>
  <c r="AP45" i="42" s="1"/>
  <c r="AQ45" i="42" s="1"/>
  <c r="AT14" i="42"/>
  <c r="AT21" i="42" s="1"/>
  <c r="AL24" i="42" s="1"/>
  <c r="AL25" i="42" s="1"/>
  <c r="AW16" i="42"/>
  <c r="AX16" i="42" s="1"/>
  <c r="AI72" i="40"/>
  <c r="AD13" i="59"/>
  <c r="AM44" i="42"/>
  <c r="AO44" i="42" s="1"/>
  <c r="AW18" i="42"/>
  <c r="BY28" i="42"/>
  <c r="BZ28" i="42" s="1"/>
  <c r="AX18" i="42"/>
  <c r="BX21" i="41"/>
  <c r="AV21" i="42"/>
  <c r="AL27" i="42" s="1"/>
  <c r="P16" i="43"/>
  <c r="D10" i="43"/>
  <c r="DM29" i="13"/>
  <c r="BJ14" i="59" s="1"/>
  <c r="DK39" i="13"/>
  <c r="AP41" i="41"/>
  <c r="AQ41" i="41" s="1"/>
  <c r="FN48" i="14"/>
  <c r="DK464" i="72"/>
  <c r="V84" i="14"/>
  <c r="BZ94" i="13"/>
  <c r="L16" i="51" s="1"/>
  <c r="CA32" i="41"/>
  <c r="CB32" i="41" s="1"/>
  <c r="DK465" i="72"/>
  <c r="BQ34" i="42"/>
  <c r="BR34" i="42" s="1"/>
  <c r="FN47" i="14"/>
  <c r="AP46" i="41"/>
  <c r="AQ46" i="41" s="1"/>
  <c r="AP44" i="41"/>
  <c r="AQ44" i="41" s="1"/>
  <c r="A14" i="15"/>
  <c r="V91" i="13"/>
  <c r="BI59" i="39"/>
  <c r="Z15" i="59"/>
  <c r="FN23" i="14"/>
  <c r="FN24" i="14"/>
  <c r="DK489" i="72"/>
  <c r="DK488" i="72"/>
  <c r="FN31" i="14"/>
  <c r="FN32" i="14"/>
  <c r="DK481" i="72"/>
  <c r="DK480" i="72"/>
  <c r="BI50" i="39"/>
  <c r="T30" i="14"/>
  <c r="FN39" i="14"/>
  <c r="FN40" i="14"/>
  <c r="DK473" i="72"/>
  <c r="DK472" i="72"/>
  <c r="DC12" i="34"/>
  <c r="FN25" i="14"/>
  <c r="FN33" i="14"/>
  <c r="FN41" i="14"/>
  <c r="FN49" i="14"/>
  <c r="FN26" i="14"/>
  <c r="FN34" i="14"/>
  <c r="FN42" i="14"/>
  <c r="FN50" i="14"/>
  <c r="DK487" i="72"/>
  <c r="DK479" i="72"/>
  <c r="DK471" i="72"/>
  <c r="DK463" i="72"/>
  <c r="DK486" i="72"/>
  <c r="DK478" i="72"/>
  <c r="DK470" i="72"/>
  <c r="FN27" i="14"/>
  <c r="FN35" i="14"/>
  <c r="FN43" i="14"/>
  <c r="FN20" i="14"/>
  <c r="FN28" i="14"/>
  <c r="FN36" i="14"/>
  <c r="FN44" i="14"/>
  <c r="DK462" i="72"/>
  <c r="DK485" i="72"/>
  <c r="DK477" i="72"/>
  <c r="DK469" i="72"/>
  <c r="DK492" i="72"/>
  <c r="DK484" i="72"/>
  <c r="DK476" i="72"/>
  <c r="DK468" i="72"/>
  <c r="BT39" i="40"/>
  <c r="BR46" i="40" s="1"/>
  <c r="V83" i="14"/>
  <c r="FN21" i="14"/>
  <c r="FN29" i="14"/>
  <c r="FN37" i="14"/>
  <c r="FN45" i="14"/>
  <c r="FN22" i="14"/>
  <c r="FN30" i="14"/>
  <c r="FN38" i="14"/>
  <c r="FN46" i="14"/>
  <c r="DK491" i="72"/>
  <c r="DK483" i="72"/>
  <c r="DK475" i="72"/>
  <c r="DK467" i="72"/>
  <c r="DK490" i="72"/>
  <c r="DK482" i="72"/>
  <c r="DK474" i="72"/>
  <c r="BJ56" i="39"/>
  <c r="GS8" i="34" s="1"/>
  <c r="CB41" i="40"/>
  <c r="BY49" i="40" s="1"/>
  <c r="BO21" i="43"/>
  <c r="BO11" i="43" s="1"/>
  <c r="BO10" i="43" s="1"/>
  <c r="AM39" i="42"/>
  <c r="CA14" i="42"/>
  <c r="CB14" i="42" s="1"/>
  <c r="BQ35" i="42"/>
  <c r="BR35" i="42" s="1"/>
  <c r="CA20" i="42"/>
  <c r="AR21" i="42"/>
  <c r="BY29" i="42"/>
  <c r="BZ29" i="42" s="1"/>
  <c r="CB20" i="42"/>
  <c r="BQ29" i="42"/>
  <c r="BR29" i="42" s="1"/>
  <c r="BY35" i="42"/>
  <c r="BZ35" i="42" s="1"/>
  <c r="AU16" i="43"/>
  <c r="AV16" i="43" s="1"/>
  <c r="AR17" i="43"/>
  <c r="AM43" i="43" s="1"/>
  <c r="BV14" i="43"/>
  <c r="BX14" i="43" s="1"/>
  <c r="BY31" i="42"/>
  <c r="BZ31" i="42" s="1"/>
  <c r="AJ13" i="59"/>
  <c r="CB19" i="42"/>
  <c r="CA16" i="42"/>
  <c r="CB16" i="42" s="1"/>
  <c r="BY34" i="42"/>
  <c r="BZ34" i="42" s="1"/>
  <c r="BQ31" i="42"/>
  <c r="BR31" i="42" s="1"/>
  <c r="BV21" i="42"/>
  <c r="CA19" i="42"/>
  <c r="CA31" i="41"/>
  <c r="CB31" i="41" s="1"/>
  <c r="BQ49" i="39"/>
  <c r="CA34" i="41"/>
  <c r="CB34" i="41" s="1"/>
  <c r="BV16" i="43"/>
  <c r="BQ31" i="43" s="1"/>
  <c r="BR31" i="43" s="1"/>
  <c r="BT41" i="40"/>
  <c r="BR49" i="40" s="1"/>
  <c r="BZ21" i="42"/>
  <c r="BS31" i="41"/>
  <c r="BT31" i="41" s="1"/>
  <c r="BY46" i="39"/>
  <c r="BB13" i="59"/>
  <c r="AR15" i="43"/>
  <c r="AX15" i="43" s="1"/>
  <c r="BV18" i="43"/>
  <c r="AI14" i="59" s="1"/>
  <c r="AO21" i="43"/>
  <c r="AO11" i="43" s="1"/>
  <c r="AO10" i="43" s="1"/>
  <c r="BS21" i="43"/>
  <c r="BS11" i="43" s="1"/>
  <c r="BS10" i="43" s="1"/>
  <c r="BS34" i="41"/>
  <c r="BT34" i="41" s="1"/>
  <c r="BV15" i="43"/>
  <c r="CA15" i="43" s="1"/>
  <c r="BV20" i="43"/>
  <c r="BX20" i="43" s="1"/>
  <c r="AR19" i="43"/>
  <c r="AT19" i="43" s="1"/>
  <c r="AU13" i="43"/>
  <c r="AV13" i="43" s="1"/>
  <c r="BP21" i="43"/>
  <c r="BP11" i="43" s="1"/>
  <c r="BP10" i="43" s="1"/>
  <c r="AW21" i="41"/>
  <c r="AX21" i="41" s="1"/>
  <c r="V15" i="59"/>
  <c r="N145" i="76" s="1"/>
  <c r="AJ92" i="74"/>
  <c r="BZ49" i="39"/>
  <c r="BY15" i="43"/>
  <c r="BZ15" i="43" s="1"/>
  <c r="AU15" i="43"/>
  <c r="AV15" i="43" s="1"/>
  <c r="BR21" i="43"/>
  <c r="BR11" i="43" s="1"/>
  <c r="BR10" i="43" s="1"/>
  <c r="AU17" i="43"/>
  <c r="AV17" i="43" s="1"/>
  <c r="BY16" i="43"/>
  <c r="BZ16" i="43" s="1"/>
  <c r="AU14" i="43"/>
  <c r="AV14" i="43" s="1"/>
  <c r="AR13" i="43"/>
  <c r="AT13" i="43" s="1"/>
  <c r="BY18" i="43"/>
  <c r="BZ18" i="43" s="1"/>
  <c r="AR16" i="43"/>
  <c r="AT16" i="43" s="1"/>
  <c r="AS21" i="43"/>
  <c r="BS35" i="41"/>
  <c r="BT35" i="41" s="1"/>
  <c r="CA21" i="41"/>
  <c r="CB21" i="41" s="1"/>
  <c r="CA35" i="41"/>
  <c r="CB35" i="41" s="1"/>
  <c r="AL28" i="41"/>
  <c r="AI87" i="41" s="1"/>
  <c r="AI83" i="41"/>
  <c r="AM21" i="43"/>
  <c r="AM11" i="43" s="1"/>
  <c r="AM10" i="43" s="1"/>
  <c r="AL21" i="43"/>
  <c r="AL11" i="43" s="1"/>
  <c r="AL10" i="43" s="1"/>
  <c r="AQ21" i="43"/>
  <c r="AQ11" i="43" s="1"/>
  <c r="AQ10" i="43" s="1"/>
  <c r="AR18" i="43"/>
  <c r="AW18" i="43" s="1"/>
  <c r="BY17" i="43"/>
  <c r="BZ17" i="43" s="1"/>
  <c r="BV19" i="43"/>
  <c r="BQ34" i="43" s="1"/>
  <c r="BR34" i="43" s="1"/>
  <c r="BT21" i="43"/>
  <c r="BT11" i="43" s="1"/>
  <c r="BT10" i="43" s="1"/>
  <c r="AU19" i="43"/>
  <c r="AV19" i="43" s="1"/>
  <c r="AU20" i="43"/>
  <c r="AV20" i="43" s="1"/>
  <c r="AP21" i="43"/>
  <c r="AP11" i="43" s="1"/>
  <c r="AP10" i="43" s="1"/>
  <c r="BU21" i="43"/>
  <c r="BU11" i="43" s="1"/>
  <c r="BU10" i="43" s="1"/>
  <c r="AN21" i="43"/>
  <c r="AN11" i="43" s="1"/>
  <c r="AN10" i="43" s="1"/>
  <c r="BY14" i="43"/>
  <c r="BZ14" i="43" s="1"/>
  <c r="BV13" i="43"/>
  <c r="BX13" i="43" s="1"/>
  <c r="BY20" i="43"/>
  <c r="BZ20" i="43" s="1"/>
  <c r="AR14" i="43"/>
  <c r="AT14" i="43" s="1"/>
  <c r="AG93" i="74"/>
  <c r="DP15" i="14"/>
  <c r="Y15" i="59" s="1"/>
  <c r="CB39" i="40"/>
  <c r="BZ46" i="40" s="1"/>
  <c r="BV17" i="43"/>
  <c r="BX17" i="43" s="1"/>
  <c r="AU18" i="43"/>
  <c r="AV18" i="43" s="1"/>
  <c r="AK21" i="43"/>
  <c r="AK11" i="43" s="1"/>
  <c r="AK10" i="43" s="1"/>
  <c r="BY13" i="43"/>
  <c r="BZ13" i="43" s="1"/>
  <c r="BY19" i="43"/>
  <c r="BZ19" i="43" s="1"/>
  <c r="AR20" i="43"/>
  <c r="AT20" i="43" s="1"/>
  <c r="BQ21" i="43"/>
  <c r="BQ11" i="43" s="1"/>
  <c r="BQ10" i="43" s="1"/>
  <c r="BW21" i="43"/>
  <c r="AL25" i="41"/>
  <c r="AI72" i="41" s="1"/>
  <c r="DP18" i="14"/>
  <c r="AJ42" i="74" s="1"/>
  <c r="E10" i="44"/>
  <c r="Q83" i="13"/>
  <c r="L28" i="51" s="1"/>
  <c r="DK26" i="13"/>
  <c r="BZ79" i="13" s="1"/>
  <c r="L9" i="51" s="1"/>
  <c r="AP48" i="39"/>
  <c r="AQ48" i="39" s="1"/>
  <c r="BJ64" i="39"/>
  <c r="L14" i="72"/>
  <c r="M14" i="72" s="1"/>
  <c r="DK508" i="72"/>
  <c r="DK510" i="72"/>
  <c r="DK512" i="72"/>
  <c r="DK514" i="72"/>
  <c r="DK516" i="72"/>
  <c r="DK518" i="72"/>
  <c r="DK520" i="72"/>
  <c r="DK522" i="72"/>
  <c r="DK524" i="72"/>
  <c r="DK526" i="72"/>
  <c r="DK528" i="72"/>
  <c r="DK530" i="72"/>
  <c r="DK532" i="72"/>
  <c r="DK534" i="72"/>
  <c r="DK536" i="72"/>
  <c r="DK507" i="72"/>
  <c r="DK509" i="72"/>
  <c r="DK511" i="72"/>
  <c r="DK513" i="72"/>
  <c r="DK515" i="72"/>
  <c r="DK517" i="72"/>
  <c r="DK519" i="72"/>
  <c r="DK521" i="72"/>
  <c r="DK523" i="72"/>
  <c r="DK525" i="72"/>
  <c r="DK527" i="72"/>
  <c r="DK529" i="72"/>
  <c r="DK531" i="72"/>
  <c r="DK533" i="72"/>
  <c r="DK535" i="72"/>
  <c r="DK537" i="72"/>
  <c r="FN49" i="15"/>
  <c r="FN47" i="15"/>
  <c r="FN45" i="15"/>
  <c r="FN43" i="15"/>
  <c r="FN41" i="15"/>
  <c r="FN39" i="15"/>
  <c r="FN37" i="15"/>
  <c r="FN35" i="15"/>
  <c r="FN33" i="15"/>
  <c r="FN31" i="15"/>
  <c r="FN29" i="15"/>
  <c r="FN27" i="15"/>
  <c r="FN25" i="15"/>
  <c r="FN23" i="15"/>
  <c r="FN21" i="15"/>
  <c r="FN50" i="15"/>
  <c r="FN48" i="15"/>
  <c r="FN46" i="15"/>
  <c r="FN44" i="15"/>
  <c r="FN42" i="15"/>
  <c r="FN40" i="15"/>
  <c r="FN38" i="15"/>
  <c r="FN36" i="15"/>
  <c r="FN34" i="15"/>
  <c r="FN32" i="15"/>
  <c r="FN30" i="15"/>
  <c r="FN28" i="15"/>
  <c r="FN26" i="15"/>
  <c r="FN24" i="15"/>
  <c r="FN22" i="15"/>
  <c r="FN20" i="15"/>
  <c r="AI79" i="41"/>
  <c r="AO48" i="41"/>
  <c r="D17" i="51"/>
  <c r="ER21" i="7"/>
  <c r="EU21" i="7"/>
  <c r="ER22" i="6"/>
  <c r="EU22" i="6"/>
  <c r="ER24" i="5"/>
  <c r="EU24" i="5"/>
  <c r="L240" i="72"/>
  <c r="M240" i="72" s="1"/>
  <c r="L372" i="72"/>
  <c r="M372" i="72" s="1"/>
  <c r="BB283" i="72"/>
  <c r="BG283" i="72"/>
  <c r="I19" i="41"/>
  <c r="BN23" i="13"/>
  <c r="BJ22" i="13"/>
  <c r="I22" i="38"/>
  <c r="BG151" i="72"/>
  <c r="BB151" i="72"/>
  <c r="BA27" i="18"/>
  <c r="BE27" i="18" s="1"/>
  <c r="BF63" i="72"/>
  <c r="BC63" i="72"/>
  <c r="BD63" i="72" s="1"/>
  <c r="AM63" i="72" s="1"/>
  <c r="AP63" i="72" s="1"/>
  <c r="AC11" i="42"/>
  <c r="Q17" i="42"/>
  <c r="I20" i="40"/>
  <c r="AQ194" i="72"/>
  <c r="AY327" i="72"/>
  <c r="L65" i="72"/>
  <c r="M65" i="72" s="1"/>
  <c r="I26" i="35"/>
  <c r="BN32" i="5"/>
  <c r="BJ31" i="5"/>
  <c r="AU98" i="14"/>
  <c r="AT99" i="14"/>
  <c r="BA15" i="59"/>
  <c r="Q82" i="14"/>
  <c r="K27" i="51" s="1"/>
  <c r="AL22" i="44"/>
  <c r="BJ10" i="44"/>
  <c r="BJ11" i="44" s="1"/>
  <c r="AL15" i="59" s="1"/>
  <c r="AL15" i="14"/>
  <c r="P22" i="14"/>
  <c r="T22" i="14" s="1"/>
  <c r="AJ91" i="74"/>
  <c r="BN22" i="14"/>
  <c r="BJ21" i="14"/>
  <c r="I23" i="37"/>
  <c r="A23" i="39"/>
  <c r="FB25" i="9"/>
  <c r="BH25" i="9" s="1"/>
  <c r="A242" i="72"/>
  <c r="FB22" i="12"/>
  <c r="BH22" i="12" s="1"/>
  <c r="A20" i="42"/>
  <c r="A374" i="72"/>
  <c r="FB23" i="11"/>
  <c r="BH23" i="11" s="1"/>
  <c r="A21" i="41"/>
  <c r="A330" i="72"/>
  <c r="BA23" i="38"/>
  <c r="BA21" i="40"/>
  <c r="BF150" i="72"/>
  <c r="BC150" i="72"/>
  <c r="BD150" i="72" s="1"/>
  <c r="AM150" i="72" s="1"/>
  <c r="AP150" i="72" s="1"/>
  <c r="AQ106" i="72"/>
  <c r="BA24" i="37"/>
  <c r="I21" i="39"/>
  <c r="AY64" i="72"/>
  <c r="L196" i="72"/>
  <c r="M196" i="72" s="1"/>
  <c r="BN32" i="4"/>
  <c r="BJ31" i="4"/>
  <c r="AC10" i="42"/>
  <c r="Q16" i="42"/>
  <c r="L284" i="72"/>
  <c r="M284" i="72" s="1"/>
  <c r="BJ20" i="15"/>
  <c r="BN21" i="15"/>
  <c r="E11" i="45"/>
  <c r="N15" i="15"/>
  <c r="AM92" i="74"/>
  <c r="DP18" i="15"/>
  <c r="AM42" i="74" s="1"/>
  <c r="E10" i="45"/>
  <c r="AE129" i="15"/>
  <c r="BA27" i="35"/>
  <c r="EU20" i="9"/>
  <c r="I24" i="36"/>
  <c r="L152" i="72"/>
  <c r="M152" i="72" s="1"/>
  <c r="K19" i="38"/>
  <c r="L19" i="38" s="1"/>
  <c r="E19" i="38" s="1"/>
  <c r="D58" i="38" s="1"/>
  <c r="K20" i="37"/>
  <c r="L20" i="37" s="1"/>
  <c r="E20" i="37" s="1"/>
  <c r="D59" i="37" s="1"/>
  <c r="BN28" i="8"/>
  <c r="BJ27" i="8"/>
  <c r="BG107" i="72"/>
  <c r="BB107" i="72"/>
  <c r="A286" i="72"/>
  <c r="A22" i="40"/>
  <c r="FB24" i="10"/>
  <c r="BH24" i="10" s="1"/>
  <c r="BF106" i="72"/>
  <c r="BC106" i="72"/>
  <c r="BD106" i="72" s="1"/>
  <c r="AM106" i="72" s="1"/>
  <c r="AP106" i="72" s="1"/>
  <c r="BN30" i="6"/>
  <c r="BJ29" i="6"/>
  <c r="BN29" i="7"/>
  <c r="BJ28" i="7"/>
  <c r="BF282" i="72"/>
  <c r="BC282" i="72"/>
  <c r="BD282" i="72" s="1"/>
  <c r="AM282" i="72" s="1"/>
  <c r="AP282" i="72" s="1"/>
  <c r="A110" i="72"/>
  <c r="FB28" i="6"/>
  <c r="BH28" i="6" s="1"/>
  <c r="A26" i="36"/>
  <c r="FB27" i="7"/>
  <c r="BH27" i="7" s="1"/>
  <c r="A25" i="37"/>
  <c r="A154" i="72"/>
  <c r="AY283" i="72"/>
  <c r="ER20" i="8"/>
  <c r="A19" i="43"/>
  <c r="FB21" i="13"/>
  <c r="BH21" i="13" s="1"/>
  <c r="A418" i="72"/>
  <c r="K23" i="35"/>
  <c r="L23" i="35" s="1"/>
  <c r="E23" i="35" s="1"/>
  <c r="D62" i="35" s="1"/>
  <c r="W14" i="41"/>
  <c r="AY151" i="72"/>
  <c r="BG327" i="72"/>
  <c r="BB327" i="72"/>
  <c r="A28" i="35"/>
  <c r="FB30" i="5"/>
  <c r="BH30" i="5" s="1"/>
  <c r="A67" i="72"/>
  <c r="FB20" i="14"/>
  <c r="BH20" i="14" s="1"/>
  <c r="BJ26" i="9"/>
  <c r="BN27" i="9"/>
  <c r="BN24" i="12"/>
  <c r="BJ23" i="12"/>
  <c r="BN25" i="11"/>
  <c r="BJ24" i="11"/>
  <c r="I26" i="18"/>
  <c r="BG239" i="72"/>
  <c r="AY239" i="72"/>
  <c r="BB239" i="72"/>
  <c r="AQ282" i="72"/>
  <c r="BA25" i="36"/>
  <c r="I18" i="42"/>
  <c r="L328" i="72"/>
  <c r="M328" i="72" s="1"/>
  <c r="BG64" i="72"/>
  <c r="BB64" i="72"/>
  <c r="Q10" i="43"/>
  <c r="P21" i="13"/>
  <c r="T21" i="13" s="1"/>
  <c r="Q11" i="43"/>
  <c r="A28" i="18"/>
  <c r="A22" i="72"/>
  <c r="FB30" i="4"/>
  <c r="BH30" i="4" s="1"/>
  <c r="BF194" i="72"/>
  <c r="BC194" i="72"/>
  <c r="BD194" i="72" s="1"/>
  <c r="AM194" i="72" s="1"/>
  <c r="AP194" i="72" s="1"/>
  <c r="AQ19" i="45"/>
  <c r="BS16" i="45"/>
  <c r="BT16" i="45"/>
  <c r="BU15" i="45"/>
  <c r="AN17" i="45"/>
  <c r="AM18" i="45"/>
  <c r="BX5" i="45"/>
  <c r="BU17" i="45"/>
  <c r="AO20" i="45"/>
  <c r="BS14" i="45"/>
  <c r="AM19" i="45"/>
  <c r="AO14" i="45"/>
  <c r="AM15" i="45"/>
  <c r="BP16" i="45"/>
  <c r="AP17" i="45"/>
  <c r="BP15" i="45"/>
  <c r="BS18" i="45"/>
  <c r="AM16" i="45"/>
  <c r="AP16" i="45"/>
  <c r="BQ15" i="45"/>
  <c r="AN15" i="45"/>
  <c r="BP19" i="45"/>
  <c r="AQ14" i="45"/>
  <c r="BQ18" i="45"/>
  <c r="AO16" i="45"/>
  <c r="AQ20" i="45"/>
  <c r="BR19" i="45"/>
  <c r="AP19" i="45"/>
  <c r="BR17" i="45"/>
  <c r="BS17" i="45"/>
  <c r="AL14" i="45"/>
  <c r="BQ16" i="45"/>
  <c r="AP20" i="45"/>
  <c r="BU19" i="45"/>
  <c r="BU20" i="45"/>
  <c r="BR16" i="45"/>
  <c r="AP15" i="45"/>
  <c r="AO15" i="45"/>
  <c r="BQ14" i="45"/>
  <c r="BR20" i="45"/>
  <c r="AL18" i="45"/>
  <c r="BP20" i="45"/>
  <c r="R3" i="45"/>
  <c r="BU14" i="45"/>
  <c r="AN16" i="45"/>
  <c r="BT18" i="45"/>
  <c r="AN19" i="45"/>
  <c r="AN14" i="45"/>
  <c r="BR18" i="45"/>
  <c r="AP14" i="45"/>
  <c r="BU18" i="45"/>
  <c r="AQ17" i="45"/>
  <c r="AN18" i="45"/>
  <c r="BP14" i="45"/>
  <c r="AM14" i="45"/>
  <c r="AQ18" i="45"/>
  <c r="BS15" i="45"/>
  <c r="BT14" i="45"/>
  <c r="BQ20" i="45"/>
  <c r="AL17" i="45"/>
  <c r="AM17" i="45"/>
  <c r="BT17" i="45"/>
  <c r="AO19" i="45"/>
  <c r="BR14" i="45"/>
  <c r="AL15" i="45"/>
  <c r="BS19" i="45"/>
  <c r="AQ16" i="45"/>
  <c r="BQ17" i="45"/>
  <c r="BS20" i="45"/>
  <c r="AO17" i="45"/>
  <c r="BP18" i="45"/>
  <c r="AN20" i="45"/>
  <c r="BQ19" i="45"/>
  <c r="AL19" i="45"/>
  <c r="BT20" i="45"/>
  <c r="BR15" i="45"/>
  <c r="AQ15" i="45"/>
  <c r="AL20" i="45"/>
  <c r="BP17" i="45"/>
  <c r="AL16" i="45"/>
  <c r="BU16" i="45"/>
  <c r="AO18" i="45"/>
  <c r="AP18" i="45"/>
  <c r="BT15" i="45"/>
  <c r="BT19" i="45"/>
  <c r="AM20" i="45"/>
  <c r="BW15" i="45"/>
  <c r="AS19" i="45"/>
  <c r="BW20" i="45"/>
  <c r="AS20" i="45"/>
  <c r="AS16" i="45"/>
  <c r="AS15" i="45"/>
  <c r="BW14" i="45"/>
  <c r="BK3" i="45"/>
  <c r="AK19" i="45"/>
  <c r="AS14" i="45"/>
  <c r="AS18" i="45"/>
  <c r="BW17" i="45"/>
  <c r="AS17" i="45"/>
  <c r="BW18" i="45"/>
  <c r="AK18" i="45"/>
  <c r="AK20" i="45"/>
  <c r="AP13" i="45"/>
  <c r="AK15" i="45"/>
  <c r="AK17" i="45"/>
  <c r="BO19" i="45"/>
  <c r="BO18" i="45"/>
  <c r="AN13" i="45"/>
  <c r="AL13" i="45"/>
  <c r="BS13" i="45"/>
  <c r="AO13" i="45"/>
  <c r="BQ13" i="45"/>
  <c r="BW19" i="45"/>
  <c r="BW16" i="45"/>
  <c r="AS13" i="45"/>
  <c r="BW13" i="45"/>
  <c r="AK16" i="45"/>
  <c r="AK13" i="45"/>
  <c r="BO17" i="45"/>
  <c r="BO20" i="45"/>
  <c r="AQ13" i="45"/>
  <c r="BT13" i="45"/>
  <c r="AM13" i="45"/>
  <c r="BR13" i="45"/>
  <c r="BP13" i="45"/>
  <c r="BU13" i="45"/>
  <c r="BO14" i="45"/>
  <c r="BO13" i="45"/>
  <c r="BO16" i="45"/>
  <c r="BO15" i="45"/>
  <c r="AK14" i="45"/>
  <c r="U16" i="59"/>
  <c r="DP15" i="15"/>
  <c r="Y16" i="59" s="1"/>
  <c r="V83" i="15"/>
  <c r="DC13" i="34"/>
  <c r="V84" i="15"/>
  <c r="Z16" i="59"/>
  <c r="T30" i="15"/>
  <c r="V16" i="59"/>
  <c r="N146" i="76" s="1"/>
  <c r="AL14" i="15"/>
  <c r="HK16" i="15"/>
  <c r="K21" i="36"/>
  <c r="L21" i="36" s="1"/>
  <c r="E21" i="36" s="1"/>
  <c r="D60" i="36" s="1"/>
  <c r="BG195" i="72"/>
  <c r="BB195" i="72"/>
  <c r="AY195" i="72"/>
  <c r="K18" i="39"/>
  <c r="L18" i="39" s="1"/>
  <c r="E18" i="39" s="1"/>
  <c r="D57" i="39" s="1"/>
  <c r="L108" i="72"/>
  <c r="M108" i="72" s="1"/>
  <c r="BA22" i="39"/>
  <c r="BA19" i="42"/>
  <c r="BA20" i="41"/>
  <c r="A198" i="72"/>
  <c r="FB26" i="8"/>
  <c r="BH26" i="8" s="1"/>
  <c r="A24" i="38"/>
  <c r="AY107" i="72"/>
  <c r="BJ25" i="10"/>
  <c r="BN26" i="10"/>
  <c r="CB28" i="41"/>
  <c r="AQ150" i="72"/>
  <c r="CA32" i="42" l="1"/>
  <c r="CB32" i="42" s="1"/>
  <c r="BS32" i="42"/>
  <c r="BT32" i="42" s="1"/>
  <c r="C121" i="77"/>
  <c r="C133" i="77"/>
  <c r="D119" i="77"/>
  <c r="D131" i="77"/>
  <c r="N121" i="76"/>
  <c r="C26" i="75" s="1"/>
  <c r="N133" i="76"/>
  <c r="N122" i="76"/>
  <c r="N134" i="76"/>
  <c r="A462" i="72"/>
  <c r="BC238" i="72"/>
  <c r="BD238" i="72" s="1"/>
  <c r="AM238" i="72" s="1"/>
  <c r="AP238" i="72" s="1"/>
  <c r="EU21" i="9" s="1"/>
  <c r="BE20" i="13"/>
  <c r="BC20" i="13" s="1"/>
  <c r="I18" i="43" s="1"/>
  <c r="EV21" i="9"/>
  <c r="AA21" i="9" s="1"/>
  <c r="AB10" i="59"/>
  <c r="GT8" i="34"/>
  <c r="GU7" i="34"/>
  <c r="T27" i="8"/>
  <c r="J21" i="40"/>
  <c r="FS20" i="13"/>
  <c r="BA18" i="43"/>
  <c r="CA33" i="42"/>
  <c r="CB33" i="42" s="1"/>
  <c r="BS33" i="42"/>
  <c r="BT33" i="42" s="1"/>
  <c r="P16" i="44"/>
  <c r="W11" i="44"/>
  <c r="Q36" i="44"/>
  <c r="W13" i="41"/>
  <c r="J20" i="41"/>
  <c r="E57" i="39"/>
  <c r="BV15" i="44"/>
  <c r="BX15" i="44" s="1"/>
  <c r="J23" i="38"/>
  <c r="J19" i="42"/>
  <c r="J25" i="36"/>
  <c r="AP41" i="42"/>
  <c r="AQ41" i="42" s="1"/>
  <c r="BT21" i="44"/>
  <c r="BT11" i="44" s="1"/>
  <c r="BT10" i="44" s="1"/>
  <c r="J27" i="35"/>
  <c r="J24" i="37"/>
  <c r="T19" i="14"/>
  <c r="T18" i="14"/>
  <c r="P18" i="15"/>
  <c r="T18" i="15" s="1"/>
  <c r="P19" i="15"/>
  <c r="T19" i="15" s="1"/>
  <c r="P20" i="15"/>
  <c r="AP46" i="42"/>
  <c r="AQ46" i="42" s="1"/>
  <c r="BN15" i="59"/>
  <c r="BP15" i="59"/>
  <c r="K20" i="51"/>
  <c r="CL16" i="59"/>
  <c r="T34" i="15"/>
  <c r="DP25" i="15" s="1"/>
  <c r="CO16" i="59" s="1"/>
  <c r="BZ102" i="15"/>
  <c r="BZ98" i="15"/>
  <c r="BN16" i="59" s="1"/>
  <c r="H18" i="43"/>
  <c r="BV17" i="44"/>
  <c r="BX17" i="44" s="1"/>
  <c r="BV18" i="44"/>
  <c r="BX18" i="44" s="1"/>
  <c r="AP21" i="44"/>
  <c r="AP11" i="44" s="1"/>
  <c r="AP10" i="44" s="1"/>
  <c r="AQ21" i="44"/>
  <c r="AQ11" i="44" s="1"/>
  <c r="AQ10" i="44" s="1"/>
  <c r="BW21" i="44"/>
  <c r="BV14" i="44"/>
  <c r="AE15" i="59" s="1"/>
  <c r="BY16" i="44"/>
  <c r="BZ16" i="44" s="1"/>
  <c r="CA30" i="42"/>
  <c r="CB30" i="42" s="1"/>
  <c r="BS30" i="42"/>
  <c r="BT30" i="42" s="1"/>
  <c r="AR18" i="44"/>
  <c r="AT18" i="44" s="1"/>
  <c r="AR16" i="44"/>
  <c r="BY13" i="44"/>
  <c r="BZ13" i="44" s="1"/>
  <c r="BU21" i="44"/>
  <c r="BU11" i="44" s="1"/>
  <c r="BU10" i="44" s="1"/>
  <c r="BY15" i="44"/>
  <c r="BZ15" i="44" s="1"/>
  <c r="BO21" i="44"/>
  <c r="BO11" i="44" s="1"/>
  <c r="BO10" i="44" s="1"/>
  <c r="BH29" i="41"/>
  <c r="BS28" i="42"/>
  <c r="BT28" i="42" s="1"/>
  <c r="AN21" i="44"/>
  <c r="AN11" i="44" s="1"/>
  <c r="AN10" i="44" s="1"/>
  <c r="AU14" i="44"/>
  <c r="AV14" i="44" s="1"/>
  <c r="AM21" i="44"/>
  <c r="AM11" i="44" s="1"/>
  <c r="AM10" i="44" s="1"/>
  <c r="BV19" i="44"/>
  <c r="AJ15" i="59" s="1"/>
  <c r="CA31" i="42"/>
  <c r="CB31" i="42" s="1"/>
  <c r="BY19" i="44"/>
  <c r="BZ19" i="44" s="1"/>
  <c r="BV13" i="44"/>
  <c r="AD15" i="59" s="1"/>
  <c r="BY20" i="44"/>
  <c r="BZ20" i="44" s="1"/>
  <c r="AR17" i="44"/>
  <c r="AW17" i="44" s="1"/>
  <c r="AU18" i="44"/>
  <c r="AV18" i="44" s="1"/>
  <c r="BR21" i="44"/>
  <c r="BR11" i="44" s="1"/>
  <c r="BR10" i="44" s="1"/>
  <c r="BV16" i="44"/>
  <c r="BX16" i="44" s="1"/>
  <c r="AU13" i="44"/>
  <c r="AV13" i="44" s="1"/>
  <c r="BY14" i="44"/>
  <c r="BZ14" i="44" s="1"/>
  <c r="BY18" i="44"/>
  <c r="BZ18" i="44" s="1"/>
  <c r="AU16" i="44"/>
  <c r="AV16" i="44" s="1"/>
  <c r="AW17" i="43"/>
  <c r="BP21" i="44"/>
  <c r="BP11" i="44" s="1"/>
  <c r="BP10" i="44" s="1"/>
  <c r="BS21" i="44"/>
  <c r="BS11" i="44" s="1"/>
  <c r="BS10" i="44" s="1"/>
  <c r="AL21" i="44"/>
  <c r="AL11" i="44" s="1"/>
  <c r="AL10" i="44" s="1"/>
  <c r="AR15" i="44"/>
  <c r="AW15" i="44" s="1"/>
  <c r="AR19" i="44"/>
  <c r="AT19" i="44" s="1"/>
  <c r="AR13" i="44"/>
  <c r="AW13" i="44" s="1"/>
  <c r="AX13" i="44" s="1"/>
  <c r="AU17" i="44"/>
  <c r="AV17" i="44" s="1"/>
  <c r="BS31" i="42"/>
  <c r="BT31" i="42" s="1"/>
  <c r="AO21" i="44"/>
  <c r="AO11" i="44" s="1"/>
  <c r="AO10" i="44" s="1"/>
  <c r="BQ21" i="44"/>
  <c r="BQ11" i="44" s="1"/>
  <c r="BQ10" i="44" s="1"/>
  <c r="AS21" i="44"/>
  <c r="J27" i="18"/>
  <c r="AU15" i="44"/>
  <c r="AV15" i="44" s="1"/>
  <c r="AR14" i="44"/>
  <c r="AT14" i="44" s="1"/>
  <c r="AK21" i="44"/>
  <c r="AK11" i="44" s="1"/>
  <c r="AK10" i="44" s="1"/>
  <c r="AR20" i="44"/>
  <c r="AT20" i="44" s="1"/>
  <c r="AU19" i="44"/>
  <c r="AV19" i="44" s="1"/>
  <c r="BV20" i="44"/>
  <c r="BX20" i="44" s="1"/>
  <c r="AT17" i="43"/>
  <c r="BY17" i="44"/>
  <c r="BZ17" i="44" s="1"/>
  <c r="AU20" i="44"/>
  <c r="AV20" i="44" s="1"/>
  <c r="GC26" i="8"/>
  <c r="FX133" i="34" s="1"/>
  <c r="GC30" i="4"/>
  <c r="FX13" i="34" s="1"/>
  <c r="GC28" i="6"/>
  <c r="FX73" i="34" s="1"/>
  <c r="GC23" i="11"/>
  <c r="FX223" i="34" s="1"/>
  <c r="GC25" i="9"/>
  <c r="FX163" i="34" s="1"/>
  <c r="GC30" i="5"/>
  <c r="FX44" i="34" s="1"/>
  <c r="GC27" i="7"/>
  <c r="FX103" i="34" s="1"/>
  <c r="GC24" i="10"/>
  <c r="FX193" i="34" s="1"/>
  <c r="GC20" i="14"/>
  <c r="FX313" i="34" s="1"/>
  <c r="GC21" i="13"/>
  <c r="FX283" i="34" s="1"/>
  <c r="GC22" i="12"/>
  <c r="FX253" i="34" s="1"/>
  <c r="BJ29" i="41"/>
  <c r="BI59" i="41" s="1"/>
  <c r="J22" i="39"/>
  <c r="BH45" i="41"/>
  <c r="CC81" i="15"/>
  <c r="AI196" i="72"/>
  <c r="AQ196" i="72" s="1"/>
  <c r="AI108" i="72"/>
  <c r="AQ108" i="72" s="1"/>
  <c r="AI240" i="72"/>
  <c r="AQ240" i="72" s="1"/>
  <c r="AI372" i="72"/>
  <c r="AI284" i="72"/>
  <c r="AI328" i="72"/>
  <c r="AQ328" i="72" s="1"/>
  <c r="AI20" i="72"/>
  <c r="AI65" i="72"/>
  <c r="AQ65" i="72" s="1"/>
  <c r="AI152" i="72"/>
  <c r="W329" i="72"/>
  <c r="X329" i="72" s="1"/>
  <c r="Z329" i="72"/>
  <c r="W153" i="72"/>
  <c r="X153" i="72" s="1"/>
  <c r="Z153" i="72"/>
  <c r="BE10" i="42"/>
  <c r="BH45" i="42" s="1"/>
  <c r="W66" i="72"/>
  <c r="X66" i="72" s="1"/>
  <c r="AA66" i="72"/>
  <c r="W109" i="72"/>
  <c r="X109" i="72" s="1"/>
  <c r="AA109" i="72"/>
  <c r="W21" i="72"/>
  <c r="X21" i="72" s="1"/>
  <c r="AA21" i="72"/>
  <c r="W373" i="72"/>
  <c r="X373" i="72" s="1"/>
  <c r="AA373" i="72"/>
  <c r="W197" i="72"/>
  <c r="X197" i="72" s="1"/>
  <c r="AA197" i="72"/>
  <c r="AA241" i="72"/>
  <c r="W241" i="72"/>
  <c r="X241" i="72" s="1"/>
  <c r="AA417" i="72"/>
  <c r="W417" i="72"/>
  <c r="X417" i="72" s="1"/>
  <c r="W285" i="72"/>
  <c r="X285" i="72" s="1"/>
  <c r="AA285" i="72"/>
  <c r="CC81" i="14"/>
  <c r="ER21" i="8"/>
  <c r="FS30" i="4"/>
  <c r="BE30" i="4"/>
  <c r="BC30" i="4" s="1"/>
  <c r="BY31" i="43"/>
  <c r="BZ31" i="43" s="1"/>
  <c r="FS30" i="5"/>
  <c r="BE30" i="5"/>
  <c r="BC30" i="5" s="1"/>
  <c r="FS21" i="13"/>
  <c r="BE21" i="13"/>
  <c r="BC21" i="13" s="1"/>
  <c r="FS23" i="11"/>
  <c r="BE23" i="11"/>
  <c r="BC23" i="11" s="1"/>
  <c r="FS28" i="6"/>
  <c r="BE28" i="6"/>
  <c r="BC28" i="6" s="1"/>
  <c r="FS25" i="9"/>
  <c r="BE25" i="9"/>
  <c r="BC25" i="9" s="1"/>
  <c r="FS26" i="8"/>
  <c r="BE26" i="8"/>
  <c r="BC26" i="8" s="1"/>
  <c r="FS20" i="14"/>
  <c r="BE20" i="14"/>
  <c r="BC20" i="14" s="1"/>
  <c r="FS27" i="7"/>
  <c r="BE27" i="7"/>
  <c r="BC27" i="7" s="1"/>
  <c r="FS24" i="10"/>
  <c r="BE24" i="10"/>
  <c r="BC24" i="10" s="1"/>
  <c r="FS22" i="12"/>
  <c r="BE22" i="12"/>
  <c r="BC22" i="12" s="1"/>
  <c r="AX17" i="43"/>
  <c r="CA16" i="43"/>
  <c r="AG14" i="59"/>
  <c r="ED197" i="72"/>
  <c r="EE197" i="72" s="1"/>
  <c r="ED329" i="72"/>
  <c r="EE329" i="72" s="1"/>
  <c r="EV23" i="8"/>
  <c r="AA23" i="8" s="1"/>
  <c r="EV27" i="5"/>
  <c r="AA27" i="5" s="1"/>
  <c r="EV22" i="9"/>
  <c r="AA22" i="9" s="1"/>
  <c r="EV20" i="11"/>
  <c r="AA20" i="11" s="1"/>
  <c r="EV25" i="6"/>
  <c r="AA25" i="6" s="1"/>
  <c r="EV24" i="7"/>
  <c r="AA24" i="7" s="1"/>
  <c r="EV21" i="10"/>
  <c r="AA21" i="10" s="1"/>
  <c r="ED417" i="72"/>
  <c r="EE417" i="72" s="1"/>
  <c r="EH22" i="72"/>
  <c r="EI22" i="72" s="1"/>
  <c r="EA22" i="72"/>
  <c r="DW22" i="72"/>
  <c r="DZ22" i="72"/>
  <c r="DV22" i="72"/>
  <c r="EC22" i="72"/>
  <c r="DY22" i="72"/>
  <c r="DU22" i="72"/>
  <c r="EB22" i="72"/>
  <c r="DX22" i="72"/>
  <c r="CD328" i="72"/>
  <c r="H18" i="44"/>
  <c r="EM18" i="44"/>
  <c r="H26" i="36"/>
  <c r="EM26" i="36"/>
  <c r="H22" i="40"/>
  <c r="EM22" i="40"/>
  <c r="EH242" i="72"/>
  <c r="EI242" i="72" s="1"/>
  <c r="EB242" i="72"/>
  <c r="DX242" i="72"/>
  <c r="EA242" i="72"/>
  <c r="DW242" i="72"/>
  <c r="DZ242" i="72"/>
  <c r="DV242" i="72"/>
  <c r="EC242" i="72"/>
  <c r="DY242" i="72"/>
  <c r="DU242" i="72"/>
  <c r="ED373" i="72"/>
  <c r="EE373" i="72" s="1"/>
  <c r="ED153" i="72"/>
  <c r="EE153" i="72" s="1"/>
  <c r="H24" i="38"/>
  <c r="EM24" i="38"/>
  <c r="CD108" i="72"/>
  <c r="H28" i="18"/>
  <c r="EM28" i="18"/>
  <c r="DZ67" i="72"/>
  <c r="DV67" i="72"/>
  <c r="EC67" i="72"/>
  <c r="DY67" i="72"/>
  <c r="DU67" i="72"/>
  <c r="EB67" i="72"/>
  <c r="DX67" i="72"/>
  <c r="EH67" i="72"/>
  <c r="EI67" i="72" s="1"/>
  <c r="EA67" i="72"/>
  <c r="DW67" i="72"/>
  <c r="H19" i="43"/>
  <c r="EM19" i="43"/>
  <c r="DZ154" i="72"/>
  <c r="DV154" i="72"/>
  <c r="EC154" i="72"/>
  <c r="DY154" i="72"/>
  <c r="DU154" i="72"/>
  <c r="EH154" i="72"/>
  <c r="EI154" i="72" s="1"/>
  <c r="EB154" i="72"/>
  <c r="DX154" i="72"/>
  <c r="EA154" i="72"/>
  <c r="DW154" i="72"/>
  <c r="EA286" i="72"/>
  <c r="DW286" i="72"/>
  <c r="DZ286" i="72"/>
  <c r="DV286" i="72"/>
  <c r="EC286" i="72"/>
  <c r="DY286" i="72"/>
  <c r="DU286" i="72"/>
  <c r="EH286" i="72"/>
  <c r="EI286" i="72" s="1"/>
  <c r="EB286" i="72"/>
  <c r="DX286" i="72"/>
  <c r="CD152" i="72"/>
  <c r="CD196" i="72"/>
  <c r="EC374" i="72"/>
  <c r="DY374" i="72"/>
  <c r="DU374" i="72"/>
  <c r="EB374" i="72"/>
  <c r="DX374" i="72"/>
  <c r="EH374" i="72"/>
  <c r="EI374" i="72" s="1"/>
  <c r="EA374" i="72"/>
  <c r="DW374" i="72"/>
  <c r="DZ374" i="72"/>
  <c r="DV374" i="72"/>
  <c r="ED241" i="72"/>
  <c r="EE241" i="72" s="1"/>
  <c r="ED109" i="72"/>
  <c r="EE109" i="72" s="1"/>
  <c r="EC462" i="72"/>
  <c r="DY462" i="72"/>
  <c r="DU462" i="72"/>
  <c r="EH462" i="72"/>
  <c r="EI462" i="72" s="1"/>
  <c r="EB462" i="72"/>
  <c r="DX462" i="72"/>
  <c r="EA462" i="72"/>
  <c r="DW462" i="72"/>
  <c r="DZ462" i="72"/>
  <c r="DV462" i="72"/>
  <c r="H25" i="37"/>
  <c r="EM25" i="37"/>
  <c r="EH110" i="72"/>
  <c r="EI110" i="72" s="1"/>
  <c r="EA110" i="72"/>
  <c r="DW110" i="72"/>
  <c r="EB110" i="72"/>
  <c r="DX110" i="72"/>
  <c r="DV110" i="72"/>
  <c r="EC110" i="72"/>
  <c r="DU110" i="72"/>
  <c r="DZ110" i="72"/>
  <c r="DY110" i="72"/>
  <c r="DZ330" i="72"/>
  <c r="DV330" i="72"/>
  <c r="EC330" i="72"/>
  <c r="DY330" i="72"/>
  <c r="DU330" i="72"/>
  <c r="EH330" i="72"/>
  <c r="EI330" i="72" s="1"/>
  <c r="EB330" i="72"/>
  <c r="DX330" i="72"/>
  <c r="EA330" i="72"/>
  <c r="DW330" i="72"/>
  <c r="H20" i="42"/>
  <c r="EM20" i="42"/>
  <c r="H23" i="39"/>
  <c r="EM23" i="39"/>
  <c r="CD65" i="72"/>
  <c r="CD372" i="72"/>
  <c r="CD14" i="72"/>
  <c r="ED285" i="72"/>
  <c r="EE285" i="72" s="1"/>
  <c r="ED66" i="72"/>
  <c r="EE66" i="72" s="1"/>
  <c r="EH198" i="72"/>
  <c r="EI198" i="72" s="1"/>
  <c r="EA198" i="72"/>
  <c r="DW198" i="72"/>
  <c r="DZ198" i="72"/>
  <c r="DV198" i="72"/>
  <c r="EC198" i="72"/>
  <c r="DY198" i="72"/>
  <c r="DU198" i="72"/>
  <c r="EB198" i="72"/>
  <c r="DX198" i="72"/>
  <c r="H28" i="35"/>
  <c r="EM28" i="35"/>
  <c r="DZ418" i="72"/>
  <c r="DV418" i="72"/>
  <c r="EC418" i="72"/>
  <c r="DY418" i="72"/>
  <c r="DU418" i="72"/>
  <c r="EH418" i="72"/>
  <c r="EI418" i="72" s="1"/>
  <c r="EB418" i="72"/>
  <c r="DX418" i="72"/>
  <c r="EA418" i="72"/>
  <c r="DW418" i="72"/>
  <c r="CD284" i="72"/>
  <c r="H21" i="41"/>
  <c r="EM21" i="41"/>
  <c r="C97" i="77"/>
  <c r="C109" i="77"/>
  <c r="CD240" i="72"/>
  <c r="D95" i="77"/>
  <c r="D107" i="77"/>
  <c r="ED21" i="72"/>
  <c r="EE21" i="72" s="1"/>
  <c r="EN27" i="18" s="1"/>
  <c r="D16" i="59"/>
  <c r="D15" i="59"/>
  <c r="N98" i="76"/>
  <c r="C116" i="75" s="1"/>
  <c r="N110" i="76"/>
  <c r="N97" i="76"/>
  <c r="C115" i="75" s="1"/>
  <c r="N109" i="76"/>
  <c r="BI59" i="40"/>
  <c r="K242" i="72"/>
  <c r="V242" i="72" s="1"/>
  <c r="AG242" i="72" s="1"/>
  <c r="G242" i="72"/>
  <c r="R242" i="72" s="1"/>
  <c r="AC242" i="72" s="1"/>
  <c r="J242" i="72"/>
  <c r="U242" i="72" s="1"/>
  <c r="AF242" i="72" s="1"/>
  <c r="F242" i="72"/>
  <c r="Q242" i="72" s="1"/>
  <c r="AB242" i="72" s="1"/>
  <c r="I242" i="72"/>
  <c r="T242" i="72" s="1"/>
  <c r="AE242" i="72" s="1"/>
  <c r="E242" i="72"/>
  <c r="P242" i="72" s="1"/>
  <c r="H242" i="72"/>
  <c r="S242" i="72" s="1"/>
  <c r="AD242" i="72" s="1"/>
  <c r="D242" i="72"/>
  <c r="O242" i="72" s="1"/>
  <c r="Z242" i="72" s="1"/>
  <c r="BS35" i="42"/>
  <c r="BT35" i="42" s="1"/>
  <c r="K67" i="72"/>
  <c r="V67" i="72" s="1"/>
  <c r="AG67" i="72" s="1"/>
  <c r="G67" i="72"/>
  <c r="R67" i="72" s="1"/>
  <c r="AC67" i="72" s="1"/>
  <c r="J67" i="72"/>
  <c r="U67" i="72" s="1"/>
  <c r="AF67" i="72" s="1"/>
  <c r="F67" i="72"/>
  <c r="Q67" i="72" s="1"/>
  <c r="AB67" i="72" s="1"/>
  <c r="I67" i="72"/>
  <c r="T67" i="72" s="1"/>
  <c r="AE67" i="72" s="1"/>
  <c r="E67" i="72"/>
  <c r="P67" i="72" s="1"/>
  <c r="AA67" i="72" s="1"/>
  <c r="H67" i="72"/>
  <c r="S67" i="72" s="1"/>
  <c r="AD67" i="72" s="1"/>
  <c r="D67" i="72"/>
  <c r="O67" i="72" s="1"/>
  <c r="K154" i="72"/>
  <c r="V154" i="72" s="1"/>
  <c r="AG154" i="72" s="1"/>
  <c r="G154" i="72"/>
  <c r="R154" i="72" s="1"/>
  <c r="AC154" i="72" s="1"/>
  <c r="J154" i="72"/>
  <c r="U154" i="72" s="1"/>
  <c r="AF154" i="72" s="1"/>
  <c r="F154" i="72"/>
  <c r="Q154" i="72" s="1"/>
  <c r="AB154" i="72" s="1"/>
  <c r="I154" i="72"/>
  <c r="T154" i="72" s="1"/>
  <c r="AE154" i="72" s="1"/>
  <c r="E154" i="72"/>
  <c r="P154" i="72" s="1"/>
  <c r="H154" i="72"/>
  <c r="S154" i="72" s="1"/>
  <c r="AD154" i="72" s="1"/>
  <c r="D154" i="72"/>
  <c r="O154" i="72" s="1"/>
  <c r="Z154" i="72" s="1"/>
  <c r="K198" i="72"/>
  <c r="V198" i="72" s="1"/>
  <c r="AG198" i="72" s="1"/>
  <c r="G198" i="72"/>
  <c r="R198" i="72" s="1"/>
  <c r="AC198" i="72" s="1"/>
  <c r="J198" i="72"/>
  <c r="U198" i="72" s="1"/>
  <c r="AF198" i="72" s="1"/>
  <c r="F198" i="72"/>
  <c r="Q198" i="72" s="1"/>
  <c r="AB198" i="72" s="1"/>
  <c r="I198" i="72"/>
  <c r="T198" i="72" s="1"/>
  <c r="AE198" i="72" s="1"/>
  <c r="E198" i="72"/>
  <c r="P198" i="72" s="1"/>
  <c r="AA198" i="72" s="1"/>
  <c r="H198" i="72"/>
  <c r="S198" i="72" s="1"/>
  <c r="AD198" i="72" s="1"/>
  <c r="D198" i="72"/>
  <c r="O198" i="72" s="1"/>
  <c r="K22" i="72"/>
  <c r="V22" i="72" s="1"/>
  <c r="AG22" i="72" s="1"/>
  <c r="G22" i="72"/>
  <c r="R22" i="72" s="1"/>
  <c r="AC22" i="72" s="1"/>
  <c r="J22" i="72"/>
  <c r="U22" i="72" s="1"/>
  <c r="AF22" i="72" s="1"/>
  <c r="F22" i="72"/>
  <c r="Q22" i="72" s="1"/>
  <c r="AB22" i="72" s="1"/>
  <c r="I22" i="72"/>
  <c r="T22" i="72" s="1"/>
  <c r="AE22" i="72" s="1"/>
  <c r="E22" i="72"/>
  <c r="P22" i="72" s="1"/>
  <c r="AA22" i="72" s="1"/>
  <c r="H22" i="72"/>
  <c r="S22" i="72" s="1"/>
  <c r="AD22" i="72" s="1"/>
  <c r="D22" i="72"/>
  <c r="O22" i="72" s="1"/>
  <c r="K462" i="72"/>
  <c r="V462" i="72" s="1"/>
  <c r="AG462" i="72" s="1"/>
  <c r="G462" i="72"/>
  <c r="R462" i="72" s="1"/>
  <c r="AC462" i="72" s="1"/>
  <c r="J462" i="72"/>
  <c r="U462" i="72" s="1"/>
  <c r="AF462" i="72" s="1"/>
  <c r="F462" i="72"/>
  <c r="Q462" i="72" s="1"/>
  <c r="AB462" i="72" s="1"/>
  <c r="I462" i="72"/>
  <c r="T462" i="72" s="1"/>
  <c r="AE462" i="72" s="1"/>
  <c r="E462" i="72"/>
  <c r="P462" i="72" s="1"/>
  <c r="H462" i="72"/>
  <c r="S462" i="72" s="1"/>
  <c r="AD462" i="72" s="1"/>
  <c r="D462" i="72"/>
  <c r="O462" i="72" s="1"/>
  <c r="Z462" i="72" s="1"/>
  <c r="K110" i="72"/>
  <c r="V110" i="72" s="1"/>
  <c r="AG110" i="72" s="1"/>
  <c r="G110" i="72"/>
  <c r="R110" i="72" s="1"/>
  <c r="AC110" i="72" s="1"/>
  <c r="J110" i="72"/>
  <c r="U110" i="72" s="1"/>
  <c r="AF110" i="72" s="1"/>
  <c r="F110" i="72"/>
  <c r="Q110" i="72" s="1"/>
  <c r="AB110" i="72" s="1"/>
  <c r="I110" i="72"/>
  <c r="T110" i="72" s="1"/>
  <c r="AE110" i="72" s="1"/>
  <c r="E110" i="72"/>
  <c r="P110" i="72" s="1"/>
  <c r="H110" i="72"/>
  <c r="S110" i="72" s="1"/>
  <c r="AD110" i="72" s="1"/>
  <c r="D110" i="72"/>
  <c r="O110" i="72" s="1"/>
  <c r="Z110" i="72" s="1"/>
  <c r="K330" i="72"/>
  <c r="V330" i="72" s="1"/>
  <c r="AG330" i="72" s="1"/>
  <c r="G330" i="72"/>
  <c r="R330" i="72" s="1"/>
  <c r="AC330" i="72" s="1"/>
  <c r="J330" i="72"/>
  <c r="U330" i="72" s="1"/>
  <c r="AF330" i="72" s="1"/>
  <c r="F330" i="72"/>
  <c r="Q330" i="72" s="1"/>
  <c r="AB330" i="72" s="1"/>
  <c r="I330" i="72"/>
  <c r="T330" i="72" s="1"/>
  <c r="AE330" i="72" s="1"/>
  <c r="E330" i="72"/>
  <c r="P330" i="72" s="1"/>
  <c r="H330" i="72"/>
  <c r="S330" i="72" s="1"/>
  <c r="AD330" i="72" s="1"/>
  <c r="D330" i="72"/>
  <c r="O330" i="72" s="1"/>
  <c r="Z330" i="72" s="1"/>
  <c r="K286" i="72"/>
  <c r="V286" i="72" s="1"/>
  <c r="AG286" i="72" s="1"/>
  <c r="G286" i="72"/>
  <c r="R286" i="72" s="1"/>
  <c r="AC286" i="72" s="1"/>
  <c r="J286" i="72"/>
  <c r="U286" i="72" s="1"/>
  <c r="AF286" i="72" s="1"/>
  <c r="F286" i="72"/>
  <c r="Q286" i="72" s="1"/>
  <c r="AB286" i="72" s="1"/>
  <c r="I286" i="72"/>
  <c r="T286" i="72" s="1"/>
  <c r="AE286" i="72" s="1"/>
  <c r="E286" i="72"/>
  <c r="P286" i="72" s="1"/>
  <c r="H286" i="72"/>
  <c r="S286" i="72" s="1"/>
  <c r="AD286" i="72" s="1"/>
  <c r="D286" i="72"/>
  <c r="O286" i="72" s="1"/>
  <c r="Z286" i="72" s="1"/>
  <c r="K374" i="72"/>
  <c r="V374" i="72" s="1"/>
  <c r="AG374" i="72" s="1"/>
  <c r="G374" i="72"/>
  <c r="R374" i="72" s="1"/>
  <c r="AC374" i="72" s="1"/>
  <c r="J374" i="72"/>
  <c r="U374" i="72" s="1"/>
  <c r="AF374" i="72" s="1"/>
  <c r="F374" i="72"/>
  <c r="Q374" i="72" s="1"/>
  <c r="AB374" i="72" s="1"/>
  <c r="I374" i="72"/>
  <c r="T374" i="72" s="1"/>
  <c r="AE374" i="72" s="1"/>
  <c r="E374" i="72"/>
  <c r="P374" i="72" s="1"/>
  <c r="AA374" i="72" s="1"/>
  <c r="H374" i="72"/>
  <c r="S374" i="72" s="1"/>
  <c r="AD374" i="72" s="1"/>
  <c r="D374" i="72"/>
  <c r="O374" i="72" s="1"/>
  <c r="K418" i="72"/>
  <c r="V418" i="72" s="1"/>
  <c r="AG418" i="72" s="1"/>
  <c r="G418" i="72"/>
  <c r="R418" i="72" s="1"/>
  <c r="AC418" i="72" s="1"/>
  <c r="J418" i="72"/>
  <c r="U418" i="72" s="1"/>
  <c r="AF418" i="72" s="1"/>
  <c r="F418" i="72"/>
  <c r="Q418" i="72" s="1"/>
  <c r="AB418" i="72" s="1"/>
  <c r="I418" i="72"/>
  <c r="T418" i="72" s="1"/>
  <c r="AE418" i="72" s="1"/>
  <c r="E418" i="72"/>
  <c r="P418" i="72" s="1"/>
  <c r="H418" i="72"/>
  <c r="S418" i="72" s="1"/>
  <c r="AD418" i="72" s="1"/>
  <c r="D418" i="72"/>
  <c r="O418" i="72" s="1"/>
  <c r="Z418" i="72" s="1"/>
  <c r="BI50" i="40"/>
  <c r="BZ49" i="40"/>
  <c r="BJ56" i="40" s="1"/>
  <c r="GS9" i="34" s="1"/>
  <c r="BW52" i="39"/>
  <c r="C38" i="75"/>
  <c r="C39" i="75"/>
  <c r="BQ46" i="40"/>
  <c r="AW21" i="42"/>
  <c r="AX21" i="42" s="1"/>
  <c r="CA28" i="42"/>
  <c r="CB28" i="42" s="1"/>
  <c r="CA34" i="42"/>
  <c r="CB34" i="42" s="1"/>
  <c r="AI83" i="42"/>
  <c r="CA29" i="42"/>
  <c r="CB29" i="42" s="1"/>
  <c r="CA18" i="43"/>
  <c r="AP44" i="42"/>
  <c r="AQ44" i="42" s="1"/>
  <c r="AL26" i="42"/>
  <c r="AO48" i="42" s="1"/>
  <c r="CB18" i="43"/>
  <c r="BY33" i="43"/>
  <c r="BZ33" i="43" s="1"/>
  <c r="C32" i="75"/>
  <c r="BQ32" i="43"/>
  <c r="BR32" i="43" s="1"/>
  <c r="BX15" i="43"/>
  <c r="D10" i="45"/>
  <c r="P16" i="45"/>
  <c r="DK39" i="14"/>
  <c r="DM29" i="14"/>
  <c r="BJ15" i="59" s="1"/>
  <c r="BQ29" i="43"/>
  <c r="BR29" i="43" s="1"/>
  <c r="BS34" i="42"/>
  <c r="BT34" i="42" s="1"/>
  <c r="BJ61" i="39"/>
  <c r="GR8" i="34" s="1"/>
  <c r="V91" i="14"/>
  <c r="BZ94" i="14"/>
  <c r="K16" i="51" s="1"/>
  <c r="BL15" i="59"/>
  <c r="BB15" i="59"/>
  <c r="CA35" i="42"/>
  <c r="CB35" i="42" s="1"/>
  <c r="BQ49" i="40"/>
  <c r="AM45" i="43"/>
  <c r="AO45" i="43" s="1"/>
  <c r="AM44" i="43"/>
  <c r="AO44" i="43" s="1"/>
  <c r="AF14" i="59"/>
  <c r="CA21" i="42"/>
  <c r="CB21" i="42" s="1"/>
  <c r="BS29" i="42"/>
  <c r="BT29" i="42" s="1"/>
  <c r="AE14" i="59"/>
  <c r="AM41" i="43"/>
  <c r="AO41" i="43" s="1"/>
  <c r="AP41" i="43" s="1"/>
  <c r="AQ41" i="43" s="1"/>
  <c r="CA14" i="43"/>
  <c r="CB14" i="43" s="1"/>
  <c r="BY46" i="40"/>
  <c r="AW15" i="43"/>
  <c r="BY29" i="43"/>
  <c r="BZ29" i="43" s="1"/>
  <c r="BW54" i="39"/>
  <c r="BJ53" i="39" s="1"/>
  <c r="GQ8" i="34" s="1"/>
  <c r="BX16" i="43"/>
  <c r="BX18" i="43"/>
  <c r="AT18" i="43"/>
  <c r="AW19" i="43"/>
  <c r="AX18" i="43"/>
  <c r="CB16" i="43"/>
  <c r="BQ30" i="43"/>
  <c r="BR30" i="43" s="1"/>
  <c r="CB15" i="43"/>
  <c r="BQ33" i="43"/>
  <c r="BR33" i="43" s="1"/>
  <c r="AT15" i="43"/>
  <c r="CB19" i="43"/>
  <c r="BS34" i="43" s="1"/>
  <c r="BT34" i="43" s="1"/>
  <c r="AX19" i="43"/>
  <c r="BQ28" i="43"/>
  <c r="BR28" i="43" s="1"/>
  <c r="BY30" i="43"/>
  <c r="BZ30" i="43" s="1"/>
  <c r="AW13" i="43"/>
  <c r="AX13" i="43" s="1"/>
  <c r="AK14" i="59"/>
  <c r="AH14" i="59"/>
  <c r="CB20" i="43"/>
  <c r="BQ35" i="43"/>
  <c r="BR35" i="43" s="1"/>
  <c r="AW14" i="43"/>
  <c r="AX14" i="43" s="1"/>
  <c r="W10" i="44"/>
  <c r="BY32" i="43"/>
  <c r="BZ32" i="43" s="1"/>
  <c r="BY35" i="43"/>
  <c r="BZ35" i="43" s="1"/>
  <c r="AR21" i="43"/>
  <c r="CA17" i="43"/>
  <c r="CB17" i="43" s="1"/>
  <c r="CA20" i="43"/>
  <c r="AW16" i="43"/>
  <c r="BX19" i="43"/>
  <c r="CA13" i="43"/>
  <c r="CB13" i="43" s="1"/>
  <c r="CB39" i="41"/>
  <c r="BZ46" i="41" s="1"/>
  <c r="AJ14" i="59"/>
  <c r="AD14" i="59"/>
  <c r="CA19" i="43"/>
  <c r="BY34" i="43"/>
  <c r="BZ34" i="43" s="1"/>
  <c r="BY28" i="43"/>
  <c r="BZ28" i="43" s="1"/>
  <c r="BV21" i="43"/>
  <c r="AJ93" i="74"/>
  <c r="CB41" i="41"/>
  <c r="BY49" i="41" s="1"/>
  <c r="Q39" i="44"/>
  <c r="P39" i="44"/>
  <c r="P36" i="44"/>
  <c r="AM40" i="43"/>
  <c r="AM39" i="43"/>
  <c r="AM42" i="43"/>
  <c r="AX16" i="43"/>
  <c r="AV21" i="43"/>
  <c r="AL27" i="43" s="1"/>
  <c r="AM46" i="43"/>
  <c r="AO46" i="43" s="1"/>
  <c r="AW20" i="43"/>
  <c r="AX20" i="43"/>
  <c r="BZ21" i="43"/>
  <c r="BB14" i="59"/>
  <c r="DK26" i="14"/>
  <c r="BZ79" i="14" s="1"/>
  <c r="K9" i="51" s="1"/>
  <c r="AI72" i="42"/>
  <c r="AP48" i="41"/>
  <c r="AQ48" i="41" s="1"/>
  <c r="BJ64" i="40"/>
  <c r="AY14" i="72"/>
  <c r="AQ14" i="72"/>
  <c r="BB14" i="72"/>
  <c r="BG14" i="72"/>
  <c r="ER22" i="7"/>
  <c r="EU22" i="7"/>
  <c r="BR21" i="45"/>
  <c r="BR11" i="45" s="1"/>
  <c r="BR10" i="45" s="1"/>
  <c r="AN21" i="45"/>
  <c r="AN11" i="45" s="1"/>
  <c r="AN10" i="45" s="1"/>
  <c r="BU21" i="45"/>
  <c r="BU11" i="45" s="1"/>
  <c r="BU10" i="45" s="1"/>
  <c r="BT21" i="45"/>
  <c r="BT11" i="45" s="1"/>
  <c r="BT10" i="45" s="1"/>
  <c r="BQ21" i="45"/>
  <c r="BQ11" i="45" s="1"/>
  <c r="BQ10" i="45" s="1"/>
  <c r="BS21" i="45"/>
  <c r="BS11" i="45" s="1"/>
  <c r="BS10" i="45" s="1"/>
  <c r="BP21" i="45"/>
  <c r="BP11" i="45" s="1"/>
  <c r="BP10" i="45" s="1"/>
  <c r="AM21" i="45"/>
  <c r="AM11" i="45" s="1"/>
  <c r="AM10" i="45" s="1"/>
  <c r="AQ21" i="45"/>
  <c r="AQ11" i="45" s="1"/>
  <c r="AQ10" i="45" s="1"/>
  <c r="AO21" i="45"/>
  <c r="AO11" i="45" s="1"/>
  <c r="AO10" i="45" s="1"/>
  <c r="AL21" i="45"/>
  <c r="AL11" i="45" s="1"/>
  <c r="AL10" i="45" s="1"/>
  <c r="AP21" i="45"/>
  <c r="AP11" i="45" s="1"/>
  <c r="AP10" i="45" s="1"/>
  <c r="ER23" i="6"/>
  <c r="EU23" i="6"/>
  <c r="ER25" i="5"/>
  <c r="EU25" i="5"/>
  <c r="BA24" i="38"/>
  <c r="I20" i="41"/>
  <c r="L373" i="72"/>
  <c r="M373" i="72" s="1"/>
  <c r="L241" i="72"/>
  <c r="M241" i="72" s="1"/>
  <c r="ER20" i="9"/>
  <c r="BF195" i="72"/>
  <c r="BC195" i="72"/>
  <c r="BD195" i="72" s="1"/>
  <c r="BQ34" i="44"/>
  <c r="BR34" i="44" s="1"/>
  <c r="AM43" i="44"/>
  <c r="CA13" i="44"/>
  <c r="CB13" i="44" s="1"/>
  <c r="I27" i="35"/>
  <c r="AR14" i="45"/>
  <c r="AT14" i="45" s="1"/>
  <c r="AU14" i="45"/>
  <c r="AV14" i="45" s="1"/>
  <c r="BV16" i="45"/>
  <c r="BX16" i="45" s="1"/>
  <c r="BY16" i="45"/>
  <c r="BZ16" i="45" s="1"/>
  <c r="BV14" i="45"/>
  <c r="BX14" i="45" s="1"/>
  <c r="BY14" i="45"/>
  <c r="BZ14" i="45" s="1"/>
  <c r="BV17" i="45"/>
  <c r="BX17" i="45" s="1"/>
  <c r="BY17" i="45"/>
  <c r="BZ17" i="45" s="1"/>
  <c r="AU16" i="45"/>
  <c r="AV16" i="45" s="1"/>
  <c r="AR16" i="45"/>
  <c r="AT16" i="45" s="1"/>
  <c r="AS21" i="45"/>
  <c r="BV18" i="45"/>
  <c r="BX18" i="45" s="1"/>
  <c r="BY18" i="45"/>
  <c r="BZ18" i="45" s="1"/>
  <c r="AR17" i="45"/>
  <c r="AT17" i="45" s="1"/>
  <c r="AU17" i="45"/>
  <c r="AV17" i="45" s="1"/>
  <c r="AR18" i="45"/>
  <c r="AT18" i="45" s="1"/>
  <c r="AU18" i="45"/>
  <c r="AV18" i="45" s="1"/>
  <c r="AU19" i="45"/>
  <c r="AV19" i="45" s="1"/>
  <c r="AR19" i="45"/>
  <c r="AT19" i="45" s="1"/>
  <c r="K20" i="38"/>
  <c r="L20" i="38" s="1"/>
  <c r="E20" i="38" s="1"/>
  <c r="D59" i="38" s="1"/>
  <c r="EU22" i="8"/>
  <c r="J28" i="18"/>
  <c r="BE10" i="43"/>
  <c r="BG328" i="72"/>
  <c r="BB328" i="72"/>
  <c r="L285" i="72"/>
  <c r="M285" i="72" s="1"/>
  <c r="I23" i="38"/>
  <c r="FB24" i="11"/>
  <c r="BH24" i="11" s="1"/>
  <c r="A22" i="41"/>
  <c r="A331" i="72"/>
  <c r="FB23" i="12"/>
  <c r="BH23" i="12" s="1"/>
  <c r="A375" i="72"/>
  <c r="A21" i="42"/>
  <c r="BJ27" i="9"/>
  <c r="BN28" i="9"/>
  <c r="BA28" i="35"/>
  <c r="BC327" i="72"/>
  <c r="BD327" i="72" s="1"/>
  <c r="AM327" i="72" s="1"/>
  <c r="AP327" i="72" s="1"/>
  <c r="BF327" i="72"/>
  <c r="BA19" i="43"/>
  <c r="BA25" i="37"/>
  <c r="EU20" i="10"/>
  <c r="FB28" i="7"/>
  <c r="BH28" i="7" s="1"/>
  <c r="A155" i="72"/>
  <c r="A26" i="37"/>
  <c r="A111" i="72"/>
  <c r="A27" i="36"/>
  <c r="FB29" i="6"/>
  <c r="BH29" i="6" s="1"/>
  <c r="BA22" i="40"/>
  <c r="BF107" i="72"/>
  <c r="BC107" i="72"/>
  <c r="BD107" i="72" s="1"/>
  <c r="AM107" i="72" s="1"/>
  <c r="AP107" i="72" s="1"/>
  <c r="A25" i="38"/>
  <c r="FB27" i="8"/>
  <c r="BH27" i="8" s="1"/>
  <c r="A199" i="72"/>
  <c r="I19" i="42"/>
  <c r="I22" i="39"/>
  <c r="BG152" i="72"/>
  <c r="BB152" i="72"/>
  <c r="BQ32" i="44"/>
  <c r="BR32" i="44" s="1"/>
  <c r="CB18" i="44"/>
  <c r="AU98" i="15"/>
  <c r="AT99" i="15"/>
  <c r="Q82" i="15"/>
  <c r="D27" i="51" s="1"/>
  <c r="BA16" i="59"/>
  <c r="W10" i="45"/>
  <c r="P39" i="45"/>
  <c r="Q39" i="45"/>
  <c r="A18" i="45"/>
  <c r="H18" i="45" s="1"/>
  <c r="A507" i="72"/>
  <c r="FB20" i="15"/>
  <c r="BG284" i="72"/>
  <c r="BB284" i="72"/>
  <c r="BN33" i="4"/>
  <c r="BJ32" i="4"/>
  <c r="L153" i="72"/>
  <c r="M153" i="72" s="1"/>
  <c r="L109" i="72"/>
  <c r="M109" i="72" s="1"/>
  <c r="I21" i="40"/>
  <c r="L197" i="72"/>
  <c r="M197" i="72" s="1"/>
  <c r="K19" i="39"/>
  <c r="L19" i="39" s="1"/>
  <c r="E19" i="39" s="1"/>
  <c r="D58" i="39" s="1"/>
  <c r="E58" i="39" s="1"/>
  <c r="BA21" i="41"/>
  <c r="BA20" i="42"/>
  <c r="BA23" i="39"/>
  <c r="BN23" i="14"/>
  <c r="BJ22" i="14"/>
  <c r="BN33" i="5"/>
  <c r="BJ32" i="5"/>
  <c r="BG65" i="72"/>
  <c r="BB65" i="72"/>
  <c r="AQ327" i="72"/>
  <c r="W14" i="42"/>
  <c r="K24" i="35"/>
  <c r="L24" i="35" s="1"/>
  <c r="E24" i="35" s="1"/>
  <c r="D63" i="35" s="1"/>
  <c r="EU26" i="5"/>
  <c r="BN24" i="13"/>
  <c r="BJ23" i="13"/>
  <c r="BG372" i="72"/>
  <c r="BB372" i="72"/>
  <c r="BN27" i="10"/>
  <c r="BJ26" i="10"/>
  <c r="FB25" i="10"/>
  <c r="BH25" i="10" s="1"/>
  <c r="A287" i="72"/>
  <c r="A23" i="40"/>
  <c r="BG108" i="72"/>
  <c r="AY108" i="72"/>
  <c r="BB108" i="72"/>
  <c r="AL22" i="45"/>
  <c r="AM91" i="74"/>
  <c r="AM93" i="74" s="1"/>
  <c r="AL15" i="15"/>
  <c r="BJ10" i="45"/>
  <c r="BJ11" i="45" s="1"/>
  <c r="AL16" i="59" s="1"/>
  <c r="P22" i="15"/>
  <c r="T22" i="15" s="1"/>
  <c r="BY15" i="45"/>
  <c r="BZ15" i="45" s="1"/>
  <c r="BV15" i="45"/>
  <c r="BV13" i="45"/>
  <c r="BX13" i="45" s="1"/>
  <c r="BY13" i="45"/>
  <c r="BZ13" i="45" s="1"/>
  <c r="BO21" i="45"/>
  <c r="BO11" i="45" s="1"/>
  <c r="BO10" i="45" s="1"/>
  <c r="BY20" i="45"/>
  <c r="BZ20" i="45" s="1"/>
  <c r="BV20" i="45"/>
  <c r="BX20" i="45" s="1"/>
  <c r="AK21" i="45"/>
  <c r="AK11" i="45" s="1"/>
  <c r="AR13" i="45"/>
  <c r="AT13" i="45" s="1"/>
  <c r="AU13" i="45"/>
  <c r="AV13" i="45" s="1"/>
  <c r="BW21" i="45"/>
  <c r="BV19" i="45"/>
  <c r="BY19" i="45"/>
  <c r="BZ19" i="45" s="1"/>
  <c r="AR15" i="45"/>
  <c r="AT15" i="45" s="1"/>
  <c r="AU15" i="45"/>
  <c r="AV15" i="45" s="1"/>
  <c r="AR20" i="45"/>
  <c r="AT20" i="45" s="1"/>
  <c r="AU20" i="45"/>
  <c r="AV20" i="45" s="1"/>
  <c r="AM16" i="59"/>
  <c r="BA28" i="18"/>
  <c r="BE28" i="18" s="1"/>
  <c r="BJ56" i="41"/>
  <c r="GS10" i="34" s="1"/>
  <c r="Q17" i="43"/>
  <c r="AC11" i="43"/>
  <c r="AC10" i="43"/>
  <c r="Q16" i="43"/>
  <c r="BF64" i="72"/>
  <c r="BC64" i="72"/>
  <c r="BD64" i="72" s="1"/>
  <c r="AM64" i="72" s="1"/>
  <c r="AP64" i="72" s="1"/>
  <c r="AY328" i="72"/>
  <c r="I24" i="37"/>
  <c r="BC239" i="72"/>
  <c r="BD239" i="72" s="1"/>
  <c r="AM239" i="72" s="1"/>
  <c r="AP239" i="72" s="1"/>
  <c r="BF239" i="72"/>
  <c r="BJ25" i="11"/>
  <c r="BN26" i="11"/>
  <c r="BN25" i="12"/>
  <c r="BJ24" i="12"/>
  <c r="FB26" i="9"/>
  <c r="BH26" i="9" s="1"/>
  <c r="A243" i="72"/>
  <c r="A24" i="39"/>
  <c r="BA18" i="44"/>
  <c r="BA26" i="36"/>
  <c r="K18" i="40"/>
  <c r="L18" i="40" s="1"/>
  <c r="E18" i="40" s="1"/>
  <c r="D57" i="40" s="1"/>
  <c r="BN30" i="7"/>
  <c r="BJ29" i="7"/>
  <c r="BN31" i="6"/>
  <c r="BJ30" i="6"/>
  <c r="K22" i="36"/>
  <c r="L22" i="36" s="1"/>
  <c r="E22" i="36" s="1"/>
  <c r="D61" i="36" s="1"/>
  <c r="BN29" i="8"/>
  <c r="BJ28" i="8"/>
  <c r="L329" i="72"/>
  <c r="M329" i="72" s="1"/>
  <c r="AY152" i="72"/>
  <c r="AM44" i="44"/>
  <c r="AO44" i="44" s="1"/>
  <c r="L66" i="72"/>
  <c r="M66" i="72" s="1"/>
  <c r="W11" i="45"/>
  <c r="P36" i="45"/>
  <c r="Q36" i="45"/>
  <c r="BJ21" i="15"/>
  <c r="BN22" i="15"/>
  <c r="AY284" i="72"/>
  <c r="W13" i="42"/>
  <c r="A23" i="72"/>
  <c r="A29" i="18"/>
  <c r="FB31" i="4"/>
  <c r="BH31" i="4" s="1"/>
  <c r="AY196" i="72"/>
  <c r="BG196" i="72"/>
  <c r="BB196" i="72"/>
  <c r="L417" i="72"/>
  <c r="M417" i="72" s="1"/>
  <c r="I25" i="36"/>
  <c r="K21" i="37"/>
  <c r="L21" i="37" s="1"/>
  <c r="E21" i="37" s="1"/>
  <c r="D60" i="37" s="1"/>
  <c r="AQ239" i="72"/>
  <c r="A19" i="44"/>
  <c r="FB21" i="14"/>
  <c r="BH21" i="14" s="1"/>
  <c r="A463" i="72"/>
  <c r="P21" i="14"/>
  <c r="T21" i="14" s="1"/>
  <c r="Q10" i="44"/>
  <c r="Q11" i="44"/>
  <c r="FB31" i="5"/>
  <c r="BH31" i="5" s="1"/>
  <c r="A29" i="35"/>
  <c r="A68" i="72"/>
  <c r="AY65" i="72"/>
  <c r="I27" i="18"/>
  <c r="BF151" i="72"/>
  <c r="BC151" i="72"/>
  <c r="BD151" i="72" s="1"/>
  <c r="AM151" i="72" s="1"/>
  <c r="AP151" i="72" s="1"/>
  <c r="A20" i="43"/>
  <c r="A419" i="72"/>
  <c r="FB22" i="13"/>
  <c r="BH22" i="13" s="1"/>
  <c r="BF283" i="72"/>
  <c r="BC283" i="72"/>
  <c r="BD283" i="72" s="1"/>
  <c r="AY372" i="72"/>
  <c r="AY240" i="72"/>
  <c r="BG240" i="72"/>
  <c r="BB240" i="72"/>
  <c r="BX14" i="44" l="1"/>
  <c r="BQ29" i="44"/>
  <c r="BR29" i="44" s="1"/>
  <c r="AM41" i="44"/>
  <c r="AO41" i="44" s="1"/>
  <c r="C27" i="75"/>
  <c r="AP48" i="42"/>
  <c r="AQ48" i="42" s="1"/>
  <c r="D120" i="77"/>
  <c r="D132" i="77"/>
  <c r="C122" i="77"/>
  <c r="C134" i="77"/>
  <c r="D121" i="77"/>
  <c r="D133" i="77"/>
  <c r="BJ45" i="42"/>
  <c r="BJ56" i="42" s="1"/>
  <c r="GS11" i="34" s="1"/>
  <c r="J18" i="43"/>
  <c r="GV8" i="34"/>
  <c r="BY31" i="44"/>
  <c r="BZ31" i="44" s="1"/>
  <c r="AH15" i="59"/>
  <c r="BX19" i="44"/>
  <c r="BY32" i="44"/>
  <c r="BZ32" i="44" s="1"/>
  <c r="AG15" i="59"/>
  <c r="CA17" i="44"/>
  <c r="CB17" i="44"/>
  <c r="CA19" i="44"/>
  <c r="AB11" i="59"/>
  <c r="GT9" i="34"/>
  <c r="T27" i="9"/>
  <c r="GU8" i="34"/>
  <c r="BY30" i="44"/>
  <c r="BZ30" i="44" s="1"/>
  <c r="AM46" i="44"/>
  <c r="AO46" i="44" s="1"/>
  <c r="J21" i="41"/>
  <c r="BY33" i="44"/>
  <c r="BZ33" i="44" s="1"/>
  <c r="CA33" i="44" s="1"/>
  <c r="CB33" i="44" s="1"/>
  <c r="AM40" i="44"/>
  <c r="BY29" i="44"/>
  <c r="BZ29" i="44" s="1"/>
  <c r="BY28" i="44"/>
  <c r="BZ28" i="44" s="1"/>
  <c r="CA28" i="44" s="1"/>
  <c r="CB28" i="44" s="1"/>
  <c r="AX15" i="44"/>
  <c r="AP41" i="44" s="1"/>
  <c r="AQ41" i="44" s="1"/>
  <c r="AM39" i="44"/>
  <c r="AW16" i="44"/>
  <c r="AX16" i="44" s="1"/>
  <c r="AM45" i="44"/>
  <c r="AO45" i="44" s="1"/>
  <c r="CB15" i="44"/>
  <c r="AV21" i="44"/>
  <c r="AL27" i="44" s="1"/>
  <c r="AI83" i="44" s="1"/>
  <c r="BJ29" i="42"/>
  <c r="BH29" i="42"/>
  <c r="E57" i="40"/>
  <c r="G58" i="39"/>
  <c r="F58" i="39"/>
  <c r="G57" i="39"/>
  <c r="F57" i="39"/>
  <c r="AX18" i="44"/>
  <c r="AP44" i="44" s="1"/>
  <c r="AQ44" i="44" s="1"/>
  <c r="AW18" i="44"/>
  <c r="BX13" i="44"/>
  <c r="BX21" i="44" s="1"/>
  <c r="AT17" i="44"/>
  <c r="CA18" i="44"/>
  <c r="BQ33" i="44"/>
  <c r="BR33" i="44" s="1"/>
  <c r="BS33" i="44" s="1"/>
  <c r="BT33" i="44" s="1"/>
  <c r="AI15" i="59"/>
  <c r="AT13" i="44"/>
  <c r="AT15" i="44"/>
  <c r="CA14" i="44"/>
  <c r="CB14" i="44" s="1"/>
  <c r="BQ28" i="44"/>
  <c r="BR28" i="44" s="1"/>
  <c r="BS28" i="44" s="1"/>
  <c r="BQ30" i="44"/>
  <c r="BR30" i="44" s="1"/>
  <c r="AF15" i="59"/>
  <c r="CA15" i="44"/>
  <c r="AX17" i="44"/>
  <c r="AP45" i="43"/>
  <c r="AQ45" i="43" s="1"/>
  <c r="J22" i="40"/>
  <c r="J28" i="35"/>
  <c r="D18" i="51"/>
  <c r="BP16" i="59"/>
  <c r="D20" i="51"/>
  <c r="AW19" i="44"/>
  <c r="J24" i="38"/>
  <c r="AX19" i="44"/>
  <c r="AW20" i="44"/>
  <c r="AM42" i="44"/>
  <c r="AT16" i="44"/>
  <c r="AX20" i="44"/>
  <c r="BI50" i="41"/>
  <c r="BZ21" i="44"/>
  <c r="CA20" i="44"/>
  <c r="CB19" i="44"/>
  <c r="BS34" i="44" s="1"/>
  <c r="BT34" i="44" s="1"/>
  <c r="AR21" i="44"/>
  <c r="CA16" i="44"/>
  <c r="CB16" i="44" s="1"/>
  <c r="BQ31" i="44"/>
  <c r="BR31" i="44" s="1"/>
  <c r="BY34" i="44"/>
  <c r="BZ34" i="44" s="1"/>
  <c r="BY35" i="44"/>
  <c r="BZ35" i="44" s="1"/>
  <c r="BQ35" i="44"/>
  <c r="BR35" i="44" s="1"/>
  <c r="CB20" i="44"/>
  <c r="ER21" i="9"/>
  <c r="AW14" i="44"/>
  <c r="AX14" i="44" s="1"/>
  <c r="J18" i="44"/>
  <c r="J23" i="39"/>
  <c r="AK15" i="59"/>
  <c r="BV21" i="44"/>
  <c r="GC31" i="5"/>
  <c r="FX45" i="34" s="1"/>
  <c r="GC22" i="13"/>
  <c r="FX284" i="34" s="1"/>
  <c r="GC26" i="9"/>
  <c r="FX164" i="34" s="1"/>
  <c r="GC27" i="8"/>
  <c r="FX134" i="34" s="1"/>
  <c r="GC25" i="10"/>
  <c r="FX194" i="34" s="1"/>
  <c r="GC29" i="6"/>
  <c r="FX74" i="34" s="1"/>
  <c r="GC24" i="11"/>
  <c r="FX224" i="34" s="1"/>
  <c r="GC21" i="14"/>
  <c r="FX314" i="34" s="1"/>
  <c r="GC28" i="7"/>
  <c r="FX104" i="34" s="1"/>
  <c r="GC23" i="12"/>
  <c r="FX254" i="34" s="1"/>
  <c r="GC31" i="4"/>
  <c r="FX14" i="34" s="1"/>
  <c r="J25" i="37"/>
  <c r="C31" i="75"/>
  <c r="CA31" i="43"/>
  <c r="CB31" i="43" s="1"/>
  <c r="J19" i="43"/>
  <c r="J20" i="42"/>
  <c r="J26" i="36"/>
  <c r="C28" i="75"/>
  <c r="C43" i="75"/>
  <c r="C29" i="75"/>
  <c r="C44" i="75"/>
  <c r="AI417" i="72"/>
  <c r="AI66" i="72"/>
  <c r="AQ66" i="72" s="1"/>
  <c r="AI153" i="72"/>
  <c r="AQ153" i="72" s="1"/>
  <c r="AI285" i="72"/>
  <c r="AQ285" i="72" s="1"/>
  <c r="AI241" i="72"/>
  <c r="AI373" i="72"/>
  <c r="AQ373" i="72" s="1"/>
  <c r="AI109" i="72"/>
  <c r="AI329" i="72"/>
  <c r="AQ329" i="72" s="1"/>
  <c r="W374" i="72"/>
  <c r="X374" i="72" s="1"/>
  <c r="Z374" i="72"/>
  <c r="W22" i="72"/>
  <c r="X22" i="72" s="1"/>
  <c r="Z22" i="72"/>
  <c r="W198" i="72"/>
  <c r="X198" i="72" s="1"/>
  <c r="Z198" i="72"/>
  <c r="W67" i="72"/>
  <c r="X67" i="72" s="1"/>
  <c r="Z67" i="72"/>
  <c r="W418" i="72"/>
  <c r="X418" i="72" s="1"/>
  <c r="AA418" i="72"/>
  <c r="AA286" i="72"/>
  <c r="W286" i="72"/>
  <c r="X286" i="72" s="1"/>
  <c r="W330" i="72"/>
  <c r="X330" i="72" s="1"/>
  <c r="AA330" i="72"/>
  <c r="AA110" i="72"/>
  <c r="W110" i="72"/>
  <c r="X110" i="72" s="1"/>
  <c r="AA462" i="72"/>
  <c r="W462" i="72"/>
  <c r="X462" i="72" s="1"/>
  <c r="W154" i="72"/>
  <c r="X154" i="72" s="1"/>
  <c r="AA154" i="72"/>
  <c r="AI197" i="72"/>
  <c r="AI21" i="72"/>
  <c r="W242" i="72"/>
  <c r="X242" i="72" s="1"/>
  <c r="AA242" i="72"/>
  <c r="FS31" i="4"/>
  <c r="BE31" i="4"/>
  <c r="BC31" i="4" s="1"/>
  <c r="FS31" i="5"/>
  <c r="BE31" i="5"/>
  <c r="BC31" i="5" s="1"/>
  <c r="FS28" i="7"/>
  <c r="BE28" i="7"/>
  <c r="BC28" i="7" s="1"/>
  <c r="FS24" i="11"/>
  <c r="BE24" i="11"/>
  <c r="BC24" i="11" s="1"/>
  <c r="FS26" i="9"/>
  <c r="BE26" i="9"/>
  <c r="FS23" i="12"/>
  <c r="BE23" i="12"/>
  <c r="BC23" i="12" s="1"/>
  <c r="FS22" i="13"/>
  <c r="BE22" i="13"/>
  <c r="BC22" i="13" s="1"/>
  <c r="FS25" i="10"/>
  <c r="BE25" i="10"/>
  <c r="BC25" i="10" s="1"/>
  <c r="BH20" i="15"/>
  <c r="GC20" i="15" s="1"/>
  <c r="FX344" i="34" s="1"/>
  <c r="FS27" i="8"/>
  <c r="BE27" i="8"/>
  <c r="FS21" i="14"/>
  <c r="BE21" i="14"/>
  <c r="BC21" i="14" s="1"/>
  <c r="FS29" i="6"/>
  <c r="BE29" i="6"/>
  <c r="BC29" i="6" s="1"/>
  <c r="ED374" i="72"/>
  <c r="EE374" i="72" s="1"/>
  <c r="EV23" i="9"/>
  <c r="AA23" i="9" s="1"/>
  <c r="EV22" i="10"/>
  <c r="AA22" i="10" s="1"/>
  <c r="EV21" i="11"/>
  <c r="AA21" i="11" s="1"/>
  <c r="EV22" i="4"/>
  <c r="AA22" i="4" s="1"/>
  <c r="EV24" i="8"/>
  <c r="AA24" i="8" s="1"/>
  <c r="EV26" i="6"/>
  <c r="AA26" i="6" s="1"/>
  <c r="EV20" i="12"/>
  <c r="AA20" i="12" s="1"/>
  <c r="EV28" i="5"/>
  <c r="AA28" i="5" s="1"/>
  <c r="EV25" i="7"/>
  <c r="AA25" i="7" s="1"/>
  <c r="ED330" i="72"/>
  <c r="EE330" i="72" s="1"/>
  <c r="ED67" i="72"/>
  <c r="EE67" i="72" s="1"/>
  <c r="H20" i="43"/>
  <c r="EM20" i="43"/>
  <c r="H29" i="35"/>
  <c r="EM29" i="35"/>
  <c r="CD417" i="72"/>
  <c r="CD197" i="72"/>
  <c r="CD153" i="72"/>
  <c r="EM18" i="45"/>
  <c r="C98" i="77"/>
  <c r="C110" i="77"/>
  <c r="EB111" i="72"/>
  <c r="DX111" i="72"/>
  <c r="EC111" i="72"/>
  <c r="DY111" i="72"/>
  <c r="DU111" i="72"/>
  <c r="EA111" i="72"/>
  <c r="DZ111" i="72"/>
  <c r="EH111" i="72"/>
  <c r="EI111" i="72" s="1"/>
  <c r="DW111" i="72"/>
  <c r="DV111" i="72"/>
  <c r="EC375" i="72"/>
  <c r="DY375" i="72"/>
  <c r="DU375" i="72"/>
  <c r="EB375" i="72"/>
  <c r="DX375" i="72"/>
  <c r="EH375" i="72"/>
  <c r="EI375" i="72" s="1"/>
  <c r="EA375" i="72"/>
  <c r="DW375" i="72"/>
  <c r="DZ375" i="72"/>
  <c r="DV375" i="72"/>
  <c r="CD373" i="72"/>
  <c r="D97" i="77"/>
  <c r="D109" i="77"/>
  <c r="ED286" i="72"/>
  <c r="EE286" i="72" s="1"/>
  <c r="H29" i="18"/>
  <c r="EM29" i="18"/>
  <c r="H24" i="39"/>
  <c r="EM24" i="39"/>
  <c r="H23" i="40"/>
  <c r="EM23" i="40"/>
  <c r="H25" i="38"/>
  <c r="EM25" i="38"/>
  <c r="H26" i="37"/>
  <c r="EM26" i="37"/>
  <c r="ED198" i="72"/>
  <c r="EE198" i="72" s="1"/>
  <c r="ED110" i="72"/>
  <c r="EE110" i="72" s="1"/>
  <c r="ED462" i="72"/>
  <c r="EE462" i="72" s="1"/>
  <c r="DZ23" i="72"/>
  <c r="DV23" i="72"/>
  <c r="EC23" i="72"/>
  <c r="DY23" i="72"/>
  <c r="DU23" i="72"/>
  <c r="EB23" i="72"/>
  <c r="DX23" i="72"/>
  <c r="EH23" i="72"/>
  <c r="EI23" i="72" s="1"/>
  <c r="EA23" i="72"/>
  <c r="DW23" i="72"/>
  <c r="CD66" i="72"/>
  <c r="CD329" i="72"/>
  <c r="EH243" i="72"/>
  <c r="EI243" i="72" s="1"/>
  <c r="EB243" i="72"/>
  <c r="DX243" i="72"/>
  <c r="EA243" i="72"/>
  <c r="DW243" i="72"/>
  <c r="DZ243" i="72"/>
  <c r="DV243" i="72"/>
  <c r="EC243" i="72"/>
  <c r="DY243" i="72"/>
  <c r="DU243" i="72"/>
  <c r="EA287" i="72"/>
  <c r="DW287" i="72"/>
  <c r="DZ287" i="72"/>
  <c r="DV287" i="72"/>
  <c r="EC287" i="72"/>
  <c r="DY287" i="72"/>
  <c r="DU287" i="72"/>
  <c r="EH287" i="72"/>
  <c r="EI287" i="72" s="1"/>
  <c r="EB287" i="72"/>
  <c r="DX287" i="72"/>
  <c r="DZ155" i="72"/>
  <c r="DV155" i="72"/>
  <c r="EC155" i="72"/>
  <c r="DY155" i="72"/>
  <c r="DU155" i="72"/>
  <c r="EB155" i="72"/>
  <c r="DX155" i="72"/>
  <c r="EH155" i="72"/>
  <c r="EI155" i="72" s="1"/>
  <c r="EA155" i="72"/>
  <c r="DW155" i="72"/>
  <c r="DZ331" i="72"/>
  <c r="DV331" i="72"/>
  <c r="EC331" i="72"/>
  <c r="DY331" i="72"/>
  <c r="DU331" i="72"/>
  <c r="EH331" i="72"/>
  <c r="EI331" i="72" s="1"/>
  <c r="EB331" i="72"/>
  <c r="DX331" i="72"/>
  <c r="EA331" i="72"/>
  <c r="DW331" i="72"/>
  <c r="D96" i="77"/>
  <c r="D108" i="77"/>
  <c r="ED154" i="72"/>
  <c r="EE154" i="72" s="1"/>
  <c r="ED22" i="72"/>
  <c r="EE22" i="72" s="1"/>
  <c r="H19" i="44"/>
  <c r="EM19" i="44"/>
  <c r="AM283" i="72"/>
  <c r="AP283" i="72" s="1"/>
  <c r="EU21" i="10" s="1"/>
  <c r="DZ419" i="72"/>
  <c r="DV419" i="72"/>
  <c r="EC419" i="72"/>
  <c r="DY419" i="72"/>
  <c r="DU419" i="72"/>
  <c r="EH419" i="72"/>
  <c r="EI419" i="72" s="1"/>
  <c r="EB419" i="72"/>
  <c r="DX419" i="72"/>
  <c r="EA419" i="72"/>
  <c r="DW419" i="72"/>
  <c r="EH68" i="72"/>
  <c r="EI68" i="72" s="1"/>
  <c r="EA68" i="72"/>
  <c r="DW68" i="72"/>
  <c r="DZ68" i="72"/>
  <c r="DV68" i="72"/>
  <c r="EC68" i="72"/>
  <c r="DY68" i="72"/>
  <c r="DU68" i="72"/>
  <c r="EB68" i="72"/>
  <c r="DX68" i="72"/>
  <c r="EC463" i="72"/>
  <c r="DY463" i="72"/>
  <c r="DU463" i="72"/>
  <c r="EH463" i="72"/>
  <c r="EI463" i="72" s="1"/>
  <c r="EB463" i="72"/>
  <c r="DX463" i="72"/>
  <c r="EA463" i="72"/>
  <c r="DW463" i="72"/>
  <c r="DZ463" i="72"/>
  <c r="DV463" i="72"/>
  <c r="CD109" i="72"/>
  <c r="EA507" i="72"/>
  <c r="DW507" i="72"/>
  <c r="DZ507" i="72"/>
  <c r="DV507" i="72"/>
  <c r="EC507" i="72"/>
  <c r="DY507" i="72"/>
  <c r="DU507" i="72"/>
  <c r="EH507" i="72"/>
  <c r="EI507" i="72" s="1"/>
  <c r="EB507" i="72"/>
  <c r="DX507" i="72"/>
  <c r="EB199" i="72"/>
  <c r="DX199" i="72"/>
  <c r="EH199" i="72"/>
  <c r="EI199" i="72" s="1"/>
  <c r="EA199" i="72"/>
  <c r="DW199" i="72"/>
  <c r="DZ199" i="72"/>
  <c r="DV199" i="72"/>
  <c r="EC199" i="72"/>
  <c r="DY199" i="72"/>
  <c r="DU199" i="72"/>
  <c r="H27" i="36"/>
  <c r="EM27" i="36"/>
  <c r="H21" i="42"/>
  <c r="EM21" i="42"/>
  <c r="H22" i="41"/>
  <c r="EM22" i="41"/>
  <c r="CD285" i="72"/>
  <c r="AM195" i="72"/>
  <c r="AP195" i="72" s="1"/>
  <c r="EU23" i="8" s="1"/>
  <c r="CD241" i="72"/>
  <c r="ED418" i="72"/>
  <c r="EE418" i="72" s="1"/>
  <c r="ED242" i="72"/>
  <c r="EE242" i="72" s="1"/>
  <c r="CA33" i="43"/>
  <c r="CB33" i="43" s="1"/>
  <c r="K287" i="72"/>
  <c r="V287" i="72" s="1"/>
  <c r="AG287" i="72" s="1"/>
  <c r="G287" i="72"/>
  <c r="R287" i="72" s="1"/>
  <c r="AC287" i="72" s="1"/>
  <c r="J287" i="72"/>
  <c r="U287" i="72" s="1"/>
  <c r="AF287" i="72" s="1"/>
  <c r="F287" i="72"/>
  <c r="Q287" i="72" s="1"/>
  <c r="AB287" i="72" s="1"/>
  <c r="I287" i="72"/>
  <c r="T287" i="72" s="1"/>
  <c r="AE287" i="72" s="1"/>
  <c r="E287" i="72"/>
  <c r="P287" i="72" s="1"/>
  <c r="H287" i="72"/>
  <c r="S287" i="72" s="1"/>
  <c r="AD287" i="72" s="1"/>
  <c r="D287" i="72"/>
  <c r="O287" i="72" s="1"/>
  <c r="Z287" i="72" s="1"/>
  <c r="K507" i="72"/>
  <c r="V507" i="72" s="1"/>
  <c r="AG507" i="72" s="1"/>
  <c r="G507" i="72"/>
  <c r="R507" i="72" s="1"/>
  <c r="AC507" i="72" s="1"/>
  <c r="J507" i="72"/>
  <c r="U507" i="72" s="1"/>
  <c r="AF507" i="72" s="1"/>
  <c r="F507" i="72"/>
  <c r="Q507" i="72" s="1"/>
  <c r="AB507" i="72" s="1"/>
  <c r="I507" i="72"/>
  <c r="T507" i="72" s="1"/>
  <c r="AE507" i="72" s="1"/>
  <c r="E507" i="72"/>
  <c r="P507" i="72" s="1"/>
  <c r="H507" i="72"/>
  <c r="S507" i="72" s="1"/>
  <c r="AD507" i="72" s="1"/>
  <c r="D507" i="72"/>
  <c r="O507" i="72" s="1"/>
  <c r="Z507" i="72" s="1"/>
  <c r="K199" i="72"/>
  <c r="V199" i="72" s="1"/>
  <c r="AG199" i="72" s="1"/>
  <c r="G199" i="72"/>
  <c r="R199" i="72" s="1"/>
  <c r="AC199" i="72" s="1"/>
  <c r="J199" i="72"/>
  <c r="U199" i="72" s="1"/>
  <c r="AF199" i="72" s="1"/>
  <c r="F199" i="72"/>
  <c r="Q199" i="72" s="1"/>
  <c r="AB199" i="72" s="1"/>
  <c r="I199" i="72"/>
  <c r="T199" i="72" s="1"/>
  <c r="AE199" i="72" s="1"/>
  <c r="E199" i="72"/>
  <c r="P199" i="72" s="1"/>
  <c r="H199" i="72"/>
  <c r="S199" i="72" s="1"/>
  <c r="AD199" i="72" s="1"/>
  <c r="D199" i="72"/>
  <c r="O199" i="72" s="1"/>
  <c r="Z199" i="72" s="1"/>
  <c r="K155" i="72"/>
  <c r="V155" i="72" s="1"/>
  <c r="AG155" i="72" s="1"/>
  <c r="G155" i="72"/>
  <c r="R155" i="72" s="1"/>
  <c r="AC155" i="72" s="1"/>
  <c r="J155" i="72"/>
  <c r="U155" i="72" s="1"/>
  <c r="AF155" i="72" s="1"/>
  <c r="F155" i="72"/>
  <c r="Q155" i="72" s="1"/>
  <c r="AB155" i="72" s="1"/>
  <c r="I155" i="72"/>
  <c r="T155" i="72" s="1"/>
  <c r="AE155" i="72" s="1"/>
  <c r="E155" i="72"/>
  <c r="P155" i="72" s="1"/>
  <c r="H155" i="72"/>
  <c r="S155" i="72" s="1"/>
  <c r="AD155" i="72" s="1"/>
  <c r="D155" i="72"/>
  <c r="O155" i="72" s="1"/>
  <c r="Z155" i="72" s="1"/>
  <c r="K375" i="72"/>
  <c r="V375" i="72" s="1"/>
  <c r="AG375" i="72" s="1"/>
  <c r="G375" i="72"/>
  <c r="R375" i="72" s="1"/>
  <c r="AC375" i="72" s="1"/>
  <c r="J375" i="72"/>
  <c r="U375" i="72" s="1"/>
  <c r="AF375" i="72" s="1"/>
  <c r="F375" i="72"/>
  <c r="Q375" i="72" s="1"/>
  <c r="AB375" i="72" s="1"/>
  <c r="I375" i="72"/>
  <c r="T375" i="72" s="1"/>
  <c r="AE375" i="72" s="1"/>
  <c r="E375" i="72"/>
  <c r="P375" i="72" s="1"/>
  <c r="H375" i="72"/>
  <c r="S375" i="72" s="1"/>
  <c r="AD375" i="72" s="1"/>
  <c r="D375" i="72"/>
  <c r="O375" i="72" s="1"/>
  <c r="Z375" i="72" s="1"/>
  <c r="AI79" i="42"/>
  <c r="BS29" i="43"/>
  <c r="BT29" i="43" s="1"/>
  <c r="K23" i="72"/>
  <c r="V23" i="72" s="1"/>
  <c r="AG23" i="72" s="1"/>
  <c r="G23" i="72"/>
  <c r="R23" i="72" s="1"/>
  <c r="AC23" i="72" s="1"/>
  <c r="J23" i="72"/>
  <c r="U23" i="72" s="1"/>
  <c r="AF23" i="72" s="1"/>
  <c r="F23" i="72"/>
  <c r="Q23" i="72" s="1"/>
  <c r="AB23" i="72" s="1"/>
  <c r="I23" i="72"/>
  <c r="T23" i="72" s="1"/>
  <c r="AE23" i="72" s="1"/>
  <c r="E23" i="72"/>
  <c r="P23" i="72" s="1"/>
  <c r="H23" i="72"/>
  <c r="S23" i="72" s="1"/>
  <c r="AD23" i="72" s="1"/>
  <c r="D23" i="72"/>
  <c r="O23" i="72" s="1"/>
  <c r="Z23" i="72" s="1"/>
  <c r="K419" i="72"/>
  <c r="V419" i="72" s="1"/>
  <c r="AG419" i="72" s="1"/>
  <c r="G419" i="72"/>
  <c r="R419" i="72" s="1"/>
  <c r="AC419" i="72" s="1"/>
  <c r="J419" i="72"/>
  <c r="U419" i="72" s="1"/>
  <c r="AF419" i="72" s="1"/>
  <c r="F419" i="72"/>
  <c r="Q419" i="72" s="1"/>
  <c r="AB419" i="72" s="1"/>
  <c r="I419" i="72"/>
  <c r="T419" i="72" s="1"/>
  <c r="AE419" i="72" s="1"/>
  <c r="E419" i="72"/>
  <c r="P419" i="72" s="1"/>
  <c r="AA419" i="72" s="1"/>
  <c r="H419" i="72"/>
  <c r="S419" i="72" s="1"/>
  <c r="AD419" i="72" s="1"/>
  <c r="D419" i="72"/>
  <c r="O419" i="72" s="1"/>
  <c r="K68" i="72"/>
  <c r="V68" i="72" s="1"/>
  <c r="AG68" i="72" s="1"/>
  <c r="G68" i="72"/>
  <c r="R68" i="72" s="1"/>
  <c r="AC68" i="72" s="1"/>
  <c r="J68" i="72"/>
  <c r="U68" i="72" s="1"/>
  <c r="AF68" i="72" s="1"/>
  <c r="F68" i="72"/>
  <c r="Q68" i="72" s="1"/>
  <c r="AB68" i="72" s="1"/>
  <c r="I68" i="72"/>
  <c r="T68" i="72" s="1"/>
  <c r="AE68" i="72" s="1"/>
  <c r="E68" i="72"/>
  <c r="P68" i="72" s="1"/>
  <c r="H68" i="72"/>
  <c r="S68" i="72" s="1"/>
  <c r="AD68" i="72" s="1"/>
  <c r="D68" i="72"/>
  <c r="O68" i="72" s="1"/>
  <c r="Z68" i="72" s="1"/>
  <c r="K463" i="72"/>
  <c r="V463" i="72" s="1"/>
  <c r="AG463" i="72" s="1"/>
  <c r="G463" i="72"/>
  <c r="R463" i="72" s="1"/>
  <c r="AC463" i="72" s="1"/>
  <c r="J463" i="72"/>
  <c r="U463" i="72" s="1"/>
  <c r="AF463" i="72" s="1"/>
  <c r="F463" i="72"/>
  <c r="Q463" i="72" s="1"/>
  <c r="AB463" i="72" s="1"/>
  <c r="I463" i="72"/>
  <c r="T463" i="72" s="1"/>
  <c r="AE463" i="72" s="1"/>
  <c r="E463" i="72"/>
  <c r="P463" i="72" s="1"/>
  <c r="H463" i="72"/>
  <c r="S463" i="72" s="1"/>
  <c r="AD463" i="72" s="1"/>
  <c r="D463" i="72"/>
  <c r="O463" i="72" s="1"/>
  <c r="Z463" i="72" s="1"/>
  <c r="K243" i="72"/>
  <c r="V243" i="72" s="1"/>
  <c r="AG243" i="72" s="1"/>
  <c r="G243" i="72"/>
  <c r="R243" i="72" s="1"/>
  <c r="AC243" i="72" s="1"/>
  <c r="J243" i="72"/>
  <c r="U243" i="72" s="1"/>
  <c r="AF243" i="72" s="1"/>
  <c r="F243" i="72"/>
  <c r="Q243" i="72" s="1"/>
  <c r="AB243" i="72" s="1"/>
  <c r="I243" i="72"/>
  <c r="T243" i="72" s="1"/>
  <c r="AE243" i="72" s="1"/>
  <c r="E243" i="72"/>
  <c r="P243" i="72" s="1"/>
  <c r="AA243" i="72" s="1"/>
  <c r="H243" i="72"/>
  <c r="S243" i="72" s="1"/>
  <c r="AD243" i="72" s="1"/>
  <c r="D243" i="72"/>
  <c r="O243" i="72" s="1"/>
  <c r="K111" i="72"/>
  <c r="V111" i="72" s="1"/>
  <c r="AG111" i="72" s="1"/>
  <c r="G111" i="72"/>
  <c r="R111" i="72" s="1"/>
  <c r="AC111" i="72" s="1"/>
  <c r="J111" i="72"/>
  <c r="U111" i="72" s="1"/>
  <c r="AF111" i="72" s="1"/>
  <c r="F111" i="72"/>
  <c r="Q111" i="72" s="1"/>
  <c r="AB111" i="72" s="1"/>
  <c r="I111" i="72"/>
  <c r="T111" i="72" s="1"/>
  <c r="AE111" i="72" s="1"/>
  <c r="E111" i="72"/>
  <c r="P111" i="72" s="1"/>
  <c r="H111" i="72"/>
  <c r="S111" i="72" s="1"/>
  <c r="AD111" i="72" s="1"/>
  <c r="D111" i="72"/>
  <c r="O111" i="72" s="1"/>
  <c r="Z111" i="72" s="1"/>
  <c r="K331" i="72"/>
  <c r="V331" i="72" s="1"/>
  <c r="AG331" i="72" s="1"/>
  <c r="G331" i="72"/>
  <c r="R331" i="72" s="1"/>
  <c r="AC331" i="72" s="1"/>
  <c r="J331" i="72"/>
  <c r="U331" i="72" s="1"/>
  <c r="AF331" i="72" s="1"/>
  <c r="F331" i="72"/>
  <c r="Q331" i="72" s="1"/>
  <c r="AB331" i="72" s="1"/>
  <c r="I331" i="72"/>
  <c r="T331" i="72" s="1"/>
  <c r="AE331" i="72" s="1"/>
  <c r="E331" i="72"/>
  <c r="P331" i="72" s="1"/>
  <c r="H331" i="72"/>
  <c r="S331" i="72" s="1"/>
  <c r="AD331" i="72" s="1"/>
  <c r="D331" i="72"/>
  <c r="O331" i="72" s="1"/>
  <c r="Z331" i="72" s="1"/>
  <c r="BW54" i="40"/>
  <c r="BJ53" i="40" s="1"/>
  <c r="GQ9" i="34" s="1"/>
  <c r="BW52" i="40"/>
  <c r="BJ61" i="40" s="1"/>
  <c r="GR9" i="34" s="1"/>
  <c r="BS33" i="43"/>
  <c r="BT33" i="43" s="1"/>
  <c r="BS32" i="43"/>
  <c r="BT32" i="43" s="1"/>
  <c r="AP44" i="43"/>
  <c r="AQ44" i="43" s="1"/>
  <c r="AL28" i="42"/>
  <c r="AI87" i="42" s="1"/>
  <c r="BT41" i="42"/>
  <c r="BQ49" i="42" s="1"/>
  <c r="BS30" i="43"/>
  <c r="BT30" i="43" s="1"/>
  <c r="BT39" i="42"/>
  <c r="BR46" i="42" s="1"/>
  <c r="BY46" i="41"/>
  <c r="CA30" i="43"/>
  <c r="CB30" i="43" s="1"/>
  <c r="AL26" i="43"/>
  <c r="AO48" i="43" s="1"/>
  <c r="BX21" i="43"/>
  <c r="BZ49" i="41"/>
  <c r="BJ64" i="41" s="1"/>
  <c r="BS31" i="43"/>
  <c r="BT31" i="43" s="1"/>
  <c r="AT21" i="43"/>
  <c r="CA28" i="43"/>
  <c r="CB28" i="43" s="1"/>
  <c r="CB41" i="42"/>
  <c r="BY49" i="42" s="1"/>
  <c r="CB39" i="42"/>
  <c r="BZ46" i="42" s="1"/>
  <c r="Q83" i="14"/>
  <c r="K28" i="51" s="1"/>
  <c r="CA29" i="43"/>
  <c r="CB29" i="43" s="1"/>
  <c r="AI83" i="43"/>
  <c r="BS28" i="43"/>
  <c r="BT28" i="43" s="1"/>
  <c r="CA34" i="43"/>
  <c r="CB34" i="43" s="1"/>
  <c r="CA35" i="43"/>
  <c r="CB35" i="43" s="1"/>
  <c r="CA32" i="43"/>
  <c r="CB32" i="43" s="1"/>
  <c r="BS35" i="43"/>
  <c r="BT35" i="43" s="1"/>
  <c r="AP46" i="43"/>
  <c r="AQ46" i="43" s="1"/>
  <c r="CA21" i="43"/>
  <c r="CB21" i="43" s="1"/>
  <c r="AW21" i="43"/>
  <c r="AX21" i="43" s="1"/>
  <c r="DK26" i="15"/>
  <c r="BZ79" i="15" s="1"/>
  <c r="D9" i="51" s="1"/>
  <c r="BC14" i="72"/>
  <c r="BD14" i="72" s="1"/>
  <c r="AM14" i="72" s="1"/>
  <c r="AP14" i="72" s="1"/>
  <c r="BF14" i="72"/>
  <c r="L16" i="72"/>
  <c r="M16" i="72" s="1"/>
  <c r="AL26" i="45"/>
  <c r="AO48" i="45" s="1"/>
  <c r="ER23" i="7"/>
  <c r="EU23" i="7"/>
  <c r="ER24" i="6"/>
  <c r="EU24" i="6"/>
  <c r="AV21" i="45"/>
  <c r="AL27" i="45" s="1"/>
  <c r="BZ21" i="45"/>
  <c r="AT21" i="45"/>
  <c r="AL24" i="45" s="1"/>
  <c r="AL25" i="45" s="1"/>
  <c r="BA19" i="44"/>
  <c r="BC240" i="72"/>
  <c r="BD240" i="72" s="1"/>
  <c r="BF240" i="72"/>
  <c r="K19" i="40"/>
  <c r="L19" i="40" s="1"/>
  <c r="E19" i="40" s="1"/>
  <c r="D58" i="40" s="1"/>
  <c r="E58" i="40" s="1"/>
  <c r="BA20" i="43"/>
  <c r="BA29" i="35"/>
  <c r="Q17" i="44"/>
  <c r="AC11" i="44"/>
  <c r="BE10" i="44"/>
  <c r="I23" i="39"/>
  <c r="I20" i="42"/>
  <c r="L330" i="72"/>
  <c r="M330" i="72" s="1"/>
  <c r="BG417" i="72"/>
  <c r="BB417" i="72"/>
  <c r="BA29" i="18"/>
  <c r="BE29" i="18" s="1"/>
  <c r="A508" i="72"/>
  <c r="FB21" i="15"/>
  <c r="BH21" i="15" s="1"/>
  <c r="GC21" i="15" s="1"/>
  <c r="FX345" i="34" s="1"/>
  <c r="A19" i="45"/>
  <c r="Q83" i="15"/>
  <c r="D28" i="51" s="1"/>
  <c r="BB16" i="59"/>
  <c r="BG66" i="72"/>
  <c r="BB66" i="72"/>
  <c r="BG329" i="72"/>
  <c r="BB329" i="72"/>
  <c r="BN30" i="8"/>
  <c r="BJ29" i="8"/>
  <c r="BN32" i="6"/>
  <c r="BJ31" i="6"/>
  <c r="BN31" i="7"/>
  <c r="BJ30" i="7"/>
  <c r="L110" i="72"/>
  <c r="M110" i="72" s="1"/>
  <c r="L154" i="72"/>
  <c r="M154" i="72" s="1"/>
  <c r="I28" i="35"/>
  <c r="L462" i="72"/>
  <c r="M462" i="72" s="1"/>
  <c r="BA24" i="39"/>
  <c r="A22" i="42"/>
  <c r="A376" i="72"/>
  <c r="FB24" i="12"/>
  <c r="BH24" i="12" s="1"/>
  <c r="BJ26" i="11"/>
  <c r="BN27" i="11"/>
  <c r="K20" i="39"/>
  <c r="L20" i="39" s="1"/>
  <c r="E20" i="39" s="1"/>
  <c r="D59" i="39" s="1"/>
  <c r="E59" i="39" s="1"/>
  <c r="ER22" i="9"/>
  <c r="K25" i="35"/>
  <c r="L25" i="35" s="1"/>
  <c r="E25" i="35" s="1"/>
  <c r="D64" i="35" s="1"/>
  <c r="W14" i="43"/>
  <c r="AW20" i="45"/>
  <c r="AM46" i="45"/>
  <c r="AO46" i="45" s="1"/>
  <c r="AX20" i="45"/>
  <c r="AM41" i="45"/>
  <c r="AO41" i="45" s="1"/>
  <c r="AW15" i="45"/>
  <c r="AX15" i="45"/>
  <c r="AJ16" i="59"/>
  <c r="CA19" i="45"/>
  <c r="BY34" i="45"/>
  <c r="BZ34" i="45" s="1"/>
  <c r="BQ34" i="45"/>
  <c r="BR34" i="45" s="1"/>
  <c r="CB19" i="45"/>
  <c r="AK10" i="45"/>
  <c r="CA15" i="45"/>
  <c r="BY30" i="45"/>
  <c r="BZ30" i="45" s="1"/>
  <c r="CB15" i="45"/>
  <c r="AF16" i="59"/>
  <c r="BQ30" i="45"/>
  <c r="BR30" i="45" s="1"/>
  <c r="Q10" i="45"/>
  <c r="P21" i="15"/>
  <c r="T21" i="15" s="1"/>
  <c r="Q11" i="45"/>
  <c r="I24" i="38"/>
  <c r="BA23" i="40"/>
  <c r="FB26" i="10"/>
  <c r="BH26" i="10" s="1"/>
  <c r="A288" i="72"/>
  <c r="A24" i="40"/>
  <c r="BC372" i="72"/>
  <c r="BD372" i="72" s="1"/>
  <c r="AM372" i="72" s="1"/>
  <c r="AP372" i="72" s="1"/>
  <c r="BF372" i="72"/>
  <c r="BN25" i="13"/>
  <c r="BJ24" i="13"/>
  <c r="BC65" i="72"/>
  <c r="BD65" i="72" s="1"/>
  <c r="AM65" i="72" s="1"/>
  <c r="AP65" i="72" s="1"/>
  <c r="BF65" i="72"/>
  <c r="A69" i="72"/>
  <c r="FB32" i="5"/>
  <c r="BH32" i="5" s="1"/>
  <c r="A30" i="35"/>
  <c r="A20" i="44"/>
  <c r="A464" i="72"/>
  <c r="FB22" i="14"/>
  <c r="BH22" i="14" s="1"/>
  <c r="L242" i="72"/>
  <c r="M242" i="72" s="1"/>
  <c r="BJ33" i="4"/>
  <c r="BN34" i="4"/>
  <c r="BS32" i="44"/>
  <c r="BT32" i="44" s="1"/>
  <c r="BC152" i="72"/>
  <c r="BD152" i="72" s="1"/>
  <c r="BF152" i="72"/>
  <c r="BA27" i="36"/>
  <c r="K18" i="41"/>
  <c r="L18" i="41" s="1"/>
  <c r="E18" i="41" s="1"/>
  <c r="D57" i="41" s="1"/>
  <c r="BJ28" i="9"/>
  <c r="BN29" i="9"/>
  <c r="BA21" i="42"/>
  <c r="BG285" i="72"/>
  <c r="BB285" i="72"/>
  <c r="BJ45" i="43"/>
  <c r="BH29" i="43"/>
  <c r="BH45" i="43"/>
  <c r="BJ29" i="43"/>
  <c r="I28" i="18"/>
  <c r="AW18" i="45"/>
  <c r="AX18" i="45"/>
  <c r="AM44" i="45"/>
  <c r="AO44" i="45" s="1"/>
  <c r="AM43" i="45"/>
  <c r="AW17" i="45"/>
  <c r="AX17" i="45" s="1"/>
  <c r="AI16" i="59"/>
  <c r="CB18" i="45"/>
  <c r="CA18" i="45"/>
  <c r="BY33" i="45"/>
  <c r="BZ33" i="45" s="1"/>
  <c r="BQ33" i="45"/>
  <c r="BR33" i="45" s="1"/>
  <c r="AM42" i="45"/>
  <c r="AW16" i="45"/>
  <c r="AX16" i="45" s="1"/>
  <c r="K21" i="38"/>
  <c r="L21" i="38" s="1"/>
  <c r="E21" i="38" s="1"/>
  <c r="D60" i="38" s="1"/>
  <c r="BG241" i="72"/>
  <c r="BB241" i="72"/>
  <c r="AQ372" i="72"/>
  <c r="K22" i="37"/>
  <c r="L22" i="37" s="1"/>
  <c r="E22" i="37" s="1"/>
  <c r="D61" i="37" s="1"/>
  <c r="AC10" i="44"/>
  <c r="Q16" i="44"/>
  <c r="L374" i="72"/>
  <c r="M374" i="72" s="1"/>
  <c r="AY417" i="72"/>
  <c r="BC196" i="72"/>
  <c r="BD196" i="72" s="1"/>
  <c r="AM196" i="72" s="1"/>
  <c r="AP196" i="72" s="1"/>
  <c r="BF196" i="72"/>
  <c r="AQ284" i="72"/>
  <c r="BN23" i="15"/>
  <c r="BJ22" i="15"/>
  <c r="AY66" i="72"/>
  <c r="AQ152" i="72"/>
  <c r="AY329" i="72"/>
  <c r="FB28" i="8"/>
  <c r="BH28" i="8" s="1"/>
  <c r="A26" i="38"/>
  <c r="A200" i="72"/>
  <c r="L286" i="72"/>
  <c r="M286" i="72" s="1"/>
  <c r="I22" i="40"/>
  <c r="A28" i="36"/>
  <c r="FB30" i="6"/>
  <c r="BH30" i="6" s="1"/>
  <c r="A112" i="72"/>
  <c r="FB29" i="7"/>
  <c r="BH29" i="7" s="1"/>
  <c r="A156" i="72"/>
  <c r="A27" i="37"/>
  <c r="ER20" i="10"/>
  <c r="I25" i="37"/>
  <c r="I19" i="43"/>
  <c r="L67" i="72"/>
  <c r="M67" i="72" s="1"/>
  <c r="BN26" i="12"/>
  <c r="BJ25" i="12"/>
  <c r="FB25" i="11"/>
  <c r="BH25" i="11" s="1"/>
  <c r="A23" i="41"/>
  <c r="A332" i="72"/>
  <c r="EU22" i="9"/>
  <c r="W13" i="43"/>
  <c r="AW13" i="45"/>
  <c r="AX13" i="45" s="1"/>
  <c r="AM39" i="45"/>
  <c r="AR21" i="45"/>
  <c r="CA20" i="45"/>
  <c r="AK16" i="59"/>
  <c r="BQ35" i="45"/>
  <c r="BR35" i="45" s="1"/>
  <c r="CB20" i="45"/>
  <c r="BY35" i="45"/>
  <c r="BZ35" i="45" s="1"/>
  <c r="AD16" i="59"/>
  <c r="BY28" i="45"/>
  <c r="BZ28" i="45" s="1"/>
  <c r="CA13" i="45"/>
  <c r="CB13" i="45" s="1"/>
  <c r="BQ28" i="45"/>
  <c r="BR28" i="45" s="1"/>
  <c r="BV21" i="45"/>
  <c r="BF108" i="72"/>
  <c r="BC108" i="72"/>
  <c r="BD108" i="72" s="1"/>
  <c r="AM108" i="72" s="1"/>
  <c r="AP108" i="72" s="1"/>
  <c r="L198" i="72"/>
  <c r="M198" i="72" s="1"/>
  <c r="BN28" i="10"/>
  <c r="BJ27" i="10"/>
  <c r="A420" i="72"/>
  <c r="A21" i="43"/>
  <c r="FB23" i="13"/>
  <c r="BH23" i="13" s="1"/>
  <c r="ER26" i="5"/>
  <c r="BN34" i="5"/>
  <c r="BJ33" i="5"/>
  <c r="BN24" i="14"/>
  <c r="BJ23" i="14"/>
  <c r="I21" i="41"/>
  <c r="BG197" i="72"/>
  <c r="AY197" i="72"/>
  <c r="BB197" i="72"/>
  <c r="AY109" i="72"/>
  <c r="BG109" i="72"/>
  <c r="BB109" i="72"/>
  <c r="BG153" i="72"/>
  <c r="AY153" i="72"/>
  <c r="BB153" i="72"/>
  <c r="FB32" i="4"/>
  <c r="BH32" i="4" s="1"/>
  <c r="A30" i="18"/>
  <c r="A24" i="72"/>
  <c r="BF284" i="72"/>
  <c r="BC284" i="72"/>
  <c r="BD284" i="72" s="1"/>
  <c r="BA18" i="45"/>
  <c r="BA25" i="38"/>
  <c r="K23" i="36"/>
  <c r="L23" i="36" s="1"/>
  <c r="E23" i="36" s="1"/>
  <c r="D62" i="36" s="1"/>
  <c r="BA26" i="37"/>
  <c r="I26" i="36"/>
  <c r="L418" i="72"/>
  <c r="M418" i="72" s="1"/>
  <c r="EU20" i="11"/>
  <c r="I18" i="44"/>
  <c r="A25" i="39"/>
  <c r="A244" i="72"/>
  <c r="FB27" i="9"/>
  <c r="BH27" i="9" s="1"/>
  <c r="BA22" i="41"/>
  <c r="AY285" i="72"/>
  <c r="BF328" i="72"/>
  <c r="BC328" i="72"/>
  <c r="BD328" i="72" s="1"/>
  <c r="ER22" i="8"/>
  <c r="BX15" i="45"/>
  <c r="AW19" i="45"/>
  <c r="AM45" i="45"/>
  <c r="AO45" i="45" s="1"/>
  <c r="AX19" i="45"/>
  <c r="BX19" i="45"/>
  <c r="AH16" i="59"/>
  <c r="BQ32" i="45"/>
  <c r="BR32" i="45" s="1"/>
  <c r="CA17" i="45"/>
  <c r="CB17" i="45"/>
  <c r="BY32" i="45"/>
  <c r="BZ32" i="45" s="1"/>
  <c r="BY29" i="45"/>
  <c r="BZ29" i="45" s="1"/>
  <c r="AE16" i="59"/>
  <c r="CA14" i="45"/>
  <c r="CB14" i="45" s="1"/>
  <c r="BQ29" i="45"/>
  <c r="BR29" i="45" s="1"/>
  <c r="AG16" i="59"/>
  <c r="BY31" i="45"/>
  <c r="BZ31" i="45" s="1"/>
  <c r="CA16" i="45"/>
  <c r="CB16" i="45" s="1"/>
  <c r="BQ31" i="45"/>
  <c r="BR31" i="45" s="1"/>
  <c r="AW14" i="45"/>
  <c r="AX14" i="45" s="1"/>
  <c r="AM40" i="45"/>
  <c r="AY241" i="72"/>
  <c r="AY373" i="72"/>
  <c r="BG373" i="72"/>
  <c r="BB373" i="72"/>
  <c r="BJ64" i="42" l="1"/>
  <c r="AB13" i="59" s="1"/>
  <c r="D122" i="77"/>
  <c r="D134" i="77"/>
  <c r="BI59" i="42"/>
  <c r="CA30" i="44"/>
  <c r="CB30" i="44" s="1"/>
  <c r="CA31" i="44"/>
  <c r="CB31" i="44" s="1"/>
  <c r="BI50" i="42"/>
  <c r="BS31" i="44"/>
  <c r="BT31" i="44" s="1"/>
  <c r="CA32" i="44"/>
  <c r="CB32" i="44" s="1"/>
  <c r="AP45" i="44"/>
  <c r="AQ45" i="44" s="1"/>
  <c r="GV9" i="34"/>
  <c r="AB12" i="59"/>
  <c r="GT10" i="34"/>
  <c r="T27" i="10"/>
  <c r="GU9" i="34"/>
  <c r="BC27" i="8"/>
  <c r="I25" i="38" s="1"/>
  <c r="BC26" i="9"/>
  <c r="I24" i="39" s="1"/>
  <c r="AP46" i="44"/>
  <c r="AQ46" i="44" s="1"/>
  <c r="BS30" i="44"/>
  <c r="BT30" i="44" s="1"/>
  <c r="CA29" i="44"/>
  <c r="CB29" i="44" s="1"/>
  <c r="BS29" i="44"/>
  <c r="BT29" i="44" s="1"/>
  <c r="J21" i="42"/>
  <c r="J26" i="37"/>
  <c r="AL26" i="44"/>
  <c r="AO48" i="44" s="1"/>
  <c r="G59" i="39"/>
  <c r="F59" i="39"/>
  <c r="G57" i="40"/>
  <c r="F57" i="40"/>
  <c r="E57" i="41"/>
  <c r="G58" i="40"/>
  <c r="F58" i="40"/>
  <c r="J27" i="36"/>
  <c r="AT21" i="44"/>
  <c r="AL24" i="44" s="1"/>
  <c r="AL25" i="44" s="1"/>
  <c r="J25" i="38"/>
  <c r="CA21" i="44"/>
  <c r="CB21" i="44" s="1"/>
  <c r="CA34" i="44"/>
  <c r="CB34" i="44" s="1"/>
  <c r="BS35" i="44"/>
  <c r="BT35" i="44" s="1"/>
  <c r="ER21" i="10"/>
  <c r="J19" i="44"/>
  <c r="J23" i="40"/>
  <c r="AW21" i="44"/>
  <c r="AX21" i="44" s="1"/>
  <c r="CA35" i="44"/>
  <c r="CB35" i="44" s="1"/>
  <c r="GC32" i="4"/>
  <c r="FX15" i="34" s="1"/>
  <c r="GC30" i="6"/>
  <c r="FX75" i="34" s="1"/>
  <c r="GC26" i="10"/>
  <c r="FX195" i="34" s="1"/>
  <c r="GC24" i="12"/>
  <c r="FX255" i="34" s="1"/>
  <c r="GC23" i="13"/>
  <c r="FX285" i="34" s="1"/>
  <c r="GC27" i="9"/>
  <c r="FX165" i="34" s="1"/>
  <c r="GC25" i="11"/>
  <c r="FX225" i="34" s="1"/>
  <c r="GC29" i="7"/>
  <c r="FX105" i="34" s="1"/>
  <c r="GC28" i="8"/>
  <c r="FX135" i="34" s="1"/>
  <c r="GC22" i="14"/>
  <c r="FX315" i="34" s="1"/>
  <c r="GC32" i="5"/>
  <c r="FX46" i="34" s="1"/>
  <c r="J29" i="18"/>
  <c r="J22" i="41"/>
  <c r="J29" i="35"/>
  <c r="AI242" i="72"/>
  <c r="AQ242" i="72" s="1"/>
  <c r="AI67" i="72"/>
  <c r="AQ67" i="72" s="1"/>
  <c r="ER23" i="8"/>
  <c r="AI22" i="72"/>
  <c r="AI198" i="72"/>
  <c r="AQ198" i="72" s="1"/>
  <c r="AI374" i="72"/>
  <c r="W243" i="72"/>
  <c r="X243" i="72" s="1"/>
  <c r="Z243" i="72"/>
  <c r="W419" i="72"/>
  <c r="X419" i="72" s="1"/>
  <c r="Z419" i="72"/>
  <c r="W375" i="72"/>
  <c r="X375" i="72" s="1"/>
  <c r="AA375" i="72"/>
  <c r="AA155" i="72"/>
  <c r="W155" i="72"/>
  <c r="X155" i="72" s="1"/>
  <c r="W199" i="72"/>
  <c r="X199" i="72" s="1"/>
  <c r="AA199" i="72"/>
  <c r="AA507" i="72"/>
  <c r="W507" i="72"/>
  <c r="X507" i="72" s="1"/>
  <c r="W287" i="72"/>
  <c r="X287" i="72" s="1"/>
  <c r="AA287" i="72"/>
  <c r="AI462" i="72"/>
  <c r="AI330" i="72"/>
  <c r="AI418" i="72"/>
  <c r="AQ418" i="72" s="1"/>
  <c r="AA331" i="72"/>
  <c r="W331" i="72"/>
  <c r="X331" i="72" s="1"/>
  <c r="W111" i="72"/>
  <c r="X111" i="72" s="1"/>
  <c r="AA111" i="72"/>
  <c r="W463" i="72"/>
  <c r="X463" i="72" s="1"/>
  <c r="AA463" i="72"/>
  <c r="W68" i="72"/>
  <c r="X68" i="72" s="1"/>
  <c r="AA68" i="72"/>
  <c r="W23" i="72"/>
  <c r="X23" i="72" s="1"/>
  <c r="AA23" i="72"/>
  <c r="AI154" i="72"/>
  <c r="AI110" i="72"/>
  <c r="AQ110" i="72" s="1"/>
  <c r="AI286" i="72"/>
  <c r="FS32" i="4"/>
  <c r="BE32" i="4"/>
  <c r="BC32" i="4" s="1"/>
  <c r="J20" i="43"/>
  <c r="FS32" i="5"/>
  <c r="BE32" i="5"/>
  <c r="BC32" i="5" s="1"/>
  <c r="J24" i="39"/>
  <c r="FS20" i="15"/>
  <c r="BE20" i="15"/>
  <c r="FS27" i="9"/>
  <c r="BE27" i="9"/>
  <c r="BC27" i="9" s="1"/>
  <c r="FS30" i="6"/>
  <c r="BE30" i="6"/>
  <c r="BC30" i="6" s="1"/>
  <c r="FS26" i="10"/>
  <c r="BE26" i="10"/>
  <c r="BC26" i="10" s="1"/>
  <c r="FS24" i="12"/>
  <c r="BE24" i="12"/>
  <c r="BC24" i="12" s="1"/>
  <c r="FS23" i="13"/>
  <c r="BE23" i="13"/>
  <c r="BC23" i="13" s="1"/>
  <c r="FS25" i="11"/>
  <c r="BE25" i="11"/>
  <c r="BC25" i="11" s="1"/>
  <c r="FS29" i="7"/>
  <c r="BE29" i="7"/>
  <c r="BC29" i="7" s="1"/>
  <c r="FS28" i="8"/>
  <c r="BE28" i="8"/>
  <c r="BC28" i="8" s="1"/>
  <c r="FS22" i="14"/>
  <c r="BE22" i="14"/>
  <c r="BC22" i="14" s="1"/>
  <c r="FS21" i="15"/>
  <c r="BE21" i="15"/>
  <c r="BC21" i="15" s="1"/>
  <c r="ED375" i="72"/>
  <c r="EE375" i="72" s="1"/>
  <c r="ED419" i="72"/>
  <c r="EE419" i="72" s="1"/>
  <c r="EV27" i="6"/>
  <c r="AA27" i="6" s="1"/>
  <c r="EV24" i="9"/>
  <c r="AA24" i="9" s="1"/>
  <c r="EV23" i="10"/>
  <c r="AA23" i="10" s="1"/>
  <c r="EV22" i="11"/>
  <c r="AA22" i="11" s="1"/>
  <c r="EV29" i="5"/>
  <c r="AA29" i="5" s="1"/>
  <c r="EV20" i="13"/>
  <c r="AA20" i="13" s="1"/>
  <c r="EV21" i="12"/>
  <c r="AA21" i="12" s="1"/>
  <c r="EV26" i="7"/>
  <c r="AA26" i="7" s="1"/>
  <c r="EV25" i="8"/>
  <c r="AA25" i="8" s="1"/>
  <c r="EC112" i="72"/>
  <c r="DY112" i="72"/>
  <c r="DU112" i="72"/>
  <c r="DZ112" i="72"/>
  <c r="DV112" i="72"/>
  <c r="DX112" i="72"/>
  <c r="EH112" i="72"/>
  <c r="EI112" i="72" s="1"/>
  <c r="DW112" i="72"/>
  <c r="EB112" i="72"/>
  <c r="EA112" i="72"/>
  <c r="H24" i="40"/>
  <c r="EM24" i="40"/>
  <c r="CD110" i="72"/>
  <c r="DZ420" i="72"/>
  <c r="DV420" i="72"/>
  <c r="EC420" i="72"/>
  <c r="DY420" i="72"/>
  <c r="DU420" i="72"/>
  <c r="EH420" i="72"/>
  <c r="EI420" i="72" s="1"/>
  <c r="EB420" i="72"/>
  <c r="DX420" i="72"/>
  <c r="EA420" i="72"/>
  <c r="DW420" i="72"/>
  <c r="EH244" i="72"/>
  <c r="EI244" i="72" s="1"/>
  <c r="EB244" i="72"/>
  <c r="DX244" i="72"/>
  <c r="EA244" i="72"/>
  <c r="DW244" i="72"/>
  <c r="DZ244" i="72"/>
  <c r="DV244" i="72"/>
  <c r="EC244" i="72"/>
  <c r="DY244" i="72"/>
  <c r="DU244" i="72"/>
  <c r="AM284" i="72"/>
  <c r="AP284" i="72" s="1"/>
  <c r="EU22" i="10" s="1"/>
  <c r="AM328" i="72"/>
  <c r="AP328" i="72" s="1"/>
  <c r="EU21" i="11" s="1"/>
  <c r="H25" i="39"/>
  <c r="EM25" i="39"/>
  <c r="CD418" i="72"/>
  <c r="H23" i="41"/>
  <c r="EM23" i="41"/>
  <c r="CD67" i="72"/>
  <c r="H26" i="38"/>
  <c r="EM26" i="38"/>
  <c r="AM152" i="72"/>
  <c r="AP152" i="72" s="1"/>
  <c r="EU25" i="7" s="1"/>
  <c r="CD242" i="72"/>
  <c r="H30" i="35"/>
  <c r="EM30" i="35"/>
  <c r="H22" i="42"/>
  <c r="EM22" i="42"/>
  <c r="CD154" i="72"/>
  <c r="D98" i="77"/>
  <c r="D110" i="77"/>
  <c r="EA508" i="72"/>
  <c r="DW508" i="72"/>
  <c r="DZ508" i="72"/>
  <c r="DV508" i="72"/>
  <c r="EC508" i="72"/>
  <c r="DY508" i="72"/>
  <c r="DU508" i="72"/>
  <c r="EH508" i="72"/>
  <c r="EI508" i="72" s="1"/>
  <c r="EB508" i="72"/>
  <c r="DX508" i="72"/>
  <c r="CD330" i="72"/>
  <c r="CD16" i="72"/>
  <c r="ED507" i="72"/>
  <c r="EE507" i="72" s="1"/>
  <c r="ED287" i="72"/>
  <c r="EE287" i="72" s="1"/>
  <c r="ED243" i="72"/>
  <c r="EE243" i="72" s="1"/>
  <c r="ED111" i="72"/>
  <c r="EE111" i="72" s="1"/>
  <c r="H21" i="43"/>
  <c r="EM21" i="43"/>
  <c r="CD198" i="72"/>
  <c r="CD462" i="72"/>
  <c r="CD286" i="72"/>
  <c r="EC464" i="72"/>
  <c r="DY464" i="72"/>
  <c r="DU464" i="72"/>
  <c r="EH464" i="72"/>
  <c r="EI464" i="72" s="1"/>
  <c r="EB464" i="72"/>
  <c r="DX464" i="72"/>
  <c r="EA464" i="72"/>
  <c r="DW464" i="72"/>
  <c r="DZ464" i="72"/>
  <c r="DV464" i="72"/>
  <c r="EB69" i="72"/>
  <c r="DX69" i="72"/>
  <c r="EH69" i="72"/>
  <c r="EI69" i="72" s="1"/>
  <c r="EA69" i="72"/>
  <c r="DW69" i="72"/>
  <c r="DZ69" i="72"/>
  <c r="DV69" i="72"/>
  <c r="EC69" i="72"/>
  <c r="DY69" i="72"/>
  <c r="DU69" i="72"/>
  <c r="EA288" i="72"/>
  <c r="DW288" i="72"/>
  <c r="DZ288" i="72"/>
  <c r="DV288" i="72"/>
  <c r="EC288" i="72"/>
  <c r="DY288" i="72"/>
  <c r="DU288" i="72"/>
  <c r="EH288" i="72"/>
  <c r="EI288" i="72" s="1"/>
  <c r="EB288" i="72"/>
  <c r="DX288" i="72"/>
  <c r="H19" i="45"/>
  <c r="EM19" i="45"/>
  <c r="ED68" i="72"/>
  <c r="EE68" i="72" s="1"/>
  <c r="ED331" i="72"/>
  <c r="EE331" i="72" s="1"/>
  <c r="ED155" i="72"/>
  <c r="EE155" i="72" s="1"/>
  <c r="EC24" i="72"/>
  <c r="DY24" i="72"/>
  <c r="DU24" i="72"/>
  <c r="EB24" i="72"/>
  <c r="DX24" i="72"/>
  <c r="EH24" i="72"/>
  <c r="EI24" i="72" s="1"/>
  <c r="EA24" i="72"/>
  <c r="DW24" i="72"/>
  <c r="DZ24" i="72"/>
  <c r="DV24" i="72"/>
  <c r="CD374" i="72"/>
  <c r="H30" i="18"/>
  <c r="EM30" i="18"/>
  <c r="H27" i="37"/>
  <c r="EM27" i="37"/>
  <c r="DZ332" i="72"/>
  <c r="DV332" i="72"/>
  <c r="EC332" i="72"/>
  <c r="DY332" i="72"/>
  <c r="DU332" i="72"/>
  <c r="EH332" i="72"/>
  <c r="EI332" i="72" s="1"/>
  <c r="EB332" i="72"/>
  <c r="DX332" i="72"/>
  <c r="EA332" i="72"/>
  <c r="DW332" i="72"/>
  <c r="EH156" i="72"/>
  <c r="EI156" i="72" s="1"/>
  <c r="EA156" i="72"/>
  <c r="DW156" i="72"/>
  <c r="DZ156" i="72"/>
  <c r="DV156" i="72"/>
  <c r="EC156" i="72"/>
  <c r="DY156" i="72"/>
  <c r="DU156" i="72"/>
  <c r="EB156" i="72"/>
  <c r="DX156" i="72"/>
  <c r="H28" i="36"/>
  <c r="EM28" i="36"/>
  <c r="EC200" i="72"/>
  <c r="DY200" i="72"/>
  <c r="DU200" i="72"/>
  <c r="EB200" i="72"/>
  <c r="DX200" i="72"/>
  <c r="EH200" i="72"/>
  <c r="EI200" i="72" s="1"/>
  <c r="EA200" i="72"/>
  <c r="DW200" i="72"/>
  <c r="DZ200" i="72"/>
  <c r="DV200" i="72"/>
  <c r="H20" i="44"/>
  <c r="EM20" i="44"/>
  <c r="EC376" i="72"/>
  <c r="DY376" i="72"/>
  <c r="DU376" i="72"/>
  <c r="EB376" i="72"/>
  <c r="DX376" i="72"/>
  <c r="EH376" i="72"/>
  <c r="EI376" i="72" s="1"/>
  <c r="EA376" i="72"/>
  <c r="DW376" i="72"/>
  <c r="DZ376" i="72"/>
  <c r="DV376" i="72"/>
  <c r="AM240" i="72"/>
  <c r="AP240" i="72" s="1"/>
  <c r="EU23" i="9" s="1"/>
  <c r="ED199" i="72"/>
  <c r="EE199" i="72" s="1"/>
  <c r="ED463" i="72"/>
  <c r="EE463" i="72" s="1"/>
  <c r="EN28" i="18"/>
  <c r="ED23" i="72"/>
  <c r="EE23" i="72" s="1"/>
  <c r="EN29" i="18" s="1"/>
  <c r="K112" i="72"/>
  <c r="V112" i="72" s="1"/>
  <c r="AG112" i="72" s="1"/>
  <c r="G112" i="72"/>
  <c r="R112" i="72" s="1"/>
  <c r="AC112" i="72" s="1"/>
  <c r="J112" i="72"/>
  <c r="U112" i="72" s="1"/>
  <c r="AF112" i="72" s="1"/>
  <c r="F112" i="72"/>
  <c r="Q112" i="72" s="1"/>
  <c r="AB112" i="72" s="1"/>
  <c r="I112" i="72"/>
  <c r="T112" i="72" s="1"/>
  <c r="AE112" i="72" s="1"/>
  <c r="E112" i="72"/>
  <c r="P112" i="72" s="1"/>
  <c r="AA112" i="72" s="1"/>
  <c r="H112" i="72"/>
  <c r="S112" i="72" s="1"/>
  <c r="AD112" i="72" s="1"/>
  <c r="D112" i="72"/>
  <c r="O112" i="72" s="1"/>
  <c r="K24" i="72"/>
  <c r="V24" i="72" s="1"/>
  <c r="AG24" i="72" s="1"/>
  <c r="G24" i="72"/>
  <c r="R24" i="72" s="1"/>
  <c r="AC24" i="72" s="1"/>
  <c r="J24" i="72"/>
  <c r="U24" i="72" s="1"/>
  <c r="AF24" i="72" s="1"/>
  <c r="F24" i="72"/>
  <c r="Q24" i="72" s="1"/>
  <c r="AB24" i="72" s="1"/>
  <c r="I24" i="72"/>
  <c r="T24" i="72" s="1"/>
  <c r="AE24" i="72" s="1"/>
  <c r="E24" i="72"/>
  <c r="P24" i="72" s="1"/>
  <c r="H24" i="72"/>
  <c r="S24" i="72" s="1"/>
  <c r="AD24" i="72" s="1"/>
  <c r="D24" i="72"/>
  <c r="O24" i="72" s="1"/>
  <c r="Z24" i="72" s="1"/>
  <c r="K332" i="72"/>
  <c r="V332" i="72" s="1"/>
  <c r="AG332" i="72" s="1"/>
  <c r="G332" i="72"/>
  <c r="R332" i="72" s="1"/>
  <c r="AC332" i="72" s="1"/>
  <c r="J332" i="72"/>
  <c r="U332" i="72" s="1"/>
  <c r="AF332" i="72" s="1"/>
  <c r="F332" i="72"/>
  <c r="Q332" i="72" s="1"/>
  <c r="AB332" i="72" s="1"/>
  <c r="I332" i="72"/>
  <c r="T332" i="72" s="1"/>
  <c r="AE332" i="72" s="1"/>
  <c r="E332" i="72"/>
  <c r="P332" i="72" s="1"/>
  <c r="H332" i="72"/>
  <c r="S332" i="72" s="1"/>
  <c r="AD332" i="72" s="1"/>
  <c r="D332" i="72"/>
  <c r="O332" i="72" s="1"/>
  <c r="Z332" i="72" s="1"/>
  <c r="K156" i="72"/>
  <c r="V156" i="72" s="1"/>
  <c r="AG156" i="72" s="1"/>
  <c r="G156" i="72"/>
  <c r="R156" i="72" s="1"/>
  <c r="AC156" i="72" s="1"/>
  <c r="J156" i="72"/>
  <c r="U156" i="72" s="1"/>
  <c r="AF156" i="72" s="1"/>
  <c r="F156" i="72"/>
  <c r="Q156" i="72" s="1"/>
  <c r="AB156" i="72" s="1"/>
  <c r="I156" i="72"/>
  <c r="T156" i="72" s="1"/>
  <c r="AE156" i="72" s="1"/>
  <c r="E156" i="72"/>
  <c r="P156" i="72" s="1"/>
  <c r="H156" i="72"/>
  <c r="S156" i="72" s="1"/>
  <c r="AD156" i="72" s="1"/>
  <c r="D156" i="72"/>
  <c r="O156" i="72" s="1"/>
  <c r="Z156" i="72" s="1"/>
  <c r="K200" i="72"/>
  <c r="V200" i="72" s="1"/>
  <c r="AG200" i="72" s="1"/>
  <c r="G200" i="72"/>
  <c r="R200" i="72" s="1"/>
  <c r="AC200" i="72" s="1"/>
  <c r="J200" i="72"/>
  <c r="U200" i="72" s="1"/>
  <c r="AF200" i="72" s="1"/>
  <c r="F200" i="72"/>
  <c r="Q200" i="72" s="1"/>
  <c r="AB200" i="72" s="1"/>
  <c r="I200" i="72"/>
  <c r="T200" i="72" s="1"/>
  <c r="AE200" i="72" s="1"/>
  <c r="E200" i="72"/>
  <c r="P200" i="72" s="1"/>
  <c r="H200" i="72"/>
  <c r="S200" i="72" s="1"/>
  <c r="AD200" i="72" s="1"/>
  <c r="D200" i="72"/>
  <c r="O200" i="72" s="1"/>
  <c r="Z200" i="72" s="1"/>
  <c r="K420" i="72"/>
  <c r="V420" i="72" s="1"/>
  <c r="AG420" i="72" s="1"/>
  <c r="G420" i="72"/>
  <c r="R420" i="72" s="1"/>
  <c r="AC420" i="72" s="1"/>
  <c r="J420" i="72"/>
  <c r="U420" i="72" s="1"/>
  <c r="AF420" i="72" s="1"/>
  <c r="F420" i="72"/>
  <c r="Q420" i="72" s="1"/>
  <c r="AB420" i="72" s="1"/>
  <c r="I420" i="72"/>
  <c r="T420" i="72" s="1"/>
  <c r="AE420" i="72" s="1"/>
  <c r="E420" i="72"/>
  <c r="P420" i="72" s="1"/>
  <c r="H420" i="72"/>
  <c r="S420" i="72" s="1"/>
  <c r="AD420" i="72" s="1"/>
  <c r="D420" i="72"/>
  <c r="O420" i="72" s="1"/>
  <c r="Z420" i="72" s="1"/>
  <c r="K376" i="72"/>
  <c r="V376" i="72" s="1"/>
  <c r="AG376" i="72" s="1"/>
  <c r="G376" i="72"/>
  <c r="R376" i="72" s="1"/>
  <c r="AC376" i="72" s="1"/>
  <c r="J376" i="72"/>
  <c r="U376" i="72" s="1"/>
  <c r="AF376" i="72" s="1"/>
  <c r="F376" i="72"/>
  <c r="Q376" i="72" s="1"/>
  <c r="AB376" i="72" s="1"/>
  <c r="I376" i="72"/>
  <c r="T376" i="72" s="1"/>
  <c r="AE376" i="72" s="1"/>
  <c r="E376" i="72"/>
  <c r="P376" i="72" s="1"/>
  <c r="H376" i="72"/>
  <c r="S376" i="72" s="1"/>
  <c r="AD376" i="72" s="1"/>
  <c r="D376" i="72"/>
  <c r="O376" i="72" s="1"/>
  <c r="Z376" i="72" s="1"/>
  <c r="K244" i="72"/>
  <c r="V244" i="72" s="1"/>
  <c r="AG244" i="72" s="1"/>
  <c r="G244" i="72"/>
  <c r="R244" i="72" s="1"/>
  <c r="AC244" i="72" s="1"/>
  <c r="J244" i="72"/>
  <c r="U244" i="72" s="1"/>
  <c r="AF244" i="72" s="1"/>
  <c r="F244" i="72"/>
  <c r="Q244" i="72" s="1"/>
  <c r="AB244" i="72" s="1"/>
  <c r="I244" i="72"/>
  <c r="T244" i="72" s="1"/>
  <c r="AE244" i="72" s="1"/>
  <c r="E244" i="72"/>
  <c r="P244" i="72" s="1"/>
  <c r="H244" i="72"/>
  <c r="S244" i="72" s="1"/>
  <c r="AD244" i="72" s="1"/>
  <c r="D244" i="72"/>
  <c r="O244" i="72" s="1"/>
  <c r="Z244" i="72" s="1"/>
  <c r="K464" i="72"/>
  <c r="V464" i="72" s="1"/>
  <c r="AG464" i="72" s="1"/>
  <c r="G464" i="72"/>
  <c r="R464" i="72" s="1"/>
  <c r="AC464" i="72" s="1"/>
  <c r="J464" i="72"/>
  <c r="U464" i="72" s="1"/>
  <c r="AF464" i="72" s="1"/>
  <c r="F464" i="72"/>
  <c r="Q464" i="72" s="1"/>
  <c r="AB464" i="72" s="1"/>
  <c r="I464" i="72"/>
  <c r="T464" i="72" s="1"/>
  <c r="AE464" i="72" s="1"/>
  <c r="E464" i="72"/>
  <c r="P464" i="72" s="1"/>
  <c r="AA464" i="72" s="1"/>
  <c r="H464" i="72"/>
  <c r="S464" i="72" s="1"/>
  <c r="AD464" i="72" s="1"/>
  <c r="D464" i="72"/>
  <c r="O464" i="72" s="1"/>
  <c r="K69" i="72"/>
  <c r="V69" i="72" s="1"/>
  <c r="AG69" i="72" s="1"/>
  <c r="G69" i="72"/>
  <c r="R69" i="72" s="1"/>
  <c r="AC69" i="72" s="1"/>
  <c r="J69" i="72"/>
  <c r="U69" i="72" s="1"/>
  <c r="AF69" i="72" s="1"/>
  <c r="F69" i="72"/>
  <c r="Q69" i="72" s="1"/>
  <c r="AB69" i="72" s="1"/>
  <c r="I69" i="72"/>
  <c r="T69" i="72" s="1"/>
  <c r="AE69" i="72" s="1"/>
  <c r="E69" i="72"/>
  <c r="P69" i="72" s="1"/>
  <c r="H69" i="72"/>
  <c r="S69" i="72" s="1"/>
  <c r="AD69" i="72" s="1"/>
  <c r="D69" i="72"/>
  <c r="O69" i="72" s="1"/>
  <c r="Z69" i="72" s="1"/>
  <c r="K288" i="72"/>
  <c r="V288" i="72" s="1"/>
  <c r="AG288" i="72" s="1"/>
  <c r="G288" i="72"/>
  <c r="R288" i="72" s="1"/>
  <c r="AC288" i="72" s="1"/>
  <c r="J288" i="72"/>
  <c r="U288" i="72" s="1"/>
  <c r="AF288" i="72" s="1"/>
  <c r="F288" i="72"/>
  <c r="Q288" i="72" s="1"/>
  <c r="AB288" i="72" s="1"/>
  <c r="I288" i="72"/>
  <c r="T288" i="72" s="1"/>
  <c r="AE288" i="72" s="1"/>
  <c r="E288" i="72"/>
  <c r="P288" i="72" s="1"/>
  <c r="AA288" i="72" s="1"/>
  <c r="H288" i="72"/>
  <c r="S288" i="72" s="1"/>
  <c r="AD288" i="72" s="1"/>
  <c r="D288" i="72"/>
  <c r="O288" i="72" s="1"/>
  <c r="K508" i="72"/>
  <c r="V508" i="72" s="1"/>
  <c r="AG508" i="72" s="1"/>
  <c r="G508" i="72"/>
  <c r="R508" i="72" s="1"/>
  <c r="AC508" i="72" s="1"/>
  <c r="J508" i="72"/>
  <c r="U508" i="72" s="1"/>
  <c r="AF508" i="72" s="1"/>
  <c r="F508" i="72"/>
  <c r="Q508" i="72" s="1"/>
  <c r="AB508" i="72" s="1"/>
  <c r="I508" i="72"/>
  <c r="T508" i="72" s="1"/>
  <c r="AE508" i="72" s="1"/>
  <c r="E508" i="72"/>
  <c r="P508" i="72" s="1"/>
  <c r="H508" i="72"/>
  <c r="S508" i="72" s="1"/>
  <c r="AD508" i="72" s="1"/>
  <c r="D508" i="72"/>
  <c r="O508" i="72" s="1"/>
  <c r="Z508" i="72" s="1"/>
  <c r="BR49" i="42"/>
  <c r="BQ46" i="42"/>
  <c r="BZ49" i="42"/>
  <c r="AP48" i="43"/>
  <c r="AQ48" i="43" s="1"/>
  <c r="BY46" i="42"/>
  <c r="AL28" i="43"/>
  <c r="AI87" i="43" s="1"/>
  <c r="AI79" i="43"/>
  <c r="AL24" i="43"/>
  <c r="AL25" i="43" s="1"/>
  <c r="AI72" i="43" s="1"/>
  <c r="CB41" i="43"/>
  <c r="BY49" i="43" s="1"/>
  <c r="BT41" i="43"/>
  <c r="BQ49" i="43" s="1"/>
  <c r="Z48" i="18"/>
  <c r="BT39" i="43"/>
  <c r="BR46" i="43" s="1"/>
  <c r="CB39" i="43"/>
  <c r="BZ46" i="43" s="1"/>
  <c r="BJ56" i="43" s="1"/>
  <c r="GS12" i="34" s="1"/>
  <c r="AL28" i="45"/>
  <c r="AI87" i="45" s="1"/>
  <c r="AY16" i="72"/>
  <c r="BB16" i="72"/>
  <c r="EV24" i="4" s="1"/>
  <c r="AA24" i="4" s="1"/>
  <c r="K20" i="18"/>
  <c r="L20" i="18" s="1"/>
  <c r="E20" i="18" s="1"/>
  <c r="D59" i="18" s="1"/>
  <c r="AQ16" i="72"/>
  <c r="BG16" i="72"/>
  <c r="AL28" i="44"/>
  <c r="AI79" i="45"/>
  <c r="ER24" i="7"/>
  <c r="EU24" i="7"/>
  <c r="ER27" i="5"/>
  <c r="EU27" i="5"/>
  <c r="ER25" i="6"/>
  <c r="EU25" i="6"/>
  <c r="BX21" i="45"/>
  <c r="BF373" i="72"/>
  <c r="BC373" i="72"/>
  <c r="BD373" i="72" s="1"/>
  <c r="AQ241" i="72"/>
  <c r="I21" i="42"/>
  <c r="L111" i="72"/>
  <c r="M111" i="72" s="1"/>
  <c r="I27" i="36"/>
  <c r="L199" i="72"/>
  <c r="M199" i="72" s="1"/>
  <c r="K20" i="40"/>
  <c r="L20" i="40" s="1"/>
  <c r="E20" i="40" s="1"/>
  <c r="D59" i="40" s="1"/>
  <c r="E59" i="40" s="1"/>
  <c r="BA30" i="18"/>
  <c r="BE30" i="18" s="1"/>
  <c r="BF197" i="72"/>
  <c r="BC197" i="72"/>
  <c r="BD197" i="72" s="1"/>
  <c r="BJ24" i="14"/>
  <c r="BN25" i="14"/>
  <c r="BN35" i="5"/>
  <c r="BJ34" i="5"/>
  <c r="BA21" i="43"/>
  <c r="FB27" i="10"/>
  <c r="BH27" i="10" s="1"/>
  <c r="A289" i="72"/>
  <c r="A25" i="40"/>
  <c r="BG198" i="72"/>
  <c r="BB198" i="72"/>
  <c r="CA21" i="45"/>
  <c r="CB21" i="45" s="1"/>
  <c r="CA35" i="45"/>
  <c r="CB35" i="45" s="1"/>
  <c r="BS35" i="45"/>
  <c r="BT35" i="45" s="1"/>
  <c r="J23" i="41"/>
  <c r="FB25" i="12"/>
  <c r="BH25" i="12" s="1"/>
  <c r="A377" i="72"/>
  <c r="A23" i="42"/>
  <c r="BG67" i="72"/>
  <c r="BB67" i="72"/>
  <c r="AY286" i="72"/>
  <c r="AQ286" i="72"/>
  <c r="A20" i="45"/>
  <c r="FB22" i="15"/>
  <c r="BH22" i="15" s="1"/>
  <c r="GC22" i="15" s="1"/>
  <c r="FX346" i="34" s="1"/>
  <c r="A509" i="72"/>
  <c r="K22" i="38"/>
  <c r="L22" i="38" s="1"/>
  <c r="E22" i="38" s="1"/>
  <c r="D61" i="38" s="1"/>
  <c r="BG374" i="72"/>
  <c r="BB374" i="72"/>
  <c r="W13" i="44"/>
  <c r="I29" i="35"/>
  <c r="BS33" i="45"/>
  <c r="BT33" i="45" s="1"/>
  <c r="AP44" i="45"/>
  <c r="AQ44" i="45" s="1"/>
  <c r="BI59" i="43"/>
  <c r="BI50" i="43"/>
  <c r="BF285" i="72"/>
  <c r="BC285" i="72"/>
  <c r="BD285" i="72" s="1"/>
  <c r="L331" i="72"/>
  <c r="M331" i="72" s="1"/>
  <c r="A245" i="72"/>
  <c r="A26" i="39"/>
  <c r="FB28" i="9"/>
  <c r="BH28" i="9" s="1"/>
  <c r="ER20" i="11"/>
  <c r="K23" i="37"/>
  <c r="L23" i="37" s="1"/>
  <c r="E23" i="37" s="1"/>
  <c r="D62" i="37" s="1"/>
  <c r="FB33" i="4"/>
  <c r="BH33" i="4" s="1"/>
  <c r="A31" i="18"/>
  <c r="A25" i="72"/>
  <c r="AQ109" i="72"/>
  <c r="AQ197" i="72"/>
  <c r="AY242" i="72"/>
  <c r="K26" i="35"/>
  <c r="L26" i="35" s="1"/>
  <c r="E26" i="35" s="1"/>
  <c r="D65" i="35" s="1"/>
  <c r="BJ25" i="13"/>
  <c r="BN26" i="13"/>
  <c r="K18" i="42"/>
  <c r="L18" i="42" s="1"/>
  <c r="E18" i="42" s="1"/>
  <c r="D57" i="42" s="1"/>
  <c r="BA24" i="40"/>
  <c r="AC11" i="45"/>
  <c r="Q17" i="45"/>
  <c r="BE10" i="45"/>
  <c r="CA30" i="45"/>
  <c r="CB30" i="45" s="1"/>
  <c r="AI83" i="45"/>
  <c r="BS34" i="45"/>
  <c r="BT34" i="45" s="1"/>
  <c r="AP41" i="45"/>
  <c r="AQ41" i="45" s="1"/>
  <c r="AP46" i="45"/>
  <c r="AQ46" i="45" s="1"/>
  <c r="FB26" i="11"/>
  <c r="BH26" i="11" s="1"/>
  <c r="A24" i="41"/>
  <c r="A333" i="72"/>
  <c r="BG462" i="72"/>
  <c r="BB462" i="72"/>
  <c r="A28" i="37"/>
  <c r="FB30" i="7"/>
  <c r="BH30" i="7" s="1"/>
  <c r="A157" i="72"/>
  <c r="A29" i="36"/>
  <c r="FB31" i="6"/>
  <c r="BH31" i="6" s="1"/>
  <c r="A113" i="72"/>
  <c r="FB29" i="8"/>
  <c r="BH29" i="8" s="1"/>
  <c r="A27" i="38"/>
  <c r="A201" i="72"/>
  <c r="BF329" i="72"/>
  <c r="BC329" i="72"/>
  <c r="BD329" i="72" s="1"/>
  <c r="BA19" i="45"/>
  <c r="BF417" i="72"/>
  <c r="BC417" i="72"/>
  <c r="BD417" i="72" s="1"/>
  <c r="AM417" i="72" s="1"/>
  <c r="AP417" i="72" s="1"/>
  <c r="I19" i="44"/>
  <c r="BJ29" i="44"/>
  <c r="BH45" i="44"/>
  <c r="BH29" i="44"/>
  <c r="BJ45" i="44"/>
  <c r="I20" i="43"/>
  <c r="BS31" i="45"/>
  <c r="BT31" i="45" s="1"/>
  <c r="CA31" i="45"/>
  <c r="CB31" i="45" s="1"/>
  <c r="CA32" i="45"/>
  <c r="CB32" i="45" s="1"/>
  <c r="I22" i="41"/>
  <c r="BT28" i="44"/>
  <c r="BS29" i="45"/>
  <c r="BT29" i="45" s="1"/>
  <c r="CA29" i="45"/>
  <c r="CB29" i="45" s="1"/>
  <c r="BS32" i="45"/>
  <c r="BT32" i="45" s="1"/>
  <c r="AP45" i="45"/>
  <c r="AQ45" i="45" s="1"/>
  <c r="K19" i="41"/>
  <c r="L19" i="41" s="1"/>
  <c r="E19" i="41" s="1"/>
  <c r="D58" i="41" s="1"/>
  <c r="E58" i="41" s="1"/>
  <c r="BA25" i="39"/>
  <c r="AY418" i="72"/>
  <c r="BG418" i="72"/>
  <c r="BB418" i="72"/>
  <c r="I26" i="37"/>
  <c r="BF153" i="72"/>
  <c r="BC153" i="72"/>
  <c r="BD153" i="72" s="1"/>
  <c r="AM153" i="72" s="1"/>
  <c r="AP153" i="72" s="1"/>
  <c r="EU26" i="7" s="1"/>
  <c r="BF109" i="72"/>
  <c r="BC109" i="72"/>
  <c r="BD109" i="72" s="1"/>
  <c r="AM109" i="72" s="1"/>
  <c r="AP109" i="72" s="1"/>
  <c r="FB23" i="14"/>
  <c r="BH23" i="14" s="1"/>
  <c r="A21" i="44"/>
  <c r="A465" i="72"/>
  <c r="A70" i="72"/>
  <c r="FB33" i="5"/>
  <c r="BH33" i="5" s="1"/>
  <c r="A31" i="35"/>
  <c r="BN29" i="10"/>
  <c r="BJ28" i="10"/>
  <c r="AY198" i="72"/>
  <c r="L287" i="72"/>
  <c r="M287" i="72" s="1"/>
  <c r="K24" i="36"/>
  <c r="L24" i="36" s="1"/>
  <c r="E24" i="36" s="1"/>
  <c r="D63" i="36" s="1"/>
  <c r="BS28" i="45"/>
  <c r="BT28" i="45" s="1"/>
  <c r="CA28" i="45"/>
  <c r="CB28" i="45" s="1"/>
  <c r="AW21" i="45"/>
  <c r="AX21" i="45" s="1"/>
  <c r="AP48" i="45" s="1"/>
  <c r="AQ48" i="45" s="1"/>
  <c r="BA23" i="41"/>
  <c r="BJ26" i="12"/>
  <c r="BN27" i="12"/>
  <c r="L243" i="72"/>
  <c r="M243" i="72" s="1"/>
  <c r="AY67" i="72"/>
  <c r="BA27" i="37"/>
  <c r="BA28" i="36"/>
  <c r="BG286" i="72"/>
  <c r="BB286" i="72"/>
  <c r="BA26" i="38"/>
  <c r="BN24" i="15"/>
  <c r="BJ23" i="15"/>
  <c r="I29" i="18"/>
  <c r="EU24" i="8"/>
  <c r="AQ417" i="72"/>
  <c r="AY374" i="72"/>
  <c r="L419" i="72"/>
  <c r="M419" i="72" s="1"/>
  <c r="BF241" i="72"/>
  <c r="BC241" i="72"/>
  <c r="BD241" i="72" s="1"/>
  <c r="AM241" i="72" s="1"/>
  <c r="AP241" i="72" s="1"/>
  <c r="CA33" i="45"/>
  <c r="CB33" i="45" s="1"/>
  <c r="L375" i="72"/>
  <c r="M375" i="72" s="1"/>
  <c r="BJ29" i="9"/>
  <c r="BN30" i="9"/>
  <c r="L155" i="72"/>
  <c r="M155" i="72" s="1"/>
  <c r="L507" i="72"/>
  <c r="M507" i="72" s="1"/>
  <c r="BN35" i="4"/>
  <c r="BJ34" i="4"/>
  <c r="BB242" i="72"/>
  <c r="BG242" i="72"/>
  <c r="BA20" i="44"/>
  <c r="BA30" i="35"/>
  <c r="FB24" i="13"/>
  <c r="BH24" i="13" s="1"/>
  <c r="A22" i="43"/>
  <c r="A421" i="72"/>
  <c r="EU20" i="12"/>
  <c r="I23" i="40"/>
  <c r="AC10" i="45"/>
  <c r="Q16" i="45"/>
  <c r="BS30" i="45"/>
  <c r="BT30" i="45" s="1"/>
  <c r="CA34" i="45"/>
  <c r="CB34" i="45" s="1"/>
  <c r="BN28" i="11"/>
  <c r="BJ27" i="11"/>
  <c r="BA22" i="42"/>
  <c r="AY462" i="72"/>
  <c r="AY154" i="72"/>
  <c r="BG154" i="72"/>
  <c r="BB154" i="72"/>
  <c r="BG110" i="72"/>
  <c r="AY110" i="72"/>
  <c r="BB110" i="72"/>
  <c r="BN32" i="7"/>
  <c r="BJ31" i="7"/>
  <c r="BN33" i="6"/>
  <c r="BJ32" i="6"/>
  <c r="BJ30" i="8"/>
  <c r="BN31" i="8"/>
  <c r="BF66" i="72"/>
  <c r="BC66" i="72"/>
  <c r="BD66" i="72" s="1"/>
  <c r="AM66" i="72" s="1"/>
  <c r="AP66" i="72" s="1"/>
  <c r="AY330" i="72"/>
  <c r="BB330" i="72"/>
  <c r="BG330" i="72"/>
  <c r="L463" i="72"/>
  <c r="M463" i="72" s="1"/>
  <c r="W14" i="44"/>
  <c r="K21" i="39"/>
  <c r="L21" i="39" s="1"/>
  <c r="E21" i="39" s="1"/>
  <c r="D60" i="39" s="1"/>
  <c r="L68" i="72"/>
  <c r="M68" i="72" s="1"/>
  <c r="AI72" i="45"/>
  <c r="GT11" i="34" l="1"/>
  <c r="J19" i="45"/>
  <c r="J28" i="36"/>
  <c r="J22" i="42"/>
  <c r="J26" i="38"/>
  <c r="AP48" i="44"/>
  <c r="AQ48" i="44" s="1"/>
  <c r="AI79" i="44"/>
  <c r="CB39" i="44"/>
  <c r="BY46" i="44" s="1"/>
  <c r="AI72" i="44"/>
  <c r="CB41" i="44"/>
  <c r="BZ49" i="44" s="1"/>
  <c r="E60" i="39"/>
  <c r="BT41" i="44"/>
  <c r="BR49" i="44" s="1"/>
  <c r="E57" i="42"/>
  <c r="G59" i="40"/>
  <c r="F59" i="40"/>
  <c r="G57" i="41"/>
  <c r="F57" i="41"/>
  <c r="G58" i="41"/>
  <c r="F58" i="41"/>
  <c r="BT39" i="44"/>
  <c r="BR46" i="44" s="1"/>
  <c r="ER25" i="7"/>
  <c r="J30" i="35"/>
  <c r="ER21" i="11"/>
  <c r="GC24" i="13"/>
  <c r="FX286" i="34" s="1"/>
  <c r="GC23" i="14"/>
  <c r="FX316" i="34" s="1"/>
  <c r="GC31" i="6"/>
  <c r="FX76" i="34" s="1"/>
  <c r="GC33" i="4"/>
  <c r="FX16" i="34" s="1"/>
  <c r="GC28" i="9"/>
  <c r="FX166" i="34" s="1"/>
  <c r="GC29" i="8"/>
  <c r="FX136" i="34" s="1"/>
  <c r="GC25" i="12"/>
  <c r="FX256" i="34" s="1"/>
  <c r="GC33" i="5"/>
  <c r="FX47" i="34" s="1"/>
  <c r="GC30" i="7"/>
  <c r="FX106" i="34" s="1"/>
  <c r="GC26" i="11"/>
  <c r="FX226" i="34" s="1"/>
  <c r="GC27" i="10"/>
  <c r="FX196" i="34" s="1"/>
  <c r="J20" i="44"/>
  <c r="J30" i="18"/>
  <c r="J21" i="43"/>
  <c r="AI287" i="72"/>
  <c r="AI463" i="72"/>
  <c r="AI331" i="72"/>
  <c r="AQ331" i="72" s="1"/>
  <c r="AI243" i="72"/>
  <c r="AQ243" i="72" s="1"/>
  <c r="AI419" i="72"/>
  <c r="AI68" i="72"/>
  <c r="AI111" i="72"/>
  <c r="AQ111" i="72" s="1"/>
  <c r="AI23" i="72"/>
  <c r="AI507" i="72"/>
  <c r="AI155" i="72"/>
  <c r="AQ155" i="72" s="1"/>
  <c r="W288" i="72"/>
  <c r="X288" i="72" s="1"/>
  <c r="Z288" i="72"/>
  <c r="W464" i="72"/>
  <c r="X464" i="72" s="1"/>
  <c r="Z464" i="72"/>
  <c r="W112" i="72"/>
  <c r="X112" i="72" s="1"/>
  <c r="Z112" i="72"/>
  <c r="AI199" i="72"/>
  <c r="AQ199" i="72" s="1"/>
  <c r="AI375" i="72"/>
  <c r="AQ375" i="72" s="1"/>
  <c r="W508" i="72"/>
  <c r="X508" i="72" s="1"/>
  <c r="AA508" i="72"/>
  <c r="AA69" i="72"/>
  <c r="W69" i="72"/>
  <c r="X69" i="72" s="1"/>
  <c r="W244" i="72"/>
  <c r="X244" i="72" s="1"/>
  <c r="AA244" i="72"/>
  <c r="AA376" i="72"/>
  <c r="W376" i="72"/>
  <c r="X376" i="72" s="1"/>
  <c r="W420" i="72"/>
  <c r="X420" i="72" s="1"/>
  <c r="AA420" i="72"/>
  <c r="AA200" i="72"/>
  <c r="W200" i="72"/>
  <c r="X200" i="72" s="1"/>
  <c r="W156" i="72"/>
  <c r="X156" i="72" s="1"/>
  <c r="AA156" i="72"/>
  <c r="W332" i="72"/>
  <c r="X332" i="72" s="1"/>
  <c r="AA332" i="72"/>
  <c r="AA24" i="72"/>
  <c r="W24" i="72"/>
  <c r="X24" i="72" s="1"/>
  <c r="FS33" i="4"/>
  <c r="BE33" i="4"/>
  <c r="BC33" i="4" s="1"/>
  <c r="J27" i="37"/>
  <c r="J25" i="39"/>
  <c r="J24" i="40"/>
  <c r="FS33" i="5"/>
  <c r="BE33" i="5"/>
  <c r="BC33" i="5" s="1"/>
  <c r="FS24" i="13"/>
  <c r="BE24" i="13"/>
  <c r="BC24" i="13" s="1"/>
  <c r="FS31" i="6"/>
  <c r="BE31" i="6"/>
  <c r="BC31" i="6" s="1"/>
  <c r="FS27" i="10"/>
  <c r="BE27" i="10"/>
  <c r="BC27" i="10" s="1"/>
  <c r="FS23" i="14"/>
  <c r="BE23" i="14"/>
  <c r="BC23" i="14" s="1"/>
  <c r="FS22" i="15"/>
  <c r="BE22" i="15"/>
  <c r="BC22" i="15" s="1"/>
  <c r="BC20" i="15"/>
  <c r="J18" i="45"/>
  <c r="FS29" i="8"/>
  <c r="BE29" i="8"/>
  <c r="BC29" i="8" s="1"/>
  <c r="FS28" i="9"/>
  <c r="BE28" i="9"/>
  <c r="BC28" i="9" s="1"/>
  <c r="FS30" i="7"/>
  <c r="BE30" i="7"/>
  <c r="BC30" i="7" s="1"/>
  <c r="FS26" i="11"/>
  <c r="BE26" i="11"/>
  <c r="BC26" i="11" s="1"/>
  <c r="FS25" i="12"/>
  <c r="BE25" i="12"/>
  <c r="BC25" i="12" s="1"/>
  <c r="EV24" i="10"/>
  <c r="AA24" i="10" s="1"/>
  <c r="EV27" i="7"/>
  <c r="AA27" i="7" s="1"/>
  <c r="EV22" i="12"/>
  <c r="AA22" i="12" s="1"/>
  <c r="EV30" i="5"/>
  <c r="AA30" i="5" s="1"/>
  <c r="EV26" i="8"/>
  <c r="AA26" i="8" s="1"/>
  <c r="EV23" i="11"/>
  <c r="AA23" i="11" s="1"/>
  <c r="EV28" i="6"/>
  <c r="AA28" i="6" s="1"/>
  <c r="EV25" i="9"/>
  <c r="AA25" i="9" s="1"/>
  <c r="EV21" i="13"/>
  <c r="AA21" i="13" s="1"/>
  <c r="EV20" i="14"/>
  <c r="AA20" i="14" s="1"/>
  <c r="ED420" i="72"/>
  <c r="EE420" i="72" s="1"/>
  <c r="CD155" i="72"/>
  <c r="CD375" i="72"/>
  <c r="CD243" i="72"/>
  <c r="CD287" i="72"/>
  <c r="H31" i="35"/>
  <c r="EM31" i="35"/>
  <c r="H21" i="44"/>
  <c r="EM21" i="44"/>
  <c r="DZ113" i="72"/>
  <c r="DV113" i="72"/>
  <c r="EH113" i="72"/>
  <c r="EI113" i="72" s="1"/>
  <c r="EA113" i="72"/>
  <c r="DW113" i="72"/>
  <c r="EC113" i="72"/>
  <c r="DU113" i="72"/>
  <c r="EB113" i="72"/>
  <c r="DY113" i="72"/>
  <c r="DX113" i="72"/>
  <c r="H24" i="41"/>
  <c r="EM24" i="41"/>
  <c r="AM285" i="72"/>
  <c r="H23" i="42"/>
  <c r="EM23" i="42"/>
  <c r="EA289" i="72"/>
  <c r="DW289" i="72"/>
  <c r="DZ289" i="72"/>
  <c r="DV289" i="72"/>
  <c r="EC289" i="72"/>
  <c r="DY289" i="72"/>
  <c r="DU289" i="72"/>
  <c r="EH289" i="72"/>
  <c r="EI289" i="72" s="1"/>
  <c r="EB289" i="72"/>
  <c r="DX289" i="72"/>
  <c r="BC16" i="72"/>
  <c r="BD16" i="72" s="1"/>
  <c r="AM16" i="72" s="1"/>
  <c r="AP16" i="72" s="1"/>
  <c r="EU24" i="4" s="1"/>
  <c r="ED156" i="72"/>
  <c r="EE156" i="72" s="1"/>
  <c r="CD463" i="72"/>
  <c r="DZ421" i="72"/>
  <c r="DV421" i="72"/>
  <c r="EC421" i="72"/>
  <c r="DY421" i="72"/>
  <c r="DU421" i="72"/>
  <c r="EH421" i="72"/>
  <c r="EI421" i="72" s="1"/>
  <c r="EB421" i="72"/>
  <c r="DX421" i="72"/>
  <c r="EA421" i="72"/>
  <c r="DW421" i="72"/>
  <c r="DZ201" i="72"/>
  <c r="DV201" i="72"/>
  <c r="EC201" i="72"/>
  <c r="DY201" i="72"/>
  <c r="DU201" i="72"/>
  <c r="EB201" i="72"/>
  <c r="DX201" i="72"/>
  <c r="EH201" i="72"/>
  <c r="EI201" i="72" s="1"/>
  <c r="EA201" i="72"/>
  <c r="DW201" i="72"/>
  <c r="H28" i="37"/>
  <c r="EM28" i="37"/>
  <c r="EB25" i="72"/>
  <c r="DX25" i="72"/>
  <c r="EH25" i="72"/>
  <c r="EI25" i="72" s="1"/>
  <c r="EA25" i="72"/>
  <c r="DW25" i="72"/>
  <c r="DZ25" i="72"/>
  <c r="DV25" i="72"/>
  <c r="EC25" i="72"/>
  <c r="DY25" i="72"/>
  <c r="DU25" i="72"/>
  <c r="H26" i="39"/>
  <c r="EM26" i="39"/>
  <c r="H20" i="45"/>
  <c r="EM20" i="45"/>
  <c r="EC377" i="72"/>
  <c r="DY377" i="72"/>
  <c r="DU377" i="72"/>
  <c r="EB377" i="72"/>
  <c r="DX377" i="72"/>
  <c r="EH377" i="72"/>
  <c r="EI377" i="72" s="1"/>
  <c r="EA377" i="72"/>
  <c r="DW377" i="72"/>
  <c r="DZ377" i="72"/>
  <c r="DV377" i="72"/>
  <c r="ED24" i="72"/>
  <c r="EE24" i="72" s="1"/>
  <c r="EN30" i="18" s="1"/>
  <c r="ED464" i="72"/>
  <c r="EE464" i="72" s="1"/>
  <c r="ED508" i="72"/>
  <c r="EE508" i="72" s="1"/>
  <c r="ED112" i="72"/>
  <c r="EE112" i="72" s="1"/>
  <c r="CD507" i="72"/>
  <c r="CD419" i="72"/>
  <c r="CD68" i="72"/>
  <c r="H22" i="43"/>
  <c r="EM22" i="43"/>
  <c r="EC70" i="72"/>
  <c r="DY70" i="72"/>
  <c r="DU70" i="72"/>
  <c r="EB70" i="72"/>
  <c r="DX70" i="72"/>
  <c r="EH70" i="72"/>
  <c r="EI70" i="72" s="1"/>
  <c r="EA70" i="72"/>
  <c r="DW70" i="72"/>
  <c r="DZ70" i="72"/>
  <c r="DV70" i="72"/>
  <c r="H27" i="38"/>
  <c r="EM27" i="38"/>
  <c r="H29" i="36"/>
  <c r="EM29" i="36"/>
  <c r="H31" i="18"/>
  <c r="EM31" i="18"/>
  <c r="EB245" i="72"/>
  <c r="DX245" i="72"/>
  <c r="EH245" i="72"/>
  <c r="EI245" i="72" s="1"/>
  <c r="EA245" i="72"/>
  <c r="DW245" i="72"/>
  <c r="DZ245" i="72"/>
  <c r="DV245" i="72"/>
  <c r="EC245" i="72"/>
  <c r="DY245" i="72"/>
  <c r="DU245" i="72"/>
  <c r="CD111" i="72"/>
  <c r="AM373" i="72"/>
  <c r="ED200" i="72"/>
  <c r="EE200" i="72" s="1"/>
  <c r="ED69" i="72"/>
  <c r="EE69" i="72" s="1"/>
  <c r="EC465" i="72"/>
  <c r="DY465" i="72"/>
  <c r="DU465" i="72"/>
  <c r="EH465" i="72"/>
  <c r="EI465" i="72" s="1"/>
  <c r="EB465" i="72"/>
  <c r="DX465" i="72"/>
  <c r="EA465" i="72"/>
  <c r="DW465" i="72"/>
  <c r="DZ465" i="72"/>
  <c r="DV465" i="72"/>
  <c r="AM329" i="72"/>
  <c r="AP329" i="72" s="1"/>
  <c r="EU22" i="11" s="1"/>
  <c r="EB157" i="72"/>
  <c r="DX157" i="72"/>
  <c r="EH157" i="72"/>
  <c r="EI157" i="72" s="1"/>
  <c r="EA157" i="72"/>
  <c r="DW157" i="72"/>
  <c r="DZ157" i="72"/>
  <c r="DV157" i="72"/>
  <c r="EC157" i="72"/>
  <c r="DY157" i="72"/>
  <c r="DU157" i="72"/>
  <c r="DZ333" i="72"/>
  <c r="DV333" i="72"/>
  <c r="EC333" i="72"/>
  <c r="DY333" i="72"/>
  <c r="DU333" i="72"/>
  <c r="EH333" i="72"/>
  <c r="EI333" i="72" s="1"/>
  <c r="EB333" i="72"/>
  <c r="DX333" i="72"/>
  <c r="EA333" i="72"/>
  <c r="DW333" i="72"/>
  <c r="CD331" i="72"/>
  <c r="EA509" i="72"/>
  <c r="DW509" i="72"/>
  <c r="DZ509" i="72"/>
  <c r="DV509" i="72"/>
  <c r="EC509" i="72"/>
  <c r="DY509" i="72"/>
  <c r="DU509" i="72"/>
  <c r="EH509" i="72"/>
  <c r="EI509" i="72" s="1"/>
  <c r="EB509" i="72"/>
  <c r="DX509" i="72"/>
  <c r="H25" i="40"/>
  <c r="EM25" i="40"/>
  <c r="AM197" i="72"/>
  <c r="AP197" i="72" s="1"/>
  <c r="EU25" i="8" s="1"/>
  <c r="CD199" i="72"/>
  <c r="ED376" i="72"/>
  <c r="EE376" i="72" s="1"/>
  <c r="ED332" i="72"/>
  <c r="EE332" i="72" s="1"/>
  <c r="ED288" i="72"/>
  <c r="EE288" i="72" s="1"/>
  <c r="ED244" i="72"/>
  <c r="EE244" i="72" s="1"/>
  <c r="K465" i="72"/>
  <c r="V465" i="72" s="1"/>
  <c r="AG465" i="72" s="1"/>
  <c r="G465" i="72"/>
  <c r="R465" i="72" s="1"/>
  <c r="AC465" i="72" s="1"/>
  <c r="J465" i="72"/>
  <c r="U465" i="72" s="1"/>
  <c r="AF465" i="72" s="1"/>
  <c r="F465" i="72"/>
  <c r="Q465" i="72" s="1"/>
  <c r="AB465" i="72" s="1"/>
  <c r="I465" i="72"/>
  <c r="T465" i="72" s="1"/>
  <c r="AE465" i="72" s="1"/>
  <c r="E465" i="72"/>
  <c r="P465" i="72" s="1"/>
  <c r="H465" i="72"/>
  <c r="S465" i="72" s="1"/>
  <c r="AD465" i="72" s="1"/>
  <c r="D465" i="72"/>
  <c r="O465" i="72" s="1"/>
  <c r="Z465" i="72" s="1"/>
  <c r="K201" i="72"/>
  <c r="V201" i="72" s="1"/>
  <c r="AG201" i="72" s="1"/>
  <c r="G201" i="72"/>
  <c r="R201" i="72" s="1"/>
  <c r="AC201" i="72" s="1"/>
  <c r="J201" i="72"/>
  <c r="U201" i="72" s="1"/>
  <c r="AF201" i="72" s="1"/>
  <c r="F201" i="72"/>
  <c r="Q201" i="72" s="1"/>
  <c r="AB201" i="72" s="1"/>
  <c r="I201" i="72"/>
  <c r="T201" i="72" s="1"/>
  <c r="AE201" i="72" s="1"/>
  <c r="E201" i="72"/>
  <c r="P201" i="72" s="1"/>
  <c r="H201" i="72"/>
  <c r="S201" i="72" s="1"/>
  <c r="AD201" i="72" s="1"/>
  <c r="D201" i="72"/>
  <c r="O201" i="72" s="1"/>
  <c r="Z201" i="72" s="1"/>
  <c r="K289" i="72"/>
  <c r="V289" i="72" s="1"/>
  <c r="AG289" i="72" s="1"/>
  <c r="G289" i="72"/>
  <c r="R289" i="72" s="1"/>
  <c r="AC289" i="72" s="1"/>
  <c r="J289" i="72"/>
  <c r="U289" i="72" s="1"/>
  <c r="AF289" i="72" s="1"/>
  <c r="F289" i="72"/>
  <c r="Q289" i="72" s="1"/>
  <c r="AB289" i="72" s="1"/>
  <c r="I289" i="72"/>
  <c r="T289" i="72" s="1"/>
  <c r="AE289" i="72" s="1"/>
  <c r="E289" i="72"/>
  <c r="P289" i="72" s="1"/>
  <c r="H289" i="72"/>
  <c r="S289" i="72" s="1"/>
  <c r="AD289" i="72" s="1"/>
  <c r="D289" i="72"/>
  <c r="O289" i="72" s="1"/>
  <c r="Z289" i="72" s="1"/>
  <c r="K421" i="72"/>
  <c r="V421" i="72" s="1"/>
  <c r="AG421" i="72" s="1"/>
  <c r="G421" i="72"/>
  <c r="R421" i="72" s="1"/>
  <c r="AC421" i="72" s="1"/>
  <c r="J421" i="72"/>
  <c r="U421" i="72" s="1"/>
  <c r="AF421" i="72" s="1"/>
  <c r="F421" i="72"/>
  <c r="Q421" i="72" s="1"/>
  <c r="AB421" i="72" s="1"/>
  <c r="I421" i="72"/>
  <c r="T421" i="72" s="1"/>
  <c r="AE421" i="72" s="1"/>
  <c r="E421" i="72"/>
  <c r="P421" i="72" s="1"/>
  <c r="H421" i="72"/>
  <c r="S421" i="72" s="1"/>
  <c r="AD421" i="72" s="1"/>
  <c r="D421" i="72"/>
  <c r="O421" i="72" s="1"/>
  <c r="Z421" i="72" s="1"/>
  <c r="K25" i="72"/>
  <c r="V25" i="72" s="1"/>
  <c r="AG25" i="72" s="1"/>
  <c r="G25" i="72"/>
  <c r="R25" i="72" s="1"/>
  <c r="AC25" i="72" s="1"/>
  <c r="J25" i="72"/>
  <c r="U25" i="72" s="1"/>
  <c r="AF25" i="72" s="1"/>
  <c r="F25" i="72"/>
  <c r="Q25" i="72" s="1"/>
  <c r="AB25" i="72" s="1"/>
  <c r="I25" i="72"/>
  <c r="T25" i="72" s="1"/>
  <c r="AE25" i="72" s="1"/>
  <c r="E25" i="72"/>
  <c r="P25" i="72" s="1"/>
  <c r="H25" i="72"/>
  <c r="S25" i="72" s="1"/>
  <c r="AD25" i="72" s="1"/>
  <c r="D25" i="72"/>
  <c r="O25" i="72" s="1"/>
  <c r="Z25" i="72" s="1"/>
  <c r="K377" i="72"/>
  <c r="V377" i="72" s="1"/>
  <c r="AG377" i="72" s="1"/>
  <c r="G377" i="72"/>
  <c r="R377" i="72" s="1"/>
  <c r="AC377" i="72" s="1"/>
  <c r="J377" i="72"/>
  <c r="U377" i="72" s="1"/>
  <c r="AF377" i="72" s="1"/>
  <c r="F377" i="72"/>
  <c r="Q377" i="72" s="1"/>
  <c r="AB377" i="72" s="1"/>
  <c r="I377" i="72"/>
  <c r="T377" i="72" s="1"/>
  <c r="AE377" i="72" s="1"/>
  <c r="E377" i="72"/>
  <c r="P377" i="72" s="1"/>
  <c r="H377" i="72"/>
  <c r="S377" i="72" s="1"/>
  <c r="AD377" i="72" s="1"/>
  <c r="D377" i="72"/>
  <c r="O377" i="72" s="1"/>
  <c r="Z377" i="72" s="1"/>
  <c r="K157" i="72"/>
  <c r="V157" i="72" s="1"/>
  <c r="AG157" i="72" s="1"/>
  <c r="G157" i="72"/>
  <c r="R157" i="72" s="1"/>
  <c r="AC157" i="72" s="1"/>
  <c r="J157" i="72"/>
  <c r="U157" i="72" s="1"/>
  <c r="AF157" i="72" s="1"/>
  <c r="F157" i="72"/>
  <c r="Q157" i="72" s="1"/>
  <c r="AB157" i="72" s="1"/>
  <c r="I157" i="72"/>
  <c r="T157" i="72" s="1"/>
  <c r="AE157" i="72" s="1"/>
  <c r="E157" i="72"/>
  <c r="P157" i="72" s="1"/>
  <c r="AA157" i="72" s="1"/>
  <c r="H157" i="72"/>
  <c r="S157" i="72" s="1"/>
  <c r="AD157" i="72" s="1"/>
  <c r="D157" i="72"/>
  <c r="O157" i="72" s="1"/>
  <c r="K333" i="72"/>
  <c r="V333" i="72" s="1"/>
  <c r="AG333" i="72" s="1"/>
  <c r="G333" i="72"/>
  <c r="R333" i="72" s="1"/>
  <c r="AC333" i="72" s="1"/>
  <c r="J333" i="72"/>
  <c r="U333" i="72" s="1"/>
  <c r="AF333" i="72" s="1"/>
  <c r="F333" i="72"/>
  <c r="Q333" i="72" s="1"/>
  <c r="AB333" i="72" s="1"/>
  <c r="I333" i="72"/>
  <c r="T333" i="72" s="1"/>
  <c r="AE333" i="72" s="1"/>
  <c r="E333" i="72"/>
  <c r="P333" i="72" s="1"/>
  <c r="AA333" i="72" s="1"/>
  <c r="H333" i="72"/>
  <c r="S333" i="72" s="1"/>
  <c r="AD333" i="72" s="1"/>
  <c r="D333" i="72"/>
  <c r="O333" i="72" s="1"/>
  <c r="K245" i="72"/>
  <c r="V245" i="72" s="1"/>
  <c r="AG245" i="72" s="1"/>
  <c r="G245" i="72"/>
  <c r="R245" i="72" s="1"/>
  <c r="AC245" i="72" s="1"/>
  <c r="J245" i="72"/>
  <c r="U245" i="72" s="1"/>
  <c r="AF245" i="72" s="1"/>
  <c r="F245" i="72"/>
  <c r="Q245" i="72" s="1"/>
  <c r="AB245" i="72" s="1"/>
  <c r="I245" i="72"/>
  <c r="T245" i="72" s="1"/>
  <c r="AE245" i="72" s="1"/>
  <c r="E245" i="72"/>
  <c r="P245" i="72" s="1"/>
  <c r="H245" i="72"/>
  <c r="S245" i="72" s="1"/>
  <c r="AD245" i="72" s="1"/>
  <c r="D245" i="72"/>
  <c r="O245" i="72" s="1"/>
  <c r="Z245" i="72" s="1"/>
  <c r="K70" i="72"/>
  <c r="V70" i="72" s="1"/>
  <c r="AG70" i="72" s="1"/>
  <c r="G70" i="72"/>
  <c r="R70" i="72" s="1"/>
  <c r="AC70" i="72" s="1"/>
  <c r="J70" i="72"/>
  <c r="U70" i="72" s="1"/>
  <c r="AF70" i="72" s="1"/>
  <c r="F70" i="72"/>
  <c r="Q70" i="72" s="1"/>
  <c r="AB70" i="72" s="1"/>
  <c r="I70" i="72"/>
  <c r="T70" i="72" s="1"/>
  <c r="AE70" i="72" s="1"/>
  <c r="E70" i="72"/>
  <c r="P70" i="72" s="1"/>
  <c r="H70" i="72"/>
  <c r="S70" i="72" s="1"/>
  <c r="AD70" i="72" s="1"/>
  <c r="D70" i="72"/>
  <c r="O70" i="72" s="1"/>
  <c r="Z70" i="72" s="1"/>
  <c r="K113" i="72"/>
  <c r="V113" i="72" s="1"/>
  <c r="AG113" i="72" s="1"/>
  <c r="G113" i="72"/>
  <c r="R113" i="72" s="1"/>
  <c r="AC113" i="72" s="1"/>
  <c r="J113" i="72"/>
  <c r="U113" i="72" s="1"/>
  <c r="AF113" i="72" s="1"/>
  <c r="F113" i="72"/>
  <c r="Q113" i="72" s="1"/>
  <c r="AB113" i="72" s="1"/>
  <c r="I113" i="72"/>
  <c r="T113" i="72" s="1"/>
  <c r="AE113" i="72" s="1"/>
  <c r="E113" i="72"/>
  <c r="P113" i="72" s="1"/>
  <c r="H113" i="72"/>
  <c r="S113" i="72" s="1"/>
  <c r="AD113" i="72" s="1"/>
  <c r="D113" i="72"/>
  <c r="O113" i="72" s="1"/>
  <c r="Z113" i="72" s="1"/>
  <c r="K509" i="72"/>
  <c r="V509" i="72" s="1"/>
  <c r="AG509" i="72" s="1"/>
  <c r="G509" i="72"/>
  <c r="R509" i="72" s="1"/>
  <c r="AC509" i="72" s="1"/>
  <c r="J509" i="72"/>
  <c r="U509" i="72" s="1"/>
  <c r="AF509" i="72" s="1"/>
  <c r="F509" i="72"/>
  <c r="Q509" i="72" s="1"/>
  <c r="AB509" i="72" s="1"/>
  <c r="I509" i="72"/>
  <c r="T509" i="72" s="1"/>
  <c r="AE509" i="72" s="1"/>
  <c r="E509" i="72"/>
  <c r="P509" i="72" s="1"/>
  <c r="AA509" i="72" s="1"/>
  <c r="H509" i="72"/>
  <c r="S509" i="72" s="1"/>
  <c r="AD509" i="72" s="1"/>
  <c r="D509" i="72"/>
  <c r="O509" i="72" s="1"/>
  <c r="BR49" i="43"/>
  <c r="BY46" i="43"/>
  <c r="BW52" i="42"/>
  <c r="BJ61" i="42" s="1"/>
  <c r="GR11" i="34" s="1"/>
  <c r="GV11" i="34" s="1"/>
  <c r="BW54" i="42"/>
  <c r="BJ53" i="42" s="1"/>
  <c r="GQ11" i="34" s="1"/>
  <c r="BZ49" i="43"/>
  <c r="BQ46" i="43"/>
  <c r="AI87" i="44"/>
  <c r="BJ64" i="43"/>
  <c r="ER22" i="4"/>
  <c r="EU22" i="4"/>
  <c r="BF16" i="72"/>
  <c r="L18" i="72"/>
  <c r="M18" i="72" s="1"/>
  <c r="ER26" i="6"/>
  <c r="EU26" i="6"/>
  <c r="ER28" i="5"/>
  <c r="EU28" i="5"/>
  <c r="CB41" i="45"/>
  <c r="BB68" i="72"/>
  <c r="BG68" i="72"/>
  <c r="BG463" i="72"/>
  <c r="BB463" i="72"/>
  <c r="I19" i="45"/>
  <c r="K27" i="35"/>
  <c r="L27" i="35" s="1"/>
  <c r="E27" i="35" s="1"/>
  <c r="D66" i="35" s="1"/>
  <c r="FB30" i="8"/>
  <c r="BH30" i="8" s="1"/>
  <c r="A28" i="38"/>
  <c r="A202" i="72"/>
  <c r="BN34" i="6"/>
  <c r="BJ33" i="6"/>
  <c r="BN33" i="7"/>
  <c r="BJ32" i="7"/>
  <c r="BF154" i="72"/>
  <c r="BC154" i="72"/>
  <c r="BD154" i="72" s="1"/>
  <c r="AM154" i="72" s="1"/>
  <c r="AP154" i="72" s="1"/>
  <c r="I22" i="42"/>
  <c r="BJ28" i="11"/>
  <c r="BN29" i="11"/>
  <c r="AY68" i="72"/>
  <c r="AQ68" i="72"/>
  <c r="AY463" i="72"/>
  <c r="AQ463" i="72"/>
  <c r="BF330" i="72"/>
  <c r="BC330" i="72"/>
  <c r="BD330" i="72" s="1"/>
  <c r="BJ31" i="8"/>
  <c r="BN32" i="8"/>
  <c r="A30" i="36"/>
  <c r="A114" i="72"/>
  <c r="FB32" i="6"/>
  <c r="BH32" i="6" s="1"/>
  <c r="A158" i="72"/>
  <c r="FB31" i="7"/>
  <c r="BH31" i="7" s="1"/>
  <c r="A29" i="37"/>
  <c r="BF110" i="72"/>
  <c r="BC110" i="72"/>
  <c r="BD110" i="72" s="1"/>
  <c r="AM110" i="72" s="1"/>
  <c r="AP110" i="72" s="1"/>
  <c r="AQ462" i="72"/>
  <c r="A25" i="41"/>
  <c r="FB27" i="11"/>
  <c r="BH27" i="11" s="1"/>
  <c r="A334" i="72"/>
  <c r="W13" i="45"/>
  <c r="L288" i="72"/>
  <c r="M288" i="72" s="1"/>
  <c r="BA22" i="43"/>
  <c r="L69" i="72"/>
  <c r="M69" i="72" s="1"/>
  <c r="BF242" i="72"/>
  <c r="BC242" i="72"/>
  <c r="BD242" i="72" s="1"/>
  <c r="BN36" i="4"/>
  <c r="BJ35" i="4"/>
  <c r="BG507" i="72"/>
  <c r="BB507" i="72"/>
  <c r="BN31" i="9"/>
  <c r="BJ30" i="9"/>
  <c r="BG375" i="72"/>
  <c r="BB375" i="72"/>
  <c r="EU24" i="9"/>
  <c r="BG419" i="72"/>
  <c r="BB419" i="72"/>
  <c r="AQ374" i="72"/>
  <c r="FB23" i="15"/>
  <c r="BH23" i="15" s="1"/>
  <c r="GC23" i="15" s="1"/>
  <c r="FX347" i="34" s="1"/>
  <c r="A21" i="45"/>
  <c r="A510" i="72"/>
  <c r="BF286" i="72"/>
  <c r="BC286" i="72"/>
  <c r="BD286" i="72" s="1"/>
  <c r="AM286" i="72" s="1"/>
  <c r="AP286" i="72" s="1"/>
  <c r="I27" i="37"/>
  <c r="BN28" i="12"/>
  <c r="BJ27" i="12"/>
  <c r="BT39" i="45"/>
  <c r="AY287" i="72"/>
  <c r="A290" i="72"/>
  <c r="FB28" i="10"/>
  <c r="BH28" i="10" s="1"/>
  <c r="A26" i="40"/>
  <c r="L420" i="72"/>
  <c r="M420" i="72" s="1"/>
  <c r="I21" i="43"/>
  <c r="BA31" i="35"/>
  <c r="K24" i="37"/>
  <c r="L24" i="37" s="1"/>
  <c r="E24" i="37" s="1"/>
  <c r="D63" i="37" s="1"/>
  <c r="ER26" i="7"/>
  <c r="BF418" i="72"/>
  <c r="BC418" i="72"/>
  <c r="BD418" i="72" s="1"/>
  <c r="BI59" i="44"/>
  <c r="BI50" i="44"/>
  <c r="AQ330" i="72"/>
  <c r="L508" i="72"/>
  <c r="M508" i="72" s="1"/>
  <c r="BA27" i="38"/>
  <c r="BA29" i="36"/>
  <c r="BA28" i="37"/>
  <c r="W14" i="45"/>
  <c r="BN27" i="13"/>
  <c r="BJ26" i="13"/>
  <c r="BA31" i="18"/>
  <c r="BE31" i="18" s="1"/>
  <c r="AY331" i="72"/>
  <c r="K21" i="40"/>
  <c r="L21" i="40" s="1"/>
  <c r="E21" i="40" s="1"/>
  <c r="D60" i="40" s="1"/>
  <c r="E60" i="40" s="1"/>
  <c r="BF374" i="72"/>
  <c r="BC374" i="72"/>
  <c r="BD374" i="72" s="1"/>
  <c r="AM374" i="72" s="1"/>
  <c r="AP374" i="72" s="1"/>
  <c r="BA20" i="45"/>
  <c r="I26" i="38"/>
  <c r="I28" i="36"/>
  <c r="L156" i="72"/>
  <c r="M156" i="72" s="1"/>
  <c r="BF67" i="72"/>
  <c r="BC67" i="72"/>
  <c r="BD67" i="72" s="1"/>
  <c r="AM67" i="72" s="1"/>
  <c r="AP67" i="72" s="1"/>
  <c r="BA23" i="42"/>
  <c r="BN36" i="5"/>
  <c r="BJ35" i="5"/>
  <c r="FB24" i="14"/>
  <c r="BH24" i="14" s="1"/>
  <c r="A22" i="44"/>
  <c r="A466" i="72"/>
  <c r="K23" i="38"/>
  <c r="L23" i="38" s="1"/>
  <c r="E23" i="38" s="1"/>
  <c r="D62" i="38" s="1"/>
  <c r="ER22" i="10"/>
  <c r="BG199" i="72"/>
  <c r="BB199" i="72"/>
  <c r="AY111" i="72"/>
  <c r="I25" i="39"/>
  <c r="ER23" i="9"/>
  <c r="I20" i="44"/>
  <c r="FB34" i="4"/>
  <c r="BH34" i="4" s="1"/>
  <c r="A26" i="72"/>
  <c r="A32" i="18"/>
  <c r="AY507" i="72"/>
  <c r="AY155" i="72"/>
  <c r="BG155" i="72"/>
  <c r="BB155" i="72"/>
  <c r="A27" i="39"/>
  <c r="FB29" i="9"/>
  <c r="BH29" i="9" s="1"/>
  <c r="A246" i="72"/>
  <c r="AY375" i="72"/>
  <c r="K22" i="39"/>
  <c r="L22" i="39" s="1"/>
  <c r="E22" i="39" s="1"/>
  <c r="D61" i="39" s="1"/>
  <c r="E61" i="39" s="1"/>
  <c r="ER24" i="9"/>
  <c r="AY419" i="72"/>
  <c r="BN25" i="15"/>
  <c r="BJ24" i="15"/>
  <c r="L112" i="72"/>
  <c r="M112" i="72" s="1"/>
  <c r="BG243" i="72"/>
  <c r="AY243" i="72"/>
  <c r="BB243" i="72"/>
  <c r="A378" i="72"/>
  <c r="A24" i="42"/>
  <c r="FB26" i="12"/>
  <c r="BH26" i="12" s="1"/>
  <c r="CB39" i="45"/>
  <c r="BT41" i="45"/>
  <c r="BG287" i="72"/>
  <c r="BB287" i="72"/>
  <c r="BN30" i="10"/>
  <c r="BJ29" i="10"/>
  <c r="BA21" i="44"/>
  <c r="K25" i="36"/>
  <c r="L25" i="36" s="1"/>
  <c r="E25" i="36" s="1"/>
  <c r="D64" i="36" s="1"/>
  <c r="I30" i="18"/>
  <c r="K18" i="43"/>
  <c r="L18" i="43" s="1"/>
  <c r="E18" i="43" s="1"/>
  <c r="D57" i="43" s="1"/>
  <c r="EU20" i="13"/>
  <c r="K20" i="41"/>
  <c r="L20" i="41" s="1"/>
  <c r="E20" i="41" s="1"/>
  <c r="D59" i="41" s="1"/>
  <c r="E59" i="41" s="1"/>
  <c r="AQ154" i="72"/>
  <c r="BF462" i="72"/>
  <c r="BC462" i="72"/>
  <c r="BD462" i="72" s="1"/>
  <c r="AM462" i="72" s="1"/>
  <c r="AP462" i="72" s="1"/>
  <c r="L376" i="72"/>
  <c r="M376" i="72" s="1"/>
  <c r="BA24" i="41"/>
  <c r="BH29" i="45"/>
  <c r="BJ45" i="45"/>
  <c r="BH45" i="45"/>
  <c r="BJ29" i="45"/>
  <c r="I24" i="40"/>
  <c r="ER20" i="12"/>
  <c r="FB25" i="13"/>
  <c r="BH25" i="13" s="1"/>
  <c r="A422" i="72"/>
  <c r="A23" i="43"/>
  <c r="I30" i="35"/>
  <c r="L464" i="72"/>
  <c r="M464" i="72" s="1"/>
  <c r="J31" i="18"/>
  <c r="BA26" i="39"/>
  <c r="BG331" i="72"/>
  <c r="BB331" i="72"/>
  <c r="ER24" i="8"/>
  <c r="L200" i="72"/>
  <c r="M200" i="72" s="1"/>
  <c r="I23" i="41"/>
  <c r="L332" i="72"/>
  <c r="M332" i="72" s="1"/>
  <c r="BF198" i="72"/>
  <c r="BC198" i="72"/>
  <c r="BD198" i="72" s="1"/>
  <c r="AM198" i="72" s="1"/>
  <c r="AP198" i="72" s="1"/>
  <c r="BA25" i="40"/>
  <c r="FB34" i="5"/>
  <c r="BH34" i="5" s="1"/>
  <c r="A32" i="35"/>
  <c r="A71" i="72"/>
  <c r="BN26" i="14"/>
  <c r="BJ25" i="14"/>
  <c r="AY199" i="72"/>
  <c r="BG111" i="72"/>
  <c r="BB111" i="72"/>
  <c r="L244" i="72"/>
  <c r="M244" i="72" s="1"/>
  <c r="K19" i="42"/>
  <c r="L19" i="42" s="1"/>
  <c r="E19" i="42" s="1"/>
  <c r="D58" i="42" s="1"/>
  <c r="E58" i="42" s="1"/>
  <c r="ER25" i="8" l="1"/>
  <c r="BY49" i="44"/>
  <c r="BZ46" i="44"/>
  <c r="BJ56" i="44" s="1"/>
  <c r="GS13" i="34" s="1"/>
  <c r="ER22" i="11"/>
  <c r="AB14" i="59"/>
  <c r="GT12" i="34"/>
  <c r="GU11" i="34"/>
  <c r="T27" i="12"/>
  <c r="BQ49" i="44"/>
  <c r="BQ46" i="44"/>
  <c r="ER24" i="4"/>
  <c r="K22" i="18"/>
  <c r="L22" i="18" s="1"/>
  <c r="E22" i="18" s="1"/>
  <c r="D61" i="18" s="1"/>
  <c r="G57" i="42"/>
  <c r="F57" i="42"/>
  <c r="G60" i="39"/>
  <c r="F60" i="39"/>
  <c r="G61" i="39"/>
  <c r="F61" i="39"/>
  <c r="G59" i="41"/>
  <c r="F59" i="41"/>
  <c r="E57" i="43"/>
  <c r="G58" i="42"/>
  <c r="F58" i="42"/>
  <c r="G60" i="40"/>
  <c r="F60" i="40"/>
  <c r="J31" i="35"/>
  <c r="J24" i="41"/>
  <c r="J21" i="44"/>
  <c r="J26" i="39"/>
  <c r="J29" i="36"/>
  <c r="J20" i="45"/>
  <c r="GC24" i="14"/>
  <c r="FX317" i="34" s="1"/>
  <c r="GC28" i="10"/>
  <c r="FX197" i="34" s="1"/>
  <c r="GC25" i="13"/>
  <c r="FX287" i="34" s="1"/>
  <c r="GC29" i="9"/>
  <c r="FX167" i="34" s="1"/>
  <c r="GC34" i="4"/>
  <c r="FX17" i="34" s="1"/>
  <c r="GC32" i="6"/>
  <c r="FX77" i="34" s="1"/>
  <c r="GC34" i="5"/>
  <c r="FX48" i="34" s="1"/>
  <c r="GC27" i="11"/>
  <c r="FX227" i="34" s="1"/>
  <c r="GC26" i="12"/>
  <c r="FX257" i="34" s="1"/>
  <c r="GC31" i="7"/>
  <c r="FX107" i="34" s="1"/>
  <c r="GC30" i="8"/>
  <c r="FX137" i="34" s="1"/>
  <c r="J27" i="38"/>
  <c r="J25" i="40"/>
  <c r="J28" i="37"/>
  <c r="J22" i="43"/>
  <c r="J23" i="42"/>
  <c r="AI200" i="72"/>
  <c r="AQ200" i="72" s="1"/>
  <c r="AI464" i="72"/>
  <c r="AI376" i="72"/>
  <c r="AQ376" i="72" s="1"/>
  <c r="AI112" i="72"/>
  <c r="AQ112" i="72" s="1"/>
  <c r="AI24" i="72"/>
  <c r="W509" i="72"/>
  <c r="X509" i="72" s="1"/>
  <c r="Z509" i="72"/>
  <c r="W333" i="72"/>
  <c r="X333" i="72" s="1"/>
  <c r="Z333" i="72"/>
  <c r="W157" i="72"/>
  <c r="X157" i="72" s="1"/>
  <c r="Z157" i="72"/>
  <c r="AI288" i="72"/>
  <c r="AQ288" i="72" s="1"/>
  <c r="AI69" i="72"/>
  <c r="AQ69" i="72" s="1"/>
  <c r="W113" i="72"/>
  <c r="X113" i="72" s="1"/>
  <c r="AA113" i="72"/>
  <c r="W70" i="72"/>
  <c r="X70" i="72" s="1"/>
  <c r="AA70" i="72"/>
  <c r="AA245" i="72"/>
  <c r="W245" i="72"/>
  <c r="X245" i="72" s="1"/>
  <c r="W377" i="72"/>
  <c r="X377" i="72" s="1"/>
  <c r="AA377" i="72"/>
  <c r="W25" i="72"/>
  <c r="X25" i="72" s="1"/>
  <c r="AA25" i="72"/>
  <c r="AA421" i="72"/>
  <c r="W421" i="72"/>
  <c r="X421" i="72" s="1"/>
  <c r="W289" i="72"/>
  <c r="X289" i="72" s="1"/>
  <c r="AA289" i="72"/>
  <c r="W201" i="72"/>
  <c r="X201" i="72" s="1"/>
  <c r="AA201" i="72"/>
  <c r="W465" i="72"/>
  <c r="X465" i="72" s="1"/>
  <c r="AA465" i="72"/>
  <c r="AI332" i="72"/>
  <c r="AQ332" i="72" s="1"/>
  <c r="AI156" i="72"/>
  <c r="AQ156" i="72" s="1"/>
  <c r="AI420" i="72"/>
  <c r="AQ420" i="72" s="1"/>
  <c r="AI244" i="72"/>
  <c r="AI508" i="72"/>
  <c r="AQ508" i="72" s="1"/>
  <c r="FS34" i="4"/>
  <c r="BE34" i="4"/>
  <c r="BC34" i="4" s="1"/>
  <c r="ER21" i="12"/>
  <c r="AP373" i="72"/>
  <c r="EU21" i="12" s="1"/>
  <c r="ER23" i="10"/>
  <c r="AP285" i="72"/>
  <c r="EU23" i="10" s="1"/>
  <c r="FS34" i="5"/>
  <c r="BE34" i="5"/>
  <c r="BC34" i="5" s="1"/>
  <c r="FS24" i="14"/>
  <c r="BE24" i="14"/>
  <c r="BC24" i="14" s="1"/>
  <c r="FS28" i="10"/>
  <c r="BE28" i="10"/>
  <c r="BC28" i="10" s="1"/>
  <c r="FS27" i="11"/>
  <c r="BE27" i="11"/>
  <c r="BC27" i="11" s="1"/>
  <c r="FS32" i="6"/>
  <c r="BE32" i="6"/>
  <c r="BC32" i="6" s="1"/>
  <c r="FS26" i="12"/>
  <c r="BE26" i="12"/>
  <c r="BC26" i="12" s="1"/>
  <c r="I18" i="45"/>
  <c r="FS29" i="9"/>
  <c r="BE29" i="9"/>
  <c r="FS31" i="7"/>
  <c r="BE31" i="7"/>
  <c r="BC31" i="7" s="1"/>
  <c r="FS30" i="8"/>
  <c r="BE30" i="8"/>
  <c r="FS25" i="13"/>
  <c r="BE25" i="13"/>
  <c r="BC25" i="13" s="1"/>
  <c r="FS23" i="15"/>
  <c r="BE23" i="15"/>
  <c r="BC23" i="15" s="1"/>
  <c r="ED333" i="72"/>
  <c r="EE333" i="72" s="1"/>
  <c r="ED421" i="72"/>
  <c r="EE421" i="72" s="1"/>
  <c r="EV29" i="6"/>
  <c r="AA29" i="6" s="1"/>
  <c r="EV26" i="9"/>
  <c r="AA26" i="9" s="1"/>
  <c r="EV28" i="7"/>
  <c r="AA28" i="7" s="1"/>
  <c r="EV23" i="12"/>
  <c r="AA23" i="12" s="1"/>
  <c r="EV31" i="5"/>
  <c r="AA31" i="5" s="1"/>
  <c r="EV24" i="11"/>
  <c r="AA24" i="11" s="1"/>
  <c r="EV25" i="10"/>
  <c r="AA25" i="10" s="1"/>
  <c r="EV27" i="8"/>
  <c r="AA27" i="8" s="1"/>
  <c r="EV22" i="13"/>
  <c r="AA22" i="13" s="1"/>
  <c r="EV20" i="15"/>
  <c r="AA20" i="15" s="1"/>
  <c r="EV21" i="14"/>
  <c r="AA21" i="14" s="1"/>
  <c r="AM242" i="72"/>
  <c r="CD288" i="72"/>
  <c r="H25" i="41"/>
  <c r="EM25" i="41"/>
  <c r="H29" i="37"/>
  <c r="EM29" i="37"/>
  <c r="EH114" i="72"/>
  <c r="EI114" i="72" s="1"/>
  <c r="EA114" i="72"/>
  <c r="DW114" i="72"/>
  <c r="EB114" i="72"/>
  <c r="DX114" i="72"/>
  <c r="DZ114" i="72"/>
  <c r="DY114" i="72"/>
  <c r="DV114" i="72"/>
  <c r="EC114" i="72"/>
  <c r="DU114" i="72"/>
  <c r="AM330" i="72"/>
  <c r="EH202" i="72"/>
  <c r="EI202" i="72" s="1"/>
  <c r="EA202" i="72"/>
  <c r="DW202" i="72"/>
  <c r="DZ202" i="72"/>
  <c r="DV202" i="72"/>
  <c r="EC202" i="72"/>
  <c r="DY202" i="72"/>
  <c r="DU202" i="72"/>
  <c r="EB202" i="72"/>
  <c r="DX202" i="72"/>
  <c r="ED509" i="72"/>
  <c r="EE509" i="72" s="1"/>
  <c r="ED245" i="72"/>
  <c r="EE245" i="72" s="1"/>
  <c r="ED70" i="72"/>
  <c r="EE70" i="72" s="1"/>
  <c r="ED25" i="72"/>
  <c r="EE25" i="72" s="1"/>
  <c r="ED201" i="72"/>
  <c r="EE201" i="72" s="1"/>
  <c r="H32" i="35"/>
  <c r="EM32" i="35"/>
  <c r="CD200" i="72"/>
  <c r="H23" i="43"/>
  <c r="EM23" i="43"/>
  <c r="H24" i="42"/>
  <c r="EM24" i="42"/>
  <c r="CD420" i="72"/>
  <c r="EA510" i="72"/>
  <c r="DW510" i="72"/>
  <c r="DZ510" i="72"/>
  <c r="DV510" i="72"/>
  <c r="EC510" i="72"/>
  <c r="DY510" i="72"/>
  <c r="DU510" i="72"/>
  <c r="EH510" i="72"/>
  <c r="EI510" i="72" s="1"/>
  <c r="EB510" i="72"/>
  <c r="DX510" i="72"/>
  <c r="CD244" i="72"/>
  <c r="CD332" i="72"/>
  <c r="CD464" i="72"/>
  <c r="DZ422" i="72"/>
  <c r="DV422" i="72"/>
  <c r="EC422" i="72"/>
  <c r="DY422" i="72"/>
  <c r="DU422" i="72"/>
  <c r="EH422" i="72"/>
  <c r="EI422" i="72" s="1"/>
  <c r="EB422" i="72"/>
  <c r="DX422" i="72"/>
  <c r="EA422" i="72"/>
  <c r="DW422" i="72"/>
  <c r="EC378" i="72"/>
  <c r="DY378" i="72"/>
  <c r="DU378" i="72"/>
  <c r="EB378" i="72"/>
  <c r="DX378" i="72"/>
  <c r="EH378" i="72"/>
  <c r="EI378" i="72" s="1"/>
  <c r="EA378" i="72"/>
  <c r="DW378" i="72"/>
  <c r="DZ378" i="72"/>
  <c r="DV378" i="72"/>
  <c r="CD112" i="72"/>
  <c r="H27" i="39"/>
  <c r="EM27" i="39"/>
  <c r="EC466" i="72"/>
  <c r="DY466" i="72"/>
  <c r="DU466" i="72"/>
  <c r="EH466" i="72"/>
  <c r="EI466" i="72" s="1"/>
  <c r="EB466" i="72"/>
  <c r="DX466" i="72"/>
  <c r="EA466" i="72"/>
  <c r="DW466" i="72"/>
  <c r="DZ466" i="72"/>
  <c r="DV466" i="72"/>
  <c r="H26" i="40"/>
  <c r="EM26" i="40"/>
  <c r="H21" i="45"/>
  <c r="EM21" i="45"/>
  <c r="H30" i="36"/>
  <c r="EM30" i="36"/>
  <c r="H28" i="38"/>
  <c r="EM28" i="38"/>
  <c r="ED157" i="72"/>
  <c r="EE157" i="72" s="1"/>
  <c r="CD69" i="72"/>
  <c r="DZ334" i="72"/>
  <c r="DV334" i="72"/>
  <c r="EC334" i="72"/>
  <c r="DY334" i="72"/>
  <c r="DU334" i="72"/>
  <c r="EH334" i="72"/>
  <c r="EI334" i="72" s="1"/>
  <c r="EB334" i="72"/>
  <c r="DX334" i="72"/>
  <c r="EA334" i="72"/>
  <c r="DW334" i="72"/>
  <c r="EC158" i="72"/>
  <c r="DY158" i="72"/>
  <c r="DU158" i="72"/>
  <c r="EB158" i="72"/>
  <c r="DX158" i="72"/>
  <c r="EH158" i="72"/>
  <c r="EI158" i="72" s="1"/>
  <c r="EA158" i="72"/>
  <c r="DW158" i="72"/>
  <c r="DZ158" i="72"/>
  <c r="DV158" i="72"/>
  <c r="CD18" i="72"/>
  <c r="ED465" i="72"/>
  <c r="EE465" i="72" s="1"/>
  <c r="EN31" i="18"/>
  <c r="ED289" i="72"/>
  <c r="EE289" i="72" s="1"/>
  <c r="ED113" i="72"/>
  <c r="EE113" i="72" s="1"/>
  <c r="H32" i="18"/>
  <c r="EM32" i="18"/>
  <c r="H22" i="44"/>
  <c r="EM22" i="44"/>
  <c r="CD508" i="72"/>
  <c r="AM418" i="72"/>
  <c r="AP418" i="72" s="1"/>
  <c r="EU21" i="13" s="1"/>
  <c r="DZ71" i="72"/>
  <c r="DV71" i="72"/>
  <c r="EC71" i="72"/>
  <c r="DY71" i="72"/>
  <c r="DU71" i="72"/>
  <c r="EB71" i="72"/>
  <c r="DX71" i="72"/>
  <c r="EH71" i="72"/>
  <c r="EI71" i="72" s="1"/>
  <c r="EA71" i="72"/>
  <c r="DW71" i="72"/>
  <c r="CD376" i="72"/>
  <c r="EC246" i="72"/>
  <c r="DY246" i="72"/>
  <c r="DU246" i="72"/>
  <c r="EB246" i="72"/>
  <c r="DX246" i="72"/>
  <c r="EH246" i="72"/>
  <c r="EI246" i="72" s="1"/>
  <c r="EA246" i="72"/>
  <c r="DW246" i="72"/>
  <c r="DZ246" i="72"/>
  <c r="DV246" i="72"/>
  <c r="EH26" i="72"/>
  <c r="EI26" i="72" s="1"/>
  <c r="EA26" i="72"/>
  <c r="DW26" i="72"/>
  <c r="DZ26" i="72"/>
  <c r="DV26" i="72"/>
  <c r="EC26" i="72"/>
  <c r="DY26" i="72"/>
  <c r="DU26" i="72"/>
  <c r="EB26" i="72"/>
  <c r="DX26" i="72"/>
  <c r="CD156" i="72"/>
  <c r="EH290" i="72"/>
  <c r="EI290" i="72" s="1"/>
  <c r="EA290" i="72"/>
  <c r="DW290" i="72"/>
  <c r="DZ290" i="72"/>
  <c r="DV290" i="72"/>
  <c r="EC290" i="72"/>
  <c r="DY290" i="72"/>
  <c r="DU290" i="72"/>
  <c r="EB290" i="72"/>
  <c r="DX290" i="72"/>
  <c r="ED377" i="72"/>
  <c r="EE377" i="72" s="1"/>
  <c r="K378" i="72"/>
  <c r="V378" i="72" s="1"/>
  <c r="AG378" i="72" s="1"/>
  <c r="G378" i="72"/>
  <c r="R378" i="72" s="1"/>
  <c r="AC378" i="72" s="1"/>
  <c r="J378" i="72"/>
  <c r="U378" i="72" s="1"/>
  <c r="AF378" i="72" s="1"/>
  <c r="F378" i="72"/>
  <c r="Q378" i="72" s="1"/>
  <c r="AB378" i="72" s="1"/>
  <c r="I378" i="72"/>
  <c r="T378" i="72" s="1"/>
  <c r="AE378" i="72" s="1"/>
  <c r="E378" i="72"/>
  <c r="P378" i="72" s="1"/>
  <c r="AA378" i="72" s="1"/>
  <c r="H378" i="72"/>
  <c r="S378" i="72" s="1"/>
  <c r="AD378" i="72" s="1"/>
  <c r="D378" i="72"/>
  <c r="O378" i="72" s="1"/>
  <c r="K466" i="72"/>
  <c r="V466" i="72" s="1"/>
  <c r="AG466" i="72" s="1"/>
  <c r="G466" i="72"/>
  <c r="R466" i="72" s="1"/>
  <c r="AC466" i="72" s="1"/>
  <c r="J466" i="72"/>
  <c r="U466" i="72" s="1"/>
  <c r="AF466" i="72" s="1"/>
  <c r="F466" i="72"/>
  <c r="Q466" i="72" s="1"/>
  <c r="AB466" i="72" s="1"/>
  <c r="I466" i="72"/>
  <c r="T466" i="72" s="1"/>
  <c r="AE466" i="72" s="1"/>
  <c r="E466" i="72"/>
  <c r="P466" i="72" s="1"/>
  <c r="H466" i="72"/>
  <c r="S466" i="72" s="1"/>
  <c r="AD466" i="72" s="1"/>
  <c r="D466" i="72"/>
  <c r="O466" i="72" s="1"/>
  <c r="Z466" i="72" s="1"/>
  <c r="K290" i="72"/>
  <c r="V290" i="72" s="1"/>
  <c r="AG290" i="72" s="1"/>
  <c r="G290" i="72"/>
  <c r="R290" i="72" s="1"/>
  <c r="AC290" i="72" s="1"/>
  <c r="J290" i="72"/>
  <c r="U290" i="72" s="1"/>
  <c r="AF290" i="72" s="1"/>
  <c r="F290" i="72"/>
  <c r="Q290" i="72" s="1"/>
  <c r="AB290" i="72" s="1"/>
  <c r="I290" i="72"/>
  <c r="T290" i="72" s="1"/>
  <c r="AE290" i="72" s="1"/>
  <c r="E290" i="72"/>
  <c r="P290" i="72" s="1"/>
  <c r="H290" i="72"/>
  <c r="S290" i="72" s="1"/>
  <c r="AD290" i="72" s="1"/>
  <c r="D290" i="72"/>
  <c r="O290" i="72" s="1"/>
  <c r="Z290" i="72" s="1"/>
  <c r="K334" i="72"/>
  <c r="V334" i="72" s="1"/>
  <c r="AG334" i="72" s="1"/>
  <c r="G334" i="72"/>
  <c r="R334" i="72" s="1"/>
  <c r="AC334" i="72" s="1"/>
  <c r="J334" i="72"/>
  <c r="U334" i="72" s="1"/>
  <c r="AF334" i="72" s="1"/>
  <c r="F334" i="72"/>
  <c r="Q334" i="72" s="1"/>
  <c r="AB334" i="72" s="1"/>
  <c r="I334" i="72"/>
  <c r="T334" i="72" s="1"/>
  <c r="AE334" i="72" s="1"/>
  <c r="E334" i="72"/>
  <c r="P334" i="72" s="1"/>
  <c r="H334" i="72"/>
  <c r="S334" i="72" s="1"/>
  <c r="AD334" i="72" s="1"/>
  <c r="D334" i="72"/>
  <c r="O334" i="72" s="1"/>
  <c r="Z334" i="72" s="1"/>
  <c r="K158" i="72"/>
  <c r="V158" i="72" s="1"/>
  <c r="AG158" i="72" s="1"/>
  <c r="G158" i="72"/>
  <c r="R158" i="72" s="1"/>
  <c r="AC158" i="72" s="1"/>
  <c r="J158" i="72"/>
  <c r="U158" i="72" s="1"/>
  <c r="AF158" i="72" s="1"/>
  <c r="F158" i="72"/>
  <c r="Q158" i="72" s="1"/>
  <c r="AB158" i="72" s="1"/>
  <c r="I158" i="72"/>
  <c r="T158" i="72" s="1"/>
  <c r="AE158" i="72" s="1"/>
  <c r="E158" i="72"/>
  <c r="P158" i="72" s="1"/>
  <c r="H158" i="72"/>
  <c r="S158" i="72" s="1"/>
  <c r="AD158" i="72" s="1"/>
  <c r="D158" i="72"/>
  <c r="O158" i="72" s="1"/>
  <c r="Z158" i="72" s="1"/>
  <c r="K71" i="72"/>
  <c r="V71" i="72" s="1"/>
  <c r="AG71" i="72" s="1"/>
  <c r="G71" i="72"/>
  <c r="R71" i="72" s="1"/>
  <c r="AC71" i="72" s="1"/>
  <c r="J71" i="72"/>
  <c r="U71" i="72" s="1"/>
  <c r="AF71" i="72" s="1"/>
  <c r="F71" i="72"/>
  <c r="Q71" i="72" s="1"/>
  <c r="AB71" i="72" s="1"/>
  <c r="I71" i="72"/>
  <c r="T71" i="72" s="1"/>
  <c r="AE71" i="72" s="1"/>
  <c r="E71" i="72"/>
  <c r="P71" i="72" s="1"/>
  <c r="H71" i="72"/>
  <c r="S71" i="72" s="1"/>
  <c r="AD71" i="72" s="1"/>
  <c r="D71" i="72"/>
  <c r="O71" i="72" s="1"/>
  <c r="Z71" i="72" s="1"/>
  <c r="K422" i="72"/>
  <c r="V422" i="72" s="1"/>
  <c r="AG422" i="72" s="1"/>
  <c r="G422" i="72"/>
  <c r="R422" i="72" s="1"/>
  <c r="AC422" i="72" s="1"/>
  <c r="J422" i="72"/>
  <c r="U422" i="72" s="1"/>
  <c r="AF422" i="72" s="1"/>
  <c r="F422" i="72"/>
  <c r="Q422" i="72" s="1"/>
  <c r="AB422" i="72" s="1"/>
  <c r="I422" i="72"/>
  <c r="T422" i="72" s="1"/>
  <c r="AE422" i="72" s="1"/>
  <c r="E422" i="72"/>
  <c r="P422" i="72" s="1"/>
  <c r="H422" i="72"/>
  <c r="S422" i="72" s="1"/>
  <c r="AD422" i="72" s="1"/>
  <c r="D422" i="72"/>
  <c r="O422" i="72" s="1"/>
  <c r="Z422" i="72" s="1"/>
  <c r="K246" i="72"/>
  <c r="V246" i="72" s="1"/>
  <c r="AG246" i="72" s="1"/>
  <c r="G246" i="72"/>
  <c r="R246" i="72" s="1"/>
  <c r="AC246" i="72" s="1"/>
  <c r="J246" i="72"/>
  <c r="U246" i="72" s="1"/>
  <c r="AF246" i="72" s="1"/>
  <c r="F246" i="72"/>
  <c r="Q246" i="72" s="1"/>
  <c r="AB246" i="72" s="1"/>
  <c r="I246" i="72"/>
  <c r="T246" i="72" s="1"/>
  <c r="AE246" i="72" s="1"/>
  <c r="E246" i="72"/>
  <c r="P246" i="72" s="1"/>
  <c r="H246" i="72"/>
  <c r="S246" i="72" s="1"/>
  <c r="AD246" i="72" s="1"/>
  <c r="D246" i="72"/>
  <c r="O246" i="72" s="1"/>
  <c r="Z246" i="72" s="1"/>
  <c r="K26" i="72"/>
  <c r="V26" i="72" s="1"/>
  <c r="AG26" i="72" s="1"/>
  <c r="G26" i="72"/>
  <c r="R26" i="72" s="1"/>
  <c r="AC26" i="72" s="1"/>
  <c r="J26" i="72"/>
  <c r="U26" i="72" s="1"/>
  <c r="AF26" i="72" s="1"/>
  <c r="F26" i="72"/>
  <c r="Q26" i="72" s="1"/>
  <c r="AB26" i="72" s="1"/>
  <c r="I26" i="72"/>
  <c r="T26" i="72" s="1"/>
  <c r="AE26" i="72" s="1"/>
  <c r="E26" i="72"/>
  <c r="P26" i="72" s="1"/>
  <c r="AA26" i="72" s="1"/>
  <c r="H26" i="72"/>
  <c r="S26" i="72" s="1"/>
  <c r="AD26" i="72" s="1"/>
  <c r="D26" i="72"/>
  <c r="O26" i="72" s="1"/>
  <c r="K510" i="72"/>
  <c r="V510" i="72" s="1"/>
  <c r="AG510" i="72" s="1"/>
  <c r="G510" i="72"/>
  <c r="R510" i="72" s="1"/>
  <c r="AC510" i="72" s="1"/>
  <c r="J510" i="72"/>
  <c r="U510" i="72" s="1"/>
  <c r="AF510" i="72" s="1"/>
  <c r="F510" i="72"/>
  <c r="Q510" i="72" s="1"/>
  <c r="AB510" i="72" s="1"/>
  <c r="I510" i="72"/>
  <c r="T510" i="72" s="1"/>
  <c r="AE510" i="72" s="1"/>
  <c r="E510" i="72"/>
  <c r="P510" i="72" s="1"/>
  <c r="H510" i="72"/>
  <c r="S510" i="72" s="1"/>
  <c r="AD510" i="72" s="1"/>
  <c r="D510" i="72"/>
  <c r="O510" i="72" s="1"/>
  <c r="Z510" i="72" s="1"/>
  <c r="K114" i="72"/>
  <c r="V114" i="72" s="1"/>
  <c r="AG114" i="72" s="1"/>
  <c r="G114" i="72"/>
  <c r="R114" i="72" s="1"/>
  <c r="AC114" i="72" s="1"/>
  <c r="J114" i="72"/>
  <c r="U114" i="72" s="1"/>
  <c r="AF114" i="72" s="1"/>
  <c r="F114" i="72"/>
  <c r="Q114" i="72" s="1"/>
  <c r="AB114" i="72" s="1"/>
  <c r="I114" i="72"/>
  <c r="T114" i="72" s="1"/>
  <c r="AE114" i="72" s="1"/>
  <c r="E114" i="72"/>
  <c r="P114" i="72" s="1"/>
  <c r="H114" i="72"/>
  <c r="S114" i="72" s="1"/>
  <c r="AD114" i="72" s="1"/>
  <c r="D114" i="72"/>
  <c r="O114" i="72" s="1"/>
  <c r="Z114" i="72" s="1"/>
  <c r="K202" i="72"/>
  <c r="V202" i="72" s="1"/>
  <c r="AG202" i="72" s="1"/>
  <c r="G202" i="72"/>
  <c r="R202" i="72" s="1"/>
  <c r="AC202" i="72" s="1"/>
  <c r="J202" i="72"/>
  <c r="U202" i="72" s="1"/>
  <c r="AF202" i="72" s="1"/>
  <c r="F202" i="72"/>
  <c r="Q202" i="72" s="1"/>
  <c r="AB202" i="72" s="1"/>
  <c r="I202" i="72"/>
  <c r="T202" i="72" s="1"/>
  <c r="AE202" i="72" s="1"/>
  <c r="E202" i="72"/>
  <c r="P202" i="72" s="1"/>
  <c r="AA202" i="72" s="1"/>
  <c r="H202" i="72"/>
  <c r="S202" i="72" s="1"/>
  <c r="AD202" i="72" s="1"/>
  <c r="D202" i="72"/>
  <c r="O202" i="72" s="1"/>
  <c r="BW52" i="43"/>
  <c r="BJ61" i="43" s="1"/>
  <c r="GR12" i="34" s="1"/>
  <c r="GV12" i="34" s="1"/>
  <c r="BW54" i="43"/>
  <c r="BJ53" i="43" s="1"/>
  <c r="GQ12" i="34" s="1"/>
  <c r="BJ64" i="44"/>
  <c r="AY18" i="72"/>
  <c r="AQ18" i="72"/>
  <c r="BB18" i="72"/>
  <c r="BG18" i="72"/>
  <c r="L19" i="72"/>
  <c r="M19" i="72" s="1"/>
  <c r="ER29" i="5"/>
  <c r="EU29" i="5"/>
  <c r="ER27" i="6"/>
  <c r="EU27" i="6"/>
  <c r="AY244" i="72"/>
  <c r="BG244" i="72"/>
  <c r="BB244" i="72"/>
  <c r="BF111" i="72"/>
  <c r="BC111" i="72"/>
  <c r="BD111" i="72" s="1"/>
  <c r="AM111" i="72" s="1"/>
  <c r="AP111" i="72" s="1"/>
  <c r="A23" i="44"/>
  <c r="FB25" i="14"/>
  <c r="BH25" i="14" s="1"/>
  <c r="A467" i="72"/>
  <c r="BA32" i="35"/>
  <c r="K24" i="38"/>
  <c r="L24" i="38" s="1"/>
  <c r="E24" i="38" s="1"/>
  <c r="D63" i="38" s="1"/>
  <c r="BG332" i="72"/>
  <c r="BB332" i="72"/>
  <c r="BG200" i="72"/>
  <c r="BB200" i="72"/>
  <c r="I20" i="45"/>
  <c r="BG464" i="72"/>
  <c r="BB464" i="72"/>
  <c r="BA23" i="43"/>
  <c r="BG376" i="72"/>
  <c r="BB376" i="72"/>
  <c r="I29" i="36"/>
  <c r="I27" i="38"/>
  <c r="L201" i="72"/>
  <c r="M201" i="72" s="1"/>
  <c r="ER20" i="13"/>
  <c r="A27" i="40"/>
  <c r="A291" i="72"/>
  <c r="FB29" i="10"/>
  <c r="BH29" i="10" s="1"/>
  <c r="BF287" i="72"/>
  <c r="BC287" i="72"/>
  <c r="BD287" i="72" s="1"/>
  <c r="BR49" i="45"/>
  <c r="BQ49" i="45"/>
  <c r="AY112" i="72"/>
  <c r="BN26" i="15"/>
  <c r="BJ25" i="15"/>
  <c r="BA27" i="39"/>
  <c r="BF155" i="72"/>
  <c r="BC155" i="72"/>
  <c r="BD155" i="72" s="1"/>
  <c r="AQ507" i="72"/>
  <c r="I22" i="43"/>
  <c r="L421" i="72"/>
  <c r="M421" i="72" s="1"/>
  <c r="BF199" i="72"/>
  <c r="BC199" i="72"/>
  <c r="BD199" i="72" s="1"/>
  <c r="BA22" i="44"/>
  <c r="BN37" i="5"/>
  <c r="BJ36" i="5"/>
  <c r="I23" i="42"/>
  <c r="K28" i="35"/>
  <c r="L28" i="35" s="1"/>
  <c r="E28" i="35" s="1"/>
  <c r="D67" i="35" s="1"/>
  <c r="L509" i="72"/>
  <c r="M509" i="72" s="1"/>
  <c r="EU22" i="12"/>
  <c r="I26" i="39"/>
  <c r="BN28" i="13"/>
  <c r="BJ27" i="13"/>
  <c r="I28" i="37"/>
  <c r="AY508" i="72"/>
  <c r="L465" i="72"/>
  <c r="M465" i="72" s="1"/>
  <c r="L70" i="72"/>
  <c r="M70" i="72" s="1"/>
  <c r="BG420" i="72"/>
  <c r="BB420" i="72"/>
  <c r="AQ287" i="72"/>
  <c r="FB27" i="12"/>
  <c r="BH27" i="12" s="1"/>
  <c r="A25" i="42"/>
  <c r="A379" i="72"/>
  <c r="K22" i="40"/>
  <c r="L22" i="40" s="1"/>
  <c r="E22" i="40" s="1"/>
  <c r="D61" i="40" s="1"/>
  <c r="E61" i="40" s="1"/>
  <c r="BF419" i="72"/>
  <c r="BC419" i="72"/>
  <c r="BD419" i="72" s="1"/>
  <c r="AM419" i="72" s="1"/>
  <c r="AP419" i="72" s="1"/>
  <c r="BJ31" i="9"/>
  <c r="BN32" i="9"/>
  <c r="BN37" i="4"/>
  <c r="BJ36" i="4"/>
  <c r="K23" i="39"/>
  <c r="L23" i="39" s="1"/>
  <c r="E23" i="39" s="1"/>
  <c r="D62" i="39" s="1"/>
  <c r="E62" i="39" s="1"/>
  <c r="AY69" i="72"/>
  <c r="AY288" i="72"/>
  <c r="BA25" i="41"/>
  <c r="K26" i="36"/>
  <c r="L26" i="36" s="1"/>
  <c r="E26" i="36" s="1"/>
  <c r="D65" i="36" s="1"/>
  <c r="A29" i="38"/>
  <c r="A203" i="72"/>
  <c r="FB31" i="8"/>
  <c r="BH31" i="8" s="1"/>
  <c r="BJ29" i="11"/>
  <c r="BN30" i="11"/>
  <c r="K25" i="37"/>
  <c r="L25" i="37" s="1"/>
  <c r="E25" i="37" s="1"/>
  <c r="D64" i="37" s="1"/>
  <c r="ER27" i="7"/>
  <c r="BN34" i="7"/>
  <c r="BJ33" i="7"/>
  <c r="BJ34" i="6"/>
  <c r="BN35" i="6"/>
  <c r="BA28" i="38"/>
  <c r="BN27" i="14"/>
  <c r="BJ26" i="14"/>
  <c r="EU26" i="8"/>
  <c r="AY332" i="72"/>
  <c r="L377" i="72"/>
  <c r="M377" i="72" s="1"/>
  <c r="AY200" i="72"/>
  <c r="BF331" i="72"/>
  <c r="BC331" i="72"/>
  <c r="BD331" i="72" s="1"/>
  <c r="AM331" i="72" s="1"/>
  <c r="AP331" i="72" s="1"/>
  <c r="I31" i="18"/>
  <c r="AY464" i="72"/>
  <c r="BI50" i="45"/>
  <c r="BI59" i="45"/>
  <c r="AY376" i="72"/>
  <c r="K18" i="44"/>
  <c r="L18" i="44" s="1"/>
  <c r="E18" i="44" s="1"/>
  <c r="D57" i="44" s="1"/>
  <c r="EU20" i="14"/>
  <c r="L157" i="72"/>
  <c r="M157" i="72" s="1"/>
  <c r="L113" i="72"/>
  <c r="M113" i="72" s="1"/>
  <c r="I31" i="35"/>
  <c r="BN31" i="10"/>
  <c r="BJ30" i="10"/>
  <c r="BZ46" i="45"/>
  <c r="BJ56" i="45" s="1"/>
  <c r="GS14" i="34" s="1"/>
  <c r="BY46" i="45"/>
  <c r="BA24" i="42"/>
  <c r="BC243" i="72"/>
  <c r="BD243" i="72" s="1"/>
  <c r="AM243" i="72" s="1"/>
  <c r="AP243" i="72" s="1"/>
  <c r="BF243" i="72"/>
  <c r="BG112" i="72"/>
  <c r="BB112" i="72"/>
  <c r="FB24" i="15"/>
  <c r="BH24" i="15" s="1"/>
  <c r="GC24" i="15" s="1"/>
  <c r="FX348" i="34" s="1"/>
  <c r="A22" i="45"/>
  <c r="A511" i="72"/>
  <c r="AQ419" i="72"/>
  <c r="BA32" i="18"/>
  <c r="BE32" i="18" s="1"/>
  <c r="FB35" i="5"/>
  <c r="BH35" i="5" s="1"/>
  <c r="A33" i="35"/>
  <c r="A72" i="72"/>
  <c r="I25" i="40"/>
  <c r="L289" i="72"/>
  <c r="M289" i="72" s="1"/>
  <c r="AY156" i="72"/>
  <c r="BG156" i="72"/>
  <c r="BB156" i="72"/>
  <c r="K20" i="42"/>
  <c r="L20" i="42" s="1"/>
  <c r="E20" i="42" s="1"/>
  <c r="D59" i="42" s="1"/>
  <c r="E59" i="42" s="1"/>
  <c r="ER22" i="12"/>
  <c r="L245" i="72"/>
  <c r="M245" i="72" s="1"/>
  <c r="A24" i="43"/>
  <c r="FB26" i="13"/>
  <c r="BH26" i="13" s="1"/>
  <c r="A423" i="72"/>
  <c r="I24" i="41"/>
  <c r="L333" i="72"/>
  <c r="M333" i="72" s="1"/>
  <c r="BG508" i="72"/>
  <c r="BB508" i="72"/>
  <c r="K19" i="43"/>
  <c r="L19" i="43" s="1"/>
  <c r="E19" i="43" s="1"/>
  <c r="D58" i="43" s="1"/>
  <c r="E58" i="43" s="1"/>
  <c r="I21" i="44"/>
  <c r="AY420" i="72"/>
  <c r="BA26" i="40"/>
  <c r="BR46" i="45"/>
  <c r="BQ46" i="45"/>
  <c r="BN29" i="12"/>
  <c r="BJ28" i="12"/>
  <c r="EU24" i="10"/>
  <c r="BA21" i="45"/>
  <c r="BF375" i="72"/>
  <c r="BC375" i="72"/>
  <c r="BD375" i="72" s="1"/>
  <c r="A28" i="39"/>
  <c r="FB30" i="9"/>
  <c r="BH30" i="9" s="1"/>
  <c r="A247" i="72"/>
  <c r="BC507" i="72"/>
  <c r="BD507" i="72" s="1"/>
  <c r="AM507" i="72" s="1"/>
  <c r="AP507" i="72" s="1"/>
  <c r="BF507" i="72"/>
  <c r="A27" i="72"/>
  <c r="FB35" i="4"/>
  <c r="BH35" i="4" s="1"/>
  <c r="A33" i="18"/>
  <c r="BG69" i="72"/>
  <c r="BB69" i="72"/>
  <c r="BG288" i="72"/>
  <c r="BB288" i="72"/>
  <c r="BA29" i="37"/>
  <c r="BA30" i="36"/>
  <c r="BJ32" i="8"/>
  <c r="BN33" i="8"/>
  <c r="K21" i="41"/>
  <c r="L21" i="41" s="1"/>
  <c r="E21" i="41" s="1"/>
  <c r="D60" i="41" s="1"/>
  <c r="E60" i="41" s="1"/>
  <c r="A26" i="41"/>
  <c r="FB28" i="11"/>
  <c r="BH28" i="11" s="1"/>
  <c r="A335" i="72"/>
  <c r="EU27" i="7"/>
  <c r="FB32" i="7"/>
  <c r="BH32" i="7" s="1"/>
  <c r="A30" i="37"/>
  <c r="A159" i="72"/>
  <c r="FB33" i="6"/>
  <c r="BH33" i="6" s="1"/>
  <c r="A31" i="36"/>
  <c r="A115" i="72"/>
  <c r="BF463" i="72"/>
  <c r="BC463" i="72"/>
  <c r="BD463" i="72" s="1"/>
  <c r="BF68" i="72"/>
  <c r="BC68" i="72"/>
  <c r="BD68" i="72" s="1"/>
  <c r="AM68" i="72" s="1"/>
  <c r="AP68" i="72" s="1"/>
  <c r="BZ49" i="45"/>
  <c r="BJ64" i="45" s="1"/>
  <c r="BY49" i="45"/>
  <c r="BW52" i="44" l="1"/>
  <c r="BJ61" i="44" s="1"/>
  <c r="GR13" i="34" s="1"/>
  <c r="J32" i="18"/>
  <c r="BW54" i="44"/>
  <c r="BJ53" i="44" s="1"/>
  <c r="GQ13" i="34" s="1"/>
  <c r="GU13" i="34" s="1"/>
  <c r="AB16" i="59"/>
  <c r="GT14" i="34"/>
  <c r="AB15" i="59"/>
  <c r="GT13" i="34"/>
  <c r="T27" i="13"/>
  <c r="GU12" i="34"/>
  <c r="BC30" i="8"/>
  <c r="BC29" i="9"/>
  <c r="J32" i="35"/>
  <c r="G61" i="40"/>
  <c r="F61" i="40"/>
  <c r="G58" i="43"/>
  <c r="F58" i="43"/>
  <c r="E57" i="44"/>
  <c r="G57" i="43"/>
  <c r="F57" i="43"/>
  <c r="G60" i="41"/>
  <c r="F60" i="41"/>
  <c r="G59" i="42"/>
  <c r="F59" i="42"/>
  <c r="G62" i="39"/>
  <c r="F62" i="39"/>
  <c r="J27" i="39"/>
  <c r="J22" i="44"/>
  <c r="GC28" i="11"/>
  <c r="FX228" i="34" s="1"/>
  <c r="GC35" i="4"/>
  <c r="FX18" i="34" s="1"/>
  <c r="GC31" i="8"/>
  <c r="FX138" i="34" s="1"/>
  <c r="GC35" i="5"/>
  <c r="FX49" i="34" s="1"/>
  <c r="GC29" i="10"/>
  <c r="FX198" i="34" s="1"/>
  <c r="GC25" i="14"/>
  <c r="FX318" i="34" s="1"/>
  <c r="GC26" i="13"/>
  <c r="FX288" i="34" s="1"/>
  <c r="GC33" i="6"/>
  <c r="FX78" i="34" s="1"/>
  <c r="GC32" i="7"/>
  <c r="FX108" i="34" s="1"/>
  <c r="GC30" i="9"/>
  <c r="FX168" i="34" s="1"/>
  <c r="GC27" i="12"/>
  <c r="FX258" i="34" s="1"/>
  <c r="J29" i="37"/>
  <c r="J23" i="43"/>
  <c r="AI377" i="72"/>
  <c r="AQ377" i="72" s="1"/>
  <c r="AI70" i="72"/>
  <c r="AQ70" i="72" s="1"/>
  <c r="AI465" i="72"/>
  <c r="AQ465" i="72" s="1"/>
  <c r="AI333" i="72"/>
  <c r="AI157" i="72"/>
  <c r="AQ157" i="72" s="1"/>
  <c r="AI509" i="72"/>
  <c r="AQ509" i="72" s="1"/>
  <c r="AI201" i="72"/>
  <c r="AQ201" i="72" s="1"/>
  <c r="AI421" i="72"/>
  <c r="AQ421" i="72" s="1"/>
  <c r="W202" i="72"/>
  <c r="X202" i="72" s="1"/>
  <c r="Z202" i="72"/>
  <c r="W26" i="72"/>
  <c r="X26" i="72" s="1"/>
  <c r="Z26" i="72"/>
  <c r="W378" i="72"/>
  <c r="X378" i="72" s="1"/>
  <c r="Z378" i="72"/>
  <c r="AI289" i="72"/>
  <c r="AQ289" i="72" s="1"/>
  <c r="AI25" i="72"/>
  <c r="AI245" i="72"/>
  <c r="AQ245" i="72" s="1"/>
  <c r="AI113" i="72"/>
  <c r="AQ113" i="72" s="1"/>
  <c r="AA114" i="72"/>
  <c r="W114" i="72"/>
  <c r="X114" i="72" s="1"/>
  <c r="W510" i="72"/>
  <c r="X510" i="72" s="1"/>
  <c r="AA510" i="72"/>
  <c r="W246" i="72"/>
  <c r="X246" i="72" s="1"/>
  <c r="AA246" i="72"/>
  <c r="W422" i="72"/>
  <c r="X422" i="72" s="1"/>
  <c r="AA422" i="72"/>
  <c r="AA71" i="72"/>
  <c r="W71" i="72"/>
  <c r="X71" i="72" s="1"/>
  <c r="W158" i="72"/>
  <c r="X158" i="72" s="1"/>
  <c r="AA158" i="72"/>
  <c r="W334" i="72"/>
  <c r="X334" i="72" s="1"/>
  <c r="AA334" i="72"/>
  <c r="AA290" i="72"/>
  <c r="W290" i="72"/>
  <c r="X290" i="72" s="1"/>
  <c r="AA466" i="72"/>
  <c r="W466" i="72"/>
  <c r="X466" i="72" s="1"/>
  <c r="J28" i="38"/>
  <c r="ER21" i="13"/>
  <c r="J21" i="45"/>
  <c r="J30" i="36"/>
  <c r="J26" i="40"/>
  <c r="FS35" i="4"/>
  <c r="BE35" i="4"/>
  <c r="BC35" i="4" s="1"/>
  <c r="ER23" i="11"/>
  <c r="AP330" i="72"/>
  <c r="EU23" i="11" s="1"/>
  <c r="ER25" i="9"/>
  <c r="AP242" i="72"/>
  <c r="EU25" i="9" s="1"/>
  <c r="J24" i="42"/>
  <c r="J25" i="41"/>
  <c r="FS35" i="5"/>
  <c r="BE35" i="5"/>
  <c r="BC35" i="5" s="1"/>
  <c r="FS32" i="7"/>
  <c r="BE32" i="7"/>
  <c r="BC32" i="7" s="1"/>
  <c r="FS33" i="6"/>
  <c r="BE33" i="6"/>
  <c r="BC33" i="6" s="1"/>
  <c r="FS27" i="12"/>
  <c r="BE27" i="12"/>
  <c r="BC27" i="12" s="1"/>
  <c r="FS29" i="10"/>
  <c r="BE29" i="10"/>
  <c r="BC29" i="10" s="1"/>
  <c r="FS30" i="9"/>
  <c r="BE30" i="9"/>
  <c r="BC30" i="9" s="1"/>
  <c r="FS24" i="15"/>
  <c r="BE24" i="15"/>
  <c r="BC24" i="15" s="1"/>
  <c r="FS25" i="14"/>
  <c r="BE25" i="14"/>
  <c r="BC25" i="14" s="1"/>
  <c r="FS28" i="11"/>
  <c r="BE28" i="11"/>
  <c r="BC28" i="11" s="1"/>
  <c r="FS26" i="13"/>
  <c r="BE26" i="13"/>
  <c r="BC26" i="13" s="1"/>
  <c r="FS31" i="8"/>
  <c r="BE31" i="8"/>
  <c r="BC31" i="8" s="1"/>
  <c r="ED334" i="72"/>
  <c r="EE334" i="72" s="1"/>
  <c r="ED378" i="72"/>
  <c r="EE378" i="72" s="1"/>
  <c r="EV29" i="7"/>
  <c r="AA29" i="7" s="1"/>
  <c r="EV30" i="6"/>
  <c r="AA30" i="6" s="1"/>
  <c r="EV22" i="14"/>
  <c r="AA22" i="14" s="1"/>
  <c r="EV28" i="8"/>
  <c r="AA28" i="8" s="1"/>
  <c r="EV25" i="11"/>
  <c r="AA25" i="11" s="1"/>
  <c r="EV26" i="10"/>
  <c r="AA26" i="10" s="1"/>
  <c r="EV32" i="5"/>
  <c r="AA32" i="5" s="1"/>
  <c r="EV21" i="15"/>
  <c r="AA21" i="15" s="1"/>
  <c r="EV23" i="13"/>
  <c r="AA23" i="13" s="1"/>
  <c r="EV24" i="12"/>
  <c r="AA24" i="12" s="1"/>
  <c r="EV27" i="9"/>
  <c r="AA27" i="9" s="1"/>
  <c r="EV26" i="4"/>
  <c r="AA26" i="4" s="1"/>
  <c r="ED158" i="72"/>
  <c r="EE158" i="72" s="1"/>
  <c r="ED466" i="72"/>
  <c r="EE466" i="72" s="1"/>
  <c r="H25" i="42"/>
  <c r="EM25" i="42"/>
  <c r="CD70" i="72"/>
  <c r="EB291" i="72"/>
  <c r="DX291" i="72"/>
  <c r="EH291" i="72"/>
  <c r="EI291" i="72" s="1"/>
  <c r="EA291" i="72"/>
  <c r="DW291" i="72"/>
  <c r="DZ291" i="72"/>
  <c r="DV291" i="72"/>
  <c r="EC291" i="72"/>
  <c r="DY291" i="72"/>
  <c r="DU291" i="72"/>
  <c r="EC467" i="72"/>
  <c r="DY467" i="72"/>
  <c r="DU467" i="72"/>
  <c r="EB467" i="72"/>
  <c r="DX467" i="72"/>
  <c r="EH467" i="72"/>
  <c r="EI467" i="72" s="1"/>
  <c r="EA467" i="72"/>
  <c r="DW467" i="72"/>
  <c r="DZ467" i="72"/>
  <c r="DV467" i="72"/>
  <c r="ED246" i="72"/>
  <c r="EE246" i="72" s="1"/>
  <c r="ED422" i="72"/>
  <c r="EE422" i="72" s="1"/>
  <c r="H31" i="36"/>
  <c r="EM31" i="36"/>
  <c r="H28" i="39"/>
  <c r="EM28" i="39"/>
  <c r="CD157" i="72"/>
  <c r="AM463" i="72"/>
  <c r="DZ159" i="72"/>
  <c r="DV159" i="72"/>
  <c r="EC159" i="72"/>
  <c r="DY159" i="72"/>
  <c r="DU159" i="72"/>
  <c r="EB159" i="72"/>
  <c r="DX159" i="72"/>
  <c r="EH159" i="72"/>
  <c r="EI159" i="72" s="1"/>
  <c r="EA159" i="72"/>
  <c r="DW159" i="72"/>
  <c r="DZ335" i="72"/>
  <c r="DV335" i="72"/>
  <c r="EC335" i="72"/>
  <c r="DY335" i="72"/>
  <c r="DU335" i="72"/>
  <c r="EB335" i="72"/>
  <c r="DX335" i="72"/>
  <c r="EH335" i="72"/>
  <c r="EI335" i="72" s="1"/>
  <c r="EA335" i="72"/>
  <c r="DW335" i="72"/>
  <c r="H33" i="18"/>
  <c r="EM33" i="18"/>
  <c r="AM375" i="72"/>
  <c r="AP375" i="72" s="1"/>
  <c r="EU23" i="12" s="1"/>
  <c r="CD245" i="72"/>
  <c r="EA511" i="72"/>
  <c r="DW511" i="72"/>
  <c r="DZ511" i="72"/>
  <c r="DV511" i="72"/>
  <c r="EC511" i="72"/>
  <c r="DY511" i="72"/>
  <c r="DU511" i="72"/>
  <c r="EH511" i="72"/>
  <c r="EI511" i="72" s="1"/>
  <c r="EB511" i="72"/>
  <c r="DX511" i="72"/>
  <c r="EB203" i="72"/>
  <c r="DX203" i="72"/>
  <c r="EH203" i="72"/>
  <c r="EI203" i="72" s="1"/>
  <c r="EA203" i="72"/>
  <c r="DW203" i="72"/>
  <c r="DZ203" i="72"/>
  <c r="DV203" i="72"/>
  <c r="EC203" i="72"/>
  <c r="DY203" i="72"/>
  <c r="DU203" i="72"/>
  <c r="CD465" i="72"/>
  <c r="CD509" i="72"/>
  <c r="AM199" i="72"/>
  <c r="AP199" i="72" s="1"/>
  <c r="EU27" i="8" s="1"/>
  <c r="AM287" i="72"/>
  <c r="H27" i="40"/>
  <c r="EM27" i="40"/>
  <c r="ED26" i="72"/>
  <c r="EE26" i="72" s="1"/>
  <c r="EN32" i="18" s="1"/>
  <c r="ED510" i="72"/>
  <c r="EE510" i="72" s="1"/>
  <c r="H24" i="43"/>
  <c r="EM24" i="43"/>
  <c r="EB115" i="72"/>
  <c r="DX115" i="72"/>
  <c r="EC115" i="72"/>
  <c r="DY115" i="72"/>
  <c r="DU115" i="72"/>
  <c r="EH115" i="72"/>
  <c r="EI115" i="72" s="1"/>
  <c r="DW115" i="72"/>
  <c r="DV115" i="72"/>
  <c r="EA115" i="72"/>
  <c r="DZ115" i="72"/>
  <c r="H30" i="37"/>
  <c r="EM30" i="37"/>
  <c r="DZ247" i="72"/>
  <c r="DV247" i="72"/>
  <c r="EC247" i="72"/>
  <c r="DY247" i="72"/>
  <c r="DU247" i="72"/>
  <c r="EB247" i="72"/>
  <c r="DX247" i="72"/>
  <c r="EH247" i="72"/>
  <c r="EI247" i="72" s="1"/>
  <c r="EA247" i="72"/>
  <c r="DW247" i="72"/>
  <c r="DZ423" i="72"/>
  <c r="DV423" i="72"/>
  <c r="EC423" i="72"/>
  <c r="DY423" i="72"/>
  <c r="DU423" i="72"/>
  <c r="EH423" i="72"/>
  <c r="EI423" i="72" s="1"/>
  <c r="EB423" i="72"/>
  <c r="DX423" i="72"/>
  <c r="EA423" i="72"/>
  <c r="DW423" i="72"/>
  <c r="EH72" i="72"/>
  <c r="EI72" i="72" s="1"/>
  <c r="EA72" i="72"/>
  <c r="DW72" i="72"/>
  <c r="DZ72" i="72"/>
  <c r="DV72" i="72"/>
  <c r="EC72" i="72"/>
  <c r="DY72" i="72"/>
  <c r="DU72" i="72"/>
  <c r="EB72" i="72"/>
  <c r="DX72" i="72"/>
  <c r="H22" i="45"/>
  <c r="EM22" i="45"/>
  <c r="CD377" i="72"/>
  <c r="H29" i="38"/>
  <c r="EM29" i="38"/>
  <c r="H23" i="44"/>
  <c r="EM23" i="44"/>
  <c r="CD19" i="72"/>
  <c r="ED290" i="72"/>
  <c r="EE290" i="72" s="1"/>
  <c r="ED71" i="72"/>
  <c r="EE71" i="72" s="1"/>
  <c r="H26" i="41"/>
  <c r="EM26" i="41"/>
  <c r="DZ27" i="72"/>
  <c r="DV27" i="72"/>
  <c r="EC27" i="72"/>
  <c r="DY27" i="72"/>
  <c r="DU27" i="72"/>
  <c r="EB27" i="72"/>
  <c r="DX27" i="72"/>
  <c r="EH27" i="72"/>
  <c r="EI27" i="72" s="1"/>
  <c r="EA27" i="72"/>
  <c r="DW27" i="72"/>
  <c r="CD333" i="72"/>
  <c r="CD289" i="72"/>
  <c r="H33" i="35"/>
  <c r="EM33" i="35"/>
  <c r="CD113" i="72"/>
  <c r="EC379" i="72"/>
  <c r="DY379" i="72"/>
  <c r="DU379" i="72"/>
  <c r="EB379" i="72"/>
  <c r="DX379" i="72"/>
  <c r="EH379" i="72"/>
  <c r="EI379" i="72" s="1"/>
  <c r="EA379" i="72"/>
  <c r="DW379" i="72"/>
  <c r="DZ379" i="72"/>
  <c r="DV379" i="72"/>
  <c r="CD421" i="72"/>
  <c r="AM155" i="72"/>
  <c r="CD201" i="72"/>
  <c r="ED202" i="72"/>
  <c r="EE202" i="72" s="1"/>
  <c r="ED114" i="72"/>
  <c r="EE114" i="72" s="1"/>
  <c r="K27" i="72"/>
  <c r="V27" i="72" s="1"/>
  <c r="AG27" i="72" s="1"/>
  <c r="G27" i="72"/>
  <c r="R27" i="72" s="1"/>
  <c r="AC27" i="72" s="1"/>
  <c r="J27" i="72"/>
  <c r="U27" i="72" s="1"/>
  <c r="AF27" i="72" s="1"/>
  <c r="F27" i="72"/>
  <c r="Q27" i="72" s="1"/>
  <c r="AB27" i="72" s="1"/>
  <c r="I27" i="72"/>
  <c r="T27" i="72" s="1"/>
  <c r="AE27" i="72" s="1"/>
  <c r="E27" i="72"/>
  <c r="P27" i="72" s="1"/>
  <c r="H27" i="72"/>
  <c r="S27" i="72" s="1"/>
  <c r="AD27" i="72" s="1"/>
  <c r="D27" i="72"/>
  <c r="O27" i="72" s="1"/>
  <c r="Z27" i="72" s="1"/>
  <c r="K379" i="72"/>
  <c r="V379" i="72" s="1"/>
  <c r="AG379" i="72" s="1"/>
  <c r="G379" i="72"/>
  <c r="R379" i="72" s="1"/>
  <c r="AC379" i="72" s="1"/>
  <c r="J379" i="72"/>
  <c r="U379" i="72" s="1"/>
  <c r="AF379" i="72" s="1"/>
  <c r="F379" i="72"/>
  <c r="Q379" i="72" s="1"/>
  <c r="AB379" i="72" s="1"/>
  <c r="I379" i="72"/>
  <c r="T379" i="72" s="1"/>
  <c r="AE379" i="72" s="1"/>
  <c r="E379" i="72"/>
  <c r="P379" i="72" s="1"/>
  <c r="H379" i="72"/>
  <c r="S379" i="72" s="1"/>
  <c r="AD379" i="72" s="1"/>
  <c r="D379" i="72"/>
  <c r="O379" i="72" s="1"/>
  <c r="Z379" i="72" s="1"/>
  <c r="K291" i="72"/>
  <c r="V291" i="72" s="1"/>
  <c r="AG291" i="72" s="1"/>
  <c r="G291" i="72"/>
  <c r="R291" i="72" s="1"/>
  <c r="AC291" i="72" s="1"/>
  <c r="J291" i="72"/>
  <c r="U291" i="72" s="1"/>
  <c r="AF291" i="72" s="1"/>
  <c r="F291" i="72"/>
  <c r="Q291" i="72" s="1"/>
  <c r="AB291" i="72" s="1"/>
  <c r="I291" i="72"/>
  <c r="T291" i="72" s="1"/>
  <c r="AE291" i="72" s="1"/>
  <c r="E291" i="72"/>
  <c r="P291" i="72" s="1"/>
  <c r="H291" i="72"/>
  <c r="S291" i="72" s="1"/>
  <c r="AD291" i="72" s="1"/>
  <c r="D291" i="72"/>
  <c r="O291" i="72" s="1"/>
  <c r="Z291" i="72" s="1"/>
  <c r="K247" i="72"/>
  <c r="V247" i="72" s="1"/>
  <c r="AG247" i="72" s="1"/>
  <c r="G247" i="72"/>
  <c r="R247" i="72" s="1"/>
  <c r="AC247" i="72" s="1"/>
  <c r="J247" i="72"/>
  <c r="U247" i="72" s="1"/>
  <c r="AF247" i="72" s="1"/>
  <c r="F247" i="72"/>
  <c r="Q247" i="72" s="1"/>
  <c r="AB247" i="72" s="1"/>
  <c r="I247" i="72"/>
  <c r="T247" i="72" s="1"/>
  <c r="AE247" i="72" s="1"/>
  <c r="E247" i="72"/>
  <c r="P247" i="72" s="1"/>
  <c r="AA247" i="72" s="1"/>
  <c r="H247" i="72"/>
  <c r="S247" i="72" s="1"/>
  <c r="AD247" i="72" s="1"/>
  <c r="D247" i="72"/>
  <c r="O247" i="72" s="1"/>
  <c r="K203" i="72"/>
  <c r="V203" i="72" s="1"/>
  <c r="AG203" i="72" s="1"/>
  <c r="G203" i="72"/>
  <c r="R203" i="72" s="1"/>
  <c r="AC203" i="72" s="1"/>
  <c r="J203" i="72"/>
  <c r="U203" i="72" s="1"/>
  <c r="AF203" i="72" s="1"/>
  <c r="F203" i="72"/>
  <c r="Q203" i="72" s="1"/>
  <c r="AB203" i="72" s="1"/>
  <c r="I203" i="72"/>
  <c r="T203" i="72" s="1"/>
  <c r="AE203" i="72" s="1"/>
  <c r="E203" i="72"/>
  <c r="P203" i="72" s="1"/>
  <c r="H203" i="72"/>
  <c r="S203" i="72" s="1"/>
  <c r="AD203" i="72" s="1"/>
  <c r="D203" i="72"/>
  <c r="O203" i="72" s="1"/>
  <c r="Z203" i="72" s="1"/>
  <c r="K467" i="72"/>
  <c r="V467" i="72" s="1"/>
  <c r="AG467" i="72" s="1"/>
  <c r="J467" i="72"/>
  <c r="U467" i="72" s="1"/>
  <c r="AF467" i="72" s="1"/>
  <c r="I467" i="72"/>
  <c r="T467" i="72" s="1"/>
  <c r="AE467" i="72" s="1"/>
  <c r="H467" i="72"/>
  <c r="S467" i="72" s="1"/>
  <c r="AD467" i="72" s="1"/>
  <c r="G467" i="72"/>
  <c r="R467" i="72" s="1"/>
  <c r="AC467" i="72" s="1"/>
  <c r="F467" i="72"/>
  <c r="Q467" i="72" s="1"/>
  <c r="AB467" i="72" s="1"/>
  <c r="E467" i="72"/>
  <c r="P467" i="72" s="1"/>
  <c r="D467" i="72"/>
  <c r="O467" i="72" s="1"/>
  <c r="Z467" i="72" s="1"/>
  <c r="K159" i="72"/>
  <c r="V159" i="72" s="1"/>
  <c r="AG159" i="72" s="1"/>
  <c r="G159" i="72"/>
  <c r="R159" i="72" s="1"/>
  <c r="AC159" i="72" s="1"/>
  <c r="J159" i="72"/>
  <c r="U159" i="72" s="1"/>
  <c r="AF159" i="72" s="1"/>
  <c r="F159" i="72"/>
  <c r="Q159" i="72" s="1"/>
  <c r="AB159" i="72" s="1"/>
  <c r="I159" i="72"/>
  <c r="T159" i="72" s="1"/>
  <c r="AE159" i="72" s="1"/>
  <c r="E159" i="72"/>
  <c r="P159" i="72" s="1"/>
  <c r="H159" i="72"/>
  <c r="S159" i="72" s="1"/>
  <c r="AD159" i="72" s="1"/>
  <c r="D159" i="72"/>
  <c r="O159" i="72" s="1"/>
  <c r="Z159" i="72" s="1"/>
  <c r="K335" i="72"/>
  <c r="V335" i="72" s="1"/>
  <c r="AG335" i="72" s="1"/>
  <c r="G335" i="72"/>
  <c r="R335" i="72" s="1"/>
  <c r="AC335" i="72" s="1"/>
  <c r="J335" i="72"/>
  <c r="U335" i="72" s="1"/>
  <c r="AF335" i="72" s="1"/>
  <c r="F335" i="72"/>
  <c r="Q335" i="72" s="1"/>
  <c r="AB335" i="72" s="1"/>
  <c r="I335" i="72"/>
  <c r="T335" i="72" s="1"/>
  <c r="AE335" i="72" s="1"/>
  <c r="E335" i="72"/>
  <c r="P335" i="72" s="1"/>
  <c r="H335" i="72"/>
  <c r="S335" i="72" s="1"/>
  <c r="AD335" i="72" s="1"/>
  <c r="D335" i="72"/>
  <c r="O335" i="72" s="1"/>
  <c r="Z335" i="72" s="1"/>
  <c r="K115" i="72"/>
  <c r="V115" i="72" s="1"/>
  <c r="AG115" i="72" s="1"/>
  <c r="G115" i="72"/>
  <c r="R115" i="72" s="1"/>
  <c r="AC115" i="72" s="1"/>
  <c r="J115" i="72"/>
  <c r="U115" i="72" s="1"/>
  <c r="AF115" i="72" s="1"/>
  <c r="F115" i="72"/>
  <c r="Q115" i="72" s="1"/>
  <c r="AB115" i="72" s="1"/>
  <c r="I115" i="72"/>
  <c r="T115" i="72" s="1"/>
  <c r="AE115" i="72" s="1"/>
  <c r="E115" i="72"/>
  <c r="P115" i="72" s="1"/>
  <c r="H115" i="72"/>
  <c r="S115" i="72" s="1"/>
  <c r="AD115" i="72" s="1"/>
  <c r="D115" i="72"/>
  <c r="O115" i="72" s="1"/>
  <c r="Z115" i="72" s="1"/>
  <c r="K423" i="72"/>
  <c r="V423" i="72" s="1"/>
  <c r="AG423" i="72" s="1"/>
  <c r="G423" i="72"/>
  <c r="R423" i="72" s="1"/>
  <c r="AC423" i="72" s="1"/>
  <c r="J423" i="72"/>
  <c r="U423" i="72" s="1"/>
  <c r="AF423" i="72" s="1"/>
  <c r="F423" i="72"/>
  <c r="Q423" i="72" s="1"/>
  <c r="AB423" i="72" s="1"/>
  <c r="I423" i="72"/>
  <c r="T423" i="72" s="1"/>
  <c r="AE423" i="72" s="1"/>
  <c r="E423" i="72"/>
  <c r="P423" i="72" s="1"/>
  <c r="AA423" i="72" s="1"/>
  <c r="H423" i="72"/>
  <c r="S423" i="72" s="1"/>
  <c r="AD423" i="72" s="1"/>
  <c r="D423" i="72"/>
  <c r="O423" i="72" s="1"/>
  <c r="K72" i="72"/>
  <c r="V72" i="72" s="1"/>
  <c r="AG72" i="72" s="1"/>
  <c r="G72" i="72"/>
  <c r="R72" i="72" s="1"/>
  <c r="AC72" i="72" s="1"/>
  <c r="J72" i="72"/>
  <c r="U72" i="72" s="1"/>
  <c r="AF72" i="72" s="1"/>
  <c r="F72" i="72"/>
  <c r="Q72" i="72" s="1"/>
  <c r="AB72" i="72" s="1"/>
  <c r="I72" i="72"/>
  <c r="T72" i="72" s="1"/>
  <c r="AE72" i="72" s="1"/>
  <c r="E72" i="72"/>
  <c r="P72" i="72" s="1"/>
  <c r="H72" i="72"/>
  <c r="S72" i="72" s="1"/>
  <c r="AD72" i="72" s="1"/>
  <c r="D72" i="72"/>
  <c r="O72" i="72" s="1"/>
  <c r="Z72" i="72" s="1"/>
  <c r="K511" i="72"/>
  <c r="V511" i="72" s="1"/>
  <c r="AG511" i="72" s="1"/>
  <c r="G511" i="72"/>
  <c r="R511" i="72" s="1"/>
  <c r="AC511" i="72" s="1"/>
  <c r="J511" i="72"/>
  <c r="U511" i="72" s="1"/>
  <c r="AF511" i="72" s="1"/>
  <c r="F511" i="72"/>
  <c r="Q511" i="72" s="1"/>
  <c r="AB511" i="72" s="1"/>
  <c r="I511" i="72"/>
  <c r="T511" i="72" s="1"/>
  <c r="AE511" i="72" s="1"/>
  <c r="E511" i="72"/>
  <c r="P511" i="72" s="1"/>
  <c r="H511" i="72"/>
  <c r="S511" i="72" s="1"/>
  <c r="AD511" i="72" s="1"/>
  <c r="D511" i="72"/>
  <c r="O511" i="72" s="1"/>
  <c r="Z511" i="72" s="1"/>
  <c r="BE25" i="41"/>
  <c r="Z48" i="38"/>
  <c r="AY19" i="72"/>
  <c r="AQ19" i="72"/>
  <c r="BB19" i="72"/>
  <c r="BF18" i="72"/>
  <c r="BC18" i="72"/>
  <c r="BD18" i="72" s="1"/>
  <c r="BG19" i="72"/>
  <c r="ER28" i="6"/>
  <c r="EU28" i="6"/>
  <c r="ER30" i="5"/>
  <c r="EU30" i="5"/>
  <c r="K29" i="35"/>
  <c r="L29" i="35" s="1"/>
  <c r="E29" i="35" s="1"/>
  <c r="D68" i="35" s="1"/>
  <c r="K19" i="44"/>
  <c r="L19" i="44" s="1"/>
  <c r="E19" i="44" s="1"/>
  <c r="D58" i="44" s="1"/>
  <c r="E58" i="44" s="1"/>
  <c r="L202" i="72"/>
  <c r="M202" i="72" s="1"/>
  <c r="BA30" i="37"/>
  <c r="FB32" i="8"/>
  <c r="BH32" i="8" s="1"/>
  <c r="A30" i="38"/>
  <c r="A204" i="72"/>
  <c r="L158" i="72"/>
  <c r="M158" i="72" s="1"/>
  <c r="BF288" i="72"/>
  <c r="BC288" i="72"/>
  <c r="BD288" i="72" s="1"/>
  <c r="AM288" i="72" s="1"/>
  <c r="AP288" i="72" s="1"/>
  <c r="BF69" i="72"/>
  <c r="BC69" i="72"/>
  <c r="BD69" i="72" s="1"/>
  <c r="AM69" i="72" s="1"/>
  <c r="AP69" i="72" s="1"/>
  <c r="BA33" i="18"/>
  <c r="BE33" i="18" s="1"/>
  <c r="BJ29" i="12"/>
  <c r="BN30" i="12"/>
  <c r="BW54" i="45"/>
  <c r="BJ53" i="45" s="1"/>
  <c r="GQ14" i="34" s="1"/>
  <c r="BW52" i="45"/>
  <c r="BJ61" i="45" s="1"/>
  <c r="GR14" i="34" s="1"/>
  <c r="GV14" i="34" s="1"/>
  <c r="L290" i="72"/>
  <c r="M290" i="72" s="1"/>
  <c r="BF508" i="72"/>
  <c r="BC508" i="72"/>
  <c r="BD508" i="72" s="1"/>
  <c r="AY333" i="72"/>
  <c r="BA24" i="43"/>
  <c r="AY245" i="72"/>
  <c r="BG289" i="72"/>
  <c r="BB289" i="72"/>
  <c r="BA33" i="35"/>
  <c r="I32" i="18"/>
  <c r="L246" i="72"/>
  <c r="M246" i="72" s="1"/>
  <c r="BA22" i="45"/>
  <c r="A292" i="72"/>
  <c r="FB30" i="10"/>
  <c r="BH30" i="10" s="1"/>
  <c r="A28" i="40"/>
  <c r="EU24" i="11"/>
  <c r="AY377" i="72"/>
  <c r="A24" i="44"/>
  <c r="FB26" i="14"/>
  <c r="BH26" i="14" s="1"/>
  <c r="A468" i="72"/>
  <c r="FB34" i="6"/>
  <c r="BH34" i="6" s="1"/>
  <c r="A116" i="72"/>
  <c r="A32" i="36"/>
  <c r="BN35" i="7"/>
  <c r="BJ34" i="7"/>
  <c r="BJ30" i="11"/>
  <c r="BN31" i="11"/>
  <c r="BA29" i="38"/>
  <c r="I29" i="37"/>
  <c r="I25" i="41"/>
  <c r="A34" i="18"/>
  <c r="A28" i="72"/>
  <c r="FB36" i="4"/>
  <c r="BH36" i="4" s="1"/>
  <c r="BN33" i="9"/>
  <c r="BJ32" i="9"/>
  <c r="EU22" i="13"/>
  <c r="I21" i="45"/>
  <c r="L510" i="72"/>
  <c r="M510" i="72" s="1"/>
  <c r="BA25" i="42"/>
  <c r="I26" i="40"/>
  <c r="BG70" i="72"/>
  <c r="BB70" i="72"/>
  <c r="BG465" i="72"/>
  <c r="BB465" i="72"/>
  <c r="BN29" i="13"/>
  <c r="BJ28" i="13"/>
  <c r="BB509" i="72"/>
  <c r="BG509" i="72"/>
  <c r="A34" i="35"/>
  <c r="A73" i="72"/>
  <c r="FB36" i="5"/>
  <c r="BH36" i="5" s="1"/>
  <c r="BG421" i="72"/>
  <c r="BB421" i="72"/>
  <c r="A23" i="45"/>
  <c r="FB25" i="15"/>
  <c r="BH25" i="15" s="1"/>
  <c r="GC25" i="15" s="1"/>
  <c r="FX349" i="34" s="1"/>
  <c r="A512" i="72"/>
  <c r="K23" i="40"/>
  <c r="L23" i="40" s="1"/>
  <c r="E23" i="40" s="1"/>
  <c r="D62" i="40" s="1"/>
  <c r="E62" i="40" s="1"/>
  <c r="AY201" i="72"/>
  <c r="BF376" i="72"/>
  <c r="BC376" i="72"/>
  <c r="BD376" i="72" s="1"/>
  <c r="I23" i="43"/>
  <c r="BF200" i="72"/>
  <c r="BC200" i="72"/>
  <c r="BD200" i="72" s="1"/>
  <c r="AM200" i="72" s="1"/>
  <c r="AP200" i="72" s="1"/>
  <c r="ER26" i="8"/>
  <c r="BA23" i="44"/>
  <c r="BF244" i="72"/>
  <c r="BC244" i="72"/>
  <c r="BD244" i="72" s="1"/>
  <c r="AQ244" i="72"/>
  <c r="I28" i="38"/>
  <c r="BA31" i="36"/>
  <c r="BA26" i="41"/>
  <c r="BE26" i="41" s="1"/>
  <c r="BN34" i="8"/>
  <c r="BJ33" i="8"/>
  <c r="I30" i="36"/>
  <c r="L334" i="72"/>
  <c r="M334" i="72" s="1"/>
  <c r="EU20" i="15"/>
  <c r="BA28" i="39"/>
  <c r="K21" i="42"/>
  <c r="L21" i="42" s="1"/>
  <c r="E21" i="42" s="1"/>
  <c r="D60" i="42" s="1"/>
  <c r="E60" i="42" s="1"/>
  <c r="FB28" i="12"/>
  <c r="BH28" i="12" s="1"/>
  <c r="A380" i="72"/>
  <c r="A26" i="42"/>
  <c r="BG333" i="72"/>
  <c r="BB333" i="72"/>
  <c r="BG245" i="72"/>
  <c r="BB245" i="72"/>
  <c r="BF156" i="72"/>
  <c r="BC156" i="72"/>
  <c r="BD156" i="72" s="1"/>
  <c r="AY289" i="72"/>
  <c r="I22" i="44"/>
  <c r="L466" i="72"/>
  <c r="M466" i="72" s="1"/>
  <c r="BF112" i="72"/>
  <c r="BC112" i="72"/>
  <c r="BD112" i="72" s="1"/>
  <c r="AM112" i="72" s="1"/>
  <c r="AP112" i="72" s="1"/>
  <c r="EU26" i="9"/>
  <c r="K24" i="39"/>
  <c r="L24" i="39" s="1"/>
  <c r="E24" i="39" s="1"/>
  <c r="D63" i="39" s="1"/>
  <c r="E63" i="39" s="1"/>
  <c r="ER26" i="9"/>
  <c r="BN32" i="10"/>
  <c r="BJ31" i="10"/>
  <c r="AY113" i="72"/>
  <c r="BG113" i="72"/>
  <c r="BB113" i="72"/>
  <c r="BG157" i="72"/>
  <c r="AY157" i="72"/>
  <c r="BB157" i="72"/>
  <c r="ER20" i="14"/>
  <c r="L422" i="72"/>
  <c r="M422" i="72" s="1"/>
  <c r="AQ464" i="72"/>
  <c r="K22" i="41"/>
  <c r="L22" i="41" s="1"/>
  <c r="E22" i="41" s="1"/>
  <c r="D61" i="41" s="1"/>
  <c r="E61" i="41" s="1"/>
  <c r="ER24" i="11"/>
  <c r="BG377" i="72"/>
  <c r="BB377" i="72"/>
  <c r="I32" i="35"/>
  <c r="BN28" i="14"/>
  <c r="BJ27" i="14"/>
  <c r="BJ35" i="6"/>
  <c r="BN36" i="6"/>
  <c r="FB33" i="7"/>
  <c r="BH33" i="7" s="1"/>
  <c r="A31" i="37"/>
  <c r="A160" i="72"/>
  <c r="A27" i="41"/>
  <c r="FB29" i="11"/>
  <c r="BH29" i="11" s="1"/>
  <c r="A336" i="72"/>
  <c r="L114" i="72"/>
  <c r="M114" i="72" s="1"/>
  <c r="BN38" i="4"/>
  <c r="BJ37" i="4"/>
  <c r="A29" i="39"/>
  <c r="A248" i="72"/>
  <c r="FB31" i="9"/>
  <c r="BH31" i="9" s="1"/>
  <c r="K20" i="43"/>
  <c r="L20" i="43" s="1"/>
  <c r="E20" i="43" s="1"/>
  <c r="D59" i="43" s="1"/>
  <c r="E59" i="43" s="1"/>
  <c r="ER22" i="13"/>
  <c r="ER24" i="10"/>
  <c r="BF420" i="72"/>
  <c r="BC420" i="72"/>
  <c r="BD420" i="72" s="1"/>
  <c r="AY70" i="72"/>
  <c r="AY465" i="72"/>
  <c r="FB27" i="13"/>
  <c r="BH27" i="13" s="1"/>
  <c r="A424" i="72"/>
  <c r="A25" i="43"/>
  <c r="AY509" i="72"/>
  <c r="BN38" i="5"/>
  <c r="BJ37" i="5"/>
  <c r="K25" i="38"/>
  <c r="L25" i="38" s="1"/>
  <c r="E25" i="38" s="1"/>
  <c r="D64" i="38" s="1"/>
  <c r="AY421" i="72"/>
  <c r="K26" i="37"/>
  <c r="L26" i="37" s="1"/>
  <c r="E26" i="37" s="1"/>
  <c r="D65" i="37" s="1"/>
  <c r="I27" i="39"/>
  <c r="BN27" i="15"/>
  <c r="BJ26" i="15"/>
  <c r="L378" i="72"/>
  <c r="M378" i="72" s="1"/>
  <c r="I24" i="42"/>
  <c r="BA27" i="40"/>
  <c r="BG201" i="72"/>
  <c r="BB201" i="72"/>
  <c r="BF464" i="72"/>
  <c r="BC464" i="72"/>
  <c r="BD464" i="72" s="1"/>
  <c r="BF332" i="72"/>
  <c r="BC332" i="72"/>
  <c r="BD332" i="72" s="1"/>
  <c r="L71" i="72"/>
  <c r="M71" i="72" s="1"/>
  <c r="K27" i="36"/>
  <c r="L27" i="36" s="1"/>
  <c r="E27" i="36" s="1"/>
  <c r="D66" i="36" s="1"/>
  <c r="T27" i="14" l="1"/>
  <c r="GV13" i="34"/>
  <c r="GU14" i="34"/>
  <c r="T27" i="15"/>
  <c r="ER23" i="12"/>
  <c r="J30" i="37"/>
  <c r="J28" i="39"/>
  <c r="J23" i="44"/>
  <c r="ER27" i="8"/>
  <c r="J25" i="42"/>
  <c r="J24" i="43"/>
  <c r="F59" i="43"/>
  <c r="G59" i="43"/>
  <c r="G61" i="41"/>
  <c r="F61" i="41"/>
  <c r="G58" i="44"/>
  <c r="F58" i="44"/>
  <c r="G62" i="40"/>
  <c r="F62" i="40"/>
  <c r="G57" i="44"/>
  <c r="F57" i="44"/>
  <c r="G60" i="42"/>
  <c r="F60" i="42"/>
  <c r="G63" i="39"/>
  <c r="F63" i="39"/>
  <c r="J31" i="36"/>
  <c r="J33" i="35"/>
  <c r="J33" i="18"/>
  <c r="J26" i="41"/>
  <c r="J29" i="38"/>
  <c r="GC31" i="9"/>
  <c r="FX169" i="34" s="1"/>
  <c r="GC27" i="13"/>
  <c r="FX289" i="34" s="1"/>
  <c r="GC28" i="12"/>
  <c r="FX259" i="34" s="1"/>
  <c r="GC36" i="4"/>
  <c r="FX19" i="34" s="1"/>
  <c r="GC29" i="11"/>
  <c r="FX229" i="34" s="1"/>
  <c r="GC34" i="6"/>
  <c r="FX79" i="34" s="1"/>
  <c r="GC33" i="7"/>
  <c r="FX109" i="34" s="1"/>
  <c r="GC36" i="5"/>
  <c r="FX50" i="34" s="1"/>
  <c r="GC30" i="10"/>
  <c r="FX199" i="34" s="1"/>
  <c r="GC32" i="8"/>
  <c r="FX139" i="34" s="1"/>
  <c r="GC26" i="14"/>
  <c r="FX319" i="34" s="1"/>
  <c r="AI422" i="72"/>
  <c r="AQ422" i="72" s="1"/>
  <c r="AI378" i="72"/>
  <c r="AI26" i="72"/>
  <c r="AI202" i="72"/>
  <c r="AQ202" i="72" s="1"/>
  <c r="AI466" i="72"/>
  <c r="AQ466" i="72" s="1"/>
  <c r="AI334" i="72"/>
  <c r="AQ334" i="72" s="1"/>
  <c r="AI71" i="72"/>
  <c r="AQ71" i="72" s="1"/>
  <c r="AA511" i="72"/>
  <c r="W511" i="72"/>
  <c r="X511" i="72" s="1"/>
  <c r="W72" i="72"/>
  <c r="X72" i="72" s="1"/>
  <c r="AA72" i="72"/>
  <c r="W115" i="72"/>
  <c r="X115" i="72" s="1"/>
  <c r="AA115" i="72"/>
  <c r="AA335" i="72"/>
  <c r="W335" i="72"/>
  <c r="X335" i="72" s="1"/>
  <c r="AA159" i="72"/>
  <c r="W159" i="72"/>
  <c r="X159" i="72" s="1"/>
  <c r="W203" i="72"/>
  <c r="X203" i="72" s="1"/>
  <c r="AA203" i="72"/>
  <c r="W291" i="72"/>
  <c r="X291" i="72" s="1"/>
  <c r="AA291" i="72"/>
  <c r="W379" i="72"/>
  <c r="X379" i="72" s="1"/>
  <c r="AA379" i="72"/>
  <c r="W27" i="72"/>
  <c r="X27" i="72" s="1"/>
  <c r="AA27" i="72"/>
  <c r="AI290" i="72"/>
  <c r="AI158" i="72"/>
  <c r="AQ158" i="72" s="1"/>
  <c r="AI510" i="72"/>
  <c r="W423" i="72"/>
  <c r="X423" i="72" s="1"/>
  <c r="Z423" i="72"/>
  <c r="W247" i="72"/>
  <c r="X247" i="72" s="1"/>
  <c r="Z247" i="72"/>
  <c r="AI246" i="72"/>
  <c r="AQ246" i="72" s="1"/>
  <c r="AI114" i="72"/>
  <c r="AQ114" i="72" s="1"/>
  <c r="W467" i="72"/>
  <c r="X467" i="72" s="1"/>
  <c r="AA467" i="72"/>
  <c r="FS36" i="4"/>
  <c r="BE36" i="4"/>
  <c r="BC36" i="4" s="1"/>
  <c r="ER28" i="7"/>
  <c r="AP155" i="72"/>
  <c r="EU28" i="7" s="1"/>
  <c r="ER25" i="10"/>
  <c r="AP287" i="72"/>
  <c r="EU25" i="10" s="1"/>
  <c r="ER21" i="14"/>
  <c r="AP463" i="72"/>
  <c r="EU21" i="14" s="1"/>
  <c r="J27" i="40"/>
  <c r="J22" i="45"/>
  <c r="FS36" i="5"/>
  <c r="BE36" i="5"/>
  <c r="BC36" i="5" s="1"/>
  <c r="FS29" i="11"/>
  <c r="BE29" i="11"/>
  <c r="BC29" i="11" s="1"/>
  <c r="FS33" i="7"/>
  <c r="BE33" i="7"/>
  <c r="BC33" i="7" s="1"/>
  <c r="FS31" i="9"/>
  <c r="BE31" i="9"/>
  <c r="BC31" i="9" s="1"/>
  <c r="FS34" i="6"/>
  <c r="BE34" i="6"/>
  <c r="BC34" i="6" s="1"/>
  <c r="FS25" i="15"/>
  <c r="BE25" i="15"/>
  <c r="BC25" i="15" s="1"/>
  <c r="FS30" i="10"/>
  <c r="BE30" i="10"/>
  <c r="BC30" i="10" s="1"/>
  <c r="FS32" i="8"/>
  <c r="BE32" i="8"/>
  <c r="BC32" i="8" s="1"/>
  <c r="FS27" i="13"/>
  <c r="BE27" i="13"/>
  <c r="BC27" i="13" s="1"/>
  <c r="FS28" i="12"/>
  <c r="BE28" i="12"/>
  <c r="BC28" i="12" s="1"/>
  <c r="FS26" i="14"/>
  <c r="BE26" i="14"/>
  <c r="BC26" i="14" s="1"/>
  <c r="ED335" i="72"/>
  <c r="EE335" i="72" s="1"/>
  <c r="ED423" i="72"/>
  <c r="EE423" i="72" s="1"/>
  <c r="EV25" i="12"/>
  <c r="AA25" i="12" s="1"/>
  <c r="EV31" i="6"/>
  <c r="AA31" i="6" s="1"/>
  <c r="EV29" i="8"/>
  <c r="AA29" i="8" s="1"/>
  <c r="EV30" i="7"/>
  <c r="AA30" i="7" s="1"/>
  <c r="EV23" i="14"/>
  <c r="AA23" i="14" s="1"/>
  <c r="EV33" i="5"/>
  <c r="AA33" i="5" s="1"/>
  <c r="EV27" i="4"/>
  <c r="AA27" i="4" s="1"/>
  <c r="EV28" i="9"/>
  <c r="AA28" i="9" s="1"/>
  <c r="EV26" i="11"/>
  <c r="AA26" i="11" s="1"/>
  <c r="EV24" i="13"/>
  <c r="AA24" i="13" s="1"/>
  <c r="EV22" i="15"/>
  <c r="AA22" i="15" s="1"/>
  <c r="EV27" i="10"/>
  <c r="AA27" i="10" s="1"/>
  <c r="H27" i="41"/>
  <c r="EM27" i="41"/>
  <c r="AM464" i="72"/>
  <c r="AP464" i="72" s="1"/>
  <c r="EU22" i="14" s="1"/>
  <c r="EH248" i="72"/>
  <c r="EI248" i="72" s="1"/>
  <c r="EA248" i="72"/>
  <c r="DW248" i="72"/>
  <c r="DZ248" i="72"/>
  <c r="DV248" i="72"/>
  <c r="EC248" i="72"/>
  <c r="DY248" i="72"/>
  <c r="DU248" i="72"/>
  <c r="EB248" i="72"/>
  <c r="DX248" i="72"/>
  <c r="CD114" i="72"/>
  <c r="EH160" i="72"/>
  <c r="EI160" i="72" s="1"/>
  <c r="EA160" i="72"/>
  <c r="DW160" i="72"/>
  <c r="DZ160" i="72"/>
  <c r="DV160" i="72"/>
  <c r="EC160" i="72"/>
  <c r="DY160" i="72"/>
  <c r="DU160" i="72"/>
  <c r="EB160" i="72"/>
  <c r="DX160" i="72"/>
  <c r="AM156" i="72"/>
  <c r="AM244" i="72"/>
  <c r="AM376" i="72"/>
  <c r="AP376" i="72" s="1"/>
  <c r="EU24" i="12" s="1"/>
  <c r="H23" i="45"/>
  <c r="EM23" i="45"/>
  <c r="EB73" i="72"/>
  <c r="DX73" i="72"/>
  <c r="EH73" i="72"/>
  <c r="EI73" i="72" s="1"/>
  <c r="EA73" i="72"/>
  <c r="DW73" i="72"/>
  <c r="DZ73" i="72"/>
  <c r="DV73" i="72"/>
  <c r="EC73" i="72"/>
  <c r="DY73" i="72"/>
  <c r="DU73" i="72"/>
  <c r="EC28" i="72"/>
  <c r="DY28" i="72"/>
  <c r="DU28" i="72"/>
  <c r="EB28" i="72"/>
  <c r="DX28" i="72"/>
  <c r="EH28" i="72"/>
  <c r="EI28" i="72" s="1"/>
  <c r="EA28" i="72"/>
  <c r="DW28" i="72"/>
  <c r="DZ28" i="72"/>
  <c r="DV28" i="72"/>
  <c r="H28" i="40"/>
  <c r="EM28" i="40"/>
  <c r="AM508" i="72"/>
  <c r="AM332" i="72"/>
  <c r="AM420" i="72"/>
  <c r="CD71" i="72"/>
  <c r="H25" i="43"/>
  <c r="EM25" i="43"/>
  <c r="H29" i="39"/>
  <c r="EM29" i="39"/>
  <c r="EH336" i="72"/>
  <c r="EI336" i="72" s="1"/>
  <c r="EA336" i="72"/>
  <c r="DW336" i="72"/>
  <c r="DZ336" i="72"/>
  <c r="DV336" i="72"/>
  <c r="EC336" i="72"/>
  <c r="DY336" i="72"/>
  <c r="DU336" i="72"/>
  <c r="EB336" i="72"/>
  <c r="DX336" i="72"/>
  <c r="H31" i="37"/>
  <c r="EM31" i="37"/>
  <c r="CD466" i="72"/>
  <c r="H26" i="42"/>
  <c r="EM26" i="42"/>
  <c r="CD334" i="72"/>
  <c r="H34" i="35"/>
  <c r="EM34" i="35"/>
  <c r="CD510" i="72"/>
  <c r="H34" i="18"/>
  <c r="EM34" i="18"/>
  <c r="DZ468" i="72"/>
  <c r="DV468" i="72"/>
  <c r="EC468" i="72"/>
  <c r="DY468" i="72"/>
  <c r="DU468" i="72"/>
  <c r="EB468" i="72"/>
  <c r="DX468" i="72"/>
  <c r="EH468" i="72"/>
  <c r="EI468" i="72" s="1"/>
  <c r="EA468" i="72"/>
  <c r="DW468" i="72"/>
  <c r="CD158" i="72"/>
  <c r="AM18" i="72"/>
  <c r="AP18" i="72" s="1"/>
  <c r="EU26" i="4" s="1"/>
  <c r="ED379" i="72"/>
  <c r="EE379" i="72" s="1"/>
  <c r="ED72" i="72"/>
  <c r="EE72" i="72" s="1"/>
  <c r="ED203" i="72"/>
  <c r="EE203" i="72" s="1"/>
  <c r="CD422" i="72"/>
  <c r="EC380" i="72"/>
  <c r="DY380" i="72"/>
  <c r="DU380" i="72"/>
  <c r="EB380" i="72"/>
  <c r="DX380" i="72"/>
  <c r="EH380" i="72"/>
  <c r="EI380" i="72" s="1"/>
  <c r="EA380" i="72"/>
  <c r="DW380" i="72"/>
  <c r="DZ380" i="72"/>
  <c r="DV380" i="72"/>
  <c r="EA512" i="72"/>
  <c r="DW512" i="72"/>
  <c r="DZ512" i="72"/>
  <c r="DV512" i="72"/>
  <c r="EC512" i="72"/>
  <c r="DY512" i="72"/>
  <c r="DU512" i="72"/>
  <c r="EH512" i="72"/>
  <c r="EI512" i="72" s="1"/>
  <c r="EB512" i="72"/>
  <c r="DX512" i="72"/>
  <c r="H32" i="36"/>
  <c r="EM32" i="36"/>
  <c r="EC292" i="72"/>
  <c r="DY292" i="72"/>
  <c r="DU292" i="72"/>
  <c r="EB292" i="72"/>
  <c r="DX292" i="72"/>
  <c r="EH292" i="72"/>
  <c r="EI292" i="72" s="1"/>
  <c r="EA292" i="72"/>
  <c r="DW292" i="72"/>
  <c r="DZ292" i="72"/>
  <c r="DV292" i="72"/>
  <c r="CD290" i="72"/>
  <c r="EC204" i="72"/>
  <c r="DY204" i="72"/>
  <c r="DU204" i="72"/>
  <c r="EB204" i="72"/>
  <c r="DX204" i="72"/>
  <c r="EH204" i="72"/>
  <c r="EI204" i="72" s="1"/>
  <c r="EA204" i="72"/>
  <c r="DW204" i="72"/>
  <c r="DZ204" i="72"/>
  <c r="DV204" i="72"/>
  <c r="CD202" i="72"/>
  <c r="ED27" i="72"/>
  <c r="EE27" i="72" s="1"/>
  <c r="EN33" i="18" s="1"/>
  <c r="ED247" i="72"/>
  <c r="EE247" i="72" s="1"/>
  <c r="ED511" i="72"/>
  <c r="EE511" i="72" s="1"/>
  <c r="ED159" i="72"/>
  <c r="EE159" i="72" s="1"/>
  <c r="ED467" i="72"/>
  <c r="EE467" i="72" s="1"/>
  <c r="DZ424" i="72"/>
  <c r="DV424" i="72"/>
  <c r="EC424" i="72"/>
  <c r="DY424" i="72"/>
  <c r="DU424" i="72"/>
  <c r="EH424" i="72"/>
  <c r="EI424" i="72" s="1"/>
  <c r="EB424" i="72"/>
  <c r="DX424" i="72"/>
  <c r="EA424" i="72"/>
  <c r="DW424" i="72"/>
  <c r="CD378" i="72"/>
  <c r="EC116" i="72"/>
  <c r="DY116" i="72"/>
  <c r="DU116" i="72"/>
  <c r="DZ116" i="72"/>
  <c r="DV116" i="72"/>
  <c r="EB116" i="72"/>
  <c r="EA116" i="72"/>
  <c r="DX116" i="72"/>
  <c r="EH116" i="72"/>
  <c r="EI116" i="72" s="1"/>
  <c r="DW116" i="72"/>
  <c r="H24" i="44"/>
  <c r="EM24" i="44"/>
  <c r="CD246" i="72"/>
  <c r="H30" i="38"/>
  <c r="EM30" i="38"/>
  <c r="ED115" i="72"/>
  <c r="EE115" i="72" s="1"/>
  <c r="ED291" i="72"/>
  <c r="EE291" i="72" s="1"/>
  <c r="K336" i="72"/>
  <c r="V336" i="72" s="1"/>
  <c r="AG336" i="72" s="1"/>
  <c r="G336" i="72"/>
  <c r="R336" i="72" s="1"/>
  <c r="AC336" i="72" s="1"/>
  <c r="J336" i="72"/>
  <c r="U336" i="72" s="1"/>
  <c r="AF336" i="72" s="1"/>
  <c r="F336" i="72"/>
  <c r="Q336" i="72" s="1"/>
  <c r="AB336" i="72" s="1"/>
  <c r="I336" i="72"/>
  <c r="T336" i="72" s="1"/>
  <c r="AE336" i="72" s="1"/>
  <c r="E336" i="72"/>
  <c r="P336" i="72" s="1"/>
  <c r="H336" i="72"/>
  <c r="S336" i="72" s="1"/>
  <c r="AD336" i="72" s="1"/>
  <c r="D336" i="72"/>
  <c r="O336" i="72" s="1"/>
  <c r="Z336" i="72" s="1"/>
  <c r="K28" i="72"/>
  <c r="V28" i="72" s="1"/>
  <c r="AG28" i="72" s="1"/>
  <c r="G28" i="72"/>
  <c r="R28" i="72" s="1"/>
  <c r="AC28" i="72" s="1"/>
  <c r="J28" i="72"/>
  <c r="U28" i="72" s="1"/>
  <c r="AF28" i="72" s="1"/>
  <c r="F28" i="72"/>
  <c r="Q28" i="72" s="1"/>
  <c r="AB28" i="72" s="1"/>
  <c r="I28" i="72"/>
  <c r="T28" i="72" s="1"/>
  <c r="AE28" i="72" s="1"/>
  <c r="E28" i="72"/>
  <c r="P28" i="72" s="1"/>
  <c r="H28" i="72"/>
  <c r="S28" i="72" s="1"/>
  <c r="AD28" i="72" s="1"/>
  <c r="D28" i="72"/>
  <c r="O28" i="72" s="1"/>
  <c r="Z28" i="72" s="1"/>
  <c r="K116" i="72"/>
  <c r="V116" i="72" s="1"/>
  <c r="AG116" i="72" s="1"/>
  <c r="G116" i="72"/>
  <c r="R116" i="72" s="1"/>
  <c r="AC116" i="72" s="1"/>
  <c r="J116" i="72"/>
  <c r="U116" i="72" s="1"/>
  <c r="AF116" i="72" s="1"/>
  <c r="F116" i="72"/>
  <c r="Q116" i="72" s="1"/>
  <c r="AB116" i="72" s="1"/>
  <c r="I116" i="72"/>
  <c r="T116" i="72" s="1"/>
  <c r="AE116" i="72" s="1"/>
  <c r="E116" i="72"/>
  <c r="P116" i="72" s="1"/>
  <c r="H116" i="72"/>
  <c r="S116" i="72" s="1"/>
  <c r="AD116" i="72" s="1"/>
  <c r="D116" i="72"/>
  <c r="O116" i="72" s="1"/>
  <c r="Z116" i="72" s="1"/>
  <c r="K424" i="72"/>
  <c r="V424" i="72" s="1"/>
  <c r="AG424" i="72" s="1"/>
  <c r="G424" i="72"/>
  <c r="R424" i="72" s="1"/>
  <c r="AC424" i="72" s="1"/>
  <c r="J424" i="72"/>
  <c r="U424" i="72" s="1"/>
  <c r="AF424" i="72" s="1"/>
  <c r="F424" i="72"/>
  <c r="Q424" i="72" s="1"/>
  <c r="AB424" i="72" s="1"/>
  <c r="I424" i="72"/>
  <c r="T424" i="72" s="1"/>
  <c r="AE424" i="72" s="1"/>
  <c r="E424" i="72"/>
  <c r="P424" i="72" s="1"/>
  <c r="H424" i="72"/>
  <c r="S424" i="72" s="1"/>
  <c r="AD424" i="72" s="1"/>
  <c r="D424" i="72"/>
  <c r="O424" i="72" s="1"/>
  <c r="Z424" i="72" s="1"/>
  <c r="K380" i="72"/>
  <c r="V380" i="72" s="1"/>
  <c r="AG380" i="72" s="1"/>
  <c r="G380" i="72"/>
  <c r="R380" i="72" s="1"/>
  <c r="AC380" i="72" s="1"/>
  <c r="J380" i="72"/>
  <c r="U380" i="72" s="1"/>
  <c r="AF380" i="72" s="1"/>
  <c r="F380" i="72"/>
  <c r="Q380" i="72" s="1"/>
  <c r="AB380" i="72" s="1"/>
  <c r="I380" i="72"/>
  <c r="T380" i="72" s="1"/>
  <c r="AE380" i="72" s="1"/>
  <c r="E380" i="72"/>
  <c r="P380" i="72" s="1"/>
  <c r="H380" i="72"/>
  <c r="S380" i="72" s="1"/>
  <c r="AD380" i="72" s="1"/>
  <c r="D380" i="72"/>
  <c r="O380" i="72" s="1"/>
  <c r="Z380" i="72" s="1"/>
  <c r="K512" i="72"/>
  <c r="V512" i="72" s="1"/>
  <c r="AG512" i="72" s="1"/>
  <c r="G512" i="72"/>
  <c r="R512" i="72" s="1"/>
  <c r="AC512" i="72" s="1"/>
  <c r="J512" i="72"/>
  <c r="U512" i="72" s="1"/>
  <c r="AF512" i="72" s="1"/>
  <c r="F512" i="72"/>
  <c r="Q512" i="72" s="1"/>
  <c r="AB512" i="72" s="1"/>
  <c r="I512" i="72"/>
  <c r="T512" i="72" s="1"/>
  <c r="AE512" i="72" s="1"/>
  <c r="E512" i="72"/>
  <c r="P512" i="72" s="1"/>
  <c r="H512" i="72"/>
  <c r="S512" i="72" s="1"/>
  <c r="AD512" i="72" s="1"/>
  <c r="D512" i="72"/>
  <c r="O512" i="72" s="1"/>
  <c r="Z512" i="72" s="1"/>
  <c r="K468" i="72"/>
  <c r="V468" i="72" s="1"/>
  <c r="AG468" i="72" s="1"/>
  <c r="G468" i="72"/>
  <c r="R468" i="72" s="1"/>
  <c r="AC468" i="72" s="1"/>
  <c r="J468" i="72"/>
  <c r="U468" i="72" s="1"/>
  <c r="AF468" i="72" s="1"/>
  <c r="F468" i="72"/>
  <c r="Q468" i="72" s="1"/>
  <c r="AB468" i="72" s="1"/>
  <c r="I468" i="72"/>
  <c r="T468" i="72" s="1"/>
  <c r="AE468" i="72" s="1"/>
  <c r="E468" i="72"/>
  <c r="P468" i="72" s="1"/>
  <c r="AA468" i="72" s="1"/>
  <c r="H468" i="72"/>
  <c r="S468" i="72" s="1"/>
  <c r="AD468" i="72" s="1"/>
  <c r="D468" i="72"/>
  <c r="O468" i="72" s="1"/>
  <c r="K204" i="72"/>
  <c r="V204" i="72" s="1"/>
  <c r="AG204" i="72" s="1"/>
  <c r="G204" i="72"/>
  <c r="R204" i="72" s="1"/>
  <c r="AC204" i="72" s="1"/>
  <c r="J204" i="72"/>
  <c r="U204" i="72" s="1"/>
  <c r="AF204" i="72" s="1"/>
  <c r="F204" i="72"/>
  <c r="Q204" i="72" s="1"/>
  <c r="AB204" i="72" s="1"/>
  <c r="I204" i="72"/>
  <c r="T204" i="72" s="1"/>
  <c r="AE204" i="72" s="1"/>
  <c r="E204" i="72"/>
  <c r="P204" i="72" s="1"/>
  <c r="H204" i="72"/>
  <c r="S204" i="72" s="1"/>
  <c r="AD204" i="72" s="1"/>
  <c r="D204" i="72"/>
  <c r="O204" i="72" s="1"/>
  <c r="Z204" i="72" s="1"/>
  <c r="K248" i="72"/>
  <c r="V248" i="72" s="1"/>
  <c r="AG248" i="72" s="1"/>
  <c r="G248" i="72"/>
  <c r="R248" i="72" s="1"/>
  <c r="AC248" i="72" s="1"/>
  <c r="J248" i="72"/>
  <c r="U248" i="72" s="1"/>
  <c r="AF248" i="72" s="1"/>
  <c r="F248" i="72"/>
  <c r="Q248" i="72" s="1"/>
  <c r="AB248" i="72" s="1"/>
  <c r="I248" i="72"/>
  <c r="T248" i="72" s="1"/>
  <c r="AE248" i="72" s="1"/>
  <c r="E248" i="72"/>
  <c r="P248" i="72" s="1"/>
  <c r="H248" i="72"/>
  <c r="S248" i="72" s="1"/>
  <c r="AD248" i="72" s="1"/>
  <c r="D248" i="72"/>
  <c r="O248" i="72" s="1"/>
  <c r="Z248" i="72" s="1"/>
  <c r="K160" i="72"/>
  <c r="V160" i="72" s="1"/>
  <c r="AG160" i="72" s="1"/>
  <c r="G160" i="72"/>
  <c r="R160" i="72" s="1"/>
  <c r="AC160" i="72" s="1"/>
  <c r="J160" i="72"/>
  <c r="U160" i="72" s="1"/>
  <c r="AF160" i="72" s="1"/>
  <c r="F160" i="72"/>
  <c r="Q160" i="72" s="1"/>
  <c r="AB160" i="72" s="1"/>
  <c r="I160" i="72"/>
  <c r="T160" i="72" s="1"/>
  <c r="AE160" i="72" s="1"/>
  <c r="E160" i="72"/>
  <c r="P160" i="72" s="1"/>
  <c r="H160" i="72"/>
  <c r="S160" i="72" s="1"/>
  <c r="AD160" i="72" s="1"/>
  <c r="D160" i="72"/>
  <c r="O160" i="72" s="1"/>
  <c r="Z160" i="72" s="1"/>
  <c r="K73" i="72"/>
  <c r="V73" i="72" s="1"/>
  <c r="AG73" i="72" s="1"/>
  <c r="G73" i="72"/>
  <c r="R73" i="72" s="1"/>
  <c r="AC73" i="72" s="1"/>
  <c r="J73" i="72"/>
  <c r="U73" i="72" s="1"/>
  <c r="AF73" i="72" s="1"/>
  <c r="F73" i="72"/>
  <c r="Q73" i="72" s="1"/>
  <c r="AB73" i="72" s="1"/>
  <c r="I73" i="72"/>
  <c r="T73" i="72" s="1"/>
  <c r="AE73" i="72" s="1"/>
  <c r="E73" i="72"/>
  <c r="P73" i="72" s="1"/>
  <c r="H73" i="72"/>
  <c r="S73" i="72" s="1"/>
  <c r="AD73" i="72" s="1"/>
  <c r="D73" i="72"/>
  <c r="O73" i="72" s="1"/>
  <c r="Z73" i="72" s="1"/>
  <c r="K292" i="72"/>
  <c r="V292" i="72" s="1"/>
  <c r="AG292" i="72" s="1"/>
  <c r="G292" i="72"/>
  <c r="R292" i="72" s="1"/>
  <c r="AC292" i="72" s="1"/>
  <c r="J292" i="72"/>
  <c r="U292" i="72" s="1"/>
  <c r="AF292" i="72" s="1"/>
  <c r="F292" i="72"/>
  <c r="Q292" i="72" s="1"/>
  <c r="AB292" i="72" s="1"/>
  <c r="I292" i="72"/>
  <c r="T292" i="72" s="1"/>
  <c r="AE292" i="72" s="1"/>
  <c r="E292" i="72"/>
  <c r="P292" i="72" s="1"/>
  <c r="AA292" i="72" s="1"/>
  <c r="H292" i="72"/>
  <c r="S292" i="72" s="1"/>
  <c r="AD292" i="72" s="1"/>
  <c r="D292" i="72"/>
  <c r="O292" i="72" s="1"/>
  <c r="AQ510" i="72"/>
  <c r="Z48" i="35"/>
  <c r="AQ290" i="72"/>
  <c r="K24" i="18"/>
  <c r="L24" i="18" s="1"/>
  <c r="E24" i="18" s="1"/>
  <c r="D63" i="18" s="1"/>
  <c r="BC19" i="72"/>
  <c r="BD19" i="72" s="1"/>
  <c r="BF19" i="72"/>
  <c r="ER29" i="6"/>
  <c r="EU29" i="6"/>
  <c r="ER31" i="5"/>
  <c r="EU31" i="5"/>
  <c r="BG71" i="72"/>
  <c r="BB71" i="72"/>
  <c r="I27" i="40"/>
  <c r="BG378" i="72"/>
  <c r="BB378" i="72"/>
  <c r="FB26" i="15"/>
  <c r="BH26" i="15" s="1"/>
  <c r="GC26" i="15" s="1"/>
  <c r="FX350" i="34" s="1"/>
  <c r="A24" i="45"/>
  <c r="A513" i="72"/>
  <c r="I23" i="44"/>
  <c r="AY71" i="72"/>
  <c r="K23" i="41"/>
  <c r="L23" i="41" s="1"/>
  <c r="E23" i="41" s="1"/>
  <c r="D62" i="41" s="1"/>
  <c r="K20" i="44"/>
  <c r="L20" i="44" s="1"/>
  <c r="E20" i="44" s="1"/>
  <c r="D59" i="44" s="1"/>
  <c r="E59" i="44" s="1"/>
  <c r="BF201" i="72"/>
  <c r="BC201" i="72"/>
  <c r="BD201" i="72" s="1"/>
  <c r="AY378" i="72"/>
  <c r="BN28" i="15"/>
  <c r="BJ27" i="15"/>
  <c r="A35" i="35"/>
  <c r="A74" i="72"/>
  <c r="FB37" i="5"/>
  <c r="BH37" i="5" s="1"/>
  <c r="BA25" i="43"/>
  <c r="K21" i="43"/>
  <c r="L21" i="43" s="1"/>
  <c r="E21" i="43" s="1"/>
  <c r="D60" i="43" s="1"/>
  <c r="E60" i="43" s="1"/>
  <c r="I25" i="42"/>
  <c r="FB37" i="4"/>
  <c r="BH37" i="4" s="1"/>
  <c r="A35" i="18"/>
  <c r="A29" i="72"/>
  <c r="BG114" i="72"/>
  <c r="BB114" i="72"/>
  <c r="BA27" i="41"/>
  <c r="BE27" i="41" s="1"/>
  <c r="BJ36" i="6"/>
  <c r="BN37" i="6"/>
  <c r="FB27" i="14"/>
  <c r="BH27" i="14" s="1"/>
  <c r="A25" i="44"/>
  <c r="A469" i="72"/>
  <c r="BF377" i="72"/>
  <c r="BC377" i="72"/>
  <c r="BD377" i="72" s="1"/>
  <c r="A29" i="40"/>
  <c r="A293" i="72"/>
  <c r="FB31" i="10"/>
  <c r="BH31" i="10" s="1"/>
  <c r="K28" i="36"/>
  <c r="L28" i="36" s="1"/>
  <c r="E28" i="36" s="1"/>
  <c r="D67" i="36" s="1"/>
  <c r="L511" i="72"/>
  <c r="M511" i="72" s="1"/>
  <c r="BG466" i="72"/>
  <c r="BB466" i="72"/>
  <c r="BF245" i="72"/>
  <c r="BC245" i="72"/>
  <c r="BD245" i="72" s="1"/>
  <c r="AM245" i="72" s="1"/>
  <c r="AP245" i="72" s="1"/>
  <c r="BA26" i="42"/>
  <c r="L247" i="72"/>
  <c r="M247" i="72" s="1"/>
  <c r="I33" i="18"/>
  <c r="A31" i="38"/>
  <c r="FB33" i="8"/>
  <c r="BH33" i="8" s="1"/>
  <c r="A205" i="72"/>
  <c r="I26" i="41"/>
  <c r="I31" i="36"/>
  <c r="L467" i="72"/>
  <c r="M467" i="72" s="1"/>
  <c r="K26" i="38"/>
  <c r="L26" i="38" s="1"/>
  <c r="E26" i="38" s="1"/>
  <c r="D65" i="38" s="1"/>
  <c r="ER28" i="8"/>
  <c r="EU28" i="8"/>
  <c r="K22" i="42"/>
  <c r="L22" i="42" s="1"/>
  <c r="E22" i="42" s="1"/>
  <c r="D61" i="42" s="1"/>
  <c r="E61" i="42" s="1"/>
  <c r="BA23" i="45"/>
  <c r="BF421" i="72"/>
  <c r="BC421" i="72"/>
  <c r="BD421" i="72" s="1"/>
  <c r="BA34" i="35"/>
  <c r="BF509" i="72"/>
  <c r="BC509" i="72"/>
  <c r="BD509" i="72" s="1"/>
  <c r="AM509" i="72" s="1"/>
  <c r="AP509" i="72" s="1"/>
  <c r="FB28" i="13"/>
  <c r="BH28" i="13" s="1"/>
  <c r="A26" i="43"/>
  <c r="A425" i="72"/>
  <c r="AY510" i="72"/>
  <c r="FB32" i="9"/>
  <c r="BH32" i="9" s="1"/>
  <c r="A30" i="39"/>
  <c r="A249" i="72"/>
  <c r="BA34" i="18"/>
  <c r="BE34" i="18" s="1"/>
  <c r="I29" i="38"/>
  <c r="BN32" i="11"/>
  <c r="BJ31" i="11"/>
  <c r="A32" i="37"/>
  <c r="FB34" i="7"/>
  <c r="BH34" i="7" s="1"/>
  <c r="A161" i="72"/>
  <c r="BA32" i="36"/>
  <c r="BA28" i="40"/>
  <c r="I22" i="45"/>
  <c r="BF289" i="72"/>
  <c r="BC289" i="72"/>
  <c r="BD289" i="72" s="1"/>
  <c r="L423" i="72"/>
  <c r="M423" i="72" s="1"/>
  <c r="AQ333" i="72"/>
  <c r="K19" i="45"/>
  <c r="L19" i="45" s="1"/>
  <c r="E19" i="45" s="1"/>
  <c r="D58" i="45" s="1"/>
  <c r="E58" i="45" s="1"/>
  <c r="BG290" i="72"/>
  <c r="BB290" i="72"/>
  <c r="A27" i="42"/>
  <c r="FB29" i="12"/>
  <c r="BH29" i="12" s="1"/>
  <c r="A381" i="72"/>
  <c r="ER20" i="15"/>
  <c r="K30" i="35"/>
  <c r="L30" i="35" s="1"/>
  <c r="E30" i="35" s="1"/>
  <c r="D69" i="35" s="1"/>
  <c r="K24" i="40"/>
  <c r="L24" i="40" s="1"/>
  <c r="E24" i="40" s="1"/>
  <c r="D63" i="40" s="1"/>
  <c r="E63" i="40" s="1"/>
  <c r="AY158" i="72"/>
  <c r="BA30" i="38"/>
  <c r="L159" i="72"/>
  <c r="M159" i="72" s="1"/>
  <c r="BG202" i="72"/>
  <c r="BB202" i="72"/>
  <c r="BN39" i="5"/>
  <c r="BJ38" i="5"/>
  <c r="L379" i="72"/>
  <c r="M379" i="72" s="1"/>
  <c r="BA29" i="39"/>
  <c r="BN39" i="4"/>
  <c r="BJ38" i="4"/>
  <c r="AY114" i="72"/>
  <c r="L203" i="72"/>
  <c r="M203" i="72" s="1"/>
  <c r="BA31" i="37"/>
  <c r="A33" i="36"/>
  <c r="A117" i="72"/>
  <c r="FB35" i="6"/>
  <c r="BH35" i="6" s="1"/>
  <c r="BN29" i="14"/>
  <c r="BJ28" i="14"/>
  <c r="AY422" i="72"/>
  <c r="BG422" i="72"/>
  <c r="BB422" i="72"/>
  <c r="BF157" i="72"/>
  <c r="BC157" i="72"/>
  <c r="BD157" i="72" s="1"/>
  <c r="BF113" i="72"/>
  <c r="BC113" i="72"/>
  <c r="BD113" i="72" s="1"/>
  <c r="AM113" i="72" s="1"/>
  <c r="AP113" i="72" s="1"/>
  <c r="BJ32" i="10"/>
  <c r="BN33" i="10"/>
  <c r="AY466" i="72"/>
  <c r="I33" i="35"/>
  <c r="K27" i="37"/>
  <c r="L27" i="37" s="1"/>
  <c r="E27" i="37" s="1"/>
  <c r="D66" i="37" s="1"/>
  <c r="I24" i="43"/>
  <c r="BF333" i="72"/>
  <c r="BC333" i="72"/>
  <c r="BD333" i="72" s="1"/>
  <c r="AY334" i="72"/>
  <c r="BG334" i="72"/>
  <c r="BB334" i="72"/>
  <c r="BN35" i="8"/>
  <c r="BJ34" i="8"/>
  <c r="I30" i="37"/>
  <c r="K25" i="39"/>
  <c r="L25" i="39" s="1"/>
  <c r="E25" i="39" s="1"/>
  <c r="D64" i="39" s="1"/>
  <c r="E64" i="39" s="1"/>
  <c r="L291" i="72"/>
  <c r="M291" i="72" s="1"/>
  <c r="BJ29" i="13"/>
  <c r="BN30" i="13"/>
  <c r="BF465" i="72"/>
  <c r="BC465" i="72"/>
  <c r="BD465" i="72" s="1"/>
  <c r="BF70" i="72"/>
  <c r="BC70" i="72"/>
  <c r="BD70" i="72" s="1"/>
  <c r="AM70" i="72" s="1"/>
  <c r="AP70" i="72" s="1"/>
  <c r="BG510" i="72"/>
  <c r="BB510" i="72"/>
  <c r="BJ33" i="9"/>
  <c r="BN34" i="9"/>
  <c r="A28" i="41"/>
  <c r="FB30" i="11"/>
  <c r="BH30" i="11" s="1"/>
  <c r="A337" i="72"/>
  <c r="BN36" i="7"/>
  <c r="BJ35" i="7"/>
  <c r="BA24" i="44"/>
  <c r="BG246" i="72"/>
  <c r="AY246" i="72"/>
  <c r="BB246" i="72"/>
  <c r="L72" i="72"/>
  <c r="M72" i="72" s="1"/>
  <c r="AY290" i="72"/>
  <c r="BJ30" i="12"/>
  <c r="BN31" i="12"/>
  <c r="I28" i="39"/>
  <c r="EU26" i="10"/>
  <c r="BG158" i="72"/>
  <c r="BB158" i="72"/>
  <c r="L335" i="72"/>
  <c r="M335" i="72" s="1"/>
  <c r="L115" i="72"/>
  <c r="M115" i="72" s="1"/>
  <c r="AY202" i="72"/>
  <c r="J24" i="44" l="1"/>
  <c r="J31" i="37"/>
  <c r="G63" i="40"/>
  <c r="F63" i="40"/>
  <c r="G61" i="42"/>
  <c r="F61" i="42"/>
  <c r="G60" i="43"/>
  <c r="F60" i="43"/>
  <c r="G58" i="45"/>
  <c r="F58" i="45"/>
  <c r="G64" i="39"/>
  <c r="F64" i="39"/>
  <c r="E62" i="41"/>
  <c r="F59" i="44"/>
  <c r="G59" i="44"/>
  <c r="J28" i="40"/>
  <c r="ER26" i="4"/>
  <c r="J34" i="18"/>
  <c r="J30" i="38"/>
  <c r="J27" i="41"/>
  <c r="J23" i="45"/>
  <c r="ER24" i="12"/>
  <c r="GC27" i="14"/>
  <c r="FX320" i="34" s="1"/>
  <c r="GC37" i="4"/>
  <c r="FX20" i="34" s="1"/>
  <c r="GC37" i="5"/>
  <c r="FX51" i="34" s="1"/>
  <c r="GC35" i="6"/>
  <c r="FX80" i="34" s="1"/>
  <c r="GC34" i="7"/>
  <c r="FX110" i="34" s="1"/>
  <c r="GC31" i="10"/>
  <c r="FX200" i="34" s="1"/>
  <c r="GC30" i="11"/>
  <c r="FX230" i="34" s="1"/>
  <c r="GC29" i="12"/>
  <c r="FX260" i="34" s="1"/>
  <c r="GC32" i="9"/>
  <c r="FX170" i="34" s="1"/>
  <c r="GC28" i="13"/>
  <c r="FX290" i="34" s="1"/>
  <c r="GC33" i="8"/>
  <c r="FX140" i="34" s="1"/>
  <c r="AI467" i="72"/>
  <c r="AQ467" i="72" s="1"/>
  <c r="AI247" i="72"/>
  <c r="AI27" i="72"/>
  <c r="AI291" i="72"/>
  <c r="AQ291" i="72" s="1"/>
  <c r="AI159" i="72"/>
  <c r="AQ159" i="72" s="1"/>
  <c r="AI511" i="72"/>
  <c r="AI423" i="72"/>
  <c r="AI379" i="72"/>
  <c r="AQ379" i="72" s="1"/>
  <c r="AI203" i="72"/>
  <c r="AQ203" i="72" s="1"/>
  <c r="AI335" i="72"/>
  <c r="AQ335" i="72" s="1"/>
  <c r="AI72" i="72"/>
  <c r="W292" i="72"/>
  <c r="X292" i="72" s="1"/>
  <c r="Z292" i="72"/>
  <c r="W468" i="72"/>
  <c r="X468" i="72" s="1"/>
  <c r="Z468" i="72"/>
  <c r="W73" i="72"/>
  <c r="X73" i="72" s="1"/>
  <c r="AA73" i="72"/>
  <c r="W160" i="72"/>
  <c r="X160" i="72" s="1"/>
  <c r="AA160" i="72"/>
  <c r="W248" i="72"/>
  <c r="X248" i="72" s="1"/>
  <c r="AA248" i="72"/>
  <c r="AA204" i="72"/>
  <c r="W204" i="72"/>
  <c r="X204" i="72" s="1"/>
  <c r="W512" i="72"/>
  <c r="X512" i="72" s="1"/>
  <c r="AA512" i="72"/>
  <c r="AA380" i="72"/>
  <c r="W380" i="72"/>
  <c r="X380" i="72" s="1"/>
  <c r="W424" i="72"/>
  <c r="X424" i="72" s="1"/>
  <c r="AA424" i="72"/>
  <c r="AA116" i="72"/>
  <c r="W116" i="72"/>
  <c r="X116" i="72" s="1"/>
  <c r="W28" i="72"/>
  <c r="X28" i="72" s="1"/>
  <c r="AA28" i="72"/>
  <c r="W336" i="72"/>
  <c r="X336" i="72" s="1"/>
  <c r="AA336" i="72"/>
  <c r="AI115" i="72"/>
  <c r="AQ115" i="72" s="1"/>
  <c r="FS37" i="4"/>
  <c r="BE37" i="4"/>
  <c r="BC37" i="4" s="1"/>
  <c r="ER25" i="11"/>
  <c r="AP332" i="72"/>
  <c r="EU25" i="11" s="1"/>
  <c r="ER29" i="7"/>
  <c r="AP156" i="72"/>
  <c r="EU29" i="7" s="1"/>
  <c r="ER23" i="13"/>
  <c r="AP420" i="72"/>
  <c r="EU23" i="13" s="1"/>
  <c r="ER21" i="15"/>
  <c r="AP508" i="72"/>
  <c r="EU21" i="15" s="1"/>
  <c r="ER27" i="9"/>
  <c r="AP244" i="72"/>
  <c r="EU27" i="9" s="1"/>
  <c r="J32" i="36"/>
  <c r="J25" i="43"/>
  <c r="J34" i="35"/>
  <c r="J26" i="42"/>
  <c r="J29" i="39"/>
  <c r="FS37" i="5"/>
  <c r="BE37" i="5"/>
  <c r="BC37" i="5" s="1"/>
  <c r="FS29" i="12"/>
  <c r="BE29" i="12"/>
  <c r="BC29" i="12" s="1"/>
  <c r="FS34" i="7"/>
  <c r="BE34" i="7"/>
  <c r="BC34" i="7" s="1"/>
  <c r="FS27" i="14"/>
  <c r="BE27" i="14"/>
  <c r="BC27" i="14" s="1"/>
  <c r="FS32" i="9"/>
  <c r="BE32" i="9"/>
  <c r="J30" i="39" s="1"/>
  <c r="FS28" i="13"/>
  <c r="BE28" i="13"/>
  <c r="BC28" i="13" s="1"/>
  <c r="FS33" i="8"/>
  <c r="BE33" i="8"/>
  <c r="J31" i="38" s="1"/>
  <c r="FS31" i="10"/>
  <c r="BE31" i="10"/>
  <c r="BC31" i="10" s="1"/>
  <c r="FS30" i="11"/>
  <c r="BE30" i="11"/>
  <c r="BC30" i="11" s="1"/>
  <c r="FS26" i="15"/>
  <c r="BE26" i="15"/>
  <c r="BC26" i="15" s="1"/>
  <c r="FS35" i="6"/>
  <c r="BE35" i="6"/>
  <c r="BC35" i="6" s="1"/>
  <c r="ED28" i="72"/>
  <c r="EE28" i="72" s="1"/>
  <c r="EN34" i="18" s="1"/>
  <c r="ED116" i="72"/>
  <c r="EE116" i="72" s="1"/>
  <c r="EV29" i="9"/>
  <c r="AA29" i="9" s="1"/>
  <c r="EV27" i="11"/>
  <c r="AA27" i="11" s="1"/>
  <c r="EV24" i="14"/>
  <c r="AA24" i="14" s="1"/>
  <c r="EV31" i="7"/>
  <c r="AA31" i="7" s="1"/>
  <c r="EV23" i="15"/>
  <c r="AA23" i="15" s="1"/>
  <c r="EV25" i="13"/>
  <c r="AA25" i="13" s="1"/>
  <c r="EV30" i="8"/>
  <c r="AA30" i="8" s="1"/>
  <c r="EV28" i="10"/>
  <c r="AA28" i="10" s="1"/>
  <c r="EV32" i="6"/>
  <c r="AA32" i="6" s="1"/>
  <c r="EV26" i="12"/>
  <c r="AA26" i="12" s="1"/>
  <c r="EV34" i="5"/>
  <c r="AA34" i="5" s="1"/>
  <c r="H32" i="37"/>
  <c r="EM32" i="37"/>
  <c r="H28" i="41"/>
  <c r="EM28" i="41"/>
  <c r="H33" i="36"/>
  <c r="EM33" i="36"/>
  <c r="CD203" i="72"/>
  <c r="H27" i="42"/>
  <c r="EM27" i="42"/>
  <c r="EC74" i="72"/>
  <c r="DY74" i="72"/>
  <c r="DU74" i="72"/>
  <c r="EB74" i="72"/>
  <c r="DX74" i="72"/>
  <c r="EH74" i="72"/>
  <c r="EI74" i="72" s="1"/>
  <c r="EA74" i="72"/>
  <c r="DW74" i="72"/>
  <c r="DZ74" i="72"/>
  <c r="DV74" i="72"/>
  <c r="AM19" i="72"/>
  <c r="AP19" i="72" s="1"/>
  <c r="EU27" i="4" s="1"/>
  <c r="ED424" i="72"/>
  <c r="EE424" i="72" s="1"/>
  <c r="ED204" i="72"/>
  <c r="EE204" i="72" s="1"/>
  <c r="ED292" i="72"/>
  <c r="EE292" i="72" s="1"/>
  <c r="ED468" i="72"/>
  <c r="EE468" i="72" s="1"/>
  <c r="CD115" i="72"/>
  <c r="AM465" i="72"/>
  <c r="AM157" i="72"/>
  <c r="AP157" i="72" s="1"/>
  <c r="EU30" i="7" s="1"/>
  <c r="AM289" i="72"/>
  <c r="H24" i="45"/>
  <c r="EM24" i="45"/>
  <c r="CD335" i="72"/>
  <c r="CD72" i="72"/>
  <c r="EB249" i="72"/>
  <c r="DX249" i="72"/>
  <c r="EH249" i="72"/>
  <c r="EI249" i="72" s="1"/>
  <c r="EA249" i="72"/>
  <c r="DW249" i="72"/>
  <c r="DZ249" i="72"/>
  <c r="DV249" i="72"/>
  <c r="EC249" i="72"/>
  <c r="DY249" i="72"/>
  <c r="DU249" i="72"/>
  <c r="DZ425" i="72"/>
  <c r="DV425" i="72"/>
  <c r="EC425" i="72"/>
  <c r="DY425" i="72"/>
  <c r="DU425" i="72"/>
  <c r="EB425" i="72"/>
  <c r="DX425" i="72"/>
  <c r="EH425" i="72"/>
  <c r="EI425" i="72" s="1"/>
  <c r="EA425" i="72"/>
  <c r="DW425" i="72"/>
  <c r="AM333" i="72"/>
  <c r="AP333" i="72" s="1"/>
  <c r="EU26" i="11" s="1"/>
  <c r="EB161" i="72"/>
  <c r="DX161" i="72"/>
  <c r="EH161" i="72"/>
  <c r="EI161" i="72" s="1"/>
  <c r="EA161" i="72"/>
  <c r="DW161" i="72"/>
  <c r="DZ161" i="72"/>
  <c r="DV161" i="72"/>
  <c r="EC161" i="72"/>
  <c r="DY161" i="72"/>
  <c r="DU161" i="72"/>
  <c r="H30" i="39"/>
  <c r="EM30" i="39"/>
  <c r="H26" i="43"/>
  <c r="EM26" i="43"/>
  <c r="H31" i="38"/>
  <c r="EM31" i="38"/>
  <c r="CD247" i="72"/>
  <c r="DZ293" i="72"/>
  <c r="DV293" i="72"/>
  <c r="EC293" i="72"/>
  <c r="DY293" i="72"/>
  <c r="DU293" i="72"/>
  <c r="EB293" i="72"/>
  <c r="DX293" i="72"/>
  <c r="EH293" i="72"/>
  <c r="EI293" i="72" s="1"/>
  <c r="EA293" i="72"/>
  <c r="DW293" i="72"/>
  <c r="EH469" i="72"/>
  <c r="EI469" i="72" s="1"/>
  <c r="EA469" i="72"/>
  <c r="DW469" i="72"/>
  <c r="DZ469" i="72"/>
  <c r="DV469" i="72"/>
  <c r="EC469" i="72"/>
  <c r="DY469" i="72"/>
  <c r="DU469" i="72"/>
  <c r="EB469" i="72"/>
  <c r="DX469" i="72"/>
  <c r="EB29" i="72"/>
  <c r="DX29" i="72"/>
  <c r="EH29" i="72"/>
  <c r="EI29" i="72" s="1"/>
  <c r="EA29" i="72"/>
  <c r="DW29" i="72"/>
  <c r="DZ29" i="72"/>
  <c r="DV29" i="72"/>
  <c r="EC29" i="72"/>
  <c r="DY29" i="72"/>
  <c r="DU29" i="72"/>
  <c r="H35" i="35"/>
  <c r="EM35" i="35"/>
  <c r="AM201" i="72"/>
  <c r="AP201" i="72" s="1"/>
  <c r="EU29" i="8" s="1"/>
  <c r="ED336" i="72"/>
  <c r="EE336" i="72" s="1"/>
  <c r="ED160" i="72"/>
  <c r="EE160" i="72" s="1"/>
  <c r="ED248" i="72"/>
  <c r="EE248" i="72" s="1"/>
  <c r="EB337" i="72"/>
  <c r="DX337" i="72"/>
  <c r="EH337" i="72"/>
  <c r="EI337" i="72" s="1"/>
  <c r="EA337" i="72"/>
  <c r="DW337" i="72"/>
  <c r="DZ337" i="72"/>
  <c r="DV337" i="72"/>
  <c r="EC337" i="72"/>
  <c r="DY337" i="72"/>
  <c r="DU337" i="72"/>
  <c r="CD291" i="72"/>
  <c r="CD379" i="72"/>
  <c r="EC381" i="72"/>
  <c r="DY381" i="72"/>
  <c r="DU381" i="72"/>
  <c r="EB381" i="72"/>
  <c r="DX381" i="72"/>
  <c r="EH381" i="72"/>
  <c r="EI381" i="72" s="1"/>
  <c r="EA381" i="72"/>
  <c r="DW381" i="72"/>
  <c r="DZ381" i="72"/>
  <c r="DV381" i="72"/>
  <c r="CD423" i="72"/>
  <c r="AM421" i="72"/>
  <c r="AP421" i="72" s="1"/>
  <c r="EU24" i="13" s="1"/>
  <c r="CD467" i="72"/>
  <c r="CD511" i="72"/>
  <c r="H29" i="40"/>
  <c r="EM29" i="40"/>
  <c r="H25" i="44"/>
  <c r="EM25" i="44"/>
  <c r="H35" i="18"/>
  <c r="EM35" i="18"/>
  <c r="EA513" i="72"/>
  <c r="DW513" i="72"/>
  <c r="DZ513" i="72"/>
  <c r="DV513" i="72"/>
  <c r="EC513" i="72"/>
  <c r="DY513" i="72"/>
  <c r="DU513" i="72"/>
  <c r="EH513" i="72"/>
  <c r="EI513" i="72" s="1"/>
  <c r="EB513" i="72"/>
  <c r="DX513" i="72"/>
  <c r="ED380" i="72"/>
  <c r="EE380" i="72" s="1"/>
  <c r="ED73" i="72"/>
  <c r="EE73" i="72" s="1"/>
  <c r="DZ117" i="72"/>
  <c r="DV117" i="72"/>
  <c r="EH117" i="72"/>
  <c r="EI117" i="72" s="1"/>
  <c r="EA117" i="72"/>
  <c r="DW117" i="72"/>
  <c r="DY117" i="72"/>
  <c r="DX117" i="72"/>
  <c r="EC117" i="72"/>
  <c r="DU117" i="72"/>
  <c r="EB117" i="72"/>
  <c r="CD159" i="72"/>
  <c r="DZ205" i="72"/>
  <c r="DV205" i="72"/>
  <c r="EC205" i="72"/>
  <c r="DY205" i="72"/>
  <c r="DU205" i="72"/>
  <c r="EB205" i="72"/>
  <c r="DX205" i="72"/>
  <c r="EH205" i="72"/>
  <c r="EI205" i="72" s="1"/>
  <c r="EA205" i="72"/>
  <c r="DW205" i="72"/>
  <c r="AM377" i="72"/>
  <c r="AP377" i="72" s="1"/>
  <c r="EU25" i="12" s="1"/>
  <c r="ED512" i="72"/>
  <c r="EE512" i="72" s="1"/>
  <c r="K117" i="72"/>
  <c r="V117" i="72" s="1"/>
  <c r="AG117" i="72" s="1"/>
  <c r="G117" i="72"/>
  <c r="R117" i="72" s="1"/>
  <c r="AC117" i="72" s="1"/>
  <c r="J117" i="72"/>
  <c r="U117" i="72" s="1"/>
  <c r="AF117" i="72" s="1"/>
  <c r="F117" i="72"/>
  <c r="Q117" i="72" s="1"/>
  <c r="AB117" i="72" s="1"/>
  <c r="I117" i="72"/>
  <c r="T117" i="72" s="1"/>
  <c r="AE117" i="72" s="1"/>
  <c r="E117" i="72"/>
  <c r="P117" i="72" s="1"/>
  <c r="H117" i="72"/>
  <c r="S117" i="72" s="1"/>
  <c r="AD117" i="72" s="1"/>
  <c r="D117" i="72"/>
  <c r="O117" i="72" s="1"/>
  <c r="Z117" i="72" s="1"/>
  <c r="K205" i="72"/>
  <c r="V205" i="72" s="1"/>
  <c r="AG205" i="72" s="1"/>
  <c r="G205" i="72"/>
  <c r="R205" i="72" s="1"/>
  <c r="AC205" i="72" s="1"/>
  <c r="J205" i="72"/>
  <c r="U205" i="72" s="1"/>
  <c r="AF205" i="72" s="1"/>
  <c r="F205" i="72"/>
  <c r="Q205" i="72" s="1"/>
  <c r="AB205" i="72" s="1"/>
  <c r="I205" i="72"/>
  <c r="T205" i="72" s="1"/>
  <c r="AE205" i="72" s="1"/>
  <c r="E205" i="72"/>
  <c r="P205" i="72" s="1"/>
  <c r="H205" i="72"/>
  <c r="S205" i="72" s="1"/>
  <c r="AD205" i="72" s="1"/>
  <c r="D205" i="72"/>
  <c r="O205" i="72" s="1"/>
  <c r="Z205" i="72" s="1"/>
  <c r="K29" i="72"/>
  <c r="V29" i="72" s="1"/>
  <c r="AG29" i="72" s="1"/>
  <c r="G29" i="72"/>
  <c r="R29" i="72" s="1"/>
  <c r="AC29" i="72" s="1"/>
  <c r="J29" i="72"/>
  <c r="U29" i="72" s="1"/>
  <c r="AF29" i="72" s="1"/>
  <c r="F29" i="72"/>
  <c r="Q29" i="72" s="1"/>
  <c r="AB29" i="72" s="1"/>
  <c r="I29" i="72"/>
  <c r="T29" i="72" s="1"/>
  <c r="AE29" i="72" s="1"/>
  <c r="E29" i="72"/>
  <c r="P29" i="72" s="1"/>
  <c r="AA29" i="72" s="1"/>
  <c r="H29" i="72"/>
  <c r="S29" i="72" s="1"/>
  <c r="AD29" i="72" s="1"/>
  <c r="D29" i="72"/>
  <c r="O29" i="72" s="1"/>
  <c r="K74" i="72"/>
  <c r="V74" i="72" s="1"/>
  <c r="AG74" i="72" s="1"/>
  <c r="G74" i="72"/>
  <c r="R74" i="72" s="1"/>
  <c r="AC74" i="72" s="1"/>
  <c r="J74" i="72"/>
  <c r="U74" i="72" s="1"/>
  <c r="AF74" i="72" s="1"/>
  <c r="F74" i="72"/>
  <c r="Q74" i="72" s="1"/>
  <c r="AB74" i="72" s="1"/>
  <c r="I74" i="72"/>
  <c r="T74" i="72" s="1"/>
  <c r="AE74" i="72" s="1"/>
  <c r="E74" i="72"/>
  <c r="P74" i="72" s="1"/>
  <c r="AA74" i="72" s="1"/>
  <c r="H74" i="72"/>
  <c r="S74" i="72" s="1"/>
  <c r="AD74" i="72" s="1"/>
  <c r="D74" i="72"/>
  <c r="O74" i="72" s="1"/>
  <c r="K381" i="72"/>
  <c r="V381" i="72" s="1"/>
  <c r="AG381" i="72" s="1"/>
  <c r="G381" i="72"/>
  <c r="R381" i="72" s="1"/>
  <c r="AC381" i="72" s="1"/>
  <c r="J381" i="72"/>
  <c r="U381" i="72" s="1"/>
  <c r="AF381" i="72" s="1"/>
  <c r="F381" i="72"/>
  <c r="Q381" i="72" s="1"/>
  <c r="AB381" i="72" s="1"/>
  <c r="I381" i="72"/>
  <c r="T381" i="72" s="1"/>
  <c r="AE381" i="72" s="1"/>
  <c r="E381" i="72"/>
  <c r="P381" i="72" s="1"/>
  <c r="H381" i="72"/>
  <c r="S381" i="72" s="1"/>
  <c r="AD381" i="72" s="1"/>
  <c r="D381" i="72"/>
  <c r="O381" i="72" s="1"/>
  <c r="Z381" i="72" s="1"/>
  <c r="K513" i="72"/>
  <c r="V513" i="72" s="1"/>
  <c r="AG513" i="72" s="1"/>
  <c r="G513" i="72"/>
  <c r="R513" i="72" s="1"/>
  <c r="AC513" i="72" s="1"/>
  <c r="J513" i="72"/>
  <c r="U513" i="72" s="1"/>
  <c r="AF513" i="72" s="1"/>
  <c r="F513" i="72"/>
  <c r="Q513" i="72" s="1"/>
  <c r="AB513" i="72" s="1"/>
  <c r="I513" i="72"/>
  <c r="T513" i="72" s="1"/>
  <c r="AE513" i="72" s="1"/>
  <c r="E513" i="72"/>
  <c r="P513" i="72" s="1"/>
  <c r="AA513" i="72" s="1"/>
  <c r="H513" i="72"/>
  <c r="S513" i="72" s="1"/>
  <c r="AD513" i="72" s="1"/>
  <c r="D513" i="72"/>
  <c r="O513" i="72" s="1"/>
  <c r="K337" i="72"/>
  <c r="V337" i="72" s="1"/>
  <c r="AG337" i="72" s="1"/>
  <c r="G337" i="72"/>
  <c r="R337" i="72" s="1"/>
  <c r="AC337" i="72" s="1"/>
  <c r="J337" i="72"/>
  <c r="U337" i="72" s="1"/>
  <c r="AF337" i="72" s="1"/>
  <c r="F337" i="72"/>
  <c r="Q337" i="72" s="1"/>
  <c r="AB337" i="72" s="1"/>
  <c r="I337" i="72"/>
  <c r="T337" i="72" s="1"/>
  <c r="AE337" i="72" s="1"/>
  <c r="E337" i="72"/>
  <c r="P337" i="72" s="1"/>
  <c r="AA337" i="72" s="1"/>
  <c r="H337" i="72"/>
  <c r="S337" i="72" s="1"/>
  <c r="AD337" i="72" s="1"/>
  <c r="D337" i="72"/>
  <c r="O337" i="72" s="1"/>
  <c r="K161" i="72"/>
  <c r="V161" i="72" s="1"/>
  <c r="AG161" i="72" s="1"/>
  <c r="G161" i="72"/>
  <c r="R161" i="72" s="1"/>
  <c r="AC161" i="72" s="1"/>
  <c r="J161" i="72"/>
  <c r="U161" i="72" s="1"/>
  <c r="AF161" i="72" s="1"/>
  <c r="F161" i="72"/>
  <c r="Q161" i="72" s="1"/>
  <c r="AB161" i="72" s="1"/>
  <c r="I161" i="72"/>
  <c r="T161" i="72" s="1"/>
  <c r="AE161" i="72" s="1"/>
  <c r="E161" i="72"/>
  <c r="P161" i="72" s="1"/>
  <c r="H161" i="72"/>
  <c r="S161" i="72" s="1"/>
  <c r="AD161" i="72" s="1"/>
  <c r="D161" i="72"/>
  <c r="O161" i="72" s="1"/>
  <c r="Z161" i="72" s="1"/>
  <c r="K249" i="72"/>
  <c r="V249" i="72" s="1"/>
  <c r="AG249" i="72" s="1"/>
  <c r="G249" i="72"/>
  <c r="R249" i="72" s="1"/>
  <c r="AC249" i="72" s="1"/>
  <c r="J249" i="72"/>
  <c r="U249" i="72" s="1"/>
  <c r="AF249" i="72" s="1"/>
  <c r="F249" i="72"/>
  <c r="Q249" i="72" s="1"/>
  <c r="AB249" i="72" s="1"/>
  <c r="I249" i="72"/>
  <c r="T249" i="72" s="1"/>
  <c r="AE249" i="72" s="1"/>
  <c r="E249" i="72"/>
  <c r="P249" i="72" s="1"/>
  <c r="H249" i="72"/>
  <c r="S249" i="72" s="1"/>
  <c r="AD249" i="72" s="1"/>
  <c r="D249" i="72"/>
  <c r="O249" i="72" s="1"/>
  <c r="Z249" i="72" s="1"/>
  <c r="K425" i="72"/>
  <c r="V425" i="72" s="1"/>
  <c r="AG425" i="72" s="1"/>
  <c r="G425" i="72"/>
  <c r="R425" i="72" s="1"/>
  <c r="AC425" i="72" s="1"/>
  <c r="J425" i="72"/>
  <c r="U425" i="72" s="1"/>
  <c r="AF425" i="72" s="1"/>
  <c r="F425" i="72"/>
  <c r="Q425" i="72" s="1"/>
  <c r="AB425" i="72" s="1"/>
  <c r="I425" i="72"/>
  <c r="T425" i="72" s="1"/>
  <c r="AE425" i="72" s="1"/>
  <c r="E425" i="72"/>
  <c r="P425" i="72" s="1"/>
  <c r="H425" i="72"/>
  <c r="S425" i="72" s="1"/>
  <c r="AD425" i="72" s="1"/>
  <c r="D425" i="72"/>
  <c r="O425" i="72" s="1"/>
  <c r="Z425" i="72" s="1"/>
  <c r="K293" i="72"/>
  <c r="V293" i="72" s="1"/>
  <c r="AG293" i="72" s="1"/>
  <c r="G293" i="72"/>
  <c r="R293" i="72" s="1"/>
  <c r="AC293" i="72" s="1"/>
  <c r="J293" i="72"/>
  <c r="U293" i="72" s="1"/>
  <c r="AF293" i="72" s="1"/>
  <c r="F293" i="72"/>
  <c r="Q293" i="72" s="1"/>
  <c r="AB293" i="72" s="1"/>
  <c r="I293" i="72"/>
  <c r="T293" i="72" s="1"/>
  <c r="AE293" i="72" s="1"/>
  <c r="E293" i="72"/>
  <c r="P293" i="72" s="1"/>
  <c r="H293" i="72"/>
  <c r="S293" i="72" s="1"/>
  <c r="AD293" i="72" s="1"/>
  <c r="D293" i="72"/>
  <c r="O293" i="72" s="1"/>
  <c r="Z293" i="72" s="1"/>
  <c r="K469" i="72"/>
  <c r="V469" i="72" s="1"/>
  <c r="AG469" i="72" s="1"/>
  <c r="G469" i="72"/>
  <c r="R469" i="72" s="1"/>
  <c r="AC469" i="72" s="1"/>
  <c r="J469" i="72"/>
  <c r="U469" i="72" s="1"/>
  <c r="AF469" i="72" s="1"/>
  <c r="F469" i="72"/>
  <c r="Q469" i="72" s="1"/>
  <c r="AB469" i="72" s="1"/>
  <c r="I469" i="72"/>
  <c r="T469" i="72" s="1"/>
  <c r="AE469" i="72" s="1"/>
  <c r="E469" i="72"/>
  <c r="P469" i="72" s="1"/>
  <c r="H469" i="72"/>
  <c r="S469" i="72" s="1"/>
  <c r="AD469" i="72" s="1"/>
  <c r="D469" i="72"/>
  <c r="O469" i="72" s="1"/>
  <c r="Z469" i="72" s="1"/>
  <c r="AQ247" i="72"/>
  <c r="K25" i="18"/>
  <c r="L25" i="18" s="1"/>
  <c r="E25" i="18" s="1"/>
  <c r="D64" i="18" s="1"/>
  <c r="ER32" i="5"/>
  <c r="EU32" i="5"/>
  <c r="ER30" i="6"/>
  <c r="EU30" i="6"/>
  <c r="L204" i="72"/>
  <c r="M204" i="72" s="1"/>
  <c r="L116" i="72"/>
  <c r="M116" i="72" s="1"/>
  <c r="BN37" i="7"/>
  <c r="BJ36" i="7"/>
  <c r="BA28" i="41"/>
  <c r="BE28" i="41" s="1"/>
  <c r="FB33" i="9"/>
  <c r="BH33" i="9" s="1"/>
  <c r="A31" i="39"/>
  <c r="A250" i="72"/>
  <c r="BF510" i="72"/>
  <c r="BC510" i="72"/>
  <c r="BD510" i="72" s="1"/>
  <c r="K21" i="44"/>
  <c r="L21" i="44" s="1"/>
  <c r="E21" i="44" s="1"/>
  <c r="D60" i="44" s="1"/>
  <c r="E60" i="44" s="1"/>
  <c r="BN31" i="13"/>
  <c r="BJ30" i="13"/>
  <c r="BB291" i="72"/>
  <c r="BG291" i="72"/>
  <c r="BN36" i="8"/>
  <c r="BJ35" i="8"/>
  <c r="BN34" i="10"/>
  <c r="BJ33" i="10"/>
  <c r="FB28" i="14"/>
  <c r="BH28" i="14" s="1"/>
  <c r="A26" i="44"/>
  <c r="A470" i="72"/>
  <c r="BA33" i="36"/>
  <c r="I31" i="37"/>
  <c r="A36" i="18"/>
  <c r="FB38" i="4"/>
  <c r="BH38" i="4" s="1"/>
  <c r="A30" i="72"/>
  <c r="BG379" i="72"/>
  <c r="BB379" i="72"/>
  <c r="L424" i="72"/>
  <c r="M424" i="72" s="1"/>
  <c r="BN40" i="5"/>
  <c r="BJ39" i="5"/>
  <c r="BF202" i="72"/>
  <c r="BC202" i="72"/>
  <c r="BD202" i="72" s="1"/>
  <c r="BB159" i="72"/>
  <c r="BG159" i="72"/>
  <c r="ER26" i="10"/>
  <c r="BF290" i="72"/>
  <c r="BC290" i="72"/>
  <c r="BD290" i="72" s="1"/>
  <c r="L292" i="72"/>
  <c r="M292" i="72" s="1"/>
  <c r="I24" i="44"/>
  <c r="L468" i="72"/>
  <c r="M468" i="72" s="1"/>
  <c r="I32" i="36"/>
  <c r="BA32" i="37"/>
  <c r="BN33" i="11"/>
  <c r="BJ32" i="11"/>
  <c r="I34" i="18"/>
  <c r="BA30" i="39"/>
  <c r="K20" i="45"/>
  <c r="L20" i="45" s="1"/>
  <c r="E20" i="45" s="1"/>
  <c r="D59" i="45" s="1"/>
  <c r="E59" i="45" s="1"/>
  <c r="ER22" i="15"/>
  <c r="AY247" i="72"/>
  <c r="I26" i="42"/>
  <c r="EU28" i="9"/>
  <c r="BA25" i="44"/>
  <c r="FB36" i="6"/>
  <c r="BH36" i="6" s="1"/>
  <c r="A34" i="36"/>
  <c r="A118" i="72"/>
  <c r="L160" i="72"/>
  <c r="M160" i="72" s="1"/>
  <c r="BA35" i="18"/>
  <c r="BE35" i="18" s="1"/>
  <c r="I29" i="39"/>
  <c r="I25" i="43"/>
  <c r="BA35" i="35"/>
  <c r="A25" i="45"/>
  <c r="FB27" i="15"/>
  <c r="BH27" i="15" s="1"/>
  <c r="GC27" i="15" s="1"/>
  <c r="FX351" i="34" s="1"/>
  <c r="A514" i="72"/>
  <c r="BF378" i="72"/>
  <c r="BC378" i="72"/>
  <c r="BD378" i="72" s="1"/>
  <c r="AM378" i="72" s="1"/>
  <c r="AP378" i="72" s="1"/>
  <c r="AY115" i="72"/>
  <c r="BG335" i="72"/>
  <c r="BB335" i="72"/>
  <c r="BN32" i="12"/>
  <c r="BJ31" i="12"/>
  <c r="BG72" i="72"/>
  <c r="BB72" i="72"/>
  <c r="I28" i="40"/>
  <c r="BG115" i="72"/>
  <c r="BB115" i="72"/>
  <c r="AY335" i="72"/>
  <c r="I30" i="38"/>
  <c r="BF158" i="72"/>
  <c r="BC158" i="72"/>
  <c r="BD158" i="72" s="1"/>
  <c r="A28" i="42"/>
  <c r="FB30" i="12"/>
  <c r="BH30" i="12" s="1"/>
  <c r="A382" i="72"/>
  <c r="AY72" i="72"/>
  <c r="AQ72" i="72"/>
  <c r="BF246" i="72"/>
  <c r="BC246" i="72"/>
  <c r="BD246" i="72" s="1"/>
  <c r="A33" i="37"/>
  <c r="A162" i="72"/>
  <c r="FB35" i="7"/>
  <c r="BH35" i="7" s="1"/>
  <c r="BN35" i="9"/>
  <c r="BJ34" i="9"/>
  <c r="K31" i="35"/>
  <c r="L31" i="35" s="1"/>
  <c r="E31" i="35" s="1"/>
  <c r="D70" i="35" s="1"/>
  <c r="A426" i="72"/>
  <c r="A27" i="43"/>
  <c r="FB29" i="13"/>
  <c r="BH29" i="13" s="1"/>
  <c r="I34" i="35"/>
  <c r="I23" i="45"/>
  <c r="AY291" i="72"/>
  <c r="A32" i="38"/>
  <c r="A206" i="72"/>
  <c r="FB34" i="8"/>
  <c r="BH34" i="8" s="1"/>
  <c r="BF334" i="72"/>
  <c r="BC334" i="72"/>
  <c r="BD334" i="72" s="1"/>
  <c r="L380" i="72"/>
  <c r="M380" i="72" s="1"/>
  <c r="K24" i="41"/>
  <c r="L24" i="41" s="1"/>
  <c r="E24" i="41" s="1"/>
  <c r="D63" i="41" s="1"/>
  <c r="E63" i="41" s="1"/>
  <c r="FB32" i="10"/>
  <c r="BH32" i="10" s="1"/>
  <c r="A30" i="40"/>
  <c r="A294" i="72"/>
  <c r="K29" i="36"/>
  <c r="L29" i="36" s="1"/>
  <c r="E29" i="36" s="1"/>
  <c r="D68" i="36" s="1"/>
  <c r="K28" i="37"/>
  <c r="L28" i="37" s="1"/>
  <c r="E28" i="37" s="1"/>
  <c r="D67" i="37" s="1"/>
  <c r="BF422" i="72"/>
  <c r="BC422" i="72"/>
  <c r="BD422" i="72" s="1"/>
  <c r="AM422" i="72" s="1"/>
  <c r="AP422" i="72" s="1"/>
  <c r="BN30" i="14"/>
  <c r="BJ29" i="14"/>
  <c r="I27" i="41"/>
  <c r="L336" i="72"/>
  <c r="M336" i="72" s="1"/>
  <c r="AY203" i="72"/>
  <c r="BG203" i="72"/>
  <c r="BB203" i="72"/>
  <c r="BN40" i="4"/>
  <c r="BJ39" i="4"/>
  <c r="L248" i="72"/>
  <c r="M248" i="72" s="1"/>
  <c r="AY379" i="72"/>
  <c r="FB38" i="5"/>
  <c r="BH38" i="5" s="1"/>
  <c r="A36" i="35"/>
  <c r="A75" i="72"/>
  <c r="AY159" i="72"/>
  <c r="BA27" i="42"/>
  <c r="AY423" i="72"/>
  <c r="BG423" i="72"/>
  <c r="BB423" i="72"/>
  <c r="K25" i="40"/>
  <c r="L25" i="40" s="1"/>
  <c r="E25" i="40" s="1"/>
  <c r="D64" i="40" s="1"/>
  <c r="E64" i="40" s="1"/>
  <c r="A29" i="41"/>
  <c r="FB31" i="11"/>
  <c r="BH31" i="11" s="1"/>
  <c r="A338" i="72"/>
  <c r="BA26" i="43"/>
  <c r="EU22" i="15"/>
  <c r="L73" i="72"/>
  <c r="M73" i="72" s="1"/>
  <c r="K22" i="43"/>
  <c r="L22" i="43" s="1"/>
  <c r="E22" i="43" s="1"/>
  <c r="D61" i="43" s="1"/>
  <c r="L512" i="72"/>
  <c r="M512" i="72" s="1"/>
  <c r="BG467" i="72"/>
  <c r="AY467" i="72"/>
  <c r="BB467" i="72"/>
  <c r="BA31" i="38"/>
  <c r="BB247" i="72"/>
  <c r="BG247" i="72"/>
  <c r="K26" i="39"/>
  <c r="L26" i="39" s="1"/>
  <c r="E26" i="39" s="1"/>
  <c r="D65" i="39" s="1"/>
  <c r="E65" i="39" s="1"/>
  <c r="ER28" i="9"/>
  <c r="BF466" i="72"/>
  <c r="BC466" i="72"/>
  <c r="BD466" i="72" s="1"/>
  <c r="BG511" i="72"/>
  <c r="AY511" i="72"/>
  <c r="BB511" i="72"/>
  <c r="BA29" i="40"/>
  <c r="K23" i="42"/>
  <c r="L23" i="42" s="1"/>
  <c r="E23" i="42" s="1"/>
  <c r="D62" i="42" s="1"/>
  <c r="E62" i="42" s="1"/>
  <c r="BN38" i="6"/>
  <c r="BJ37" i="6"/>
  <c r="BF114" i="72"/>
  <c r="BC114" i="72"/>
  <c r="BD114" i="72" s="1"/>
  <c r="AM114" i="72" s="1"/>
  <c r="AP114" i="72" s="1"/>
  <c r="BN29" i="15"/>
  <c r="BJ28" i="15"/>
  <c r="AQ378" i="72"/>
  <c r="K27" i="38"/>
  <c r="L27" i="38" s="1"/>
  <c r="E27" i="38" s="1"/>
  <c r="D66" i="38" s="1"/>
  <c r="ER22" i="14"/>
  <c r="BA24" i="45"/>
  <c r="BF71" i="72"/>
  <c r="BC71" i="72"/>
  <c r="BD71" i="72" s="1"/>
  <c r="AM71" i="72" s="1"/>
  <c r="AP71" i="72" s="1"/>
  <c r="J33" i="36" l="1"/>
  <c r="ER29" i="8"/>
  <c r="J32" i="37"/>
  <c r="ER30" i="7"/>
  <c r="J35" i="35"/>
  <c r="J28" i="41"/>
  <c r="ER26" i="11"/>
  <c r="J29" i="40"/>
  <c r="BC33" i="8"/>
  <c r="BC32" i="9"/>
  <c r="I30" i="39" s="1"/>
  <c r="G63" i="41"/>
  <c r="F63" i="41"/>
  <c r="E61" i="43"/>
  <c r="F59" i="45"/>
  <c r="G59" i="45"/>
  <c r="G62" i="41"/>
  <c r="F62" i="41"/>
  <c r="G62" i="42"/>
  <c r="F62" i="42"/>
  <c r="G64" i="40"/>
  <c r="F64" i="40"/>
  <c r="G65" i="39"/>
  <c r="F65" i="39"/>
  <c r="G60" i="44"/>
  <c r="F60" i="44"/>
  <c r="J35" i="18"/>
  <c r="ER27" i="4"/>
  <c r="J24" i="45"/>
  <c r="J25" i="44"/>
  <c r="J26" i="43"/>
  <c r="J27" i="42"/>
  <c r="GC34" i="8"/>
  <c r="FX141" i="34" s="1"/>
  <c r="GC36" i="6"/>
  <c r="FX81" i="34" s="1"/>
  <c r="GC35" i="7"/>
  <c r="FX111" i="34" s="1"/>
  <c r="GC31" i="11"/>
  <c r="FX231" i="34" s="1"/>
  <c r="GC38" i="5"/>
  <c r="FX52" i="34" s="1"/>
  <c r="GC32" i="10"/>
  <c r="FX201" i="34" s="1"/>
  <c r="GC28" i="14"/>
  <c r="FX321" i="34" s="1"/>
  <c r="GC29" i="13"/>
  <c r="FX291" i="34" s="1"/>
  <c r="GC38" i="4"/>
  <c r="FX21" i="34" s="1"/>
  <c r="GC33" i="9"/>
  <c r="FX171" i="34" s="1"/>
  <c r="GC30" i="12"/>
  <c r="FX261" i="34" s="1"/>
  <c r="AI160" i="72"/>
  <c r="AQ160" i="72" s="1"/>
  <c r="AI512" i="72"/>
  <c r="AQ512" i="72" s="1"/>
  <c r="AI73" i="72"/>
  <c r="AQ73" i="72" s="1"/>
  <c r="AI292" i="72"/>
  <c r="AQ292" i="72" s="1"/>
  <c r="AI468" i="72"/>
  <c r="W469" i="72"/>
  <c r="X469" i="72" s="1"/>
  <c r="AA469" i="72"/>
  <c r="W293" i="72"/>
  <c r="X293" i="72" s="1"/>
  <c r="AA293" i="72"/>
  <c r="AA425" i="72"/>
  <c r="W425" i="72"/>
  <c r="X425" i="72" s="1"/>
  <c r="AA249" i="72"/>
  <c r="W249" i="72"/>
  <c r="X249" i="72" s="1"/>
  <c r="AA161" i="72"/>
  <c r="W161" i="72"/>
  <c r="X161" i="72" s="1"/>
  <c r="W381" i="72"/>
  <c r="X381" i="72" s="1"/>
  <c r="AA381" i="72"/>
  <c r="W205" i="72"/>
  <c r="X205" i="72" s="1"/>
  <c r="AA205" i="72"/>
  <c r="W117" i="72"/>
  <c r="X117" i="72" s="1"/>
  <c r="AA117" i="72"/>
  <c r="AI336" i="72"/>
  <c r="AQ336" i="72" s="1"/>
  <c r="AI116" i="72"/>
  <c r="AQ116" i="72" s="1"/>
  <c r="AI380" i="72"/>
  <c r="AQ380" i="72" s="1"/>
  <c r="AI204" i="72"/>
  <c r="AQ204" i="72" s="1"/>
  <c r="W337" i="72"/>
  <c r="X337" i="72" s="1"/>
  <c r="Z337" i="72"/>
  <c r="W513" i="72"/>
  <c r="X513" i="72" s="1"/>
  <c r="Z513" i="72"/>
  <c r="W74" i="72"/>
  <c r="X74" i="72" s="1"/>
  <c r="Z74" i="72"/>
  <c r="W29" i="72"/>
  <c r="X29" i="72" s="1"/>
  <c r="Z29" i="72"/>
  <c r="AI28" i="72"/>
  <c r="AI424" i="72"/>
  <c r="AQ424" i="72" s="1"/>
  <c r="AI248" i="72"/>
  <c r="AQ248" i="72" s="1"/>
  <c r="FS38" i="4"/>
  <c r="BE38" i="4"/>
  <c r="BC38" i="4" s="1"/>
  <c r="ER27" i="10"/>
  <c r="AP289" i="72"/>
  <c r="EU27" i="10" s="1"/>
  <c r="ER23" i="14"/>
  <c r="AP465" i="72"/>
  <c r="EU23" i="14" s="1"/>
  <c r="FS38" i="5"/>
  <c r="BE38" i="5"/>
  <c r="BC38" i="5" s="1"/>
  <c r="FS34" i="8"/>
  <c r="BE34" i="8"/>
  <c r="BC34" i="8" s="1"/>
  <c r="FS36" i="6"/>
  <c r="BE36" i="6"/>
  <c r="BC36" i="6" s="1"/>
  <c r="FS31" i="11"/>
  <c r="BE31" i="11"/>
  <c r="BC31" i="11" s="1"/>
  <c r="FS35" i="7"/>
  <c r="BE35" i="7"/>
  <c r="BC35" i="7" s="1"/>
  <c r="FS30" i="12"/>
  <c r="BE30" i="12"/>
  <c r="BC30" i="12" s="1"/>
  <c r="FS33" i="9"/>
  <c r="BE33" i="9"/>
  <c r="J31" i="39" s="1"/>
  <c r="FS32" i="10"/>
  <c r="BE32" i="10"/>
  <c r="BC32" i="10" s="1"/>
  <c r="FS27" i="15"/>
  <c r="BE27" i="15"/>
  <c r="BC27" i="15" s="1"/>
  <c r="FS28" i="14"/>
  <c r="BE28" i="14"/>
  <c r="BC28" i="14" s="1"/>
  <c r="FS29" i="13"/>
  <c r="BE29" i="13"/>
  <c r="BC29" i="13" s="1"/>
  <c r="ED425" i="72"/>
  <c r="EE425" i="72" s="1"/>
  <c r="EV33" i="6"/>
  <c r="AA33" i="6" s="1"/>
  <c r="EV35" i="5"/>
  <c r="AA35" i="5" s="1"/>
  <c r="EV28" i="11"/>
  <c r="AA28" i="11" s="1"/>
  <c r="ED74" i="72"/>
  <c r="EE74" i="72" s="1"/>
  <c r="EV26" i="13"/>
  <c r="AA26" i="13" s="1"/>
  <c r="EV31" i="8"/>
  <c r="AA31" i="8" s="1"/>
  <c r="EV24" i="15"/>
  <c r="AA24" i="15" s="1"/>
  <c r="EV30" i="9"/>
  <c r="AA30" i="9" s="1"/>
  <c r="EV25" i="14"/>
  <c r="AA25" i="14" s="1"/>
  <c r="EV32" i="7"/>
  <c r="AA32" i="7" s="1"/>
  <c r="EV27" i="12"/>
  <c r="AA27" i="12" s="1"/>
  <c r="EV29" i="10"/>
  <c r="AA29" i="10" s="1"/>
  <c r="ED205" i="72"/>
  <c r="EE205" i="72" s="1"/>
  <c r="ED117" i="72"/>
  <c r="EE117" i="72" s="1"/>
  <c r="CD336" i="72"/>
  <c r="EH426" i="72"/>
  <c r="EI426" i="72" s="1"/>
  <c r="EA426" i="72"/>
  <c r="DW426" i="72"/>
  <c r="DZ426" i="72"/>
  <c r="DV426" i="72"/>
  <c r="EC426" i="72"/>
  <c r="DY426" i="72"/>
  <c r="DU426" i="72"/>
  <c r="EB426" i="72"/>
  <c r="DX426" i="72"/>
  <c r="EA514" i="72"/>
  <c r="DW514" i="72"/>
  <c r="DZ514" i="72"/>
  <c r="DV514" i="72"/>
  <c r="EC514" i="72"/>
  <c r="DY514" i="72"/>
  <c r="DU514" i="72"/>
  <c r="EH514" i="72"/>
  <c r="EI514" i="72" s="1"/>
  <c r="EB514" i="72"/>
  <c r="DX514" i="72"/>
  <c r="CD160" i="72"/>
  <c r="CD468" i="72"/>
  <c r="AM290" i="72"/>
  <c r="AP290" i="72" s="1"/>
  <c r="EU28" i="10" s="1"/>
  <c r="EH30" i="72"/>
  <c r="EI30" i="72" s="1"/>
  <c r="EA30" i="72"/>
  <c r="DW30" i="72"/>
  <c r="DZ30" i="72"/>
  <c r="DV30" i="72"/>
  <c r="EC30" i="72"/>
  <c r="DY30" i="72"/>
  <c r="DU30" i="72"/>
  <c r="EB30" i="72"/>
  <c r="DX30" i="72"/>
  <c r="ED513" i="72"/>
  <c r="EE513" i="72" s="1"/>
  <c r="ED161" i="72"/>
  <c r="EE161" i="72" s="1"/>
  <c r="CD73" i="72"/>
  <c r="H29" i="41"/>
  <c r="EM29" i="41"/>
  <c r="AM466" i="72"/>
  <c r="AP466" i="72" s="1"/>
  <c r="EU24" i="14" s="1"/>
  <c r="EH294" i="72"/>
  <c r="EI294" i="72" s="1"/>
  <c r="EA294" i="72"/>
  <c r="DW294" i="72"/>
  <c r="DZ294" i="72"/>
  <c r="DV294" i="72"/>
  <c r="EC294" i="72"/>
  <c r="DY294" i="72"/>
  <c r="DU294" i="72"/>
  <c r="EB294" i="72"/>
  <c r="DX294" i="72"/>
  <c r="EH118" i="72"/>
  <c r="EI118" i="72" s="1"/>
  <c r="EA118" i="72"/>
  <c r="DW118" i="72"/>
  <c r="EB118" i="72"/>
  <c r="DX118" i="72"/>
  <c r="DV118" i="72"/>
  <c r="EC118" i="72"/>
  <c r="DU118" i="72"/>
  <c r="DZ118" i="72"/>
  <c r="DY118" i="72"/>
  <c r="AM202" i="72"/>
  <c r="AP202" i="72" s="1"/>
  <c r="EU30" i="8" s="1"/>
  <c r="CD424" i="72"/>
  <c r="EC250" i="72"/>
  <c r="DY250" i="72"/>
  <c r="DU250" i="72"/>
  <c r="EB250" i="72"/>
  <c r="DX250" i="72"/>
  <c r="EH250" i="72"/>
  <c r="EI250" i="72" s="1"/>
  <c r="EA250" i="72"/>
  <c r="DW250" i="72"/>
  <c r="DZ250" i="72"/>
  <c r="DV250" i="72"/>
  <c r="EC162" i="72"/>
  <c r="DY162" i="72"/>
  <c r="DU162" i="72"/>
  <c r="EB162" i="72"/>
  <c r="DX162" i="72"/>
  <c r="EH162" i="72"/>
  <c r="EI162" i="72" s="1"/>
  <c r="EA162" i="72"/>
  <c r="DW162" i="72"/>
  <c r="DZ162" i="72"/>
  <c r="DV162" i="72"/>
  <c r="H28" i="42"/>
  <c r="EM28" i="42"/>
  <c r="CD512" i="72"/>
  <c r="EC338" i="72"/>
  <c r="DY338" i="72"/>
  <c r="DU338" i="72"/>
  <c r="EB338" i="72"/>
  <c r="DX338" i="72"/>
  <c r="EH338" i="72"/>
  <c r="EI338" i="72" s="1"/>
  <c r="EA338" i="72"/>
  <c r="DW338" i="72"/>
  <c r="DZ338" i="72"/>
  <c r="DV338" i="72"/>
  <c r="DZ75" i="72"/>
  <c r="DV75" i="72"/>
  <c r="EC75" i="72"/>
  <c r="DY75" i="72"/>
  <c r="DU75" i="72"/>
  <c r="EB75" i="72"/>
  <c r="DX75" i="72"/>
  <c r="EH75" i="72"/>
  <c r="EI75" i="72" s="1"/>
  <c r="EA75" i="72"/>
  <c r="DW75" i="72"/>
  <c r="CD248" i="72"/>
  <c r="H30" i="40"/>
  <c r="EM30" i="40"/>
  <c r="CD380" i="72"/>
  <c r="EH206" i="72"/>
  <c r="EI206" i="72" s="1"/>
  <c r="EA206" i="72"/>
  <c r="DW206" i="72"/>
  <c r="DZ206" i="72"/>
  <c r="DV206" i="72"/>
  <c r="EC206" i="72"/>
  <c r="DY206" i="72"/>
  <c r="DU206" i="72"/>
  <c r="EB206" i="72"/>
  <c r="DX206" i="72"/>
  <c r="H33" i="37"/>
  <c r="EM33" i="37"/>
  <c r="AM158" i="72"/>
  <c r="H25" i="45"/>
  <c r="EM25" i="45"/>
  <c r="H34" i="36"/>
  <c r="EM34" i="36"/>
  <c r="H36" i="18"/>
  <c r="EM36" i="18"/>
  <c r="EB470" i="72"/>
  <c r="DX470" i="72"/>
  <c r="EH470" i="72"/>
  <c r="EI470" i="72" s="1"/>
  <c r="EA470" i="72"/>
  <c r="DW470" i="72"/>
  <c r="DZ470" i="72"/>
  <c r="DV470" i="72"/>
  <c r="EC470" i="72"/>
  <c r="DY470" i="72"/>
  <c r="DU470" i="72"/>
  <c r="H31" i="39"/>
  <c r="EM31" i="39"/>
  <c r="CD116" i="72"/>
  <c r="ED381" i="72"/>
  <c r="EE381" i="72" s="1"/>
  <c r="ED337" i="72"/>
  <c r="EE337" i="72" s="1"/>
  <c r="ED293" i="72"/>
  <c r="EE293" i="72" s="1"/>
  <c r="H36" i="35"/>
  <c r="EM36" i="35"/>
  <c r="AM334" i="72"/>
  <c r="AP334" i="72" s="1"/>
  <c r="EU27" i="11" s="1"/>
  <c r="H32" i="38"/>
  <c r="EM32" i="38"/>
  <c r="H27" i="43"/>
  <c r="EM27" i="43"/>
  <c r="AM246" i="72"/>
  <c r="EC382" i="72"/>
  <c r="DY382" i="72"/>
  <c r="DU382" i="72"/>
  <c r="EB382" i="72"/>
  <c r="DX382" i="72"/>
  <c r="EH382" i="72"/>
  <c r="EI382" i="72" s="1"/>
  <c r="EA382" i="72"/>
  <c r="DW382" i="72"/>
  <c r="DZ382" i="72"/>
  <c r="DV382" i="72"/>
  <c r="CD292" i="72"/>
  <c r="H26" i="44"/>
  <c r="EM26" i="44"/>
  <c r="AM510" i="72"/>
  <c r="AP510" i="72" s="1"/>
  <c r="EU23" i="15" s="1"/>
  <c r="CD204" i="72"/>
  <c r="ED29" i="72"/>
  <c r="EE29" i="72" s="1"/>
  <c r="EN35" i="18" s="1"/>
  <c r="ED469" i="72"/>
  <c r="EE469" i="72" s="1"/>
  <c r="ED249" i="72"/>
  <c r="EE249" i="72" s="1"/>
  <c r="K338" i="72"/>
  <c r="V338" i="72" s="1"/>
  <c r="AG338" i="72" s="1"/>
  <c r="G338" i="72"/>
  <c r="R338" i="72" s="1"/>
  <c r="AC338" i="72" s="1"/>
  <c r="J338" i="72"/>
  <c r="U338" i="72" s="1"/>
  <c r="AF338" i="72" s="1"/>
  <c r="F338" i="72"/>
  <c r="Q338" i="72" s="1"/>
  <c r="AB338" i="72" s="1"/>
  <c r="I338" i="72"/>
  <c r="T338" i="72" s="1"/>
  <c r="AE338" i="72" s="1"/>
  <c r="E338" i="72"/>
  <c r="P338" i="72" s="1"/>
  <c r="H338" i="72"/>
  <c r="S338" i="72" s="1"/>
  <c r="AD338" i="72" s="1"/>
  <c r="D338" i="72"/>
  <c r="O338" i="72" s="1"/>
  <c r="Z338" i="72" s="1"/>
  <c r="K294" i="72"/>
  <c r="V294" i="72" s="1"/>
  <c r="AG294" i="72" s="1"/>
  <c r="G294" i="72"/>
  <c r="R294" i="72" s="1"/>
  <c r="AC294" i="72" s="1"/>
  <c r="J294" i="72"/>
  <c r="U294" i="72" s="1"/>
  <c r="AF294" i="72" s="1"/>
  <c r="F294" i="72"/>
  <c r="Q294" i="72" s="1"/>
  <c r="AB294" i="72" s="1"/>
  <c r="I294" i="72"/>
  <c r="T294" i="72" s="1"/>
  <c r="AE294" i="72" s="1"/>
  <c r="E294" i="72"/>
  <c r="P294" i="72" s="1"/>
  <c r="H294" i="72"/>
  <c r="S294" i="72" s="1"/>
  <c r="AD294" i="72" s="1"/>
  <c r="D294" i="72"/>
  <c r="O294" i="72" s="1"/>
  <c r="Z294" i="72" s="1"/>
  <c r="K162" i="72"/>
  <c r="V162" i="72" s="1"/>
  <c r="AG162" i="72" s="1"/>
  <c r="G162" i="72"/>
  <c r="R162" i="72" s="1"/>
  <c r="AC162" i="72" s="1"/>
  <c r="J162" i="72"/>
  <c r="U162" i="72" s="1"/>
  <c r="AF162" i="72" s="1"/>
  <c r="F162" i="72"/>
  <c r="Q162" i="72" s="1"/>
  <c r="AB162" i="72" s="1"/>
  <c r="I162" i="72"/>
  <c r="T162" i="72" s="1"/>
  <c r="AE162" i="72" s="1"/>
  <c r="E162" i="72"/>
  <c r="P162" i="72" s="1"/>
  <c r="H162" i="72"/>
  <c r="S162" i="72" s="1"/>
  <c r="AD162" i="72" s="1"/>
  <c r="D162" i="72"/>
  <c r="O162" i="72" s="1"/>
  <c r="Z162" i="72" s="1"/>
  <c r="K30" i="72"/>
  <c r="V30" i="72" s="1"/>
  <c r="AG30" i="72" s="1"/>
  <c r="G30" i="72"/>
  <c r="R30" i="72" s="1"/>
  <c r="AC30" i="72" s="1"/>
  <c r="J30" i="72"/>
  <c r="U30" i="72" s="1"/>
  <c r="AF30" i="72" s="1"/>
  <c r="F30" i="72"/>
  <c r="Q30" i="72" s="1"/>
  <c r="AB30" i="72" s="1"/>
  <c r="I30" i="72"/>
  <c r="T30" i="72" s="1"/>
  <c r="AE30" i="72" s="1"/>
  <c r="E30" i="72"/>
  <c r="P30" i="72" s="1"/>
  <c r="H30" i="72"/>
  <c r="S30" i="72" s="1"/>
  <c r="AD30" i="72" s="1"/>
  <c r="D30" i="72"/>
  <c r="O30" i="72" s="1"/>
  <c r="Z30" i="72" s="1"/>
  <c r="K75" i="72"/>
  <c r="V75" i="72" s="1"/>
  <c r="AG75" i="72" s="1"/>
  <c r="G75" i="72"/>
  <c r="R75" i="72" s="1"/>
  <c r="AC75" i="72" s="1"/>
  <c r="J75" i="72"/>
  <c r="U75" i="72" s="1"/>
  <c r="AF75" i="72" s="1"/>
  <c r="F75" i="72"/>
  <c r="Q75" i="72" s="1"/>
  <c r="AB75" i="72" s="1"/>
  <c r="I75" i="72"/>
  <c r="T75" i="72" s="1"/>
  <c r="AE75" i="72" s="1"/>
  <c r="E75" i="72"/>
  <c r="P75" i="72" s="1"/>
  <c r="H75" i="72"/>
  <c r="S75" i="72" s="1"/>
  <c r="AD75" i="72" s="1"/>
  <c r="D75" i="72"/>
  <c r="O75" i="72" s="1"/>
  <c r="Z75" i="72" s="1"/>
  <c r="K206" i="72"/>
  <c r="V206" i="72" s="1"/>
  <c r="AG206" i="72" s="1"/>
  <c r="G206" i="72"/>
  <c r="R206" i="72" s="1"/>
  <c r="AC206" i="72" s="1"/>
  <c r="J206" i="72"/>
  <c r="U206" i="72" s="1"/>
  <c r="AF206" i="72" s="1"/>
  <c r="F206" i="72"/>
  <c r="Q206" i="72" s="1"/>
  <c r="AB206" i="72" s="1"/>
  <c r="I206" i="72"/>
  <c r="T206" i="72" s="1"/>
  <c r="AE206" i="72" s="1"/>
  <c r="E206" i="72"/>
  <c r="P206" i="72" s="1"/>
  <c r="H206" i="72"/>
  <c r="S206" i="72" s="1"/>
  <c r="AD206" i="72" s="1"/>
  <c r="D206" i="72"/>
  <c r="O206" i="72" s="1"/>
  <c r="Z206" i="72" s="1"/>
  <c r="K382" i="72"/>
  <c r="V382" i="72" s="1"/>
  <c r="AG382" i="72" s="1"/>
  <c r="G382" i="72"/>
  <c r="R382" i="72" s="1"/>
  <c r="AC382" i="72" s="1"/>
  <c r="J382" i="72"/>
  <c r="U382" i="72" s="1"/>
  <c r="AF382" i="72" s="1"/>
  <c r="F382" i="72"/>
  <c r="Q382" i="72" s="1"/>
  <c r="AB382" i="72" s="1"/>
  <c r="I382" i="72"/>
  <c r="T382" i="72" s="1"/>
  <c r="AE382" i="72" s="1"/>
  <c r="E382" i="72"/>
  <c r="P382" i="72" s="1"/>
  <c r="AA382" i="72" s="1"/>
  <c r="H382" i="72"/>
  <c r="S382" i="72" s="1"/>
  <c r="AD382" i="72" s="1"/>
  <c r="D382" i="72"/>
  <c r="O382" i="72" s="1"/>
  <c r="K118" i="72"/>
  <c r="V118" i="72" s="1"/>
  <c r="AG118" i="72" s="1"/>
  <c r="G118" i="72"/>
  <c r="R118" i="72" s="1"/>
  <c r="AC118" i="72" s="1"/>
  <c r="J118" i="72"/>
  <c r="U118" i="72" s="1"/>
  <c r="AF118" i="72" s="1"/>
  <c r="F118" i="72"/>
  <c r="Q118" i="72" s="1"/>
  <c r="AB118" i="72" s="1"/>
  <c r="I118" i="72"/>
  <c r="T118" i="72" s="1"/>
  <c r="AE118" i="72" s="1"/>
  <c r="E118" i="72"/>
  <c r="P118" i="72" s="1"/>
  <c r="H118" i="72"/>
  <c r="S118" i="72" s="1"/>
  <c r="AD118" i="72" s="1"/>
  <c r="D118" i="72"/>
  <c r="O118" i="72" s="1"/>
  <c r="Z118" i="72" s="1"/>
  <c r="K250" i="72"/>
  <c r="V250" i="72" s="1"/>
  <c r="AG250" i="72" s="1"/>
  <c r="G250" i="72"/>
  <c r="R250" i="72" s="1"/>
  <c r="AC250" i="72" s="1"/>
  <c r="J250" i="72"/>
  <c r="U250" i="72" s="1"/>
  <c r="AF250" i="72" s="1"/>
  <c r="F250" i="72"/>
  <c r="Q250" i="72" s="1"/>
  <c r="AB250" i="72" s="1"/>
  <c r="I250" i="72"/>
  <c r="T250" i="72" s="1"/>
  <c r="AE250" i="72" s="1"/>
  <c r="E250" i="72"/>
  <c r="P250" i="72" s="1"/>
  <c r="H250" i="72"/>
  <c r="S250" i="72" s="1"/>
  <c r="AD250" i="72" s="1"/>
  <c r="D250" i="72"/>
  <c r="O250" i="72" s="1"/>
  <c r="Z250" i="72" s="1"/>
  <c r="K426" i="72"/>
  <c r="V426" i="72" s="1"/>
  <c r="AG426" i="72" s="1"/>
  <c r="G426" i="72"/>
  <c r="R426" i="72" s="1"/>
  <c r="AC426" i="72" s="1"/>
  <c r="J426" i="72"/>
  <c r="U426" i="72" s="1"/>
  <c r="AF426" i="72" s="1"/>
  <c r="F426" i="72"/>
  <c r="Q426" i="72" s="1"/>
  <c r="AB426" i="72" s="1"/>
  <c r="I426" i="72"/>
  <c r="T426" i="72" s="1"/>
  <c r="AE426" i="72" s="1"/>
  <c r="E426" i="72"/>
  <c r="P426" i="72" s="1"/>
  <c r="H426" i="72"/>
  <c r="S426" i="72" s="1"/>
  <c r="AD426" i="72" s="1"/>
  <c r="D426" i="72"/>
  <c r="O426" i="72" s="1"/>
  <c r="Z426" i="72" s="1"/>
  <c r="K514" i="72"/>
  <c r="V514" i="72" s="1"/>
  <c r="AG514" i="72" s="1"/>
  <c r="G514" i="72"/>
  <c r="R514" i="72" s="1"/>
  <c r="AC514" i="72" s="1"/>
  <c r="J514" i="72"/>
  <c r="U514" i="72" s="1"/>
  <c r="AF514" i="72" s="1"/>
  <c r="F514" i="72"/>
  <c r="Q514" i="72" s="1"/>
  <c r="AB514" i="72" s="1"/>
  <c r="I514" i="72"/>
  <c r="T514" i="72" s="1"/>
  <c r="AE514" i="72" s="1"/>
  <c r="E514" i="72"/>
  <c r="P514" i="72" s="1"/>
  <c r="H514" i="72"/>
  <c r="S514" i="72" s="1"/>
  <c r="AD514" i="72" s="1"/>
  <c r="D514" i="72"/>
  <c r="O514" i="72" s="1"/>
  <c r="Z514" i="72" s="1"/>
  <c r="K470" i="72"/>
  <c r="V470" i="72" s="1"/>
  <c r="AG470" i="72" s="1"/>
  <c r="G470" i="72"/>
  <c r="R470" i="72" s="1"/>
  <c r="AC470" i="72" s="1"/>
  <c r="J470" i="72"/>
  <c r="U470" i="72" s="1"/>
  <c r="AF470" i="72" s="1"/>
  <c r="F470" i="72"/>
  <c r="Q470" i="72" s="1"/>
  <c r="AB470" i="72" s="1"/>
  <c r="I470" i="72"/>
  <c r="T470" i="72" s="1"/>
  <c r="AE470" i="72" s="1"/>
  <c r="E470" i="72"/>
  <c r="P470" i="72" s="1"/>
  <c r="H470" i="72"/>
  <c r="S470" i="72" s="1"/>
  <c r="AD470" i="72" s="1"/>
  <c r="D470" i="72"/>
  <c r="O470" i="72" s="1"/>
  <c r="Z470" i="72" s="1"/>
  <c r="Z48" i="40"/>
  <c r="ER31" i="6"/>
  <c r="EU31" i="6"/>
  <c r="ER33" i="5"/>
  <c r="EU33" i="5"/>
  <c r="K32" i="35"/>
  <c r="L32" i="35" s="1"/>
  <c r="E32" i="35" s="1"/>
  <c r="D71" i="35" s="1"/>
  <c r="FB28" i="15"/>
  <c r="BH28" i="15" s="1"/>
  <c r="GC28" i="15" s="1"/>
  <c r="FX352" i="34" s="1"/>
  <c r="A26" i="45"/>
  <c r="A515" i="72"/>
  <c r="I35" i="18"/>
  <c r="K30" i="36"/>
  <c r="L30" i="36" s="1"/>
  <c r="E30" i="36" s="1"/>
  <c r="D69" i="36" s="1"/>
  <c r="BN39" i="6"/>
  <c r="BJ38" i="6"/>
  <c r="L469" i="72"/>
  <c r="M469" i="72" s="1"/>
  <c r="ER25" i="12"/>
  <c r="L293" i="72"/>
  <c r="M293" i="72" s="1"/>
  <c r="I31" i="38"/>
  <c r="BF467" i="72"/>
  <c r="BC467" i="72"/>
  <c r="BD467" i="72" s="1"/>
  <c r="BG512" i="72"/>
  <c r="BB512" i="72"/>
  <c r="ER24" i="13"/>
  <c r="BG73" i="72"/>
  <c r="BB73" i="72"/>
  <c r="L249" i="72"/>
  <c r="M249" i="72" s="1"/>
  <c r="BA29" i="41"/>
  <c r="BE29" i="41" s="1"/>
  <c r="I32" i="37"/>
  <c r="L161" i="72"/>
  <c r="M161" i="72" s="1"/>
  <c r="BF423" i="72"/>
  <c r="BC423" i="72"/>
  <c r="BD423" i="72" s="1"/>
  <c r="I27" i="42"/>
  <c r="AY248" i="72"/>
  <c r="FB39" i="4"/>
  <c r="BH39" i="4" s="1"/>
  <c r="A37" i="18"/>
  <c r="A31" i="72"/>
  <c r="BF203" i="72"/>
  <c r="BC203" i="72"/>
  <c r="BD203" i="72" s="1"/>
  <c r="AY336" i="72"/>
  <c r="I33" i="36"/>
  <c r="FB29" i="14"/>
  <c r="BH29" i="14" s="1"/>
  <c r="A27" i="44"/>
  <c r="A471" i="72"/>
  <c r="BA32" i="38"/>
  <c r="A32" i="39"/>
  <c r="FB34" i="9"/>
  <c r="BH34" i="9" s="1"/>
  <c r="A251" i="72"/>
  <c r="BA33" i="37"/>
  <c r="K27" i="39"/>
  <c r="L27" i="39" s="1"/>
  <c r="E27" i="39" s="1"/>
  <c r="D66" i="39" s="1"/>
  <c r="E66" i="39" s="1"/>
  <c r="BA28" i="42"/>
  <c r="K29" i="37"/>
  <c r="L29" i="37" s="1"/>
  <c r="E29" i="37" s="1"/>
  <c r="D68" i="37" s="1"/>
  <c r="FB31" i="12"/>
  <c r="BH31" i="12" s="1"/>
  <c r="A29" i="42"/>
  <c r="A383" i="72"/>
  <c r="L513" i="72"/>
  <c r="M513" i="72" s="1"/>
  <c r="I35" i="35"/>
  <c r="I29" i="40"/>
  <c r="L205" i="72"/>
  <c r="M205" i="72" s="1"/>
  <c r="FB32" i="11"/>
  <c r="BH32" i="11" s="1"/>
  <c r="A30" i="41"/>
  <c r="A339" i="72"/>
  <c r="BG468" i="72"/>
  <c r="BB468" i="72"/>
  <c r="BF159" i="72"/>
  <c r="BC159" i="72"/>
  <c r="BD159" i="72" s="1"/>
  <c r="K28" i="38"/>
  <c r="L28" i="38" s="1"/>
  <c r="E28" i="38" s="1"/>
  <c r="D67" i="38" s="1"/>
  <c r="BJ40" i="5"/>
  <c r="BN41" i="5"/>
  <c r="BG424" i="72"/>
  <c r="BB424" i="72"/>
  <c r="BA36" i="18"/>
  <c r="BE36" i="18" s="1"/>
  <c r="L117" i="72"/>
  <c r="M117" i="72" s="1"/>
  <c r="A295" i="72"/>
  <c r="A31" i="40"/>
  <c r="FB33" i="10"/>
  <c r="BH33" i="10" s="1"/>
  <c r="BN37" i="8"/>
  <c r="BJ36" i="8"/>
  <c r="BN32" i="13"/>
  <c r="BJ31" i="13"/>
  <c r="K21" i="45"/>
  <c r="L21" i="45" s="1"/>
  <c r="E21" i="45" s="1"/>
  <c r="D60" i="45" s="1"/>
  <c r="E60" i="45" s="1"/>
  <c r="BA31" i="39"/>
  <c r="FB36" i="7"/>
  <c r="BH36" i="7" s="1"/>
  <c r="A34" i="37"/>
  <c r="A163" i="72"/>
  <c r="AY116" i="72"/>
  <c r="BG204" i="72"/>
  <c r="BB204" i="72"/>
  <c r="BN30" i="15"/>
  <c r="BJ29" i="15"/>
  <c r="L74" i="72"/>
  <c r="M74" i="72" s="1"/>
  <c r="A35" i="36"/>
  <c r="FB37" i="6"/>
  <c r="BH37" i="6" s="1"/>
  <c r="A119" i="72"/>
  <c r="BF511" i="72"/>
  <c r="BC511" i="72"/>
  <c r="BD511" i="72" s="1"/>
  <c r="AM511" i="72" s="1"/>
  <c r="AP511" i="72" s="1"/>
  <c r="K22" i="44"/>
  <c r="L22" i="44" s="1"/>
  <c r="E22" i="44" s="1"/>
  <c r="D61" i="44" s="1"/>
  <c r="E61" i="44" s="1"/>
  <c r="BF247" i="72"/>
  <c r="BC247" i="72"/>
  <c r="BD247" i="72" s="1"/>
  <c r="AY512" i="72"/>
  <c r="AY73" i="72"/>
  <c r="L425" i="72"/>
  <c r="M425" i="72" s="1"/>
  <c r="BA36" i="35"/>
  <c r="BB248" i="72"/>
  <c r="BG248" i="72"/>
  <c r="BN41" i="4"/>
  <c r="BJ40" i="4"/>
  <c r="BG336" i="72"/>
  <c r="BB336" i="72"/>
  <c r="BN31" i="14"/>
  <c r="BJ30" i="14"/>
  <c r="K23" i="43"/>
  <c r="L23" i="43" s="1"/>
  <c r="E23" i="43" s="1"/>
  <c r="D62" i="43" s="1"/>
  <c r="E62" i="43" s="1"/>
  <c r="ER25" i="13"/>
  <c r="EU25" i="13"/>
  <c r="BA30" i="40"/>
  <c r="AY380" i="72"/>
  <c r="BG380" i="72"/>
  <c r="BB380" i="72"/>
  <c r="K25" i="41"/>
  <c r="L25" i="41" s="1"/>
  <c r="E25" i="41" s="1"/>
  <c r="D64" i="41" s="1"/>
  <c r="E64" i="41" s="1"/>
  <c r="BA27" i="43"/>
  <c r="BJ35" i="9"/>
  <c r="BN36" i="9"/>
  <c r="L337" i="72"/>
  <c r="M337" i="72" s="1"/>
  <c r="BF115" i="72"/>
  <c r="BC115" i="72"/>
  <c r="BD115" i="72" s="1"/>
  <c r="AM115" i="72" s="1"/>
  <c r="AP115" i="72" s="1"/>
  <c r="BF72" i="72"/>
  <c r="BC72" i="72"/>
  <c r="BD72" i="72" s="1"/>
  <c r="AM72" i="72" s="1"/>
  <c r="AP72" i="72" s="1"/>
  <c r="BN33" i="12"/>
  <c r="BJ32" i="12"/>
  <c r="BF335" i="72"/>
  <c r="BC335" i="72"/>
  <c r="BD335" i="72" s="1"/>
  <c r="K24" i="42"/>
  <c r="L24" i="42" s="1"/>
  <c r="E24" i="42" s="1"/>
  <c r="D63" i="42" s="1"/>
  <c r="E63" i="42" s="1"/>
  <c r="ER26" i="12"/>
  <c r="EU26" i="12"/>
  <c r="I24" i="45"/>
  <c r="BA25" i="45"/>
  <c r="AY160" i="72"/>
  <c r="BG160" i="72"/>
  <c r="BB160" i="72"/>
  <c r="BA34" i="36"/>
  <c r="I25" i="44"/>
  <c r="AQ511" i="72"/>
  <c r="I26" i="43"/>
  <c r="BN34" i="11"/>
  <c r="BJ33" i="11"/>
  <c r="AY468" i="72"/>
  <c r="BG292" i="72"/>
  <c r="AY292" i="72"/>
  <c r="BB292" i="72"/>
  <c r="AQ423" i="72"/>
  <c r="K26" i="40"/>
  <c r="L26" i="40" s="1"/>
  <c r="E26" i="40" s="1"/>
  <c r="D65" i="40" s="1"/>
  <c r="E65" i="40" s="1"/>
  <c r="L381" i="72"/>
  <c r="M381" i="72" s="1"/>
  <c r="FB39" i="5"/>
  <c r="BH39" i="5" s="1"/>
  <c r="A37" i="35"/>
  <c r="A76" i="72"/>
  <c r="AY424" i="72"/>
  <c r="BC379" i="72"/>
  <c r="BD379" i="72" s="1"/>
  <c r="BF379" i="72"/>
  <c r="BA26" i="44"/>
  <c r="BN35" i="10"/>
  <c r="BJ34" i="10"/>
  <c r="FB35" i="8"/>
  <c r="BH35" i="8" s="1"/>
  <c r="A207" i="72"/>
  <c r="A33" i="38"/>
  <c r="BF291" i="72"/>
  <c r="BC291" i="72"/>
  <c r="BD291" i="72" s="1"/>
  <c r="FB30" i="13"/>
  <c r="BH30" i="13" s="1"/>
  <c r="A427" i="72"/>
  <c r="A28" i="43"/>
  <c r="I28" i="41"/>
  <c r="BN38" i="7"/>
  <c r="BJ37" i="7"/>
  <c r="BG116" i="72"/>
  <c r="BB116" i="72"/>
  <c r="AY204" i="72"/>
  <c r="BC33" i="9" l="1"/>
  <c r="J25" i="45"/>
  <c r="J34" i="36"/>
  <c r="G61" i="43"/>
  <c r="F61" i="43"/>
  <c r="G61" i="44"/>
  <c r="F61" i="44"/>
  <c r="F60" i="45"/>
  <c r="G60" i="45"/>
  <c r="G63" i="42"/>
  <c r="F63" i="42"/>
  <c r="G62" i="43"/>
  <c r="F62" i="43"/>
  <c r="G66" i="39"/>
  <c r="F66" i="39"/>
  <c r="G65" i="40"/>
  <c r="F65" i="40"/>
  <c r="G64" i="41"/>
  <c r="F64" i="41"/>
  <c r="ER30" i="8"/>
  <c r="J33" i="37"/>
  <c r="J27" i="43"/>
  <c r="J36" i="35"/>
  <c r="ER28" i="10"/>
  <c r="ER27" i="11"/>
  <c r="J36" i="18"/>
  <c r="GC34" i="9"/>
  <c r="FX172" i="34" s="1"/>
  <c r="GC30" i="13"/>
  <c r="FX292" i="34" s="1"/>
  <c r="GC36" i="7"/>
  <c r="FX112" i="34" s="1"/>
  <c r="GC35" i="8"/>
  <c r="FX142" i="34" s="1"/>
  <c r="GC37" i="6"/>
  <c r="FX82" i="34" s="1"/>
  <c r="GC31" i="12"/>
  <c r="FX262" i="34" s="1"/>
  <c r="GC32" i="11"/>
  <c r="FX232" i="34" s="1"/>
  <c r="GC39" i="5"/>
  <c r="FX53" i="34" s="1"/>
  <c r="GC33" i="10"/>
  <c r="FX202" i="34" s="1"/>
  <c r="GC29" i="14"/>
  <c r="FX322" i="34" s="1"/>
  <c r="GC39" i="4"/>
  <c r="FX22" i="34" s="1"/>
  <c r="AI117" i="72"/>
  <c r="AQ117" i="72" s="1"/>
  <c r="AI381" i="72"/>
  <c r="AQ381" i="72" s="1"/>
  <c r="AI249" i="72"/>
  <c r="AQ249" i="72" s="1"/>
  <c r="AI161" i="72"/>
  <c r="AQ161" i="72" s="1"/>
  <c r="AI425" i="72"/>
  <c r="AQ425" i="72" s="1"/>
  <c r="AI293" i="72"/>
  <c r="AQ293" i="72" s="1"/>
  <c r="AI469" i="72"/>
  <c r="AQ469" i="72" s="1"/>
  <c r="AA470" i="72"/>
  <c r="W470" i="72"/>
  <c r="X470" i="72" s="1"/>
  <c r="W514" i="72"/>
  <c r="X514" i="72" s="1"/>
  <c r="AA514" i="72"/>
  <c r="W426" i="72"/>
  <c r="X426" i="72" s="1"/>
  <c r="AA426" i="72"/>
  <c r="W250" i="72"/>
  <c r="X250" i="72" s="1"/>
  <c r="AA250" i="72"/>
  <c r="W118" i="72"/>
  <c r="X118" i="72" s="1"/>
  <c r="AA118" i="72"/>
  <c r="AA206" i="72"/>
  <c r="W206" i="72"/>
  <c r="X206" i="72" s="1"/>
  <c r="W75" i="72"/>
  <c r="X75" i="72" s="1"/>
  <c r="AA75" i="72"/>
  <c r="AI29" i="72"/>
  <c r="AI513" i="72"/>
  <c r="W30" i="72"/>
  <c r="X30" i="72" s="1"/>
  <c r="AA30" i="72"/>
  <c r="W162" i="72"/>
  <c r="X162" i="72" s="1"/>
  <c r="AA162" i="72"/>
  <c r="AA294" i="72"/>
  <c r="W294" i="72"/>
  <c r="X294" i="72" s="1"/>
  <c r="W338" i="72"/>
  <c r="X338" i="72" s="1"/>
  <c r="AA338" i="72"/>
  <c r="W382" i="72"/>
  <c r="X382" i="72" s="1"/>
  <c r="Z382" i="72"/>
  <c r="AI74" i="72"/>
  <c r="AQ74" i="72" s="1"/>
  <c r="AI337" i="72"/>
  <c r="AQ337" i="72" s="1"/>
  <c r="AI205" i="72"/>
  <c r="AQ205" i="72" s="1"/>
  <c r="J30" i="40"/>
  <c r="J29" i="41"/>
  <c r="FS39" i="4"/>
  <c r="BE39" i="4"/>
  <c r="BC39" i="4" s="1"/>
  <c r="ER29" i="9"/>
  <c r="AP246" i="72"/>
  <c r="EU29" i="9" s="1"/>
  <c r="ER31" i="7"/>
  <c r="AP158" i="72"/>
  <c r="EU31" i="7" s="1"/>
  <c r="J26" i="44"/>
  <c r="J28" i="42"/>
  <c r="J32" i="38"/>
  <c r="FS39" i="5"/>
  <c r="BE39" i="5"/>
  <c r="BC39" i="5" s="1"/>
  <c r="FS35" i="8"/>
  <c r="BE35" i="8"/>
  <c r="FS32" i="11"/>
  <c r="BE32" i="11"/>
  <c r="BC32" i="11" s="1"/>
  <c r="FS30" i="13"/>
  <c r="BE30" i="13"/>
  <c r="BC30" i="13" s="1"/>
  <c r="FS33" i="10"/>
  <c r="BE33" i="10"/>
  <c r="BC33" i="10" s="1"/>
  <c r="FS31" i="12"/>
  <c r="BE31" i="12"/>
  <c r="BC31" i="12" s="1"/>
  <c r="FS36" i="7"/>
  <c r="BE36" i="7"/>
  <c r="BC36" i="7" s="1"/>
  <c r="FS34" i="9"/>
  <c r="BE34" i="9"/>
  <c r="BC34" i="9" s="1"/>
  <c r="FS29" i="14"/>
  <c r="BE29" i="14"/>
  <c r="BC29" i="14" s="1"/>
  <c r="FS37" i="6"/>
  <c r="BE37" i="6"/>
  <c r="BC37" i="6" s="1"/>
  <c r="FS28" i="15"/>
  <c r="BE28" i="15"/>
  <c r="BC28" i="15" s="1"/>
  <c r="ED75" i="72"/>
  <c r="EE75" i="72" s="1"/>
  <c r="EV28" i="12"/>
  <c r="AA28" i="12" s="1"/>
  <c r="EV31" i="9"/>
  <c r="AA31" i="9" s="1"/>
  <c r="EV32" i="8"/>
  <c r="AA32" i="8" s="1"/>
  <c r="EV27" i="13"/>
  <c r="AA27" i="13" s="1"/>
  <c r="EV26" i="14"/>
  <c r="AA26" i="14" s="1"/>
  <c r="EV25" i="15"/>
  <c r="AA25" i="15" s="1"/>
  <c r="ED162" i="72"/>
  <c r="EE162" i="72" s="1"/>
  <c r="EV34" i="6"/>
  <c r="AA34" i="6" s="1"/>
  <c r="EV30" i="10"/>
  <c r="AA30" i="10" s="1"/>
  <c r="EV33" i="7"/>
  <c r="AA33" i="7" s="1"/>
  <c r="EV29" i="11"/>
  <c r="AA29" i="11" s="1"/>
  <c r="EV36" i="5"/>
  <c r="AA36" i="5" s="1"/>
  <c r="CD381" i="72"/>
  <c r="EB295" i="72"/>
  <c r="DX295" i="72"/>
  <c r="EH295" i="72"/>
  <c r="EI295" i="72" s="1"/>
  <c r="EA295" i="72"/>
  <c r="DW295" i="72"/>
  <c r="DZ295" i="72"/>
  <c r="DV295" i="72"/>
  <c r="EC295" i="72"/>
  <c r="DY295" i="72"/>
  <c r="DU295" i="72"/>
  <c r="H28" i="43"/>
  <c r="EM28" i="43"/>
  <c r="AM247" i="72"/>
  <c r="AP247" i="72" s="1"/>
  <c r="EU30" i="9" s="1"/>
  <c r="CD74" i="72"/>
  <c r="H34" i="37"/>
  <c r="EM34" i="37"/>
  <c r="EB427" i="72"/>
  <c r="DX427" i="72"/>
  <c r="EH427" i="72"/>
  <c r="EI427" i="72" s="1"/>
  <c r="EA427" i="72"/>
  <c r="DW427" i="72"/>
  <c r="DZ427" i="72"/>
  <c r="DV427" i="72"/>
  <c r="EC427" i="72"/>
  <c r="DY427" i="72"/>
  <c r="DU427" i="72"/>
  <c r="H33" i="38"/>
  <c r="EM33" i="38"/>
  <c r="EB119" i="72"/>
  <c r="DX119" i="72"/>
  <c r="EC119" i="72"/>
  <c r="DY119" i="72"/>
  <c r="DU119" i="72"/>
  <c r="EA119" i="72"/>
  <c r="DZ119" i="72"/>
  <c r="EH119" i="72"/>
  <c r="EI119" i="72" s="1"/>
  <c r="DW119" i="72"/>
  <c r="DV119" i="72"/>
  <c r="H31" i="40"/>
  <c r="EM31" i="40"/>
  <c r="AM159" i="72"/>
  <c r="AP159" i="72" s="1"/>
  <c r="EU32" i="7" s="1"/>
  <c r="DZ339" i="72"/>
  <c r="DV339" i="72"/>
  <c r="EC339" i="72"/>
  <c r="DY339" i="72"/>
  <c r="DU339" i="72"/>
  <c r="EB339" i="72"/>
  <c r="DX339" i="72"/>
  <c r="EH339" i="72"/>
  <c r="EI339" i="72" s="1"/>
  <c r="EA339" i="72"/>
  <c r="DW339" i="72"/>
  <c r="H29" i="42"/>
  <c r="EM29" i="42"/>
  <c r="EC471" i="72"/>
  <c r="DY471" i="72"/>
  <c r="DU471" i="72"/>
  <c r="EB471" i="72"/>
  <c r="DX471" i="72"/>
  <c r="EH471" i="72"/>
  <c r="EI471" i="72" s="1"/>
  <c r="EA471" i="72"/>
  <c r="DW471" i="72"/>
  <c r="DZ471" i="72"/>
  <c r="DV471" i="72"/>
  <c r="ED382" i="72"/>
  <c r="EE382" i="72" s="1"/>
  <c r="ED30" i="72"/>
  <c r="EE30" i="72" s="1"/>
  <c r="EN36" i="18" s="1"/>
  <c r="ED514" i="72"/>
  <c r="EE514" i="72" s="1"/>
  <c r="CD337" i="72"/>
  <c r="H32" i="39"/>
  <c r="EM32" i="39"/>
  <c r="H27" i="44"/>
  <c r="EM27" i="44"/>
  <c r="DZ31" i="72"/>
  <c r="DV31" i="72"/>
  <c r="EC31" i="72"/>
  <c r="DY31" i="72"/>
  <c r="DU31" i="72"/>
  <c r="EB31" i="72"/>
  <c r="DX31" i="72"/>
  <c r="EH31" i="72"/>
  <c r="EI31" i="72" s="1"/>
  <c r="EA31" i="72"/>
  <c r="DW31" i="72"/>
  <c r="CD161" i="72"/>
  <c r="CD249" i="72"/>
  <c r="AM467" i="72"/>
  <c r="CD293" i="72"/>
  <c r="EH515" i="72"/>
  <c r="EI515" i="72" s="1"/>
  <c r="EA515" i="72"/>
  <c r="DW515" i="72"/>
  <c r="DZ515" i="72"/>
  <c r="DV515" i="72"/>
  <c r="EC515" i="72"/>
  <c r="DY515" i="72"/>
  <c r="DU515" i="72"/>
  <c r="EB515" i="72"/>
  <c r="DX515" i="72"/>
  <c r="ED470" i="72"/>
  <c r="EE470" i="72" s="1"/>
  <c r="ED426" i="72"/>
  <c r="EE426" i="72" s="1"/>
  <c r="AM291" i="72"/>
  <c r="AP291" i="72" s="1"/>
  <c r="EU29" i="10" s="1"/>
  <c r="EH76" i="72"/>
  <c r="EI76" i="72" s="1"/>
  <c r="EA76" i="72"/>
  <c r="DW76" i="72"/>
  <c r="DZ76" i="72"/>
  <c r="DV76" i="72"/>
  <c r="EC76" i="72"/>
  <c r="DY76" i="72"/>
  <c r="DU76" i="72"/>
  <c r="EB76" i="72"/>
  <c r="DX76" i="72"/>
  <c r="AM335" i="72"/>
  <c r="AP335" i="72" s="1"/>
  <c r="EU28" i="11" s="1"/>
  <c r="CD425" i="72"/>
  <c r="H35" i="36"/>
  <c r="EM35" i="36"/>
  <c r="DZ163" i="72"/>
  <c r="DV163" i="72"/>
  <c r="EC163" i="72"/>
  <c r="DY163" i="72"/>
  <c r="DU163" i="72"/>
  <c r="EB163" i="72"/>
  <c r="DX163" i="72"/>
  <c r="EH163" i="72"/>
  <c r="EI163" i="72" s="1"/>
  <c r="EA163" i="72"/>
  <c r="DW163" i="72"/>
  <c r="CD513" i="72"/>
  <c r="H37" i="18"/>
  <c r="EM37" i="18"/>
  <c r="H26" i="45"/>
  <c r="EM26" i="45"/>
  <c r="ED250" i="72"/>
  <c r="EE250" i="72" s="1"/>
  <c r="ED294" i="72"/>
  <c r="EE294" i="72" s="1"/>
  <c r="EB207" i="72"/>
  <c r="DX207" i="72"/>
  <c r="EH207" i="72"/>
  <c r="EI207" i="72" s="1"/>
  <c r="EA207" i="72"/>
  <c r="DW207" i="72"/>
  <c r="DZ207" i="72"/>
  <c r="DV207" i="72"/>
  <c r="EC207" i="72"/>
  <c r="DY207" i="72"/>
  <c r="DU207" i="72"/>
  <c r="CD117" i="72"/>
  <c r="H30" i="41"/>
  <c r="EM30" i="41"/>
  <c r="AM379" i="72"/>
  <c r="AP379" i="72" s="1"/>
  <c r="EU27" i="12" s="1"/>
  <c r="H37" i="35"/>
  <c r="EM37" i="35"/>
  <c r="CD205" i="72"/>
  <c r="EC383" i="72"/>
  <c r="DY383" i="72"/>
  <c r="DU383" i="72"/>
  <c r="EB383" i="72"/>
  <c r="DX383" i="72"/>
  <c r="EH383" i="72"/>
  <c r="EI383" i="72" s="1"/>
  <c r="EA383" i="72"/>
  <c r="DW383" i="72"/>
  <c r="DZ383" i="72"/>
  <c r="DV383" i="72"/>
  <c r="DZ251" i="72"/>
  <c r="DV251" i="72"/>
  <c r="EC251" i="72"/>
  <c r="DY251" i="72"/>
  <c r="DU251" i="72"/>
  <c r="EB251" i="72"/>
  <c r="DX251" i="72"/>
  <c r="EH251" i="72"/>
  <c r="EI251" i="72" s="1"/>
  <c r="EA251" i="72"/>
  <c r="DW251" i="72"/>
  <c r="AM203" i="72"/>
  <c r="AP203" i="72" s="1"/>
  <c r="EU31" i="8" s="1"/>
  <c r="AM423" i="72"/>
  <c r="CD469" i="72"/>
  <c r="ED206" i="72"/>
  <c r="EE206" i="72" s="1"/>
  <c r="ED338" i="72"/>
  <c r="EE338" i="72" s="1"/>
  <c r="ED118" i="72"/>
  <c r="EE118" i="72" s="1"/>
  <c r="K427" i="72"/>
  <c r="V427" i="72" s="1"/>
  <c r="AG427" i="72" s="1"/>
  <c r="G427" i="72"/>
  <c r="R427" i="72" s="1"/>
  <c r="AC427" i="72" s="1"/>
  <c r="J427" i="72"/>
  <c r="U427" i="72" s="1"/>
  <c r="AF427" i="72" s="1"/>
  <c r="F427" i="72"/>
  <c r="Q427" i="72" s="1"/>
  <c r="AB427" i="72" s="1"/>
  <c r="I427" i="72"/>
  <c r="T427" i="72" s="1"/>
  <c r="AE427" i="72" s="1"/>
  <c r="E427" i="72"/>
  <c r="P427" i="72" s="1"/>
  <c r="AA427" i="72" s="1"/>
  <c r="H427" i="72"/>
  <c r="S427" i="72" s="1"/>
  <c r="AD427" i="72" s="1"/>
  <c r="D427" i="72"/>
  <c r="O427" i="72" s="1"/>
  <c r="K383" i="72"/>
  <c r="V383" i="72" s="1"/>
  <c r="AG383" i="72" s="1"/>
  <c r="G383" i="72"/>
  <c r="R383" i="72" s="1"/>
  <c r="AC383" i="72" s="1"/>
  <c r="J383" i="72"/>
  <c r="U383" i="72" s="1"/>
  <c r="AF383" i="72" s="1"/>
  <c r="F383" i="72"/>
  <c r="Q383" i="72" s="1"/>
  <c r="AB383" i="72" s="1"/>
  <c r="I383" i="72"/>
  <c r="T383" i="72" s="1"/>
  <c r="AE383" i="72" s="1"/>
  <c r="E383" i="72"/>
  <c r="P383" i="72" s="1"/>
  <c r="H383" i="72"/>
  <c r="S383" i="72" s="1"/>
  <c r="AD383" i="72" s="1"/>
  <c r="D383" i="72"/>
  <c r="O383" i="72" s="1"/>
  <c r="Z383" i="72" s="1"/>
  <c r="K471" i="72"/>
  <c r="V471" i="72" s="1"/>
  <c r="AG471" i="72" s="1"/>
  <c r="G471" i="72"/>
  <c r="R471" i="72" s="1"/>
  <c r="AC471" i="72" s="1"/>
  <c r="J471" i="72"/>
  <c r="U471" i="72" s="1"/>
  <c r="AF471" i="72" s="1"/>
  <c r="F471" i="72"/>
  <c r="Q471" i="72" s="1"/>
  <c r="AB471" i="72" s="1"/>
  <c r="I471" i="72"/>
  <c r="T471" i="72" s="1"/>
  <c r="AE471" i="72" s="1"/>
  <c r="E471" i="72"/>
  <c r="P471" i="72" s="1"/>
  <c r="H471" i="72"/>
  <c r="S471" i="72" s="1"/>
  <c r="AD471" i="72" s="1"/>
  <c r="D471" i="72"/>
  <c r="O471" i="72" s="1"/>
  <c r="Z471" i="72" s="1"/>
  <c r="K207" i="72"/>
  <c r="V207" i="72" s="1"/>
  <c r="AG207" i="72" s="1"/>
  <c r="G207" i="72"/>
  <c r="R207" i="72" s="1"/>
  <c r="AC207" i="72" s="1"/>
  <c r="J207" i="72"/>
  <c r="U207" i="72" s="1"/>
  <c r="AF207" i="72" s="1"/>
  <c r="F207" i="72"/>
  <c r="Q207" i="72" s="1"/>
  <c r="AB207" i="72" s="1"/>
  <c r="I207" i="72"/>
  <c r="T207" i="72" s="1"/>
  <c r="AE207" i="72" s="1"/>
  <c r="E207" i="72"/>
  <c r="P207" i="72" s="1"/>
  <c r="H207" i="72"/>
  <c r="S207" i="72" s="1"/>
  <c r="AD207" i="72" s="1"/>
  <c r="D207" i="72"/>
  <c r="O207" i="72" s="1"/>
  <c r="Z207" i="72" s="1"/>
  <c r="K163" i="72"/>
  <c r="V163" i="72" s="1"/>
  <c r="AG163" i="72" s="1"/>
  <c r="G163" i="72"/>
  <c r="R163" i="72" s="1"/>
  <c r="AC163" i="72" s="1"/>
  <c r="J163" i="72"/>
  <c r="U163" i="72" s="1"/>
  <c r="AF163" i="72" s="1"/>
  <c r="F163" i="72"/>
  <c r="Q163" i="72" s="1"/>
  <c r="AB163" i="72" s="1"/>
  <c r="I163" i="72"/>
  <c r="T163" i="72" s="1"/>
  <c r="AE163" i="72" s="1"/>
  <c r="E163" i="72"/>
  <c r="P163" i="72" s="1"/>
  <c r="H163" i="72"/>
  <c r="S163" i="72" s="1"/>
  <c r="AD163" i="72" s="1"/>
  <c r="D163" i="72"/>
  <c r="O163" i="72" s="1"/>
  <c r="Z163" i="72" s="1"/>
  <c r="K295" i="72"/>
  <c r="V295" i="72" s="1"/>
  <c r="AG295" i="72" s="1"/>
  <c r="G295" i="72"/>
  <c r="R295" i="72" s="1"/>
  <c r="AC295" i="72" s="1"/>
  <c r="J295" i="72"/>
  <c r="U295" i="72" s="1"/>
  <c r="AF295" i="72" s="1"/>
  <c r="F295" i="72"/>
  <c r="Q295" i="72" s="1"/>
  <c r="AB295" i="72" s="1"/>
  <c r="I295" i="72"/>
  <c r="T295" i="72" s="1"/>
  <c r="AE295" i="72" s="1"/>
  <c r="E295" i="72"/>
  <c r="P295" i="72" s="1"/>
  <c r="H295" i="72"/>
  <c r="S295" i="72" s="1"/>
  <c r="AD295" i="72" s="1"/>
  <c r="D295" i="72"/>
  <c r="O295" i="72" s="1"/>
  <c r="Z295" i="72" s="1"/>
  <c r="K339" i="72"/>
  <c r="V339" i="72" s="1"/>
  <c r="AG339" i="72" s="1"/>
  <c r="G339" i="72"/>
  <c r="R339" i="72" s="1"/>
  <c r="AC339" i="72" s="1"/>
  <c r="J339" i="72"/>
  <c r="U339" i="72" s="1"/>
  <c r="AF339" i="72" s="1"/>
  <c r="F339" i="72"/>
  <c r="Q339" i="72" s="1"/>
  <c r="AB339" i="72" s="1"/>
  <c r="I339" i="72"/>
  <c r="T339" i="72" s="1"/>
  <c r="AE339" i="72" s="1"/>
  <c r="E339" i="72"/>
  <c r="P339" i="72" s="1"/>
  <c r="H339" i="72"/>
  <c r="S339" i="72" s="1"/>
  <c r="AD339" i="72" s="1"/>
  <c r="D339" i="72"/>
  <c r="O339" i="72" s="1"/>
  <c r="Z339" i="72" s="1"/>
  <c r="K31" i="72"/>
  <c r="V31" i="72" s="1"/>
  <c r="AG31" i="72" s="1"/>
  <c r="G31" i="72"/>
  <c r="R31" i="72" s="1"/>
  <c r="AC31" i="72" s="1"/>
  <c r="J31" i="72"/>
  <c r="U31" i="72" s="1"/>
  <c r="AF31" i="72" s="1"/>
  <c r="F31" i="72"/>
  <c r="Q31" i="72" s="1"/>
  <c r="AB31" i="72" s="1"/>
  <c r="I31" i="72"/>
  <c r="T31" i="72" s="1"/>
  <c r="AE31" i="72" s="1"/>
  <c r="E31" i="72"/>
  <c r="P31" i="72" s="1"/>
  <c r="H31" i="72"/>
  <c r="S31" i="72" s="1"/>
  <c r="AD31" i="72" s="1"/>
  <c r="D31" i="72"/>
  <c r="O31" i="72" s="1"/>
  <c r="Z31" i="72" s="1"/>
  <c r="K251" i="72"/>
  <c r="V251" i="72" s="1"/>
  <c r="AG251" i="72" s="1"/>
  <c r="G251" i="72"/>
  <c r="R251" i="72" s="1"/>
  <c r="AC251" i="72" s="1"/>
  <c r="J251" i="72"/>
  <c r="U251" i="72" s="1"/>
  <c r="AF251" i="72" s="1"/>
  <c r="F251" i="72"/>
  <c r="Q251" i="72" s="1"/>
  <c r="AB251" i="72" s="1"/>
  <c r="I251" i="72"/>
  <c r="T251" i="72" s="1"/>
  <c r="AE251" i="72" s="1"/>
  <c r="E251" i="72"/>
  <c r="P251" i="72" s="1"/>
  <c r="H251" i="72"/>
  <c r="S251" i="72" s="1"/>
  <c r="AD251" i="72" s="1"/>
  <c r="D251" i="72"/>
  <c r="O251" i="72" s="1"/>
  <c r="Z251" i="72" s="1"/>
  <c r="K515" i="72"/>
  <c r="V515" i="72" s="1"/>
  <c r="AG515" i="72" s="1"/>
  <c r="G515" i="72"/>
  <c r="R515" i="72" s="1"/>
  <c r="AC515" i="72" s="1"/>
  <c r="J515" i="72"/>
  <c r="U515" i="72" s="1"/>
  <c r="AF515" i="72" s="1"/>
  <c r="F515" i="72"/>
  <c r="Q515" i="72" s="1"/>
  <c r="AB515" i="72" s="1"/>
  <c r="I515" i="72"/>
  <c r="T515" i="72" s="1"/>
  <c r="AE515" i="72" s="1"/>
  <c r="E515" i="72"/>
  <c r="P515" i="72" s="1"/>
  <c r="H515" i="72"/>
  <c r="S515" i="72" s="1"/>
  <c r="AD515" i="72" s="1"/>
  <c r="D515" i="72"/>
  <c r="O515" i="72" s="1"/>
  <c r="Z515" i="72" s="1"/>
  <c r="K76" i="72"/>
  <c r="V76" i="72" s="1"/>
  <c r="AG76" i="72" s="1"/>
  <c r="G76" i="72"/>
  <c r="R76" i="72" s="1"/>
  <c r="AC76" i="72" s="1"/>
  <c r="J76" i="72"/>
  <c r="U76" i="72" s="1"/>
  <c r="AF76" i="72" s="1"/>
  <c r="F76" i="72"/>
  <c r="Q76" i="72" s="1"/>
  <c r="AB76" i="72" s="1"/>
  <c r="I76" i="72"/>
  <c r="T76" i="72" s="1"/>
  <c r="AE76" i="72" s="1"/>
  <c r="E76" i="72"/>
  <c r="P76" i="72" s="1"/>
  <c r="H76" i="72"/>
  <c r="S76" i="72" s="1"/>
  <c r="AD76" i="72" s="1"/>
  <c r="D76" i="72"/>
  <c r="O76" i="72" s="1"/>
  <c r="Z76" i="72" s="1"/>
  <c r="K119" i="72"/>
  <c r="V119" i="72" s="1"/>
  <c r="AG119" i="72" s="1"/>
  <c r="G119" i="72"/>
  <c r="R119" i="72" s="1"/>
  <c r="AC119" i="72" s="1"/>
  <c r="J119" i="72"/>
  <c r="U119" i="72" s="1"/>
  <c r="AF119" i="72" s="1"/>
  <c r="F119" i="72"/>
  <c r="Q119" i="72" s="1"/>
  <c r="AB119" i="72" s="1"/>
  <c r="I119" i="72"/>
  <c r="T119" i="72" s="1"/>
  <c r="AE119" i="72" s="1"/>
  <c r="E119" i="72"/>
  <c r="P119" i="72" s="1"/>
  <c r="AA119" i="72" s="1"/>
  <c r="H119" i="72"/>
  <c r="S119" i="72" s="1"/>
  <c r="AD119" i="72" s="1"/>
  <c r="D119" i="72"/>
  <c r="O119" i="72" s="1"/>
  <c r="ER32" i="6"/>
  <c r="EU32" i="6"/>
  <c r="ER34" i="5"/>
  <c r="EU34" i="5"/>
  <c r="L250" i="72"/>
  <c r="M250" i="72" s="1"/>
  <c r="FB34" i="10"/>
  <c r="BH34" i="10" s="1"/>
  <c r="A32" i="40"/>
  <c r="A296" i="72"/>
  <c r="K25" i="42"/>
  <c r="L25" i="42" s="1"/>
  <c r="E25" i="42" s="1"/>
  <c r="D64" i="42" s="1"/>
  <c r="E64" i="42" s="1"/>
  <c r="BA37" i="35"/>
  <c r="BN35" i="11"/>
  <c r="BJ34" i="11"/>
  <c r="FB32" i="12"/>
  <c r="BH32" i="12" s="1"/>
  <c r="A384" i="72"/>
  <c r="A30" i="42"/>
  <c r="I28" i="42"/>
  <c r="BJ36" i="9"/>
  <c r="BN37" i="9"/>
  <c r="BF380" i="72"/>
  <c r="BC380" i="72"/>
  <c r="BD380" i="72" s="1"/>
  <c r="BN32" i="14"/>
  <c r="BJ31" i="14"/>
  <c r="BC336" i="72"/>
  <c r="BD336" i="72" s="1"/>
  <c r="BF336" i="72"/>
  <c r="A38" i="18"/>
  <c r="A32" i="72"/>
  <c r="FB40" i="4"/>
  <c r="BH40" i="4" s="1"/>
  <c r="AY425" i="72"/>
  <c r="ER24" i="14"/>
  <c r="K22" i="45"/>
  <c r="L22" i="45" s="1"/>
  <c r="E22" i="45" s="1"/>
  <c r="D61" i="45" s="1"/>
  <c r="E61" i="45" s="1"/>
  <c r="ER24" i="15"/>
  <c r="EU24" i="15"/>
  <c r="BA35" i="36"/>
  <c r="BG74" i="72"/>
  <c r="BB74" i="72"/>
  <c r="BN31" i="15"/>
  <c r="BJ30" i="15"/>
  <c r="A29" i="43"/>
  <c r="A428" i="72"/>
  <c r="FB31" i="13"/>
  <c r="BH31" i="13" s="1"/>
  <c r="A208" i="72"/>
  <c r="A34" i="38"/>
  <c r="FB36" i="8"/>
  <c r="BH36" i="8" s="1"/>
  <c r="BA31" i="40"/>
  <c r="I26" i="44"/>
  <c r="L470" i="72"/>
  <c r="M470" i="72" s="1"/>
  <c r="BG117" i="72"/>
  <c r="BB117" i="72"/>
  <c r="FB40" i="5"/>
  <c r="BH40" i="5" s="1"/>
  <c r="A38" i="35"/>
  <c r="A77" i="72"/>
  <c r="I25" i="45"/>
  <c r="BG513" i="72"/>
  <c r="BB513" i="72"/>
  <c r="BA29" i="42"/>
  <c r="L382" i="72"/>
  <c r="M382" i="72" s="1"/>
  <c r="I30" i="40"/>
  <c r="L294" i="72"/>
  <c r="M294" i="72" s="1"/>
  <c r="BA27" i="44"/>
  <c r="BA37" i="18"/>
  <c r="BE37" i="18" s="1"/>
  <c r="I36" i="35"/>
  <c r="L75" i="72"/>
  <c r="M75" i="72" s="1"/>
  <c r="BG161" i="72"/>
  <c r="BB161" i="72"/>
  <c r="L338" i="72"/>
  <c r="M338" i="72" s="1"/>
  <c r="BB249" i="72"/>
  <c r="BG249" i="72"/>
  <c r="BC512" i="72"/>
  <c r="BD512" i="72" s="1"/>
  <c r="BF512" i="72"/>
  <c r="K23" i="44"/>
  <c r="L23" i="44" s="1"/>
  <c r="E23" i="44" s="1"/>
  <c r="D62" i="44" s="1"/>
  <c r="E62" i="44" s="1"/>
  <c r="BG469" i="72"/>
  <c r="BB469" i="72"/>
  <c r="BN40" i="6"/>
  <c r="BJ39" i="6"/>
  <c r="BA26" i="45"/>
  <c r="BF116" i="72"/>
  <c r="BC116" i="72"/>
  <c r="BD116" i="72" s="1"/>
  <c r="AM116" i="72" s="1"/>
  <c r="AP116" i="72" s="1"/>
  <c r="A164" i="72"/>
  <c r="A35" i="37"/>
  <c r="FB37" i="7"/>
  <c r="BH37" i="7" s="1"/>
  <c r="BN39" i="7"/>
  <c r="BJ38" i="7"/>
  <c r="I31" i="39"/>
  <c r="BA28" i="43"/>
  <c r="K27" i="40"/>
  <c r="L27" i="40" s="1"/>
  <c r="E27" i="40" s="1"/>
  <c r="D66" i="40" s="1"/>
  <c r="E66" i="40" s="1"/>
  <c r="BA33" i="38"/>
  <c r="BN36" i="10"/>
  <c r="BJ35" i="10"/>
  <c r="BG381" i="72"/>
  <c r="BB381" i="72"/>
  <c r="AY381" i="72"/>
  <c r="BF292" i="72"/>
  <c r="BC292" i="72"/>
  <c r="BD292" i="72" s="1"/>
  <c r="AQ468" i="72"/>
  <c r="FB33" i="11"/>
  <c r="BH33" i="11" s="1"/>
  <c r="A340" i="72"/>
  <c r="A31" i="41"/>
  <c r="BC160" i="72"/>
  <c r="BD160" i="72" s="1"/>
  <c r="BF160" i="72"/>
  <c r="K26" i="41"/>
  <c r="L26" i="41" s="1"/>
  <c r="E26" i="41" s="1"/>
  <c r="D65" i="41" s="1"/>
  <c r="E65" i="41" s="1"/>
  <c r="BN34" i="12"/>
  <c r="BJ33" i="12"/>
  <c r="K33" i="35"/>
  <c r="L33" i="35" s="1"/>
  <c r="E33" i="35" s="1"/>
  <c r="D72" i="35" s="1"/>
  <c r="K31" i="36"/>
  <c r="L31" i="36" s="1"/>
  <c r="E31" i="36" s="1"/>
  <c r="D70" i="36" s="1"/>
  <c r="L162" i="72"/>
  <c r="M162" i="72" s="1"/>
  <c r="AY337" i="72"/>
  <c r="BG337" i="72"/>
  <c r="BB337" i="72"/>
  <c r="A33" i="39"/>
  <c r="FB35" i="9"/>
  <c r="BH35" i="9" s="1"/>
  <c r="A252" i="72"/>
  <c r="L206" i="72"/>
  <c r="M206" i="72" s="1"/>
  <c r="A472" i="72"/>
  <c r="A28" i="44"/>
  <c r="FB30" i="14"/>
  <c r="BH30" i="14" s="1"/>
  <c r="BN42" i="4"/>
  <c r="BJ41" i="4"/>
  <c r="BF248" i="72"/>
  <c r="BC248" i="72"/>
  <c r="BD248" i="72" s="1"/>
  <c r="I29" i="41"/>
  <c r="BG425" i="72"/>
  <c r="BB425" i="72"/>
  <c r="K28" i="39"/>
  <c r="L28" i="39" s="1"/>
  <c r="E28" i="39" s="1"/>
  <c r="D67" i="39" s="1"/>
  <c r="E67" i="39" s="1"/>
  <c r="AY74" i="72"/>
  <c r="FB29" i="15"/>
  <c r="BH29" i="15" s="1"/>
  <c r="GC29" i="15" s="1"/>
  <c r="FX353" i="34" s="1"/>
  <c r="A516" i="72"/>
  <c r="A27" i="45"/>
  <c r="BF204" i="72"/>
  <c r="BC204" i="72"/>
  <c r="BD204" i="72" s="1"/>
  <c r="BA34" i="37"/>
  <c r="ER23" i="15"/>
  <c r="BN33" i="13"/>
  <c r="BJ32" i="13"/>
  <c r="BN38" i="8"/>
  <c r="BJ37" i="8"/>
  <c r="AY117" i="72"/>
  <c r="I36" i="18"/>
  <c r="BC424" i="72"/>
  <c r="BD424" i="72" s="1"/>
  <c r="AM424" i="72" s="1"/>
  <c r="AP424" i="72" s="1"/>
  <c r="BF424" i="72"/>
  <c r="BN42" i="5"/>
  <c r="BJ41" i="5"/>
  <c r="K30" i="37"/>
  <c r="L30" i="37" s="1"/>
  <c r="E30" i="37" s="1"/>
  <c r="D69" i="37" s="1"/>
  <c r="BF468" i="72"/>
  <c r="BC468" i="72"/>
  <c r="BD468" i="72" s="1"/>
  <c r="BA30" i="41"/>
  <c r="BE30" i="41" s="1"/>
  <c r="AY205" i="72"/>
  <c r="BG205" i="72"/>
  <c r="BB205" i="72"/>
  <c r="I34" i="36"/>
  <c r="L118" i="72"/>
  <c r="M118" i="72" s="1"/>
  <c r="L514" i="72"/>
  <c r="M514" i="72" s="1"/>
  <c r="AY513" i="72"/>
  <c r="I33" i="37"/>
  <c r="BA32" i="39"/>
  <c r="L426" i="72"/>
  <c r="M426" i="72" s="1"/>
  <c r="I27" i="43"/>
  <c r="I32" i="38"/>
  <c r="K29" i="38"/>
  <c r="L29" i="38" s="1"/>
  <c r="E29" i="38" s="1"/>
  <c r="D68" i="38" s="1"/>
  <c r="K24" i="43"/>
  <c r="L24" i="43" s="1"/>
  <c r="E24" i="43" s="1"/>
  <c r="D63" i="43" s="1"/>
  <c r="E63" i="43" s="1"/>
  <c r="AY161" i="72"/>
  <c r="AY249" i="72"/>
  <c r="BF73" i="72"/>
  <c r="BC73" i="72"/>
  <c r="BD73" i="72" s="1"/>
  <c r="AM73" i="72" s="1"/>
  <c r="AP73" i="72" s="1"/>
  <c r="AY293" i="72"/>
  <c r="BG293" i="72"/>
  <c r="BB293" i="72"/>
  <c r="AY469" i="72"/>
  <c r="A120" i="72"/>
  <c r="FB38" i="6"/>
  <c r="BH38" i="6" s="1"/>
  <c r="A36" i="36"/>
  <c r="ER30" i="9" l="1"/>
  <c r="BC35" i="8"/>
  <c r="ER27" i="12"/>
  <c r="J33" i="38"/>
  <c r="J37" i="18"/>
  <c r="ER32" i="7"/>
  <c r="G66" i="40"/>
  <c r="F66" i="40"/>
  <c r="G65" i="41"/>
  <c r="F65" i="41"/>
  <c r="F62" i="44"/>
  <c r="G62" i="44"/>
  <c r="G67" i="39"/>
  <c r="F67" i="39"/>
  <c r="G64" i="42"/>
  <c r="F64" i="42"/>
  <c r="G61" i="45"/>
  <c r="F61" i="45"/>
  <c r="G63" i="43"/>
  <c r="F63" i="43"/>
  <c r="J26" i="45"/>
  <c r="ER31" i="8"/>
  <c r="ER28" i="11"/>
  <c r="J34" i="37"/>
  <c r="J37" i="35"/>
  <c r="J27" i="44"/>
  <c r="J31" i="40"/>
  <c r="J30" i="41"/>
  <c r="GC30" i="14"/>
  <c r="FX323" i="34" s="1"/>
  <c r="GC32" i="12"/>
  <c r="FX263" i="34" s="1"/>
  <c r="GC34" i="10"/>
  <c r="FX203" i="34" s="1"/>
  <c r="GC37" i="7"/>
  <c r="FX113" i="34" s="1"/>
  <c r="GC40" i="5"/>
  <c r="FX54" i="34" s="1"/>
  <c r="GC40" i="4"/>
  <c r="FX23" i="34" s="1"/>
  <c r="GC35" i="9"/>
  <c r="FX173" i="34" s="1"/>
  <c r="GC33" i="11"/>
  <c r="FX233" i="34" s="1"/>
  <c r="GC31" i="13"/>
  <c r="FX293" i="34" s="1"/>
  <c r="GC38" i="6"/>
  <c r="FX83" i="34" s="1"/>
  <c r="GC36" i="8"/>
  <c r="FX143" i="34" s="1"/>
  <c r="AI250" i="72"/>
  <c r="AI294" i="72"/>
  <c r="AQ294" i="72" s="1"/>
  <c r="AI30" i="72"/>
  <c r="AI426" i="72"/>
  <c r="AQ426" i="72" s="1"/>
  <c r="AI470" i="72"/>
  <c r="AI338" i="72"/>
  <c r="AQ338" i="72" s="1"/>
  <c r="AI162" i="72"/>
  <c r="AQ162" i="72" s="1"/>
  <c r="AI206" i="72"/>
  <c r="AQ206" i="72" s="1"/>
  <c r="AI514" i="72"/>
  <c r="AQ514" i="72" s="1"/>
  <c r="AA76" i="72"/>
  <c r="W76" i="72"/>
  <c r="X76" i="72" s="1"/>
  <c r="AA515" i="72"/>
  <c r="W515" i="72"/>
  <c r="X515" i="72" s="1"/>
  <c r="AA251" i="72"/>
  <c r="W251" i="72"/>
  <c r="X251" i="72" s="1"/>
  <c r="AA31" i="72"/>
  <c r="W31" i="72"/>
  <c r="X31" i="72" s="1"/>
  <c r="AA339" i="72"/>
  <c r="W339" i="72"/>
  <c r="X339" i="72" s="1"/>
  <c r="W295" i="72"/>
  <c r="X295" i="72" s="1"/>
  <c r="AA295" i="72"/>
  <c r="W163" i="72"/>
  <c r="X163" i="72" s="1"/>
  <c r="AA163" i="72"/>
  <c r="W207" i="72"/>
  <c r="X207" i="72" s="1"/>
  <c r="AA207" i="72"/>
  <c r="W471" i="72"/>
  <c r="X471" i="72" s="1"/>
  <c r="AA471" i="72"/>
  <c r="W383" i="72"/>
  <c r="X383" i="72" s="1"/>
  <c r="AA383" i="72"/>
  <c r="W119" i="72"/>
  <c r="X119" i="72" s="1"/>
  <c r="Z119" i="72"/>
  <c r="W427" i="72"/>
  <c r="X427" i="72" s="1"/>
  <c r="Z427" i="72"/>
  <c r="AI382" i="72"/>
  <c r="AQ382" i="72" s="1"/>
  <c r="AI75" i="72"/>
  <c r="AQ75" i="72" s="1"/>
  <c r="AI118" i="72"/>
  <c r="BE51" i="41"/>
  <c r="BE53" i="41"/>
  <c r="FS40" i="4"/>
  <c r="BE40" i="4"/>
  <c r="BC40" i="4" s="1"/>
  <c r="ER29" i="10"/>
  <c r="ER26" i="13"/>
  <c r="AP423" i="72"/>
  <c r="EU26" i="13" s="1"/>
  <c r="ER25" i="14"/>
  <c r="AP467" i="72"/>
  <c r="EU25" i="14" s="1"/>
  <c r="J29" i="42"/>
  <c r="J35" i="36"/>
  <c r="J28" i="43"/>
  <c r="J32" i="39"/>
  <c r="FS40" i="5"/>
  <c r="BE40" i="5"/>
  <c r="BC40" i="5" s="1"/>
  <c r="FS29" i="15"/>
  <c r="BE29" i="15"/>
  <c r="BC29" i="15" s="1"/>
  <c r="FS37" i="7"/>
  <c r="BE37" i="7"/>
  <c r="BC37" i="7" s="1"/>
  <c r="FS32" i="12"/>
  <c r="BE32" i="12"/>
  <c r="BC32" i="12" s="1"/>
  <c r="FS38" i="6"/>
  <c r="BE38" i="6"/>
  <c r="BC38" i="6" s="1"/>
  <c r="FS30" i="14"/>
  <c r="BE30" i="14"/>
  <c r="BC30" i="14" s="1"/>
  <c r="FS34" i="10"/>
  <c r="BE34" i="10"/>
  <c r="BC34" i="10" s="1"/>
  <c r="FS35" i="9"/>
  <c r="BE35" i="9"/>
  <c r="BC35" i="9" s="1"/>
  <c r="FS33" i="11"/>
  <c r="BE33" i="11"/>
  <c r="BC33" i="11" s="1"/>
  <c r="FS31" i="13"/>
  <c r="BE31" i="13"/>
  <c r="BC31" i="13" s="1"/>
  <c r="FS36" i="8"/>
  <c r="BE36" i="8"/>
  <c r="BC36" i="8" s="1"/>
  <c r="ED251" i="72"/>
  <c r="EE251" i="72" s="1"/>
  <c r="EV33" i="8"/>
  <c r="AA33" i="8" s="1"/>
  <c r="EV30" i="11"/>
  <c r="AA30" i="11" s="1"/>
  <c r="EV26" i="15"/>
  <c r="AA26" i="15" s="1"/>
  <c r="EV37" i="5"/>
  <c r="AA37" i="5" s="1"/>
  <c r="EV35" i="6"/>
  <c r="AA35" i="6" s="1"/>
  <c r="EV31" i="10"/>
  <c r="AA31" i="10" s="1"/>
  <c r="EV28" i="13"/>
  <c r="AA28" i="13" s="1"/>
  <c r="EV29" i="12"/>
  <c r="AA29" i="12" s="1"/>
  <c r="EV27" i="14"/>
  <c r="AA27" i="14" s="1"/>
  <c r="EV32" i="9"/>
  <c r="AA32" i="9" s="1"/>
  <c r="EV34" i="7"/>
  <c r="AA34" i="7" s="1"/>
  <c r="H36" i="36"/>
  <c r="EM36" i="36"/>
  <c r="CD426" i="72"/>
  <c r="AM468" i="72"/>
  <c r="CD118" i="72"/>
  <c r="H27" i="45"/>
  <c r="EM27" i="45"/>
  <c r="DZ472" i="72"/>
  <c r="DV472" i="72"/>
  <c r="EC472" i="72"/>
  <c r="DY472" i="72"/>
  <c r="DU472" i="72"/>
  <c r="EB472" i="72"/>
  <c r="DX472" i="72"/>
  <c r="EH472" i="72"/>
  <c r="EI472" i="72" s="1"/>
  <c r="EA472" i="72"/>
  <c r="DW472" i="72"/>
  <c r="H33" i="39"/>
  <c r="EM33" i="39"/>
  <c r="CD162" i="72"/>
  <c r="AM160" i="72"/>
  <c r="AP160" i="72" s="1"/>
  <c r="EU33" i="7" s="1"/>
  <c r="EH164" i="72"/>
  <c r="EI164" i="72" s="1"/>
  <c r="EA164" i="72"/>
  <c r="DW164" i="72"/>
  <c r="DZ164" i="72"/>
  <c r="DV164" i="72"/>
  <c r="EC164" i="72"/>
  <c r="DY164" i="72"/>
  <c r="DU164" i="72"/>
  <c r="EB164" i="72"/>
  <c r="DX164" i="72"/>
  <c r="AM512" i="72"/>
  <c r="AP512" i="72" s="1"/>
  <c r="EU25" i="15" s="1"/>
  <c r="CD382" i="72"/>
  <c r="H38" i="35"/>
  <c r="EM38" i="35"/>
  <c r="CD470" i="72"/>
  <c r="EC428" i="72"/>
  <c r="DY428" i="72"/>
  <c r="DU428" i="72"/>
  <c r="EB428" i="72"/>
  <c r="DX428" i="72"/>
  <c r="EH428" i="72"/>
  <c r="EI428" i="72" s="1"/>
  <c r="EA428" i="72"/>
  <c r="DW428" i="72"/>
  <c r="DZ428" i="72"/>
  <c r="DV428" i="72"/>
  <c r="AM336" i="72"/>
  <c r="AP336" i="72" s="1"/>
  <c r="EU29" i="11" s="1"/>
  <c r="EC296" i="72"/>
  <c r="DY296" i="72"/>
  <c r="DU296" i="72"/>
  <c r="EB296" i="72"/>
  <c r="DX296" i="72"/>
  <c r="EH296" i="72"/>
  <c r="EI296" i="72" s="1"/>
  <c r="EA296" i="72"/>
  <c r="DW296" i="72"/>
  <c r="DZ296" i="72"/>
  <c r="DV296" i="72"/>
  <c r="ED515" i="72"/>
  <c r="EE515" i="72" s="1"/>
  <c r="EB516" i="72"/>
  <c r="DX516" i="72"/>
  <c r="EH516" i="72"/>
  <c r="EI516" i="72" s="1"/>
  <c r="EA516" i="72"/>
  <c r="DW516" i="72"/>
  <c r="DZ516" i="72"/>
  <c r="DV516" i="72"/>
  <c r="EC516" i="72"/>
  <c r="DY516" i="72"/>
  <c r="DU516" i="72"/>
  <c r="H34" i="38"/>
  <c r="EM34" i="38"/>
  <c r="H29" i="43"/>
  <c r="EM29" i="43"/>
  <c r="EC32" i="72"/>
  <c r="DY32" i="72"/>
  <c r="DU32" i="72"/>
  <c r="EB32" i="72"/>
  <c r="DX32" i="72"/>
  <c r="EH32" i="72"/>
  <c r="EI32" i="72" s="1"/>
  <c r="EA32" i="72"/>
  <c r="DW32" i="72"/>
  <c r="DZ32" i="72"/>
  <c r="DV32" i="72"/>
  <c r="H32" i="40"/>
  <c r="EM32" i="40"/>
  <c r="ED207" i="72"/>
  <c r="EE207" i="72" s="1"/>
  <c r="ED295" i="72"/>
  <c r="EE295" i="72" s="1"/>
  <c r="EC120" i="72"/>
  <c r="DY120" i="72"/>
  <c r="DU120" i="72"/>
  <c r="DZ120" i="72"/>
  <c r="DV120" i="72"/>
  <c r="DX120" i="72"/>
  <c r="EH120" i="72"/>
  <c r="EI120" i="72" s="1"/>
  <c r="DW120" i="72"/>
  <c r="EB120" i="72"/>
  <c r="EA120" i="72"/>
  <c r="CD206" i="72"/>
  <c r="H31" i="41"/>
  <c r="EM31" i="41"/>
  <c r="AM292" i="72"/>
  <c r="AM204" i="72"/>
  <c r="AP204" i="72" s="1"/>
  <c r="EU32" i="8" s="1"/>
  <c r="AM248" i="72"/>
  <c r="EH252" i="72"/>
  <c r="EI252" i="72" s="1"/>
  <c r="EA252" i="72"/>
  <c r="DW252" i="72"/>
  <c r="DZ252" i="72"/>
  <c r="DV252" i="72"/>
  <c r="EC252" i="72"/>
  <c r="DY252" i="72"/>
  <c r="DU252" i="72"/>
  <c r="EB252" i="72"/>
  <c r="DX252" i="72"/>
  <c r="EH340" i="72"/>
  <c r="EI340" i="72" s="1"/>
  <c r="EA340" i="72"/>
  <c r="DW340" i="72"/>
  <c r="DZ340" i="72"/>
  <c r="DV340" i="72"/>
  <c r="EC340" i="72"/>
  <c r="DY340" i="72"/>
  <c r="DU340" i="72"/>
  <c r="EB340" i="72"/>
  <c r="DX340" i="72"/>
  <c r="CD75" i="72"/>
  <c r="CD294" i="72"/>
  <c r="EC208" i="72"/>
  <c r="DY208" i="72"/>
  <c r="DU208" i="72"/>
  <c r="EB208" i="72"/>
  <c r="DX208" i="72"/>
  <c r="EH208" i="72"/>
  <c r="EI208" i="72" s="1"/>
  <c r="EA208" i="72"/>
  <c r="DW208" i="72"/>
  <c r="DZ208" i="72"/>
  <c r="DV208" i="72"/>
  <c r="H38" i="18"/>
  <c r="EM38" i="18"/>
  <c r="H30" i="42"/>
  <c r="EM30" i="42"/>
  <c r="CD250" i="72"/>
  <c r="ED163" i="72"/>
  <c r="EE163" i="72" s="1"/>
  <c r="ED76" i="72"/>
  <c r="EE76" i="72" s="1"/>
  <c r="ED471" i="72"/>
  <c r="EE471" i="72" s="1"/>
  <c r="ED339" i="72"/>
  <c r="EE339" i="72" s="1"/>
  <c r="ED119" i="72"/>
  <c r="EE119" i="72" s="1"/>
  <c r="CD514" i="72"/>
  <c r="H28" i="44"/>
  <c r="EM28" i="44"/>
  <c r="H35" i="37"/>
  <c r="EM35" i="37"/>
  <c r="CD338" i="72"/>
  <c r="EB77" i="72"/>
  <c r="DX77" i="72"/>
  <c r="EH77" i="72"/>
  <c r="EI77" i="72" s="1"/>
  <c r="EA77" i="72"/>
  <c r="DW77" i="72"/>
  <c r="DZ77" i="72"/>
  <c r="DV77" i="72"/>
  <c r="EC77" i="72"/>
  <c r="DY77" i="72"/>
  <c r="DU77" i="72"/>
  <c r="AM380" i="72"/>
  <c r="EC384" i="72"/>
  <c r="DY384" i="72"/>
  <c r="DU384" i="72"/>
  <c r="EB384" i="72"/>
  <c r="DX384" i="72"/>
  <c r="EH384" i="72"/>
  <c r="EI384" i="72" s="1"/>
  <c r="EA384" i="72"/>
  <c r="DW384" i="72"/>
  <c r="DZ384" i="72"/>
  <c r="DV384" i="72"/>
  <c r="ED383" i="72"/>
  <c r="EE383" i="72" s="1"/>
  <c r="ED31" i="72"/>
  <c r="EE31" i="72" s="1"/>
  <c r="EN37" i="18" s="1"/>
  <c r="ED427" i="72"/>
  <c r="EE427" i="72" s="1"/>
  <c r="K120" i="72"/>
  <c r="V120" i="72" s="1"/>
  <c r="AG120" i="72" s="1"/>
  <c r="G120" i="72"/>
  <c r="R120" i="72" s="1"/>
  <c r="AC120" i="72" s="1"/>
  <c r="J120" i="72"/>
  <c r="U120" i="72" s="1"/>
  <c r="AF120" i="72" s="1"/>
  <c r="F120" i="72"/>
  <c r="Q120" i="72" s="1"/>
  <c r="AB120" i="72" s="1"/>
  <c r="I120" i="72"/>
  <c r="T120" i="72" s="1"/>
  <c r="AE120" i="72" s="1"/>
  <c r="E120" i="72"/>
  <c r="P120" i="72" s="1"/>
  <c r="H120" i="72"/>
  <c r="S120" i="72" s="1"/>
  <c r="AD120" i="72" s="1"/>
  <c r="D120" i="72"/>
  <c r="O120" i="72" s="1"/>
  <c r="Z120" i="72" s="1"/>
  <c r="K252" i="72"/>
  <c r="V252" i="72" s="1"/>
  <c r="AG252" i="72" s="1"/>
  <c r="G252" i="72"/>
  <c r="R252" i="72" s="1"/>
  <c r="AC252" i="72" s="1"/>
  <c r="J252" i="72"/>
  <c r="U252" i="72" s="1"/>
  <c r="AF252" i="72" s="1"/>
  <c r="F252" i="72"/>
  <c r="Q252" i="72" s="1"/>
  <c r="AB252" i="72" s="1"/>
  <c r="I252" i="72"/>
  <c r="T252" i="72" s="1"/>
  <c r="AE252" i="72" s="1"/>
  <c r="E252" i="72"/>
  <c r="P252" i="72" s="1"/>
  <c r="H252" i="72"/>
  <c r="S252" i="72" s="1"/>
  <c r="AD252" i="72" s="1"/>
  <c r="D252" i="72"/>
  <c r="O252" i="72" s="1"/>
  <c r="Z252" i="72" s="1"/>
  <c r="K340" i="72"/>
  <c r="V340" i="72" s="1"/>
  <c r="AG340" i="72" s="1"/>
  <c r="G340" i="72"/>
  <c r="R340" i="72" s="1"/>
  <c r="AC340" i="72" s="1"/>
  <c r="J340" i="72"/>
  <c r="U340" i="72" s="1"/>
  <c r="AF340" i="72" s="1"/>
  <c r="F340" i="72"/>
  <c r="Q340" i="72" s="1"/>
  <c r="AB340" i="72" s="1"/>
  <c r="I340" i="72"/>
  <c r="T340" i="72" s="1"/>
  <c r="AE340" i="72" s="1"/>
  <c r="E340" i="72"/>
  <c r="P340" i="72" s="1"/>
  <c r="H340" i="72"/>
  <c r="S340" i="72" s="1"/>
  <c r="AD340" i="72" s="1"/>
  <c r="D340" i="72"/>
  <c r="O340" i="72" s="1"/>
  <c r="Z340" i="72" s="1"/>
  <c r="K164" i="72"/>
  <c r="V164" i="72" s="1"/>
  <c r="AG164" i="72" s="1"/>
  <c r="G164" i="72"/>
  <c r="R164" i="72" s="1"/>
  <c r="AC164" i="72" s="1"/>
  <c r="J164" i="72"/>
  <c r="U164" i="72" s="1"/>
  <c r="AF164" i="72" s="1"/>
  <c r="F164" i="72"/>
  <c r="Q164" i="72" s="1"/>
  <c r="AB164" i="72" s="1"/>
  <c r="I164" i="72"/>
  <c r="T164" i="72" s="1"/>
  <c r="AE164" i="72" s="1"/>
  <c r="E164" i="72"/>
  <c r="P164" i="72" s="1"/>
  <c r="AA164" i="72" s="1"/>
  <c r="H164" i="72"/>
  <c r="S164" i="72" s="1"/>
  <c r="AD164" i="72" s="1"/>
  <c r="D164" i="72"/>
  <c r="O164" i="72" s="1"/>
  <c r="K428" i="72"/>
  <c r="V428" i="72" s="1"/>
  <c r="AG428" i="72" s="1"/>
  <c r="G428" i="72"/>
  <c r="R428" i="72" s="1"/>
  <c r="AC428" i="72" s="1"/>
  <c r="J428" i="72"/>
  <c r="U428" i="72" s="1"/>
  <c r="AF428" i="72" s="1"/>
  <c r="F428" i="72"/>
  <c r="Q428" i="72" s="1"/>
  <c r="AB428" i="72" s="1"/>
  <c r="I428" i="72"/>
  <c r="T428" i="72" s="1"/>
  <c r="AE428" i="72" s="1"/>
  <c r="E428" i="72"/>
  <c r="P428" i="72" s="1"/>
  <c r="H428" i="72"/>
  <c r="S428" i="72" s="1"/>
  <c r="AD428" i="72" s="1"/>
  <c r="D428" i="72"/>
  <c r="O428" i="72" s="1"/>
  <c r="Z428" i="72" s="1"/>
  <c r="K384" i="72"/>
  <c r="V384" i="72" s="1"/>
  <c r="AG384" i="72" s="1"/>
  <c r="G384" i="72"/>
  <c r="R384" i="72" s="1"/>
  <c r="AC384" i="72" s="1"/>
  <c r="J384" i="72"/>
  <c r="U384" i="72" s="1"/>
  <c r="AF384" i="72" s="1"/>
  <c r="F384" i="72"/>
  <c r="Q384" i="72" s="1"/>
  <c r="AB384" i="72" s="1"/>
  <c r="I384" i="72"/>
  <c r="T384" i="72" s="1"/>
  <c r="AE384" i="72" s="1"/>
  <c r="E384" i="72"/>
  <c r="P384" i="72" s="1"/>
  <c r="H384" i="72"/>
  <c r="S384" i="72" s="1"/>
  <c r="AD384" i="72" s="1"/>
  <c r="D384" i="72"/>
  <c r="O384" i="72" s="1"/>
  <c r="Z384" i="72" s="1"/>
  <c r="K296" i="72"/>
  <c r="V296" i="72" s="1"/>
  <c r="AG296" i="72" s="1"/>
  <c r="G296" i="72"/>
  <c r="R296" i="72" s="1"/>
  <c r="AC296" i="72" s="1"/>
  <c r="J296" i="72"/>
  <c r="U296" i="72" s="1"/>
  <c r="AF296" i="72" s="1"/>
  <c r="F296" i="72"/>
  <c r="Q296" i="72" s="1"/>
  <c r="AB296" i="72" s="1"/>
  <c r="I296" i="72"/>
  <c r="T296" i="72" s="1"/>
  <c r="AE296" i="72" s="1"/>
  <c r="E296" i="72"/>
  <c r="P296" i="72" s="1"/>
  <c r="H296" i="72"/>
  <c r="S296" i="72" s="1"/>
  <c r="AD296" i="72" s="1"/>
  <c r="D296" i="72"/>
  <c r="O296" i="72" s="1"/>
  <c r="Z296" i="72" s="1"/>
  <c r="K472" i="72"/>
  <c r="V472" i="72" s="1"/>
  <c r="AG472" i="72" s="1"/>
  <c r="G472" i="72"/>
  <c r="R472" i="72" s="1"/>
  <c r="AC472" i="72" s="1"/>
  <c r="J472" i="72"/>
  <c r="U472" i="72" s="1"/>
  <c r="AF472" i="72" s="1"/>
  <c r="F472" i="72"/>
  <c r="Q472" i="72" s="1"/>
  <c r="AB472" i="72" s="1"/>
  <c r="I472" i="72"/>
  <c r="T472" i="72" s="1"/>
  <c r="AE472" i="72" s="1"/>
  <c r="E472" i="72"/>
  <c r="P472" i="72" s="1"/>
  <c r="AA472" i="72" s="1"/>
  <c r="H472" i="72"/>
  <c r="S472" i="72" s="1"/>
  <c r="AD472" i="72" s="1"/>
  <c r="D472" i="72"/>
  <c r="O472" i="72" s="1"/>
  <c r="K516" i="72"/>
  <c r="V516" i="72" s="1"/>
  <c r="AG516" i="72" s="1"/>
  <c r="G516" i="72"/>
  <c r="R516" i="72" s="1"/>
  <c r="AC516" i="72" s="1"/>
  <c r="J516" i="72"/>
  <c r="U516" i="72" s="1"/>
  <c r="AF516" i="72" s="1"/>
  <c r="F516" i="72"/>
  <c r="Q516" i="72" s="1"/>
  <c r="AB516" i="72" s="1"/>
  <c r="I516" i="72"/>
  <c r="T516" i="72" s="1"/>
  <c r="AE516" i="72" s="1"/>
  <c r="E516" i="72"/>
  <c r="P516" i="72" s="1"/>
  <c r="H516" i="72"/>
  <c r="S516" i="72" s="1"/>
  <c r="AD516" i="72" s="1"/>
  <c r="D516" i="72"/>
  <c r="O516" i="72" s="1"/>
  <c r="Z516" i="72" s="1"/>
  <c r="K77" i="72"/>
  <c r="V77" i="72" s="1"/>
  <c r="AG77" i="72" s="1"/>
  <c r="G77" i="72"/>
  <c r="R77" i="72" s="1"/>
  <c r="AC77" i="72" s="1"/>
  <c r="J77" i="72"/>
  <c r="U77" i="72" s="1"/>
  <c r="AF77" i="72" s="1"/>
  <c r="F77" i="72"/>
  <c r="Q77" i="72" s="1"/>
  <c r="AB77" i="72" s="1"/>
  <c r="I77" i="72"/>
  <c r="T77" i="72" s="1"/>
  <c r="AE77" i="72" s="1"/>
  <c r="E77" i="72"/>
  <c r="P77" i="72" s="1"/>
  <c r="H77" i="72"/>
  <c r="S77" i="72" s="1"/>
  <c r="AD77" i="72" s="1"/>
  <c r="D77" i="72"/>
  <c r="O77" i="72" s="1"/>
  <c r="Z77" i="72" s="1"/>
  <c r="K208" i="72"/>
  <c r="V208" i="72" s="1"/>
  <c r="AG208" i="72" s="1"/>
  <c r="G208" i="72"/>
  <c r="R208" i="72" s="1"/>
  <c r="AC208" i="72" s="1"/>
  <c r="J208" i="72"/>
  <c r="U208" i="72" s="1"/>
  <c r="AF208" i="72" s="1"/>
  <c r="F208" i="72"/>
  <c r="Q208" i="72" s="1"/>
  <c r="AB208" i="72" s="1"/>
  <c r="I208" i="72"/>
  <c r="T208" i="72" s="1"/>
  <c r="AE208" i="72" s="1"/>
  <c r="E208" i="72"/>
  <c r="P208" i="72" s="1"/>
  <c r="H208" i="72"/>
  <c r="S208" i="72" s="1"/>
  <c r="AD208" i="72" s="1"/>
  <c r="D208" i="72"/>
  <c r="O208" i="72" s="1"/>
  <c r="Z208" i="72" s="1"/>
  <c r="K32" i="72"/>
  <c r="V32" i="72" s="1"/>
  <c r="AG32" i="72" s="1"/>
  <c r="G32" i="72"/>
  <c r="R32" i="72" s="1"/>
  <c r="AC32" i="72" s="1"/>
  <c r="J32" i="72"/>
  <c r="U32" i="72" s="1"/>
  <c r="AF32" i="72" s="1"/>
  <c r="F32" i="72"/>
  <c r="Q32" i="72" s="1"/>
  <c r="AB32" i="72" s="1"/>
  <c r="I32" i="72"/>
  <c r="T32" i="72" s="1"/>
  <c r="AE32" i="72" s="1"/>
  <c r="E32" i="72"/>
  <c r="P32" i="72" s="1"/>
  <c r="H32" i="72"/>
  <c r="S32" i="72" s="1"/>
  <c r="AD32" i="72" s="1"/>
  <c r="D32" i="72"/>
  <c r="O32" i="72" s="1"/>
  <c r="Z32" i="72" s="1"/>
  <c r="BE50" i="41"/>
  <c r="ER33" i="6"/>
  <c r="EU33" i="6"/>
  <c r="ER35" i="5"/>
  <c r="EU35" i="5"/>
  <c r="I26" i="45"/>
  <c r="L515" i="72"/>
  <c r="M515" i="72" s="1"/>
  <c r="BA36" i="36"/>
  <c r="BF293" i="72"/>
  <c r="BC293" i="72"/>
  <c r="BD293" i="72" s="1"/>
  <c r="K34" i="35"/>
  <c r="L34" i="35" s="1"/>
  <c r="E34" i="35" s="1"/>
  <c r="D73" i="35" s="1"/>
  <c r="L471" i="72"/>
  <c r="M471" i="72" s="1"/>
  <c r="BG426" i="72"/>
  <c r="BB426" i="72"/>
  <c r="I29" i="42"/>
  <c r="AQ513" i="72"/>
  <c r="BG514" i="72"/>
  <c r="BB514" i="72"/>
  <c r="AQ118" i="72"/>
  <c r="BC205" i="72"/>
  <c r="BD205" i="72" s="1"/>
  <c r="BF205" i="72"/>
  <c r="BN43" i="5"/>
  <c r="BJ42" i="5"/>
  <c r="L295" i="72"/>
  <c r="M295" i="72" s="1"/>
  <c r="I31" i="40"/>
  <c r="BN39" i="8"/>
  <c r="BJ38" i="8"/>
  <c r="BN34" i="13"/>
  <c r="BJ33" i="13"/>
  <c r="K30" i="38"/>
  <c r="L30" i="38" s="1"/>
  <c r="E30" i="38" s="1"/>
  <c r="D69" i="38" s="1"/>
  <c r="FB41" i="4"/>
  <c r="BH41" i="4" s="1"/>
  <c r="A39" i="18"/>
  <c r="A33" i="72"/>
  <c r="BA28" i="44"/>
  <c r="AY206" i="72"/>
  <c r="BA33" i="39"/>
  <c r="FB33" i="12"/>
  <c r="BH33" i="12" s="1"/>
  <c r="A385" i="72"/>
  <c r="A31" i="42"/>
  <c r="I37" i="35"/>
  <c r="FB35" i="10"/>
  <c r="BH35" i="10" s="1"/>
  <c r="A297" i="72"/>
  <c r="A33" i="40"/>
  <c r="BJ39" i="7"/>
  <c r="BN40" i="7"/>
  <c r="K32" i="36"/>
  <c r="L32" i="36" s="1"/>
  <c r="E32" i="36" s="1"/>
  <c r="D71" i="36" s="1"/>
  <c r="BN41" i="6"/>
  <c r="BJ40" i="6"/>
  <c r="K23" i="45"/>
  <c r="L23" i="45" s="1"/>
  <c r="E23" i="45" s="1"/>
  <c r="D62" i="45" s="1"/>
  <c r="E62" i="45" s="1"/>
  <c r="BF249" i="72"/>
  <c r="BC249" i="72"/>
  <c r="BD249" i="72" s="1"/>
  <c r="BF161" i="72"/>
  <c r="BC161" i="72"/>
  <c r="BD161" i="72" s="1"/>
  <c r="BG294" i="72"/>
  <c r="BB294" i="72"/>
  <c r="L251" i="72"/>
  <c r="M251" i="72" s="1"/>
  <c r="AY382" i="72"/>
  <c r="BC513" i="72"/>
  <c r="BD513" i="72" s="1"/>
  <c r="BF513" i="72"/>
  <c r="I30" i="41"/>
  <c r="L339" i="72"/>
  <c r="M339" i="72" s="1"/>
  <c r="BA38" i="35"/>
  <c r="BG470" i="72"/>
  <c r="BB470" i="72"/>
  <c r="BA29" i="43"/>
  <c r="A517" i="72"/>
  <c r="A28" i="45"/>
  <c r="FB30" i="15"/>
  <c r="BH30" i="15" s="1"/>
  <c r="GC30" i="15" s="1"/>
  <c r="FX354" i="34" s="1"/>
  <c r="BF74" i="72"/>
  <c r="BC74" i="72"/>
  <c r="BD74" i="72" s="1"/>
  <c r="AM74" i="72" s="1"/>
  <c r="AP74" i="72" s="1"/>
  <c r="A29" i="44"/>
  <c r="FB31" i="14"/>
  <c r="BH31" i="14" s="1"/>
  <c r="A473" i="72"/>
  <c r="A34" i="39"/>
  <c r="FB36" i="9"/>
  <c r="BH36" i="9" s="1"/>
  <c r="A253" i="72"/>
  <c r="BA30" i="42"/>
  <c r="BN36" i="11"/>
  <c r="BJ35" i="11"/>
  <c r="L76" i="72"/>
  <c r="M76" i="72" s="1"/>
  <c r="BA32" i="40"/>
  <c r="I33" i="38"/>
  <c r="L207" i="72"/>
  <c r="M207" i="72" s="1"/>
  <c r="L427" i="72"/>
  <c r="M427" i="72" s="1"/>
  <c r="AY250" i="72"/>
  <c r="AQ250" i="72"/>
  <c r="I27" i="44"/>
  <c r="AY426" i="72"/>
  <c r="L383" i="72"/>
  <c r="M383" i="72" s="1"/>
  <c r="AY514" i="72"/>
  <c r="BG118" i="72"/>
  <c r="BB118" i="72"/>
  <c r="AY118" i="72"/>
  <c r="K24" i="44"/>
  <c r="L24" i="44" s="1"/>
  <c r="E24" i="44" s="1"/>
  <c r="D63" i="44" s="1"/>
  <c r="E63" i="44" s="1"/>
  <c r="A39" i="35"/>
  <c r="FB41" i="5"/>
  <c r="BH41" i="5" s="1"/>
  <c r="A78" i="72"/>
  <c r="EU27" i="13"/>
  <c r="K25" i="43"/>
  <c r="L25" i="43" s="1"/>
  <c r="E25" i="43" s="1"/>
  <c r="D64" i="43" s="1"/>
  <c r="E64" i="43" s="1"/>
  <c r="ER27" i="13"/>
  <c r="A209" i="72"/>
  <c r="A35" i="38"/>
  <c r="FB37" i="8"/>
  <c r="BH37" i="8" s="1"/>
  <c r="FB32" i="13"/>
  <c r="BH32" i="13" s="1"/>
  <c r="A429" i="72"/>
  <c r="A30" i="43"/>
  <c r="L163" i="72"/>
  <c r="M163" i="72" s="1"/>
  <c r="BA27" i="45"/>
  <c r="I35" i="36"/>
  <c r="BC425" i="72"/>
  <c r="BD425" i="72" s="1"/>
  <c r="BF425" i="72"/>
  <c r="K29" i="39"/>
  <c r="L29" i="39" s="1"/>
  <c r="E29" i="39" s="1"/>
  <c r="D68" i="39" s="1"/>
  <c r="E68" i="39" s="1"/>
  <c r="BN43" i="4"/>
  <c r="BJ42" i="4"/>
  <c r="BG206" i="72"/>
  <c r="BB206" i="72"/>
  <c r="BC337" i="72"/>
  <c r="BD337" i="72" s="1"/>
  <c r="BF337" i="72"/>
  <c r="AY162" i="72"/>
  <c r="BG162" i="72"/>
  <c r="BB162" i="72"/>
  <c r="BJ34" i="12"/>
  <c r="BN35" i="12"/>
  <c r="K31" i="37"/>
  <c r="L31" i="37" s="1"/>
  <c r="E31" i="37" s="1"/>
  <c r="D70" i="37" s="1"/>
  <c r="BA31" i="41"/>
  <c r="K28" i="40"/>
  <c r="L28" i="40" s="1"/>
  <c r="E28" i="40" s="1"/>
  <c r="D67" i="40" s="1"/>
  <c r="E67" i="40" s="1"/>
  <c r="BF381" i="72"/>
  <c r="BC381" i="72"/>
  <c r="BD381" i="72" s="1"/>
  <c r="BN37" i="10"/>
  <c r="BJ36" i="10"/>
  <c r="I28" i="43"/>
  <c r="A165" i="72"/>
  <c r="FB38" i="7"/>
  <c r="BH38" i="7" s="1"/>
  <c r="A36" i="37"/>
  <c r="BA35" i="37"/>
  <c r="FB39" i="6"/>
  <c r="BH39" i="6" s="1"/>
  <c r="A121" i="72"/>
  <c r="A37" i="36"/>
  <c r="BC469" i="72"/>
  <c r="BD469" i="72" s="1"/>
  <c r="BF469" i="72"/>
  <c r="BG338" i="72"/>
  <c r="BB338" i="72"/>
  <c r="AY338" i="72"/>
  <c r="AY75" i="72"/>
  <c r="BG75" i="72"/>
  <c r="BB75" i="72"/>
  <c r="I37" i="18"/>
  <c r="AY294" i="72"/>
  <c r="I32" i="39"/>
  <c r="BG382" i="72"/>
  <c r="BB382" i="72"/>
  <c r="BF117" i="72"/>
  <c r="BC117" i="72"/>
  <c r="BD117" i="72" s="1"/>
  <c r="AM117" i="72" s="1"/>
  <c r="AP117" i="72" s="1"/>
  <c r="AQ470" i="72"/>
  <c r="AY470" i="72"/>
  <c r="BA34" i="38"/>
  <c r="I34" i="37"/>
  <c r="BN32" i="15"/>
  <c r="BJ31" i="15"/>
  <c r="L119" i="72"/>
  <c r="M119" i="72" s="1"/>
  <c r="BA38" i="18"/>
  <c r="BE38" i="18" s="1"/>
  <c r="K27" i="41"/>
  <c r="L27" i="41" s="1"/>
  <c r="E27" i="41" s="1"/>
  <c r="D66" i="41" s="1"/>
  <c r="E66" i="41" s="1"/>
  <c r="BN33" i="14"/>
  <c r="BJ32" i="14"/>
  <c r="K26" i="42"/>
  <c r="L26" i="42" s="1"/>
  <c r="E26" i="42" s="1"/>
  <c r="D65" i="42" s="1"/>
  <c r="E65" i="42" s="1"/>
  <c r="BJ37" i="9"/>
  <c r="BN38" i="9"/>
  <c r="A341" i="72"/>
  <c r="A32" i="41"/>
  <c r="FB34" i="11"/>
  <c r="BH34" i="11" s="1"/>
  <c r="BB250" i="72"/>
  <c r="BG250" i="72"/>
  <c r="ER29" i="11" l="1"/>
  <c r="J38" i="18"/>
  <c r="J27" i="45"/>
  <c r="J32" i="40"/>
  <c r="J35" i="37"/>
  <c r="J34" i="38"/>
  <c r="J38" i="35"/>
  <c r="J31" i="41"/>
  <c r="J36" i="36"/>
  <c r="G64" i="43"/>
  <c r="F64" i="43"/>
  <c r="F63" i="44"/>
  <c r="G63" i="44"/>
  <c r="G65" i="42"/>
  <c r="F65" i="42"/>
  <c r="G66" i="41"/>
  <c r="F66" i="41"/>
  <c r="G67" i="40"/>
  <c r="F67" i="40"/>
  <c r="G68" i="39"/>
  <c r="F68" i="39"/>
  <c r="G62" i="45"/>
  <c r="F62" i="45"/>
  <c r="GC32" i="13"/>
  <c r="FX294" i="34" s="1"/>
  <c r="GC34" i="11"/>
  <c r="FX234" i="34" s="1"/>
  <c r="GC31" i="14"/>
  <c r="FX324" i="34" s="1"/>
  <c r="GC39" i="6"/>
  <c r="FX84" i="34" s="1"/>
  <c r="GC38" i="7"/>
  <c r="FX114" i="34" s="1"/>
  <c r="GC36" i="9"/>
  <c r="FX174" i="34" s="1"/>
  <c r="GC33" i="12"/>
  <c r="FX264" i="34" s="1"/>
  <c r="GC41" i="4"/>
  <c r="FX24" i="34" s="1"/>
  <c r="GC37" i="8"/>
  <c r="FX144" i="34" s="1"/>
  <c r="GC41" i="5"/>
  <c r="FX55" i="34" s="1"/>
  <c r="GC35" i="10"/>
  <c r="FX204" i="34" s="1"/>
  <c r="AI427" i="72"/>
  <c r="AQ427" i="72" s="1"/>
  <c r="AI119" i="72"/>
  <c r="AQ119" i="72" s="1"/>
  <c r="AI295" i="72"/>
  <c r="AQ295" i="72" s="1"/>
  <c r="AI163" i="72"/>
  <c r="AQ163" i="72" s="1"/>
  <c r="W472" i="72"/>
  <c r="X472" i="72" s="1"/>
  <c r="Z472" i="72"/>
  <c r="W164" i="72"/>
  <c r="X164" i="72" s="1"/>
  <c r="Z164" i="72"/>
  <c r="AI383" i="72"/>
  <c r="AQ383" i="72" s="1"/>
  <c r="AI207" i="72"/>
  <c r="AQ207" i="72" s="1"/>
  <c r="AI31" i="72"/>
  <c r="AI515" i="72"/>
  <c r="W32" i="72"/>
  <c r="X32" i="72" s="1"/>
  <c r="AA32" i="72"/>
  <c r="W208" i="72"/>
  <c r="X208" i="72" s="1"/>
  <c r="AA208" i="72"/>
  <c r="W77" i="72"/>
  <c r="X77" i="72" s="1"/>
  <c r="AA77" i="72"/>
  <c r="W516" i="72"/>
  <c r="X516" i="72" s="1"/>
  <c r="AA516" i="72"/>
  <c r="AA296" i="72"/>
  <c r="W296" i="72"/>
  <c r="X296" i="72" s="1"/>
  <c r="AA384" i="72"/>
  <c r="W384" i="72"/>
  <c r="X384" i="72" s="1"/>
  <c r="W428" i="72"/>
  <c r="X428" i="72" s="1"/>
  <c r="AA428" i="72"/>
  <c r="W340" i="72"/>
  <c r="X340" i="72" s="1"/>
  <c r="AA340" i="72"/>
  <c r="W252" i="72"/>
  <c r="X252" i="72" s="1"/>
  <c r="AA252" i="72"/>
  <c r="W120" i="72"/>
  <c r="X120" i="72" s="1"/>
  <c r="AA120" i="72"/>
  <c r="AI471" i="72"/>
  <c r="AQ471" i="72" s="1"/>
  <c r="AI339" i="72"/>
  <c r="AI251" i="72"/>
  <c r="AQ251" i="72" s="1"/>
  <c r="AI76" i="72"/>
  <c r="AQ76" i="72" s="1"/>
  <c r="FS41" i="4"/>
  <c r="BE41" i="4"/>
  <c r="BC41" i="4" s="1"/>
  <c r="ER32" i="8"/>
  <c r="ER33" i="7"/>
  <c r="ER28" i="12"/>
  <c r="AP380" i="72"/>
  <c r="EU28" i="12" s="1"/>
  <c r="ER31" i="9"/>
  <c r="AP248" i="72"/>
  <c r="EU31" i="9" s="1"/>
  <c r="ER30" i="10"/>
  <c r="AP292" i="72"/>
  <c r="EU30" i="10" s="1"/>
  <c r="ER26" i="14"/>
  <c r="AP468" i="72"/>
  <c r="EU26" i="14" s="1"/>
  <c r="J30" i="42"/>
  <c r="J33" i="39"/>
  <c r="FS41" i="5"/>
  <c r="BE41" i="5"/>
  <c r="BC41" i="5" s="1"/>
  <c r="J28" i="44"/>
  <c r="J29" i="43"/>
  <c r="FS31" i="14"/>
  <c r="BE31" i="14"/>
  <c r="BC31" i="14" s="1"/>
  <c r="FS34" i="11"/>
  <c r="BE34" i="11"/>
  <c r="BC34" i="11" s="1"/>
  <c r="FS39" i="6"/>
  <c r="BE39" i="6"/>
  <c r="BC39" i="6" s="1"/>
  <c r="FS38" i="7"/>
  <c r="BE38" i="7"/>
  <c r="BC38" i="7" s="1"/>
  <c r="FS35" i="10"/>
  <c r="BE35" i="10"/>
  <c r="BC35" i="10" s="1"/>
  <c r="FS30" i="15"/>
  <c r="BE30" i="15"/>
  <c r="BC30" i="15" s="1"/>
  <c r="FS37" i="8"/>
  <c r="BE37" i="8"/>
  <c r="BC37" i="8" s="1"/>
  <c r="FS36" i="9"/>
  <c r="BE36" i="9"/>
  <c r="BC36" i="9" s="1"/>
  <c r="FS33" i="12"/>
  <c r="BE33" i="12"/>
  <c r="BC33" i="12" s="1"/>
  <c r="FS32" i="13"/>
  <c r="BE32" i="13"/>
  <c r="BC32" i="13" s="1"/>
  <c r="EV38" i="5"/>
  <c r="AA38" i="5" s="1"/>
  <c r="EV31" i="11"/>
  <c r="AA31" i="11" s="1"/>
  <c r="EV34" i="8"/>
  <c r="AA34" i="8" s="1"/>
  <c r="EV29" i="13"/>
  <c r="AA29" i="13" s="1"/>
  <c r="EV30" i="12"/>
  <c r="AA30" i="12" s="1"/>
  <c r="EV28" i="14"/>
  <c r="AA28" i="14" s="1"/>
  <c r="EV32" i="10"/>
  <c r="AA32" i="10" s="1"/>
  <c r="EV33" i="9"/>
  <c r="AA33" i="9" s="1"/>
  <c r="EV35" i="7"/>
  <c r="AA35" i="7" s="1"/>
  <c r="EV36" i="6"/>
  <c r="AA36" i="6" s="1"/>
  <c r="EV27" i="15"/>
  <c r="AA27" i="15" s="1"/>
  <c r="ED32" i="72"/>
  <c r="EE32" i="72" s="1"/>
  <c r="EN38" i="18" s="1"/>
  <c r="EB341" i="72"/>
  <c r="DX341" i="72"/>
  <c r="EH341" i="72"/>
  <c r="EI341" i="72" s="1"/>
  <c r="EA341" i="72"/>
  <c r="DW341" i="72"/>
  <c r="DZ341" i="72"/>
  <c r="DV341" i="72"/>
  <c r="EC341" i="72"/>
  <c r="DY341" i="72"/>
  <c r="DU341" i="72"/>
  <c r="CD119" i="72"/>
  <c r="AM469" i="72"/>
  <c r="AP469" i="72" s="1"/>
  <c r="EU27" i="14" s="1"/>
  <c r="H36" i="37"/>
  <c r="EM36" i="37"/>
  <c r="AM425" i="72"/>
  <c r="CD163" i="72"/>
  <c r="H39" i="35"/>
  <c r="EM39" i="35"/>
  <c r="CD383" i="72"/>
  <c r="CD427" i="72"/>
  <c r="EH473" i="72"/>
  <c r="EI473" i="72" s="1"/>
  <c r="EA473" i="72"/>
  <c r="DW473" i="72"/>
  <c r="DZ473" i="72"/>
  <c r="DV473" i="72"/>
  <c r="EC473" i="72"/>
  <c r="DY473" i="72"/>
  <c r="DU473" i="72"/>
  <c r="EB473" i="72"/>
  <c r="DX473" i="72"/>
  <c r="CD471" i="72"/>
  <c r="CD515" i="72"/>
  <c r="ED208" i="72"/>
  <c r="EE208" i="72" s="1"/>
  <c r="ED296" i="72"/>
  <c r="EE296" i="72" s="1"/>
  <c r="H37" i="36"/>
  <c r="EM37" i="36"/>
  <c r="AM337" i="72"/>
  <c r="AP337" i="72" s="1"/>
  <c r="EU30" i="11" s="1"/>
  <c r="H30" i="43"/>
  <c r="EM30" i="43"/>
  <c r="H35" i="38"/>
  <c r="EM35" i="38"/>
  <c r="CD207" i="72"/>
  <c r="CD76" i="72"/>
  <c r="EB253" i="72"/>
  <c r="DX253" i="72"/>
  <c r="EH253" i="72"/>
  <c r="EI253" i="72" s="1"/>
  <c r="EA253" i="72"/>
  <c r="DW253" i="72"/>
  <c r="DZ253" i="72"/>
  <c r="DV253" i="72"/>
  <c r="EC253" i="72"/>
  <c r="DY253" i="72"/>
  <c r="DU253" i="72"/>
  <c r="AM249" i="72"/>
  <c r="AP249" i="72" s="1"/>
  <c r="EU32" i="9" s="1"/>
  <c r="H33" i="40"/>
  <c r="EM33" i="40"/>
  <c r="H31" i="42"/>
  <c r="EM31" i="42"/>
  <c r="EB33" i="72"/>
  <c r="DX33" i="72"/>
  <c r="EH33" i="72"/>
  <c r="EI33" i="72" s="1"/>
  <c r="EA33" i="72"/>
  <c r="DW33" i="72"/>
  <c r="DZ33" i="72"/>
  <c r="DV33" i="72"/>
  <c r="EC33" i="72"/>
  <c r="DY33" i="72"/>
  <c r="DU33" i="72"/>
  <c r="ED384" i="72"/>
  <c r="EE384" i="72" s="1"/>
  <c r="ED252" i="72"/>
  <c r="EE252" i="72" s="1"/>
  <c r="ED516" i="72"/>
  <c r="EE516" i="72" s="1"/>
  <c r="ED428" i="72"/>
  <c r="EE428" i="72" s="1"/>
  <c r="ED472" i="72"/>
  <c r="EE472" i="72" s="1"/>
  <c r="DZ121" i="72"/>
  <c r="DV121" i="72"/>
  <c r="EH121" i="72"/>
  <c r="EI121" i="72" s="1"/>
  <c r="EA121" i="72"/>
  <c r="DW121" i="72"/>
  <c r="EC121" i="72"/>
  <c r="DU121" i="72"/>
  <c r="EB121" i="72"/>
  <c r="DY121" i="72"/>
  <c r="DX121" i="72"/>
  <c r="EB165" i="72"/>
  <c r="DX165" i="72"/>
  <c r="EH165" i="72"/>
  <c r="EI165" i="72" s="1"/>
  <c r="EA165" i="72"/>
  <c r="DW165" i="72"/>
  <c r="DZ165" i="72"/>
  <c r="DV165" i="72"/>
  <c r="EC165" i="72"/>
  <c r="DY165" i="72"/>
  <c r="DU165" i="72"/>
  <c r="DZ429" i="72"/>
  <c r="DV429" i="72"/>
  <c r="EC429" i="72"/>
  <c r="DY429" i="72"/>
  <c r="DU429" i="72"/>
  <c r="EB429" i="72"/>
  <c r="DX429" i="72"/>
  <c r="EH429" i="72"/>
  <c r="EI429" i="72" s="1"/>
  <c r="EA429" i="72"/>
  <c r="DW429" i="72"/>
  <c r="DZ209" i="72"/>
  <c r="DV209" i="72"/>
  <c r="EC209" i="72"/>
  <c r="DY209" i="72"/>
  <c r="DU209" i="72"/>
  <c r="EB209" i="72"/>
  <c r="DX209" i="72"/>
  <c r="EH209" i="72"/>
  <c r="EI209" i="72" s="1"/>
  <c r="EA209" i="72"/>
  <c r="DW209" i="72"/>
  <c r="EC78" i="72"/>
  <c r="DY78" i="72"/>
  <c r="DU78" i="72"/>
  <c r="EB78" i="72"/>
  <c r="DX78" i="72"/>
  <c r="EH78" i="72"/>
  <c r="EI78" i="72" s="1"/>
  <c r="EA78" i="72"/>
  <c r="DW78" i="72"/>
  <c r="DZ78" i="72"/>
  <c r="DV78" i="72"/>
  <c r="H29" i="44"/>
  <c r="EM29" i="44"/>
  <c r="H28" i="45"/>
  <c r="EM28" i="45"/>
  <c r="CD339" i="72"/>
  <c r="CD251" i="72"/>
  <c r="AM161" i="72"/>
  <c r="DZ297" i="72"/>
  <c r="DV297" i="72"/>
  <c r="EC297" i="72"/>
  <c r="DY297" i="72"/>
  <c r="DU297" i="72"/>
  <c r="EB297" i="72"/>
  <c r="DX297" i="72"/>
  <c r="EH297" i="72"/>
  <c r="EI297" i="72" s="1"/>
  <c r="EA297" i="72"/>
  <c r="DW297" i="72"/>
  <c r="EC385" i="72"/>
  <c r="DY385" i="72"/>
  <c r="DU385" i="72"/>
  <c r="EB385" i="72"/>
  <c r="DX385" i="72"/>
  <c r="EH385" i="72"/>
  <c r="EI385" i="72" s="1"/>
  <c r="EA385" i="72"/>
  <c r="DW385" i="72"/>
  <c r="DZ385" i="72"/>
  <c r="DV385" i="72"/>
  <c r="H39" i="18"/>
  <c r="EM39" i="18"/>
  <c r="AM293" i="72"/>
  <c r="ED77" i="72"/>
  <c r="EE77" i="72" s="1"/>
  <c r="ED120" i="72"/>
  <c r="EE120" i="72" s="1"/>
  <c r="ED164" i="72"/>
  <c r="EE164" i="72" s="1"/>
  <c r="H32" i="41"/>
  <c r="EM32" i="41"/>
  <c r="AM381" i="72"/>
  <c r="AP381" i="72" s="1"/>
  <c r="EU29" i="12" s="1"/>
  <c r="H34" i="39"/>
  <c r="EM34" i="39"/>
  <c r="EC517" i="72"/>
  <c r="DY517" i="72"/>
  <c r="DU517" i="72"/>
  <c r="EB517" i="72"/>
  <c r="DX517" i="72"/>
  <c r="EH517" i="72"/>
  <c r="EI517" i="72" s="1"/>
  <c r="EA517" i="72"/>
  <c r="DW517" i="72"/>
  <c r="DZ517" i="72"/>
  <c r="DV517" i="72"/>
  <c r="AM513" i="72"/>
  <c r="AP513" i="72" s="1"/>
  <c r="EU26" i="15" s="1"/>
  <c r="CD295" i="72"/>
  <c r="AM205" i="72"/>
  <c r="ED340" i="72"/>
  <c r="EE340" i="72" s="1"/>
  <c r="K385" i="72"/>
  <c r="V385" i="72" s="1"/>
  <c r="AG385" i="72" s="1"/>
  <c r="G385" i="72"/>
  <c r="R385" i="72" s="1"/>
  <c r="AC385" i="72" s="1"/>
  <c r="J385" i="72"/>
  <c r="U385" i="72" s="1"/>
  <c r="AF385" i="72" s="1"/>
  <c r="F385" i="72"/>
  <c r="Q385" i="72" s="1"/>
  <c r="AB385" i="72" s="1"/>
  <c r="I385" i="72"/>
  <c r="T385" i="72" s="1"/>
  <c r="AE385" i="72" s="1"/>
  <c r="E385" i="72"/>
  <c r="P385" i="72" s="1"/>
  <c r="H385" i="72"/>
  <c r="S385" i="72" s="1"/>
  <c r="AD385" i="72" s="1"/>
  <c r="D385" i="72"/>
  <c r="O385" i="72" s="1"/>
  <c r="Z385" i="72" s="1"/>
  <c r="K121" i="72"/>
  <c r="V121" i="72" s="1"/>
  <c r="AG121" i="72" s="1"/>
  <c r="G121" i="72"/>
  <c r="R121" i="72" s="1"/>
  <c r="AC121" i="72" s="1"/>
  <c r="J121" i="72"/>
  <c r="U121" i="72" s="1"/>
  <c r="AF121" i="72" s="1"/>
  <c r="F121" i="72"/>
  <c r="Q121" i="72" s="1"/>
  <c r="AB121" i="72" s="1"/>
  <c r="I121" i="72"/>
  <c r="T121" i="72" s="1"/>
  <c r="AE121" i="72" s="1"/>
  <c r="E121" i="72"/>
  <c r="P121" i="72" s="1"/>
  <c r="H121" i="72"/>
  <c r="S121" i="72" s="1"/>
  <c r="AD121" i="72" s="1"/>
  <c r="D121" i="72"/>
  <c r="O121" i="72" s="1"/>
  <c r="Z121" i="72" s="1"/>
  <c r="K165" i="72"/>
  <c r="V165" i="72" s="1"/>
  <c r="AG165" i="72" s="1"/>
  <c r="G165" i="72"/>
  <c r="R165" i="72" s="1"/>
  <c r="AC165" i="72" s="1"/>
  <c r="J165" i="72"/>
  <c r="U165" i="72" s="1"/>
  <c r="AF165" i="72" s="1"/>
  <c r="F165" i="72"/>
  <c r="Q165" i="72" s="1"/>
  <c r="AB165" i="72" s="1"/>
  <c r="I165" i="72"/>
  <c r="T165" i="72" s="1"/>
  <c r="AE165" i="72" s="1"/>
  <c r="E165" i="72"/>
  <c r="P165" i="72" s="1"/>
  <c r="H165" i="72"/>
  <c r="S165" i="72" s="1"/>
  <c r="AD165" i="72" s="1"/>
  <c r="D165" i="72"/>
  <c r="O165" i="72" s="1"/>
  <c r="Z165" i="72" s="1"/>
  <c r="K341" i="72"/>
  <c r="V341" i="72" s="1"/>
  <c r="AG341" i="72" s="1"/>
  <c r="G341" i="72"/>
  <c r="R341" i="72" s="1"/>
  <c r="AC341" i="72" s="1"/>
  <c r="J341" i="72"/>
  <c r="U341" i="72" s="1"/>
  <c r="AF341" i="72" s="1"/>
  <c r="F341" i="72"/>
  <c r="Q341" i="72" s="1"/>
  <c r="AB341" i="72" s="1"/>
  <c r="I341" i="72"/>
  <c r="T341" i="72" s="1"/>
  <c r="AE341" i="72" s="1"/>
  <c r="E341" i="72"/>
  <c r="P341" i="72" s="1"/>
  <c r="H341" i="72"/>
  <c r="S341" i="72" s="1"/>
  <c r="AD341" i="72" s="1"/>
  <c r="D341" i="72"/>
  <c r="O341" i="72" s="1"/>
  <c r="Z341" i="72" s="1"/>
  <c r="K429" i="72"/>
  <c r="V429" i="72" s="1"/>
  <c r="AG429" i="72" s="1"/>
  <c r="G429" i="72"/>
  <c r="R429" i="72" s="1"/>
  <c r="AC429" i="72" s="1"/>
  <c r="J429" i="72"/>
  <c r="U429" i="72" s="1"/>
  <c r="AF429" i="72" s="1"/>
  <c r="F429" i="72"/>
  <c r="Q429" i="72" s="1"/>
  <c r="AB429" i="72" s="1"/>
  <c r="I429" i="72"/>
  <c r="T429" i="72" s="1"/>
  <c r="AE429" i="72" s="1"/>
  <c r="E429" i="72"/>
  <c r="P429" i="72" s="1"/>
  <c r="H429" i="72"/>
  <c r="S429" i="72" s="1"/>
  <c r="AD429" i="72" s="1"/>
  <c r="D429" i="72"/>
  <c r="O429" i="72" s="1"/>
  <c r="Z429" i="72" s="1"/>
  <c r="K209" i="72"/>
  <c r="V209" i="72" s="1"/>
  <c r="AG209" i="72" s="1"/>
  <c r="G209" i="72"/>
  <c r="R209" i="72" s="1"/>
  <c r="AC209" i="72" s="1"/>
  <c r="J209" i="72"/>
  <c r="U209" i="72" s="1"/>
  <c r="AF209" i="72" s="1"/>
  <c r="F209" i="72"/>
  <c r="Q209" i="72" s="1"/>
  <c r="AB209" i="72" s="1"/>
  <c r="I209" i="72"/>
  <c r="T209" i="72" s="1"/>
  <c r="AE209" i="72" s="1"/>
  <c r="E209" i="72"/>
  <c r="P209" i="72" s="1"/>
  <c r="AA209" i="72" s="1"/>
  <c r="H209" i="72"/>
  <c r="S209" i="72" s="1"/>
  <c r="AD209" i="72" s="1"/>
  <c r="D209" i="72"/>
  <c r="O209" i="72" s="1"/>
  <c r="K78" i="72"/>
  <c r="V78" i="72" s="1"/>
  <c r="AG78" i="72" s="1"/>
  <c r="G78" i="72"/>
  <c r="R78" i="72" s="1"/>
  <c r="AC78" i="72" s="1"/>
  <c r="J78" i="72"/>
  <c r="U78" i="72" s="1"/>
  <c r="AF78" i="72" s="1"/>
  <c r="F78" i="72"/>
  <c r="Q78" i="72" s="1"/>
  <c r="AB78" i="72" s="1"/>
  <c r="I78" i="72"/>
  <c r="T78" i="72" s="1"/>
  <c r="AE78" i="72" s="1"/>
  <c r="E78" i="72"/>
  <c r="P78" i="72" s="1"/>
  <c r="AA78" i="72" s="1"/>
  <c r="H78" i="72"/>
  <c r="S78" i="72" s="1"/>
  <c r="AD78" i="72" s="1"/>
  <c r="D78" i="72"/>
  <c r="O78" i="72" s="1"/>
  <c r="K517" i="72"/>
  <c r="V517" i="72" s="1"/>
  <c r="AG517" i="72" s="1"/>
  <c r="G517" i="72"/>
  <c r="R517" i="72" s="1"/>
  <c r="AC517" i="72" s="1"/>
  <c r="J517" i="72"/>
  <c r="U517" i="72" s="1"/>
  <c r="AF517" i="72" s="1"/>
  <c r="F517" i="72"/>
  <c r="Q517" i="72" s="1"/>
  <c r="AB517" i="72" s="1"/>
  <c r="I517" i="72"/>
  <c r="T517" i="72" s="1"/>
  <c r="AE517" i="72" s="1"/>
  <c r="E517" i="72"/>
  <c r="P517" i="72" s="1"/>
  <c r="AA517" i="72" s="1"/>
  <c r="H517" i="72"/>
  <c r="S517" i="72" s="1"/>
  <c r="AD517" i="72" s="1"/>
  <c r="D517" i="72"/>
  <c r="O517" i="72" s="1"/>
  <c r="K473" i="72"/>
  <c r="V473" i="72" s="1"/>
  <c r="AG473" i="72" s="1"/>
  <c r="G473" i="72"/>
  <c r="R473" i="72" s="1"/>
  <c r="AC473" i="72" s="1"/>
  <c r="J473" i="72"/>
  <c r="U473" i="72" s="1"/>
  <c r="AF473" i="72" s="1"/>
  <c r="F473" i="72"/>
  <c r="Q473" i="72" s="1"/>
  <c r="AB473" i="72" s="1"/>
  <c r="I473" i="72"/>
  <c r="T473" i="72" s="1"/>
  <c r="AE473" i="72" s="1"/>
  <c r="E473" i="72"/>
  <c r="P473" i="72" s="1"/>
  <c r="H473" i="72"/>
  <c r="S473" i="72" s="1"/>
  <c r="AD473" i="72" s="1"/>
  <c r="D473" i="72"/>
  <c r="O473" i="72" s="1"/>
  <c r="Z473" i="72" s="1"/>
  <c r="K297" i="72"/>
  <c r="V297" i="72" s="1"/>
  <c r="AG297" i="72" s="1"/>
  <c r="G297" i="72"/>
  <c r="R297" i="72" s="1"/>
  <c r="AC297" i="72" s="1"/>
  <c r="J297" i="72"/>
  <c r="U297" i="72" s="1"/>
  <c r="AF297" i="72" s="1"/>
  <c r="F297" i="72"/>
  <c r="Q297" i="72" s="1"/>
  <c r="AB297" i="72" s="1"/>
  <c r="I297" i="72"/>
  <c r="T297" i="72" s="1"/>
  <c r="AE297" i="72" s="1"/>
  <c r="E297" i="72"/>
  <c r="P297" i="72" s="1"/>
  <c r="H297" i="72"/>
  <c r="S297" i="72" s="1"/>
  <c r="AD297" i="72" s="1"/>
  <c r="D297" i="72"/>
  <c r="O297" i="72" s="1"/>
  <c r="Z297" i="72" s="1"/>
  <c r="K253" i="72"/>
  <c r="V253" i="72" s="1"/>
  <c r="AG253" i="72" s="1"/>
  <c r="G253" i="72"/>
  <c r="R253" i="72" s="1"/>
  <c r="AC253" i="72" s="1"/>
  <c r="J253" i="72"/>
  <c r="U253" i="72" s="1"/>
  <c r="AF253" i="72" s="1"/>
  <c r="F253" i="72"/>
  <c r="Q253" i="72" s="1"/>
  <c r="AB253" i="72" s="1"/>
  <c r="I253" i="72"/>
  <c r="T253" i="72" s="1"/>
  <c r="AE253" i="72" s="1"/>
  <c r="E253" i="72"/>
  <c r="P253" i="72" s="1"/>
  <c r="H253" i="72"/>
  <c r="S253" i="72" s="1"/>
  <c r="AD253" i="72" s="1"/>
  <c r="D253" i="72"/>
  <c r="O253" i="72" s="1"/>
  <c r="Z253" i="72" s="1"/>
  <c r="K33" i="72"/>
  <c r="V33" i="72" s="1"/>
  <c r="AG33" i="72" s="1"/>
  <c r="G33" i="72"/>
  <c r="R33" i="72" s="1"/>
  <c r="AC33" i="72" s="1"/>
  <c r="J33" i="72"/>
  <c r="U33" i="72" s="1"/>
  <c r="AF33" i="72" s="1"/>
  <c r="F33" i="72"/>
  <c r="Q33" i="72" s="1"/>
  <c r="AB33" i="72" s="1"/>
  <c r="I33" i="72"/>
  <c r="T33" i="72" s="1"/>
  <c r="AE33" i="72" s="1"/>
  <c r="E33" i="72"/>
  <c r="P33" i="72" s="1"/>
  <c r="AA33" i="72" s="1"/>
  <c r="H33" i="72"/>
  <c r="S33" i="72" s="1"/>
  <c r="AD33" i="72" s="1"/>
  <c r="D33" i="72"/>
  <c r="O33" i="72" s="1"/>
  <c r="AQ339" i="72"/>
  <c r="Z48" i="43"/>
  <c r="ER34" i="6"/>
  <c r="EU34" i="6"/>
  <c r="ER36" i="5"/>
  <c r="EU36" i="5"/>
  <c r="L384" i="72"/>
  <c r="M384" i="72" s="1"/>
  <c r="A35" i="39"/>
  <c r="A254" i="72"/>
  <c r="FB37" i="9"/>
  <c r="BH37" i="9" s="1"/>
  <c r="BF250" i="72"/>
  <c r="BC250" i="72"/>
  <c r="BD250" i="72" s="1"/>
  <c r="I32" i="40"/>
  <c r="BA32" i="41"/>
  <c r="I30" i="42"/>
  <c r="BJ38" i="9"/>
  <c r="BN39" i="9"/>
  <c r="FB32" i="14"/>
  <c r="BH32" i="14" s="1"/>
  <c r="A474" i="72"/>
  <c r="A30" i="44"/>
  <c r="I38" i="18"/>
  <c r="FB31" i="15"/>
  <c r="BH31" i="15" s="1"/>
  <c r="GC31" i="15" s="1"/>
  <c r="FX355" i="34" s="1"/>
  <c r="A518" i="72"/>
  <c r="A29" i="45"/>
  <c r="L428" i="72"/>
  <c r="M428" i="72" s="1"/>
  <c r="I29" i="43"/>
  <c r="K33" i="36"/>
  <c r="L33" i="36" s="1"/>
  <c r="E33" i="36" s="1"/>
  <c r="D72" i="36" s="1"/>
  <c r="BF338" i="72"/>
  <c r="BC338" i="72"/>
  <c r="BD338" i="72" s="1"/>
  <c r="BA36" i="37"/>
  <c r="A298" i="72"/>
  <c r="FB36" i="10"/>
  <c r="BH36" i="10" s="1"/>
  <c r="A34" i="40"/>
  <c r="BN36" i="12"/>
  <c r="BJ35" i="12"/>
  <c r="BC162" i="72"/>
  <c r="BD162" i="72" s="1"/>
  <c r="BF162" i="72"/>
  <c r="BF206" i="72"/>
  <c r="BC206" i="72"/>
  <c r="BD206" i="72" s="1"/>
  <c r="BN44" i="4"/>
  <c r="BJ43" i="4"/>
  <c r="K26" i="43"/>
  <c r="L26" i="43" s="1"/>
  <c r="E26" i="43" s="1"/>
  <c r="D65" i="43" s="1"/>
  <c r="E65" i="43" s="1"/>
  <c r="L516" i="72"/>
  <c r="M516" i="72" s="1"/>
  <c r="AY163" i="72"/>
  <c r="BA30" i="43"/>
  <c r="BA35" i="38"/>
  <c r="BA39" i="35"/>
  <c r="BF118" i="72"/>
  <c r="BC118" i="72"/>
  <c r="BD118" i="72" s="1"/>
  <c r="AM118" i="72" s="1"/>
  <c r="AP118" i="72" s="1"/>
  <c r="BG383" i="72"/>
  <c r="BB383" i="72"/>
  <c r="L120" i="72"/>
  <c r="M120" i="72" s="1"/>
  <c r="BG427" i="72"/>
  <c r="BB427" i="72"/>
  <c r="BG207" i="72"/>
  <c r="BB207" i="72"/>
  <c r="L296" i="72"/>
  <c r="M296" i="72" s="1"/>
  <c r="FB35" i="11"/>
  <c r="BH35" i="11" s="1"/>
  <c r="A342" i="72"/>
  <c r="A33" i="41"/>
  <c r="BA34" i="39"/>
  <c r="BA29" i="44"/>
  <c r="K35" i="35"/>
  <c r="L35" i="35" s="1"/>
  <c r="E35" i="35" s="1"/>
  <c r="D74" i="35" s="1"/>
  <c r="BA28" i="45"/>
  <c r="L208" i="72"/>
  <c r="M208" i="72" s="1"/>
  <c r="I34" i="38"/>
  <c r="I38" i="35"/>
  <c r="BG251" i="72"/>
  <c r="BB251" i="72"/>
  <c r="BF294" i="72"/>
  <c r="BC294" i="72"/>
  <c r="BD294" i="72" s="1"/>
  <c r="K30" i="39"/>
  <c r="L30" i="39" s="1"/>
  <c r="E30" i="39" s="1"/>
  <c r="D69" i="39" s="1"/>
  <c r="E69" i="39" s="1"/>
  <c r="BN42" i="6"/>
  <c r="BJ41" i="6"/>
  <c r="L164" i="72"/>
  <c r="M164" i="72" s="1"/>
  <c r="A37" i="37"/>
  <c r="FB39" i="7"/>
  <c r="BH39" i="7" s="1"/>
  <c r="A166" i="72"/>
  <c r="I31" i="41"/>
  <c r="L252" i="72"/>
  <c r="M252" i="72" s="1"/>
  <c r="I27" i="45"/>
  <c r="BJ34" i="13"/>
  <c r="BN35" i="13"/>
  <c r="BN40" i="8"/>
  <c r="BJ39" i="8"/>
  <c r="BG295" i="72"/>
  <c r="BB295" i="72"/>
  <c r="A40" i="35"/>
  <c r="FB42" i="5"/>
  <c r="BH42" i="5" s="1"/>
  <c r="A79" i="72"/>
  <c r="K31" i="38"/>
  <c r="L31" i="38" s="1"/>
  <c r="E31" i="38" s="1"/>
  <c r="D70" i="38" s="1"/>
  <c r="BF514" i="72"/>
  <c r="BC514" i="72"/>
  <c r="BD514" i="72" s="1"/>
  <c r="AM514" i="72" s="1"/>
  <c r="AP514" i="72" s="1"/>
  <c r="AY471" i="72"/>
  <c r="K29" i="40"/>
  <c r="L29" i="40" s="1"/>
  <c r="E29" i="40" s="1"/>
  <c r="D68" i="40" s="1"/>
  <c r="E68" i="40" s="1"/>
  <c r="BG515" i="72"/>
  <c r="BB515" i="72"/>
  <c r="BJ33" i="14"/>
  <c r="BN34" i="14"/>
  <c r="AY119" i="72"/>
  <c r="BB119" i="72"/>
  <c r="BG119" i="72"/>
  <c r="BN33" i="15"/>
  <c r="BJ32" i="15"/>
  <c r="L77" i="72"/>
  <c r="M77" i="72" s="1"/>
  <c r="BF382" i="72"/>
  <c r="BC382" i="72"/>
  <c r="BD382" i="72" s="1"/>
  <c r="BF75" i="72"/>
  <c r="BC75" i="72"/>
  <c r="BD75" i="72" s="1"/>
  <c r="AM75" i="72" s="1"/>
  <c r="AP75" i="72" s="1"/>
  <c r="K25" i="44"/>
  <c r="L25" i="44" s="1"/>
  <c r="E25" i="44" s="1"/>
  <c r="D64" i="44" s="1"/>
  <c r="E64" i="44" s="1"/>
  <c r="BA37" i="36"/>
  <c r="I35" i="37"/>
  <c r="BJ37" i="10"/>
  <c r="BN38" i="10"/>
  <c r="K27" i="42"/>
  <c r="L27" i="42" s="1"/>
  <c r="E27" i="42" s="1"/>
  <c r="D66" i="42" s="1"/>
  <c r="E66" i="42" s="1"/>
  <c r="L340" i="72"/>
  <c r="M340" i="72" s="1"/>
  <c r="A32" i="42"/>
  <c r="A386" i="72"/>
  <c r="FB34" i="12"/>
  <c r="BH34" i="12" s="1"/>
  <c r="K28" i="41"/>
  <c r="L28" i="41" s="1"/>
  <c r="E28" i="41" s="1"/>
  <c r="D67" i="41" s="1"/>
  <c r="E67" i="41" s="1"/>
  <c r="I33" i="39"/>
  <c r="L472" i="72"/>
  <c r="M472" i="72" s="1"/>
  <c r="FB42" i="4"/>
  <c r="BH42" i="4" s="1"/>
  <c r="A40" i="18"/>
  <c r="A34" i="72"/>
  <c r="BB163" i="72"/>
  <c r="BG163" i="72"/>
  <c r="AY383" i="72"/>
  <c r="AY427" i="72"/>
  <c r="AY207" i="72"/>
  <c r="AY76" i="72"/>
  <c r="BG76" i="72"/>
  <c r="BB76" i="72"/>
  <c r="BN37" i="11"/>
  <c r="BJ36" i="11"/>
  <c r="J29" i="44"/>
  <c r="BF470" i="72"/>
  <c r="BC470" i="72"/>
  <c r="BD470" i="72" s="1"/>
  <c r="AY339" i="72"/>
  <c r="BG339" i="72"/>
  <c r="BB339" i="72"/>
  <c r="K24" i="45"/>
  <c r="L24" i="45" s="1"/>
  <c r="E24" i="45" s="1"/>
  <c r="D63" i="45" s="1"/>
  <c r="E63" i="45" s="1"/>
  <c r="AY251" i="72"/>
  <c r="K32" i="37"/>
  <c r="L32" i="37" s="1"/>
  <c r="E32" i="37" s="1"/>
  <c r="D71" i="37" s="1"/>
  <c r="ER25" i="15"/>
  <c r="FB40" i="6"/>
  <c r="BH40" i="6" s="1"/>
  <c r="A38" i="36"/>
  <c r="A122" i="72"/>
  <c r="BJ40" i="7"/>
  <c r="BN41" i="7"/>
  <c r="BA33" i="40"/>
  <c r="J33" i="40"/>
  <c r="BA31" i="42"/>
  <c r="J31" i="42"/>
  <c r="I28" i="44"/>
  <c r="BA39" i="18"/>
  <c r="BE39" i="18" s="1"/>
  <c r="FB33" i="13"/>
  <c r="BH33" i="13" s="1"/>
  <c r="A31" i="43"/>
  <c r="A430" i="72"/>
  <c r="A210" i="72"/>
  <c r="FB38" i="8"/>
  <c r="BH38" i="8" s="1"/>
  <c r="A36" i="38"/>
  <c r="AY295" i="72"/>
  <c r="BN44" i="5"/>
  <c r="BJ43" i="5"/>
  <c r="BC426" i="72"/>
  <c r="BD426" i="72" s="1"/>
  <c r="BF426" i="72"/>
  <c r="BG471" i="72"/>
  <c r="BB471" i="72"/>
  <c r="I36" i="36"/>
  <c r="AY515" i="72"/>
  <c r="AQ515" i="72"/>
  <c r="J37" i="36" l="1"/>
  <c r="J39" i="18"/>
  <c r="ER30" i="11"/>
  <c r="G64" i="44"/>
  <c r="F64" i="44"/>
  <c r="G65" i="43"/>
  <c r="F65" i="43"/>
  <c r="G67" i="41"/>
  <c r="F67" i="41"/>
  <c r="G68" i="40"/>
  <c r="F68" i="40"/>
  <c r="G69" i="39"/>
  <c r="F69" i="39"/>
  <c r="F63" i="45"/>
  <c r="G63" i="45"/>
  <c r="G66" i="42"/>
  <c r="F66" i="42"/>
  <c r="ER29" i="12"/>
  <c r="GC42" i="4"/>
  <c r="FX25" i="34" s="1"/>
  <c r="GC38" i="8"/>
  <c r="FX145" i="34" s="1"/>
  <c r="GC39" i="7"/>
  <c r="FX115" i="34" s="1"/>
  <c r="GC32" i="14"/>
  <c r="FX325" i="34" s="1"/>
  <c r="GC37" i="9"/>
  <c r="FX175" i="34" s="1"/>
  <c r="GC40" i="6"/>
  <c r="FX85" i="34" s="1"/>
  <c r="GC33" i="13"/>
  <c r="FX295" i="34" s="1"/>
  <c r="GC34" i="12"/>
  <c r="FX265" i="34" s="1"/>
  <c r="GC42" i="5"/>
  <c r="FX56" i="34" s="1"/>
  <c r="GC35" i="11"/>
  <c r="FX235" i="34" s="1"/>
  <c r="GC36" i="10"/>
  <c r="FX205" i="34" s="1"/>
  <c r="AI120" i="72"/>
  <c r="AI340" i="72"/>
  <c r="AI208" i="72"/>
  <c r="AI32" i="72"/>
  <c r="AI164" i="72"/>
  <c r="AQ164" i="72" s="1"/>
  <c r="AI472" i="72"/>
  <c r="AI384" i="72"/>
  <c r="AQ384" i="72" s="1"/>
  <c r="AI516" i="72"/>
  <c r="AQ516" i="72" s="1"/>
  <c r="W253" i="72"/>
  <c r="X253" i="72" s="1"/>
  <c r="AA253" i="72"/>
  <c r="W297" i="72"/>
  <c r="X297" i="72" s="1"/>
  <c r="AA297" i="72"/>
  <c r="W473" i="72"/>
  <c r="X473" i="72" s="1"/>
  <c r="AA473" i="72"/>
  <c r="AA429" i="72"/>
  <c r="W429" i="72"/>
  <c r="X429" i="72" s="1"/>
  <c r="AA341" i="72"/>
  <c r="W341" i="72"/>
  <c r="X341" i="72" s="1"/>
  <c r="W165" i="72"/>
  <c r="X165" i="72" s="1"/>
  <c r="AA165" i="72"/>
  <c r="AA121" i="72"/>
  <c r="W121" i="72"/>
  <c r="X121" i="72" s="1"/>
  <c r="W385" i="72"/>
  <c r="X385" i="72" s="1"/>
  <c r="AA385" i="72"/>
  <c r="AI252" i="72"/>
  <c r="AQ252" i="72" s="1"/>
  <c r="AI428" i="72"/>
  <c r="AI296" i="72"/>
  <c r="AQ296" i="72" s="1"/>
  <c r="AI77" i="72"/>
  <c r="AQ77" i="72" s="1"/>
  <c r="W33" i="72"/>
  <c r="X33" i="72" s="1"/>
  <c r="Z33" i="72"/>
  <c r="W517" i="72"/>
  <c r="X517" i="72" s="1"/>
  <c r="Z517" i="72"/>
  <c r="W78" i="72"/>
  <c r="X78" i="72" s="1"/>
  <c r="Z78" i="72"/>
  <c r="W209" i="72"/>
  <c r="X209" i="72" s="1"/>
  <c r="Z209" i="72"/>
  <c r="FS42" i="4"/>
  <c r="BE42" i="4"/>
  <c r="BC42" i="4" s="1"/>
  <c r="J36" i="37"/>
  <c r="ER27" i="14"/>
  <c r="ER32" i="9"/>
  <c r="ER26" i="15"/>
  <c r="J30" i="43"/>
  <c r="J28" i="45"/>
  <c r="ER28" i="13"/>
  <c r="AP425" i="72"/>
  <c r="EU28" i="13" s="1"/>
  <c r="ER33" i="8"/>
  <c r="AP205" i="72"/>
  <c r="EU33" i="8" s="1"/>
  <c r="ER31" i="10"/>
  <c r="AP293" i="72"/>
  <c r="EU31" i="10" s="1"/>
  <c r="ER34" i="7"/>
  <c r="AP161" i="72"/>
  <c r="EU34" i="7" s="1"/>
  <c r="J39" i="35"/>
  <c r="J35" i="38"/>
  <c r="J34" i="39"/>
  <c r="J32" i="41"/>
  <c r="FS42" i="5"/>
  <c r="BE42" i="5"/>
  <c r="BC42" i="5" s="1"/>
  <c r="FS39" i="7"/>
  <c r="BE39" i="7"/>
  <c r="BC39" i="7" s="1"/>
  <c r="FS31" i="15"/>
  <c r="BE31" i="15"/>
  <c r="BC31" i="15" s="1"/>
  <c r="FS32" i="14"/>
  <c r="BE32" i="14"/>
  <c r="BC32" i="14" s="1"/>
  <c r="FS37" i="9"/>
  <c r="BE37" i="9"/>
  <c r="FS38" i="8"/>
  <c r="BE38" i="8"/>
  <c r="BC38" i="8" s="1"/>
  <c r="FS33" i="13"/>
  <c r="BE33" i="13"/>
  <c r="BC33" i="13" s="1"/>
  <c r="FS34" i="12"/>
  <c r="BE34" i="12"/>
  <c r="BC34" i="12" s="1"/>
  <c r="FS35" i="11"/>
  <c r="BE35" i="11"/>
  <c r="BC35" i="11" s="1"/>
  <c r="FS40" i="6"/>
  <c r="BE40" i="6"/>
  <c r="BC40" i="6" s="1"/>
  <c r="FS36" i="10"/>
  <c r="BE36" i="10"/>
  <c r="BC36" i="10" s="1"/>
  <c r="ED297" i="72"/>
  <c r="EE297" i="72" s="1"/>
  <c r="ED429" i="72"/>
  <c r="EE429" i="72" s="1"/>
  <c r="EV29" i="14"/>
  <c r="AA29" i="14" s="1"/>
  <c r="EV32" i="11"/>
  <c r="AA32" i="11" s="1"/>
  <c r="EV34" i="9"/>
  <c r="AA34" i="9" s="1"/>
  <c r="EV35" i="8"/>
  <c r="AA35" i="8" s="1"/>
  <c r="EV30" i="13"/>
  <c r="AA30" i="13" s="1"/>
  <c r="EV39" i="5"/>
  <c r="AA39" i="5" s="1"/>
  <c r="EV36" i="7"/>
  <c r="AA36" i="7" s="1"/>
  <c r="EV37" i="6"/>
  <c r="AA37" i="6" s="1"/>
  <c r="EV28" i="15"/>
  <c r="AA28" i="15" s="1"/>
  <c r="EV33" i="10"/>
  <c r="AA33" i="10" s="1"/>
  <c r="EV31" i="12"/>
  <c r="AA31" i="12" s="1"/>
  <c r="EH210" i="72"/>
  <c r="EI210" i="72" s="1"/>
  <c r="EA210" i="72"/>
  <c r="DW210" i="72"/>
  <c r="DZ210" i="72"/>
  <c r="DV210" i="72"/>
  <c r="EC210" i="72"/>
  <c r="DY210" i="72"/>
  <c r="DU210" i="72"/>
  <c r="EB210" i="72"/>
  <c r="DX210" i="72"/>
  <c r="H32" i="42"/>
  <c r="EM32" i="42"/>
  <c r="H40" i="35"/>
  <c r="EM40" i="35"/>
  <c r="CD252" i="72"/>
  <c r="EC342" i="72"/>
  <c r="DY342" i="72"/>
  <c r="DU342" i="72"/>
  <c r="EB342" i="72"/>
  <c r="DX342" i="72"/>
  <c r="EH342" i="72"/>
  <c r="EI342" i="72" s="1"/>
  <c r="EA342" i="72"/>
  <c r="DW342" i="72"/>
  <c r="DZ342" i="72"/>
  <c r="DV342" i="72"/>
  <c r="CD120" i="72"/>
  <c r="H34" i="40"/>
  <c r="EM34" i="40"/>
  <c r="AM338" i="72"/>
  <c r="EB474" i="72"/>
  <c r="DX474" i="72"/>
  <c r="EH474" i="72"/>
  <c r="EI474" i="72" s="1"/>
  <c r="EA474" i="72"/>
  <c r="DW474" i="72"/>
  <c r="DZ474" i="72"/>
  <c r="DV474" i="72"/>
  <c r="EC474" i="72"/>
  <c r="DY474" i="72"/>
  <c r="DU474" i="72"/>
  <c r="EC254" i="72"/>
  <c r="DY254" i="72"/>
  <c r="DU254" i="72"/>
  <c r="EB254" i="72"/>
  <c r="DX254" i="72"/>
  <c r="EH254" i="72"/>
  <c r="EI254" i="72" s="1"/>
  <c r="EA254" i="72"/>
  <c r="DW254" i="72"/>
  <c r="DZ254" i="72"/>
  <c r="DV254" i="72"/>
  <c r="ED33" i="72"/>
  <c r="EE33" i="72" s="1"/>
  <c r="EN39" i="18" s="1"/>
  <c r="H40" i="18"/>
  <c r="EM40" i="18"/>
  <c r="EC386" i="72"/>
  <c r="DY386" i="72"/>
  <c r="DU386" i="72"/>
  <c r="EB386" i="72"/>
  <c r="DX386" i="72"/>
  <c r="EH386" i="72"/>
  <c r="EI386" i="72" s="1"/>
  <c r="EA386" i="72"/>
  <c r="DW386" i="72"/>
  <c r="DZ386" i="72"/>
  <c r="DV386" i="72"/>
  <c r="AM426" i="72"/>
  <c r="AP426" i="72" s="1"/>
  <c r="EU29" i="13" s="1"/>
  <c r="EH430" i="72"/>
  <c r="EI430" i="72" s="1"/>
  <c r="EA430" i="72"/>
  <c r="DW430" i="72"/>
  <c r="DZ430" i="72"/>
  <c r="DV430" i="72"/>
  <c r="EC430" i="72"/>
  <c r="DY430" i="72"/>
  <c r="DU430" i="72"/>
  <c r="EB430" i="72"/>
  <c r="DX430" i="72"/>
  <c r="EH122" i="72"/>
  <c r="EI122" i="72" s="1"/>
  <c r="EA122" i="72"/>
  <c r="DW122" i="72"/>
  <c r="DZ122" i="72"/>
  <c r="DV122" i="72"/>
  <c r="EC122" i="72"/>
  <c r="DY122" i="72"/>
  <c r="DU122" i="72"/>
  <c r="EB122" i="72"/>
  <c r="DX122" i="72"/>
  <c r="AM470" i="72"/>
  <c r="AP470" i="72" s="1"/>
  <c r="EU28" i="14" s="1"/>
  <c r="CD516" i="72"/>
  <c r="AM162" i="72"/>
  <c r="CD428" i="72"/>
  <c r="AM250" i="72"/>
  <c r="AP250" i="72" s="1"/>
  <c r="EU33" i="9" s="1"/>
  <c r="H35" i="39"/>
  <c r="EM35" i="39"/>
  <c r="ED78" i="72"/>
  <c r="EE78" i="72" s="1"/>
  <c r="ED209" i="72"/>
  <c r="EE209" i="72" s="1"/>
  <c r="ED121" i="72"/>
  <c r="EE121" i="72" s="1"/>
  <c r="ED473" i="72"/>
  <c r="EE473" i="72" s="1"/>
  <c r="CD472" i="72"/>
  <c r="CD340" i="72"/>
  <c r="CD77" i="72"/>
  <c r="H37" i="37"/>
  <c r="EM37" i="37"/>
  <c r="H36" i="38"/>
  <c r="EM36" i="38"/>
  <c r="H31" i="43"/>
  <c r="EM31" i="43"/>
  <c r="H38" i="36"/>
  <c r="EM38" i="36"/>
  <c r="EH34" i="72"/>
  <c r="EI34" i="72" s="1"/>
  <c r="EA34" i="72"/>
  <c r="DW34" i="72"/>
  <c r="DZ34" i="72"/>
  <c r="DV34" i="72"/>
  <c r="EC34" i="72"/>
  <c r="DY34" i="72"/>
  <c r="DU34" i="72"/>
  <c r="EB34" i="72"/>
  <c r="DX34" i="72"/>
  <c r="DZ79" i="72"/>
  <c r="DV79" i="72"/>
  <c r="EC79" i="72"/>
  <c r="DY79" i="72"/>
  <c r="DU79" i="72"/>
  <c r="EB79" i="72"/>
  <c r="DX79" i="72"/>
  <c r="EH79" i="72"/>
  <c r="EI79" i="72" s="1"/>
  <c r="EA79" i="72"/>
  <c r="DW79" i="72"/>
  <c r="CD164" i="72"/>
  <c r="AM206" i="72"/>
  <c r="AP206" i="72" s="1"/>
  <c r="EU34" i="8" s="1"/>
  <c r="EH298" i="72"/>
  <c r="EI298" i="72" s="1"/>
  <c r="EA298" i="72"/>
  <c r="DW298" i="72"/>
  <c r="DZ298" i="72"/>
  <c r="DV298" i="72"/>
  <c r="EC298" i="72"/>
  <c r="DY298" i="72"/>
  <c r="DU298" i="72"/>
  <c r="EB298" i="72"/>
  <c r="DX298" i="72"/>
  <c r="H29" i="45"/>
  <c r="EM29" i="45"/>
  <c r="CD384" i="72"/>
  <c r="ED517" i="72"/>
  <c r="EE517" i="72" s="1"/>
  <c r="ED385" i="72"/>
  <c r="EE385" i="72" s="1"/>
  <c r="AM382" i="72"/>
  <c r="EC166" i="72"/>
  <c r="DY166" i="72"/>
  <c r="DU166" i="72"/>
  <c r="EB166" i="72"/>
  <c r="DX166" i="72"/>
  <c r="EH166" i="72"/>
  <c r="EI166" i="72" s="1"/>
  <c r="EA166" i="72"/>
  <c r="DW166" i="72"/>
  <c r="DZ166" i="72"/>
  <c r="DV166" i="72"/>
  <c r="AM294" i="72"/>
  <c r="AP294" i="72" s="1"/>
  <c r="EU32" i="10" s="1"/>
  <c r="CD208" i="72"/>
  <c r="H33" i="41"/>
  <c r="EM33" i="41"/>
  <c r="CD296" i="72"/>
  <c r="DZ518" i="72"/>
  <c r="DV518" i="72"/>
  <c r="EC518" i="72"/>
  <c r="DY518" i="72"/>
  <c r="DU518" i="72"/>
  <c r="EB518" i="72"/>
  <c r="DX518" i="72"/>
  <c r="EH518" i="72"/>
  <c r="EI518" i="72" s="1"/>
  <c r="EA518" i="72"/>
  <c r="DW518" i="72"/>
  <c r="H30" i="44"/>
  <c r="EM30" i="44"/>
  <c r="ED165" i="72"/>
  <c r="EE165" i="72" s="1"/>
  <c r="ED253" i="72"/>
  <c r="EE253" i="72" s="1"/>
  <c r="ED341" i="72"/>
  <c r="EE341" i="72" s="1"/>
  <c r="K210" i="72"/>
  <c r="V210" i="72" s="1"/>
  <c r="AG210" i="72" s="1"/>
  <c r="G210" i="72"/>
  <c r="R210" i="72" s="1"/>
  <c r="AC210" i="72" s="1"/>
  <c r="J210" i="72"/>
  <c r="U210" i="72" s="1"/>
  <c r="AF210" i="72" s="1"/>
  <c r="F210" i="72"/>
  <c r="Q210" i="72" s="1"/>
  <c r="AB210" i="72" s="1"/>
  <c r="I210" i="72"/>
  <c r="T210" i="72" s="1"/>
  <c r="AE210" i="72" s="1"/>
  <c r="E210" i="72"/>
  <c r="P210" i="72" s="1"/>
  <c r="H210" i="72"/>
  <c r="S210" i="72" s="1"/>
  <c r="AD210" i="72" s="1"/>
  <c r="D210" i="72"/>
  <c r="O210" i="72" s="1"/>
  <c r="Z210" i="72" s="1"/>
  <c r="K34" i="72"/>
  <c r="V34" i="72" s="1"/>
  <c r="AG34" i="72" s="1"/>
  <c r="G34" i="72"/>
  <c r="R34" i="72" s="1"/>
  <c r="AC34" i="72" s="1"/>
  <c r="J34" i="72"/>
  <c r="U34" i="72" s="1"/>
  <c r="AF34" i="72" s="1"/>
  <c r="F34" i="72"/>
  <c r="Q34" i="72" s="1"/>
  <c r="AB34" i="72" s="1"/>
  <c r="I34" i="72"/>
  <c r="T34" i="72" s="1"/>
  <c r="AE34" i="72" s="1"/>
  <c r="E34" i="72"/>
  <c r="P34" i="72" s="1"/>
  <c r="H34" i="72"/>
  <c r="S34" i="72" s="1"/>
  <c r="AD34" i="72" s="1"/>
  <c r="D34" i="72"/>
  <c r="O34" i="72" s="1"/>
  <c r="Z34" i="72" s="1"/>
  <c r="K386" i="72"/>
  <c r="V386" i="72" s="1"/>
  <c r="AG386" i="72" s="1"/>
  <c r="G386" i="72"/>
  <c r="R386" i="72" s="1"/>
  <c r="AC386" i="72" s="1"/>
  <c r="J386" i="72"/>
  <c r="U386" i="72" s="1"/>
  <c r="AF386" i="72" s="1"/>
  <c r="F386" i="72"/>
  <c r="Q386" i="72" s="1"/>
  <c r="AB386" i="72" s="1"/>
  <c r="I386" i="72"/>
  <c r="T386" i="72" s="1"/>
  <c r="AE386" i="72" s="1"/>
  <c r="E386" i="72"/>
  <c r="P386" i="72" s="1"/>
  <c r="H386" i="72"/>
  <c r="S386" i="72" s="1"/>
  <c r="AD386" i="72" s="1"/>
  <c r="D386" i="72"/>
  <c r="O386" i="72" s="1"/>
  <c r="Z386" i="72" s="1"/>
  <c r="K79" i="72"/>
  <c r="V79" i="72" s="1"/>
  <c r="AG79" i="72" s="1"/>
  <c r="G79" i="72"/>
  <c r="R79" i="72" s="1"/>
  <c r="AC79" i="72" s="1"/>
  <c r="J79" i="72"/>
  <c r="U79" i="72" s="1"/>
  <c r="AF79" i="72" s="1"/>
  <c r="F79" i="72"/>
  <c r="Q79" i="72" s="1"/>
  <c r="AB79" i="72" s="1"/>
  <c r="I79" i="72"/>
  <c r="T79" i="72" s="1"/>
  <c r="AE79" i="72" s="1"/>
  <c r="E79" i="72"/>
  <c r="P79" i="72" s="1"/>
  <c r="H79" i="72"/>
  <c r="S79" i="72" s="1"/>
  <c r="AD79" i="72" s="1"/>
  <c r="D79" i="72"/>
  <c r="O79" i="72" s="1"/>
  <c r="Z79" i="72" s="1"/>
  <c r="K518" i="72"/>
  <c r="V518" i="72" s="1"/>
  <c r="AG518" i="72" s="1"/>
  <c r="G518" i="72"/>
  <c r="R518" i="72" s="1"/>
  <c r="AC518" i="72" s="1"/>
  <c r="J518" i="72"/>
  <c r="U518" i="72" s="1"/>
  <c r="AF518" i="72" s="1"/>
  <c r="F518" i="72"/>
  <c r="Q518" i="72" s="1"/>
  <c r="AB518" i="72" s="1"/>
  <c r="I518" i="72"/>
  <c r="T518" i="72" s="1"/>
  <c r="AE518" i="72" s="1"/>
  <c r="E518" i="72"/>
  <c r="P518" i="72" s="1"/>
  <c r="H518" i="72"/>
  <c r="S518" i="72" s="1"/>
  <c r="AD518" i="72" s="1"/>
  <c r="D518" i="72"/>
  <c r="O518" i="72" s="1"/>
  <c r="Z518" i="72" s="1"/>
  <c r="K166" i="72"/>
  <c r="V166" i="72" s="1"/>
  <c r="AG166" i="72" s="1"/>
  <c r="G166" i="72"/>
  <c r="R166" i="72" s="1"/>
  <c r="AC166" i="72" s="1"/>
  <c r="J166" i="72"/>
  <c r="U166" i="72" s="1"/>
  <c r="AF166" i="72" s="1"/>
  <c r="F166" i="72"/>
  <c r="Q166" i="72" s="1"/>
  <c r="AB166" i="72" s="1"/>
  <c r="I166" i="72"/>
  <c r="T166" i="72" s="1"/>
  <c r="AE166" i="72" s="1"/>
  <c r="E166" i="72"/>
  <c r="P166" i="72" s="1"/>
  <c r="H166" i="72"/>
  <c r="S166" i="72" s="1"/>
  <c r="AD166" i="72" s="1"/>
  <c r="D166" i="72"/>
  <c r="O166" i="72" s="1"/>
  <c r="Z166" i="72" s="1"/>
  <c r="K342" i="72"/>
  <c r="V342" i="72" s="1"/>
  <c r="AG342" i="72" s="1"/>
  <c r="G342" i="72"/>
  <c r="R342" i="72" s="1"/>
  <c r="AC342" i="72" s="1"/>
  <c r="J342" i="72"/>
  <c r="U342" i="72" s="1"/>
  <c r="AF342" i="72" s="1"/>
  <c r="F342" i="72"/>
  <c r="Q342" i="72" s="1"/>
  <c r="AB342" i="72" s="1"/>
  <c r="I342" i="72"/>
  <c r="T342" i="72" s="1"/>
  <c r="AE342" i="72" s="1"/>
  <c r="E342" i="72"/>
  <c r="P342" i="72" s="1"/>
  <c r="H342" i="72"/>
  <c r="S342" i="72" s="1"/>
  <c r="AD342" i="72" s="1"/>
  <c r="D342" i="72"/>
  <c r="O342" i="72" s="1"/>
  <c r="Z342" i="72" s="1"/>
  <c r="K474" i="72"/>
  <c r="V474" i="72" s="1"/>
  <c r="AG474" i="72" s="1"/>
  <c r="G474" i="72"/>
  <c r="R474" i="72" s="1"/>
  <c r="AC474" i="72" s="1"/>
  <c r="J474" i="72"/>
  <c r="U474" i="72" s="1"/>
  <c r="AF474" i="72" s="1"/>
  <c r="F474" i="72"/>
  <c r="Q474" i="72" s="1"/>
  <c r="AB474" i="72" s="1"/>
  <c r="I474" i="72"/>
  <c r="T474" i="72" s="1"/>
  <c r="AE474" i="72" s="1"/>
  <c r="E474" i="72"/>
  <c r="P474" i="72" s="1"/>
  <c r="H474" i="72"/>
  <c r="S474" i="72" s="1"/>
  <c r="AD474" i="72" s="1"/>
  <c r="D474" i="72"/>
  <c r="O474" i="72" s="1"/>
  <c r="Z474" i="72" s="1"/>
  <c r="K122" i="72"/>
  <c r="V122" i="72" s="1"/>
  <c r="AG122" i="72" s="1"/>
  <c r="G122" i="72"/>
  <c r="R122" i="72" s="1"/>
  <c r="AC122" i="72" s="1"/>
  <c r="J122" i="72"/>
  <c r="U122" i="72" s="1"/>
  <c r="AF122" i="72" s="1"/>
  <c r="F122" i="72"/>
  <c r="Q122" i="72" s="1"/>
  <c r="AB122" i="72" s="1"/>
  <c r="I122" i="72"/>
  <c r="T122" i="72" s="1"/>
  <c r="AE122" i="72" s="1"/>
  <c r="E122" i="72"/>
  <c r="P122" i="72" s="1"/>
  <c r="H122" i="72"/>
  <c r="S122" i="72" s="1"/>
  <c r="AD122" i="72" s="1"/>
  <c r="D122" i="72"/>
  <c r="O122" i="72" s="1"/>
  <c r="Z122" i="72" s="1"/>
  <c r="K430" i="72"/>
  <c r="V430" i="72" s="1"/>
  <c r="AG430" i="72" s="1"/>
  <c r="G430" i="72"/>
  <c r="R430" i="72" s="1"/>
  <c r="AC430" i="72" s="1"/>
  <c r="J430" i="72"/>
  <c r="U430" i="72" s="1"/>
  <c r="AF430" i="72" s="1"/>
  <c r="F430" i="72"/>
  <c r="Q430" i="72" s="1"/>
  <c r="AB430" i="72" s="1"/>
  <c r="I430" i="72"/>
  <c r="T430" i="72" s="1"/>
  <c r="AE430" i="72" s="1"/>
  <c r="E430" i="72"/>
  <c r="P430" i="72" s="1"/>
  <c r="H430" i="72"/>
  <c r="S430" i="72" s="1"/>
  <c r="AD430" i="72" s="1"/>
  <c r="D430" i="72"/>
  <c r="O430" i="72" s="1"/>
  <c r="Z430" i="72" s="1"/>
  <c r="K298" i="72"/>
  <c r="V298" i="72" s="1"/>
  <c r="AG298" i="72" s="1"/>
  <c r="G298" i="72"/>
  <c r="R298" i="72" s="1"/>
  <c r="AC298" i="72" s="1"/>
  <c r="J298" i="72"/>
  <c r="U298" i="72" s="1"/>
  <c r="AF298" i="72" s="1"/>
  <c r="F298" i="72"/>
  <c r="Q298" i="72" s="1"/>
  <c r="AB298" i="72" s="1"/>
  <c r="I298" i="72"/>
  <c r="T298" i="72" s="1"/>
  <c r="AE298" i="72" s="1"/>
  <c r="E298" i="72"/>
  <c r="P298" i="72" s="1"/>
  <c r="H298" i="72"/>
  <c r="S298" i="72" s="1"/>
  <c r="AD298" i="72" s="1"/>
  <c r="D298" i="72"/>
  <c r="O298" i="72" s="1"/>
  <c r="Z298" i="72" s="1"/>
  <c r="K254" i="72"/>
  <c r="V254" i="72" s="1"/>
  <c r="AG254" i="72" s="1"/>
  <c r="G254" i="72"/>
  <c r="R254" i="72" s="1"/>
  <c r="AC254" i="72" s="1"/>
  <c r="J254" i="72"/>
  <c r="U254" i="72" s="1"/>
  <c r="AF254" i="72" s="1"/>
  <c r="F254" i="72"/>
  <c r="Q254" i="72" s="1"/>
  <c r="AB254" i="72" s="1"/>
  <c r="I254" i="72"/>
  <c r="T254" i="72" s="1"/>
  <c r="AE254" i="72" s="1"/>
  <c r="E254" i="72"/>
  <c r="P254" i="72" s="1"/>
  <c r="AA254" i="72" s="1"/>
  <c r="H254" i="72"/>
  <c r="S254" i="72" s="1"/>
  <c r="AD254" i="72" s="1"/>
  <c r="D254" i="72"/>
  <c r="O254" i="72" s="1"/>
  <c r="Z48" i="42"/>
  <c r="ER35" i="6"/>
  <c r="EU35" i="6"/>
  <c r="ER37" i="5"/>
  <c r="EU37" i="5"/>
  <c r="BN45" i="5"/>
  <c r="BJ44" i="5"/>
  <c r="BA36" i="38"/>
  <c r="I31" i="42"/>
  <c r="I33" i="40"/>
  <c r="A38" i="37"/>
  <c r="A167" i="72"/>
  <c r="FB40" i="7"/>
  <c r="BH40" i="7" s="1"/>
  <c r="BA38" i="36"/>
  <c r="BC339" i="72"/>
  <c r="BD339" i="72" s="1"/>
  <c r="BF339" i="72"/>
  <c r="I34" i="39"/>
  <c r="FB36" i="11"/>
  <c r="BH36" i="11" s="1"/>
  <c r="A34" i="41"/>
  <c r="A343" i="72"/>
  <c r="L209" i="72"/>
  <c r="M209" i="72" s="1"/>
  <c r="I30" i="43"/>
  <c r="L429" i="72"/>
  <c r="M429" i="72" s="1"/>
  <c r="BF163" i="72"/>
  <c r="BC163" i="72"/>
  <c r="BD163" i="72" s="1"/>
  <c r="J40" i="18"/>
  <c r="BG472" i="72"/>
  <c r="BB472" i="72"/>
  <c r="BA32" i="42"/>
  <c r="BG340" i="72"/>
  <c r="BB340" i="72"/>
  <c r="BN39" i="10"/>
  <c r="BJ38" i="10"/>
  <c r="I36" i="37"/>
  <c r="I37" i="36"/>
  <c r="K36" i="35"/>
  <c r="L36" i="35" s="1"/>
  <c r="E36" i="35" s="1"/>
  <c r="D75" i="35" s="1"/>
  <c r="BN34" i="15"/>
  <c r="BJ33" i="15"/>
  <c r="FB33" i="14"/>
  <c r="BH33" i="14" s="1"/>
  <c r="A31" i="44"/>
  <c r="A475" i="72"/>
  <c r="EU27" i="15"/>
  <c r="BN41" i="8"/>
  <c r="BJ40" i="8"/>
  <c r="A32" i="43"/>
  <c r="FB34" i="13"/>
  <c r="BH34" i="13" s="1"/>
  <c r="A431" i="72"/>
  <c r="I39" i="18"/>
  <c r="BG252" i="72"/>
  <c r="BB252" i="72"/>
  <c r="L297" i="72"/>
  <c r="M297" i="72" s="1"/>
  <c r="BA37" i="37"/>
  <c r="BG164" i="72"/>
  <c r="BB164" i="72"/>
  <c r="FB41" i="6"/>
  <c r="BH41" i="6" s="1"/>
  <c r="A123" i="72"/>
  <c r="A39" i="36"/>
  <c r="K30" i="40"/>
  <c r="L30" i="40" s="1"/>
  <c r="E30" i="40" s="1"/>
  <c r="D69" i="40" s="1"/>
  <c r="E69" i="40" s="1"/>
  <c r="ER32" i="10"/>
  <c r="BC251" i="72"/>
  <c r="BD251" i="72" s="1"/>
  <c r="BF251" i="72"/>
  <c r="AY208" i="72"/>
  <c r="AQ208" i="72"/>
  <c r="L473" i="72"/>
  <c r="M473" i="72" s="1"/>
  <c r="L253" i="72"/>
  <c r="M253" i="72" s="1"/>
  <c r="BG296" i="72"/>
  <c r="BB296" i="72"/>
  <c r="BF207" i="72"/>
  <c r="BC207" i="72"/>
  <c r="BD207" i="72" s="1"/>
  <c r="BG120" i="72"/>
  <c r="BB120" i="72"/>
  <c r="L78" i="72"/>
  <c r="M78" i="72" s="1"/>
  <c r="BG516" i="72"/>
  <c r="BB516" i="72"/>
  <c r="BN45" i="4"/>
  <c r="BJ44" i="4"/>
  <c r="K33" i="37"/>
  <c r="L33" i="37" s="1"/>
  <c r="E33" i="37" s="1"/>
  <c r="D72" i="37" s="1"/>
  <c r="FB35" i="12"/>
  <c r="BH35" i="12" s="1"/>
  <c r="A387" i="72"/>
  <c r="A33" i="42"/>
  <c r="L165" i="72"/>
  <c r="M165" i="72" s="1"/>
  <c r="L121" i="72"/>
  <c r="M121" i="72" s="1"/>
  <c r="K29" i="41"/>
  <c r="L29" i="41" s="1"/>
  <c r="E29" i="41" s="1"/>
  <c r="D68" i="41" s="1"/>
  <c r="E68" i="41" s="1"/>
  <c r="BG428" i="72"/>
  <c r="BB428" i="72"/>
  <c r="BA29" i="45"/>
  <c r="BA30" i="44"/>
  <c r="BJ39" i="9"/>
  <c r="BN40" i="9"/>
  <c r="K31" i="39"/>
  <c r="L31" i="39" s="1"/>
  <c r="E31" i="39" s="1"/>
  <c r="D70" i="39" s="1"/>
  <c r="E70" i="39" s="1"/>
  <c r="ER33" i="9"/>
  <c r="I32" i="41"/>
  <c r="BF471" i="72"/>
  <c r="BC471" i="72"/>
  <c r="BD471" i="72" s="1"/>
  <c r="K27" i="43"/>
  <c r="L27" i="43" s="1"/>
  <c r="E27" i="43" s="1"/>
  <c r="D66" i="43" s="1"/>
  <c r="E66" i="43" s="1"/>
  <c r="FB43" i="5"/>
  <c r="BH43" i="5" s="1"/>
  <c r="A80" i="72"/>
  <c r="A41" i="35"/>
  <c r="BA31" i="43"/>
  <c r="BJ41" i="7"/>
  <c r="BN42" i="7"/>
  <c r="K26" i="44"/>
  <c r="L26" i="44" s="1"/>
  <c r="E26" i="44" s="1"/>
  <c r="D65" i="44" s="1"/>
  <c r="E65" i="44" s="1"/>
  <c r="L517" i="72"/>
  <c r="M517" i="72" s="1"/>
  <c r="I29" i="44"/>
  <c r="BN38" i="11"/>
  <c r="BJ37" i="11"/>
  <c r="BF76" i="72"/>
  <c r="BC76" i="72"/>
  <c r="BD76" i="72" s="1"/>
  <c r="AM76" i="72" s="1"/>
  <c r="AP76" i="72" s="1"/>
  <c r="I39" i="35"/>
  <c r="BA40" i="18"/>
  <c r="BE40" i="18" s="1"/>
  <c r="AY472" i="72"/>
  <c r="AQ472" i="72"/>
  <c r="AY340" i="72"/>
  <c r="AQ340" i="72"/>
  <c r="A299" i="72"/>
  <c r="A35" i="40"/>
  <c r="FB37" i="10"/>
  <c r="BH37" i="10" s="1"/>
  <c r="K28" i="42"/>
  <c r="L28" i="42" s="1"/>
  <c r="E28" i="42" s="1"/>
  <c r="D67" i="42" s="1"/>
  <c r="E67" i="42" s="1"/>
  <c r="BG77" i="72"/>
  <c r="AY77" i="72"/>
  <c r="BB77" i="72"/>
  <c r="A519" i="72"/>
  <c r="A30" i="45"/>
  <c r="FB32" i="15"/>
  <c r="BH32" i="15" s="1"/>
  <c r="GC32" i="15" s="1"/>
  <c r="FX356" i="34" s="1"/>
  <c r="BF119" i="72"/>
  <c r="BC119" i="72"/>
  <c r="BD119" i="72" s="1"/>
  <c r="AM119" i="72" s="1"/>
  <c r="AP119" i="72" s="1"/>
  <c r="BN35" i="14"/>
  <c r="BJ34" i="14"/>
  <c r="BF515" i="72"/>
  <c r="BC515" i="72"/>
  <c r="BD515" i="72" s="1"/>
  <c r="K25" i="45"/>
  <c r="L25" i="45" s="1"/>
  <c r="E25" i="45" s="1"/>
  <c r="D64" i="45" s="1"/>
  <c r="E64" i="45" s="1"/>
  <c r="ER27" i="15"/>
  <c r="BA40" i="35"/>
  <c r="BF295" i="72"/>
  <c r="BC295" i="72"/>
  <c r="BD295" i="72" s="1"/>
  <c r="A37" i="38"/>
  <c r="A211" i="72"/>
  <c r="FB39" i="8"/>
  <c r="BH39" i="8" s="1"/>
  <c r="BN36" i="13"/>
  <c r="BJ35" i="13"/>
  <c r="AY252" i="72"/>
  <c r="L385" i="72"/>
  <c r="M385" i="72" s="1"/>
  <c r="AY164" i="72"/>
  <c r="BN43" i="6"/>
  <c r="BJ42" i="6"/>
  <c r="BG208" i="72"/>
  <c r="BB208" i="72"/>
  <c r="I28" i="45"/>
  <c r="BA33" i="41"/>
  <c r="AY296" i="72"/>
  <c r="BF427" i="72"/>
  <c r="BC427" i="72"/>
  <c r="BD427" i="72" s="1"/>
  <c r="AQ120" i="72"/>
  <c r="AY120" i="72"/>
  <c r="BF383" i="72"/>
  <c r="BC383" i="72"/>
  <c r="BD383" i="72" s="1"/>
  <c r="K34" i="36"/>
  <c r="L34" i="36" s="1"/>
  <c r="E34" i="36" s="1"/>
  <c r="D73" i="36" s="1"/>
  <c r="I35" i="38"/>
  <c r="AY516" i="72"/>
  <c r="A41" i="18"/>
  <c r="A35" i="72"/>
  <c r="FB43" i="4"/>
  <c r="BH43" i="4" s="1"/>
  <c r="K32" i="38"/>
  <c r="L32" i="38" s="1"/>
  <c r="E32" i="38" s="1"/>
  <c r="D71" i="38" s="1"/>
  <c r="BN37" i="12"/>
  <c r="BJ36" i="12"/>
  <c r="BA34" i="40"/>
  <c r="AY428" i="72"/>
  <c r="AQ428" i="72"/>
  <c r="FB38" i="9"/>
  <c r="BH38" i="9" s="1"/>
  <c r="A36" i="39"/>
  <c r="A255" i="72"/>
  <c r="BA35" i="39"/>
  <c r="AY384" i="72"/>
  <c r="BG384" i="72"/>
  <c r="BB384" i="72"/>
  <c r="L341" i="72"/>
  <c r="M341" i="72" s="1"/>
  <c r="ER28" i="14" l="1"/>
  <c r="BC37" i="9"/>
  <c r="I35" i="39" s="1"/>
  <c r="F64" i="45"/>
  <c r="G64" i="45"/>
  <c r="G69" i="40"/>
  <c r="F69" i="40"/>
  <c r="G70" i="39"/>
  <c r="F70" i="39"/>
  <c r="G67" i="42"/>
  <c r="F67" i="42"/>
  <c r="G66" i="43"/>
  <c r="F66" i="43"/>
  <c r="G65" i="44"/>
  <c r="F65" i="44"/>
  <c r="G68" i="41"/>
  <c r="F68" i="41"/>
  <c r="J38" i="36"/>
  <c r="J36" i="38"/>
  <c r="J37" i="37"/>
  <c r="J30" i="44"/>
  <c r="ER34" i="8"/>
  <c r="J33" i="41"/>
  <c r="ER29" i="13"/>
  <c r="J35" i="39"/>
  <c r="J32" i="42"/>
  <c r="GC34" i="13"/>
  <c r="FX296" i="34" s="1"/>
  <c r="GC39" i="8"/>
  <c r="FX146" i="34" s="1"/>
  <c r="GC36" i="11"/>
  <c r="FX236" i="34" s="1"/>
  <c r="GC41" i="6"/>
  <c r="FX86" i="34" s="1"/>
  <c r="GC33" i="14"/>
  <c r="FX326" i="34" s="1"/>
  <c r="GC40" i="7"/>
  <c r="FX116" i="34" s="1"/>
  <c r="GC43" i="5"/>
  <c r="FX57" i="34" s="1"/>
  <c r="GC35" i="12"/>
  <c r="FX266" i="34" s="1"/>
  <c r="GC37" i="10"/>
  <c r="FX206" i="34" s="1"/>
  <c r="GC38" i="9"/>
  <c r="FX176" i="34" s="1"/>
  <c r="GC43" i="4"/>
  <c r="FX26" i="34" s="1"/>
  <c r="AI209" i="72"/>
  <c r="AQ209" i="72" s="1"/>
  <c r="AI517" i="72"/>
  <c r="AQ517" i="72" s="1"/>
  <c r="AI385" i="72"/>
  <c r="AQ385" i="72" s="1"/>
  <c r="AI78" i="72"/>
  <c r="AQ78" i="72" s="1"/>
  <c r="AI33" i="72"/>
  <c r="AI253" i="72"/>
  <c r="AQ253" i="72" s="1"/>
  <c r="AI165" i="72"/>
  <c r="W298" i="72"/>
  <c r="X298" i="72" s="1"/>
  <c r="AA298" i="72"/>
  <c r="W430" i="72"/>
  <c r="X430" i="72" s="1"/>
  <c r="AA430" i="72"/>
  <c r="W122" i="72"/>
  <c r="X122" i="72" s="1"/>
  <c r="AA122" i="72"/>
  <c r="AA474" i="72"/>
  <c r="W474" i="72"/>
  <c r="X474" i="72" s="1"/>
  <c r="W342" i="72"/>
  <c r="X342" i="72" s="1"/>
  <c r="AA342" i="72"/>
  <c r="AA166" i="72"/>
  <c r="W166" i="72"/>
  <c r="X166" i="72" s="1"/>
  <c r="W518" i="72"/>
  <c r="X518" i="72" s="1"/>
  <c r="AA518" i="72"/>
  <c r="W79" i="72"/>
  <c r="X79" i="72" s="1"/>
  <c r="AA79" i="72"/>
  <c r="AA386" i="72"/>
  <c r="W386" i="72"/>
  <c r="X386" i="72" s="1"/>
  <c r="W34" i="72"/>
  <c r="X34" i="72" s="1"/>
  <c r="AA34" i="72"/>
  <c r="W210" i="72"/>
  <c r="X210" i="72" s="1"/>
  <c r="AA210" i="72"/>
  <c r="AI121" i="72"/>
  <c r="AQ121" i="72" s="1"/>
  <c r="AI341" i="72"/>
  <c r="AI473" i="72"/>
  <c r="AQ473" i="72" s="1"/>
  <c r="W254" i="72"/>
  <c r="X254" i="72" s="1"/>
  <c r="Z254" i="72"/>
  <c r="AI429" i="72"/>
  <c r="AI297" i="72"/>
  <c r="AQ297" i="72" s="1"/>
  <c r="FS43" i="4"/>
  <c r="BE43" i="4"/>
  <c r="BC43" i="4" s="1"/>
  <c r="ER30" i="12"/>
  <c r="AP382" i="72"/>
  <c r="EU30" i="12" s="1"/>
  <c r="ER35" i="7"/>
  <c r="AP162" i="72"/>
  <c r="EU35" i="7" s="1"/>
  <c r="ER31" i="11"/>
  <c r="AP338" i="72"/>
  <c r="EU31" i="11" s="1"/>
  <c r="FS43" i="5"/>
  <c r="BE43" i="5"/>
  <c r="BC43" i="5" s="1"/>
  <c r="J34" i="40"/>
  <c r="J40" i="35"/>
  <c r="J29" i="45"/>
  <c r="J31" i="43"/>
  <c r="FS34" i="13"/>
  <c r="BE34" i="13"/>
  <c r="BC34" i="13" s="1"/>
  <c r="FS38" i="9"/>
  <c r="BE38" i="9"/>
  <c r="BC38" i="9" s="1"/>
  <c r="FS32" i="15"/>
  <c r="BE32" i="15"/>
  <c r="BC32" i="15" s="1"/>
  <c r="FS41" i="6"/>
  <c r="BE41" i="6"/>
  <c r="BC41" i="6" s="1"/>
  <c r="FS39" i="8"/>
  <c r="BE39" i="8"/>
  <c r="BC39" i="8" s="1"/>
  <c r="FS35" i="12"/>
  <c r="BE35" i="12"/>
  <c r="BC35" i="12" s="1"/>
  <c r="FS36" i="11"/>
  <c r="BE36" i="11"/>
  <c r="BC36" i="11" s="1"/>
  <c r="FS37" i="10"/>
  <c r="BE37" i="10"/>
  <c r="BC37" i="10" s="1"/>
  <c r="FS33" i="14"/>
  <c r="BE33" i="14"/>
  <c r="BC33" i="14" s="1"/>
  <c r="FS40" i="7"/>
  <c r="BE40" i="7"/>
  <c r="BC40" i="7" s="1"/>
  <c r="EV36" i="8"/>
  <c r="AA36" i="8" s="1"/>
  <c r="EV40" i="5"/>
  <c r="AA40" i="5" s="1"/>
  <c r="EV29" i="15"/>
  <c r="AA29" i="15" s="1"/>
  <c r="EV37" i="7"/>
  <c r="AA37" i="7" s="1"/>
  <c r="EV33" i="11"/>
  <c r="AA33" i="11" s="1"/>
  <c r="EV32" i="12"/>
  <c r="AA32" i="12" s="1"/>
  <c r="EV31" i="13"/>
  <c r="AA31" i="13" s="1"/>
  <c r="EV38" i="6"/>
  <c r="AA38" i="6" s="1"/>
  <c r="EV34" i="10"/>
  <c r="AA34" i="10" s="1"/>
  <c r="EV35" i="9"/>
  <c r="AA35" i="9" s="1"/>
  <c r="EV30" i="14"/>
  <c r="AA30" i="14" s="1"/>
  <c r="H36" i="39"/>
  <c r="EM36" i="39"/>
  <c r="CD385" i="72"/>
  <c r="AM295" i="72"/>
  <c r="AP295" i="72" s="1"/>
  <c r="EU33" i="10" s="1"/>
  <c r="AM471" i="72"/>
  <c r="H32" i="43"/>
  <c r="EM32" i="43"/>
  <c r="H31" i="44"/>
  <c r="EM31" i="44"/>
  <c r="CD209" i="72"/>
  <c r="AM427" i="72"/>
  <c r="AM515" i="72"/>
  <c r="AP515" i="72" s="1"/>
  <c r="EU28" i="15" s="1"/>
  <c r="EH519" i="72"/>
  <c r="EI519" i="72" s="1"/>
  <c r="EA519" i="72"/>
  <c r="DW519" i="72"/>
  <c r="DZ519" i="72"/>
  <c r="DV519" i="72"/>
  <c r="EC519" i="72"/>
  <c r="DY519" i="72"/>
  <c r="DU519" i="72"/>
  <c r="EB519" i="72"/>
  <c r="DX519" i="72"/>
  <c r="EB299" i="72"/>
  <c r="DX299" i="72"/>
  <c r="EH299" i="72"/>
  <c r="EI299" i="72" s="1"/>
  <c r="EA299" i="72"/>
  <c r="DW299" i="72"/>
  <c r="DZ299" i="72"/>
  <c r="DV299" i="72"/>
  <c r="EC299" i="72"/>
  <c r="DY299" i="72"/>
  <c r="DU299" i="72"/>
  <c r="CD297" i="72"/>
  <c r="ED34" i="72"/>
  <c r="EE34" i="72" s="1"/>
  <c r="EN40" i="18" s="1"/>
  <c r="ED430" i="72"/>
  <c r="EE430" i="72" s="1"/>
  <c r="ED254" i="72"/>
  <c r="EE254" i="72" s="1"/>
  <c r="ED342" i="72"/>
  <c r="EE342" i="72" s="1"/>
  <c r="H30" i="45"/>
  <c r="EM30" i="45"/>
  <c r="H35" i="40"/>
  <c r="EM35" i="40"/>
  <c r="EH80" i="72"/>
  <c r="EI80" i="72" s="1"/>
  <c r="EA80" i="72"/>
  <c r="DW80" i="72"/>
  <c r="DZ80" i="72"/>
  <c r="DV80" i="72"/>
  <c r="EC80" i="72"/>
  <c r="DY80" i="72"/>
  <c r="DU80" i="72"/>
  <c r="EB80" i="72"/>
  <c r="DX80" i="72"/>
  <c r="AM383" i="72"/>
  <c r="AP383" i="72" s="1"/>
  <c r="EU31" i="12" s="1"/>
  <c r="CD121" i="72"/>
  <c r="CD429" i="72"/>
  <c r="DZ343" i="72"/>
  <c r="DV343" i="72"/>
  <c r="EC343" i="72"/>
  <c r="DY343" i="72"/>
  <c r="DU343" i="72"/>
  <c r="EB343" i="72"/>
  <c r="DX343" i="72"/>
  <c r="EH343" i="72"/>
  <c r="EI343" i="72" s="1"/>
  <c r="EA343" i="72"/>
  <c r="DW343" i="72"/>
  <c r="DZ35" i="72"/>
  <c r="DV35" i="72"/>
  <c r="EC35" i="72"/>
  <c r="DY35" i="72"/>
  <c r="DU35" i="72"/>
  <c r="EB35" i="72"/>
  <c r="DX35" i="72"/>
  <c r="EH35" i="72"/>
  <c r="EI35" i="72" s="1"/>
  <c r="EA35" i="72"/>
  <c r="DW35" i="72"/>
  <c r="EB211" i="72"/>
  <c r="DX211" i="72"/>
  <c r="EH211" i="72"/>
  <c r="EI211" i="72" s="1"/>
  <c r="EA211" i="72"/>
  <c r="DW211" i="72"/>
  <c r="DZ211" i="72"/>
  <c r="DV211" i="72"/>
  <c r="EC211" i="72"/>
  <c r="DY211" i="72"/>
  <c r="DU211" i="72"/>
  <c r="CD165" i="72"/>
  <c r="H33" i="42"/>
  <c r="EM33" i="42"/>
  <c r="AM207" i="72"/>
  <c r="AP207" i="72" s="1"/>
  <c r="EU35" i="8" s="1"/>
  <c r="CD253" i="72"/>
  <c r="H39" i="36"/>
  <c r="EM39" i="36"/>
  <c r="EB431" i="72"/>
  <c r="DX431" i="72"/>
  <c r="EH431" i="72"/>
  <c r="EI431" i="72" s="1"/>
  <c r="EA431" i="72"/>
  <c r="DW431" i="72"/>
  <c r="DZ431" i="72"/>
  <c r="DV431" i="72"/>
  <c r="EC431" i="72"/>
  <c r="DY431" i="72"/>
  <c r="DU431" i="72"/>
  <c r="H34" i="41"/>
  <c r="EM34" i="41"/>
  <c r="DZ167" i="72"/>
  <c r="DV167" i="72"/>
  <c r="EC167" i="72"/>
  <c r="DY167" i="72"/>
  <c r="DU167" i="72"/>
  <c r="EB167" i="72"/>
  <c r="DX167" i="72"/>
  <c r="EH167" i="72"/>
  <c r="EI167" i="72" s="1"/>
  <c r="EA167" i="72"/>
  <c r="DW167" i="72"/>
  <c r="ED518" i="72"/>
  <c r="EE518" i="72" s="1"/>
  <c r="ED79" i="72"/>
  <c r="EE79" i="72" s="1"/>
  <c r="ED474" i="72"/>
  <c r="EE474" i="72" s="1"/>
  <c r="CD341" i="72"/>
  <c r="DZ255" i="72"/>
  <c r="DV255" i="72"/>
  <c r="EC255" i="72"/>
  <c r="DY255" i="72"/>
  <c r="DU255" i="72"/>
  <c r="EB255" i="72"/>
  <c r="DX255" i="72"/>
  <c r="EH255" i="72"/>
  <c r="EI255" i="72" s="1"/>
  <c r="EA255" i="72"/>
  <c r="DW255" i="72"/>
  <c r="H41" i="18"/>
  <c r="EM41" i="18"/>
  <c r="H37" i="38"/>
  <c r="EM37" i="38"/>
  <c r="CD517" i="72"/>
  <c r="H41" i="35"/>
  <c r="EM41" i="35"/>
  <c r="EC387" i="72"/>
  <c r="DY387" i="72"/>
  <c r="DU387" i="72"/>
  <c r="EB387" i="72"/>
  <c r="DX387" i="72"/>
  <c r="EH387" i="72"/>
  <c r="EI387" i="72" s="1"/>
  <c r="EA387" i="72"/>
  <c r="DW387" i="72"/>
  <c r="DZ387" i="72"/>
  <c r="DV387" i="72"/>
  <c r="CD78" i="72"/>
  <c r="CD473" i="72"/>
  <c r="AM251" i="72"/>
  <c r="AP251" i="72" s="1"/>
  <c r="EU34" i="9" s="1"/>
  <c r="EB123" i="72"/>
  <c r="DX123" i="72"/>
  <c r="EH123" i="72"/>
  <c r="EI123" i="72" s="1"/>
  <c r="EA123" i="72"/>
  <c r="DW123" i="72"/>
  <c r="DZ123" i="72"/>
  <c r="DV123" i="72"/>
  <c r="EC123" i="72"/>
  <c r="DY123" i="72"/>
  <c r="DU123" i="72"/>
  <c r="EC475" i="72"/>
  <c r="DY475" i="72"/>
  <c r="DU475" i="72"/>
  <c r="EB475" i="72"/>
  <c r="DX475" i="72"/>
  <c r="EH475" i="72"/>
  <c r="EI475" i="72" s="1"/>
  <c r="EA475" i="72"/>
  <c r="DW475" i="72"/>
  <c r="DZ475" i="72"/>
  <c r="DV475" i="72"/>
  <c r="AM163" i="72"/>
  <c r="AP163" i="72" s="1"/>
  <c r="EU36" i="7" s="1"/>
  <c r="AM339" i="72"/>
  <c r="AP339" i="72" s="1"/>
  <c r="EU32" i="11" s="1"/>
  <c r="H38" i="37"/>
  <c r="EM38" i="37"/>
  <c r="ED166" i="72"/>
  <c r="EE166" i="72" s="1"/>
  <c r="ED298" i="72"/>
  <c r="EE298" i="72" s="1"/>
  <c r="ED122" i="72"/>
  <c r="EE122" i="72" s="1"/>
  <c r="ED386" i="72"/>
  <c r="EE386" i="72" s="1"/>
  <c r="ED210" i="72"/>
  <c r="EE210" i="72" s="1"/>
  <c r="K387" i="72"/>
  <c r="V387" i="72" s="1"/>
  <c r="AG387" i="72" s="1"/>
  <c r="G387" i="72"/>
  <c r="R387" i="72" s="1"/>
  <c r="AC387" i="72" s="1"/>
  <c r="J387" i="72"/>
  <c r="U387" i="72" s="1"/>
  <c r="AF387" i="72" s="1"/>
  <c r="F387" i="72"/>
  <c r="Q387" i="72" s="1"/>
  <c r="AB387" i="72" s="1"/>
  <c r="I387" i="72"/>
  <c r="T387" i="72" s="1"/>
  <c r="AE387" i="72" s="1"/>
  <c r="E387" i="72"/>
  <c r="P387" i="72" s="1"/>
  <c r="H387" i="72"/>
  <c r="S387" i="72" s="1"/>
  <c r="AD387" i="72" s="1"/>
  <c r="D387" i="72"/>
  <c r="O387" i="72" s="1"/>
  <c r="Z387" i="72" s="1"/>
  <c r="K123" i="72"/>
  <c r="V123" i="72" s="1"/>
  <c r="AG123" i="72" s="1"/>
  <c r="G123" i="72"/>
  <c r="R123" i="72" s="1"/>
  <c r="AC123" i="72" s="1"/>
  <c r="J123" i="72"/>
  <c r="U123" i="72" s="1"/>
  <c r="AF123" i="72" s="1"/>
  <c r="F123" i="72"/>
  <c r="Q123" i="72" s="1"/>
  <c r="AB123" i="72" s="1"/>
  <c r="I123" i="72"/>
  <c r="T123" i="72" s="1"/>
  <c r="AE123" i="72" s="1"/>
  <c r="E123" i="72"/>
  <c r="P123" i="72" s="1"/>
  <c r="AA123" i="72" s="1"/>
  <c r="H123" i="72"/>
  <c r="S123" i="72" s="1"/>
  <c r="AD123" i="72" s="1"/>
  <c r="D123" i="72"/>
  <c r="O123" i="72" s="1"/>
  <c r="K431" i="72"/>
  <c r="V431" i="72" s="1"/>
  <c r="AG431" i="72" s="1"/>
  <c r="G431" i="72"/>
  <c r="R431" i="72" s="1"/>
  <c r="AC431" i="72" s="1"/>
  <c r="J431" i="72"/>
  <c r="U431" i="72" s="1"/>
  <c r="AF431" i="72" s="1"/>
  <c r="F431" i="72"/>
  <c r="Q431" i="72" s="1"/>
  <c r="AB431" i="72" s="1"/>
  <c r="I431" i="72"/>
  <c r="T431" i="72" s="1"/>
  <c r="AE431" i="72" s="1"/>
  <c r="E431" i="72"/>
  <c r="P431" i="72" s="1"/>
  <c r="H431" i="72"/>
  <c r="S431" i="72" s="1"/>
  <c r="AD431" i="72" s="1"/>
  <c r="D431" i="72"/>
  <c r="O431" i="72" s="1"/>
  <c r="Z431" i="72" s="1"/>
  <c r="K343" i="72"/>
  <c r="V343" i="72" s="1"/>
  <c r="AG343" i="72" s="1"/>
  <c r="G343" i="72"/>
  <c r="R343" i="72" s="1"/>
  <c r="AC343" i="72" s="1"/>
  <c r="J343" i="72"/>
  <c r="U343" i="72" s="1"/>
  <c r="AF343" i="72" s="1"/>
  <c r="F343" i="72"/>
  <c r="Q343" i="72" s="1"/>
  <c r="AB343" i="72" s="1"/>
  <c r="I343" i="72"/>
  <c r="T343" i="72" s="1"/>
  <c r="AE343" i="72" s="1"/>
  <c r="E343" i="72"/>
  <c r="P343" i="72" s="1"/>
  <c r="H343" i="72"/>
  <c r="S343" i="72" s="1"/>
  <c r="AD343" i="72" s="1"/>
  <c r="D343" i="72"/>
  <c r="O343" i="72" s="1"/>
  <c r="Z343" i="72" s="1"/>
  <c r="K475" i="72"/>
  <c r="V475" i="72" s="1"/>
  <c r="AG475" i="72" s="1"/>
  <c r="G475" i="72"/>
  <c r="R475" i="72" s="1"/>
  <c r="AC475" i="72" s="1"/>
  <c r="J475" i="72"/>
  <c r="U475" i="72" s="1"/>
  <c r="AF475" i="72" s="1"/>
  <c r="F475" i="72"/>
  <c r="Q475" i="72" s="1"/>
  <c r="AB475" i="72" s="1"/>
  <c r="I475" i="72"/>
  <c r="T475" i="72" s="1"/>
  <c r="AE475" i="72" s="1"/>
  <c r="E475" i="72"/>
  <c r="P475" i="72" s="1"/>
  <c r="H475" i="72"/>
  <c r="S475" i="72" s="1"/>
  <c r="AD475" i="72" s="1"/>
  <c r="D475" i="72"/>
  <c r="O475" i="72" s="1"/>
  <c r="Z475" i="72" s="1"/>
  <c r="K211" i="72"/>
  <c r="V211" i="72" s="1"/>
  <c r="AG211" i="72" s="1"/>
  <c r="G211" i="72"/>
  <c r="R211" i="72" s="1"/>
  <c r="AC211" i="72" s="1"/>
  <c r="J211" i="72"/>
  <c r="U211" i="72" s="1"/>
  <c r="AF211" i="72" s="1"/>
  <c r="F211" i="72"/>
  <c r="Q211" i="72" s="1"/>
  <c r="AB211" i="72" s="1"/>
  <c r="I211" i="72"/>
  <c r="T211" i="72" s="1"/>
  <c r="AE211" i="72" s="1"/>
  <c r="E211" i="72"/>
  <c r="P211" i="72" s="1"/>
  <c r="H211" i="72"/>
  <c r="S211" i="72" s="1"/>
  <c r="AD211" i="72" s="1"/>
  <c r="D211" i="72"/>
  <c r="O211" i="72" s="1"/>
  <c r="Z211" i="72" s="1"/>
  <c r="K519" i="72"/>
  <c r="V519" i="72" s="1"/>
  <c r="AG519" i="72" s="1"/>
  <c r="G519" i="72"/>
  <c r="R519" i="72" s="1"/>
  <c r="AC519" i="72" s="1"/>
  <c r="J519" i="72"/>
  <c r="U519" i="72" s="1"/>
  <c r="AF519" i="72" s="1"/>
  <c r="F519" i="72"/>
  <c r="Q519" i="72" s="1"/>
  <c r="AB519" i="72" s="1"/>
  <c r="I519" i="72"/>
  <c r="T519" i="72" s="1"/>
  <c r="AE519" i="72" s="1"/>
  <c r="E519" i="72"/>
  <c r="P519" i="72" s="1"/>
  <c r="H519" i="72"/>
  <c r="S519" i="72" s="1"/>
  <c r="AD519" i="72" s="1"/>
  <c r="D519" i="72"/>
  <c r="O519" i="72" s="1"/>
  <c r="Z519" i="72" s="1"/>
  <c r="K299" i="72"/>
  <c r="V299" i="72" s="1"/>
  <c r="AG299" i="72" s="1"/>
  <c r="G299" i="72"/>
  <c r="R299" i="72" s="1"/>
  <c r="AC299" i="72" s="1"/>
  <c r="J299" i="72"/>
  <c r="U299" i="72" s="1"/>
  <c r="AF299" i="72" s="1"/>
  <c r="F299" i="72"/>
  <c r="Q299" i="72" s="1"/>
  <c r="AB299" i="72" s="1"/>
  <c r="I299" i="72"/>
  <c r="T299" i="72" s="1"/>
  <c r="AE299" i="72" s="1"/>
  <c r="E299" i="72"/>
  <c r="P299" i="72" s="1"/>
  <c r="AA299" i="72" s="1"/>
  <c r="H299" i="72"/>
  <c r="S299" i="72" s="1"/>
  <c r="AD299" i="72" s="1"/>
  <c r="D299" i="72"/>
  <c r="O299" i="72" s="1"/>
  <c r="K167" i="72"/>
  <c r="V167" i="72" s="1"/>
  <c r="AG167" i="72" s="1"/>
  <c r="G167" i="72"/>
  <c r="R167" i="72" s="1"/>
  <c r="AC167" i="72" s="1"/>
  <c r="J167" i="72"/>
  <c r="U167" i="72" s="1"/>
  <c r="AF167" i="72" s="1"/>
  <c r="F167" i="72"/>
  <c r="Q167" i="72" s="1"/>
  <c r="AB167" i="72" s="1"/>
  <c r="I167" i="72"/>
  <c r="T167" i="72" s="1"/>
  <c r="AE167" i="72" s="1"/>
  <c r="E167" i="72"/>
  <c r="P167" i="72" s="1"/>
  <c r="H167" i="72"/>
  <c r="S167" i="72" s="1"/>
  <c r="AD167" i="72" s="1"/>
  <c r="D167" i="72"/>
  <c r="O167" i="72" s="1"/>
  <c r="Z167" i="72" s="1"/>
  <c r="K255" i="72"/>
  <c r="V255" i="72" s="1"/>
  <c r="AG255" i="72" s="1"/>
  <c r="G255" i="72"/>
  <c r="R255" i="72" s="1"/>
  <c r="AC255" i="72" s="1"/>
  <c r="J255" i="72"/>
  <c r="U255" i="72" s="1"/>
  <c r="AF255" i="72" s="1"/>
  <c r="F255" i="72"/>
  <c r="Q255" i="72" s="1"/>
  <c r="AB255" i="72" s="1"/>
  <c r="I255" i="72"/>
  <c r="T255" i="72" s="1"/>
  <c r="AE255" i="72" s="1"/>
  <c r="E255" i="72"/>
  <c r="P255" i="72" s="1"/>
  <c r="H255" i="72"/>
  <c r="S255" i="72" s="1"/>
  <c r="AD255" i="72" s="1"/>
  <c r="D255" i="72"/>
  <c r="O255" i="72" s="1"/>
  <c r="Z255" i="72" s="1"/>
  <c r="K35" i="72"/>
  <c r="V35" i="72" s="1"/>
  <c r="AG35" i="72" s="1"/>
  <c r="G35" i="72"/>
  <c r="R35" i="72" s="1"/>
  <c r="AC35" i="72" s="1"/>
  <c r="J35" i="72"/>
  <c r="U35" i="72" s="1"/>
  <c r="AF35" i="72" s="1"/>
  <c r="F35" i="72"/>
  <c r="Q35" i="72" s="1"/>
  <c r="AB35" i="72" s="1"/>
  <c r="I35" i="72"/>
  <c r="T35" i="72" s="1"/>
  <c r="AE35" i="72" s="1"/>
  <c r="E35" i="72"/>
  <c r="P35" i="72" s="1"/>
  <c r="H35" i="72"/>
  <c r="S35" i="72" s="1"/>
  <c r="AD35" i="72" s="1"/>
  <c r="D35" i="72"/>
  <c r="O35" i="72" s="1"/>
  <c r="Z35" i="72" s="1"/>
  <c r="K80" i="72"/>
  <c r="V80" i="72" s="1"/>
  <c r="AG80" i="72" s="1"/>
  <c r="G80" i="72"/>
  <c r="R80" i="72" s="1"/>
  <c r="AC80" i="72" s="1"/>
  <c r="J80" i="72"/>
  <c r="U80" i="72" s="1"/>
  <c r="AF80" i="72" s="1"/>
  <c r="F80" i="72"/>
  <c r="Q80" i="72" s="1"/>
  <c r="AB80" i="72" s="1"/>
  <c r="I80" i="72"/>
  <c r="T80" i="72" s="1"/>
  <c r="AE80" i="72" s="1"/>
  <c r="E80" i="72"/>
  <c r="P80" i="72" s="1"/>
  <c r="H80" i="72"/>
  <c r="S80" i="72" s="1"/>
  <c r="AD80" i="72" s="1"/>
  <c r="D80" i="72"/>
  <c r="O80" i="72" s="1"/>
  <c r="Z80" i="72" s="1"/>
  <c r="Z48" i="41"/>
  <c r="ER36" i="6"/>
  <c r="EU36" i="6"/>
  <c r="ER38" i="5"/>
  <c r="EU38" i="5"/>
  <c r="AQ341" i="72"/>
  <c r="BF384" i="72"/>
  <c r="BC384" i="72"/>
  <c r="BD384" i="72" s="1"/>
  <c r="BA36" i="39"/>
  <c r="L474" i="72"/>
  <c r="M474" i="72" s="1"/>
  <c r="BN38" i="12"/>
  <c r="BJ37" i="12"/>
  <c r="K29" i="42"/>
  <c r="L29" i="42" s="1"/>
  <c r="E29" i="42" s="1"/>
  <c r="D68" i="42" s="1"/>
  <c r="E68" i="42" s="1"/>
  <c r="ER31" i="12"/>
  <c r="K28" i="43"/>
  <c r="L28" i="43" s="1"/>
  <c r="E28" i="43" s="1"/>
  <c r="D67" i="43" s="1"/>
  <c r="E67" i="43" s="1"/>
  <c r="FB42" i="6"/>
  <c r="BH42" i="6" s="1"/>
  <c r="A40" i="36"/>
  <c r="A124" i="72"/>
  <c r="I37" i="37"/>
  <c r="AY385" i="72"/>
  <c r="BN37" i="13"/>
  <c r="BJ36" i="13"/>
  <c r="L79" i="72"/>
  <c r="M79" i="72" s="1"/>
  <c r="FB34" i="14"/>
  <c r="BH34" i="14" s="1"/>
  <c r="A32" i="44"/>
  <c r="A476" i="72"/>
  <c r="K35" i="36"/>
  <c r="L35" i="36" s="1"/>
  <c r="E35" i="36" s="1"/>
  <c r="D74" i="36" s="1"/>
  <c r="BA30" i="45"/>
  <c r="K37" i="35"/>
  <c r="L37" i="35" s="1"/>
  <c r="E37" i="35" s="1"/>
  <c r="D76" i="35" s="1"/>
  <c r="BN39" i="11"/>
  <c r="BJ38" i="11"/>
  <c r="BG517" i="72"/>
  <c r="BB517" i="72"/>
  <c r="I38" i="36"/>
  <c r="L122" i="72"/>
  <c r="M122" i="72" s="1"/>
  <c r="A39" i="37"/>
  <c r="A168" i="72"/>
  <c r="FB41" i="7"/>
  <c r="BH41" i="7" s="1"/>
  <c r="BA41" i="35"/>
  <c r="K27" i="44"/>
  <c r="L27" i="44" s="1"/>
  <c r="E27" i="44" s="1"/>
  <c r="D66" i="44" s="1"/>
  <c r="E66" i="44" s="1"/>
  <c r="BJ40" i="9"/>
  <c r="BN41" i="9"/>
  <c r="I29" i="45"/>
  <c r="BG121" i="72"/>
  <c r="BB121" i="72"/>
  <c r="BG165" i="72"/>
  <c r="BB165" i="72"/>
  <c r="I34" i="40"/>
  <c r="BA33" i="42"/>
  <c r="FB44" i="4"/>
  <c r="BH44" i="4" s="1"/>
  <c r="A42" i="18"/>
  <c r="A36" i="72"/>
  <c r="BF120" i="72"/>
  <c r="BC120" i="72"/>
  <c r="BD120" i="72" s="1"/>
  <c r="AM120" i="72" s="1"/>
  <c r="AP120" i="72" s="1"/>
  <c r="BC296" i="72"/>
  <c r="BD296" i="72" s="1"/>
  <c r="BF296" i="72"/>
  <c r="L342" i="72"/>
  <c r="M342" i="72" s="1"/>
  <c r="BG253" i="72"/>
  <c r="BB253" i="72"/>
  <c r="AY473" i="72"/>
  <c r="BA39" i="36"/>
  <c r="BC164" i="72"/>
  <c r="BD164" i="72" s="1"/>
  <c r="BF164" i="72"/>
  <c r="L166" i="72"/>
  <c r="M166" i="72" s="1"/>
  <c r="BF252" i="72"/>
  <c r="BC252" i="72"/>
  <c r="BD252" i="72" s="1"/>
  <c r="BA32" i="43"/>
  <c r="A212" i="72"/>
  <c r="FB40" i="8"/>
  <c r="BH40" i="8" s="1"/>
  <c r="A38" i="38"/>
  <c r="I40" i="35"/>
  <c r="BA31" i="44"/>
  <c r="BN35" i="15"/>
  <c r="BJ34" i="15"/>
  <c r="A36" i="40"/>
  <c r="A300" i="72"/>
  <c r="FB38" i="10"/>
  <c r="BH38" i="10" s="1"/>
  <c r="BF340" i="72"/>
  <c r="BC340" i="72"/>
  <c r="BD340" i="72" s="1"/>
  <c r="I32" i="42"/>
  <c r="AQ429" i="72"/>
  <c r="K30" i="41"/>
  <c r="L30" i="41" s="1"/>
  <c r="E30" i="41" s="1"/>
  <c r="D69" i="41" s="1"/>
  <c r="E69" i="41" s="1"/>
  <c r="L210" i="72"/>
  <c r="M210" i="72" s="1"/>
  <c r="A81" i="72"/>
  <c r="A42" i="35"/>
  <c r="FB44" i="5"/>
  <c r="BH44" i="5" s="1"/>
  <c r="BG341" i="72"/>
  <c r="BB341" i="72"/>
  <c r="AY341" i="72"/>
  <c r="L518" i="72"/>
  <c r="M518" i="72" s="1"/>
  <c r="L298" i="72"/>
  <c r="M298" i="72" s="1"/>
  <c r="FB36" i="12"/>
  <c r="BH36" i="12" s="1"/>
  <c r="A34" i="42"/>
  <c r="A388" i="72"/>
  <c r="J41" i="18"/>
  <c r="BA41" i="18"/>
  <c r="BE41" i="18" s="1"/>
  <c r="I33" i="41"/>
  <c r="BC208" i="72"/>
  <c r="BD208" i="72" s="1"/>
  <c r="BF208" i="72"/>
  <c r="BN44" i="6"/>
  <c r="BJ43" i="6"/>
  <c r="BG385" i="72"/>
  <c r="BB385" i="72"/>
  <c r="FB35" i="13"/>
  <c r="BH35" i="13" s="1"/>
  <c r="A33" i="43"/>
  <c r="A432" i="72"/>
  <c r="BA37" i="38"/>
  <c r="K31" i="40"/>
  <c r="L31" i="40" s="1"/>
  <c r="E31" i="40" s="1"/>
  <c r="D70" i="40" s="1"/>
  <c r="E70" i="40" s="1"/>
  <c r="K26" i="45"/>
  <c r="L26" i="45" s="1"/>
  <c r="E26" i="45" s="1"/>
  <c r="D65" i="45" s="1"/>
  <c r="E65" i="45" s="1"/>
  <c r="BN36" i="14"/>
  <c r="BJ35" i="14"/>
  <c r="BC77" i="72"/>
  <c r="BD77" i="72" s="1"/>
  <c r="AM77" i="72" s="1"/>
  <c r="AP77" i="72" s="1"/>
  <c r="BF77" i="72"/>
  <c r="BA35" i="40"/>
  <c r="L386" i="72"/>
  <c r="M386" i="72" s="1"/>
  <c r="A35" i="41"/>
  <c r="FB37" i="11"/>
  <c r="BH37" i="11" s="1"/>
  <c r="A344" i="72"/>
  <c r="AY517" i="72"/>
  <c r="BN43" i="7"/>
  <c r="BJ42" i="7"/>
  <c r="I36" i="38"/>
  <c r="L254" i="72"/>
  <c r="M254" i="72" s="1"/>
  <c r="FB39" i="9"/>
  <c r="BH39" i="9" s="1"/>
  <c r="A37" i="39"/>
  <c r="A256" i="72"/>
  <c r="I30" i="44"/>
  <c r="BC428" i="72"/>
  <c r="BD428" i="72" s="1"/>
  <c r="BF428" i="72"/>
  <c r="AY121" i="72"/>
  <c r="AY165" i="72"/>
  <c r="AQ165" i="72"/>
  <c r="BN46" i="4"/>
  <c r="BJ45" i="4"/>
  <c r="BC516" i="72"/>
  <c r="BD516" i="72" s="1"/>
  <c r="BF516" i="72"/>
  <c r="BG78" i="72"/>
  <c r="BB78" i="72"/>
  <c r="AY78" i="72"/>
  <c r="K33" i="38"/>
  <c r="L33" i="38" s="1"/>
  <c r="E33" i="38" s="1"/>
  <c r="D72" i="38" s="1"/>
  <c r="AY253" i="72"/>
  <c r="BG473" i="72"/>
  <c r="BB473" i="72"/>
  <c r="K32" i="39"/>
  <c r="L32" i="39" s="1"/>
  <c r="E32" i="39" s="1"/>
  <c r="D71" i="39" s="1"/>
  <c r="E71" i="39" s="1"/>
  <c r="AY297" i="72"/>
  <c r="BG297" i="72"/>
  <c r="BB297" i="72"/>
  <c r="BN42" i="8"/>
  <c r="BJ41" i="8"/>
  <c r="A520" i="72"/>
  <c r="A31" i="45"/>
  <c r="FB33" i="15"/>
  <c r="BH33" i="15" s="1"/>
  <c r="GC33" i="15" s="1"/>
  <c r="FX357" i="34" s="1"/>
  <c r="BN40" i="10"/>
  <c r="BJ39" i="10"/>
  <c r="BC472" i="72"/>
  <c r="BD472" i="72" s="1"/>
  <c r="BF472" i="72"/>
  <c r="I40" i="18"/>
  <c r="K34" i="37"/>
  <c r="L34" i="37" s="1"/>
  <c r="E34" i="37" s="1"/>
  <c r="D73" i="37" s="1"/>
  <c r="AY429" i="72"/>
  <c r="BG429" i="72"/>
  <c r="BB429" i="72"/>
  <c r="BG209" i="72"/>
  <c r="AY209" i="72"/>
  <c r="BB209" i="72"/>
  <c r="BA34" i="41"/>
  <c r="BA38" i="37"/>
  <c r="I31" i="43"/>
  <c r="L430" i="72"/>
  <c r="M430" i="72" s="1"/>
  <c r="BN46" i="5"/>
  <c r="BJ45" i="5"/>
  <c r="J38" i="37" l="1"/>
  <c r="ER33" i="10"/>
  <c r="ER34" i="9"/>
  <c r="ER32" i="11"/>
  <c r="J41" i="35"/>
  <c r="J35" i="40"/>
  <c r="ER35" i="8"/>
  <c r="ER28" i="15"/>
  <c r="ER36" i="7"/>
  <c r="G66" i="44"/>
  <c r="F66" i="44"/>
  <c r="G69" i="41"/>
  <c r="F69" i="41"/>
  <c r="G65" i="45"/>
  <c r="F65" i="45"/>
  <c r="G67" i="43"/>
  <c r="F67" i="43"/>
  <c r="G71" i="39"/>
  <c r="F71" i="39"/>
  <c r="G70" i="40"/>
  <c r="F70" i="40"/>
  <c r="G68" i="42"/>
  <c r="F68" i="42"/>
  <c r="J39" i="36"/>
  <c r="J33" i="42"/>
  <c r="J36" i="39"/>
  <c r="J31" i="44"/>
  <c r="J30" i="45"/>
  <c r="J37" i="38"/>
  <c r="GC36" i="12"/>
  <c r="FX267" i="34" s="1"/>
  <c r="GC39" i="9"/>
  <c r="FX177" i="34" s="1"/>
  <c r="GC37" i="11"/>
  <c r="FX237" i="34" s="1"/>
  <c r="GC34" i="14"/>
  <c r="FX327" i="34" s="1"/>
  <c r="GC41" i="7"/>
  <c r="FX117" i="34" s="1"/>
  <c r="GC42" i="6"/>
  <c r="FX87" i="34" s="1"/>
  <c r="GC38" i="10"/>
  <c r="FX207" i="34" s="1"/>
  <c r="GC35" i="13"/>
  <c r="FX297" i="34" s="1"/>
  <c r="GC40" i="8"/>
  <c r="FX147" i="34" s="1"/>
  <c r="GC44" i="5"/>
  <c r="FX58" i="34" s="1"/>
  <c r="GC44" i="4"/>
  <c r="FX27" i="34" s="1"/>
  <c r="AI34" i="72"/>
  <c r="AI430" i="72"/>
  <c r="AQ430" i="72" s="1"/>
  <c r="AI210" i="72"/>
  <c r="AQ210" i="72" s="1"/>
  <c r="AI298" i="72"/>
  <c r="AQ298" i="72" s="1"/>
  <c r="AI79" i="72"/>
  <c r="AQ79" i="72" s="1"/>
  <c r="AI166" i="72"/>
  <c r="AQ166" i="72" s="1"/>
  <c r="AI474" i="72"/>
  <c r="AQ474" i="72" s="1"/>
  <c r="W299" i="72"/>
  <c r="X299" i="72" s="1"/>
  <c r="Z299" i="72"/>
  <c r="W123" i="72"/>
  <c r="X123" i="72" s="1"/>
  <c r="Z123" i="72"/>
  <c r="AI254" i="72"/>
  <c r="AQ254" i="72" s="1"/>
  <c r="AI386" i="72"/>
  <c r="AQ386" i="72" s="1"/>
  <c r="AI518" i="72"/>
  <c r="AI342" i="72"/>
  <c r="AQ342" i="72" s="1"/>
  <c r="AI122" i="72"/>
  <c r="AQ122" i="72" s="1"/>
  <c r="AA80" i="72"/>
  <c r="W80" i="72"/>
  <c r="X80" i="72" s="1"/>
  <c r="AA35" i="72"/>
  <c r="W35" i="72"/>
  <c r="X35" i="72" s="1"/>
  <c r="W255" i="72"/>
  <c r="X255" i="72" s="1"/>
  <c r="AA255" i="72"/>
  <c r="W167" i="72"/>
  <c r="X167" i="72" s="1"/>
  <c r="AA167" i="72"/>
  <c r="AA519" i="72"/>
  <c r="W519" i="72"/>
  <c r="X519" i="72" s="1"/>
  <c r="AA211" i="72"/>
  <c r="W211" i="72"/>
  <c r="X211" i="72" s="1"/>
  <c r="W475" i="72"/>
  <c r="X475" i="72" s="1"/>
  <c r="AA475" i="72"/>
  <c r="W343" i="72"/>
  <c r="X343" i="72" s="1"/>
  <c r="AA343" i="72"/>
  <c r="AA431" i="72"/>
  <c r="W431" i="72"/>
  <c r="X431" i="72" s="1"/>
  <c r="W387" i="72"/>
  <c r="X387" i="72" s="1"/>
  <c r="AA387" i="72"/>
  <c r="FS44" i="4"/>
  <c r="BE44" i="4"/>
  <c r="BC44" i="4" s="1"/>
  <c r="ER29" i="14"/>
  <c r="AP471" i="72"/>
  <c r="EU29" i="14" s="1"/>
  <c r="ER30" i="13"/>
  <c r="AP427" i="72"/>
  <c r="EU30" i="13" s="1"/>
  <c r="J32" i="43"/>
  <c r="FS44" i="5"/>
  <c r="BE44" i="5"/>
  <c r="BC44" i="5" s="1"/>
  <c r="J34" i="41"/>
  <c r="FS37" i="11"/>
  <c r="BE37" i="11"/>
  <c r="BC37" i="11" s="1"/>
  <c r="FS39" i="9"/>
  <c r="BE39" i="9"/>
  <c r="FS33" i="15"/>
  <c r="BE33" i="15"/>
  <c r="BC33" i="15" s="1"/>
  <c r="FS35" i="13"/>
  <c r="BE35" i="13"/>
  <c r="BC35" i="13" s="1"/>
  <c r="FS36" i="12"/>
  <c r="BE36" i="12"/>
  <c r="BC36" i="12" s="1"/>
  <c r="FS34" i="14"/>
  <c r="BE34" i="14"/>
  <c r="BC34" i="14" s="1"/>
  <c r="FS41" i="7"/>
  <c r="BE41" i="7"/>
  <c r="BC41" i="7" s="1"/>
  <c r="FS42" i="6"/>
  <c r="BE42" i="6"/>
  <c r="BC42" i="6" s="1"/>
  <c r="FS38" i="10"/>
  <c r="BE38" i="10"/>
  <c r="BC38" i="10" s="1"/>
  <c r="FS40" i="8"/>
  <c r="BE40" i="8"/>
  <c r="BC40" i="8" s="1"/>
  <c r="ED387" i="72"/>
  <c r="EE387" i="72" s="1"/>
  <c r="ED35" i="72"/>
  <c r="EE35" i="72" s="1"/>
  <c r="EN41" i="18" s="1"/>
  <c r="ED343" i="72"/>
  <c r="EE343" i="72" s="1"/>
  <c r="EV32" i="13"/>
  <c r="AA32" i="13" s="1"/>
  <c r="EV35" i="10"/>
  <c r="AA35" i="10" s="1"/>
  <c r="EV34" i="11"/>
  <c r="AA34" i="11" s="1"/>
  <c r="EV36" i="9"/>
  <c r="AA36" i="9" s="1"/>
  <c r="EV38" i="7"/>
  <c r="AA38" i="7" s="1"/>
  <c r="EV39" i="6"/>
  <c r="AA39" i="6" s="1"/>
  <c r="EV41" i="5"/>
  <c r="AA41" i="5" s="1"/>
  <c r="EV37" i="8"/>
  <c r="AA37" i="8" s="1"/>
  <c r="EV31" i="14"/>
  <c r="AA31" i="14" s="1"/>
  <c r="EV33" i="12"/>
  <c r="AA33" i="12" s="1"/>
  <c r="EV30" i="15"/>
  <c r="AA30" i="15" s="1"/>
  <c r="ED255" i="72"/>
  <c r="EE255" i="72" s="1"/>
  <c r="H33" i="43"/>
  <c r="EM33" i="43"/>
  <c r="AM472" i="72"/>
  <c r="H31" i="45"/>
  <c r="EM31" i="45"/>
  <c r="AM516" i="72"/>
  <c r="AM428" i="72"/>
  <c r="AP428" i="72" s="1"/>
  <c r="EU31" i="13" s="1"/>
  <c r="H37" i="39"/>
  <c r="EM37" i="39"/>
  <c r="CD386" i="72"/>
  <c r="EC388" i="72"/>
  <c r="DY388" i="72"/>
  <c r="DU388" i="72"/>
  <c r="EB388" i="72"/>
  <c r="DX388" i="72"/>
  <c r="EH388" i="72"/>
  <c r="EI388" i="72" s="1"/>
  <c r="EA388" i="72"/>
  <c r="DW388" i="72"/>
  <c r="DZ388" i="72"/>
  <c r="DV388" i="72"/>
  <c r="CD518" i="72"/>
  <c r="EC300" i="72"/>
  <c r="DY300" i="72"/>
  <c r="DU300" i="72"/>
  <c r="EB300" i="72"/>
  <c r="DX300" i="72"/>
  <c r="EH300" i="72"/>
  <c r="EI300" i="72" s="1"/>
  <c r="EA300" i="72"/>
  <c r="DW300" i="72"/>
  <c r="DZ300" i="72"/>
  <c r="DV300" i="72"/>
  <c r="H42" i="18"/>
  <c r="EM42" i="18"/>
  <c r="H39" i="37"/>
  <c r="EM39" i="37"/>
  <c r="EC124" i="72"/>
  <c r="DY124" i="72"/>
  <c r="DU124" i="72"/>
  <c r="EB124" i="72"/>
  <c r="DX124" i="72"/>
  <c r="EH124" i="72"/>
  <c r="EI124" i="72" s="1"/>
  <c r="EA124" i="72"/>
  <c r="DW124" i="72"/>
  <c r="DZ124" i="72"/>
  <c r="DV124" i="72"/>
  <c r="AM384" i="72"/>
  <c r="AP384" i="72" s="1"/>
  <c r="EU32" i="12" s="1"/>
  <c r="ED475" i="72"/>
  <c r="EE475" i="72" s="1"/>
  <c r="ED80" i="72"/>
  <c r="EE80" i="72" s="1"/>
  <c r="CD430" i="72"/>
  <c r="EB520" i="72"/>
  <c r="DX520" i="72"/>
  <c r="EH520" i="72"/>
  <c r="EI520" i="72" s="1"/>
  <c r="EA520" i="72"/>
  <c r="DW520" i="72"/>
  <c r="DZ520" i="72"/>
  <c r="DV520" i="72"/>
  <c r="EC520" i="72"/>
  <c r="DY520" i="72"/>
  <c r="DU520" i="72"/>
  <c r="EH344" i="72"/>
  <c r="EI344" i="72" s="1"/>
  <c r="EA344" i="72"/>
  <c r="DW344" i="72"/>
  <c r="DZ344" i="72"/>
  <c r="DV344" i="72"/>
  <c r="EC344" i="72"/>
  <c r="DY344" i="72"/>
  <c r="DU344" i="72"/>
  <c r="EB344" i="72"/>
  <c r="DX344" i="72"/>
  <c r="EC432" i="72"/>
  <c r="DY432" i="72"/>
  <c r="DU432" i="72"/>
  <c r="EB432" i="72"/>
  <c r="DX432" i="72"/>
  <c r="EH432" i="72"/>
  <c r="EI432" i="72" s="1"/>
  <c r="EA432" i="72"/>
  <c r="DW432" i="72"/>
  <c r="DZ432" i="72"/>
  <c r="DV432" i="72"/>
  <c r="AM208" i="72"/>
  <c r="AP208" i="72" s="1"/>
  <c r="EU36" i="8" s="1"/>
  <c r="H34" i="42"/>
  <c r="EM34" i="42"/>
  <c r="H42" i="35"/>
  <c r="EM42" i="35"/>
  <c r="AM340" i="72"/>
  <c r="AP340" i="72" s="1"/>
  <c r="EU33" i="11" s="1"/>
  <c r="H36" i="40"/>
  <c r="EM36" i="40"/>
  <c r="EC212" i="72"/>
  <c r="DY212" i="72"/>
  <c r="DU212" i="72"/>
  <c r="EB212" i="72"/>
  <c r="DX212" i="72"/>
  <c r="EH212" i="72"/>
  <c r="EI212" i="72" s="1"/>
  <c r="EA212" i="72"/>
  <c r="DW212" i="72"/>
  <c r="DZ212" i="72"/>
  <c r="DV212" i="72"/>
  <c r="CD166" i="72"/>
  <c r="CD342" i="72"/>
  <c r="CD122" i="72"/>
  <c r="CD79" i="72"/>
  <c r="H40" i="36"/>
  <c r="EM40" i="36"/>
  <c r="CD474" i="72"/>
  <c r="ED123" i="72"/>
  <c r="EE123" i="72" s="1"/>
  <c r="ED431" i="72"/>
  <c r="EE431" i="72" s="1"/>
  <c r="ED211" i="72"/>
  <c r="EE211" i="72" s="1"/>
  <c r="ED299" i="72"/>
  <c r="EE299" i="72" s="1"/>
  <c r="ED519" i="72"/>
  <c r="EE519" i="72" s="1"/>
  <c r="EB81" i="72"/>
  <c r="DX81" i="72"/>
  <c r="EH81" i="72"/>
  <c r="EI81" i="72" s="1"/>
  <c r="EA81" i="72"/>
  <c r="DW81" i="72"/>
  <c r="DZ81" i="72"/>
  <c r="DV81" i="72"/>
  <c r="EC81" i="72"/>
  <c r="DY81" i="72"/>
  <c r="DU81" i="72"/>
  <c r="DZ476" i="72"/>
  <c r="DV476" i="72"/>
  <c r="EC476" i="72"/>
  <c r="DY476" i="72"/>
  <c r="DU476" i="72"/>
  <c r="EB476" i="72"/>
  <c r="DX476" i="72"/>
  <c r="EH476" i="72"/>
  <c r="EI476" i="72" s="1"/>
  <c r="EA476" i="72"/>
  <c r="DW476" i="72"/>
  <c r="CD254" i="72"/>
  <c r="EH256" i="72"/>
  <c r="EI256" i="72" s="1"/>
  <c r="EA256" i="72"/>
  <c r="DW256" i="72"/>
  <c r="DZ256" i="72"/>
  <c r="DV256" i="72"/>
  <c r="EC256" i="72"/>
  <c r="DY256" i="72"/>
  <c r="DU256" i="72"/>
  <c r="EB256" i="72"/>
  <c r="DX256" i="72"/>
  <c r="H35" i="41"/>
  <c r="EM35" i="41"/>
  <c r="CD298" i="72"/>
  <c r="CD210" i="72"/>
  <c r="H38" i="38"/>
  <c r="EM38" i="38"/>
  <c r="AM252" i="72"/>
  <c r="AP252" i="72" s="1"/>
  <c r="EU35" i="9" s="1"/>
  <c r="AM164" i="72"/>
  <c r="AM296" i="72"/>
  <c r="EC36" i="72"/>
  <c r="DY36" i="72"/>
  <c r="DU36" i="72"/>
  <c r="EB36" i="72"/>
  <c r="DX36" i="72"/>
  <c r="EH36" i="72"/>
  <c r="EI36" i="72" s="1"/>
  <c r="EA36" i="72"/>
  <c r="DW36" i="72"/>
  <c r="DZ36" i="72"/>
  <c r="DV36" i="72"/>
  <c r="EH168" i="72"/>
  <c r="EI168" i="72" s="1"/>
  <c r="EA168" i="72"/>
  <c r="DW168" i="72"/>
  <c r="DZ168" i="72"/>
  <c r="DV168" i="72"/>
  <c r="EC168" i="72"/>
  <c r="DY168" i="72"/>
  <c r="DU168" i="72"/>
  <c r="EB168" i="72"/>
  <c r="DX168" i="72"/>
  <c r="H32" i="44"/>
  <c r="EM32" i="44"/>
  <c r="ED167" i="72"/>
  <c r="EE167" i="72" s="1"/>
  <c r="K520" i="72"/>
  <c r="V520" i="72" s="1"/>
  <c r="AG520" i="72" s="1"/>
  <c r="G520" i="72"/>
  <c r="R520" i="72" s="1"/>
  <c r="AC520" i="72" s="1"/>
  <c r="J520" i="72"/>
  <c r="U520" i="72" s="1"/>
  <c r="AF520" i="72" s="1"/>
  <c r="F520" i="72"/>
  <c r="Q520" i="72" s="1"/>
  <c r="AB520" i="72" s="1"/>
  <c r="I520" i="72"/>
  <c r="T520" i="72" s="1"/>
  <c r="AE520" i="72" s="1"/>
  <c r="E520" i="72"/>
  <c r="P520" i="72" s="1"/>
  <c r="H520" i="72"/>
  <c r="S520" i="72" s="1"/>
  <c r="AD520" i="72" s="1"/>
  <c r="D520" i="72"/>
  <c r="O520" i="72" s="1"/>
  <c r="Z520" i="72" s="1"/>
  <c r="K344" i="72"/>
  <c r="V344" i="72" s="1"/>
  <c r="AG344" i="72" s="1"/>
  <c r="G344" i="72"/>
  <c r="R344" i="72" s="1"/>
  <c r="AC344" i="72" s="1"/>
  <c r="J344" i="72"/>
  <c r="U344" i="72" s="1"/>
  <c r="AF344" i="72" s="1"/>
  <c r="F344" i="72"/>
  <c r="Q344" i="72" s="1"/>
  <c r="AB344" i="72" s="1"/>
  <c r="I344" i="72"/>
  <c r="T344" i="72" s="1"/>
  <c r="AE344" i="72" s="1"/>
  <c r="E344" i="72"/>
  <c r="P344" i="72" s="1"/>
  <c r="AA344" i="72" s="1"/>
  <c r="H344" i="72"/>
  <c r="S344" i="72" s="1"/>
  <c r="AD344" i="72" s="1"/>
  <c r="D344" i="72"/>
  <c r="O344" i="72" s="1"/>
  <c r="K81" i="72"/>
  <c r="V81" i="72" s="1"/>
  <c r="AG81" i="72" s="1"/>
  <c r="G81" i="72"/>
  <c r="R81" i="72" s="1"/>
  <c r="AC81" i="72" s="1"/>
  <c r="J81" i="72"/>
  <c r="U81" i="72" s="1"/>
  <c r="AF81" i="72" s="1"/>
  <c r="F81" i="72"/>
  <c r="Q81" i="72" s="1"/>
  <c r="AB81" i="72" s="1"/>
  <c r="I81" i="72"/>
  <c r="T81" i="72" s="1"/>
  <c r="AE81" i="72" s="1"/>
  <c r="E81" i="72"/>
  <c r="P81" i="72" s="1"/>
  <c r="H81" i="72"/>
  <c r="S81" i="72" s="1"/>
  <c r="AD81" i="72" s="1"/>
  <c r="D81" i="72"/>
  <c r="O81" i="72" s="1"/>
  <c r="Z81" i="72" s="1"/>
  <c r="K212" i="72"/>
  <c r="V212" i="72" s="1"/>
  <c r="AG212" i="72" s="1"/>
  <c r="G212" i="72"/>
  <c r="R212" i="72" s="1"/>
  <c r="AC212" i="72" s="1"/>
  <c r="J212" i="72"/>
  <c r="U212" i="72" s="1"/>
  <c r="AF212" i="72" s="1"/>
  <c r="F212" i="72"/>
  <c r="Q212" i="72" s="1"/>
  <c r="AB212" i="72" s="1"/>
  <c r="I212" i="72"/>
  <c r="T212" i="72" s="1"/>
  <c r="AE212" i="72" s="1"/>
  <c r="E212" i="72"/>
  <c r="P212" i="72" s="1"/>
  <c r="H212" i="72"/>
  <c r="S212" i="72" s="1"/>
  <c r="AD212" i="72" s="1"/>
  <c r="D212" i="72"/>
  <c r="O212" i="72" s="1"/>
  <c r="Z212" i="72" s="1"/>
  <c r="K36" i="72"/>
  <c r="V36" i="72" s="1"/>
  <c r="AG36" i="72" s="1"/>
  <c r="G36" i="72"/>
  <c r="R36" i="72" s="1"/>
  <c r="AC36" i="72" s="1"/>
  <c r="J36" i="72"/>
  <c r="U36" i="72" s="1"/>
  <c r="AF36" i="72" s="1"/>
  <c r="F36" i="72"/>
  <c r="Q36" i="72" s="1"/>
  <c r="AB36" i="72" s="1"/>
  <c r="I36" i="72"/>
  <c r="T36" i="72" s="1"/>
  <c r="AE36" i="72" s="1"/>
  <c r="E36" i="72"/>
  <c r="P36" i="72" s="1"/>
  <c r="H36" i="72"/>
  <c r="S36" i="72" s="1"/>
  <c r="AD36" i="72" s="1"/>
  <c r="D36" i="72"/>
  <c r="O36" i="72" s="1"/>
  <c r="Z36" i="72" s="1"/>
  <c r="K124" i="72"/>
  <c r="V124" i="72" s="1"/>
  <c r="AG124" i="72" s="1"/>
  <c r="G124" i="72"/>
  <c r="R124" i="72" s="1"/>
  <c r="AC124" i="72" s="1"/>
  <c r="J124" i="72"/>
  <c r="U124" i="72" s="1"/>
  <c r="AF124" i="72" s="1"/>
  <c r="F124" i="72"/>
  <c r="Q124" i="72" s="1"/>
  <c r="AB124" i="72" s="1"/>
  <c r="I124" i="72"/>
  <c r="T124" i="72" s="1"/>
  <c r="AE124" i="72" s="1"/>
  <c r="E124" i="72"/>
  <c r="P124" i="72" s="1"/>
  <c r="H124" i="72"/>
  <c r="S124" i="72" s="1"/>
  <c r="AD124" i="72" s="1"/>
  <c r="D124" i="72"/>
  <c r="O124" i="72" s="1"/>
  <c r="Z124" i="72" s="1"/>
  <c r="K256" i="72"/>
  <c r="V256" i="72" s="1"/>
  <c r="AG256" i="72" s="1"/>
  <c r="G256" i="72"/>
  <c r="R256" i="72" s="1"/>
  <c r="AC256" i="72" s="1"/>
  <c r="J256" i="72"/>
  <c r="U256" i="72" s="1"/>
  <c r="AF256" i="72" s="1"/>
  <c r="F256" i="72"/>
  <c r="Q256" i="72" s="1"/>
  <c r="AB256" i="72" s="1"/>
  <c r="I256" i="72"/>
  <c r="T256" i="72" s="1"/>
  <c r="AE256" i="72" s="1"/>
  <c r="E256" i="72"/>
  <c r="P256" i="72" s="1"/>
  <c r="H256" i="72"/>
  <c r="S256" i="72" s="1"/>
  <c r="AD256" i="72" s="1"/>
  <c r="D256" i="72"/>
  <c r="O256" i="72" s="1"/>
  <c r="Z256" i="72" s="1"/>
  <c r="K432" i="72"/>
  <c r="V432" i="72" s="1"/>
  <c r="AG432" i="72" s="1"/>
  <c r="G432" i="72"/>
  <c r="R432" i="72" s="1"/>
  <c r="AC432" i="72" s="1"/>
  <c r="J432" i="72"/>
  <c r="U432" i="72" s="1"/>
  <c r="AF432" i="72" s="1"/>
  <c r="F432" i="72"/>
  <c r="Q432" i="72" s="1"/>
  <c r="AB432" i="72" s="1"/>
  <c r="I432" i="72"/>
  <c r="T432" i="72" s="1"/>
  <c r="AE432" i="72" s="1"/>
  <c r="E432" i="72"/>
  <c r="P432" i="72" s="1"/>
  <c r="H432" i="72"/>
  <c r="S432" i="72" s="1"/>
  <c r="AD432" i="72" s="1"/>
  <c r="D432" i="72"/>
  <c r="O432" i="72" s="1"/>
  <c r="Z432" i="72" s="1"/>
  <c r="K388" i="72"/>
  <c r="V388" i="72" s="1"/>
  <c r="AG388" i="72" s="1"/>
  <c r="G388" i="72"/>
  <c r="R388" i="72" s="1"/>
  <c r="AC388" i="72" s="1"/>
  <c r="J388" i="72"/>
  <c r="U388" i="72" s="1"/>
  <c r="AF388" i="72" s="1"/>
  <c r="F388" i="72"/>
  <c r="Q388" i="72" s="1"/>
  <c r="AB388" i="72" s="1"/>
  <c r="I388" i="72"/>
  <c r="T388" i="72" s="1"/>
  <c r="AE388" i="72" s="1"/>
  <c r="E388" i="72"/>
  <c r="P388" i="72" s="1"/>
  <c r="H388" i="72"/>
  <c r="S388" i="72" s="1"/>
  <c r="AD388" i="72" s="1"/>
  <c r="D388" i="72"/>
  <c r="O388" i="72" s="1"/>
  <c r="Z388" i="72" s="1"/>
  <c r="K300" i="72"/>
  <c r="V300" i="72" s="1"/>
  <c r="AG300" i="72" s="1"/>
  <c r="G300" i="72"/>
  <c r="R300" i="72" s="1"/>
  <c r="AC300" i="72" s="1"/>
  <c r="J300" i="72"/>
  <c r="U300" i="72" s="1"/>
  <c r="AF300" i="72" s="1"/>
  <c r="F300" i="72"/>
  <c r="Q300" i="72" s="1"/>
  <c r="AB300" i="72" s="1"/>
  <c r="I300" i="72"/>
  <c r="T300" i="72" s="1"/>
  <c r="AE300" i="72" s="1"/>
  <c r="E300" i="72"/>
  <c r="P300" i="72" s="1"/>
  <c r="H300" i="72"/>
  <c r="S300" i="72" s="1"/>
  <c r="AD300" i="72" s="1"/>
  <c r="D300" i="72"/>
  <c r="O300" i="72" s="1"/>
  <c r="Z300" i="72" s="1"/>
  <c r="K168" i="72"/>
  <c r="V168" i="72" s="1"/>
  <c r="AG168" i="72" s="1"/>
  <c r="G168" i="72"/>
  <c r="R168" i="72" s="1"/>
  <c r="AC168" i="72" s="1"/>
  <c r="J168" i="72"/>
  <c r="U168" i="72" s="1"/>
  <c r="AF168" i="72" s="1"/>
  <c r="F168" i="72"/>
  <c r="Q168" i="72" s="1"/>
  <c r="AB168" i="72" s="1"/>
  <c r="I168" i="72"/>
  <c r="T168" i="72" s="1"/>
  <c r="AE168" i="72" s="1"/>
  <c r="E168" i="72"/>
  <c r="P168" i="72" s="1"/>
  <c r="AA168" i="72" s="1"/>
  <c r="H168" i="72"/>
  <c r="S168" i="72" s="1"/>
  <c r="AD168" i="72" s="1"/>
  <c r="D168" i="72"/>
  <c r="O168" i="72" s="1"/>
  <c r="K476" i="72"/>
  <c r="V476" i="72" s="1"/>
  <c r="AG476" i="72" s="1"/>
  <c r="G476" i="72"/>
  <c r="R476" i="72" s="1"/>
  <c r="AC476" i="72" s="1"/>
  <c r="J476" i="72"/>
  <c r="U476" i="72" s="1"/>
  <c r="AF476" i="72" s="1"/>
  <c r="F476" i="72"/>
  <c r="Q476" i="72" s="1"/>
  <c r="AB476" i="72" s="1"/>
  <c r="I476" i="72"/>
  <c r="T476" i="72" s="1"/>
  <c r="AE476" i="72" s="1"/>
  <c r="E476" i="72"/>
  <c r="P476" i="72" s="1"/>
  <c r="H476" i="72"/>
  <c r="S476" i="72" s="1"/>
  <c r="AD476" i="72" s="1"/>
  <c r="D476" i="72"/>
  <c r="O476" i="72" s="1"/>
  <c r="Z476" i="72" s="1"/>
  <c r="AQ518" i="72"/>
  <c r="ER37" i="6"/>
  <c r="EU37" i="6"/>
  <c r="ER39" i="5"/>
  <c r="EU39" i="5"/>
  <c r="I38" i="37"/>
  <c r="BC209" i="72"/>
  <c r="BD209" i="72" s="1"/>
  <c r="BF209" i="72"/>
  <c r="FB39" i="10"/>
  <c r="BH39" i="10" s="1"/>
  <c r="A301" i="72"/>
  <c r="A37" i="40"/>
  <c r="L475" i="72"/>
  <c r="M475" i="72" s="1"/>
  <c r="BN43" i="8"/>
  <c r="BJ42" i="8"/>
  <c r="I39" i="36"/>
  <c r="BF473" i="72"/>
  <c r="BC473" i="72"/>
  <c r="BD473" i="72" s="1"/>
  <c r="BF78" i="72"/>
  <c r="BC78" i="72"/>
  <c r="BD78" i="72" s="1"/>
  <c r="AM78" i="72" s="1"/>
  <c r="AP78" i="72" s="1"/>
  <c r="BN47" i="4"/>
  <c r="BJ46" i="4"/>
  <c r="L387" i="72"/>
  <c r="M387" i="72" s="1"/>
  <c r="K29" i="43"/>
  <c r="L29" i="43" s="1"/>
  <c r="E29" i="43" s="1"/>
  <c r="D68" i="43" s="1"/>
  <c r="E68" i="43" s="1"/>
  <c r="BA37" i="39"/>
  <c r="BG254" i="72"/>
  <c r="BB254" i="72"/>
  <c r="FB42" i="7"/>
  <c r="BH42" i="7" s="1"/>
  <c r="A40" i="37"/>
  <c r="A169" i="72"/>
  <c r="BG386" i="72"/>
  <c r="BB386" i="72"/>
  <c r="K38" i="35"/>
  <c r="L38" i="35" s="1"/>
  <c r="E38" i="35" s="1"/>
  <c r="D77" i="35" s="1"/>
  <c r="BN37" i="14"/>
  <c r="BJ36" i="14"/>
  <c r="FB43" i="6"/>
  <c r="BH43" i="6" s="1"/>
  <c r="A41" i="36"/>
  <c r="A125" i="72"/>
  <c r="BA34" i="42"/>
  <c r="J34" i="42"/>
  <c r="BA42" i="35"/>
  <c r="BG210" i="72"/>
  <c r="BB210" i="72"/>
  <c r="L167" i="72"/>
  <c r="M167" i="72" s="1"/>
  <c r="L343" i="72"/>
  <c r="M343" i="72" s="1"/>
  <c r="FB34" i="15"/>
  <c r="BH34" i="15" s="1"/>
  <c r="GC34" i="15" s="1"/>
  <c r="FX358" i="34" s="1"/>
  <c r="A521" i="72"/>
  <c r="A32" i="45"/>
  <c r="BG166" i="72"/>
  <c r="BB166" i="72"/>
  <c r="K35" i="37"/>
  <c r="L35" i="37" s="1"/>
  <c r="E35" i="37" s="1"/>
  <c r="D74" i="37" s="1"/>
  <c r="L123" i="72"/>
  <c r="M123" i="72" s="1"/>
  <c r="BG342" i="72"/>
  <c r="BB342" i="72"/>
  <c r="K32" i="40"/>
  <c r="L32" i="40" s="1"/>
  <c r="E32" i="40" s="1"/>
  <c r="D71" i="40" s="1"/>
  <c r="E71" i="40" s="1"/>
  <c r="K36" i="36"/>
  <c r="L36" i="36" s="1"/>
  <c r="E36" i="36" s="1"/>
  <c r="D75" i="36" s="1"/>
  <c r="BA42" i="18"/>
  <c r="BE42" i="18" s="1"/>
  <c r="I33" i="42"/>
  <c r="BJ41" i="9"/>
  <c r="BN42" i="9"/>
  <c r="I41" i="35"/>
  <c r="BG122" i="72"/>
  <c r="BB122" i="72"/>
  <c r="FB38" i="11"/>
  <c r="BH38" i="11" s="1"/>
  <c r="A345" i="72"/>
  <c r="A36" i="41"/>
  <c r="BG79" i="72"/>
  <c r="BB79" i="72"/>
  <c r="L211" i="72"/>
  <c r="M211" i="72" s="1"/>
  <c r="BJ37" i="13"/>
  <c r="BN38" i="13"/>
  <c r="BA40" i="36"/>
  <c r="BN39" i="12"/>
  <c r="BJ38" i="12"/>
  <c r="BN47" i="5"/>
  <c r="BJ46" i="5"/>
  <c r="AY430" i="72"/>
  <c r="A43" i="35"/>
  <c r="FB45" i="5"/>
  <c r="BH45" i="5" s="1"/>
  <c r="A82" i="72"/>
  <c r="BG430" i="72"/>
  <c r="BB430" i="72"/>
  <c r="BF429" i="72"/>
  <c r="BC429" i="72"/>
  <c r="BD429" i="72" s="1"/>
  <c r="K28" i="44"/>
  <c r="L28" i="44" s="1"/>
  <c r="E28" i="44" s="1"/>
  <c r="D67" i="44" s="1"/>
  <c r="E67" i="44" s="1"/>
  <c r="BN41" i="10"/>
  <c r="BJ40" i="10"/>
  <c r="BA31" i="45"/>
  <c r="I31" i="44"/>
  <c r="FB41" i="8"/>
  <c r="BH41" i="8" s="1"/>
  <c r="A213" i="72"/>
  <c r="A39" i="38"/>
  <c r="I32" i="43"/>
  <c r="BC297" i="72"/>
  <c r="BD297" i="72" s="1"/>
  <c r="BF297" i="72"/>
  <c r="K27" i="45"/>
  <c r="L27" i="45" s="1"/>
  <c r="E27" i="45" s="1"/>
  <c r="D66" i="45" s="1"/>
  <c r="E66" i="45" s="1"/>
  <c r="FB45" i="4"/>
  <c r="BH45" i="4" s="1"/>
  <c r="A37" i="72"/>
  <c r="A43" i="18"/>
  <c r="AY254" i="72"/>
  <c r="L80" i="72"/>
  <c r="M80" i="72" s="1"/>
  <c r="BN44" i="7"/>
  <c r="BJ43" i="7"/>
  <c r="BA35" i="41"/>
  <c r="AY386" i="72"/>
  <c r="L299" i="72"/>
  <c r="M299" i="72" s="1"/>
  <c r="L519" i="72"/>
  <c r="M519" i="72" s="1"/>
  <c r="I30" i="45"/>
  <c r="FB35" i="14"/>
  <c r="BH35" i="14" s="1"/>
  <c r="A477" i="72"/>
  <c r="A33" i="44"/>
  <c r="I37" i="38"/>
  <c r="BA33" i="43"/>
  <c r="BC385" i="72"/>
  <c r="BD385" i="72" s="1"/>
  <c r="BF385" i="72"/>
  <c r="BN45" i="6"/>
  <c r="BJ44" i="6"/>
  <c r="K34" i="38"/>
  <c r="L34" i="38" s="1"/>
  <c r="E34" i="38" s="1"/>
  <c r="D73" i="38" s="1"/>
  <c r="ER36" i="8"/>
  <c r="I41" i="18"/>
  <c r="AY298" i="72"/>
  <c r="BG298" i="72"/>
  <c r="BB298" i="72"/>
  <c r="AY518" i="72"/>
  <c r="BB518" i="72"/>
  <c r="BG518" i="72"/>
  <c r="BF341" i="72"/>
  <c r="BC341" i="72"/>
  <c r="BD341" i="72" s="1"/>
  <c r="AY210" i="72"/>
  <c r="I34" i="41"/>
  <c r="K31" i="41"/>
  <c r="L31" i="41" s="1"/>
  <c r="E31" i="41" s="1"/>
  <c r="D70" i="41" s="1"/>
  <c r="E70" i="41" s="1"/>
  <c r="BA36" i="40"/>
  <c r="BN36" i="15"/>
  <c r="BJ35" i="15"/>
  <c r="BA38" i="38"/>
  <c r="L431" i="72"/>
  <c r="M431" i="72" s="1"/>
  <c r="K33" i="39"/>
  <c r="L33" i="39" s="1"/>
  <c r="E33" i="39" s="1"/>
  <c r="D72" i="39" s="1"/>
  <c r="E72" i="39" s="1"/>
  <c r="AY166" i="72"/>
  <c r="BC253" i="72"/>
  <c r="BD253" i="72" s="1"/>
  <c r="BF253" i="72"/>
  <c r="AY342" i="72"/>
  <c r="BF165" i="72"/>
  <c r="BC165" i="72"/>
  <c r="BD165" i="72" s="1"/>
  <c r="BF121" i="72"/>
  <c r="BC121" i="72"/>
  <c r="BD121" i="72" s="1"/>
  <c r="AM121" i="72" s="1"/>
  <c r="AP121" i="72" s="1"/>
  <c r="FB40" i="9"/>
  <c r="BH40" i="9" s="1"/>
  <c r="A257" i="72"/>
  <c r="A38" i="39"/>
  <c r="BA39" i="37"/>
  <c r="AY122" i="72"/>
  <c r="BF517" i="72"/>
  <c r="BC517" i="72"/>
  <c r="BD517" i="72" s="1"/>
  <c r="BN40" i="11"/>
  <c r="BJ39" i="11"/>
  <c r="I35" i="40"/>
  <c r="BA32" i="44"/>
  <c r="AY79" i="72"/>
  <c r="A34" i="43"/>
  <c r="FB36" i="13"/>
  <c r="BH36" i="13" s="1"/>
  <c r="A433" i="72"/>
  <c r="FB37" i="12"/>
  <c r="BH37" i="12" s="1"/>
  <c r="A35" i="42"/>
  <c r="A389" i="72"/>
  <c r="AY474" i="72"/>
  <c r="BG474" i="72"/>
  <c r="BB474" i="72"/>
  <c r="I36" i="39"/>
  <c r="K30" i="42"/>
  <c r="L30" i="42" s="1"/>
  <c r="E30" i="42" s="1"/>
  <c r="D69" i="42" s="1"/>
  <c r="E69" i="42" s="1"/>
  <c r="L255" i="72"/>
  <c r="M255" i="72" s="1"/>
  <c r="J42" i="18" l="1"/>
  <c r="J38" i="38"/>
  <c r="J33" i="43"/>
  <c r="J40" i="36"/>
  <c r="ER32" i="12"/>
  <c r="ER31" i="13"/>
  <c r="J39" i="37"/>
  <c r="J35" i="41"/>
  <c r="J31" i="45"/>
  <c r="J36" i="40"/>
  <c r="J42" i="35"/>
  <c r="BC39" i="9"/>
  <c r="ER35" i="9"/>
  <c r="G72" i="39"/>
  <c r="F72" i="39"/>
  <c r="F67" i="44"/>
  <c r="G67" i="44"/>
  <c r="G68" i="43"/>
  <c r="F68" i="43"/>
  <c r="G70" i="41"/>
  <c r="F70" i="41"/>
  <c r="G69" i="42"/>
  <c r="F69" i="42"/>
  <c r="G66" i="45"/>
  <c r="F66" i="45"/>
  <c r="G71" i="40"/>
  <c r="F71" i="40"/>
  <c r="ER33" i="11"/>
  <c r="GC45" i="4"/>
  <c r="FX28" i="34" s="1"/>
  <c r="GC42" i="7"/>
  <c r="FX118" i="34" s="1"/>
  <c r="GC39" i="10"/>
  <c r="FX208" i="34" s="1"/>
  <c r="GC40" i="9"/>
  <c r="FX178" i="34" s="1"/>
  <c r="GC38" i="11"/>
  <c r="FX238" i="34" s="1"/>
  <c r="GC43" i="6"/>
  <c r="FX88" i="34" s="1"/>
  <c r="GC36" i="13"/>
  <c r="FX298" i="34" s="1"/>
  <c r="GC45" i="5"/>
  <c r="FX59" i="34" s="1"/>
  <c r="GC37" i="12"/>
  <c r="FX268" i="34" s="1"/>
  <c r="GC35" i="14"/>
  <c r="FX328" i="34" s="1"/>
  <c r="GC41" i="8"/>
  <c r="FX148" i="34" s="1"/>
  <c r="AI387" i="72"/>
  <c r="AQ387" i="72" s="1"/>
  <c r="AI211" i="72"/>
  <c r="AQ211" i="72" s="1"/>
  <c r="AI167" i="72"/>
  <c r="AQ167" i="72" s="1"/>
  <c r="AI35" i="72"/>
  <c r="AI431" i="72"/>
  <c r="AQ431" i="72" s="1"/>
  <c r="AI519" i="72"/>
  <c r="AQ519" i="72" s="1"/>
  <c r="AI80" i="72"/>
  <c r="AQ80" i="72" s="1"/>
  <c r="AI299" i="72"/>
  <c r="AI123" i="72"/>
  <c r="AA476" i="72"/>
  <c r="W476" i="72"/>
  <c r="X476" i="72" s="1"/>
  <c r="W300" i="72"/>
  <c r="X300" i="72" s="1"/>
  <c r="AA300" i="72"/>
  <c r="W388" i="72"/>
  <c r="X388" i="72" s="1"/>
  <c r="AA388" i="72"/>
  <c r="W432" i="72"/>
  <c r="X432" i="72" s="1"/>
  <c r="AA432" i="72"/>
  <c r="AA256" i="72"/>
  <c r="W256" i="72"/>
  <c r="X256" i="72" s="1"/>
  <c r="W124" i="72"/>
  <c r="X124" i="72" s="1"/>
  <c r="AA124" i="72"/>
  <c r="W36" i="72"/>
  <c r="X36" i="72" s="1"/>
  <c r="AA36" i="72"/>
  <c r="W212" i="72"/>
  <c r="X212" i="72" s="1"/>
  <c r="AA212" i="72"/>
  <c r="W81" i="72"/>
  <c r="X81" i="72" s="1"/>
  <c r="AA81" i="72"/>
  <c r="W520" i="72"/>
  <c r="X520" i="72" s="1"/>
  <c r="AA520" i="72"/>
  <c r="AI343" i="72"/>
  <c r="W168" i="72"/>
  <c r="X168" i="72" s="1"/>
  <c r="Z168" i="72"/>
  <c r="W344" i="72"/>
  <c r="X344" i="72" s="1"/>
  <c r="Z344" i="72"/>
  <c r="AI475" i="72"/>
  <c r="AQ475" i="72" s="1"/>
  <c r="AI255" i="72"/>
  <c r="AQ255" i="72" s="1"/>
  <c r="FS45" i="4"/>
  <c r="BE45" i="4"/>
  <c r="BC45" i="4" s="1"/>
  <c r="ER37" i="7"/>
  <c r="AP164" i="72"/>
  <c r="EU37" i="7" s="1"/>
  <c r="ER29" i="15"/>
  <c r="AP516" i="72"/>
  <c r="EU29" i="15" s="1"/>
  <c r="ER30" i="14"/>
  <c r="AP472" i="72"/>
  <c r="EU30" i="14" s="1"/>
  <c r="ER34" i="10"/>
  <c r="AP296" i="72"/>
  <c r="EU34" i="10" s="1"/>
  <c r="FS45" i="5"/>
  <c r="BE45" i="5"/>
  <c r="BC45" i="5" s="1"/>
  <c r="J37" i="39"/>
  <c r="J32" i="44"/>
  <c r="FS35" i="14"/>
  <c r="BE35" i="14"/>
  <c r="BC35" i="14" s="1"/>
  <c r="FS34" i="15"/>
  <c r="BE34" i="15"/>
  <c r="BC34" i="15" s="1"/>
  <c r="FS42" i="7"/>
  <c r="BE42" i="7"/>
  <c r="BC42" i="7" s="1"/>
  <c r="FS39" i="10"/>
  <c r="BE39" i="10"/>
  <c r="BC39" i="10" s="1"/>
  <c r="FS36" i="13"/>
  <c r="BE36" i="13"/>
  <c r="BC36" i="13" s="1"/>
  <c r="FS40" i="9"/>
  <c r="BE40" i="9"/>
  <c r="BC40" i="9" s="1"/>
  <c r="FS41" i="8"/>
  <c r="BE41" i="8"/>
  <c r="BC41" i="8" s="1"/>
  <c r="FS38" i="11"/>
  <c r="BE38" i="11"/>
  <c r="BC38" i="11" s="1"/>
  <c r="FS37" i="12"/>
  <c r="BE37" i="12"/>
  <c r="BC37" i="12" s="1"/>
  <c r="FS43" i="6"/>
  <c r="BE43" i="6"/>
  <c r="BC43" i="6" s="1"/>
  <c r="EV31" i="15"/>
  <c r="AA31" i="15" s="1"/>
  <c r="EV36" i="10"/>
  <c r="AA36" i="10" s="1"/>
  <c r="EV42" i="5"/>
  <c r="AA42" i="5" s="1"/>
  <c r="EV39" i="7"/>
  <c r="AA39" i="7" s="1"/>
  <c r="EV34" i="12"/>
  <c r="AA34" i="12" s="1"/>
  <c r="ED432" i="72"/>
  <c r="EE432" i="72" s="1"/>
  <c r="EV32" i="14"/>
  <c r="AA32" i="14" s="1"/>
  <c r="EV33" i="13"/>
  <c r="AA33" i="13" s="1"/>
  <c r="EV40" i="6"/>
  <c r="AA40" i="6" s="1"/>
  <c r="EV35" i="11"/>
  <c r="AA35" i="11" s="1"/>
  <c r="EV38" i="8"/>
  <c r="AA38" i="8" s="1"/>
  <c r="EV37" i="9"/>
  <c r="AA37" i="9" s="1"/>
  <c r="DZ433" i="72"/>
  <c r="DV433" i="72"/>
  <c r="EC433" i="72"/>
  <c r="DY433" i="72"/>
  <c r="DU433" i="72"/>
  <c r="EB433" i="72"/>
  <c r="DX433" i="72"/>
  <c r="EH433" i="72"/>
  <c r="EI433" i="72" s="1"/>
  <c r="EA433" i="72"/>
  <c r="DW433" i="72"/>
  <c r="EH477" i="72"/>
  <c r="EI477" i="72" s="1"/>
  <c r="EA477" i="72"/>
  <c r="DW477" i="72"/>
  <c r="DZ477" i="72"/>
  <c r="DV477" i="72"/>
  <c r="EC477" i="72"/>
  <c r="DY477" i="72"/>
  <c r="DU477" i="72"/>
  <c r="EB477" i="72"/>
  <c r="DX477" i="72"/>
  <c r="CD519" i="72"/>
  <c r="H43" i="18"/>
  <c r="EM43" i="18"/>
  <c r="H35" i="42"/>
  <c r="EM35" i="42"/>
  <c r="EB257" i="72"/>
  <c r="DX257" i="72"/>
  <c r="EH257" i="72"/>
  <c r="EI257" i="72" s="1"/>
  <c r="EA257" i="72"/>
  <c r="DW257" i="72"/>
  <c r="DZ257" i="72"/>
  <c r="DV257" i="72"/>
  <c r="EC257" i="72"/>
  <c r="DY257" i="72"/>
  <c r="DU257" i="72"/>
  <c r="AM165" i="72"/>
  <c r="CD431" i="72"/>
  <c r="CD80" i="72"/>
  <c r="AM297" i="72"/>
  <c r="AP297" i="72" s="1"/>
  <c r="EU35" i="10" s="1"/>
  <c r="DZ213" i="72"/>
  <c r="DV213" i="72"/>
  <c r="EC213" i="72"/>
  <c r="DY213" i="72"/>
  <c r="DU213" i="72"/>
  <c r="EB213" i="72"/>
  <c r="DX213" i="72"/>
  <c r="EH213" i="72"/>
  <c r="EI213" i="72" s="1"/>
  <c r="EA213" i="72"/>
  <c r="DW213" i="72"/>
  <c r="EB345" i="72"/>
  <c r="DX345" i="72"/>
  <c r="EH345" i="72"/>
  <c r="EI345" i="72" s="1"/>
  <c r="EA345" i="72"/>
  <c r="DW345" i="72"/>
  <c r="DZ345" i="72"/>
  <c r="DV345" i="72"/>
  <c r="EC345" i="72"/>
  <c r="DY345" i="72"/>
  <c r="DU345" i="72"/>
  <c r="CD123" i="72"/>
  <c r="CD343" i="72"/>
  <c r="EB169" i="72"/>
  <c r="DX169" i="72"/>
  <c r="EH169" i="72"/>
  <c r="EI169" i="72" s="1"/>
  <c r="EA169" i="72"/>
  <c r="DW169" i="72"/>
  <c r="DZ169" i="72"/>
  <c r="DV169" i="72"/>
  <c r="EC169" i="72"/>
  <c r="DY169" i="72"/>
  <c r="DU169" i="72"/>
  <c r="CD387" i="72"/>
  <c r="DZ301" i="72"/>
  <c r="DV301" i="72"/>
  <c r="EC301" i="72"/>
  <c r="DY301" i="72"/>
  <c r="DU301" i="72"/>
  <c r="EB301" i="72"/>
  <c r="DX301" i="72"/>
  <c r="EH301" i="72"/>
  <c r="EI301" i="72" s="1"/>
  <c r="EA301" i="72"/>
  <c r="DW301" i="72"/>
  <c r="ED256" i="72"/>
  <c r="EE256" i="72" s="1"/>
  <c r="AM385" i="72"/>
  <c r="H33" i="44"/>
  <c r="EM33" i="44"/>
  <c r="AM429" i="72"/>
  <c r="EC82" i="72"/>
  <c r="DY82" i="72"/>
  <c r="DU82" i="72"/>
  <c r="EB82" i="72"/>
  <c r="DX82" i="72"/>
  <c r="EH82" i="72"/>
  <c r="EI82" i="72" s="1"/>
  <c r="EA82" i="72"/>
  <c r="DW82" i="72"/>
  <c r="DZ82" i="72"/>
  <c r="DV82" i="72"/>
  <c r="CD211" i="72"/>
  <c r="H32" i="45"/>
  <c r="EM32" i="45"/>
  <c r="CD167" i="72"/>
  <c r="H40" i="37"/>
  <c r="EM40" i="37"/>
  <c r="AM473" i="72"/>
  <c r="AP473" i="72" s="1"/>
  <c r="EU31" i="14" s="1"/>
  <c r="ED36" i="72"/>
  <c r="EE36" i="72" s="1"/>
  <c r="EN42" i="18" s="1"/>
  <c r="ED81" i="72"/>
  <c r="EE81" i="72" s="1"/>
  <c r="ED344" i="72"/>
  <c r="EE344" i="72" s="1"/>
  <c r="ED388" i="72"/>
  <c r="EE388" i="72" s="1"/>
  <c r="AM341" i="72"/>
  <c r="AP341" i="72" s="1"/>
  <c r="EU34" i="11" s="1"/>
  <c r="EC521" i="72"/>
  <c r="DY521" i="72"/>
  <c r="DU521" i="72"/>
  <c r="EB521" i="72"/>
  <c r="DX521" i="72"/>
  <c r="EH521" i="72"/>
  <c r="EI521" i="72" s="1"/>
  <c r="EA521" i="72"/>
  <c r="DW521" i="72"/>
  <c r="DZ521" i="72"/>
  <c r="DV521" i="72"/>
  <c r="ED168" i="72"/>
  <c r="EE168" i="72" s="1"/>
  <c r="ED520" i="72"/>
  <c r="EE520" i="72" s="1"/>
  <c r="DZ125" i="72"/>
  <c r="DV125" i="72"/>
  <c r="EC125" i="72"/>
  <c r="DY125" i="72"/>
  <c r="DU125" i="72"/>
  <c r="EB125" i="72"/>
  <c r="DX125" i="72"/>
  <c r="EH125" i="72"/>
  <c r="EI125" i="72" s="1"/>
  <c r="EA125" i="72"/>
  <c r="DW125" i="72"/>
  <c r="CD255" i="72"/>
  <c r="EC389" i="72"/>
  <c r="DY389" i="72"/>
  <c r="DU389" i="72"/>
  <c r="EB389" i="72"/>
  <c r="DX389" i="72"/>
  <c r="EH389" i="72"/>
  <c r="EI389" i="72" s="1"/>
  <c r="EA389" i="72"/>
  <c r="DW389" i="72"/>
  <c r="DZ389" i="72"/>
  <c r="DV389" i="72"/>
  <c r="H34" i="43"/>
  <c r="EM34" i="43"/>
  <c r="AM517" i="72"/>
  <c r="AP517" i="72" s="1"/>
  <c r="EU30" i="15" s="1"/>
  <c r="H38" i="39"/>
  <c r="EM38" i="39"/>
  <c r="AM253" i="72"/>
  <c r="AP253" i="72" s="1"/>
  <c r="EU36" i="9" s="1"/>
  <c r="CD299" i="72"/>
  <c r="EB37" i="72"/>
  <c r="DX37" i="72"/>
  <c r="EH37" i="72"/>
  <c r="EI37" i="72" s="1"/>
  <c r="EA37" i="72"/>
  <c r="DW37" i="72"/>
  <c r="DZ37" i="72"/>
  <c r="DV37" i="72"/>
  <c r="EC37" i="72"/>
  <c r="DY37" i="72"/>
  <c r="DU37" i="72"/>
  <c r="H39" i="38"/>
  <c r="EM39" i="38"/>
  <c r="H43" i="35"/>
  <c r="EM43" i="35"/>
  <c r="H36" i="41"/>
  <c r="EM36" i="41"/>
  <c r="H41" i="36"/>
  <c r="EM41" i="36"/>
  <c r="CD475" i="72"/>
  <c r="H37" i="40"/>
  <c r="EM37" i="40"/>
  <c r="AM209" i="72"/>
  <c r="AP209" i="72" s="1"/>
  <c r="EU37" i="8" s="1"/>
  <c r="ED476" i="72"/>
  <c r="EE476" i="72" s="1"/>
  <c r="ED212" i="72"/>
  <c r="EE212" i="72" s="1"/>
  <c r="ED124" i="72"/>
  <c r="EE124" i="72" s="1"/>
  <c r="ED300" i="72"/>
  <c r="EE300" i="72" s="1"/>
  <c r="K257" i="72"/>
  <c r="V257" i="72" s="1"/>
  <c r="AG257" i="72" s="1"/>
  <c r="G257" i="72"/>
  <c r="R257" i="72" s="1"/>
  <c r="AC257" i="72" s="1"/>
  <c r="J257" i="72"/>
  <c r="U257" i="72" s="1"/>
  <c r="AF257" i="72" s="1"/>
  <c r="F257" i="72"/>
  <c r="Q257" i="72" s="1"/>
  <c r="AB257" i="72" s="1"/>
  <c r="I257" i="72"/>
  <c r="T257" i="72" s="1"/>
  <c r="AE257" i="72" s="1"/>
  <c r="E257" i="72"/>
  <c r="P257" i="72" s="1"/>
  <c r="H257" i="72"/>
  <c r="S257" i="72" s="1"/>
  <c r="AD257" i="72" s="1"/>
  <c r="D257" i="72"/>
  <c r="O257" i="72" s="1"/>
  <c r="Z257" i="72" s="1"/>
  <c r="K37" i="72"/>
  <c r="V37" i="72" s="1"/>
  <c r="AG37" i="72" s="1"/>
  <c r="G37" i="72"/>
  <c r="R37" i="72" s="1"/>
  <c r="AC37" i="72" s="1"/>
  <c r="J37" i="72"/>
  <c r="U37" i="72" s="1"/>
  <c r="AF37" i="72" s="1"/>
  <c r="F37" i="72"/>
  <c r="Q37" i="72" s="1"/>
  <c r="AB37" i="72" s="1"/>
  <c r="I37" i="72"/>
  <c r="T37" i="72" s="1"/>
  <c r="AE37" i="72" s="1"/>
  <c r="E37" i="72"/>
  <c r="P37" i="72" s="1"/>
  <c r="AA37" i="72" s="1"/>
  <c r="H37" i="72"/>
  <c r="S37" i="72" s="1"/>
  <c r="AD37" i="72" s="1"/>
  <c r="D37" i="72"/>
  <c r="O37" i="72" s="1"/>
  <c r="K125" i="72"/>
  <c r="V125" i="72" s="1"/>
  <c r="AG125" i="72" s="1"/>
  <c r="G125" i="72"/>
  <c r="R125" i="72" s="1"/>
  <c r="AC125" i="72" s="1"/>
  <c r="J125" i="72"/>
  <c r="U125" i="72" s="1"/>
  <c r="AF125" i="72" s="1"/>
  <c r="F125" i="72"/>
  <c r="Q125" i="72" s="1"/>
  <c r="AB125" i="72" s="1"/>
  <c r="I125" i="72"/>
  <c r="T125" i="72" s="1"/>
  <c r="AE125" i="72" s="1"/>
  <c r="E125" i="72"/>
  <c r="P125" i="72" s="1"/>
  <c r="H125" i="72"/>
  <c r="S125" i="72" s="1"/>
  <c r="AD125" i="72" s="1"/>
  <c r="D125" i="72"/>
  <c r="O125" i="72" s="1"/>
  <c r="Z125" i="72" s="1"/>
  <c r="K213" i="72"/>
  <c r="V213" i="72" s="1"/>
  <c r="AG213" i="72" s="1"/>
  <c r="G213" i="72"/>
  <c r="R213" i="72" s="1"/>
  <c r="AC213" i="72" s="1"/>
  <c r="J213" i="72"/>
  <c r="U213" i="72" s="1"/>
  <c r="AF213" i="72" s="1"/>
  <c r="F213" i="72"/>
  <c r="Q213" i="72" s="1"/>
  <c r="AB213" i="72" s="1"/>
  <c r="I213" i="72"/>
  <c r="T213" i="72" s="1"/>
  <c r="AE213" i="72" s="1"/>
  <c r="E213" i="72"/>
  <c r="P213" i="72" s="1"/>
  <c r="AA213" i="72" s="1"/>
  <c r="H213" i="72"/>
  <c r="S213" i="72" s="1"/>
  <c r="AD213" i="72" s="1"/>
  <c r="D213" i="72"/>
  <c r="O213" i="72" s="1"/>
  <c r="K389" i="72"/>
  <c r="V389" i="72" s="1"/>
  <c r="AG389" i="72" s="1"/>
  <c r="G389" i="72"/>
  <c r="R389" i="72" s="1"/>
  <c r="AC389" i="72" s="1"/>
  <c r="J389" i="72"/>
  <c r="U389" i="72" s="1"/>
  <c r="AF389" i="72" s="1"/>
  <c r="F389" i="72"/>
  <c r="Q389" i="72" s="1"/>
  <c r="AB389" i="72" s="1"/>
  <c r="I389" i="72"/>
  <c r="T389" i="72" s="1"/>
  <c r="AE389" i="72" s="1"/>
  <c r="E389" i="72"/>
  <c r="P389" i="72" s="1"/>
  <c r="AA389" i="72" s="1"/>
  <c r="H389" i="72"/>
  <c r="S389" i="72" s="1"/>
  <c r="AD389" i="72" s="1"/>
  <c r="D389" i="72"/>
  <c r="O389" i="72" s="1"/>
  <c r="K477" i="72"/>
  <c r="V477" i="72" s="1"/>
  <c r="AG477" i="72" s="1"/>
  <c r="G477" i="72"/>
  <c r="R477" i="72" s="1"/>
  <c r="AC477" i="72" s="1"/>
  <c r="J477" i="72"/>
  <c r="U477" i="72" s="1"/>
  <c r="AF477" i="72" s="1"/>
  <c r="F477" i="72"/>
  <c r="Q477" i="72" s="1"/>
  <c r="AB477" i="72" s="1"/>
  <c r="I477" i="72"/>
  <c r="T477" i="72" s="1"/>
  <c r="AE477" i="72" s="1"/>
  <c r="E477" i="72"/>
  <c r="P477" i="72" s="1"/>
  <c r="H477" i="72"/>
  <c r="S477" i="72" s="1"/>
  <c r="AD477" i="72" s="1"/>
  <c r="D477" i="72"/>
  <c r="O477" i="72" s="1"/>
  <c r="Z477" i="72" s="1"/>
  <c r="K521" i="72"/>
  <c r="V521" i="72" s="1"/>
  <c r="AG521" i="72" s="1"/>
  <c r="G521" i="72"/>
  <c r="R521" i="72" s="1"/>
  <c r="AC521" i="72" s="1"/>
  <c r="J521" i="72"/>
  <c r="U521" i="72" s="1"/>
  <c r="AF521" i="72" s="1"/>
  <c r="F521" i="72"/>
  <c r="Q521" i="72" s="1"/>
  <c r="AB521" i="72" s="1"/>
  <c r="I521" i="72"/>
  <c r="T521" i="72" s="1"/>
  <c r="AE521" i="72" s="1"/>
  <c r="E521" i="72"/>
  <c r="P521" i="72" s="1"/>
  <c r="H521" i="72"/>
  <c r="S521" i="72" s="1"/>
  <c r="AD521" i="72" s="1"/>
  <c r="D521" i="72"/>
  <c r="O521" i="72" s="1"/>
  <c r="Z521" i="72" s="1"/>
  <c r="K169" i="72"/>
  <c r="V169" i="72" s="1"/>
  <c r="AG169" i="72" s="1"/>
  <c r="G169" i="72"/>
  <c r="R169" i="72" s="1"/>
  <c r="AC169" i="72" s="1"/>
  <c r="J169" i="72"/>
  <c r="U169" i="72" s="1"/>
  <c r="AF169" i="72" s="1"/>
  <c r="F169" i="72"/>
  <c r="Q169" i="72" s="1"/>
  <c r="AB169" i="72" s="1"/>
  <c r="I169" i="72"/>
  <c r="T169" i="72" s="1"/>
  <c r="AE169" i="72" s="1"/>
  <c r="E169" i="72"/>
  <c r="P169" i="72" s="1"/>
  <c r="H169" i="72"/>
  <c r="S169" i="72" s="1"/>
  <c r="AD169" i="72" s="1"/>
  <c r="D169" i="72"/>
  <c r="O169" i="72" s="1"/>
  <c r="Z169" i="72" s="1"/>
  <c r="K433" i="72"/>
  <c r="V433" i="72" s="1"/>
  <c r="AG433" i="72" s="1"/>
  <c r="G433" i="72"/>
  <c r="R433" i="72" s="1"/>
  <c r="AC433" i="72" s="1"/>
  <c r="J433" i="72"/>
  <c r="U433" i="72" s="1"/>
  <c r="AF433" i="72" s="1"/>
  <c r="F433" i="72"/>
  <c r="Q433" i="72" s="1"/>
  <c r="AB433" i="72" s="1"/>
  <c r="I433" i="72"/>
  <c r="T433" i="72" s="1"/>
  <c r="AE433" i="72" s="1"/>
  <c r="E433" i="72"/>
  <c r="P433" i="72" s="1"/>
  <c r="H433" i="72"/>
  <c r="S433" i="72" s="1"/>
  <c r="AD433" i="72" s="1"/>
  <c r="D433" i="72"/>
  <c r="O433" i="72" s="1"/>
  <c r="Z433" i="72" s="1"/>
  <c r="K82" i="72"/>
  <c r="V82" i="72" s="1"/>
  <c r="AG82" i="72" s="1"/>
  <c r="G82" i="72"/>
  <c r="R82" i="72" s="1"/>
  <c r="AC82" i="72" s="1"/>
  <c r="J82" i="72"/>
  <c r="U82" i="72" s="1"/>
  <c r="AF82" i="72" s="1"/>
  <c r="F82" i="72"/>
  <c r="Q82" i="72" s="1"/>
  <c r="AB82" i="72" s="1"/>
  <c r="I82" i="72"/>
  <c r="T82" i="72" s="1"/>
  <c r="AE82" i="72" s="1"/>
  <c r="E82" i="72"/>
  <c r="P82" i="72" s="1"/>
  <c r="AA82" i="72" s="1"/>
  <c r="H82" i="72"/>
  <c r="S82" i="72" s="1"/>
  <c r="AD82" i="72" s="1"/>
  <c r="D82" i="72"/>
  <c r="O82" i="72" s="1"/>
  <c r="K345" i="72"/>
  <c r="V345" i="72" s="1"/>
  <c r="AG345" i="72" s="1"/>
  <c r="G345" i="72"/>
  <c r="R345" i="72" s="1"/>
  <c r="AC345" i="72" s="1"/>
  <c r="J345" i="72"/>
  <c r="U345" i="72" s="1"/>
  <c r="AF345" i="72" s="1"/>
  <c r="F345" i="72"/>
  <c r="Q345" i="72" s="1"/>
  <c r="AB345" i="72" s="1"/>
  <c r="I345" i="72"/>
  <c r="T345" i="72" s="1"/>
  <c r="AE345" i="72" s="1"/>
  <c r="E345" i="72"/>
  <c r="P345" i="72" s="1"/>
  <c r="H345" i="72"/>
  <c r="S345" i="72" s="1"/>
  <c r="AD345" i="72" s="1"/>
  <c r="D345" i="72"/>
  <c r="O345" i="72" s="1"/>
  <c r="Z345" i="72" s="1"/>
  <c r="K301" i="72"/>
  <c r="V301" i="72" s="1"/>
  <c r="AG301" i="72" s="1"/>
  <c r="G301" i="72"/>
  <c r="R301" i="72" s="1"/>
  <c r="AC301" i="72" s="1"/>
  <c r="J301" i="72"/>
  <c r="U301" i="72" s="1"/>
  <c r="AF301" i="72" s="1"/>
  <c r="F301" i="72"/>
  <c r="Q301" i="72" s="1"/>
  <c r="AB301" i="72" s="1"/>
  <c r="I301" i="72"/>
  <c r="T301" i="72" s="1"/>
  <c r="AE301" i="72" s="1"/>
  <c r="E301" i="72"/>
  <c r="P301" i="72" s="1"/>
  <c r="H301" i="72"/>
  <c r="S301" i="72" s="1"/>
  <c r="AD301" i="72" s="1"/>
  <c r="D301" i="72"/>
  <c r="O301" i="72" s="1"/>
  <c r="Z301" i="72" s="1"/>
  <c r="AQ343" i="72"/>
  <c r="ER38" i="6"/>
  <c r="EU38" i="6"/>
  <c r="ER40" i="5"/>
  <c r="EU40" i="5"/>
  <c r="A37" i="41"/>
  <c r="FB39" i="11"/>
  <c r="BH39" i="11" s="1"/>
  <c r="A346" i="72"/>
  <c r="I42" i="18"/>
  <c r="I38" i="38"/>
  <c r="BN37" i="15"/>
  <c r="BJ36" i="15"/>
  <c r="I36" i="40"/>
  <c r="I42" i="35"/>
  <c r="K32" i="41"/>
  <c r="L32" i="41" s="1"/>
  <c r="E32" i="41" s="1"/>
  <c r="D71" i="41" s="1"/>
  <c r="E71" i="41" s="1"/>
  <c r="BC298" i="72"/>
  <c r="BD298" i="72" s="1"/>
  <c r="BF298" i="72"/>
  <c r="FB44" i="6"/>
  <c r="BH44" i="6" s="1"/>
  <c r="A42" i="36"/>
  <c r="A126" i="72"/>
  <c r="L432" i="72"/>
  <c r="M432" i="72" s="1"/>
  <c r="BG299" i="72"/>
  <c r="BB299" i="72"/>
  <c r="L344" i="72"/>
  <c r="M344" i="72" s="1"/>
  <c r="BN45" i="7"/>
  <c r="BJ44" i="7"/>
  <c r="L256" i="72"/>
  <c r="M256" i="72" s="1"/>
  <c r="BA43" i="18"/>
  <c r="BE43" i="18" s="1"/>
  <c r="BN42" i="10"/>
  <c r="BJ41" i="10"/>
  <c r="BA43" i="35"/>
  <c r="BN48" i="5"/>
  <c r="BJ47" i="5"/>
  <c r="BN40" i="12"/>
  <c r="BJ39" i="12"/>
  <c r="A35" i="43"/>
  <c r="A434" i="72"/>
  <c r="FB37" i="13"/>
  <c r="BH37" i="13" s="1"/>
  <c r="BF79" i="72"/>
  <c r="BC79" i="72"/>
  <c r="BD79" i="72" s="1"/>
  <c r="AM79" i="72" s="1"/>
  <c r="AP79" i="72" s="1"/>
  <c r="I32" i="44"/>
  <c r="L168" i="72"/>
  <c r="M168" i="72" s="1"/>
  <c r="FB41" i="9"/>
  <c r="BH41" i="9" s="1"/>
  <c r="A258" i="72"/>
  <c r="A39" i="39"/>
  <c r="AQ123" i="72"/>
  <c r="L300" i="72"/>
  <c r="M300" i="72" s="1"/>
  <c r="BG167" i="72"/>
  <c r="BB167" i="72"/>
  <c r="I34" i="42"/>
  <c r="BA41" i="36"/>
  <c r="I33" i="43"/>
  <c r="BN38" i="14"/>
  <c r="BJ37" i="14"/>
  <c r="BC386" i="72"/>
  <c r="BD386" i="72" s="1"/>
  <c r="BF386" i="72"/>
  <c r="FB46" i="4"/>
  <c r="BH46" i="4" s="1"/>
  <c r="A38" i="72"/>
  <c r="A44" i="18"/>
  <c r="K29" i="44"/>
  <c r="L29" i="44" s="1"/>
  <c r="E29" i="44" s="1"/>
  <c r="D68" i="44" s="1"/>
  <c r="E68" i="44" s="1"/>
  <c r="ER31" i="14"/>
  <c r="BN44" i="8"/>
  <c r="BJ43" i="8"/>
  <c r="BB475" i="72"/>
  <c r="BG475" i="72"/>
  <c r="I31" i="45"/>
  <c r="BA37" i="40"/>
  <c r="BF474" i="72"/>
  <c r="BC474" i="72"/>
  <c r="BD474" i="72" s="1"/>
  <c r="I40" i="36"/>
  <c r="AY255" i="72"/>
  <c r="BG255" i="72"/>
  <c r="BB255" i="72"/>
  <c r="BA35" i="42"/>
  <c r="L124" i="72"/>
  <c r="M124" i="72" s="1"/>
  <c r="BA34" i="43"/>
  <c r="BN41" i="11"/>
  <c r="BJ40" i="11"/>
  <c r="K28" i="45"/>
  <c r="L28" i="45" s="1"/>
  <c r="E28" i="45" s="1"/>
  <c r="D67" i="45" s="1"/>
  <c r="E67" i="45" s="1"/>
  <c r="I39" i="37"/>
  <c r="BA38" i="39"/>
  <c r="K37" i="36"/>
  <c r="L37" i="36" s="1"/>
  <c r="E37" i="36" s="1"/>
  <c r="D76" i="36" s="1"/>
  <c r="K36" i="37"/>
  <c r="L36" i="37" s="1"/>
  <c r="E36" i="37" s="1"/>
  <c r="D75" i="37" s="1"/>
  <c r="K34" i="39"/>
  <c r="L34" i="39" s="1"/>
  <c r="E34" i="39" s="1"/>
  <c r="D73" i="39" s="1"/>
  <c r="E73" i="39" s="1"/>
  <c r="AY431" i="72"/>
  <c r="BB431" i="72"/>
  <c r="BG431" i="72"/>
  <c r="FB35" i="15"/>
  <c r="BH35" i="15" s="1"/>
  <c r="GC35" i="15" s="1"/>
  <c r="FX359" i="34" s="1"/>
  <c r="A522" i="72"/>
  <c r="A33" i="45"/>
  <c r="L81" i="72"/>
  <c r="M81" i="72" s="1"/>
  <c r="BF518" i="72"/>
  <c r="BC518" i="72"/>
  <c r="BD518" i="72" s="1"/>
  <c r="L388" i="72"/>
  <c r="M388" i="72" s="1"/>
  <c r="BN46" i="6"/>
  <c r="BJ45" i="6"/>
  <c r="K31" i="42"/>
  <c r="L31" i="42" s="1"/>
  <c r="E31" i="42" s="1"/>
  <c r="D70" i="42" s="1"/>
  <c r="E70" i="42" s="1"/>
  <c r="BA33" i="44"/>
  <c r="AY519" i="72"/>
  <c r="BG519" i="72"/>
  <c r="BB519" i="72"/>
  <c r="AY299" i="72"/>
  <c r="AQ299" i="72"/>
  <c r="A41" i="37"/>
  <c r="A170" i="72"/>
  <c r="FB43" i="7"/>
  <c r="BH43" i="7" s="1"/>
  <c r="BB80" i="72"/>
  <c r="BG80" i="72"/>
  <c r="AY80" i="72"/>
  <c r="I37" i="39"/>
  <c r="K33" i="40"/>
  <c r="L33" i="40" s="1"/>
  <c r="E33" i="40" s="1"/>
  <c r="D72" i="40" s="1"/>
  <c r="E72" i="40" s="1"/>
  <c r="BA39" i="38"/>
  <c r="L520" i="72"/>
  <c r="M520" i="72" s="1"/>
  <c r="A302" i="72"/>
  <c r="A38" i="40"/>
  <c r="FB40" i="10"/>
  <c r="BH40" i="10" s="1"/>
  <c r="K30" i="43"/>
  <c r="L30" i="43" s="1"/>
  <c r="E30" i="43" s="1"/>
  <c r="D69" i="43" s="1"/>
  <c r="E69" i="43" s="1"/>
  <c r="BC430" i="72"/>
  <c r="BD430" i="72" s="1"/>
  <c r="BF430" i="72"/>
  <c r="A44" i="35"/>
  <c r="A83" i="72"/>
  <c r="FB46" i="5"/>
  <c r="BH46" i="5" s="1"/>
  <c r="A390" i="72"/>
  <c r="A36" i="42"/>
  <c r="FB38" i="12"/>
  <c r="BH38" i="12" s="1"/>
  <c r="BJ38" i="13"/>
  <c r="BN39" i="13"/>
  <c r="AY211" i="72"/>
  <c r="BB211" i="72"/>
  <c r="BG211" i="72"/>
  <c r="L476" i="72"/>
  <c r="M476" i="72" s="1"/>
  <c r="BA36" i="41"/>
  <c r="BC122" i="72"/>
  <c r="BD122" i="72" s="1"/>
  <c r="AM122" i="72" s="1"/>
  <c r="AP122" i="72" s="1"/>
  <c r="BF122" i="72"/>
  <c r="BJ42" i="9"/>
  <c r="BN43" i="9"/>
  <c r="BC342" i="72"/>
  <c r="BD342" i="72" s="1"/>
  <c r="BF342" i="72"/>
  <c r="BG123" i="72"/>
  <c r="AY123" i="72"/>
  <c r="BB123" i="72"/>
  <c r="BC166" i="72"/>
  <c r="BD166" i="72" s="1"/>
  <c r="BF166" i="72"/>
  <c r="L212" i="72"/>
  <c r="M212" i="72" s="1"/>
  <c r="BA32" i="45"/>
  <c r="AY343" i="72"/>
  <c r="BG343" i="72"/>
  <c r="BB343" i="72"/>
  <c r="AY167" i="72"/>
  <c r="BC210" i="72"/>
  <c r="BD210" i="72" s="1"/>
  <c r="BF210" i="72"/>
  <c r="FB36" i="14"/>
  <c r="BH36" i="14" s="1"/>
  <c r="A478" i="72"/>
  <c r="A34" i="44"/>
  <c r="I35" i="41"/>
  <c r="BA40" i="37"/>
  <c r="BF254" i="72"/>
  <c r="BC254" i="72"/>
  <c r="BD254" i="72" s="1"/>
  <c r="AY387" i="72"/>
  <c r="BG387" i="72"/>
  <c r="BB387" i="72"/>
  <c r="BJ47" i="4"/>
  <c r="BN48" i="4"/>
  <c r="K39" i="35"/>
  <c r="L39" i="35" s="1"/>
  <c r="E39" i="35" s="1"/>
  <c r="D78" i="35" s="1"/>
  <c r="FB42" i="8"/>
  <c r="BH42" i="8" s="1"/>
  <c r="A40" i="38"/>
  <c r="A214" i="72"/>
  <c r="AY475" i="72"/>
  <c r="K35" i="38"/>
  <c r="L35" i="38" s="1"/>
  <c r="E35" i="38" s="1"/>
  <c r="D74" i="38" s="1"/>
  <c r="J43" i="18" l="1"/>
  <c r="J41" i="36"/>
  <c r="ER36" i="9"/>
  <c r="J38" i="39"/>
  <c r="J32" i="45"/>
  <c r="ER30" i="15"/>
  <c r="G69" i="43"/>
  <c r="F69" i="43"/>
  <c r="G68" i="44"/>
  <c r="F68" i="44"/>
  <c r="F67" i="45"/>
  <c r="G67" i="45"/>
  <c r="G71" i="41"/>
  <c r="F71" i="41"/>
  <c r="G70" i="42"/>
  <c r="F70" i="42"/>
  <c r="G72" i="40"/>
  <c r="F72" i="40"/>
  <c r="G73" i="39"/>
  <c r="F73" i="39"/>
  <c r="J34" i="43"/>
  <c r="J43" i="35"/>
  <c r="J39" i="38"/>
  <c r="J35" i="42"/>
  <c r="J33" i="44"/>
  <c r="J40" i="37"/>
  <c r="ER34" i="11"/>
  <c r="ER35" i="10"/>
  <c r="ER37" i="8"/>
  <c r="GC40" i="10"/>
  <c r="FX209" i="34" s="1"/>
  <c r="GC36" i="14"/>
  <c r="FX329" i="34" s="1"/>
  <c r="GC46" i="5"/>
  <c r="FX60" i="34" s="1"/>
  <c r="GC46" i="4"/>
  <c r="FX29" i="34" s="1"/>
  <c r="GC41" i="9"/>
  <c r="FX179" i="34" s="1"/>
  <c r="GC38" i="12"/>
  <c r="FX269" i="34" s="1"/>
  <c r="GC37" i="13"/>
  <c r="FX299" i="34" s="1"/>
  <c r="GC42" i="8"/>
  <c r="FX149" i="34" s="1"/>
  <c r="GC43" i="7"/>
  <c r="FX119" i="34" s="1"/>
  <c r="GC44" i="6"/>
  <c r="FX89" i="34" s="1"/>
  <c r="GC39" i="11"/>
  <c r="FX239" i="34" s="1"/>
  <c r="AI256" i="72"/>
  <c r="AQ256" i="72" s="1"/>
  <c r="AI476" i="72"/>
  <c r="AI36" i="72"/>
  <c r="AI520" i="72"/>
  <c r="AQ520" i="72" s="1"/>
  <c r="AI300" i="72"/>
  <c r="AQ300" i="72" s="1"/>
  <c r="W82" i="72"/>
  <c r="X82" i="72" s="1"/>
  <c r="Z82" i="72"/>
  <c r="W389" i="72"/>
  <c r="X389" i="72" s="1"/>
  <c r="Z389" i="72"/>
  <c r="W213" i="72"/>
  <c r="X213" i="72" s="1"/>
  <c r="Z213" i="72"/>
  <c r="W37" i="72"/>
  <c r="X37" i="72" s="1"/>
  <c r="Z37" i="72"/>
  <c r="AI344" i="72"/>
  <c r="AI212" i="72"/>
  <c r="AQ212" i="72" s="1"/>
  <c r="AI124" i="72"/>
  <c r="AQ124" i="72" s="1"/>
  <c r="AI432" i="72"/>
  <c r="AQ432" i="72" s="1"/>
  <c r="AA301" i="72"/>
  <c r="W301" i="72"/>
  <c r="X301" i="72" s="1"/>
  <c r="W345" i="72"/>
  <c r="X345" i="72" s="1"/>
  <c r="AA345" i="72"/>
  <c r="W433" i="72"/>
  <c r="X433" i="72" s="1"/>
  <c r="AA433" i="72"/>
  <c r="W169" i="72"/>
  <c r="X169" i="72" s="1"/>
  <c r="AA169" i="72"/>
  <c r="AA521" i="72"/>
  <c r="W521" i="72"/>
  <c r="X521" i="72" s="1"/>
  <c r="W477" i="72"/>
  <c r="X477" i="72" s="1"/>
  <c r="AA477" i="72"/>
  <c r="AA125" i="72"/>
  <c r="W125" i="72"/>
  <c r="X125" i="72" s="1"/>
  <c r="W257" i="72"/>
  <c r="X257" i="72" s="1"/>
  <c r="AA257" i="72"/>
  <c r="AI168" i="72"/>
  <c r="AQ168" i="72" s="1"/>
  <c r="AI81" i="72"/>
  <c r="AQ81" i="72" s="1"/>
  <c r="AI388" i="72"/>
  <c r="AQ388" i="72" s="1"/>
  <c r="FS46" i="4"/>
  <c r="BE46" i="4"/>
  <c r="BC46" i="4" s="1"/>
  <c r="ER32" i="13"/>
  <c r="AP429" i="72"/>
  <c r="EU32" i="13" s="1"/>
  <c r="ER33" i="12"/>
  <c r="AP385" i="72"/>
  <c r="EU33" i="12" s="1"/>
  <c r="ER38" i="7"/>
  <c r="AP165" i="72"/>
  <c r="EU38" i="7" s="1"/>
  <c r="J37" i="40"/>
  <c r="J36" i="41"/>
  <c r="FS46" i="5"/>
  <c r="BE46" i="5"/>
  <c r="BC46" i="5" s="1"/>
  <c r="FS36" i="14"/>
  <c r="BE36" i="14"/>
  <c r="BC36" i="14" s="1"/>
  <c r="FS38" i="12"/>
  <c r="BE38" i="12"/>
  <c r="BC38" i="12" s="1"/>
  <c r="FS42" i="8"/>
  <c r="BE42" i="8"/>
  <c r="BC42" i="8" s="1"/>
  <c r="FS41" i="9"/>
  <c r="BE41" i="9"/>
  <c r="BC41" i="9" s="1"/>
  <c r="FS37" i="13"/>
  <c r="BE37" i="13"/>
  <c r="BC37" i="13" s="1"/>
  <c r="FS40" i="10"/>
  <c r="BE40" i="10"/>
  <c r="BC40" i="10" s="1"/>
  <c r="FS43" i="7"/>
  <c r="BE43" i="7"/>
  <c r="BC43" i="7" s="1"/>
  <c r="FS35" i="15"/>
  <c r="BE35" i="15"/>
  <c r="BC35" i="15" s="1"/>
  <c r="FS44" i="6"/>
  <c r="BE44" i="6"/>
  <c r="BC44" i="6" s="1"/>
  <c r="FS39" i="11"/>
  <c r="BE39" i="11"/>
  <c r="BC39" i="11" s="1"/>
  <c r="ED301" i="72"/>
  <c r="EE301" i="72" s="1"/>
  <c r="ED433" i="72"/>
  <c r="EE433" i="72" s="1"/>
  <c r="EV41" i="6"/>
  <c r="AA41" i="6" s="1"/>
  <c r="EV39" i="8"/>
  <c r="AA39" i="8" s="1"/>
  <c r="EV36" i="11"/>
  <c r="AA36" i="11" s="1"/>
  <c r="EV43" i="5"/>
  <c r="AA43" i="5" s="1"/>
  <c r="EV32" i="15"/>
  <c r="AA32" i="15" s="1"/>
  <c r="EV34" i="13"/>
  <c r="AA34" i="13" s="1"/>
  <c r="EV33" i="14"/>
  <c r="AA33" i="14" s="1"/>
  <c r="EV35" i="12"/>
  <c r="AA35" i="12" s="1"/>
  <c r="EV38" i="9"/>
  <c r="AA38" i="9" s="1"/>
  <c r="EV40" i="7"/>
  <c r="AA40" i="7" s="1"/>
  <c r="EV37" i="10"/>
  <c r="AA37" i="10" s="1"/>
  <c r="H40" i="38"/>
  <c r="EM40" i="38"/>
  <c r="DZ83" i="72"/>
  <c r="DV83" i="72"/>
  <c r="EC83" i="72"/>
  <c r="DY83" i="72"/>
  <c r="DU83" i="72"/>
  <c r="EB83" i="72"/>
  <c r="DX83" i="72"/>
  <c r="EH83" i="72"/>
  <c r="EI83" i="72" s="1"/>
  <c r="EA83" i="72"/>
  <c r="DW83" i="72"/>
  <c r="CD388" i="72"/>
  <c r="H33" i="45"/>
  <c r="EM33" i="45"/>
  <c r="H44" i="18"/>
  <c r="EM44" i="18"/>
  <c r="H35" i="43"/>
  <c r="EM35" i="43"/>
  <c r="CD256" i="72"/>
  <c r="CD344" i="72"/>
  <c r="H37" i="41"/>
  <c r="EM37" i="41"/>
  <c r="ED82" i="72"/>
  <c r="EE82" i="72" s="1"/>
  <c r="ED345" i="72"/>
  <c r="EE345" i="72" s="1"/>
  <c r="ED257" i="72"/>
  <c r="EE257" i="72" s="1"/>
  <c r="ED477" i="72"/>
  <c r="EE477" i="72" s="1"/>
  <c r="AM210" i="72"/>
  <c r="AP210" i="72" s="1"/>
  <c r="EU38" i="8" s="1"/>
  <c r="H34" i="44"/>
  <c r="EM34" i="44"/>
  <c r="AM166" i="72"/>
  <c r="AP166" i="72" s="1"/>
  <c r="EU39" i="7" s="1"/>
  <c r="CD520" i="72"/>
  <c r="EB478" i="72"/>
  <c r="DX478" i="72"/>
  <c r="EH478" i="72"/>
  <c r="EI478" i="72" s="1"/>
  <c r="EA478" i="72"/>
  <c r="DW478" i="72"/>
  <c r="DZ478" i="72"/>
  <c r="DV478" i="72"/>
  <c r="EC478" i="72"/>
  <c r="DY478" i="72"/>
  <c r="DU478" i="72"/>
  <c r="AM342" i="72"/>
  <c r="H36" i="42"/>
  <c r="EM36" i="42"/>
  <c r="H44" i="35"/>
  <c r="EM44" i="35"/>
  <c r="EC170" i="72"/>
  <c r="DY170" i="72"/>
  <c r="DU170" i="72"/>
  <c r="EB170" i="72"/>
  <c r="DX170" i="72"/>
  <c r="EH170" i="72"/>
  <c r="EI170" i="72" s="1"/>
  <c r="EA170" i="72"/>
  <c r="DW170" i="72"/>
  <c r="DZ170" i="72"/>
  <c r="DV170" i="72"/>
  <c r="AM518" i="72"/>
  <c r="DZ522" i="72"/>
  <c r="DV522" i="72"/>
  <c r="EC522" i="72"/>
  <c r="DY522" i="72"/>
  <c r="DU522" i="72"/>
  <c r="EB522" i="72"/>
  <c r="DX522" i="72"/>
  <c r="EH522" i="72"/>
  <c r="EI522" i="72" s="1"/>
  <c r="EA522" i="72"/>
  <c r="DW522" i="72"/>
  <c r="AM474" i="72"/>
  <c r="EH38" i="72"/>
  <c r="EI38" i="72" s="1"/>
  <c r="EA38" i="72"/>
  <c r="DW38" i="72"/>
  <c r="DZ38" i="72"/>
  <c r="DV38" i="72"/>
  <c r="EC38" i="72"/>
  <c r="DY38" i="72"/>
  <c r="DU38" i="72"/>
  <c r="EB38" i="72"/>
  <c r="DX38" i="72"/>
  <c r="CD300" i="72"/>
  <c r="CD168" i="72"/>
  <c r="EH126" i="72"/>
  <c r="EI126" i="72" s="1"/>
  <c r="EA126" i="72"/>
  <c r="DW126" i="72"/>
  <c r="DZ126" i="72"/>
  <c r="DV126" i="72"/>
  <c r="EC126" i="72"/>
  <c r="DY126" i="72"/>
  <c r="DU126" i="72"/>
  <c r="EB126" i="72"/>
  <c r="DX126" i="72"/>
  <c r="AM298" i="72"/>
  <c r="ED37" i="72"/>
  <c r="EE37" i="72" s="1"/>
  <c r="EN43" i="18" s="1"/>
  <c r="CD212" i="72"/>
  <c r="CD476" i="72"/>
  <c r="EC390" i="72"/>
  <c r="DY390" i="72"/>
  <c r="DU390" i="72"/>
  <c r="EB390" i="72"/>
  <c r="DX390" i="72"/>
  <c r="EH390" i="72"/>
  <c r="EI390" i="72" s="1"/>
  <c r="EA390" i="72"/>
  <c r="DW390" i="72"/>
  <c r="DZ390" i="72"/>
  <c r="DV390" i="72"/>
  <c r="AM430" i="72"/>
  <c r="AP430" i="72" s="1"/>
  <c r="EU33" i="13" s="1"/>
  <c r="H38" i="40"/>
  <c r="EM38" i="40"/>
  <c r="H41" i="37"/>
  <c r="EM41" i="37"/>
  <c r="CD124" i="72"/>
  <c r="H39" i="39"/>
  <c r="EM39" i="39"/>
  <c r="H42" i="36"/>
  <c r="EM42" i="36"/>
  <c r="EC346" i="72"/>
  <c r="DY346" i="72"/>
  <c r="DU346" i="72"/>
  <c r="EB346" i="72"/>
  <c r="DX346" i="72"/>
  <c r="EH346" i="72"/>
  <c r="EI346" i="72" s="1"/>
  <c r="EA346" i="72"/>
  <c r="DW346" i="72"/>
  <c r="DZ346" i="72"/>
  <c r="DV346" i="72"/>
  <c r="ED169" i="72"/>
  <c r="EE169" i="72" s="1"/>
  <c r="ED213" i="72"/>
  <c r="EE213" i="72" s="1"/>
  <c r="EH214" i="72"/>
  <c r="EI214" i="72" s="1"/>
  <c r="EA214" i="72"/>
  <c r="DW214" i="72"/>
  <c r="DZ214" i="72"/>
  <c r="DV214" i="72"/>
  <c r="EC214" i="72"/>
  <c r="DY214" i="72"/>
  <c r="DU214" i="72"/>
  <c r="EB214" i="72"/>
  <c r="DX214" i="72"/>
  <c r="AM254" i="72"/>
  <c r="EH302" i="72"/>
  <c r="EI302" i="72" s="1"/>
  <c r="EA302" i="72"/>
  <c r="DW302" i="72"/>
  <c r="DZ302" i="72"/>
  <c r="DV302" i="72"/>
  <c r="EC302" i="72"/>
  <c r="DY302" i="72"/>
  <c r="DU302" i="72"/>
  <c r="EB302" i="72"/>
  <c r="DX302" i="72"/>
  <c r="CD81" i="72"/>
  <c r="AM386" i="72"/>
  <c r="AP386" i="72" s="1"/>
  <c r="EU34" i="12" s="1"/>
  <c r="EC258" i="72"/>
  <c r="DY258" i="72"/>
  <c r="DU258" i="72"/>
  <c r="EB258" i="72"/>
  <c r="DX258" i="72"/>
  <c r="EH258" i="72"/>
  <c r="EI258" i="72" s="1"/>
  <c r="EA258" i="72"/>
  <c r="DW258" i="72"/>
  <c r="DZ258" i="72"/>
  <c r="DV258" i="72"/>
  <c r="EH434" i="72"/>
  <c r="EI434" i="72" s="1"/>
  <c r="EA434" i="72"/>
  <c r="DW434" i="72"/>
  <c r="DZ434" i="72"/>
  <c r="DV434" i="72"/>
  <c r="EC434" i="72"/>
  <c r="DY434" i="72"/>
  <c r="DU434" i="72"/>
  <c r="EB434" i="72"/>
  <c r="DX434" i="72"/>
  <c r="CD432" i="72"/>
  <c r="ED389" i="72"/>
  <c r="EE389" i="72" s="1"/>
  <c r="ED125" i="72"/>
  <c r="EE125" i="72" s="1"/>
  <c r="ED521" i="72"/>
  <c r="EE521" i="72" s="1"/>
  <c r="K390" i="72"/>
  <c r="V390" i="72" s="1"/>
  <c r="AG390" i="72" s="1"/>
  <c r="G390" i="72"/>
  <c r="R390" i="72" s="1"/>
  <c r="AC390" i="72" s="1"/>
  <c r="J390" i="72"/>
  <c r="U390" i="72" s="1"/>
  <c r="AF390" i="72" s="1"/>
  <c r="F390" i="72"/>
  <c r="Q390" i="72" s="1"/>
  <c r="AB390" i="72" s="1"/>
  <c r="I390" i="72"/>
  <c r="T390" i="72" s="1"/>
  <c r="AE390" i="72" s="1"/>
  <c r="E390" i="72"/>
  <c r="P390" i="72" s="1"/>
  <c r="H390" i="72"/>
  <c r="S390" i="72" s="1"/>
  <c r="AD390" i="72" s="1"/>
  <c r="D390" i="72"/>
  <c r="O390" i="72" s="1"/>
  <c r="Z390" i="72" s="1"/>
  <c r="K170" i="72"/>
  <c r="V170" i="72" s="1"/>
  <c r="AG170" i="72" s="1"/>
  <c r="G170" i="72"/>
  <c r="R170" i="72" s="1"/>
  <c r="AC170" i="72" s="1"/>
  <c r="J170" i="72"/>
  <c r="U170" i="72" s="1"/>
  <c r="AF170" i="72" s="1"/>
  <c r="F170" i="72"/>
  <c r="Q170" i="72" s="1"/>
  <c r="AB170" i="72" s="1"/>
  <c r="I170" i="72"/>
  <c r="T170" i="72" s="1"/>
  <c r="AE170" i="72" s="1"/>
  <c r="E170" i="72"/>
  <c r="P170" i="72" s="1"/>
  <c r="H170" i="72"/>
  <c r="S170" i="72" s="1"/>
  <c r="AD170" i="72" s="1"/>
  <c r="D170" i="72"/>
  <c r="O170" i="72" s="1"/>
  <c r="Z170" i="72" s="1"/>
  <c r="K214" i="72"/>
  <c r="V214" i="72" s="1"/>
  <c r="AG214" i="72" s="1"/>
  <c r="G214" i="72"/>
  <c r="R214" i="72" s="1"/>
  <c r="AC214" i="72" s="1"/>
  <c r="J214" i="72"/>
  <c r="U214" i="72" s="1"/>
  <c r="AF214" i="72" s="1"/>
  <c r="F214" i="72"/>
  <c r="Q214" i="72" s="1"/>
  <c r="AB214" i="72" s="1"/>
  <c r="I214" i="72"/>
  <c r="T214" i="72" s="1"/>
  <c r="AE214" i="72" s="1"/>
  <c r="E214" i="72"/>
  <c r="P214" i="72" s="1"/>
  <c r="H214" i="72"/>
  <c r="S214" i="72" s="1"/>
  <c r="AD214" i="72" s="1"/>
  <c r="D214" i="72"/>
  <c r="O214" i="72" s="1"/>
  <c r="Z214" i="72" s="1"/>
  <c r="K478" i="72"/>
  <c r="V478" i="72" s="1"/>
  <c r="AG478" i="72" s="1"/>
  <c r="G478" i="72"/>
  <c r="R478" i="72" s="1"/>
  <c r="AC478" i="72" s="1"/>
  <c r="J478" i="72"/>
  <c r="U478" i="72" s="1"/>
  <c r="AF478" i="72" s="1"/>
  <c r="F478" i="72"/>
  <c r="Q478" i="72" s="1"/>
  <c r="AB478" i="72" s="1"/>
  <c r="I478" i="72"/>
  <c r="T478" i="72" s="1"/>
  <c r="AE478" i="72" s="1"/>
  <c r="E478" i="72"/>
  <c r="P478" i="72" s="1"/>
  <c r="H478" i="72"/>
  <c r="S478" i="72" s="1"/>
  <c r="AD478" i="72" s="1"/>
  <c r="D478" i="72"/>
  <c r="O478" i="72" s="1"/>
  <c r="Z478" i="72" s="1"/>
  <c r="K302" i="72"/>
  <c r="V302" i="72" s="1"/>
  <c r="AG302" i="72" s="1"/>
  <c r="G302" i="72"/>
  <c r="R302" i="72" s="1"/>
  <c r="AC302" i="72" s="1"/>
  <c r="J302" i="72"/>
  <c r="U302" i="72" s="1"/>
  <c r="AF302" i="72" s="1"/>
  <c r="F302" i="72"/>
  <c r="Q302" i="72" s="1"/>
  <c r="AB302" i="72" s="1"/>
  <c r="I302" i="72"/>
  <c r="T302" i="72" s="1"/>
  <c r="AE302" i="72" s="1"/>
  <c r="E302" i="72"/>
  <c r="P302" i="72" s="1"/>
  <c r="H302" i="72"/>
  <c r="S302" i="72" s="1"/>
  <c r="AD302" i="72" s="1"/>
  <c r="D302" i="72"/>
  <c r="O302" i="72" s="1"/>
  <c r="Z302" i="72" s="1"/>
  <c r="K522" i="72"/>
  <c r="V522" i="72" s="1"/>
  <c r="AG522" i="72" s="1"/>
  <c r="G522" i="72"/>
  <c r="R522" i="72" s="1"/>
  <c r="AC522" i="72" s="1"/>
  <c r="J522" i="72"/>
  <c r="U522" i="72" s="1"/>
  <c r="AF522" i="72" s="1"/>
  <c r="F522" i="72"/>
  <c r="Q522" i="72" s="1"/>
  <c r="AB522" i="72" s="1"/>
  <c r="I522" i="72"/>
  <c r="T522" i="72" s="1"/>
  <c r="AE522" i="72" s="1"/>
  <c r="E522" i="72"/>
  <c r="P522" i="72" s="1"/>
  <c r="H522" i="72"/>
  <c r="S522" i="72" s="1"/>
  <c r="AD522" i="72" s="1"/>
  <c r="D522" i="72"/>
  <c r="O522" i="72" s="1"/>
  <c r="Z522" i="72" s="1"/>
  <c r="K38" i="72"/>
  <c r="V38" i="72" s="1"/>
  <c r="AG38" i="72" s="1"/>
  <c r="G38" i="72"/>
  <c r="R38" i="72" s="1"/>
  <c r="AC38" i="72" s="1"/>
  <c r="J38" i="72"/>
  <c r="U38" i="72" s="1"/>
  <c r="AF38" i="72" s="1"/>
  <c r="F38" i="72"/>
  <c r="Q38" i="72" s="1"/>
  <c r="AB38" i="72" s="1"/>
  <c r="I38" i="72"/>
  <c r="T38" i="72" s="1"/>
  <c r="AE38" i="72" s="1"/>
  <c r="E38" i="72"/>
  <c r="P38" i="72" s="1"/>
  <c r="H38" i="72"/>
  <c r="S38" i="72" s="1"/>
  <c r="AD38" i="72" s="1"/>
  <c r="D38" i="72"/>
  <c r="O38" i="72" s="1"/>
  <c r="Z38" i="72" s="1"/>
  <c r="K258" i="72"/>
  <c r="V258" i="72" s="1"/>
  <c r="AG258" i="72" s="1"/>
  <c r="G258" i="72"/>
  <c r="R258" i="72" s="1"/>
  <c r="AC258" i="72" s="1"/>
  <c r="J258" i="72"/>
  <c r="U258" i="72" s="1"/>
  <c r="AF258" i="72" s="1"/>
  <c r="F258" i="72"/>
  <c r="Q258" i="72" s="1"/>
  <c r="AB258" i="72" s="1"/>
  <c r="I258" i="72"/>
  <c r="T258" i="72" s="1"/>
  <c r="AE258" i="72" s="1"/>
  <c r="E258" i="72"/>
  <c r="P258" i="72" s="1"/>
  <c r="AA258" i="72" s="1"/>
  <c r="H258" i="72"/>
  <c r="S258" i="72" s="1"/>
  <c r="AD258" i="72" s="1"/>
  <c r="D258" i="72"/>
  <c r="O258" i="72" s="1"/>
  <c r="K434" i="72"/>
  <c r="V434" i="72" s="1"/>
  <c r="AG434" i="72" s="1"/>
  <c r="G434" i="72"/>
  <c r="R434" i="72" s="1"/>
  <c r="AC434" i="72" s="1"/>
  <c r="J434" i="72"/>
  <c r="U434" i="72" s="1"/>
  <c r="AF434" i="72" s="1"/>
  <c r="F434" i="72"/>
  <c r="Q434" i="72" s="1"/>
  <c r="AB434" i="72" s="1"/>
  <c r="I434" i="72"/>
  <c r="T434" i="72" s="1"/>
  <c r="AE434" i="72" s="1"/>
  <c r="E434" i="72"/>
  <c r="P434" i="72" s="1"/>
  <c r="AA434" i="72" s="1"/>
  <c r="H434" i="72"/>
  <c r="S434" i="72" s="1"/>
  <c r="AD434" i="72" s="1"/>
  <c r="D434" i="72"/>
  <c r="O434" i="72" s="1"/>
  <c r="K126" i="72"/>
  <c r="V126" i="72" s="1"/>
  <c r="AG126" i="72" s="1"/>
  <c r="G126" i="72"/>
  <c r="R126" i="72" s="1"/>
  <c r="AC126" i="72" s="1"/>
  <c r="J126" i="72"/>
  <c r="U126" i="72" s="1"/>
  <c r="AF126" i="72" s="1"/>
  <c r="F126" i="72"/>
  <c r="Q126" i="72" s="1"/>
  <c r="AB126" i="72" s="1"/>
  <c r="I126" i="72"/>
  <c r="T126" i="72" s="1"/>
  <c r="AE126" i="72" s="1"/>
  <c r="E126" i="72"/>
  <c r="P126" i="72" s="1"/>
  <c r="H126" i="72"/>
  <c r="S126" i="72" s="1"/>
  <c r="AD126" i="72" s="1"/>
  <c r="D126" i="72"/>
  <c r="O126" i="72" s="1"/>
  <c r="Z126" i="72" s="1"/>
  <c r="K83" i="72"/>
  <c r="V83" i="72" s="1"/>
  <c r="AG83" i="72" s="1"/>
  <c r="G83" i="72"/>
  <c r="R83" i="72" s="1"/>
  <c r="AC83" i="72" s="1"/>
  <c r="J83" i="72"/>
  <c r="U83" i="72" s="1"/>
  <c r="AF83" i="72" s="1"/>
  <c r="F83" i="72"/>
  <c r="Q83" i="72" s="1"/>
  <c r="AB83" i="72" s="1"/>
  <c r="I83" i="72"/>
  <c r="T83" i="72" s="1"/>
  <c r="AE83" i="72" s="1"/>
  <c r="E83" i="72"/>
  <c r="P83" i="72" s="1"/>
  <c r="H83" i="72"/>
  <c r="S83" i="72" s="1"/>
  <c r="AD83" i="72" s="1"/>
  <c r="D83" i="72"/>
  <c r="O83" i="72" s="1"/>
  <c r="Z83" i="72" s="1"/>
  <c r="K346" i="72"/>
  <c r="V346" i="72" s="1"/>
  <c r="AG346" i="72" s="1"/>
  <c r="G346" i="72"/>
  <c r="R346" i="72" s="1"/>
  <c r="AC346" i="72" s="1"/>
  <c r="J346" i="72"/>
  <c r="U346" i="72" s="1"/>
  <c r="AF346" i="72" s="1"/>
  <c r="F346" i="72"/>
  <c r="Q346" i="72" s="1"/>
  <c r="AB346" i="72" s="1"/>
  <c r="I346" i="72"/>
  <c r="T346" i="72" s="1"/>
  <c r="AE346" i="72" s="1"/>
  <c r="E346" i="72"/>
  <c r="P346" i="72" s="1"/>
  <c r="H346" i="72"/>
  <c r="S346" i="72" s="1"/>
  <c r="AD346" i="72" s="1"/>
  <c r="D346" i="72"/>
  <c r="O346" i="72" s="1"/>
  <c r="Z346" i="72" s="1"/>
  <c r="AQ344" i="72"/>
  <c r="ER39" i="6"/>
  <c r="EU39" i="6"/>
  <c r="ER41" i="5"/>
  <c r="EU41" i="5"/>
  <c r="L301" i="72"/>
  <c r="M301" i="72" s="1"/>
  <c r="BA40" i="38"/>
  <c r="FB47" i="4"/>
  <c r="BH47" i="4" s="1"/>
  <c r="A39" i="72"/>
  <c r="A45" i="18"/>
  <c r="I41" i="36"/>
  <c r="BC343" i="72"/>
  <c r="BD343" i="72" s="1"/>
  <c r="BF343" i="72"/>
  <c r="AY212" i="72"/>
  <c r="K33" i="41"/>
  <c r="L33" i="41" s="1"/>
  <c r="E33" i="41" s="1"/>
  <c r="D72" i="41" s="1"/>
  <c r="E72" i="41" s="1"/>
  <c r="FB42" i="9"/>
  <c r="BH42" i="9" s="1"/>
  <c r="A40" i="39"/>
  <c r="A259" i="72"/>
  <c r="BB476" i="72"/>
  <c r="BG476" i="72"/>
  <c r="BJ39" i="13"/>
  <c r="BN40" i="13"/>
  <c r="BA36" i="42"/>
  <c r="I43" i="35"/>
  <c r="L82" i="72"/>
  <c r="M82" i="72" s="1"/>
  <c r="K31" i="43"/>
  <c r="L31" i="43" s="1"/>
  <c r="E31" i="43" s="1"/>
  <c r="D70" i="43" s="1"/>
  <c r="E70" i="43" s="1"/>
  <c r="I39" i="38"/>
  <c r="BF80" i="72"/>
  <c r="BC80" i="72"/>
  <c r="BD80" i="72" s="1"/>
  <c r="AM80" i="72" s="1"/>
  <c r="AP80" i="72" s="1"/>
  <c r="BA41" i="37"/>
  <c r="BF519" i="72"/>
  <c r="BC519" i="72"/>
  <c r="BD519" i="72" s="1"/>
  <c r="A43" i="36"/>
  <c r="FB45" i="6"/>
  <c r="BH45" i="6" s="1"/>
  <c r="A127" i="72"/>
  <c r="BG388" i="72"/>
  <c r="BB388" i="72"/>
  <c r="K29" i="45"/>
  <c r="L29" i="45" s="1"/>
  <c r="E29" i="45" s="1"/>
  <c r="D68" i="45" s="1"/>
  <c r="E68" i="45" s="1"/>
  <c r="BG81" i="72"/>
  <c r="BB81" i="72"/>
  <c r="BA33" i="45"/>
  <c r="I38" i="39"/>
  <c r="BN42" i="11"/>
  <c r="BJ41" i="11"/>
  <c r="L433" i="72"/>
  <c r="M433" i="72" s="1"/>
  <c r="AY124" i="72"/>
  <c r="L389" i="72"/>
  <c r="M389" i="72" s="1"/>
  <c r="BF475" i="72"/>
  <c r="BC475" i="72"/>
  <c r="BD475" i="72" s="1"/>
  <c r="BN45" i="8"/>
  <c r="BJ44" i="8"/>
  <c r="I40" i="37"/>
  <c r="K32" i="42"/>
  <c r="L32" i="42" s="1"/>
  <c r="E32" i="42" s="1"/>
  <c r="D71" i="42" s="1"/>
  <c r="E71" i="42" s="1"/>
  <c r="BJ38" i="14"/>
  <c r="BN39" i="14"/>
  <c r="BB300" i="72"/>
  <c r="BG300" i="72"/>
  <c r="I32" i="45"/>
  <c r="L521" i="72"/>
  <c r="M521" i="72" s="1"/>
  <c r="AY168" i="72"/>
  <c r="L345" i="72"/>
  <c r="M345" i="72" s="1"/>
  <c r="K40" i="35"/>
  <c r="L40" i="35" s="1"/>
  <c r="E40" i="35" s="1"/>
  <c r="D79" i="35" s="1"/>
  <c r="BA35" i="43"/>
  <c r="FB39" i="12"/>
  <c r="BH39" i="12" s="1"/>
  <c r="A391" i="72"/>
  <c r="A37" i="42"/>
  <c r="A45" i="35"/>
  <c r="A84" i="72"/>
  <c r="FB47" i="5"/>
  <c r="BH47" i="5" s="1"/>
  <c r="FB41" i="10"/>
  <c r="BH41" i="10" s="1"/>
  <c r="A303" i="72"/>
  <c r="A39" i="40"/>
  <c r="L213" i="72"/>
  <c r="M213" i="72" s="1"/>
  <c r="I43" i="18"/>
  <c r="A42" i="37"/>
  <c r="A171" i="72"/>
  <c r="FB44" i="7"/>
  <c r="BH44" i="7" s="1"/>
  <c r="L477" i="72"/>
  <c r="M477" i="72" s="1"/>
  <c r="AY432" i="72"/>
  <c r="K34" i="40"/>
  <c r="L34" i="40" s="1"/>
  <c r="E34" i="40" s="1"/>
  <c r="D73" i="40" s="1"/>
  <c r="E73" i="40" s="1"/>
  <c r="FB36" i="15"/>
  <c r="BH36" i="15" s="1"/>
  <c r="GC36" i="15" s="1"/>
  <c r="FX360" i="34" s="1"/>
  <c r="A523" i="72"/>
  <c r="A34" i="45"/>
  <c r="L257" i="72"/>
  <c r="M257" i="72" s="1"/>
  <c r="I37" i="40"/>
  <c r="BJ48" i="4"/>
  <c r="BN49" i="4"/>
  <c r="BC387" i="72"/>
  <c r="BD387" i="72" s="1"/>
  <c r="BF387" i="72"/>
  <c r="K35" i="39"/>
  <c r="L35" i="39" s="1"/>
  <c r="E35" i="39" s="1"/>
  <c r="D74" i="39" s="1"/>
  <c r="E74" i="39" s="1"/>
  <c r="BA34" i="44"/>
  <c r="L125" i="72"/>
  <c r="M125" i="72" s="1"/>
  <c r="K36" i="38"/>
  <c r="L36" i="38" s="1"/>
  <c r="E36" i="38" s="1"/>
  <c r="D75" i="38" s="1"/>
  <c r="BB212" i="72"/>
  <c r="BG212" i="72"/>
  <c r="K37" i="37"/>
  <c r="L37" i="37" s="1"/>
  <c r="E37" i="37" s="1"/>
  <c r="D76" i="37" s="1"/>
  <c r="BC123" i="72"/>
  <c r="BD123" i="72" s="1"/>
  <c r="AM123" i="72" s="1"/>
  <c r="AP123" i="72" s="1"/>
  <c r="BF123" i="72"/>
  <c r="BJ43" i="9"/>
  <c r="BN44" i="9"/>
  <c r="K38" i="36"/>
  <c r="L38" i="36" s="1"/>
  <c r="E38" i="36" s="1"/>
  <c r="D77" i="36" s="1"/>
  <c r="I36" i="41"/>
  <c r="AY476" i="72"/>
  <c r="AQ476" i="72"/>
  <c r="BF211" i="72"/>
  <c r="BC211" i="72"/>
  <c r="BD211" i="72" s="1"/>
  <c r="A36" i="43"/>
  <c r="FB38" i="13"/>
  <c r="BH38" i="13" s="1"/>
  <c r="A435" i="72"/>
  <c r="BA44" i="35"/>
  <c r="BA38" i="40"/>
  <c r="AY520" i="72"/>
  <c r="BG520" i="72"/>
  <c r="BB520" i="72"/>
  <c r="I33" i="44"/>
  <c r="BN47" i="6"/>
  <c r="BJ46" i="6"/>
  <c r="AY388" i="72"/>
  <c r="AY81" i="72"/>
  <c r="BF431" i="72"/>
  <c r="BC431" i="72"/>
  <c r="BD431" i="72" s="1"/>
  <c r="A38" i="41"/>
  <c r="A347" i="72"/>
  <c r="FB40" i="11"/>
  <c r="BH40" i="11" s="1"/>
  <c r="BG124" i="72"/>
  <c r="BB124" i="72"/>
  <c r="BC255" i="72"/>
  <c r="BD255" i="72" s="1"/>
  <c r="BF255" i="72"/>
  <c r="K30" i="44"/>
  <c r="L30" i="44" s="1"/>
  <c r="E30" i="44" s="1"/>
  <c r="D69" i="44" s="1"/>
  <c r="E69" i="44" s="1"/>
  <c r="A215" i="72"/>
  <c r="A41" i="38"/>
  <c r="FB43" i="8"/>
  <c r="BH43" i="8" s="1"/>
  <c r="BA44" i="18"/>
  <c r="BE44" i="18" s="1"/>
  <c r="L169" i="72"/>
  <c r="M169" i="72" s="1"/>
  <c r="A479" i="72"/>
  <c r="A35" i="44"/>
  <c r="FB37" i="14"/>
  <c r="BH37" i="14" s="1"/>
  <c r="BC167" i="72"/>
  <c r="BD167" i="72" s="1"/>
  <c r="BF167" i="72"/>
  <c r="AY300" i="72"/>
  <c r="BA39" i="39"/>
  <c r="BG168" i="72"/>
  <c r="BB168" i="72"/>
  <c r="BJ40" i="12"/>
  <c r="BN41" i="12"/>
  <c r="BN49" i="5"/>
  <c r="BJ48" i="5"/>
  <c r="BN43" i="10"/>
  <c r="BJ42" i="10"/>
  <c r="BG256" i="72"/>
  <c r="BB256" i="72"/>
  <c r="AY256" i="72"/>
  <c r="BN46" i="7"/>
  <c r="BJ45" i="7"/>
  <c r="AY344" i="72"/>
  <c r="BG344" i="72"/>
  <c r="BB344" i="72"/>
  <c r="BF299" i="72"/>
  <c r="BC299" i="72"/>
  <c r="BD299" i="72" s="1"/>
  <c r="BG432" i="72"/>
  <c r="BB432" i="72"/>
  <c r="BA42" i="36"/>
  <c r="BN38" i="15"/>
  <c r="BJ37" i="15"/>
  <c r="BA37" i="41"/>
  <c r="I34" i="43"/>
  <c r="I35" i="42"/>
  <c r="J40" i="38" l="1"/>
  <c r="J44" i="18"/>
  <c r="J34" i="44"/>
  <c r="J42" i="36"/>
  <c r="J35" i="43"/>
  <c r="J41" i="37"/>
  <c r="ER39" i="7"/>
  <c r="J36" i="42"/>
  <c r="G70" i="43"/>
  <c r="F70" i="43"/>
  <c r="G73" i="40"/>
  <c r="F73" i="40"/>
  <c r="G74" i="39"/>
  <c r="F74" i="39"/>
  <c r="G69" i="44"/>
  <c r="F69" i="44"/>
  <c r="G71" i="42"/>
  <c r="F71" i="42"/>
  <c r="G68" i="45"/>
  <c r="F68" i="45"/>
  <c r="G72" i="41"/>
  <c r="F72" i="41"/>
  <c r="J44" i="35"/>
  <c r="ER33" i="13"/>
  <c r="ER34" i="12"/>
  <c r="ER38" i="8"/>
  <c r="GC47" i="5"/>
  <c r="FX61" i="34" s="1"/>
  <c r="GC42" i="9"/>
  <c r="FX180" i="34" s="1"/>
  <c r="GC41" i="10"/>
  <c r="FX210" i="34" s="1"/>
  <c r="GC37" i="14"/>
  <c r="FX330" i="34" s="1"/>
  <c r="GC38" i="13"/>
  <c r="FX300" i="34" s="1"/>
  <c r="GC44" i="7"/>
  <c r="FX120" i="34" s="1"/>
  <c r="GC45" i="6"/>
  <c r="FX90" i="34" s="1"/>
  <c r="GC47" i="4"/>
  <c r="FX30" i="34" s="1"/>
  <c r="GC43" i="8"/>
  <c r="FX150" i="34" s="1"/>
  <c r="GC40" i="11"/>
  <c r="FX240" i="34" s="1"/>
  <c r="GC39" i="12"/>
  <c r="FX270" i="34" s="1"/>
  <c r="AI433" i="72"/>
  <c r="AQ433" i="72" s="1"/>
  <c r="AI213" i="72"/>
  <c r="AQ213" i="72" s="1"/>
  <c r="AI82" i="72"/>
  <c r="AQ82" i="72" s="1"/>
  <c r="AI345" i="72"/>
  <c r="AQ345" i="72" s="1"/>
  <c r="AI37" i="72"/>
  <c r="AI389" i="72"/>
  <c r="AQ389" i="72" s="1"/>
  <c r="AA346" i="72"/>
  <c r="W346" i="72"/>
  <c r="X346" i="72" s="1"/>
  <c r="W83" i="72"/>
  <c r="X83" i="72" s="1"/>
  <c r="AA83" i="72"/>
  <c r="W126" i="72"/>
  <c r="X126" i="72" s="1"/>
  <c r="AA126" i="72"/>
  <c r="W38" i="72"/>
  <c r="X38" i="72" s="1"/>
  <c r="AA38" i="72"/>
  <c r="W522" i="72"/>
  <c r="X522" i="72" s="1"/>
  <c r="AA522" i="72"/>
  <c r="W302" i="72"/>
  <c r="X302" i="72" s="1"/>
  <c r="AA302" i="72"/>
  <c r="W478" i="72"/>
  <c r="X478" i="72" s="1"/>
  <c r="AA478" i="72"/>
  <c r="W214" i="72"/>
  <c r="X214" i="72" s="1"/>
  <c r="AA214" i="72"/>
  <c r="AA170" i="72"/>
  <c r="W170" i="72"/>
  <c r="X170" i="72" s="1"/>
  <c r="W390" i="72"/>
  <c r="X390" i="72" s="1"/>
  <c r="AA390" i="72"/>
  <c r="AI257" i="72"/>
  <c r="AQ257" i="72" s="1"/>
  <c r="AI477" i="72"/>
  <c r="AI169" i="72"/>
  <c r="AQ169" i="72" s="1"/>
  <c r="W434" i="72"/>
  <c r="X434" i="72" s="1"/>
  <c r="Z434" i="72"/>
  <c r="W258" i="72"/>
  <c r="X258" i="72" s="1"/>
  <c r="Z258" i="72"/>
  <c r="AI125" i="72"/>
  <c r="AQ125" i="72" s="1"/>
  <c r="AI521" i="72"/>
  <c r="AQ521" i="72" s="1"/>
  <c r="AI301" i="72"/>
  <c r="AQ301" i="72" s="1"/>
  <c r="FS47" i="4"/>
  <c r="BE47" i="4"/>
  <c r="BC47" i="4" s="1"/>
  <c r="ER37" i="9"/>
  <c r="AP254" i="72"/>
  <c r="EU37" i="9" s="1"/>
  <c r="ER36" i="10"/>
  <c r="AP298" i="72"/>
  <c r="EU36" i="10" s="1"/>
  <c r="ER32" i="14"/>
  <c r="AP474" i="72"/>
  <c r="EU32" i="14" s="1"/>
  <c r="ER31" i="15"/>
  <c r="AP518" i="72"/>
  <c r="EU31" i="15" s="1"/>
  <c r="ER35" i="11"/>
  <c r="AP342" i="72"/>
  <c r="EU35" i="11" s="1"/>
  <c r="FS47" i="5"/>
  <c r="BE47" i="5"/>
  <c r="BC47" i="5" s="1"/>
  <c r="J33" i="45"/>
  <c r="J39" i="39"/>
  <c r="FS40" i="11"/>
  <c r="BE40" i="11"/>
  <c r="BC40" i="11" s="1"/>
  <c r="J37" i="41"/>
  <c r="FS36" i="15"/>
  <c r="BE36" i="15"/>
  <c r="BC36" i="15" s="1"/>
  <c r="FS45" i="6"/>
  <c r="BE45" i="6"/>
  <c r="BC45" i="6" s="1"/>
  <c r="FS39" i="12"/>
  <c r="BE39" i="12"/>
  <c r="BC39" i="12" s="1"/>
  <c r="FS41" i="10"/>
  <c r="BE41" i="10"/>
  <c r="BC41" i="10" s="1"/>
  <c r="J38" i="40"/>
  <c r="FS43" i="8"/>
  <c r="BE43" i="8"/>
  <c r="BC43" i="8" s="1"/>
  <c r="FS38" i="13"/>
  <c r="BE38" i="13"/>
  <c r="BC38" i="13" s="1"/>
  <c r="FS37" i="14"/>
  <c r="BE37" i="14"/>
  <c r="BC37" i="14" s="1"/>
  <c r="FS44" i="7"/>
  <c r="BE44" i="7"/>
  <c r="BC44" i="7" s="1"/>
  <c r="FS42" i="9"/>
  <c r="BE42" i="9"/>
  <c r="BC42" i="9" s="1"/>
  <c r="ED83" i="72"/>
  <c r="EE83" i="72" s="1"/>
  <c r="EV35" i="13"/>
  <c r="AA35" i="13" s="1"/>
  <c r="EV37" i="11"/>
  <c r="AA37" i="11" s="1"/>
  <c r="EV39" i="9"/>
  <c r="AA39" i="9" s="1"/>
  <c r="EV41" i="7"/>
  <c r="AA41" i="7" s="1"/>
  <c r="EV40" i="8"/>
  <c r="AA40" i="8" s="1"/>
  <c r="EV42" i="6"/>
  <c r="AA42" i="6" s="1"/>
  <c r="EV33" i="15"/>
  <c r="AA33" i="15" s="1"/>
  <c r="EV38" i="10"/>
  <c r="AA38" i="10" s="1"/>
  <c r="EV44" i="5"/>
  <c r="AA44" i="5" s="1"/>
  <c r="EV36" i="12"/>
  <c r="AA36" i="12" s="1"/>
  <c r="EV34" i="14"/>
  <c r="AA34" i="14" s="1"/>
  <c r="ED522" i="72"/>
  <c r="EE522" i="72" s="1"/>
  <c r="H38" i="41"/>
  <c r="EM38" i="41"/>
  <c r="CD433" i="72"/>
  <c r="H41" i="38"/>
  <c r="EM41" i="38"/>
  <c r="AM167" i="72"/>
  <c r="CD169" i="72"/>
  <c r="EB215" i="72"/>
  <c r="DX215" i="72"/>
  <c r="EH215" i="72"/>
  <c r="EI215" i="72" s="1"/>
  <c r="EA215" i="72"/>
  <c r="DW215" i="72"/>
  <c r="DZ215" i="72"/>
  <c r="DV215" i="72"/>
  <c r="EC215" i="72"/>
  <c r="DY215" i="72"/>
  <c r="DU215" i="72"/>
  <c r="AM255" i="72"/>
  <c r="AP255" i="72" s="1"/>
  <c r="EU38" i="9" s="1"/>
  <c r="DZ347" i="72"/>
  <c r="DV347" i="72"/>
  <c r="EC347" i="72"/>
  <c r="DY347" i="72"/>
  <c r="DU347" i="72"/>
  <c r="EB347" i="72"/>
  <c r="DX347" i="72"/>
  <c r="EH347" i="72"/>
  <c r="EI347" i="72" s="1"/>
  <c r="EA347" i="72"/>
  <c r="DW347" i="72"/>
  <c r="EH523" i="72"/>
  <c r="EI523" i="72" s="1"/>
  <c r="EA523" i="72"/>
  <c r="DW523" i="72"/>
  <c r="DZ523" i="72"/>
  <c r="DV523" i="72"/>
  <c r="EC523" i="72"/>
  <c r="DY523" i="72"/>
  <c r="DU523" i="72"/>
  <c r="EB523" i="72"/>
  <c r="DX523" i="72"/>
  <c r="CD477" i="72"/>
  <c r="EB303" i="72"/>
  <c r="DX303" i="72"/>
  <c r="EH303" i="72"/>
  <c r="EI303" i="72" s="1"/>
  <c r="EA303" i="72"/>
  <c r="DW303" i="72"/>
  <c r="DZ303" i="72"/>
  <c r="DV303" i="72"/>
  <c r="EC303" i="72"/>
  <c r="DY303" i="72"/>
  <c r="DU303" i="72"/>
  <c r="H45" i="35"/>
  <c r="EM45" i="35"/>
  <c r="CD521" i="72"/>
  <c r="AM475" i="72"/>
  <c r="AP475" i="72" s="1"/>
  <c r="EU33" i="14" s="1"/>
  <c r="EB127" i="72"/>
  <c r="DX127" i="72"/>
  <c r="EH127" i="72"/>
  <c r="EI127" i="72" s="1"/>
  <c r="EA127" i="72"/>
  <c r="DW127" i="72"/>
  <c r="DZ127" i="72"/>
  <c r="DV127" i="72"/>
  <c r="EC127" i="72"/>
  <c r="DY127" i="72"/>
  <c r="DU127" i="72"/>
  <c r="H40" i="39"/>
  <c r="EM40" i="39"/>
  <c r="ED390" i="72"/>
  <c r="EE390" i="72" s="1"/>
  <c r="ED170" i="72"/>
  <c r="EE170" i="72" s="1"/>
  <c r="H45" i="18"/>
  <c r="EM45" i="18"/>
  <c r="CD301" i="72"/>
  <c r="ED478" i="72"/>
  <c r="EE478" i="72" s="1"/>
  <c r="H36" i="43"/>
  <c r="EM36" i="43"/>
  <c r="H37" i="42"/>
  <c r="EM37" i="42"/>
  <c r="CD345" i="72"/>
  <c r="H35" i="44"/>
  <c r="EM35" i="44"/>
  <c r="AM431" i="72"/>
  <c r="AM211" i="72"/>
  <c r="AP211" i="72" s="1"/>
  <c r="EU39" i="8" s="1"/>
  <c r="CD257" i="72"/>
  <c r="DZ171" i="72"/>
  <c r="DV171" i="72"/>
  <c r="EC171" i="72"/>
  <c r="DY171" i="72"/>
  <c r="DU171" i="72"/>
  <c r="EB171" i="72"/>
  <c r="DX171" i="72"/>
  <c r="EH171" i="72"/>
  <c r="EI171" i="72" s="1"/>
  <c r="EA171" i="72"/>
  <c r="DW171" i="72"/>
  <c r="CD213" i="72"/>
  <c r="EC391" i="72"/>
  <c r="DY391" i="72"/>
  <c r="DU391" i="72"/>
  <c r="EB391" i="72"/>
  <c r="DX391" i="72"/>
  <c r="EH391" i="72"/>
  <c r="EI391" i="72" s="1"/>
  <c r="EA391" i="72"/>
  <c r="DW391" i="72"/>
  <c r="DZ391" i="72"/>
  <c r="DV391" i="72"/>
  <c r="CD389" i="72"/>
  <c r="H43" i="36"/>
  <c r="EM43" i="36"/>
  <c r="CD82" i="72"/>
  <c r="AM343" i="72"/>
  <c r="AP343" i="72" s="1"/>
  <c r="EU36" i="11" s="1"/>
  <c r="DZ39" i="72"/>
  <c r="DV39" i="72"/>
  <c r="EC39" i="72"/>
  <c r="DY39" i="72"/>
  <c r="DU39" i="72"/>
  <c r="EB39" i="72"/>
  <c r="DX39" i="72"/>
  <c r="EH39" i="72"/>
  <c r="EI39" i="72" s="1"/>
  <c r="EA39" i="72"/>
  <c r="DW39" i="72"/>
  <c r="ED434" i="72"/>
  <c r="EE434" i="72" s="1"/>
  <c r="ED126" i="72"/>
  <c r="EE126" i="72" s="1"/>
  <c r="ED38" i="72"/>
  <c r="EE38" i="72" s="1"/>
  <c r="EN44" i="18" s="1"/>
  <c r="AM299" i="72"/>
  <c r="AP299" i="72" s="1"/>
  <c r="EU37" i="10" s="1"/>
  <c r="EC479" i="72"/>
  <c r="DY479" i="72"/>
  <c r="DU479" i="72"/>
  <c r="EB479" i="72"/>
  <c r="DX479" i="72"/>
  <c r="EH479" i="72"/>
  <c r="EI479" i="72" s="1"/>
  <c r="EA479" i="72"/>
  <c r="DW479" i="72"/>
  <c r="DZ479" i="72"/>
  <c r="DV479" i="72"/>
  <c r="EB435" i="72"/>
  <c r="DX435" i="72"/>
  <c r="EH435" i="72"/>
  <c r="EI435" i="72" s="1"/>
  <c r="EA435" i="72"/>
  <c r="DW435" i="72"/>
  <c r="DZ435" i="72"/>
  <c r="DV435" i="72"/>
  <c r="EC435" i="72"/>
  <c r="DY435" i="72"/>
  <c r="DU435" i="72"/>
  <c r="CD125" i="72"/>
  <c r="AM387" i="72"/>
  <c r="H34" i="45"/>
  <c r="EM34" i="45"/>
  <c r="H42" i="37"/>
  <c r="EM42" i="37"/>
  <c r="H39" i="40"/>
  <c r="EM39" i="40"/>
  <c r="EH84" i="72"/>
  <c r="EI84" i="72" s="1"/>
  <c r="EB84" i="72"/>
  <c r="EA84" i="72"/>
  <c r="DW84" i="72"/>
  <c r="DZ84" i="72"/>
  <c r="DV84" i="72"/>
  <c r="DY84" i="72"/>
  <c r="DU84" i="72"/>
  <c r="EC84" i="72"/>
  <c r="DX84" i="72"/>
  <c r="AM519" i="72"/>
  <c r="AP519" i="72" s="1"/>
  <c r="EU32" i="15" s="1"/>
  <c r="DZ259" i="72"/>
  <c r="DV259" i="72"/>
  <c r="EC259" i="72"/>
  <c r="DY259" i="72"/>
  <c r="DU259" i="72"/>
  <c r="EB259" i="72"/>
  <c r="DX259" i="72"/>
  <c r="EH259" i="72"/>
  <c r="EI259" i="72" s="1"/>
  <c r="EA259" i="72"/>
  <c r="DW259" i="72"/>
  <c r="ED258" i="72"/>
  <c r="EE258" i="72" s="1"/>
  <c r="ED302" i="72"/>
  <c r="EE302" i="72" s="1"/>
  <c r="ED214" i="72"/>
  <c r="EE214" i="72" s="1"/>
  <c r="ED346" i="72"/>
  <c r="EE346" i="72" s="1"/>
  <c r="K435" i="72"/>
  <c r="V435" i="72" s="1"/>
  <c r="AG435" i="72" s="1"/>
  <c r="G435" i="72"/>
  <c r="R435" i="72" s="1"/>
  <c r="AC435" i="72" s="1"/>
  <c r="J435" i="72"/>
  <c r="U435" i="72" s="1"/>
  <c r="AF435" i="72" s="1"/>
  <c r="F435" i="72"/>
  <c r="Q435" i="72" s="1"/>
  <c r="AB435" i="72" s="1"/>
  <c r="I435" i="72"/>
  <c r="T435" i="72" s="1"/>
  <c r="AE435" i="72" s="1"/>
  <c r="E435" i="72"/>
  <c r="P435" i="72" s="1"/>
  <c r="H435" i="72"/>
  <c r="S435" i="72" s="1"/>
  <c r="AD435" i="72" s="1"/>
  <c r="D435" i="72"/>
  <c r="O435" i="72" s="1"/>
  <c r="Z435" i="72" s="1"/>
  <c r="K171" i="72"/>
  <c r="V171" i="72" s="1"/>
  <c r="AG171" i="72" s="1"/>
  <c r="G171" i="72"/>
  <c r="R171" i="72" s="1"/>
  <c r="AC171" i="72" s="1"/>
  <c r="J171" i="72"/>
  <c r="U171" i="72" s="1"/>
  <c r="AF171" i="72" s="1"/>
  <c r="F171" i="72"/>
  <c r="Q171" i="72" s="1"/>
  <c r="AB171" i="72" s="1"/>
  <c r="I171" i="72"/>
  <c r="T171" i="72" s="1"/>
  <c r="AE171" i="72" s="1"/>
  <c r="E171" i="72"/>
  <c r="P171" i="72" s="1"/>
  <c r="H171" i="72"/>
  <c r="S171" i="72" s="1"/>
  <c r="AD171" i="72" s="1"/>
  <c r="D171" i="72"/>
  <c r="O171" i="72" s="1"/>
  <c r="Z171" i="72" s="1"/>
  <c r="K391" i="72"/>
  <c r="V391" i="72" s="1"/>
  <c r="AG391" i="72" s="1"/>
  <c r="G391" i="72"/>
  <c r="R391" i="72" s="1"/>
  <c r="AC391" i="72" s="1"/>
  <c r="J391" i="72"/>
  <c r="U391" i="72" s="1"/>
  <c r="AF391" i="72" s="1"/>
  <c r="F391" i="72"/>
  <c r="Q391" i="72" s="1"/>
  <c r="AB391" i="72" s="1"/>
  <c r="I391" i="72"/>
  <c r="T391" i="72" s="1"/>
  <c r="AE391" i="72" s="1"/>
  <c r="E391" i="72"/>
  <c r="P391" i="72" s="1"/>
  <c r="H391" i="72"/>
  <c r="S391" i="72" s="1"/>
  <c r="AD391" i="72" s="1"/>
  <c r="D391" i="72"/>
  <c r="O391" i="72" s="1"/>
  <c r="Z391" i="72" s="1"/>
  <c r="K127" i="72"/>
  <c r="V127" i="72" s="1"/>
  <c r="AG127" i="72" s="1"/>
  <c r="G127" i="72"/>
  <c r="R127" i="72" s="1"/>
  <c r="AC127" i="72" s="1"/>
  <c r="J127" i="72"/>
  <c r="U127" i="72" s="1"/>
  <c r="AF127" i="72" s="1"/>
  <c r="F127" i="72"/>
  <c r="Q127" i="72" s="1"/>
  <c r="AB127" i="72" s="1"/>
  <c r="I127" i="72"/>
  <c r="T127" i="72" s="1"/>
  <c r="AE127" i="72" s="1"/>
  <c r="E127" i="72"/>
  <c r="P127" i="72" s="1"/>
  <c r="AA127" i="72" s="1"/>
  <c r="H127" i="72"/>
  <c r="S127" i="72" s="1"/>
  <c r="AD127" i="72" s="1"/>
  <c r="D127" i="72"/>
  <c r="O127" i="72" s="1"/>
  <c r="K39" i="72"/>
  <c r="V39" i="72" s="1"/>
  <c r="AG39" i="72" s="1"/>
  <c r="G39" i="72"/>
  <c r="R39" i="72" s="1"/>
  <c r="AC39" i="72" s="1"/>
  <c r="J39" i="72"/>
  <c r="U39" i="72" s="1"/>
  <c r="AF39" i="72" s="1"/>
  <c r="F39" i="72"/>
  <c r="Q39" i="72" s="1"/>
  <c r="AB39" i="72" s="1"/>
  <c r="I39" i="72"/>
  <c r="T39" i="72" s="1"/>
  <c r="AE39" i="72" s="1"/>
  <c r="E39" i="72"/>
  <c r="P39" i="72" s="1"/>
  <c r="H39" i="72"/>
  <c r="S39" i="72" s="1"/>
  <c r="AD39" i="72" s="1"/>
  <c r="D39" i="72"/>
  <c r="O39" i="72" s="1"/>
  <c r="Z39" i="72" s="1"/>
  <c r="K84" i="72"/>
  <c r="V84" i="72" s="1"/>
  <c r="AG84" i="72" s="1"/>
  <c r="G84" i="72"/>
  <c r="R84" i="72" s="1"/>
  <c r="AC84" i="72" s="1"/>
  <c r="J84" i="72"/>
  <c r="U84" i="72" s="1"/>
  <c r="AF84" i="72" s="1"/>
  <c r="F84" i="72"/>
  <c r="Q84" i="72" s="1"/>
  <c r="AB84" i="72" s="1"/>
  <c r="I84" i="72"/>
  <c r="T84" i="72" s="1"/>
  <c r="AE84" i="72" s="1"/>
  <c r="E84" i="72"/>
  <c r="P84" i="72" s="1"/>
  <c r="H84" i="72"/>
  <c r="S84" i="72" s="1"/>
  <c r="AD84" i="72" s="1"/>
  <c r="D84" i="72"/>
  <c r="O84" i="72" s="1"/>
  <c r="Z84" i="72" s="1"/>
  <c r="K259" i="72"/>
  <c r="V259" i="72" s="1"/>
  <c r="AG259" i="72" s="1"/>
  <c r="G259" i="72"/>
  <c r="R259" i="72" s="1"/>
  <c r="AC259" i="72" s="1"/>
  <c r="J259" i="72"/>
  <c r="U259" i="72" s="1"/>
  <c r="AF259" i="72" s="1"/>
  <c r="F259" i="72"/>
  <c r="Q259" i="72" s="1"/>
  <c r="AB259" i="72" s="1"/>
  <c r="I259" i="72"/>
  <c r="T259" i="72" s="1"/>
  <c r="AE259" i="72" s="1"/>
  <c r="E259" i="72"/>
  <c r="P259" i="72" s="1"/>
  <c r="H259" i="72"/>
  <c r="S259" i="72" s="1"/>
  <c r="AD259" i="72" s="1"/>
  <c r="D259" i="72"/>
  <c r="O259" i="72" s="1"/>
  <c r="Z259" i="72" s="1"/>
  <c r="K479" i="72"/>
  <c r="V479" i="72" s="1"/>
  <c r="AG479" i="72" s="1"/>
  <c r="G479" i="72"/>
  <c r="R479" i="72" s="1"/>
  <c r="AC479" i="72" s="1"/>
  <c r="J479" i="72"/>
  <c r="U479" i="72" s="1"/>
  <c r="AF479" i="72" s="1"/>
  <c r="F479" i="72"/>
  <c r="Q479" i="72" s="1"/>
  <c r="AB479" i="72" s="1"/>
  <c r="I479" i="72"/>
  <c r="T479" i="72" s="1"/>
  <c r="AE479" i="72" s="1"/>
  <c r="E479" i="72"/>
  <c r="P479" i="72" s="1"/>
  <c r="AA479" i="72" s="1"/>
  <c r="H479" i="72"/>
  <c r="S479" i="72" s="1"/>
  <c r="AD479" i="72" s="1"/>
  <c r="D479" i="72"/>
  <c r="O479" i="72" s="1"/>
  <c r="K523" i="72"/>
  <c r="V523" i="72" s="1"/>
  <c r="AG523" i="72" s="1"/>
  <c r="G523" i="72"/>
  <c r="R523" i="72" s="1"/>
  <c r="AC523" i="72" s="1"/>
  <c r="J523" i="72"/>
  <c r="U523" i="72" s="1"/>
  <c r="AF523" i="72" s="1"/>
  <c r="F523" i="72"/>
  <c r="Q523" i="72" s="1"/>
  <c r="AB523" i="72" s="1"/>
  <c r="I523" i="72"/>
  <c r="T523" i="72" s="1"/>
  <c r="AE523" i="72" s="1"/>
  <c r="E523" i="72"/>
  <c r="P523" i="72" s="1"/>
  <c r="H523" i="72"/>
  <c r="S523" i="72" s="1"/>
  <c r="AD523" i="72" s="1"/>
  <c r="D523" i="72"/>
  <c r="O523" i="72" s="1"/>
  <c r="Z523" i="72" s="1"/>
  <c r="K303" i="72"/>
  <c r="V303" i="72" s="1"/>
  <c r="AG303" i="72" s="1"/>
  <c r="G303" i="72"/>
  <c r="R303" i="72" s="1"/>
  <c r="AC303" i="72" s="1"/>
  <c r="J303" i="72"/>
  <c r="U303" i="72" s="1"/>
  <c r="AF303" i="72" s="1"/>
  <c r="F303" i="72"/>
  <c r="Q303" i="72" s="1"/>
  <c r="AB303" i="72" s="1"/>
  <c r="I303" i="72"/>
  <c r="T303" i="72" s="1"/>
  <c r="AE303" i="72" s="1"/>
  <c r="E303" i="72"/>
  <c r="P303" i="72" s="1"/>
  <c r="AA303" i="72" s="1"/>
  <c r="H303" i="72"/>
  <c r="S303" i="72" s="1"/>
  <c r="AD303" i="72" s="1"/>
  <c r="D303" i="72"/>
  <c r="O303" i="72" s="1"/>
  <c r="K215" i="72"/>
  <c r="V215" i="72" s="1"/>
  <c r="AG215" i="72" s="1"/>
  <c r="G215" i="72"/>
  <c r="R215" i="72" s="1"/>
  <c r="AC215" i="72" s="1"/>
  <c r="J215" i="72"/>
  <c r="U215" i="72" s="1"/>
  <c r="AF215" i="72" s="1"/>
  <c r="F215" i="72"/>
  <c r="Q215" i="72" s="1"/>
  <c r="AB215" i="72" s="1"/>
  <c r="I215" i="72"/>
  <c r="T215" i="72" s="1"/>
  <c r="AE215" i="72" s="1"/>
  <c r="E215" i="72"/>
  <c r="P215" i="72" s="1"/>
  <c r="H215" i="72"/>
  <c r="S215" i="72" s="1"/>
  <c r="AD215" i="72" s="1"/>
  <c r="D215" i="72"/>
  <c r="O215" i="72" s="1"/>
  <c r="Z215" i="72" s="1"/>
  <c r="K347" i="72"/>
  <c r="V347" i="72" s="1"/>
  <c r="AG347" i="72" s="1"/>
  <c r="G347" i="72"/>
  <c r="R347" i="72" s="1"/>
  <c r="AC347" i="72" s="1"/>
  <c r="J347" i="72"/>
  <c r="U347" i="72" s="1"/>
  <c r="AF347" i="72" s="1"/>
  <c r="F347" i="72"/>
  <c r="Q347" i="72" s="1"/>
  <c r="AB347" i="72" s="1"/>
  <c r="I347" i="72"/>
  <c r="T347" i="72" s="1"/>
  <c r="AE347" i="72" s="1"/>
  <c r="E347" i="72"/>
  <c r="P347" i="72" s="1"/>
  <c r="H347" i="72"/>
  <c r="S347" i="72" s="1"/>
  <c r="AD347" i="72" s="1"/>
  <c r="D347" i="72"/>
  <c r="O347" i="72" s="1"/>
  <c r="Z347" i="72" s="1"/>
  <c r="ER40" i="6"/>
  <c r="EU40" i="6"/>
  <c r="ER42" i="5"/>
  <c r="EU42" i="5"/>
  <c r="BN39" i="15"/>
  <c r="BJ38" i="15"/>
  <c r="K35" i="40"/>
  <c r="L35" i="40" s="1"/>
  <c r="E35" i="40" s="1"/>
  <c r="D74" i="40" s="1"/>
  <c r="E74" i="40" s="1"/>
  <c r="BN47" i="7"/>
  <c r="BJ46" i="7"/>
  <c r="BC256" i="72"/>
  <c r="BD256" i="72" s="1"/>
  <c r="BF256" i="72"/>
  <c r="A40" i="40"/>
  <c r="FB42" i="10"/>
  <c r="BH42" i="10" s="1"/>
  <c r="A304" i="72"/>
  <c r="BN50" i="5"/>
  <c r="BJ50" i="5" s="1"/>
  <c r="BJ49" i="5"/>
  <c r="FB40" i="12"/>
  <c r="BH40" i="12" s="1"/>
  <c r="A38" i="42"/>
  <c r="A392" i="72"/>
  <c r="K38" i="37"/>
  <c r="L38" i="37" s="1"/>
  <c r="E38" i="37" s="1"/>
  <c r="D77" i="37" s="1"/>
  <c r="BG169" i="72"/>
  <c r="BB169" i="72"/>
  <c r="K36" i="39"/>
  <c r="L36" i="39" s="1"/>
  <c r="E36" i="39" s="1"/>
  <c r="D75" i="39" s="1"/>
  <c r="E75" i="39" s="1"/>
  <c r="BF124" i="72"/>
  <c r="BC124" i="72"/>
  <c r="BD124" i="72" s="1"/>
  <c r="AM124" i="72" s="1"/>
  <c r="AP124" i="72" s="1"/>
  <c r="BA38" i="41"/>
  <c r="K32" i="43"/>
  <c r="L32" i="43" s="1"/>
  <c r="E32" i="43" s="1"/>
  <c r="D71" i="43" s="1"/>
  <c r="E71" i="43" s="1"/>
  <c r="L522" i="72"/>
  <c r="M522" i="72" s="1"/>
  <c r="A44" i="36"/>
  <c r="FB46" i="6"/>
  <c r="BH46" i="6" s="1"/>
  <c r="A128" i="72"/>
  <c r="L170" i="72"/>
  <c r="M170" i="72" s="1"/>
  <c r="BF520" i="72"/>
  <c r="BC520" i="72"/>
  <c r="BD520" i="72" s="1"/>
  <c r="I36" i="42"/>
  <c r="J36" i="43"/>
  <c r="BA36" i="43"/>
  <c r="FB43" i="9"/>
  <c r="BH43" i="9" s="1"/>
  <c r="A260" i="72"/>
  <c r="A41" i="39"/>
  <c r="K39" i="36"/>
  <c r="L39" i="36" s="1"/>
  <c r="E39" i="36" s="1"/>
  <c r="D78" i="36" s="1"/>
  <c r="BF212" i="72"/>
  <c r="BC212" i="72"/>
  <c r="BD212" i="72" s="1"/>
  <c r="AY125" i="72"/>
  <c r="I34" i="44"/>
  <c r="A46" i="18"/>
  <c r="FB48" i="4"/>
  <c r="BH48" i="4" s="1"/>
  <c r="A40" i="72"/>
  <c r="L214" i="72"/>
  <c r="M214" i="72" s="1"/>
  <c r="I37" i="41"/>
  <c r="I42" i="36"/>
  <c r="L126" i="72"/>
  <c r="M126" i="72" s="1"/>
  <c r="AY477" i="72"/>
  <c r="AQ477" i="72"/>
  <c r="J42" i="37"/>
  <c r="BA42" i="37"/>
  <c r="L258" i="72"/>
  <c r="M258" i="72" s="1"/>
  <c r="BG521" i="72"/>
  <c r="BB521" i="72"/>
  <c r="BF300" i="72"/>
  <c r="BC300" i="72"/>
  <c r="BD300" i="72" s="1"/>
  <c r="A36" i="44"/>
  <c r="FB38" i="14"/>
  <c r="BH38" i="14" s="1"/>
  <c r="A480" i="72"/>
  <c r="I44" i="18"/>
  <c r="BN46" i="8"/>
  <c r="BJ45" i="8"/>
  <c r="BG389" i="72"/>
  <c r="BB389" i="72"/>
  <c r="BG433" i="72"/>
  <c r="BB433" i="72"/>
  <c r="FB41" i="11"/>
  <c r="BH41" i="11" s="1"/>
  <c r="A348" i="72"/>
  <c r="A39" i="41"/>
  <c r="BF81" i="72"/>
  <c r="BC81" i="72"/>
  <c r="BD81" i="72" s="1"/>
  <c r="AM81" i="72" s="1"/>
  <c r="AP81" i="72" s="1"/>
  <c r="BA43" i="36"/>
  <c r="K30" i="45"/>
  <c r="L30" i="45" s="1"/>
  <c r="E30" i="45" s="1"/>
  <c r="D69" i="45" s="1"/>
  <c r="E69" i="45" s="1"/>
  <c r="BG82" i="72"/>
  <c r="BB82" i="72"/>
  <c r="BJ40" i="13"/>
  <c r="BN41" i="13"/>
  <c r="BA40" i="39"/>
  <c r="L478" i="72"/>
  <c r="M478" i="72" s="1"/>
  <c r="BA45" i="18"/>
  <c r="L346" i="72"/>
  <c r="M346" i="72" s="1"/>
  <c r="A524" i="72"/>
  <c r="A35" i="45"/>
  <c r="FB37" i="15"/>
  <c r="BH37" i="15" s="1"/>
  <c r="GC37" i="15" s="1"/>
  <c r="FX361" i="34" s="1"/>
  <c r="BC432" i="72"/>
  <c r="BD432" i="72" s="1"/>
  <c r="BF432" i="72"/>
  <c r="BF344" i="72"/>
  <c r="BC344" i="72"/>
  <c r="BD344" i="72" s="1"/>
  <c r="A172" i="72"/>
  <c r="FB45" i="7"/>
  <c r="BH45" i="7" s="1"/>
  <c r="A43" i="37"/>
  <c r="BN44" i="10"/>
  <c r="BJ43" i="10"/>
  <c r="FB48" i="5"/>
  <c r="BH48" i="5" s="1"/>
  <c r="A46" i="35"/>
  <c r="A85" i="72"/>
  <c r="BN42" i="12"/>
  <c r="BJ41" i="12"/>
  <c r="L434" i="72"/>
  <c r="M434" i="72" s="1"/>
  <c r="BF168" i="72"/>
  <c r="BC168" i="72"/>
  <c r="BD168" i="72" s="1"/>
  <c r="I39" i="39"/>
  <c r="BA35" i="44"/>
  <c r="AY169" i="72"/>
  <c r="BA41" i="38"/>
  <c r="BN48" i="6"/>
  <c r="BJ47" i="6"/>
  <c r="I44" i="35"/>
  <c r="L390" i="72"/>
  <c r="M390" i="72" s="1"/>
  <c r="K37" i="38"/>
  <c r="L37" i="38" s="1"/>
  <c r="E37" i="38" s="1"/>
  <c r="D76" i="38" s="1"/>
  <c r="BJ44" i="9"/>
  <c r="BN45" i="9"/>
  <c r="BB125" i="72"/>
  <c r="BG125" i="72"/>
  <c r="K33" i="42"/>
  <c r="L33" i="42" s="1"/>
  <c r="E33" i="42" s="1"/>
  <c r="D72" i="42" s="1"/>
  <c r="E72" i="42" s="1"/>
  <c r="BJ49" i="4"/>
  <c r="BN50" i="4"/>
  <c r="BJ50" i="4" s="1"/>
  <c r="I40" i="38"/>
  <c r="AY257" i="72"/>
  <c r="BB257" i="72"/>
  <c r="BG257" i="72"/>
  <c r="BA34" i="45"/>
  <c r="BG477" i="72"/>
  <c r="BB477" i="72"/>
  <c r="BG213" i="72"/>
  <c r="BB213" i="72"/>
  <c r="AY213" i="72"/>
  <c r="BA39" i="40"/>
  <c r="BA45" i="35"/>
  <c r="BA37" i="42"/>
  <c r="I35" i="43"/>
  <c r="BB345" i="72"/>
  <c r="BG345" i="72"/>
  <c r="AY345" i="72"/>
  <c r="AY521" i="72"/>
  <c r="BN40" i="14"/>
  <c r="BJ39" i="14"/>
  <c r="A42" i="38"/>
  <c r="A216" i="72"/>
  <c r="FB44" i="8"/>
  <c r="BH44" i="8" s="1"/>
  <c r="K31" i="44"/>
  <c r="L31" i="44" s="1"/>
  <c r="E31" i="44" s="1"/>
  <c r="D70" i="44" s="1"/>
  <c r="E70" i="44" s="1"/>
  <c r="AY389" i="72"/>
  <c r="AY433" i="72"/>
  <c r="BJ42" i="11"/>
  <c r="BN43" i="11"/>
  <c r="I33" i="45"/>
  <c r="BF388" i="72"/>
  <c r="BC388" i="72"/>
  <c r="BD388" i="72" s="1"/>
  <c r="I41" i="37"/>
  <c r="K41" i="35"/>
  <c r="L41" i="35" s="1"/>
  <c r="E41" i="35" s="1"/>
  <c r="D80" i="35" s="1"/>
  <c r="L302" i="72"/>
  <c r="M302" i="72" s="1"/>
  <c r="I38" i="40"/>
  <c r="AY82" i="72"/>
  <c r="L83" i="72"/>
  <c r="M83" i="72" s="1"/>
  <c r="A436" i="72"/>
  <c r="A37" i="43"/>
  <c r="FB39" i="13"/>
  <c r="BH39" i="13" s="1"/>
  <c r="BF476" i="72"/>
  <c r="BC476" i="72"/>
  <c r="BD476" i="72" s="1"/>
  <c r="K34" i="41"/>
  <c r="L34" i="41" s="1"/>
  <c r="E34" i="41" s="1"/>
  <c r="D73" i="41" s="1"/>
  <c r="E73" i="41" s="1"/>
  <c r="ER36" i="11"/>
  <c r="BG301" i="72"/>
  <c r="AY301" i="72"/>
  <c r="BB301" i="72"/>
  <c r="ER39" i="8" l="1"/>
  <c r="J45" i="35"/>
  <c r="J38" i="41"/>
  <c r="ER32" i="15"/>
  <c r="J35" i="44"/>
  <c r="J45" i="18"/>
  <c r="ER38" i="9"/>
  <c r="G75" i="39"/>
  <c r="F75" i="39"/>
  <c r="G73" i="41"/>
  <c r="F73" i="41"/>
  <c r="G69" i="45"/>
  <c r="F69" i="45"/>
  <c r="G74" i="40"/>
  <c r="F74" i="40"/>
  <c r="G70" i="44"/>
  <c r="F70" i="44"/>
  <c r="G71" i="43"/>
  <c r="F71" i="43"/>
  <c r="G72" i="42"/>
  <c r="F72" i="42"/>
  <c r="J34" i="45"/>
  <c r="J37" i="42"/>
  <c r="J41" i="38"/>
  <c r="J40" i="39"/>
  <c r="ER37" i="10"/>
  <c r="ER33" i="14"/>
  <c r="GC39" i="13"/>
  <c r="FX301" i="34" s="1"/>
  <c r="GC48" i="5"/>
  <c r="FX62" i="34" s="1"/>
  <c r="BI9" i="6" s="1"/>
  <c r="GC45" i="7"/>
  <c r="FX121" i="34" s="1"/>
  <c r="GC40" i="12"/>
  <c r="FX271" i="34" s="1"/>
  <c r="GC42" i="10"/>
  <c r="FX211" i="34" s="1"/>
  <c r="GC41" i="11"/>
  <c r="FX241" i="34" s="1"/>
  <c r="GC48" i="4"/>
  <c r="FX31" i="34" s="1"/>
  <c r="GC38" i="14"/>
  <c r="FX331" i="34" s="1"/>
  <c r="GC44" i="8"/>
  <c r="FX151" i="34" s="1"/>
  <c r="GC43" i="9"/>
  <c r="FX181" i="34" s="1"/>
  <c r="GC46" i="6"/>
  <c r="FX91" i="34" s="1"/>
  <c r="AI258" i="72"/>
  <c r="AQ258" i="72" s="1"/>
  <c r="AI170" i="72"/>
  <c r="AQ170" i="72" s="1"/>
  <c r="AI522" i="72"/>
  <c r="AQ522" i="72" s="1"/>
  <c r="AI346" i="72"/>
  <c r="AI434" i="72"/>
  <c r="AI214" i="72"/>
  <c r="AQ214" i="72" s="1"/>
  <c r="AI302" i="72"/>
  <c r="AQ302" i="72" s="1"/>
  <c r="AI38" i="72"/>
  <c r="AI83" i="72"/>
  <c r="AQ83" i="72" s="1"/>
  <c r="W303" i="72"/>
  <c r="X303" i="72" s="1"/>
  <c r="Z303" i="72"/>
  <c r="W479" i="72"/>
  <c r="X479" i="72" s="1"/>
  <c r="Z479" i="72"/>
  <c r="W127" i="72"/>
  <c r="X127" i="72" s="1"/>
  <c r="Z127" i="72"/>
  <c r="AI390" i="72"/>
  <c r="W347" i="72"/>
  <c r="X347" i="72" s="1"/>
  <c r="AA347" i="72"/>
  <c r="AA215" i="72"/>
  <c r="W215" i="72"/>
  <c r="X215" i="72" s="1"/>
  <c r="W523" i="72"/>
  <c r="X523" i="72" s="1"/>
  <c r="AA523" i="72"/>
  <c r="W259" i="72"/>
  <c r="X259" i="72" s="1"/>
  <c r="AA259" i="72"/>
  <c r="AA84" i="72"/>
  <c r="W84" i="72"/>
  <c r="X84" i="72" s="1"/>
  <c r="AA39" i="72"/>
  <c r="W39" i="72"/>
  <c r="X39" i="72" s="1"/>
  <c r="AA391" i="72"/>
  <c r="W391" i="72"/>
  <c r="X391" i="72" s="1"/>
  <c r="W171" i="72"/>
  <c r="X171" i="72" s="1"/>
  <c r="AA171" i="72"/>
  <c r="W435" i="72"/>
  <c r="X435" i="72" s="1"/>
  <c r="AA435" i="72"/>
  <c r="AI478" i="72"/>
  <c r="AQ478" i="72" s="1"/>
  <c r="AI126" i="72"/>
  <c r="AQ126" i="72" s="1"/>
  <c r="FS48" i="4"/>
  <c r="BE48" i="4"/>
  <c r="BC48" i="4" s="1"/>
  <c r="ER35" i="12"/>
  <c r="AP387" i="72"/>
  <c r="EU35" i="12" s="1"/>
  <c r="ER34" i="13"/>
  <c r="AP431" i="72"/>
  <c r="EU34" i="13" s="1"/>
  <c r="ER40" i="7"/>
  <c r="AP167" i="72"/>
  <c r="EU40" i="7" s="1"/>
  <c r="FS48" i="5"/>
  <c r="BE48" i="5"/>
  <c r="BC48" i="5" s="1"/>
  <c r="FS37" i="15"/>
  <c r="BE37" i="15"/>
  <c r="BC37" i="15" s="1"/>
  <c r="FS41" i="11"/>
  <c r="BE41" i="11"/>
  <c r="BC41" i="11" s="1"/>
  <c r="FS39" i="13"/>
  <c r="BE39" i="13"/>
  <c r="BC39" i="13" s="1"/>
  <c r="FS45" i="7"/>
  <c r="BE45" i="7"/>
  <c r="BC45" i="7" s="1"/>
  <c r="FS40" i="12"/>
  <c r="BE40" i="12"/>
  <c r="BC40" i="12" s="1"/>
  <c r="FS38" i="14"/>
  <c r="BE38" i="14"/>
  <c r="BC38" i="14" s="1"/>
  <c r="J39" i="40"/>
  <c r="FS44" i="8"/>
  <c r="BE44" i="8"/>
  <c r="BC44" i="8" s="1"/>
  <c r="FS42" i="10"/>
  <c r="BE42" i="10"/>
  <c r="BC42" i="10" s="1"/>
  <c r="J43" i="36"/>
  <c r="FS43" i="9"/>
  <c r="BE43" i="9"/>
  <c r="FS46" i="6"/>
  <c r="BE46" i="6"/>
  <c r="BC46" i="6" s="1"/>
  <c r="EV41" i="8"/>
  <c r="AA41" i="8" s="1"/>
  <c r="EV43" i="6"/>
  <c r="AA43" i="6" s="1"/>
  <c r="EV45" i="5"/>
  <c r="AA45" i="5" s="1"/>
  <c r="EV36" i="13"/>
  <c r="AA36" i="13" s="1"/>
  <c r="EV37" i="12"/>
  <c r="AA37" i="12" s="1"/>
  <c r="EV39" i="10"/>
  <c r="AA39" i="10" s="1"/>
  <c r="EV38" i="11"/>
  <c r="AA38" i="11" s="1"/>
  <c r="EV35" i="14"/>
  <c r="AA35" i="14" s="1"/>
  <c r="EV40" i="9"/>
  <c r="AA40" i="9" s="1"/>
  <c r="EV34" i="15"/>
  <c r="AA34" i="15" s="1"/>
  <c r="EV42" i="7"/>
  <c r="AA42" i="7" s="1"/>
  <c r="EB524" i="72"/>
  <c r="DX524" i="72"/>
  <c r="EH524" i="72"/>
  <c r="EI524" i="72" s="1"/>
  <c r="EA524" i="72"/>
  <c r="DW524" i="72"/>
  <c r="DZ524" i="72"/>
  <c r="DV524" i="72"/>
  <c r="EC524" i="72"/>
  <c r="DY524" i="72"/>
  <c r="DU524" i="72"/>
  <c r="H39" i="41"/>
  <c r="EM39" i="41"/>
  <c r="CD126" i="72"/>
  <c r="CD170" i="72"/>
  <c r="CD522" i="72"/>
  <c r="ED479" i="72"/>
  <c r="EE479" i="72" s="1"/>
  <c r="ED303" i="72"/>
  <c r="EE303" i="72" s="1"/>
  <c r="ED215" i="72"/>
  <c r="EE215" i="72" s="1"/>
  <c r="CD302" i="72"/>
  <c r="AM388" i="72"/>
  <c r="AP388" i="72" s="1"/>
  <c r="EU36" i="12" s="1"/>
  <c r="H46" i="35"/>
  <c r="EM46" i="35"/>
  <c r="H44" i="36"/>
  <c r="EM44" i="36"/>
  <c r="AM476" i="72"/>
  <c r="AP476" i="72" s="1"/>
  <c r="EU34" i="14" s="1"/>
  <c r="EC436" i="72"/>
  <c r="DY436" i="72"/>
  <c r="DU436" i="72"/>
  <c r="EB436" i="72"/>
  <c r="DX436" i="72"/>
  <c r="EH436" i="72"/>
  <c r="EI436" i="72" s="1"/>
  <c r="EA436" i="72"/>
  <c r="DW436" i="72"/>
  <c r="DZ436" i="72"/>
  <c r="DV436" i="72"/>
  <c r="AM168" i="72"/>
  <c r="AP168" i="72" s="1"/>
  <c r="EU41" i="7" s="1"/>
  <c r="AM432" i="72"/>
  <c r="AP432" i="72" s="1"/>
  <c r="EU35" i="13" s="1"/>
  <c r="H36" i="44"/>
  <c r="EM36" i="44"/>
  <c r="H46" i="18"/>
  <c r="EM46" i="18"/>
  <c r="H41" i="39"/>
  <c r="EM41" i="39"/>
  <c r="EC128" i="72"/>
  <c r="DY128" i="72"/>
  <c r="DU128" i="72"/>
  <c r="EB128" i="72"/>
  <c r="DX128" i="72"/>
  <c r="EH128" i="72"/>
  <c r="EI128" i="72" s="1"/>
  <c r="EA128" i="72"/>
  <c r="DW128" i="72"/>
  <c r="DZ128" i="72"/>
  <c r="DV128" i="72"/>
  <c r="EC392" i="72"/>
  <c r="DY392" i="72"/>
  <c r="DU392" i="72"/>
  <c r="EB392" i="72"/>
  <c r="DX392" i="72"/>
  <c r="EH392" i="72"/>
  <c r="EI392" i="72" s="1"/>
  <c r="EA392" i="72"/>
  <c r="DW392" i="72"/>
  <c r="DZ392" i="72"/>
  <c r="DV392" i="72"/>
  <c r="H40" i="40"/>
  <c r="EM40" i="40"/>
  <c r="ED435" i="72"/>
  <c r="EE435" i="72" s="1"/>
  <c r="CD434" i="72"/>
  <c r="H43" i="37"/>
  <c r="EM43" i="37"/>
  <c r="H35" i="45"/>
  <c r="EM35" i="45"/>
  <c r="DZ480" i="72"/>
  <c r="DV480" i="72"/>
  <c r="EC480" i="72"/>
  <c r="DY480" i="72"/>
  <c r="DU480" i="72"/>
  <c r="EB480" i="72"/>
  <c r="DX480" i="72"/>
  <c r="EH480" i="72"/>
  <c r="EI480" i="72" s="1"/>
  <c r="EA480" i="72"/>
  <c r="DW480" i="72"/>
  <c r="EC40" i="72"/>
  <c r="DY40" i="72"/>
  <c r="DU40" i="72"/>
  <c r="EB40" i="72"/>
  <c r="DX40" i="72"/>
  <c r="EH40" i="72"/>
  <c r="EI40" i="72" s="1"/>
  <c r="EA40" i="72"/>
  <c r="DW40" i="72"/>
  <c r="DZ40" i="72"/>
  <c r="DV40" i="72"/>
  <c r="EC304" i="72"/>
  <c r="DY304" i="72"/>
  <c r="DU304" i="72"/>
  <c r="EB304" i="72"/>
  <c r="DX304" i="72"/>
  <c r="EH304" i="72"/>
  <c r="EI304" i="72" s="1"/>
  <c r="EA304" i="72"/>
  <c r="DW304" i="72"/>
  <c r="DZ304" i="72"/>
  <c r="DV304" i="72"/>
  <c r="AM256" i="72"/>
  <c r="AP256" i="72" s="1"/>
  <c r="EU39" i="9" s="1"/>
  <c r="H37" i="43"/>
  <c r="EM37" i="43"/>
  <c r="EC216" i="72"/>
  <c r="DY216" i="72"/>
  <c r="DU216" i="72"/>
  <c r="EB216" i="72"/>
  <c r="DX216" i="72"/>
  <c r="EH216" i="72"/>
  <c r="EI216" i="72" s="1"/>
  <c r="EA216" i="72"/>
  <c r="DW216" i="72"/>
  <c r="DZ216" i="72"/>
  <c r="DV216" i="72"/>
  <c r="H42" i="38"/>
  <c r="EM42" i="38"/>
  <c r="EH172" i="72"/>
  <c r="EI172" i="72" s="1"/>
  <c r="EA172" i="72"/>
  <c r="DW172" i="72"/>
  <c r="DZ172" i="72"/>
  <c r="DV172" i="72"/>
  <c r="EC172" i="72"/>
  <c r="DY172" i="72"/>
  <c r="DU172" i="72"/>
  <c r="EB172" i="72"/>
  <c r="DX172" i="72"/>
  <c r="CD346" i="72"/>
  <c r="EH348" i="72"/>
  <c r="EI348" i="72" s="1"/>
  <c r="EA348" i="72"/>
  <c r="DW348" i="72"/>
  <c r="DZ348" i="72"/>
  <c r="DV348" i="72"/>
  <c r="EC348" i="72"/>
  <c r="DY348" i="72"/>
  <c r="DU348" i="72"/>
  <c r="EB348" i="72"/>
  <c r="DX348" i="72"/>
  <c r="CD83" i="72"/>
  <c r="CD390" i="72"/>
  <c r="EB85" i="72"/>
  <c r="DX85" i="72"/>
  <c r="EC85" i="72"/>
  <c r="DY85" i="72"/>
  <c r="DU85" i="72"/>
  <c r="EH85" i="72"/>
  <c r="EI85" i="72" s="1"/>
  <c r="EM92" i="72" s="1"/>
  <c r="DW85" i="72"/>
  <c r="DV85" i="72"/>
  <c r="EA85" i="72"/>
  <c r="DZ85" i="72"/>
  <c r="AM344" i="72"/>
  <c r="AP344" i="72" s="1"/>
  <c r="EU37" i="11" s="1"/>
  <c r="CD478" i="72"/>
  <c r="AM300" i="72"/>
  <c r="CD258" i="72"/>
  <c r="CD214" i="72"/>
  <c r="AM212" i="72"/>
  <c r="EH260" i="72"/>
  <c r="EI260" i="72" s="1"/>
  <c r="EA260" i="72"/>
  <c r="DW260" i="72"/>
  <c r="DZ260" i="72"/>
  <c r="DV260" i="72"/>
  <c r="EC260" i="72"/>
  <c r="DY260" i="72"/>
  <c r="DU260" i="72"/>
  <c r="EB260" i="72"/>
  <c r="DX260" i="72"/>
  <c r="AM520" i="72"/>
  <c r="H38" i="42"/>
  <c r="EM38" i="42"/>
  <c r="ED84" i="72"/>
  <c r="EE84" i="72" s="1"/>
  <c r="ED391" i="72"/>
  <c r="EE391" i="72" s="1"/>
  <c r="ED171" i="72"/>
  <c r="EE171" i="72" s="1"/>
  <c r="ED259" i="72"/>
  <c r="EE259" i="72" s="1"/>
  <c r="ED39" i="72"/>
  <c r="EE39" i="72" s="1"/>
  <c r="EN45" i="18" s="1"/>
  <c r="ED127" i="72"/>
  <c r="EE127" i="72" s="1"/>
  <c r="ED523" i="72"/>
  <c r="EE523" i="72" s="1"/>
  <c r="ED347" i="72"/>
  <c r="EE347" i="72" s="1"/>
  <c r="K436" i="72"/>
  <c r="V436" i="72" s="1"/>
  <c r="AG436" i="72" s="1"/>
  <c r="G436" i="72"/>
  <c r="R436" i="72" s="1"/>
  <c r="AC436" i="72" s="1"/>
  <c r="J436" i="72"/>
  <c r="U436" i="72" s="1"/>
  <c r="AF436" i="72" s="1"/>
  <c r="F436" i="72"/>
  <c r="Q436" i="72" s="1"/>
  <c r="AB436" i="72" s="1"/>
  <c r="I436" i="72"/>
  <c r="T436" i="72" s="1"/>
  <c r="AE436" i="72" s="1"/>
  <c r="E436" i="72"/>
  <c r="P436" i="72" s="1"/>
  <c r="H436" i="72"/>
  <c r="S436" i="72" s="1"/>
  <c r="AD436" i="72" s="1"/>
  <c r="D436" i="72"/>
  <c r="O436" i="72" s="1"/>
  <c r="Z436" i="72" s="1"/>
  <c r="K172" i="72"/>
  <c r="V172" i="72" s="1"/>
  <c r="AG172" i="72" s="1"/>
  <c r="G172" i="72"/>
  <c r="R172" i="72" s="1"/>
  <c r="AC172" i="72" s="1"/>
  <c r="J172" i="72"/>
  <c r="U172" i="72" s="1"/>
  <c r="AF172" i="72" s="1"/>
  <c r="F172" i="72"/>
  <c r="Q172" i="72" s="1"/>
  <c r="AB172" i="72" s="1"/>
  <c r="I172" i="72"/>
  <c r="T172" i="72" s="1"/>
  <c r="AE172" i="72" s="1"/>
  <c r="E172" i="72"/>
  <c r="P172" i="72" s="1"/>
  <c r="AA172" i="72" s="1"/>
  <c r="H172" i="72"/>
  <c r="S172" i="72" s="1"/>
  <c r="AD172" i="72" s="1"/>
  <c r="D172" i="72"/>
  <c r="O172" i="72" s="1"/>
  <c r="K304" i="72"/>
  <c r="V304" i="72" s="1"/>
  <c r="AG304" i="72" s="1"/>
  <c r="G304" i="72"/>
  <c r="R304" i="72" s="1"/>
  <c r="AC304" i="72" s="1"/>
  <c r="J304" i="72"/>
  <c r="U304" i="72" s="1"/>
  <c r="AF304" i="72" s="1"/>
  <c r="F304" i="72"/>
  <c r="Q304" i="72" s="1"/>
  <c r="AB304" i="72" s="1"/>
  <c r="I304" i="72"/>
  <c r="T304" i="72" s="1"/>
  <c r="AE304" i="72" s="1"/>
  <c r="E304" i="72"/>
  <c r="P304" i="72" s="1"/>
  <c r="H304" i="72"/>
  <c r="S304" i="72" s="1"/>
  <c r="AD304" i="72" s="1"/>
  <c r="D304" i="72"/>
  <c r="O304" i="72" s="1"/>
  <c r="Z304" i="72" s="1"/>
  <c r="K216" i="72"/>
  <c r="V216" i="72" s="1"/>
  <c r="AG216" i="72" s="1"/>
  <c r="G216" i="72"/>
  <c r="R216" i="72" s="1"/>
  <c r="AC216" i="72" s="1"/>
  <c r="J216" i="72"/>
  <c r="U216" i="72" s="1"/>
  <c r="AF216" i="72" s="1"/>
  <c r="F216" i="72"/>
  <c r="Q216" i="72" s="1"/>
  <c r="AB216" i="72" s="1"/>
  <c r="I216" i="72"/>
  <c r="T216" i="72" s="1"/>
  <c r="AE216" i="72" s="1"/>
  <c r="E216" i="72"/>
  <c r="P216" i="72" s="1"/>
  <c r="H216" i="72"/>
  <c r="S216" i="72" s="1"/>
  <c r="AD216" i="72" s="1"/>
  <c r="D216" i="72"/>
  <c r="O216" i="72" s="1"/>
  <c r="Z216" i="72" s="1"/>
  <c r="K85" i="72"/>
  <c r="V85" i="72" s="1"/>
  <c r="AG85" i="72" s="1"/>
  <c r="G85" i="72"/>
  <c r="R85" i="72" s="1"/>
  <c r="AC85" i="72" s="1"/>
  <c r="J85" i="72"/>
  <c r="U85" i="72" s="1"/>
  <c r="AF85" i="72" s="1"/>
  <c r="F85" i="72"/>
  <c r="Q85" i="72" s="1"/>
  <c r="AB85" i="72" s="1"/>
  <c r="I85" i="72"/>
  <c r="T85" i="72" s="1"/>
  <c r="AE85" i="72" s="1"/>
  <c r="E85" i="72"/>
  <c r="P85" i="72" s="1"/>
  <c r="H85" i="72"/>
  <c r="S85" i="72" s="1"/>
  <c r="AD85" i="72" s="1"/>
  <c r="D85" i="72"/>
  <c r="O85" i="72" s="1"/>
  <c r="Z85" i="72" s="1"/>
  <c r="K480" i="72"/>
  <c r="V480" i="72" s="1"/>
  <c r="AG480" i="72" s="1"/>
  <c r="G480" i="72"/>
  <c r="R480" i="72" s="1"/>
  <c r="AC480" i="72" s="1"/>
  <c r="J480" i="72"/>
  <c r="U480" i="72" s="1"/>
  <c r="AF480" i="72" s="1"/>
  <c r="F480" i="72"/>
  <c r="Q480" i="72" s="1"/>
  <c r="AB480" i="72" s="1"/>
  <c r="I480" i="72"/>
  <c r="T480" i="72" s="1"/>
  <c r="AE480" i="72" s="1"/>
  <c r="E480" i="72"/>
  <c r="P480" i="72" s="1"/>
  <c r="H480" i="72"/>
  <c r="S480" i="72" s="1"/>
  <c r="AD480" i="72" s="1"/>
  <c r="D480" i="72"/>
  <c r="O480" i="72" s="1"/>
  <c r="Z480" i="72" s="1"/>
  <c r="K260" i="72"/>
  <c r="V260" i="72" s="1"/>
  <c r="AG260" i="72" s="1"/>
  <c r="G260" i="72"/>
  <c r="R260" i="72" s="1"/>
  <c r="AC260" i="72" s="1"/>
  <c r="J260" i="72"/>
  <c r="U260" i="72" s="1"/>
  <c r="AF260" i="72" s="1"/>
  <c r="F260" i="72"/>
  <c r="Q260" i="72" s="1"/>
  <c r="AB260" i="72" s="1"/>
  <c r="I260" i="72"/>
  <c r="T260" i="72" s="1"/>
  <c r="AE260" i="72" s="1"/>
  <c r="E260" i="72"/>
  <c r="P260" i="72" s="1"/>
  <c r="H260" i="72"/>
  <c r="S260" i="72" s="1"/>
  <c r="AD260" i="72" s="1"/>
  <c r="D260" i="72"/>
  <c r="O260" i="72" s="1"/>
  <c r="Z260" i="72" s="1"/>
  <c r="K128" i="72"/>
  <c r="V128" i="72" s="1"/>
  <c r="AG128" i="72" s="1"/>
  <c r="G128" i="72"/>
  <c r="R128" i="72" s="1"/>
  <c r="AC128" i="72" s="1"/>
  <c r="J128" i="72"/>
  <c r="U128" i="72" s="1"/>
  <c r="AF128" i="72" s="1"/>
  <c r="F128" i="72"/>
  <c r="Q128" i="72" s="1"/>
  <c r="AB128" i="72" s="1"/>
  <c r="I128" i="72"/>
  <c r="T128" i="72" s="1"/>
  <c r="AE128" i="72" s="1"/>
  <c r="E128" i="72"/>
  <c r="P128" i="72" s="1"/>
  <c r="H128" i="72"/>
  <c r="S128" i="72" s="1"/>
  <c r="AD128" i="72" s="1"/>
  <c r="D128" i="72"/>
  <c r="O128" i="72" s="1"/>
  <c r="Z128" i="72" s="1"/>
  <c r="K40" i="72"/>
  <c r="V40" i="72" s="1"/>
  <c r="AG40" i="72" s="1"/>
  <c r="G40" i="72"/>
  <c r="R40" i="72" s="1"/>
  <c r="AC40" i="72" s="1"/>
  <c r="J40" i="72"/>
  <c r="U40" i="72" s="1"/>
  <c r="AF40" i="72" s="1"/>
  <c r="F40" i="72"/>
  <c r="Q40" i="72" s="1"/>
  <c r="AB40" i="72" s="1"/>
  <c r="I40" i="72"/>
  <c r="T40" i="72" s="1"/>
  <c r="AE40" i="72" s="1"/>
  <c r="E40" i="72"/>
  <c r="P40" i="72" s="1"/>
  <c r="H40" i="72"/>
  <c r="S40" i="72" s="1"/>
  <c r="AD40" i="72" s="1"/>
  <c r="D40" i="72"/>
  <c r="O40" i="72" s="1"/>
  <c r="Z40" i="72" s="1"/>
  <c r="K392" i="72"/>
  <c r="V392" i="72" s="1"/>
  <c r="AG392" i="72" s="1"/>
  <c r="G392" i="72"/>
  <c r="R392" i="72" s="1"/>
  <c r="AC392" i="72" s="1"/>
  <c r="J392" i="72"/>
  <c r="U392" i="72" s="1"/>
  <c r="AF392" i="72" s="1"/>
  <c r="F392" i="72"/>
  <c r="Q392" i="72" s="1"/>
  <c r="AB392" i="72" s="1"/>
  <c r="I392" i="72"/>
  <c r="T392" i="72" s="1"/>
  <c r="AE392" i="72" s="1"/>
  <c r="E392" i="72"/>
  <c r="P392" i="72" s="1"/>
  <c r="H392" i="72"/>
  <c r="S392" i="72" s="1"/>
  <c r="AD392" i="72" s="1"/>
  <c r="D392" i="72"/>
  <c r="O392" i="72" s="1"/>
  <c r="Z392" i="72" s="1"/>
  <c r="K524" i="72"/>
  <c r="V524" i="72" s="1"/>
  <c r="AG524" i="72" s="1"/>
  <c r="G524" i="72"/>
  <c r="R524" i="72" s="1"/>
  <c r="AC524" i="72" s="1"/>
  <c r="J524" i="72"/>
  <c r="U524" i="72" s="1"/>
  <c r="AF524" i="72" s="1"/>
  <c r="F524" i="72"/>
  <c r="Q524" i="72" s="1"/>
  <c r="AB524" i="72" s="1"/>
  <c r="I524" i="72"/>
  <c r="T524" i="72" s="1"/>
  <c r="AE524" i="72" s="1"/>
  <c r="E524" i="72"/>
  <c r="P524" i="72" s="1"/>
  <c r="AA524" i="72" s="1"/>
  <c r="H524" i="72"/>
  <c r="S524" i="72" s="1"/>
  <c r="AD524" i="72" s="1"/>
  <c r="D524" i="72"/>
  <c r="O524" i="72" s="1"/>
  <c r="K348" i="72"/>
  <c r="V348" i="72" s="1"/>
  <c r="AG348" i="72" s="1"/>
  <c r="G348" i="72"/>
  <c r="R348" i="72" s="1"/>
  <c r="AC348" i="72" s="1"/>
  <c r="J348" i="72"/>
  <c r="U348" i="72" s="1"/>
  <c r="AF348" i="72" s="1"/>
  <c r="F348" i="72"/>
  <c r="Q348" i="72" s="1"/>
  <c r="AB348" i="72" s="1"/>
  <c r="I348" i="72"/>
  <c r="T348" i="72" s="1"/>
  <c r="AE348" i="72" s="1"/>
  <c r="E348" i="72"/>
  <c r="P348" i="72" s="1"/>
  <c r="AA348" i="72" s="1"/>
  <c r="H348" i="72"/>
  <c r="S348" i="72" s="1"/>
  <c r="AD348" i="72" s="1"/>
  <c r="D348" i="72"/>
  <c r="O348" i="72" s="1"/>
  <c r="AQ390" i="72"/>
  <c r="ER41" i="6"/>
  <c r="EU41" i="6"/>
  <c r="ER43" i="5"/>
  <c r="EU43" i="5"/>
  <c r="BF301" i="72"/>
  <c r="BC301" i="72"/>
  <c r="BD301" i="72" s="1"/>
  <c r="I40" i="39"/>
  <c r="K32" i="44"/>
  <c r="L32" i="44" s="1"/>
  <c r="E32" i="44" s="1"/>
  <c r="D71" i="44" s="1"/>
  <c r="E71" i="44" s="1"/>
  <c r="BA37" i="43"/>
  <c r="BG83" i="72"/>
  <c r="BB83" i="72"/>
  <c r="BG302" i="72"/>
  <c r="BB302" i="72"/>
  <c r="K34" i="42"/>
  <c r="L34" i="42" s="1"/>
  <c r="E34" i="42" s="1"/>
  <c r="D73" i="42" s="1"/>
  <c r="E73" i="42" s="1"/>
  <c r="ER36" i="12"/>
  <c r="A349" i="72"/>
  <c r="A40" i="41"/>
  <c r="FB42" i="11"/>
  <c r="BH42" i="11" s="1"/>
  <c r="BN41" i="14"/>
  <c r="BJ40" i="14"/>
  <c r="I45" i="35"/>
  <c r="BF213" i="72"/>
  <c r="BC213" i="72"/>
  <c r="BD213" i="72" s="1"/>
  <c r="BF477" i="72"/>
  <c r="BC477" i="72"/>
  <c r="BD477" i="72" s="1"/>
  <c r="A47" i="18"/>
  <c r="A41" i="72"/>
  <c r="FB49" i="4"/>
  <c r="BH49" i="4" s="1"/>
  <c r="BF125" i="72"/>
  <c r="BC125" i="72"/>
  <c r="BD125" i="72" s="1"/>
  <c r="AM125" i="72" s="1"/>
  <c r="AP125" i="72" s="1"/>
  <c r="A42" i="39"/>
  <c r="A261" i="72"/>
  <c r="FB44" i="9"/>
  <c r="BH44" i="9" s="1"/>
  <c r="L435" i="72"/>
  <c r="M435" i="72" s="1"/>
  <c r="BG390" i="72"/>
  <c r="BB390" i="72"/>
  <c r="A129" i="72"/>
  <c r="A45" i="36"/>
  <c r="FB47" i="6"/>
  <c r="BH47" i="6" s="1"/>
  <c r="L347" i="72"/>
  <c r="M347" i="72" s="1"/>
  <c r="AQ434" i="72"/>
  <c r="BN43" i="12"/>
  <c r="BJ42" i="12"/>
  <c r="BA46" i="35"/>
  <c r="BJ44" i="10"/>
  <c r="BN45" i="10"/>
  <c r="K35" i="41"/>
  <c r="L35" i="41" s="1"/>
  <c r="E35" i="41" s="1"/>
  <c r="D74" i="41" s="1"/>
  <c r="E74" i="41" s="1"/>
  <c r="BA35" i="45"/>
  <c r="BG346" i="72"/>
  <c r="BB346" i="72"/>
  <c r="BN42" i="13"/>
  <c r="BJ41" i="13"/>
  <c r="BF82" i="72"/>
  <c r="BC82" i="72"/>
  <c r="BD82" i="72" s="1"/>
  <c r="AM82" i="72" s="1"/>
  <c r="AP82" i="72" s="1"/>
  <c r="K42" i="35"/>
  <c r="L42" i="35" s="1"/>
  <c r="E42" i="35" s="1"/>
  <c r="D81" i="35" s="1"/>
  <c r="BA39" i="41"/>
  <c r="BJ46" i="8"/>
  <c r="BN47" i="8"/>
  <c r="BC521" i="72"/>
  <c r="BD521" i="72" s="1"/>
  <c r="BF521" i="72"/>
  <c r="L84" i="72"/>
  <c r="M84" i="72" s="1"/>
  <c r="BG214" i="72"/>
  <c r="BB214" i="72"/>
  <c r="K38" i="38"/>
  <c r="L38" i="38" s="1"/>
  <c r="E38" i="38" s="1"/>
  <c r="D77" i="38" s="1"/>
  <c r="I36" i="43"/>
  <c r="K31" i="45"/>
  <c r="L31" i="45" s="1"/>
  <c r="E31" i="45" s="1"/>
  <c r="D70" i="45" s="1"/>
  <c r="E70" i="45" s="1"/>
  <c r="BG170" i="72"/>
  <c r="BB170" i="72"/>
  <c r="BA44" i="36"/>
  <c r="K40" i="36"/>
  <c r="L40" i="36" s="1"/>
  <c r="E40" i="36" s="1"/>
  <c r="D79" i="36" s="1"/>
  <c r="FB49" i="5"/>
  <c r="BH49" i="5" s="1"/>
  <c r="A47" i="35"/>
  <c r="A86" i="72"/>
  <c r="BA40" i="40"/>
  <c r="BN48" i="7"/>
  <c r="BJ47" i="7"/>
  <c r="BN40" i="15"/>
  <c r="BJ39" i="15"/>
  <c r="L259" i="72"/>
  <c r="M259" i="72" s="1"/>
  <c r="AY83" i="72"/>
  <c r="AY302" i="72"/>
  <c r="L127" i="72"/>
  <c r="M127" i="72" s="1"/>
  <c r="BN44" i="11"/>
  <c r="BJ43" i="11"/>
  <c r="J42" i="38"/>
  <c r="BA42" i="38"/>
  <c r="A37" i="44"/>
  <c r="A481" i="72"/>
  <c r="FB39" i="14"/>
  <c r="BH39" i="14" s="1"/>
  <c r="BF345" i="72"/>
  <c r="BC345" i="72"/>
  <c r="BD345" i="72" s="1"/>
  <c r="L171" i="72"/>
  <c r="M171" i="72" s="1"/>
  <c r="I34" i="45"/>
  <c r="BF257" i="72"/>
  <c r="BC257" i="72"/>
  <c r="BD257" i="72" s="1"/>
  <c r="FB50" i="4"/>
  <c r="BH50" i="4" s="1"/>
  <c r="A42" i="72"/>
  <c r="A48" i="18"/>
  <c r="BJ45" i="9"/>
  <c r="BN46" i="9"/>
  <c r="AY390" i="72"/>
  <c r="BN49" i="6"/>
  <c r="BJ48" i="6"/>
  <c r="K39" i="37"/>
  <c r="L39" i="37" s="1"/>
  <c r="E39" i="37" s="1"/>
  <c r="D78" i="37" s="1"/>
  <c r="AY434" i="72"/>
  <c r="BB434" i="72"/>
  <c r="BG434" i="72"/>
  <c r="FB41" i="12"/>
  <c r="BH41" i="12" s="1"/>
  <c r="A39" i="42"/>
  <c r="A393" i="72"/>
  <c r="A41" i="40"/>
  <c r="A305" i="72"/>
  <c r="FB43" i="10"/>
  <c r="BH43" i="10" s="1"/>
  <c r="BA43" i="37"/>
  <c r="K33" i="43"/>
  <c r="L33" i="43" s="1"/>
  <c r="E33" i="43" s="1"/>
  <c r="D72" i="43" s="1"/>
  <c r="E72" i="43" s="1"/>
  <c r="AQ346" i="72"/>
  <c r="AY346" i="72"/>
  <c r="I45" i="18"/>
  <c r="BG478" i="72"/>
  <c r="BB478" i="72"/>
  <c r="AY478" i="72"/>
  <c r="A38" i="43"/>
  <c r="A437" i="72"/>
  <c r="FB40" i="13"/>
  <c r="BH40" i="13" s="1"/>
  <c r="I43" i="36"/>
  <c r="BF433" i="72"/>
  <c r="BC433" i="72"/>
  <c r="BD433" i="72" s="1"/>
  <c r="BF389" i="72"/>
  <c r="BC389" i="72"/>
  <c r="BD389" i="72" s="1"/>
  <c r="A43" i="38"/>
  <c r="A217" i="72"/>
  <c r="FB45" i="8"/>
  <c r="BH45" i="8" s="1"/>
  <c r="BA36" i="44"/>
  <c r="K36" i="40"/>
  <c r="L36" i="40" s="1"/>
  <c r="E36" i="40" s="1"/>
  <c r="D75" i="40" s="1"/>
  <c r="E75" i="40" s="1"/>
  <c r="BG258" i="72"/>
  <c r="BB258" i="72"/>
  <c r="AY258" i="72"/>
  <c r="I37" i="42"/>
  <c r="L391" i="72"/>
  <c r="M391" i="72" s="1"/>
  <c r="I39" i="40"/>
  <c r="L303" i="72"/>
  <c r="M303" i="72" s="1"/>
  <c r="I42" i="37"/>
  <c r="BG126" i="72"/>
  <c r="BB126" i="72"/>
  <c r="AY126" i="72"/>
  <c r="L523" i="72"/>
  <c r="M523" i="72" s="1"/>
  <c r="AY214" i="72"/>
  <c r="BA46" i="18"/>
  <c r="BA41" i="39"/>
  <c r="AY170" i="72"/>
  <c r="AY522" i="72"/>
  <c r="BG522" i="72"/>
  <c r="BB522" i="72"/>
  <c r="I38" i="41"/>
  <c r="L215" i="72"/>
  <c r="M215" i="72" s="1"/>
  <c r="I41" i="38"/>
  <c r="BF169" i="72"/>
  <c r="BC169" i="72"/>
  <c r="BD169" i="72" s="1"/>
  <c r="L479" i="72"/>
  <c r="M479" i="72" s="1"/>
  <c r="I35" i="44"/>
  <c r="BA38" i="42"/>
  <c r="A87" i="72"/>
  <c r="A48" i="35"/>
  <c r="FB50" i="5"/>
  <c r="BH50" i="5" s="1"/>
  <c r="K37" i="39"/>
  <c r="L37" i="39" s="1"/>
  <c r="E37" i="39" s="1"/>
  <c r="D76" i="39" s="1"/>
  <c r="E76" i="39" s="1"/>
  <c r="FB46" i="7"/>
  <c r="BH46" i="7" s="1"/>
  <c r="A173" i="72"/>
  <c r="A44" i="37"/>
  <c r="FB38" i="15"/>
  <c r="BH38" i="15" s="1"/>
  <c r="GC38" i="15" s="1"/>
  <c r="FX362" i="34" s="1"/>
  <c r="A36" i="45"/>
  <c r="A525" i="72"/>
  <c r="ER39" i="9" l="1"/>
  <c r="ER37" i="11"/>
  <c r="ER35" i="13"/>
  <c r="J46" i="35"/>
  <c r="J37" i="43"/>
  <c r="J38" i="42"/>
  <c r="BC43" i="9"/>
  <c r="J44" i="36"/>
  <c r="G72" i="43"/>
  <c r="F72" i="43"/>
  <c r="F71" i="44"/>
  <c r="G71" i="44"/>
  <c r="G75" i="40"/>
  <c r="F75" i="40"/>
  <c r="G70" i="45"/>
  <c r="F70" i="45"/>
  <c r="G74" i="41"/>
  <c r="F74" i="41"/>
  <c r="G73" i="42"/>
  <c r="F73" i="42"/>
  <c r="G76" i="39"/>
  <c r="F76" i="39"/>
  <c r="J35" i="45"/>
  <c r="ER34" i="14"/>
  <c r="ER41" i="7"/>
  <c r="J46" i="18"/>
  <c r="J43" i="37"/>
  <c r="J41" i="39"/>
  <c r="J36" i="44"/>
  <c r="J40" i="40"/>
  <c r="GC46" i="7"/>
  <c r="FX122" i="34" s="1"/>
  <c r="GC49" i="5"/>
  <c r="FX63" i="34" s="1"/>
  <c r="GC47" i="6"/>
  <c r="FX92" i="34" s="1"/>
  <c r="GC45" i="8"/>
  <c r="FX152" i="34" s="1"/>
  <c r="GC40" i="13"/>
  <c r="FX302" i="34" s="1"/>
  <c r="GC50" i="4"/>
  <c r="FX33" i="34" s="1"/>
  <c r="GC42" i="11"/>
  <c r="FX242" i="34" s="1"/>
  <c r="GC43" i="10"/>
  <c r="FX212" i="34" s="1"/>
  <c r="GC44" i="9"/>
  <c r="FX182" i="34" s="1"/>
  <c r="EM51" i="72"/>
  <c r="BI13" i="5"/>
  <c r="GC50" i="5"/>
  <c r="FX64" i="34" s="1"/>
  <c r="GC49" i="4"/>
  <c r="FX32" i="34" s="1"/>
  <c r="GC41" i="12"/>
  <c r="FX272" i="34" s="1"/>
  <c r="GC39" i="14"/>
  <c r="FX332" i="34" s="1"/>
  <c r="BI10" i="4"/>
  <c r="BI11" i="4"/>
  <c r="BI12" i="4"/>
  <c r="AI39" i="72"/>
  <c r="AI259" i="72"/>
  <c r="AQ259" i="72" s="1"/>
  <c r="AI215" i="72"/>
  <c r="AI391" i="72"/>
  <c r="AI84" i="72"/>
  <c r="AQ84" i="72" s="1"/>
  <c r="AI347" i="72"/>
  <c r="AQ347" i="72" s="1"/>
  <c r="AI127" i="72"/>
  <c r="AI479" i="72"/>
  <c r="AQ479" i="72" s="1"/>
  <c r="AI303" i="72"/>
  <c r="AQ303" i="72" s="1"/>
  <c r="W524" i="72"/>
  <c r="X524" i="72" s="1"/>
  <c r="Z524" i="72"/>
  <c r="W40" i="72"/>
  <c r="X40" i="72" s="1"/>
  <c r="AA40" i="72"/>
  <c r="AA260" i="72"/>
  <c r="W260" i="72"/>
  <c r="X260" i="72" s="1"/>
  <c r="W216" i="72"/>
  <c r="X216" i="72" s="1"/>
  <c r="AA216" i="72"/>
  <c r="AA436" i="72"/>
  <c r="W436" i="72"/>
  <c r="X436" i="72" s="1"/>
  <c r="AI435" i="72"/>
  <c r="AI523" i="72"/>
  <c r="AQ523" i="72" s="1"/>
  <c r="W348" i="72"/>
  <c r="X348" i="72" s="1"/>
  <c r="Z348" i="72"/>
  <c r="AI171" i="72"/>
  <c r="W172" i="72"/>
  <c r="X172" i="72" s="1"/>
  <c r="Z172" i="72"/>
  <c r="W392" i="72"/>
  <c r="X392" i="72" s="1"/>
  <c r="AA392" i="72"/>
  <c r="W128" i="72"/>
  <c r="X128" i="72" s="1"/>
  <c r="AA128" i="72"/>
  <c r="W480" i="72"/>
  <c r="X480" i="72" s="1"/>
  <c r="AA480" i="72"/>
  <c r="W85" i="72"/>
  <c r="X85" i="72" s="1"/>
  <c r="AA85" i="72"/>
  <c r="W304" i="72"/>
  <c r="X304" i="72" s="1"/>
  <c r="AA304" i="72"/>
  <c r="FS49" i="4"/>
  <c r="BE49" i="4"/>
  <c r="BC49" i="4" s="1"/>
  <c r="FS50" i="4"/>
  <c r="BE50" i="4"/>
  <c r="BC50" i="4" s="1"/>
  <c r="ER33" i="15"/>
  <c r="AP520" i="72"/>
  <c r="EU33" i="15" s="1"/>
  <c r="ER40" i="8"/>
  <c r="AP212" i="72"/>
  <c r="EU40" i="8" s="1"/>
  <c r="ER38" i="10"/>
  <c r="AP300" i="72"/>
  <c r="EU38" i="10" s="1"/>
  <c r="FS50" i="5"/>
  <c r="BE50" i="5"/>
  <c r="BC50" i="5" s="1"/>
  <c r="FS49" i="5"/>
  <c r="BE49" i="5"/>
  <c r="BC49" i="5" s="1"/>
  <c r="FS41" i="12"/>
  <c r="BE41" i="12"/>
  <c r="BC41" i="12" s="1"/>
  <c r="FS39" i="14"/>
  <c r="BE39" i="14"/>
  <c r="BC39" i="14" s="1"/>
  <c r="J39" i="41"/>
  <c r="FS45" i="8"/>
  <c r="BE45" i="8"/>
  <c r="BC45" i="8" s="1"/>
  <c r="FS40" i="13"/>
  <c r="BE40" i="13"/>
  <c r="BC40" i="13" s="1"/>
  <c r="FS47" i="6"/>
  <c r="BE47" i="6"/>
  <c r="BC47" i="6" s="1"/>
  <c r="FS38" i="15"/>
  <c r="BE38" i="15"/>
  <c r="BC38" i="15" s="1"/>
  <c r="FS44" i="9"/>
  <c r="BE44" i="9"/>
  <c r="BC44" i="9" s="1"/>
  <c r="FS46" i="7"/>
  <c r="BE46" i="7"/>
  <c r="BC46" i="7" s="1"/>
  <c r="FS43" i="10"/>
  <c r="BE43" i="10"/>
  <c r="BC43" i="10" s="1"/>
  <c r="FS42" i="11"/>
  <c r="BE42" i="11"/>
  <c r="BC42" i="11" s="1"/>
  <c r="EV35" i="15"/>
  <c r="AA35" i="15" s="1"/>
  <c r="EV44" i="6"/>
  <c r="AA44" i="6" s="1"/>
  <c r="EV40" i="10"/>
  <c r="AA40" i="10" s="1"/>
  <c r="EV46" i="5"/>
  <c r="AA46" i="5" s="1"/>
  <c r="EV41" i="9"/>
  <c r="AA41" i="9" s="1"/>
  <c r="EV36" i="14"/>
  <c r="AA36" i="14" s="1"/>
  <c r="EV37" i="13"/>
  <c r="AA37" i="13" s="1"/>
  <c r="EV43" i="7"/>
  <c r="AA43" i="7" s="1"/>
  <c r="EV42" i="8"/>
  <c r="AA42" i="8" s="1"/>
  <c r="EV39" i="11"/>
  <c r="AA39" i="11" s="1"/>
  <c r="EV38" i="12"/>
  <c r="AA38" i="12" s="1"/>
  <c r="H44" i="37"/>
  <c r="EM44" i="37"/>
  <c r="AM433" i="72"/>
  <c r="AP433" i="72" s="1"/>
  <c r="EU36" i="13" s="1"/>
  <c r="H47" i="35"/>
  <c r="EM47" i="35"/>
  <c r="EB41" i="72"/>
  <c r="DX41" i="72"/>
  <c r="EH41" i="72"/>
  <c r="EI41" i="72" s="1"/>
  <c r="EA41" i="72"/>
  <c r="DW41" i="72"/>
  <c r="DZ41" i="72"/>
  <c r="DV41" i="72"/>
  <c r="EC41" i="72"/>
  <c r="DY41" i="72"/>
  <c r="DU41" i="72"/>
  <c r="AM213" i="72"/>
  <c r="EC525" i="72"/>
  <c r="DY525" i="72"/>
  <c r="DU525" i="72"/>
  <c r="EB525" i="72"/>
  <c r="DX525" i="72"/>
  <c r="EH525" i="72"/>
  <c r="EI525" i="72" s="1"/>
  <c r="EA525" i="72"/>
  <c r="DW525" i="72"/>
  <c r="DZ525" i="72"/>
  <c r="DV525" i="72"/>
  <c r="EB173" i="72"/>
  <c r="DX173" i="72"/>
  <c r="EH173" i="72"/>
  <c r="EI173" i="72" s="1"/>
  <c r="EA173" i="72"/>
  <c r="DW173" i="72"/>
  <c r="DZ173" i="72"/>
  <c r="DV173" i="72"/>
  <c r="EC173" i="72"/>
  <c r="DY173" i="72"/>
  <c r="DU173" i="72"/>
  <c r="H48" i="35"/>
  <c r="EM48" i="35"/>
  <c r="CD523" i="72"/>
  <c r="H43" i="38"/>
  <c r="EM43" i="38"/>
  <c r="EC437" i="72"/>
  <c r="EB437" i="72"/>
  <c r="EH437" i="72"/>
  <c r="EI437" i="72" s="1"/>
  <c r="EA437" i="72"/>
  <c r="DZ437" i="72"/>
  <c r="DV437" i="72"/>
  <c r="DY437" i="72"/>
  <c r="DU437" i="72"/>
  <c r="DX437" i="72"/>
  <c r="DW437" i="72"/>
  <c r="DZ305" i="72"/>
  <c r="DV305" i="72"/>
  <c r="EC305" i="72"/>
  <c r="DY305" i="72"/>
  <c r="DU305" i="72"/>
  <c r="EB305" i="72"/>
  <c r="DX305" i="72"/>
  <c r="EH305" i="72"/>
  <c r="EI305" i="72" s="1"/>
  <c r="EA305" i="72"/>
  <c r="DW305" i="72"/>
  <c r="CD259" i="72"/>
  <c r="H36" i="45"/>
  <c r="EM36" i="45"/>
  <c r="DZ87" i="72"/>
  <c r="DV87" i="72"/>
  <c r="EH87" i="72"/>
  <c r="EI87" i="72" s="1"/>
  <c r="EA87" i="72"/>
  <c r="DW87" i="72"/>
  <c r="DY87" i="72"/>
  <c r="DX87" i="72"/>
  <c r="EC87" i="72"/>
  <c r="DU87" i="72"/>
  <c r="EB87" i="72"/>
  <c r="CD479" i="72"/>
  <c r="CD391" i="72"/>
  <c r="AM389" i="72"/>
  <c r="AP389" i="72" s="1"/>
  <c r="EU37" i="12" s="1"/>
  <c r="H38" i="43"/>
  <c r="EM38" i="43"/>
  <c r="H41" i="40"/>
  <c r="EM41" i="40"/>
  <c r="EC393" i="72"/>
  <c r="DY393" i="72"/>
  <c r="DU393" i="72"/>
  <c r="EB393" i="72"/>
  <c r="DX393" i="72"/>
  <c r="EH393" i="72"/>
  <c r="EI393" i="72" s="1"/>
  <c r="EA393" i="72"/>
  <c r="DW393" i="72"/>
  <c r="DZ393" i="72"/>
  <c r="DV393" i="72"/>
  <c r="AM257" i="72"/>
  <c r="AP257" i="72" s="1"/>
  <c r="EU40" i="9" s="1"/>
  <c r="CD171" i="72"/>
  <c r="EH481" i="72"/>
  <c r="EI481" i="72" s="1"/>
  <c r="EA481" i="72"/>
  <c r="DW481" i="72"/>
  <c r="DZ481" i="72"/>
  <c r="DV481" i="72"/>
  <c r="EC481" i="72"/>
  <c r="DY481" i="72"/>
  <c r="DU481" i="72"/>
  <c r="EB481" i="72"/>
  <c r="DX481" i="72"/>
  <c r="CD127" i="72"/>
  <c r="CD84" i="72"/>
  <c r="DZ129" i="72"/>
  <c r="DV129" i="72"/>
  <c r="EC129" i="72"/>
  <c r="DY129" i="72"/>
  <c r="DU129" i="72"/>
  <c r="EB129" i="72"/>
  <c r="DX129" i="72"/>
  <c r="EH129" i="72"/>
  <c r="EI129" i="72" s="1"/>
  <c r="EA129" i="72"/>
  <c r="DW129" i="72"/>
  <c r="AM477" i="72"/>
  <c r="EB349" i="72"/>
  <c r="DX349" i="72"/>
  <c r="EH349" i="72"/>
  <c r="EI349" i="72" s="1"/>
  <c r="EA349" i="72"/>
  <c r="DW349" i="72"/>
  <c r="DZ349" i="72"/>
  <c r="DV349" i="72"/>
  <c r="EC349" i="72"/>
  <c r="DY349" i="72"/>
  <c r="DU349" i="72"/>
  <c r="AM301" i="72"/>
  <c r="ED348" i="72"/>
  <c r="EE348" i="72" s="1"/>
  <c r="ED172" i="72"/>
  <c r="EE172" i="72" s="1"/>
  <c r="ED216" i="72"/>
  <c r="EE216" i="72" s="1"/>
  <c r="ED128" i="72"/>
  <c r="EE128" i="72" s="1"/>
  <c r="DZ217" i="72"/>
  <c r="DV217" i="72"/>
  <c r="EC217" i="72"/>
  <c r="DY217" i="72"/>
  <c r="DU217" i="72"/>
  <c r="EB217" i="72"/>
  <c r="DX217" i="72"/>
  <c r="EH217" i="72"/>
  <c r="EI217" i="72" s="1"/>
  <c r="EA217" i="72"/>
  <c r="DW217" i="72"/>
  <c r="EH42" i="72"/>
  <c r="EI42" i="72" s="1"/>
  <c r="EA42" i="72"/>
  <c r="DW42" i="72"/>
  <c r="DZ42" i="72"/>
  <c r="DV42" i="72"/>
  <c r="EC42" i="72"/>
  <c r="DY42" i="72"/>
  <c r="DU42" i="72"/>
  <c r="EN44" i="35" s="1"/>
  <c r="EB42" i="72"/>
  <c r="DX42" i="72"/>
  <c r="H42" i="39"/>
  <c r="EM42" i="39"/>
  <c r="AM169" i="72"/>
  <c r="CD215" i="72"/>
  <c r="CD303" i="72"/>
  <c r="H39" i="42"/>
  <c r="EM39" i="42"/>
  <c r="H48" i="18"/>
  <c r="EM48" i="18"/>
  <c r="AM345" i="72"/>
  <c r="AP345" i="72" s="1"/>
  <c r="EU38" i="11" s="1"/>
  <c r="H37" i="44"/>
  <c r="EM37" i="44"/>
  <c r="EC86" i="72"/>
  <c r="DY86" i="72"/>
  <c r="DU86" i="72"/>
  <c r="DZ86" i="72"/>
  <c r="DV86" i="72"/>
  <c r="EB86" i="72"/>
  <c r="EA86" i="72"/>
  <c r="DX86" i="72"/>
  <c r="EH86" i="72"/>
  <c r="EI86" i="72" s="1"/>
  <c r="DW86" i="72"/>
  <c r="CD347" i="72"/>
  <c r="EB261" i="72"/>
  <c r="DX261" i="72"/>
  <c r="EH261" i="72"/>
  <c r="EI261" i="72" s="1"/>
  <c r="EA261" i="72"/>
  <c r="DW261" i="72"/>
  <c r="DZ261" i="72"/>
  <c r="DV261" i="72"/>
  <c r="EC261" i="72"/>
  <c r="DY261" i="72"/>
  <c r="DU261" i="72"/>
  <c r="ED85" i="72"/>
  <c r="EE85" i="72" s="1"/>
  <c r="EN46" i="35" s="1"/>
  <c r="ED480" i="72"/>
  <c r="EE480" i="72" s="1"/>
  <c r="ED436" i="72"/>
  <c r="EE436" i="72" s="1"/>
  <c r="AM521" i="72"/>
  <c r="AP521" i="72" s="1"/>
  <c r="EU34" i="15" s="1"/>
  <c r="H45" i="36"/>
  <c r="EM45" i="36"/>
  <c r="CD435" i="72"/>
  <c r="H47" i="18"/>
  <c r="EM47" i="18"/>
  <c r="H40" i="41"/>
  <c r="EM40" i="41"/>
  <c r="ED260" i="72"/>
  <c r="EE260" i="72" s="1"/>
  <c r="ED304" i="72"/>
  <c r="EE304" i="72" s="1"/>
  <c r="ED40" i="72"/>
  <c r="EE40" i="72" s="1"/>
  <c r="EN46" i="18" s="1"/>
  <c r="ED392" i="72"/>
  <c r="EE392" i="72" s="1"/>
  <c r="ED524" i="72"/>
  <c r="EE524" i="72" s="1"/>
  <c r="AQ215" i="72"/>
  <c r="K129" i="72"/>
  <c r="V129" i="72" s="1"/>
  <c r="AG129" i="72" s="1"/>
  <c r="G129" i="72"/>
  <c r="R129" i="72" s="1"/>
  <c r="AC129" i="72" s="1"/>
  <c r="J129" i="72"/>
  <c r="U129" i="72" s="1"/>
  <c r="AF129" i="72" s="1"/>
  <c r="F129" i="72"/>
  <c r="Q129" i="72" s="1"/>
  <c r="AB129" i="72" s="1"/>
  <c r="I129" i="72"/>
  <c r="T129" i="72" s="1"/>
  <c r="AE129" i="72" s="1"/>
  <c r="E129" i="72"/>
  <c r="P129" i="72" s="1"/>
  <c r="H129" i="72"/>
  <c r="S129" i="72" s="1"/>
  <c r="AD129" i="72" s="1"/>
  <c r="D129" i="72"/>
  <c r="O129" i="72" s="1"/>
  <c r="Z129" i="72" s="1"/>
  <c r="K349" i="72"/>
  <c r="V349" i="72" s="1"/>
  <c r="AG349" i="72" s="1"/>
  <c r="G349" i="72"/>
  <c r="R349" i="72" s="1"/>
  <c r="AC349" i="72" s="1"/>
  <c r="J349" i="72"/>
  <c r="U349" i="72" s="1"/>
  <c r="AF349" i="72" s="1"/>
  <c r="F349" i="72"/>
  <c r="Q349" i="72" s="1"/>
  <c r="AB349" i="72" s="1"/>
  <c r="I349" i="72"/>
  <c r="T349" i="72" s="1"/>
  <c r="AE349" i="72" s="1"/>
  <c r="E349" i="72"/>
  <c r="P349" i="72" s="1"/>
  <c r="H349" i="72"/>
  <c r="S349" i="72" s="1"/>
  <c r="AD349" i="72" s="1"/>
  <c r="D349" i="72"/>
  <c r="O349" i="72" s="1"/>
  <c r="Z349" i="72" s="1"/>
  <c r="K261" i="72"/>
  <c r="V261" i="72" s="1"/>
  <c r="AG261" i="72" s="1"/>
  <c r="G261" i="72"/>
  <c r="R261" i="72" s="1"/>
  <c r="AC261" i="72" s="1"/>
  <c r="J261" i="72"/>
  <c r="U261" i="72" s="1"/>
  <c r="AF261" i="72" s="1"/>
  <c r="F261" i="72"/>
  <c r="Q261" i="72" s="1"/>
  <c r="AB261" i="72" s="1"/>
  <c r="I261" i="72"/>
  <c r="T261" i="72" s="1"/>
  <c r="AE261" i="72" s="1"/>
  <c r="E261" i="72"/>
  <c r="P261" i="72" s="1"/>
  <c r="H261" i="72"/>
  <c r="S261" i="72" s="1"/>
  <c r="AD261" i="72" s="1"/>
  <c r="D261" i="72"/>
  <c r="O261" i="72" s="1"/>
  <c r="Z261" i="72" s="1"/>
  <c r="K525" i="72"/>
  <c r="V525" i="72" s="1"/>
  <c r="AG525" i="72" s="1"/>
  <c r="G525" i="72"/>
  <c r="R525" i="72" s="1"/>
  <c r="AC525" i="72" s="1"/>
  <c r="J525" i="72"/>
  <c r="U525" i="72" s="1"/>
  <c r="AF525" i="72" s="1"/>
  <c r="F525" i="72"/>
  <c r="Q525" i="72" s="1"/>
  <c r="AB525" i="72" s="1"/>
  <c r="I525" i="72"/>
  <c r="T525" i="72" s="1"/>
  <c r="AE525" i="72" s="1"/>
  <c r="E525" i="72"/>
  <c r="P525" i="72" s="1"/>
  <c r="H525" i="72"/>
  <c r="S525" i="72" s="1"/>
  <c r="AD525" i="72" s="1"/>
  <c r="D525" i="72"/>
  <c r="O525" i="72" s="1"/>
  <c r="Z525" i="72" s="1"/>
  <c r="K173" i="72"/>
  <c r="V173" i="72" s="1"/>
  <c r="AG173" i="72" s="1"/>
  <c r="G173" i="72"/>
  <c r="R173" i="72" s="1"/>
  <c r="AC173" i="72" s="1"/>
  <c r="J173" i="72"/>
  <c r="U173" i="72" s="1"/>
  <c r="AF173" i="72" s="1"/>
  <c r="F173" i="72"/>
  <c r="Q173" i="72" s="1"/>
  <c r="AB173" i="72" s="1"/>
  <c r="I173" i="72"/>
  <c r="T173" i="72" s="1"/>
  <c r="AE173" i="72" s="1"/>
  <c r="E173" i="72"/>
  <c r="P173" i="72" s="1"/>
  <c r="H173" i="72"/>
  <c r="S173" i="72" s="1"/>
  <c r="AD173" i="72" s="1"/>
  <c r="D173" i="72"/>
  <c r="O173" i="72" s="1"/>
  <c r="Z173" i="72" s="1"/>
  <c r="K437" i="72"/>
  <c r="V437" i="72" s="1"/>
  <c r="AG437" i="72" s="1"/>
  <c r="G437" i="72"/>
  <c r="R437" i="72" s="1"/>
  <c r="AC437" i="72" s="1"/>
  <c r="J437" i="72"/>
  <c r="U437" i="72" s="1"/>
  <c r="AF437" i="72" s="1"/>
  <c r="F437" i="72"/>
  <c r="Q437" i="72" s="1"/>
  <c r="AB437" i="72" s="1"/>
  <c r="I437" i="72"/>
  <c r="T437" i="72" s="1"/>
  <c r="AE437" i="72" s="1"/>
  <c r="E437" i="72"/>
  <c r="P437" i="72" s="1"/>
  <c r="H437" i="72"/>
  <c r="S437" i="72" s="1"/>
  <c r="AD437" i="72" s="1"/>
  <c r="D437" i="72"/>
  <c r="O437" i="72" s="1"/>
  <c r="Z437" i="72" s="1"/>
  <c r="K42" i="72"/>
  <c r="V42" i="72" s="1"/>
  <c r="AG42" i="72" s="1"/>
  <c r="G42" i="72"/>
  <c r="R42" i="72" s="1"/>
  <c r="AC42" i="72" s="1"/>
  <c r="J42" i="72"/>
  <c r="U42" i="72" s="1"/>
  <c r="AF42" i="72" s="1"/>
  <c r="F42" i="72"/>
  <c r="Q42" i="72" s="1"/>
  <c r="AB42" i="72" s="1"/>
  <c r="I42" i="72"/>
  <c r="T42" i="72" s="1"/>
  <c r="AE42" i="72" s="1"/>
  <c r="E42" i="72"/>
  <c r="P42" i="72" s="1"/>
  <c r="H42" i="72"/>
  <c r="S42" i="72" s="1"/>
  <c r="AD42" i="72" s="1"/>
  <c r="D42" i="72"/>
  <c r="O42" i="72" s="1"/>
  <c r="Z42" i="72" s="1"/>
  <c r="K87" i="72"/>
  <c r="V87" i="72" s="1"/>
  <c r="AG87" i="72" s="1"/>
  <c r="G87" i="72"/>
  <c r="R87" i="72" s="1"/>
  <c r="AC87" i="72" s="1"/>
  <c r="J87" i="72"/>
  <c r="U87" i="72" s="1"/>
  <c r="AF87" i="72" s="1"/>
  <c r="F87" i="72"/>
  <c r="Q87" i="72" s="1"/>
  <c r="AB87" i="72" s="1"/>
  <c r="I87" i="72"/>
  <c r="T87" i="72" s="1"/>
  <c r="AE87" i="72" s="1"/>
  <c r="E87" i="72"/>
  <c r="P87" i="72" s="1"/>
  <c r="H87" i="72"/>
  <c r="S87" i="72" s="1"/>
  <c r="AD87" i="72" s="1"/>
  <c r="D87" i="72"/>
  <c r="O87" i="72" s="1"/>
  <c r="Z87" i="72" s="1"/>
  <c r="K305" i="72"/>
  <c r="V305" i="72" s="1"/>
  <c r="AG305" i="72" s="1"/>
  <c r="G305" i="72"/>
  <c r="R305" i="72" s="1"/>
  <c r="AC305" i="72" s="1"/>
  <c r="J305" i="72"/>
  <c r="U305" i="72" s="1"/>
  <c r="AF305" i="72" s="1"/>
  <c r="F305" i="72"/>
  <c r="Q305" i="72" s="1"/>
  <c r="AB305" i="72" s="1"/>
  <c r="I305" i="72"/>
  <c r="T305" i="72" s="1"/>
  <c r="AE305" i="72" s="1"/>
  <c r="E305" i="72"/>
  <c r="P305" i="72" s="1"/>
  <c r="H305" i="72"/>
  <c r="S305" i="72" s="1"/>
  <c r="AD305" i="72" s="1"/>
  <c r="D305" i="72"/>
  <c r="O305" i="72" s="1"/>
  <c r="Z305" i="72" s="1"/>
  <c r="K86" i="72"/>
  <c r="V86" i="72" s="1"/>
  <c r="AG86" i="72" s="1"/>
  <c r="G86" i="72"/>
  <c r="R86" i="72" s="1"/>
  <c r="AC86" i="72" s="1"/>
  <c r="J86" i="72"/>
  <c r="U86" i="72" s="1"/>
  <c r="AF86" i="72" s="1"/>
  <c r="F86" i="72"/>
  <c r="Q86" i="72" s="1"/>
  <c r="AB86" i="72" s="1"/>
  <c r="I86" i="72"/>
  <c r="T86" i="72" s="1"/>
  <c r="AE86" i="72" s="1"/>
  <c r="E86" i="72"/>
  <c r="P86" i="72" s="1"/>
  <c r="AA86" i="72" s="1"/>
  <c r="H86" i="72"/>
  <c r="S86" i="72" s="1"/>
  <c r="AD86" i="72" s="1"/>
  <c r="D86" i="72"/>
  <c r="O86" i="72" s="1"/>
  <c r="K393" i="72"/>
  <c r="V393" i="72" s="1"/>
  <c r="AG393" i="72" s="1"/>
  <c r="G393" i="72"/>
  <c r="R393" i="72" s="1"/>
  <c r="AC393" i="72" s="1"/>
  <c r="J393" i="72"/>
  <c r="U393" i="72" s="1"/>
  <c r="AF393" i="72" s="1"/>
  <c r="F393" i="72"/>
  <c r="Q393" i="72" s="1"/>
  <c r="AB393" i="72" s="1"/>
  <c r="I393" i="72"/>
  <c r="T393" i="72" s="1"/>
  <c r="AE393" i="72" s="1"/>
  <c r="E393" i="72"/>
  <c r="P393" i="72" s="1"/>
  <c r="AA393" i="72" s="1"/>
  <c r="H393" i="72"/>
  <c r="S393" i="72" s="1"/>
  <c r="AD393" i="72" s="1"/>
  <c r="D393" i="72"/>
  <c r="O393" i="72" s="1"/>
  <c r="K481" i="72"/>
  <c r="V481" i="72" s="1"/>
  <c r="AG481" i="72" s="1"/>
  <c r="G481" i="72"/>
  <c r="R481" i="72" s="1"/>
  <c r="AC481" i="72" s="1"/>
  <c r="J481" i="72"/>
  <c r="U481" i="72" s="1"/>
  <c r="AF481" i="72" s="1"/>
  <c r="F481" i="72"/>
  <c r="Q481" i="72" s="1"/>
  <c r="AB481" i="72" s="1"/>
  <c r="I481" i="72"/>
  <c r="T481" i="72" s="1"/>
  <c r="AE481" i="72" s="1"/>
  <c r="E481" i="72"/>
  <c r="P481" i="72" s="1"/>
  <c r="H481" i="72"/>
  <c r="S481" i="72" s="1"/>
  <c r="AD481" i="72" s="1"/>
  <c r="D481" i="72"/>
  <c r="O481" i="72" s="1"/>
  <c r="Z481" i="72" s="1"/>
  <c r="K41" i="72"/>
  <c r="V41" i="72" s="1"/>
  <c r="AG41" i="72" s="1"/>
  <c r="G41" i="72"/>
  <c r="R41" i="72" s="1"/>
  <c r="AC41" i="72" s="1"/>
  <c r="J41" i="72"/>
  <c r="U41" i="72" s="1"/>
  <c r="AF41" i="72" s="1"/>
  <c r="F41" i="72"/>
  <c r="Q41" i="72" s="1"/>
  <c r="AB41" i="72" s="1"/>
  <c r="I41" i="72"/>
  <c r="T41" i="72" s="1"/>
  <c r="AE41" i="72" s="1"/>
  <c r="E41" i="72"/>
  <c r="P41" i="72" s="1"/>
  <c r="AA41" i="72" s="1"/>
  <c r="H41" i="72"/>
  <c r="S41" i="72" s="1"/>
  <c r="AD41" i="72" s="1"/>
  <c r="D41" i="72"/>
  <c r="O41" i="72" s="1"/>
  <c r="K217" i="72"/>
  <c r="V217" i="72" s="1"/>
  <c r="AG217" i="72" s="1"/>
  <c r="G217" i="72"/>
  <c r="R217" i="72" s="1"/>
  <c r="AC217" i="72" s="1"/>
  <c r="J217" i="72"/>
  <c r="U217" i="72" s="1"/>
  <c r="AF217" i="72" s="1"/>
  <c r="F217" i="72"/>
  <c r="Q217" i="72" s="1"/>
  <c r="AB217" i="72" s="1"/>
  <c r="I217" i="72"/>
  <c r="T217" i="72" s="1"/>
  <c r="AE217" i="72" s="1"/>
  <c r="E217" i="72"/>
  <c r="P217" i="72" s="1"/>
  <c r="AA217" i="72" s="1"/>
  <c r="H217" i="72"/>
  <c r="S217" i="72" s="1"/>
  <c r="AD217" i="72" s="1"/>
  <c r="D217" i="72"/>
  <c r="O217" i="72" s="1"/>
  <c r="AQ435" i="72"/>
  <c r="ER42" i="6"/>
  <c r="EU42" i="6"/>
  <c r="ER44" i="5"/>
  <c r="EU44" i="5"/>
  <c r="I40" i="40"/>
  <c r="BA48" i="35"/>
  <c r="BA44" i="37"/>
  <c r="BG479" i="72"/>
  <c r="BB479" i="72"/>
  <c r="K40" i="37"/>
  <c r="L40" i="37" s="1"/>
  <c r="E40" i="37" s="1"/>
  <c r="D79" i="37" s="1"/>
  <c r="BG215" i="72"/>
  <c r="BB215" i="72"/>
  <c r="BF522" i="72"/>
  <c r="BC522" i="72"/>
  <c r="BD522" i="72" s="1"/>
  <c r="I44" i="36"/>
  <c r="BG523" i="72"/>
  <c r="BB523" i="72"/>
  <c r="BF126" i="72"/>
  <c r="BC126" i="72"/>
  <c r="BD126" i="72" s="1"/>
  <c r="AM126" i="72" s="1"/>
  <c r="AP126" i="72" s="1"/>
  <c r="BG303" i="72"/>
  <c r="BB303" i="72"/>
  <c r="AQ391" i="72"/>
  <c r="BF258" i="72"/>
  <c r="BC258" i="72"/>
  <c r="BD258" i="72" s="1"/>
  <c r="BA43" i="38"/>
  <c r="K34" i="43"/>
  <c r="L34" i="43" s="1"/>
  <c r="E34" i="43" s="1"/>
  <c r="D73" i="43" s="1"/>
  <c r="E73" i="43" s="1"/>
  <c r="J38" i="43"/>
  <c r="BA38" i="43"/>
  <c r="BF478" i="72"/>
  <c r="BC478" i="72"/>
  <c r="BD478" i="72" s="1"/>
  <c r="L172" i="72"/>
  <c r="M172" i="72" s="1"/>
  <c r="L85" i="72"/>
  <c r="M85" i="72" s="1"/>
  <c r="BA39" i="42"/>
  <c r="BJ49" i="6"/>
  <c r="BN50" i="6"/>
  <c r="BJ50" i="6" s="1"/>
  <c r="A262" i="72"/>
  <c r="A43" i="39"/>
  <c r="FB45" i="9"/>
  <c r="BH45" i="9" s="1"/>
  <c r="BG171" i="72"/>
  <c r="BB171" i="72"/>
  <c r="BA37" i="44"/>
  <c r="BN45" i="11"/>
  <c r="BJ44" i="11"/>
  <c r="BG127" i="72"/>
  <c r="BB127" i="72"/>
  <c r="L436" i="72"/>
  <c r="M436" i="72" s="1"/>
  <c r="I37" i="43"/>
  <c r="A37" i="45"/>
  <c r="A526" i="72"/>
  <c r="FB39" i="15"/>
  <c r="BH39" i="15" s="1"/>
  <c r="GC39" i="15" s="1"/>
  <c r="FX363" i="34" s="1"/>
  <c r="A174" i="72"/>
  <c r="A45" i="37"/>
  <c r="FB47" i="7"/>
  <c r="BH47" i="7" s="1"/>
  <c r="L128" i="72"/>
  <c r="M128" i="72" s="1"/>
  <c r="L260" i="72"/>
  <c r="M260" i="72" s="1"/>
  <c r="BG84" i="72"/>
  <c r="BB84" i="72"/>
  <c r="K32" i="45"/>
  <c r="L32" i="45" s="1"/>
  <c r="E32" i="45" s="1"/>
  <c r="D71" i="45" s="1"/>
  <c r="E71" i="45" s="1"/>
  <c r="FB46" i="8"/>
  <c r="BH46" i="8" s="1"/>
  <c r="A218" i="72"/>
  <c r="A44" i="38"/>
  <c r="K43" i="35"/>
  <c r="L43" i="35" s="1"/>
  <c r="E43" i="35" s="1"/>
  <c r="D82" i="35" s="1"/>
  <c r="BN43" i="13"/>
  <c r="BJ42" i="13"/>
  <c r="I43" i="37"/>
  <c r="A42" i="40"/>
  <c r="A306" i="72"/>
  <c r="FB44" i="10"/>
  <c r="BH44" i="10" s="1"/>
  <c r="BN44" i="12"/>
  <c r="BJ43" i="12"/>
  <c r="J45" i="36"/>
  <c r="BF390" i="72"/>
  <c r="BC390" i="72"/>
  <c r="BD390" i="72" s="1"/>
  <c r="BA42" i="39"/>
  <c r="K41" i="36"/>
  <c r="L41" i="36" s="1"/>
  <c r="E41" i="36" s="1"/>
  <c r="D80" i="36" s="1"/>
  <c r="K33" i="44"/>
  <c r="L33" i="44" s="1"/>
  <c r="E33" i="44" s="1"/>
  <c r="D72" i="44" s="1"/>
  <c r="E72" i="44" s="1"/>
  <c r="K39" i="38"/>
  <c r="L39" i="38" s="1"/>
  <c r="E39" i="38" s="1"/>
  <c r="D78" i="38" s="1"/>
  <c r="BN42" i="14"/>
  <c r="BJ41" i="14"/>
  <c r="BA40" i="41"/>
  <c r="BF302" i="72"/>
  <c r="BC302" i="72"/>
  <c r="BD302" i="72" s="1"/>
  <c r="K37" i="40"/>
  <c r="L37" i="40" s="1"/>
  <c r="E37" i="40" s="1"/>
  <c r="D76" i="40" s="1"/>
  <c r="E76" i="40" s="1"/>
  <c r="BA36" i="45"/>
  <c r="AY479" i="72"/>
  <c r="AY215" i="72"/>
  <c r="I41" i="39"/>
  <c r="AY523" i="72"/>
  <c r="AY303" i="72"/>
  <c r="BG391" i="72"/>
  <c r="AY391" i="72"/>
  <c r="BB391" i="72"/>
  <c r="L480" i="72"/>
  <c r="M480" i="72" s="1"/>
  <c r="K35" i="42"/>
  <c r="L35" i="42" s="1"/>
  <c r="E35" i="42" s="1"/>
  <c r="D74" i="42" s="1"/>
  <c r="E74" i="42" s="1"/>
  <c r="L348" i="72"/>
  <c r="M348" i="72" s="1"/>
  <c r="L524" i="72"/>
  <c r="M524" i="72" s="1"/>
  <c r="I35" i="45"/>
  <c r="BA41" i="40"/>
  <c r="I46" i="35"/>
  <c r="J39" i="42"/>
  <c r="BF434" i="72"/>
  <c r="BC434" i="72"/>
  <c r="BD434" i="72" s="1"/>
  <c r="FB48" i="6"/>
  <c r="BH48" i="6" s="1"/>
  <c r="A130" i="72"/>
  <c r="A46" i="36"/>
  <c r="BN47" i="9"/>
  <c r="BJ46" i="9"/>
  <c r="BA48" i="18"/>
  <c r="K38" i="39"/>
  <c r="L38" i="39" s="1"/>
  <c r="E38" i="39" s="1"/>
  <c r="D77" i="39" s="1"/>
  <c r="E77" i="39" s="1"/>
  <c r="AY171" i="72"/>
  <c r="AQ171" i="72"/>
  <c r="K36" i="41"/>
  <c r="L36" i="41" s="1"/>
  <c r="E36" i="41" s="1"/>
  <c r="D75" i="41" s="1"/>
  <c r="E75" i="41" s="1"/>
  <c r="I42" i="38"/>
  <c r="A41" i="41"/>
  <c r="A350" i="72"/>
  <c r="FB43" i="11"/>
  <c r="BH43" i="11" s="1"/>
  <c r="AY127" i="72"/>
  <c r="AQ127" i="72"/>
  <c r="BG259" i="72"/>
  <c r="AY259" i="72"/>
  <c r="BB259" i="72"/>
  <c r="BJ40" i="15"/>
  <c r="BN41" i="15"/>
  <c r="BN49" i="7"/>
  <c r="BJ48" i="7"/>
  <c r="L304" i="72"/>
  <c r="M304" i="72" s="1"/>
  <c r="BA47" i="35"/>
  <c r="I38" i="42"/>
  <c r="L392" i="72"/>
  <c r="M392" i="72" s="1"/>
  <c r="BF170" i="72"/>
  <c r="BC170" i="72"/>
  <c r="BD170" i="72" s="1"/>
  <c r="I46" i="18"/>
  <c r="BF214" i="72"/>
  <c r="BC214" i="72"/>
  <c r="BD214" i="72" s="1"/>
  <c r="AY84" i="72"/>
  <c r="I36" i="44"/>
  <c r="BN48" i="8"/>
  <c r="BJ47" i="8"/>
  <c r="I39" i="41"/>
  <c r="A39" i="43"/>
  <c r="A438" i="72"/>
  <c r="FB41" i="13"/>
  <c r="BH41" i="13" s="1"/>
  <c r="BC346" i="72"/>
  <c r="BD346" i="72" s="1"/>
  <c r="BF346" i="72"/>
  <c r="BN46" i="10"/>
  <c r="BJ45" i="10"/>
  <c r="A394" i="72"/>
  <c r="A40" i="42"/>
  <c r="FB42" i="12"/>
  <c r="BH42" i="12" s="1"/>
  <c r="AY347" i="72"/>
  <c r="BB347" i="72"/>
  <c r="BG347" i="72"/>
  <c r="BA45" i="36"/>
  <c r="AY435" i="72"/>
  <c r="BB435" i="72"/>
  <c r="BG435" i="72"/>
  <c r="BA47" i="18"/>
  <c r="A482" i="72"/>
  <c r="A38" i="44"/>
  <c r="FB40" i="14"/>
  <c r="BH40" i="14" s="1"/>
  <c r="L216" i="72"/>
  <c r="M216" i="72" s="1"/>
  <c r="BF83" i="72"/>
  <c r="BC83" i="72"/>
  <c r="BD83" i="72" s="1"/>
  <c r="AM83" i="72" s="1"/>
  <c r="AP83" i="72" s="1"/>
  <c r="J48" i="18" l="1"/>
  <c r="J48" i="35"/>
  <c r="J40" i="41"/>
  <c r="J44" i="37"/>
  <c r="J36" i="45"/>
  <c r="ER40" i="9"/>
  <c r="J37" i="44"/>
  <c r="J47" i="35"/>
  <c r="J47" i="18"/>
  <c r="G73" i="43"/>
  <c r="F73" i="43"/>
  <c r="G75" i="41"/>
  <c r="F75" i="41"/>
  <c r="G72" i="44"/>
  <c r="F72" i="44"/>
  <c r="G77" i="39"/>
  <c r="F77" i="39"/>
  <c r="G76" i="40"/>
  <c r="F76" i="40"/>
  <c r="G74" i="42"/>
  <c r="F74" i="42"/>
  <c r="F71" i="45"/>
  <c r="G71" i="45"/>
  <c r="J42" i="39"/>
  <c r="ER36" i="13"/>
  <c r="J43" i="38"/>
  <c r="J41" i="40"/>
  <c r="BI9" i="5"/>
  <c r="BI13" i="4"/>
  <c r="GC40" i="14"/>
  <c r="FX333" i="34" s="1"/>
  <c r="GC42" i="12"/>
  <c r="FX273" i="34" s="1"/>
  <c r="GC44" i="10"/>
  <c r="FX213" i="34" s="1"/>
  <c r="GC47" i="7"/>
  <c r="FX123" i="34" s="1"/>
  <c r="GC45" i="9"/>
  <c r="FX183" i="34" s="1"/>
  <c r="EL51" i="72"/>
  <c r="EN51" i="72" s="1"/>
  <c r="BV51" i="72" s="1"/>
  <c r="BW51" i="72" s="1"/>
  <c r="EL92" i="72"/>
  <c r="EO92" i="72" s="1"/>
  <c r="GC46" i="8"/>
  <c r="FX153" i="34" s="1"/>
  <c r="GC48" i="6"/>
  <c r="FX93" i="34" s="1"/>
  <c r="ER34" i="15"/>
  <c r="GC41" i="13"/>
  <c r="FX303" i="34" s="1"/>
  <c r="GC43" i="11"/>
  <c r="FX243" i="34" s="1"/>
  <c r="EN43" i="35"/>
  <c r="AI304" i="72"/>
  <c r="AI392" i="72"/>
  <c r="AI348" i="72"/>
  <c r="AQ348" i="72" s="1"/>
  <c r="AI524" i="72"/>
  <c r="AQ524" i="72" s="1"/>
  <c r="AI216" i="72"/>
  <c r="AI85" i="72"/>
  <c r="AQ85" i="72" s="1"/>
  <c r="ER38" i="11"/>
  <c r="AI40" i="72"/>
  <c r="AI128" i="72"/>
  <c r="AQ128" i="72" s="1"/>
  <c r="BC51" i="5"/>
  <c r="AL42" i="18"/>
  <c r="AO42" i="18" s="1"/>
  <c r="AP42" i="18" s="1"/>
  <c r="AQ42" i="18" s="1"/>
  <c r="AL43" i="35"/>
  <c r="AO43" i="35" s="1"/>
  <c r="AP43" i="35" s="1"/>
  <c r="AQ43" i="35" s="1"/>
  <c r="AA305" i="72"/>
  <c r="W305" i="72"/>
  <c r="X305" i="72" s="1"/>
  <c r="W87" i="72"/>
  <c r="X87" i="72" s="1"/>
  <c r="AA87" i="72"/>
  <c r="W437" i="72"/>
  <c r="X437" i="72" s="1"/>
  <c r="AA437" i="72"/>
  <c r="W173" i="72"/>
  <c r="X173" i="72" s="1"/>
  <c r="AA173" i="72"/>
  <c r="W525" i="72"/>
  <c r="X525" i="72" s="1"/>
  <c r="AA525" i="72"/>
  <c r="W261" i="72"/>
  <c r="X261" i="72" s="1"/>
  <c r="AA261" i="72"/>
  <c r="W349" i="72"/>
  <c r="X349" i="72" s="1"/>
  <c r="AA349" i="72"/>
  <c r="AA129" i="72"/>
  <c r="W129" i="72"/>
  <c r="X129" i="72" s="1"/>
  <c r="AI172" i="72"/>
  <c r="AQ172" i="72" s="1"/>
  <c r="AA481" i="72"/>
  <c r="W481" i="72"/>
  <c r="X481" i="72" s="1"/>
  <c r="W42" i="72"/>
  <c r="X42" i="72" s="1"/>
  <c r="AA42" i="72"/>
  <c r="W217" i="72"/>
  <c r="X217" i="72" s="1"/>
  <c r="Z217" i="72"/>
  <c r="W41" i="72"/>
  <c r="X41" i="72" s="1"/>
  <c r="Z41" i="72"/>
  <c r="W393" i="72"/>
  <c r="X393" i="72" s="1"/>
  <c r="Z393" i="72"/>
  <c r="W86" i="72"/>
  <c r="X86" i="72" s="1"/>
  <c r="Z86" i="72"/>
  <c r="AI480" i="72"/>
  <c r="AQ480" i="72" s="1"/>
  <c r="AI436" i="72"/>
  <c r="AQ436" i="72" s="1"/>
  <c r="AI260" i="72"/>
  <c r="AQ260" i="72" s="1"/>
  <c r="ER37" i="12"/>
  <c r="AL41" i="35"/>
  <c r="AL40" i="35"/>
  <c r="AO40" i="35" s="1"/>
  <c r="AP40" i="35" s="1"/>
  <c r="AQ40" i="35" s="1"/>
  <c r="BC51" i="4"/>
  <c r="AL42" i="35"/>
  <c r="AO42" i="35" s="1"/>
  <c r="AP42" i="35" s="1"/>
  <c r="AQ42" i="35" s="1"/>
  <c r="AL46" i="35"/>
  <c r="AL44" i="35"/>
  <c r="AL44" i="18"/>
  <c r="AL45" i="35"/>
  <c r="AL45" i="18"/>
  <c r="AL43" i="18"/>
  <c r="AO43" i="18" s="1"/>
  <c r="AP43" i="18" s="1"/>
  <c r="AQ43" i="18" s="1"/>
  <c r="AL41" i="18"/>
  <c r="AL46" i="18"/>
  <c r="EN37" i="36"/>
  <c r="ER42" i="7"/>
  <c r="AP169" i="72"/>
  <c r="EU42" i="7" s="1"/>
  <c r="ER39" i="10"/>
  <c r="AP301" i="72"/>
  <c r="EU39" i="10" s="1"/>
  <c r="ER35" i="14"/>
  <c r="AP477" i="72"/>
  <c r="EU35" i="14" s="1"/>
  <c r="ER41" i="8"/>
  <c r="AP213" i="72"/>
  <c r="EU41" i="8" s="1"/>
  <c r="FS41" i="13"/>
  <c r="BE41" i="13"/>
  <c r="BC41" i="13" s="1"/>
  <c r="FS40" i="14"/>
  <c r="BE40" i="14"/>
  <c r="BC40" i="14" s="1"/>
  <c r="FS42" i="12"/>
  <c r="BE42" i="12"/>
  <c r="BC42" i="12" s="1"/>
  <c r="FS39" i="15"/>
  <c r="BE39" i="15"/>
  <c r="BC39" i="15" s="1"/>
  <c r="FS43" i="11"/>
  <c r="BE43" i="11"/>
  <c r="BC43" i="11" s="1"/>
  <c r="FS48" i="6"/>
  <c r="BE48" i="6"/>
  <c r="BC48" i="6" s="1"/>
  <c r="FS46" i="8"/>
  <c r="BE46" i="8"/>
  <c r="BC46" i="8" s="1"/>
  <c r="FS44" i="10"/>
  <c r="BE44" i="10"/>
  <c r="BC44" i="10" s="1"/>
  <c r="FS47" i="7"/>
  <c r="BE47" i="7"/>
  <c r="BC47" i="7" s="1"/>
  <c r="FS45" i="9"/>
  <c r="BE45" i="9"/>
  <c r="BC45" i="9" s="1"/>
  <c r="ED305" i="72"/>
  <c r="EE305" i="72" s="1"/>
  <c r="ED393" i="72"/>
  <c r="EE393" i="72" s="1"/>
  <c r="EV38" i="13"/>
  <c r="AA38" i="13" s="1"/>
  <c r="EV45" i="6"/>
  <c r="AA45" i="6" s="1"/>
  <c r="EV41" i="10"/>
  <c r="AA41" i="10" s="1"/>
  <c r="EV36" i="15"/>
  <c r="AA36" i="15" s="1"/>
  <c r="EV43" i="8"/>
  <c r="AA43" i="8" s="1"/>
  <c r="EV40" i="11"/>
  <c r="AA40" i="11" s="1"/>
  <c r="EV42" i="9"/>
  <c r="AA42" i="9" s="1"/>
  <c r="EV39" i="12"/>
  <c r="AA39" i="12" s="1"/>
  <c r="EV47" i="5"/>
  <c r="AA47" i="5" s="1"/>
  <c r="EV44" i="7"/>
  <c r="AA44" i="7" s="1"/>
  <c r="EV37" i="14"/>
  <c r="AA37" i="14" s="1"/>
  <c r="EH438" i="72"/>
  <c r="EI438" i="72" s="1"/>
  <c r="EA438" i="72"/>
  <c r="DW438" i="72"/>
  <c r="DZ438" i="72"/>
  <c r="DV438" i="72"/>
  <c r="EC438" i="72"/>
  <c r="DY438" i="72"/>
  <c r="DU438" i="72"/>
  <c r="EB438" i="72"/>
  <c r="DX438" i="72"/>
  <c r="CD436" i="72"/>
  <c r="H43" i="39"/>
  <c r="EM43" i="39"/>
  <c r="EN41" i="36"/>
  <c r="ED129" i="72"/>
  <c r="EE129" i="72" s="1"/>
  <c r="EN45" i="36" s="1"/>
  <c r="H38" i="44"/>
  <c r="EM38" i="44"/>
  <c r="EC394" i="72"/>
  <c r="DY394" i="72"/>
  <c r="DU394" i="72"/>
  <c r="EB394" i="72"/>
  <c r="DX394" i="72"/>
  <c r="EH394" i="72"/>
  <c r="EI394" i="72" s="1"/>
  <c r="EA394" i="72"/>
  <c r="DW394" i="72"/>
  <c r="DZ394" i="72"/>
  <c r="DV394" i="72"/>
  <c r="AM346" i="72"/>
  <c r="AP346" i="72" s="1"/>
  <c r="EU39" i="11" s="1"/>
  <c r="AM170" i="72"/>
  <c r="AP170" i="72" s="1"/>
  <c r="EU43" i="7" s="1"/>
  <c r="EC350" i="72"/>
  <c r="DY350" i="72"/>
  <c r="DU350" i="72"/>
  <c r="EB350" i="72"/>
  <c r="DX350" i="72"/>
  <c r="EH350" i="72"/>
  <c r="EI350" i="72" s="1"/>
  <c r="EA350" i="72"/>
  <c r="DW350" i="72"/>
  <c r="DZ350" i="72"/>
  <c r="DV350" i="72"/>
  <c r="H46" i="36"/>
  <c r="EM46" i="36"/>
  <c r="AM302" i="72"/>
  <c r="AP302" i="72" s="1"/>
  <c r="EU40" i="10" s="1"/>
  <c r="EB482" i="72"/>
  <c r="DX482" i="72"/>
  <c r="EH482" i="72"/>
  <c r="EI482" i="72" s="1"/>
  <c r="EA482" i="72"/>
  <c r="DW482" i="72"/>
  <c r="DZ482" i="72"/>
  <c r="DV482" i="72"/>
  <c r="EC482" i="72"/>
  <c r="DY482" i="72"/>
  <c r="DU482" i="72"/>
  <c r="CD304" i="72"/>
  <c r="H41" i="41"/>
  <c r="EM41" i="41"/>
  <c r="EH130" i="72"/>
  <c r="EI130" i="72" s="1"/>
  <c r="EA130" i="72"/>
  <c r="DW130" i="72"/>
  <c r="DZ130" i="72"/>
  <c r="DV130" i="72"/>
  <c r="EC130" i="72"/>
  <c r="DY130" i="72"/>
  <c r="DU130" i="72"/>
  <c r="EB130" i="72"/>
  <c r="DX130" i="72"/>
  <c r="CD348" i="72"/>
  <c r="H44" i="38"/>
  <c r="EM44" i="38"/>
  <c r="CD128" i="72"/>
  <c r="AM478" i="72"/>
  <c r="AM258" i="72"/>
  <c r="AP258" i="72" s="1"/>
  <c r="EU41" i="9" s="1"/>
  <c r="ED261" i="72"/>
  <c r="EE261" i="72" s="1"/>
  <c r="ED42" i="72"/>
  <c r="EE42" i="72" s="1"/>
  <c r="EN48" i="18" s="1"/>
  <c r="EN42" i="36"/>
  <c r="ED41" i="72"/>
  <c r="EE41" i="72" s="1"/>
  <c r="EN47" i="18" s="1"/>
  <c r="CD216" i="72"/>
  <c r="CD392" i="72"/>
  <c r="EN44" i="36"/>
  <c r="H40" i="42"/>
  <c r="EM40" i="42"/>
  <c r="H39" i="43"/>
  <c r="EM39" i="43"/>
  <c r="AM434" i="72"/>
  <c r="AP434" i="72" s="1"/>
  <c r="EU37" i="13" s="1"/>
  <c r="H42" i="40"/>
  <c r="EM42" i="40"/>
  <c r="H45" i="37"/>
  <c r="EM45" i="37"/>
  <c r="H37" i="45"/>
  <c r="EM37" i="45"/>
  <c r="EC262" i="72"/>
  <c r="DY262" i="72"/>
  <c r="DU262" i="72"/>
  <c r="EB262" i="72"/>
  <c r="DX262" i="72"/>
  <c r="EH262" i="72"/>
  <c r="EI262" i="72" s="1"/>
  <c r="EA262" i="72"/>
  <c r="DW262" i="72"/>
  <c r="DZ262" i="72"/>
  <c r="DV262" i="72"/>
  <c r="CD85" i="72"/>
  <c r="EN45" i="35"/>
  <c r="ED217" i="72"/>
  <c r="EE217" i="72" s="1"/>
  <c r="ED349" i="72"/>
  <c r="EE349" i="72" s="1"/>
  <c r="ED481" i="72"/>
  <c r="EE481" i="72" s="1"/>
  <c r="ED87" i="72"/>
  <c r="EE87" i="72" s="1"/>
  <c r="ED525" i="72"/>
  <c r="EE525" i="72" s="1"/>
  <c r="EM47" i="72"/>
  <c r="EM7" i="72"/>
  <c r="AM390" i="72"/>
  <c r="EH306" i="72"/>
  <c r="EI306" i="72" s="1"/>
  <c r="EA306" i="72"/>
  <c r="DW306" i="72"/>
  <c r="DZ306" i="72"/>
  <c r="DV306" i="72"/>
  <c r="EC306" i="72"/>
  <c r="DY306" i="72"/>
  <c r="DU306" i="72"/>
  <c r="EB306" i="72"/>
  <c r="DX306" i="72"/>
  <c r="EH218" i="72"/>
  <c r="EI218" i="72" s="1"/>
  <c r="EA218" i="72"/>
  <c r="DW218" i="72"/>
  <c r="DZ218" i="72"/>
  <c r="DV218" i="72"/>
  <c r="EC218" i="72"/>
  <c r="DY218" i="72"/>
  <c r="DU218" i="72"/>
  <c r="EB218" i="72"/>
  <c r="DX218" i="72"/>
  <c r="DZ526" i="72"/>
  <c r="DV526" i="72"/>
  <c r="EC526" i="72"/>
  <c r="DY526" i="72"/>
  <c r="DU526" i="72"/>
  <c r="EB526" i="72"/>
  <c r="DX526" i="72"/>
  <c r="EH526" i="72"/>
  <c r="EI526" i="72" s="1"/>
  <c r="EA526" i="72"/>
  <c r="DW526" i="72"/>
  <c r="AM214" i="72"/>
  <c r="AP214" i="72" s="1"/>
  <c r="EU42" i="8" s="1"/>
  <c r="CD524" i="72"/>
  <c r="CD480" i="72"/>
  <c r="CD260" i="72"/>
  <c r="EC174" i="72"/>
  <c r="DY174" i="72"/>
  <c r="DU174" i="72"/>
  <c r="EB174" i="72"/>
  <c r="DX174" i="72"/>
  <c r="EH174" i="72"/>
  <c r="EI174" i="72" s="1"/>
  <c r="EA174" i="72"/>
  <c r="DW174" i="72"/>
  <c r="DZ174" i="72"/>
  <c r="DV174" i="72"/>
  <c r="CD172" i="72"/>
  <c r="AM522" i="72"/>
  <c r="EN40" i="36"/>
  <c r="ED86" i="72"/>
  <c r="EE86" i="72" s="1"/>
  <c r="EN47" i="35" s="1"/>
  <c r="ED437" i="72"/>
  <c r="EE437" i="72" s="1"/>
  <c r="ED173" i="72"/>
  <c r="EE173" i="72" s="1"/>
  <c r="EN43" i="36"/>
  <c r="K438" i="72"/>
  <c r="V438" i="72" s="1"/>
  <c r="AG438" i="72" s="1"/>
  <c r="G438" i="72"/>
  <c r="R438" i="72" s="1"/>
  <c r="AC438" i="72" s="1"/>
  <c r="J438" i="72"/>
  <c r="U438" i="72" s="1"/>
  <c r="AF438" i="72" s="1"/>
  <c r="F438" i="72"/>
  <c r="Q438" i="72" s="1"/>
  <c r="AB438" i="72" s="1"/>
  <c r="I438" i="72"/>
  <c r="T438" i="72" s="1"/>
  <c r="AE438" i="72" s="1"/>
  <c r="E438" i="72"/>
  <c r="P438" i="72" s="1"/>
  <c r="AA438" i="72" s="1"/>
  <c r="H438" i="72"/>
  <c r="S438" i="72" s="1"/>
  <c r="AD438" i="72" s="1"/>
  <c r="D438" i="72"/>
  <c r="O438" i="72" s="1"/>
  <c r="K174" i="72"/>
  <c r="V174" i="72" s="1"/>
  <c r="AG174" i="72" s="1"/>
  <c r="G174" i="72"/>
  <c r="R174" i="72" s="1"/>
  <c r="AC174" i="72" s="1"/>
  <c r="J174" i="72"/>
  <c r="U174" i="72" s="1"/>
  <c r="AF174" i="72" s="1"/>
  <c r="F174" i="72"/>
  <c r="Q174" i="72" s="1"/>
  <c r="AB174" i="72" s="1"/>
  <c r="I174" i="72"/>
  <c r="T174" i="72" s="1"/>
  <c r="AE174" i="72" s="1"/>
  <c r="E174" i="72"/>
  <c r="P174" i="72" s="1"/>
  <c r="H174" i="72"/>
  <c r="S174" i="72" s="1"/>
  <c r="AD174" i="72" s="1"/>
  <c r="D174" i="72"/>
  <c r="O174" i="72" s="1"/>
  <c r="Z174" i="72" s="1"/>
  <c r="K262" i="72"/>
  <c r="V262" i="72" s="1"/>
  <c r="AG262" i="72" s="1"/>
  <c r="G262" i="72"/>
  <c r="R262" i="72" s="1"/>
  <c r="AC262" i="72" s="1"/>
  <c r="J262" i="72"/>
  <c r="U262" i="72" s="1"/>
  <c r="AF262" i="72" s="1"/>
  <c r="F262" i="72"/>
  <c r="Q262" i="72" s="1"/>
  <c r="AB262" i="72" s="1"/>
  <c r="I262" i="72"/>
  <c r="T262" i="72" s="1"/>
  <c r="AE262" i="72" s="1"/>
  <c r="E262" i="72"/>
  <c r="P262" i="72" s="1"/>
  <c r="AA262" i="72" s="1"/>
  <c r="H262" i="72"/>
  <c r="S262" i="72" s="1"/>
  <c r="AD262" i="72" s="1"/>
  <c r="D262" i="72"/>
  <c r="O262" i="72" s="1"/>
  <c r="K130" i="72"/>
  <c r="V130" i="72" s="1"/>
  <c r="AG130" i="72" s="1"/>
  <c r="G130" i="72"/>
  <c r="R130" i="72" s="1"/>
  <c r="AC130" i="72" s="1"/>
  <c r="J130" i="72"/>
  <c r="U130" i="72" s="1"/>
  <c r="AF130" i="72" s="1"/>
  <c r="F130" i="72"/>
  <c r="Q130" i="72" s="1"/>
  <c r="AB130" i="72" s="1"/>
  <c r="I130" i="72"/>
  <c r="T130" i="72" s="1"/>
  <c r="AE130" i="72" s="1"/>
  <c r="E130" i="72"/>
  <c r="P130" i="72" s="1"/>
  <c r="H130" i="72"/>
  <c r="S130" i="72" s="1"/>
  <c r="AD130" i="72" s="1"/>
  <c r="D130" i="72"/>
  <c r="O130" i="72" s="1"/>
  <c r="Z130" i="72" s="1"/>
  <c r="K482" i="72"/>
  <c r="V482" i="72" s="1"/>
  <c r="AG482" i="72" s="1"/>
  <c r="G482" i="72"/>
  <c r="R482" i="72" s="1"/>
  <c r="AC482" i="72" s="1"/>
  <c r="J482" i="72"/>
  <c r="U482" i="72" s="1"/>
  <c r="AF482" i="72" s="1"/>
  <c r="F482" i="72"/>
  <c r="Q482" i="72" s="1"/>
  <c r="AB482" i="72" s="1"/>
  <c r="I482" i="72"/>
  <c r="T482" i="72" s="1"/>
  <c r="AE482" i="72" s="1"/>
  <c r="E482" i="72"/>
  <c r="P482" i="72" s="1"/>
  <c r="H482" i="72"/>
  <c r="S482" i="72" s="1"/>
  <c r="AD482" i="72" s="1"/>
  <c r="D482" i="72"/>
  <c r="O482" i="72" s="1"/>
  <c r="Z482" i="72" s="1"/>
  <c r="K394" i="72"/>
  <c r="V394" i="72" s="1"/>
  <c r="AG394" i="72" s="1"/>
  <c r="G394" i="72"/>
  <c r="R394" i="72" s="1"/>
  <c r="AC394" i="72" s="1"/>
  <c r="J394" i="72"/>
  <c r="U394" i="72" s="1"/>
  <c r="AF394" i="72" s="1"/>
  <c r="F394" i="72"/>
  <c r="Q394" i="72" s="1"/>
  <c r="AB394" i="72" s="1"/>
  <c r="I394" i="72"/>
  <c r="T394" i="72" s="1"/>
  <c r="AE394" i="72" s="1"/>
  <c r="E394" i="72"/>
  <c r="P394" i="72" s="1"/>
  <c r="H394" i="72"/>
  <c r="S394" i="72" s="1"/>
  <c r="AD394" i="72" s="1"/>
  <c r="D394" i="72"/>
  <c r="O394" i="72" s="1"/>
  <c r="Z394" i="72" s="1"/>
  <c r="K306" i="72"/>
  <c r="V306" i="72" s="1"/>
  <c r="AG306" i="72" s="1"/>
  <c r="G306" i="72"/>
  <c r="R306" i="72" s="1"/>
  <c r="AC306" i="72" s="1"/>
  <c r="J306" i="72"/>
  <c r="U306" i="72" s="1"/>
  <c r="AF306" i="72" s="1"/>
  <c r="F306" i="72"/>
  <c r="Q306" i="72" s="1"/>
  <c r="AB306" i="72" s="1"/>
  <c r="I306" i="72"/>
  <c r="T306" i="72" s="1"/>
  <c r="AE306" i="72" s="1"/>
  <c r="E306" i="72"/>
  <c r="P306" i="72" s="1"/>
  <c r="H306" i="72"/>
  <c r="S306" i="72" s="1"/>
  <c r="AD306" i="72" s="1"/>
  <c r="D306" i="72"/>
  <c r="O306" i="72" s="1"/>
  <c r="Z306" i="72" s="1"/>
  <c r="K218" i="72"/>
  <c r="V218" i="72" s="1"/>
  <c r="AG218" i="72" s="1"/>
  <c r="G218" i="72"/>
  <c r="R218" i="72" s="1"/>
  <c r="AC218" i="72" s="1"/>
  <c r="J218" i="72"/>
  <c r="U218" i="72" s="1"/>
  <c r="AF218" i="72" s="1"/>
  <c r="F218" i="72"/>
  <c r="Q218" i="72" s="1"/>
  <c r="AB218" i="72" s="1"/>
  <c r="I218" i="72"/>
  <c r="T218" i="72" s="1"/>
  <c r="AE218" i="72" s="1"/>
  <c r="E218" i="72"/>
  <c r="P218" i="72" s="1"/>
  <c r="H218" i="72"/>
  <c r="S218" i="72" s="1"/>
  <c r="AD218" i="72" s="1"/>
  <c r="D218" i="72"/>
  <c r="O218" i="72" s="1"/>
  <c r="Z218" i="72" s="1"/>
  <c r="K526" i="72"/>
  <c r="V526" i="72" s="1"/>
  <c r="AG526" i="72" s="1"/>
  <c r="G526" i="72"/>
  <c r="R526" i="72" s="1"/>
  <c r="AC526" i="72" s="1"/>
  <c r="J526" i="72"/>
  <c r="U526" i="72" s="1"/>
  <c r="AF526" i="72" s="1"/>
  <c r="F526" i="72"/>
  <c r="Q526" i="72" s="1"/>
  <c r="AB526" i="72" s="1"/>
  <c r="I526" i="72"/>
  <c r="T526" i="72" s="1"/>
  <c r="AE526" i="72" s="1"/>
  <c r="E526" i="72"/>
  <c r="P526" i="72" s="1"/>
  <c r="H526" i="72"/>
  <c r="S526" i="72" s="1"/>
  <c r="AD526" i="72" s="1"/>
  <c r="D526" i="72"/>
  <c r="O526" i="72" s="1"/>
  <c r="Z526" i="72" s="1"/>
  <c r="K350" i="72"/>
  <c r="V350" i="72" s="1"/>
  <c r="AG350" i="72" s="1"/>
  <c r="G350" i="72"/>
  <c r="R350" i="72" s="1"/>
  <c r="AC350" i="72" s="1"/>
  <c r="J350" i="72"/>
  <c r="U350" i="72" s="1"/>
  <c r="AF350" i="72" s="1"/>
  <c r="F350" i="72"/>
  <c r="Q350" i="72" s="1"/>
  <c r="AB350" i="72" s="1"/>
  <c r="I350" i="72"/>
  <c r="T350" i="72" s="1"/>
  <c r="AE350" i="72" s="1"/>
  <c r="E350" i="72"/>
  <c r="P350" i="72" s="1"/>
  <c r="H350" i="72"/>
  <c r="S350" i="72" s="1"/>
  <c r="AD350" i="72" s="1"/>
  <c r="D350" i="72"/>
  <c r="O350" i="72" s="1"/>
  <c r="Z350" i="72" s="1"/>
  <c r="BE48" i="18"/>
  <c r="AQ216" i="72"/>
  <c r="ER43" i="6"/>
  <c r="EU43" i="6"/>
  <c r="ER45" i="5"/>
  <c r="EU45" i="5"/>
  <c r="K44" i="35"/>
  <c r="L44" i="35" s="1"/>
  <c r="E44" i="35" s="1"/>
  <c r="D83" i="35" s="1"/>
  <c r="AY216" i="72"/>
  <c r="I47" i="18"/>
  <c r="L261" i="72"/>
  <c r="M261" i="72" s="1"/>
  <c r="BF435" i="72"/>
  <c r="BC435" i="72"/>
  <c r="BD435" i="72" s="1"/>
  <c r="BF347" i="72"/>
  <c r="BC347" i="72"/>
  <c r="BD347" i="72" s="1"/>
  <c r="A43" i="40"/>
  <c r="A307" i="72"/>
  <c r="FB45" i="10"/>
  <c r="BH45" i="10" s="1"/>
  <c r="BA39" i="43"/>
  <c r="A219" i="72"/>
  <c r="A45" i="38"/>
  <c r="FB47" i="8"/>
  <c r="BH47" i="8" s="1"/>
  <c r="K40" i="38"/>
  <c r="L40" i="38" s="1"/>
  <c r="E40" i="38" s="1"/>
  <c r="D79" i="38" s="1"/>
  <c r="K41" i="37"/>
  <c r="L41" i="37" s="1"/>
  <c r="E41" i="37" s="1"/>
  <c r="D80" i="37" s="1"/>
  <c r="AY392" i="72"/>
  <c r="AQ392" i="72"/>
  <c r="I47" i="35"/>
  <c r="AY304" i="72"/>
  <c r="AQ304" i="72"/>
  <c r="FB48" i="7"/>
  <c r="BH48" i="7" s="1"/>
  <c r="A46" i="37"/>
  <c r="A175" i="72"/>
  <c r="BJ41" i="15"/>
  <c r="BN42" i="15"/>
  <c r="BF259" i="72"/>
  <c r="BC259" i="72"/>
  <c r="BD259" i="72" s="1"/>
  <c r="FB46" i="9"/>
  <c r="BH46" i="9" s="1"/>
  <c r="A263" i="72"/>
  <c r="A44" i="39"/>
  <c r="BA46" i="36"/>
  <c r="I39" i="42"/>
  <c r="AY524" i="72"/>
  <c r="L437" i="72"/>
  <c r="M437" i="72" s="1"/>
  <c r="BG348" i="72"/>
  <c r="BB348" i="72"/>
  <c r="L217" i="72"/>
  <c r="M217" i="72" s="1"/>
  <c r="BG480" i="72"/>
  <c r="BB480" i="72"/>
  <c r="K38" i="40"/>
  <c r="L38" i="40" s="1"/>
  <c r="E38" i="40" s="1"/>
  <c r="D77" i="40" s="1"/>
  <c r="E77" i="40" s="1"/>
  <c r="BJ42" i="14"/>
  <c r="BN43" i="14"/>
  <c r="K36" i="42"/>
  <c r="L36" i="42" s="1"/>
  <c r="E36" i="42" s="1"/>
  <c r="D75" i="42" s="1"/>
  <c r="E75" i="42" s="1"/>
  <c r="L129" i="72"/>
  <c r="M129" i="72" s="1"/>
  <c r="FB43" i="12"/>
  <c r="BH43" i="12" s="1"/>
  <c r="A395" i="72"/>
  <c r="A41" i="42"/>
  <c r="BA42" i="40"/>
  <c r="FB42" i="13"/>
  <c r="BH42" i="13" s="1"/>
  <c r="A40" i="43"/>
  <c r="A439" i="72"/>
  <c r="BG260" i="72"/>
  <c r="BB260" i="72"/>
  <c r="BG128" i="72"/>
  <c r="BB128" i="72"/>
  <c r="BA37" i="45"/>
  <c r="BG436" i="72"/>
  <c r="BB436" i="72"/>
  <c r="BF127" i="72"/>
  <c r="BC127" i="72"/>
  <c r="BD127" i="72" s="1"/>
  <c r="AM127" i="72" s="1"/>
  <c r="AP127" i="72" s="1"/>
  <c r="FB44" i="11"/>
  <c r="BH44" i="11" s="1"/>
  <c r="A42" i="41"/>
  <c r="A351" i="72"/>
  <c r="BA43" i="39"/>
  <c r="FB49" i="6"/>
  <c r="BH49" i="6" s="1"/>
  <c r="A131" i="72"/>
  <c r="A47" i="36"/>
  <c r="BG85" i="72"/>
  <c r="BB85" i="72"/>
  <c r="AY172" i="72"/>
  <c r="I38" i="43"/>
  <c r="I43" i="38"/>
  <c r="K39" i="39"/>
  <c r="L39" i="39" s="1"/>
  <c r="E39" i="39" s="1"/>
  <c r="D78" i="39" s="1"/>
  <c r="E78" i="39" s="1"/>
  <c r="K42" i="36"/>
  <c r="L42" i="36" s="1"/>
  <c r="E42" i="36" s="1"/>
  <c r="D81" i="36" s="1"/>
  <c r="BF523" i="72"/>
  <c r="BC523" i="72"/>
  <c r="BD523" i="72" s="1"/>
  <c r="K33" i="45"/>
  <c r="L33" i="45" s="1"/>
  <c r="E33" i="45" s="1"/>
  <c r="D72" i="45" s="1"/>
  <c r="E72" i="45" s="1"/>
  <c r="I48" i="35"/>
  <c r="I44" i="37"/>
  <c r="I36" i="45"/>
  <c r="L173" i="72"/>
  <c r="M173" i="72" s="1"/>
  <c r="L349" i="72"/>
  <c r="M349" i="72" s="1"/>
  <c r="I40" i="41"/>
  <c r="BG216" i="72"/>
  <c r="BB216" i="72"/>
  <c r="BA38" i="44"/>
  <c r="BA40" i="42"/>
  <c r="BN47" i="10"/>
  <c r="BJ46" i="10"/>
  <c r="K37" i="41"/>
  <c r="L37" i="41" s="1"/>
  <c r="E37" i="41" s="1"/>
  <c r="D76" i="41" s="1"/>
  <c r="E76" i="41" s="1"/>
  <c r="BN49" i="8"/>
  <c r="BJ48" i="8"/>
  <c r="BG392" i="72"/>
  <c r="BB392" i="72"/>
  <c r="BB304" i="72"/>
  <c r="BG304" i="72"/>
  <c r="BN50" i="7"/>
  <c r="BJ50" i="7" s="1"/>
  <c r="BJ49" i="7"/>
  <c r="A38" i="45"/>
  <c r="A527" i="72"/>
  <c r="FB40" i="15"/>
  <c r="BH40" i="15" s="1"/>
  <c r="GC40" i="15" s="1"/>
  <c r="FX364" i="34" s="1"/>
  <c r="BA41" i="41"/>
  <c r="L481" i="72"/>
  <c r="M481" i="72" s="1"/>
  <c r="I48" i="18"/>
  <c r="BJ47" i="9"/>
  <c r="BN48" i="9"/>
  <c r="K35" i="43"/>
  <c r="L35" i="43" s="1"/>
  <c r="E35" i="43" s="1"/>
  <c r="D74" i="43" s="1"/>
  <c r="E74" i="43" s="1"/>
  <c r="L393" i="72"/>
  <c r="M393" i="72" s="1"/>
  <c r="I41" i="40"/>
  <c r="BB524" i="72"/>
  <c r="BG524" i="72"/>
  <c r="AY348" i="72"/>
  <c r="AY480" i="72"/>
  <c r="BF391" i="72"/>
  <c r="BC391" i="72"/>
  <c r="BD391" i="72" s="1"/>
  <c r="A39" i="44"/>
  <c r="FB41" i="14"/>
  <c r="BH41" i="14" s="1"/>
  <c r="A483" i="72"/>
  <c r="I42" i="39"/>
  <c r="I45" i="36"/>
  <c r="BJ44" i="12"/>
  <c r="BN45" i="12"/>
  <c r="BJ43" i="13"/>
  <c r="BN44" i="13"/>
  <c r="BA44" i="38"/>
  <c r="BC84" i="72"/>
  <c r="BD84" i="72" s="1"/>
  <c r="AM84" i="72" s="1"/>
  <c r="AP84" i="72" s="1"/>
  <c r="BF84" i="72"/>
  <c r="AY260" i="72"/>
  <c r="AY128" i="72"/>
  <c r="L86" i="72"/>
  <c r="M86" i="72" s="1"/>
  <c r="BA45" i="37"/>
  <c r="AY436" i="72"/>
  <c r="BN46" i="11"/>
  <c r="BJ45" i="11"/>
  <c r="I37" i="44"/>
  <c r="BF171" i="72"/>
  <c r="BC171" i="72"/>
  <c r="BD171" i="72" s="1"/>
  <c r="FB50" i="6"/>
  <c r="BH50" i="6" s="1"/>
  <c r="A48" i="36"/>
  <c r="A132" i="72"/>
  <c r="AY85" i="72"/>
  <c r="L305" i="72"/>
  <c r="M305" i="72" s="1"/>
  <c r="BG172" i="72"/>
  <c r="BB172" i="72"/>
  <c r="K34" i="44"/>
  <c r="L34" i="44" s="1"/>
  <c r="E34" i="44" s="1"/>
  <c r="D73" i="44" s="1"/>
  <c r="E73" i="44" s="1"/>
  <c r="BF303" i="72"/>
  <c r="BC303" i="72"/>
  <c r="BD303" i="72" s="1"/>
  <c r="BF215" i="72"/>
  <c r="BC215" i="72"/>
  <c r="BD215" i="72" s="1"/>
  <c r="BC479" i="72"/>
  <c r="BD479" i="72" s="1"/>
  <c r="BF479" i="72"/>
  <c r="L87" i="72"/>
  <c r="M87" i="72" s="1"/>
  <c r="L525" i="72"/>
  <c r="M525" i="72" s="1"/>
  <c r="J42" i="40" l="1"/>
  <c r="ER39" i="11"/>
  <c r="J37" i="45"/>
  <c r="EN92" i="72"/>
  <c r="BV92" i="72" s="1"/>
  <c r="BW92" i="72" s="1"/>
  <c r="J46" i="36"/>
  <c r="ER37" i="13"/>
  <c r="ER41" i="9"/>
  <c r="G75" i="42"/>
  <c r="F75" i="42"/>
  <c r="G73" i="44"/>
  <c r="F73" i="44"/>
  <c r="G76" i="41"/>
  <c r="F76" i="41"/>
  <c r="F72" i="45"/>
  <c r="G72" i="45"/>
  <c r="G74" i="43"/>
  <c r="F74" i="43"/>
  <c r="F78" i="39"/>
  <c r="G78" i="39"/>
  <c r="G77" i="40"/>
  <c r="F77" i="40"/>
  <c r="J44" i="38"/>
  <c r="J41" i="41"/>
  <c r="EN48" i="35"/>
  <c r="EO51" i="72"/>
  <c r="J39" i="43"/>
  <c r="J45" i="37"/>
  <c r="ER43" i="7"/>
  <c r="ER40" i="10"/>
  <c r="J40" i="42"/>
  <c r="GC50" i="6"/>
  <c r="FX95" i="34" s="1"/>
  <c r="GC49" i="6"/>
  <c r="FX94" i="34" s="1"/>
  <c r="GC44" i="11"/>
  <c r="FX244" i="34" s="1"/>
  <c r="GC45" i="10"/>
  <c r="FX214" i="34" s="1"/>
  <c r="GC41" i="14"/>
  <c r="FX334" i="34" s="1"/>
  <c r="GC42" i="13"/>
  <c r="FX304" i="34" s="1"/>
  <c r="GC48" i="7"/>
  <c r="FX124" i="34" s="1"/>
  <c r="GC43" i="12"/>
  <c r="FX274" i="34" s="1"/>
  <c r="GC46" i="9"/>
  <c r="FX184" i="34" s="1"/>
  <c r="GC47" i="8"/>
  <c r="FX154" i="34" s="1"/>
  <c r="AI86" i="72"/>
  <c r="AQ86" i="72" s="1"/>
  <c r="AI349" i="72"/>
  <c r="AQ349" i="72" s="1"/>
  <c r="AI437" i="72"/>
  <c r="AQ437" i="72" s="1"/>
  <c r="AI305" i="72"/>
  <c r="AQ305" i="72" s="1"/>
  <c r="AI41" i="72"/>
  <c r="AI129" i="72"/>
  <c r="AQ129" i="72" s="1"/>
  <c r="AI173" i="72"/>
  <c r="AQ173" i="72" s="1"/>
  <c r="AI87" i="72"/>
  <c r="AI393" i="72"/>
  <c r="AI217" i="72"/>
  <c r="AQ217" i="72" s="1"/>
  <c r="AA174" i="72"/>
  <c r="W174" i="72"/>
  <c r="X174" i="72" s="1"/>
  <c r="W262" i="72"/>
  <c r="X262" i="72" s="1"/>
  <c r="Z262" i="72"/>
  <c r="W438" i="72"/>
  <c r="X438" i="72" s="1"/>
  <c r="Z438" i="72"/>
  <c r="AI481" i="72"/>
  <c r="AQ481" i="72" s="1"/>
  <c r="AI261" i="72"/>
  <c r="AQ261" i="72" s="1"/>
  <c r="AA350" i="72"/>
  <c r="W350" i="72"/>
  <c r="X350" i="72" s="1"/>
  <c r="AA526" i="72"/>
  <c r="W526" i="72"/>
  <c r="X526" i="72" s="1"/>
  <c r="W218" i="72"/>
  <c r="X218" i="72" s="1"/>
  <c r="AA218" i="72"/>
  <c r="W306" i="72"/>
  <c r="X306" i="72" s="1"/>
  <c r="AA306" i="72"/>
  <c r="W394" i="72"/>
  <c r="X394" i="72" s="1"/>
  <c r="AA394" i="72"/>
  <c r="W482" i="72"/>
  <c r="X482" i="72" s="1"/>
  <c r="AA482" i="72"/>
  <c r="W130" i="72"/>
  <c r="X130" i="72" s="1"/>
  <c r="AA130" i="72"/>
  <c r="AI42" i="72"/>
  <c r="AI525" i="72"/>
  <c r="AQ525" i="72" s="1"/>
  <c r="ER42" i="8"/>
  <c r="ER36" i="14"/>
  <c r="AP478" i="72"/>
  <c r="EU36" i="14" s="1"/>
  <c r="ER35" i="15"/>
  <c r="AP522" i="72"/>
  <c r="EU35" i="15" s="1"/>
  <c r="ER38" i="12"/>
  <c r="AP390" i="72"/>
  <c r="EU38" i="12" s="1"/>
  <c r="FS41" i="14"/>
  <c r="BE41" i="14"/>
  <c r="BC41" i="14" s="1"/>
  <c r="FS40" i="15"/>
  <c r="BE40" i="15"/>
  <c r="BC40" i="15" s="1"/>
  <c r="J38" i="44"/>
  <c r="FS43" i="12"/>
  <c r="BE43" i="12"/>
  <c r="BC43" i="12" s="1"/>
  <c r="FS48" i="7"/>
  <c r="BE48" i="7"/>
  <c r="BC48" i="7" s="1"/>
  <c r="FS42" i="13"/>
  <c r="BE42" i="13"/>
  <c r="BC42" i="13" s="1"/>
  <c r="FS50" i="6"/>
  <c r="BE50" i="6"/>
  <c r="BC50" i="6" s="1"/>
  <c r="FS44" i="11"/>
  <c r="BE44" i="11"/>
  <c r="BC44" i="11" s="1"/>
  <c r="FS45" i="10"/>
  <c r="BE45" i="10"/>
  <c r="BC45" i="10" s="1"/>
  <c r="FS49" i="6"/>
  <c r="BE49" i="6"/>
  <c r="BC49" i="6" s="1"/>
  <c r="FS46" i="9"/>
  <c r="BE46" i="9"/>
  <c r="BC46" i="9" s="1"/>
  <c r="J43" i="39"/>
  <c r="FS47" i="8"/>
  <c r="BE47" i="8"/>
  <c r="BC47" i="8" s="1"/>
  <c r="EV42" i="10"/>
  <c r="AA42" i="10" s="1"/>
  <c r="EV48" i="5"/>
  <c r="AA48" i="5" s="1"/>
  <c r="EV46" i="6"/>
  <c r="AA46" i="6" s="1"/>
  <c r="EV43" i="9"/>
  <c r="AA43" i="9" s="1"/>
  <c r="EV41" i="11"/>
  <c r="AA41" i="11" s="1"/>
  <c r="EV45" i="7"/>
  <c r="AA45" i="7" s="1"/>
  <c r="EV37" i="15"/>
  <c r="AA37" i="15" s="1"/>
  <c r="EV40" i="12"/>
  <c r="AA40" i="12" s="1"/>
  <c r="EV44" i="8"/>
  <c r="AA44" i="8" s="1"/>
  <c r="EV39" i="13"/>
  <c r="AA39" i="13" s="1"/>
  <c r="EV38" i="14"/>
  <c r="AA38" i="14" s="1"/>
  <c r="AM215" i="72"/>
  <c r="AP215" i="72" s="1"/>
  <c r="EU43" i="8" s="1"/>
  <c r="H48" i="36"/>
  <c r="EM48" i="36"/>
  <c r="CD87" i="72"/>
  <c r="H39" i="44"/>
  <c r="EM39" i="44"/>
  <c r="CD349" i="72"/>
  <c r="AM523" i="72"/>
  <c r="AP523" i="72" s="1"/>
  <c r="EU36" i="15" s="1"/>
  <c r="H40" i="43"/>
  <c r="EM40" i="43"/>
  <c r="EC395" i="72"/>
  <c r="DY395" i="72"/>
  <c r="DU395" i="72"/>
  <c r="EB395" i="72"/>
  <c r="DX395" i="72"/>
  <c r="EH395" i="72"/>
  <c r="EI395" i="72" s="1"/>
  <c r="EA395" i="72"/>
  <c r="DW395" i="72"/>
  <c r="DZ395" i="72"/>
  <c r="DV395" i="72"/>
  <c r="DZ263" i="72"/>
  <c r="DV263" i="72"/>
  <c r="EC263" i="72"/>
  <c r="DY263" i="72"/>
  <c r="DU263" i="72"/>
  <c r="EB263" i="72"/>
  <c r="DX263" i="72"/>
  <c r="EH263" i="72"/>
  <c r="EI263" i="72" s="1"/>
  <c r="EA263" i="72"/>
  <c r="DW263" i="72"/>
  <c r="H46" i="37"/>
  <c r="EM46" i="37"/>
  <c r="EB307" i="72"/>
  <c r="DX307" i="72"/>
  <c r="EH307" i="72"/>
  <c r="EI307" i="72" s="1"/>
  <c r="EA307" i="72"/>
  <c r="DW307" i="72"/>
  <c r="DZ307" i="72"/>
  <c r="DV307" i="72"/>
  <c r="EC307" i="72"/>
  <c r="DY307" i="72"/>
  <c r="DU307" i="72"/>
  <c r="ED526" i="72"/>
  <c r="EE526" i="72" s="1"/>
  <c r="ED482" i="72"/>
  <c r="EE482" i="72" s="1"/>
  <c r="ED350" i="72"/>
  <c r="EE350" i="72" s="1"/>
  <c r="ED394" i="72"/>
  <c r="EE394" i="72" s="1"/>
  <c r="CD525" i="72"/>
  <c r="CD305" i="72"/>
  <c r="AM303" i="72"/>
  <c r="AM391" i="72"/>
  <c r="AP391" i="72" s="1"/>
  <c r="EU39" i="12" s="1"/>
  <c r="EH527" i="72"/>
  <c r="EI527" i="72" s="1"/>
  <c r="EA527" i="72"/>
  <c r="DW527" i="72"/>
  <c r="DZ527" i="72"/>
  <c r="DV527" i="72"/>
  <c r="EC527" i="72"/>
  <c r="DY527" i="72"/>
  <c r="DU527" i="72"/>
  <c r="EB527" i="72"/>
  <c r="DX527" i="72"/>
  <c r="CD173" i="72"/>
  <c r="H47" i="36"/>
  <c r="AL43" i="36" s="1"/>
  <c r="AO43" i="36" s="1"/>
  <c r="AP43" i="36" s="1"/>
  <c r="AQ43" i="36" s="1"/>
  <c r="EM47" i="36"/>
  <c r="DZ351" i="72"/>
  <c r="DV351" i="72"/>
  <c r="EC351" i="72"/>
  <c r="DY351" i="72"/>
  <c r="DU351" i="72"/>
  <c r="EB351" i="72"/>
  <c r="DX351" i="72"/>
  <c r="EH351" i="72"/>
  <c r="EI351" i="72" s="1"/>
  <c r="EA351" i="72"/>
  <c r="DW351" i="72"/>
  <c r="H45" i="38"/>
  <c r="EM45" i="38"/>
  <c r="H43" i="40"/>
  <c r="EM43" i="40"/>
  <c r="AM347" i="72"/>
  <c r="AP347" i="72" s="1"/>
  <c r="EU40" i="11" s="1"/>
  <c r="CD261" i="72"/>
  <c r="ED218" i="72"/>
  <c r="EE218" i="72" s="1"/>
  <c r="CD393" i="72"/>
  <c r="CD481" i="72"/>
  <c r="AM171" i="72"/>
  <c r="AM479" i="72"/>
  <c r="AP479" i="72" s="1"/>
  <c r="EU37" i="14" s="1"/>
  <c r="EC132" i="72"/>
  <c r="DY132" i="72"/>
  <c r="DU132" i="72"/>
  <c r="EB132" i="72"/>
  <c r="DX132" i="72"/>
  <c r="EH132" i="72"/>
  <c r="EI132" i="72" s="1"/>
  <c r="EA132" i="72"/>
  <c r="DW132" i="72"/>
  <c r="DZ132" i="72"/>
  <c r="DV132" i="72"/>
  <c r="CD86" i="72"/>
  <c r="EC483" i="72"/>
  <c r="DY483" i="72"/>
  <c r="DU483" i="72"/>
  <c r="EB483" i="72"/>
  <c r="DX483" i="72"/>
  <c r="EH483" i="72"/>
  <c r="EI483" i="72" s="1"/>
  <c r="EA483" i="72"/>
  <c r="DW483" i="72"/>
  <c r="DZ483" i="72"/>
  <c r="DV483" i="72"/>
  <c r="H38" i="45"/>
  <c r="EM38" i="45"/>
  <c r="EB131" i="72"/>
  <c r="DX131" i="72"/>
  <c r="EH131" i="72"/>
  <c r="EI131" i="72" s="1"/>
  <c r="EM137" i="72" s="1"/>
  <c r="EA131" i="72"/>
  <c r="DW131" i="72"/>
  <c r="DZ131" i="72"/>
  <c r="DV131" i="72"/>
  <c r="EC131" i="72"/>
  <c r="DY131" i="72"/>
  <c r="DU131" i="72"/>
  <c r="H42" i="41"/>
  <c r="EM42" i="41"/>
  <c r="CD129" i="72"/>
  <c r="CD437" i="72"/>
  <c r="EB219" i="72"/>
  <c r="DX219" i="72"/>
  <c r="EH219" i="72"/>
  <c r="EI219" i="72" s="1"/>
  <c r="EA219" i="72"/>
  <c r="DW219" i="72"/>
  <c r="DZ219" i="72"/>
  <c r="DV219" i="72"/>
  <c r="EC219" i="72"/>
  <c r="DY219" i="72"/>
  <c r="DU219" i="72"/>
  <c r="ED174" i="72"/>
  <c r="EE174" i="72" s="1"/>
  <c r="EL47" i="72"/>
  <c r="EL7" i="72"/>
  <c r="EB439" i="72"/>
  <c r="DX439" i="72"/>
  <c r="EH439" i="72"/>
  <c r="EI439" i="72" s="1"/>
  <c r="EA439" i="72"/>
  <c r="DW439" i="72"/>
  <c r="DZ439" i="72"/>
  <c r="DV439" i="72"/>
  <c r="EC439" i="72"/>
  <c r="DY439" i="72"/>
  <c r="DU439" i="72"/>
  <c r="H41" i="42"/>
  <c r="EM41" i="42"/>
  <c r="CD217" i="72"/>
  <c r="H44" i="39"/>
  <c r="EM44" i="39"/>
  <c r="AM259" i="72"/>
  <c r="AP259" i="72" s="1"/>
  <c r="EU42" i="9" s="1"/>
  <c r="DZ175" i="72"/>
  <c r="DV175" i="72"/>
  <c r="EC175" i="72"/>
  <c r="DY175" i="72"/>
  <c r="DU175" i="72"/>
  <c r="EB175" i="72"/>
  <c r="DX175" i="72"/>
  <c r="EH175" i="72"/>
  <c r="EI175" i="72" s="1"/>
  <c r="EA175" i="72"/>
  <c r="DW175" i="72"/>
  <c r="AM435" i="72"/>
  <c r="AP435" i="72" s="1"/>
  <c r="EU38" i="13" s="1"/>
  <c r="ED306" i="72"/>
  <c r="EE306" i="72" s="1"/>
  <c r="ED262" i="72"/>
  <c r="EE262" i="72" s="1"/>
  <c r="ED130" i="72"/>
  <c r="EE130" i="72" s="1"/>
  <c r="ED438" i="72"/>
  <c r="EE438" i="72" s="1"/>
  <c r="K395" i="72"/>
  <c r="V395" i="72" s="1"/>
  <c r="AG395" i="72" s="1"/>
  <c r="G395" i="72"/>
  <c r="R395" i="72" s="1"/>
  <c r="AC395" i="72" s="1"/>
  <c r="J395" i="72"/>
  <c r="U395" i="72" s="1"/>
  <c r="AF395" i="72" s="1"/>
  <c r="F395" i="72"/>
  <c r="Q395" i="72" s="1"/>
  <c r="AB395" i="72" s="1"/>
  <c r="I395" i="72"/>
  <c r="T395" i="72" s="1"/>
  <c r="AE395" i="72" s="1"/>
  <c r="E395" i="72"/>
  <c r="P395" i="72" s="1"/>
  <c r="H395" i="72"/>
  <c r="S395" i="72" s="1"/>
  <c r="AD395" i="72" s="1"/>
  <c r="D395" i="72"/>
  <c r="O395" i="72" s="1"/>
  <c r="Z395" i="72" s="1"/>
  <c r="K175" i="72"/>
  <c r="V175" i="72" s="1"/>
  <c r="AG175" i="72" s="1"/>
  <c r="G175" i="72"/>
  <c r="R175" i="72" s="1"/>
  <c r="AC175" i="72" s="1"/>
  <c r="J175" i="72"/>
  <c r="U175" i="72" s="1"/>
  <c r="AF175" i="72" s="1"/>
  <c r="F175" i="72"/>
  <c r="Q175" i="72" s="1"/>
  <c r="AB175" i="72" s="1"/>
  <c r="I175" i="72"/>
  <c r="T175" i="72" s="1"/>
  <c r="AE175" i="72" s="1"/>
  <c r="E175" i="72"/>
  <c r="P175" i="72" s="1"/>
  <c r="H175" i="72"/>
  <c r="S175" i="72" s="1"/>
  <c r="AD175" i="72" s="1"/>
  <c r="D175" i="72"/>
  <c r="O175" i="72" s="1"/>
  <c r="Z175" i="72" s="1"/>
  <c r="K263" i="72"/>
  <c r="V263" i="72" s="1"/>
  <c r="AG263" i="72" s="1"/>
  <c r="G263" i="72"/>
  <c r="R263" i="72" s="1"/>
  <c r="AC263" i="72" s="1"/>
  <c r="J263" i="72"/>
  <c r="U263" i="72" s="1"/>
  <c r="AF263" i="72" s="1"/>
  <c r="F263" i="72"/>
  <c r="Q263" i="72" s="1"/>
  <c r="AB263" i="72" s="1"/>
  <c r="I263" i="72"/>
  <c r="T263" i="72" s="1"/>
  <c r="AE263" i="72" s="1"/>
  <c r="E263" i="72"/>
  <c r="P263" i="72" s="1"/>
  <c r="H263" i="72"/>
  <c r="S263" i="72" s="1"/>
  <c r="AD263" i="72" s="1"/>
  <c r="D263" i="72"/>
  <c r="O263" i="72" s="1"/>
  <c r="Z263" i="72" s="1"/>
  <c r="K483" i="72"/>
  <c r="V483" i="72" s="1"/>
  <c r="AG483" i="72" s="1"/>
  <c r="G483" i="72"/>
  <c r="R483" i="72" s="1"/>
  <c r="AC483" i="72" s="1"/>
  <c r="J483" i="72"/>
  <c r="U483" i="72" s="1"/>
  <c r="AF483" i="72" s="1"/>
  <c r="F483" i="72"/>
  <c r="Q483" i="72" s="1"/>
  <c r="AB483" i="72" s="1"/>
  <c r="I483" i="72"/>
  <c r="T483" i="72" s="1"/>
  <c r="AE483" i="72" s="1"/>
  <c r="E483" i="72"/>
  <c r="P483" i="72" s="1"/>
  <c r="AA483" i="72" s="1"/>
  <c r="H483" i="72"/>
  <c r="S483" i="72" s="1"/>
  <c r="AD483" i="72" s="1"/>
  <c r="D483" i="72"/>
  <c r="O483" i="72" s="1"/>
  <c r="K132" i="72"/>
  <c r="V132" i="72" s="1"/>
  <c r="AG132" i="72" s="1"/>
  <c r="G132" i="72"/>
  <c r="R132" i="72" s="1"/>
  <c r="AC132" i="72" s="1"/>
  <c r="J132" i="72"/>
  <c r="U132" i="72" s="1"/>
  <c r="AF132" i="72" s="1"/>
  <c r="F132" i="72"/>
  <c r="Q132" i="72" s="1"/>
  <c r="AB132" i="72" s="1"/>
  <c r="I132" i="72"/>
  <c r="T132" i="72" s="1"/>
  <c r="AE132" i="72" s="1"/>
  <c r="E132" i="72"/>
  <c r="P132" i="72" s="1"/>
  <c r="H132" i="72"/>
  <c r="S132" i="72" s="1"/>
  <c r="AD132" i="72" s="1"/>
  <c r="D132" i="72"/>
  <c r="O132" i="72" s="1"/>
  <c r="Z132" i="72" s="1"/>
  <c r="K439" i="72"/>
  <c r="V439" i="72" s="1"/>
  <c r="AG439" i="72" s="1"/>
  <c r="G439" i="72"/>
  <c r="R439" i="72" s="1"/>
  <c r="AC439" i="72" s="1"/>
  <c r="J439" i="72"/>
  <c r="U439" i="72" s="1"/>
  <c r="AF439" i="72" s="1"/>
  <c r="F439" i="72"/>
  <c r="Q439" i="72" s="1"/>
  <c r="AB439" i="72" s="1"/>
  <c r="I439" i="72"/>
  <c r="T439" i="72" s="1"/>
  <c r="AE439" i="72" s="1"/>
  <c r="E439" i="72"/>
  <c r="P439" i="72" s="1"/>
  <c r="H439" i="72"/>
  <c r="S439" i="72" s="1"/>
  <c r="AD439" i="72" s="1"/>
  <c r="D439" i="72"/>
  <c r="O439" i="72" s="1"/>
  <c r="Z439" i="72" s="1"/>
  <c r="K307" i="72"/>
  <c r="V307" i="72" s="1"/>
  <c r="AG307" i="72" s="1"/>
  <c r="G307" i="72"/>
  <c r="R307" i="72" s="1"/>
  <c r="AC307" i="72" s="1"/>
  <c r="J307" i="72"/>
  <c r="U307" i="72" s="1"/>
  <c r="AF307" i="72" s="1"/>
  <c r="F307" i="72"/>
  <c r="Q307" i="72" s="1"/>
  <c r="AB307" i="72" s="1"/>
  <c r="I307" i="72"/>
  <c r="T307" i="72" s="1"/>
  <c r="AE307" i="72" s="1"/>
  <c r="E307" i="72"/>
  <c r="P307" i="72" s="1"/>
  <c r="AA307" i="72" s="1"/>
  <c r="H307" i="72"/>
  <c r="S307" i="72" s="1"/>
  <c r="AD307" i="72" s="1"/>
  <c r="D307" i="72"/>
  <c r="O307" i="72" s="1"/>
  <c r="K527" i="72"/>
  <c r="V527" i="72" s="1"/>
  <c r="AG527" i="72" s="1"/>
  <c r="G527" i="72"/>
  <c r="R527" i="72" s="1"/>
  <c r="AC527" i="72" s="1"/>
  <c r="J527" i="72"/>
  <c r="U527" i="72" s="1"/>
  <c r="AF527" i="72" s="1"/>
  <c r="F527" i="72"/>
  <c r="Q527" i="72" s="1"/>
  <c r="AB527" i="72" s="1"/>
  <c r="I527" i="72"/>
  <c r="T527" i="72" s="1"/>
  <c r="AE527" i="72" s="1"/>
  <c r="E527" i="72"/>
  <c r="P527" i="72" s="1"/>
  <c r="H527" i="72"/>
  <c r="S527" i="72" s="1"/>
  <c r="AD527" i="72" s="1"/>
  <c r="D527" i="72"/>
  <c r="O527" i="72" s="1"/>
  <c r="Z527" i="72" s="1"/>
  <c r="K131" i="72"/>
  <c r="V131" i="72" s="1"/>
  <c r="AG131" i="72" s="1"/>
  <c r="G131" i="72"/>
  <c r="R131" i="72" s="1"/>
  <c r="AC131" i="72" s="1"/>
  <c r="J131" i="72"/>
  <c r="U131" i="72" s="1"/>
  <c r="AF131" i="72" s="1"/>
  <c r="F131" i="72"/>
  <c r="Q131" i="72" s="1"/>
  <c r="AB131" i="72" s="1"/>
  <c r="I131" i="72"/>
  <c r="T131" i="72" s="1"/>
  <c r="AE131" i="72" s="1"/>
  <c r="E131" i="72"/>
  <c r="P131" i="72" s="1"/>
  <c r="AA131" i="72" s="1"/>
  <c r="H131" i="72"/>
  <c r="S131" i="72" s="1"/>
  <c r="AD131" i="72" s="1"/>
  <c r="D131" i="72"/>
  <c r="O131" i="72" s="1"/>
  <c r="K351" i="72"/>
  <c r="V351" i="72" s="1"/>
  <c r="AG351" i="72" s="1"/>
  <c r="G351" i="72"/>
  <c r="R351" i="72" s="1"/>
  <c r="AC351" i="72" s="1"/>
  <c r="J351" i="72"/>
  <c r="U351" i="72" s="1"/>
  <c r="AF351" i="72" s="1"/>
  <c r="F351" i="72"/>
  <c r="Q351" i="72" s="1"/>
  <c r="AB351" i="72" s="1"/>
  <c r="I351" i="72"/>
  <c r="T351" i="72" s="1"/>
  <c r="AE351" i="72" s="1"/>
  <c r="E351" i="72"/>
  <c r="P351" i="72" s="1"/>
  <c r="H351" i="72"/>
  <c r="S351" i="72" s="1"/>
  <c r="AD351" i="72" s="1"/>
  <c r="D351" i="72"/>
  <c r="O351" i="72" s="1"/>
  <c r="Z351" i="72" s="1"/>
  <c r="K219" i="72"/>
  <c r="V219" i="72" s="1"/>
  <c r="AG219" i="72" s="1"/>
  <c r="G219" i="72"/>
  <c r="R219" i="72" s="1"/>
  <c r="AC219" i="72" s="1"/>
  <c r="J219" i="72"/>
  <c r="U219" i="72" s="1"/>
  <c r="AF219" i="72" s="1"/>
  <c r="F219" i="72"/>
  <c r="Q219" i="72" s="1"/>
  <c r="AB219" i="72" s="1"/>
  <c r="I219" i="72"/>
  <c r="T219" i="72" s="1"/>
  <c r="AE219" i="72" s="1"/>
  <c r="E219" i="72"/>
  <c r="P219" i="72" s="1"/>
  <c r="H219" i="72"/>
  <c r="S219" i="72" s="1"/>
  <c r="AD219" i="72" s="1"/>
  <c r="D219" i="72"/>
  <c r="O219" i="72" s="1"/>
  <c r="Z219" i="72" s="1"/>
  <c r="AQ393" i="72"/>
  <c r="ER44" i="6"/>
  <c r="EU44" i="6"/>
  <c r="ER46" i="5"/>
  <c r="EU46" i="5"/>
  <c r="AY525" i="72"/>
  <c r="BG525" i="72"/>
  <c r="BB525" i="72"/>
  <c r="AY87" i="72"/>
  <c r="BG87" i="72"/>
  <c r="BB87" i="72"/>
  <c r="AP87" i="72" s="1"/>
  <c r="K35" i="44"/>
  <c r="L35" i="44" s="1"/>
  <c r="E35" i="44" s="1"/>
  <c r="D74" i="44" s="1"/>
  <c r="E74" i="44" s="1"/>
  <c r="BF172" i="72"/>
  <c r="BC172" i="72"/>
  <c r="BD172" i="72" s="1"/>
  <c r="AY305" i="72"/>
  <c r="L262" i="72"/>
  <c r="M262" i="72" s="1"/>
  <c r="I43" i="39"/>
  <c r="A352" i="72"/>
  <c r="A43" i="41"/>
  <c r="FB45" i="11"/>
  <c r="BH45" i="11" s="1"/>
  <c r="BN45" i="13"/>
  <c r="BJ44" i="13"/>
  <c r="L306" i="72"/>
  <c r="M306" i="72" s="1"/>
  <c r="A396" i="72"/>
  <c r="FB44" i="12"/>
  <c r="BH44" i="12" s="1"/>
  <c r="A42" i="42"/>
  <c r="BA39" i="44"/>
  <c r="K37" i="42"/>
  <c r="L37" i="42" s="1"/>
  <c r="E37" i="42" s="1"/>
  <c r="D76" i="42" s="1"/>
  <c r="E76" i="42" s="1"/>
  <c r="BG393" i="72"/>
  <c r="BB393" i="72"/>
  <c r="BN49" i="9"/>
  <c r="BJ48" i="9"/>
  <c r="BG481" i="72"/>
  <c r="BB481" i="72"/>
  <c r="I41" i="41"/>
  <c r="BA38" i="45"/>
  <c r="A47" i="37"/>
  <c r="A176" i="72"/>
  <c r="FB49" i="7"/>
  <c r="BH49" i="7" s="1"/>
  <c r="BF392" i="72"/>
  <c r="BC392" i="72"/>
  <c r="BD392" i="72" s="1"/>
  <c r="A46" i="38"/>
  <c r="A220" i="72"/>
  <c r="FB48" i="8"/>
  <c r="BH48" i="8" s="1"/>
  <c r="FB46" i="10"/>
  <c r="BH46" i="10" s="1"/>
  <c r="A308" i="72"/>
  <c r="A44" i="40"/>
  <c r="BG349" i="72"/>
  <c r="BB349" i="72"/>
  <c r="BG173" i="72"/>
  <c r="BB173" i="72"/>
  <c r="BC85" i="72"/>
  <c r="BD85" i="72" s="1"/>
  <c r="AM85" i="72" s="1"/>
  <c r="AP85" i="72" s="1"/>
  <c r="BF85" i="72"/>
  <c r="K43" i="36"/>
  <c r="L43" i="36" s="1"/>
  <c r="E43" i="36" s="1"/>
  <c r="D82" i="36" s="1"/>
  <c r="I37" i="45"/>
  <c r="BC128" i="72"/>
  <c r="BD128" i="72" s="1"/>
  <c r="AM128" i="72" s="1"/>
  <c r="AP128" i="72" s="1"/>
  <c r="BF128" i="72"/>
  <c r="L218" i="72"/>
  <c r="M218" i="72" s="1"/>
  <c r="BG129" i="72"/>
  <c r="BB129" i="72"/>
  <c r="BN44" i="14"/>
  <c r="BJ43" i="14"/>
  <c r="BF480" i="72"/>
  <c r="BC480" i="72"/>
  <c r="BD480" i="72" s="1"/>
  <c r="AY217" i="72"/>
  <c r="BG437" i="72"/>
  <c r="BB437" i="72"/>
  <c r="I46" i="36"/>
  <c r="BA44" i="39"/>
  <c r="L350" i="72"/>
  <c r="M350" i="72" s="1"/>
  <c r="FB41" i="15"/>
  <c r="BH41" i="15" s="1"/>
  <c r="GC41" i="15" s="1"/>
  <c r="FX365" i="34" s="1"/>
  <c r="A528" i="72"/>
  <c r="A39" i="45"/>
  <c r="BA46" i="37"/>
  <c r="BA45" i="38"/>
  <c r="K36" i="43"/>
  <c r="L36" i="43" s="1"/>
  <c r="E36" i="43" s="1"/>
  <c r="D75" i="43" s="1"/>
  <c r="E75" i="43" s="1"/>
  <c r="BG261" i="72"/>
  <c r="BB261" i="72"/>
  <c r="L482" i="72"/>
  <c r="M482" i="72" s="1"/>
  <c r="K41" i="38"/>
  <c r="L41" i="38" s="1"/>
  <c r="E41" i="38" s="1"/>
  <c r="D80" i="38" s="1"/>
  <c r="K39" i="40"/>
  <c r="L39" i="40" s="1"/>
  <c r="E39" i="40" s="1"/>
  <c r="D78" i="40" s="1"/>
  <c r="E78" i="40" s="1"/>
  <c r="BG305" i="72"/>
  <c r="BB305" i="72"/>
  <c r="BA48" i="36"/>
  <c r="K42" i="37"/>
  <c r="L42" i="37" s="1"/>
  <c r="E42" i="37" s="1"/>
  <c r="D81" i="37" s="1"/>
  <c r="BN47" i="11"/>
  <c r="BJ46" i="11"/>
  <c r="L526" i="72"/>
  <c r="M526" i="72" s="1"/>
  <c r="BB86" i="72"/>
  <c r="AP86" i="72" s="1"/>
  <c r="AY86" i="72"/>
  <c r="BG86" i="72"/>
  <c r="K45" i="35"/>
  <c r="L45" i="35" s="1"/>
  <c r="E45" i="35" s="1"/>
  <c r="D84" i="35" s="1"/>
  <c r="I44" i="38"/>
  <c r="FB43" i="13"/>
  <c r="BH43" i="13" s="1"/>
  <c r="A41" i="43"/>
  <c r="A440" i="72"/>
  <c r="BN46" i="12"/>
  <c r="BJ45" i="12"/>
  <c r="J39" i="44"/>
  <c r="BF524" i="72"/>
  <c r="BC524" i="72"/>
  <c r="BD524" i="72" s="1"/>
  <c r="AY393" i="72"/>
  <c r="L130" i="72"/>
  <c r="M130" i="72" s="1"/>
  <c r="A45" i="39"/>
  <c r="FB47" i="9"/>
  <c r="BH47" i="9" s="1"/>
  <c r="A264" i="72"/>
  <c r="AY481" i="72"/>
  <c r="A177" i="72"/>
  <c r="FB50" i="7"/>
  <c r="A48" i="37"/>
  <c r="BF304" i="72"/>
  <c r="BC304" i="72"/>
  <c r="BD304" i="72" s="1"/>
  <c r="BJ49" i="8"/>
  <c r="BN50" i="8"/>
  <c r="BJ50" i="8" s="1"/>
  <c r="L438" i="72"/>
  <c r="M438" i="72" s="1"/>
  <c r="BN48" i="10"/>
  <c r="BJ47" i="10"/>
  <c r="BF216" i="72"/>
  <c r="BC216" i="72"/>
  <c r="BD216" i="72" s="1"/>
  <c r="I38" i="44"/>
  <c r="AY349" i="72"/>
  <c r="AY173" i="72"/>
  <c r="K34" i="45"/>
  <c r="L34" i="45" s="1"/>
  <c r="E34" i="45" s="1"/>
  <c r="D73" i="45" s="1"/>
  <c r="E73" i="45" s="1"/>
  <c r="BA47" i="36"/>
  <c r="BA42" i="41"/>
  <c r="BF436" i="72"/>
  <c r="BC436" i="72"/>
  <c r="BD436" i="72" s="1"/>
  <c r="L174" i="72"/>
  <c r="M174" i="72" s="1"/>
  <c r="I45" i="37"/>
  <c r="BF260" i="72"/>
  <c r="BC260" i="72"/>
  <c r="BD260" i="72" s="1"/>
  <c r="BA40" i="43"/>
  <c r="I42" i="40"/>
  <c r="BA41" i="42"/>
  <c r="AY129" i="72"/>
  <c r="A40" i="44"/>
  <c r="FB42" i="14"/>
  <c r="BH42" i="14" s="1"/>
  <c r="A484" i="72"/>
  <c r="BG217" i="72"/>
  <c r="BB217" i="72"/>
  <c r="BF348" i="72"/>
  <c r="BC348" i="72"/>
  <c r="BD348" i="72" s="1"/>
  <c r="AY437" i="72"/>
  <c r="K40" i="39"/>
  <c r="L40" i="39" s="1"/>
  <c r="E40" i="39" s="1"/>
  <c r="D79" i="39" s="1"/>
  <c r="E79" i="39" s="1"/>
  <c r="BN43" i="15"/>
  <c r="BJ42" i="15"/>
  <c r="I39" i="43"/>
  <c r="BA43" i="40"/>
  <c r="L394" i="72"/>
  <c r="M394" i="72" s="1"/>
  <c r="I40" i="42"/>
  <c r="K38" i="41"/>
  <c r="L38" i="41" s="1"/>
  <c r="E38" i="41" s="1"/>
  <c r="D77" i="41" s="1"/>
  <c r="E77" i="41" s="1"/>
  <c r="AY261" i="72"/>
  <c r="EM97" i="72" l="1"/>
  <c r="J43" i="40"/>
  <c r="AL45" i="36"/>
  <c r="AL46" i="36"/>
  <c r="AL42" i="36"/>
  <c r="AO42" i="36" s="1"/>
  <c r="AP42" i="36" s="1"/>
  <c r="AQ42" i="36" s="1"/>
  <c r="J47" i="36"/>
  <c r="J42" i="41"/>
  <c r="G74" i="44"/>
  <c r="F74" i="44"/>
  <c r="G79" i="39"/>
  <c r="F79" i="39"/>
  <c r="G78" i="40"/>
  <c r="F78" i="40"/>
  <c r="G77" i="41"/>
  <c r="F77" i="41"/>
  <c r="G75" i="43"/>
  <c r="F75" i="43"/>
  <c r="G73" i="45"/>
  <c r="F73" i="45"/>
  <c r="G76" i="42"/>
  <c r="F76" i="42"/>
  <c r="AL41" i="36"/>
  <c r="AL44" i="36"/>
  <c r="AL40" i="36"/>
  <c r="AO40" i="36" s="1"/>
  <c r="AP40" i="36" s="1"/>
  <c r="AQ40" i="36" s="1"/>
  <c r="ER36" i="15"/>
  <c r="ER43" i="8"/>
  <c r="J45" i="38"/>
  <c r="BI13" i="6"/>
  <c r="GC42" i="14"/>
  <c r="FX335" i="34" s="1"/>
  <c r="EV50" i="14"/>
  <c r="EV50" i="5"/>
  <c r="AA50" i="5" s="1"/>
  <c r="GC46" i="10"/>
  <c r="FX215" i="34" s="1"/>
  <c r="EV50" i="12"/>
  <c r="GC44" i="12"/>
  <c r="FX275" i="34" s="1"/>
  <c r="GC43" i="13"/>
  <c r="FX305" i="34" s="1"/>
  <c r="GC48" i="8"/>
  <c r="FX155" i="34" s="1"/>
  <c r="EV50" i="9"/>
  <c r="EV49" i="5"/>
  <c r="AA49" i="5" s="1"/>
  <c r="GC47" i="9"/>
  <c r="FX185" i="34" s="1"/>
  <c r="GC49" i="7"/>
  <c r="FX125" i="34" s="1"/>
  <c r="GC45" i="11"/>
  <c r="FX245" i="34" s="1"/>
  <c r="EV50" i="7"/>
  <c r="AI130" i="72"/>
  <c r="AQ130" i="72" s="1"/>
  <c r="AI394" i="72"/>
  <c r="AQ394" i="72" s="1"/>
  <c r="AI218" i="72"/>
  <c r="AI350" i="72"/>
  <c r="AQ350" i="72" s="1"/>
  <c r="AI174" i="72"/>
  <c r="AQ174" i="72" s="1"/>
  <c r="AI306" i="72"/>
  <c r="AQ306" i="72" s="1"/>
  <c r="AI262" i="72"/>
  <c r="AQ262" i="72" s="1"/>
  <c r="AA219" i="72"/>
  <c r="W219" i="72"/>
  <c r="X219" i="72" s="1"/>
  <c r="W351" i="72"/>
  <c r="X351" i="72" s="1"/>
  <c r="AA351" i="72"/>
  <c r="W527" i="72"/>
  <c r="X527" i="72" s="1"/>
  <c r="AA527" i="72"/>
  <c r="W439" i="72"/>
  <c r="X439" i="72" s="1"/>
  <c r="AA439" i="72"/>
  <c r="W132" i="72"/>
  <c r="X132" i="72" s="1"/>
  <c r="AA132" i="72"/>
  <c r="W263" i="72"/>
  <c r="X263" i="72" s="1"/>
  <c r="AA263" i="72"/>
  <c r="W175" i="72"/>
  <c r="X175" i="72" s="1"/>
  <c r="AA175" i="72"/>
  <c r="AA395" i="72"/>
  <c r="W395" i="72"/>
  <c r="X395" i="72" s="1"/>
  <c r="AI482" i="72"/>
  <c r="AQ482" i="72" s="1"/>
  <c r="AI526" i="72"/>
  <c r="AQ526" i="72" s="1"/>
  <c r="W131" i="72"/>
  <c r="X131" i="72" s="1"/>
  <c r="Z131" i="72"/>
  <c r="W307" i="72"/>
  <c r="X307" i="72" s="1"/>
  <c r="Z307" i="72"/>
  <c r="W483" i="72"/>
  <c r="X483" i="72" s="1"/>
  <c r="Z483" i="72"/>
  <c r="AI438" i="72"/>
  <c r="AQ438" i="72" s="1"/>
  <c r="ER38" i="13"/>
  <c r="J44" i="39"/>
  <c r="ER42" i="9"/>
  <c r="J48" i="36"/>
  <c r="BC51" i="6"/>
  <c r="ER40" i="11"/>
  <c r="J46" i="37"/>
  <c r="J40" i="43"/>
  <c r="ER39" i="12"/>
  <c r="ER37" i="14"/>
  <c r="ER44" i="7"/>
  <c r="AP171" i="72"/>
  <c r="EU44" i="7" s="1"/>
  <c r="ER41" i="10"/>
  <c r="AP303" i="72"/>
  <c r="EU41" i="10" s="1"/>
  <c r="J38" i="45"/>
  <c r="EN45" i="37"/>
  <c r="BH50" i="7"/>
  <c r="FS48" i="8"/>
  <c r="BE48" i="8"/>
  <c r="BC48" i="8" s="1"/>
  <c r="FS42" i="14"/>
  <c r="BE42" i="14"/>
  <c r="BC42" i="14" s="1"/>
  <c r="J41" i="42"/>
  <c r="FS49" i="7"/>
  <c r="BE49" i="7"/>
  <c r="BC49" i="7" s="1"/>
  <c r="FS44" i="12"/>
  <c r="BE44" i="12"/>
  <c r="BC44" i="12" s="1"/>
  <c r="FS47" i="9"/>
  <c r="BE47" i="9"/>
  <c r="BC47" i="9" s="1"/>
  <c r="FS41" i="15"/>
  <c r="BE41" i="15"/>
  <c r="BC41" i="15" s="1"/>
  <c r="FS43" i="13"/>
  <c r="BE43" i="13"/>
  <c r="BC43" i="13" s="1"/>
  <c r="FS46" i="10"/>
  <c r="BE46" i="10"/>
  <c r="BC46" i="10" s="1"/>
  <c r="FS45" i="11"/>
  <c r="BE45" i="11"/>
  <c r="BC45" i="11" s="1"/>
  <c r="ED395" i="72"/>
  <c r="EE395" i="72" s="1"/>
  <c r="EV45" i="8"/>
  <c r="AA45" i="8" s="1"/>
  <c r="EV44" i="9"/>
  <c r="AA44" i="9" s="1"/>
  <c r="EV47" i="6"/>
  <c r="AA47" i="6" s="1"/>
  <c r="ED483" i="72"/>
  <c r="EE483" i="72" s="1"/>
  <c r="EV43" i="10"/>
  <c r="AA43" i="10" s="1"/>
  <c r="EV40" i="13"/>
  <c r="AA40" i="13" s="1"/>
  <c r="EV46" i="7"/>
  <c r="AA46" i="7" s="1"/>
  <c r="EV42" i="11"/>
  <c r="AA42" i="11" s="1"/>
  <c r="EV39" i="14"/>
  <c r="AA39" i="14" s="1"/>
  <c r="EV41" i="12"/>
  <c r="AA41" i="12" s="1"/>
  <c r="EV38" i="15"/>
  <c r="AA38" i="15" s="1"/>
  <c r="AM216" i="72"/>
  <c r="AP216" i="72" s="1"/>
  <c r="EU44" i="8" s="1"/>
  <c r="CD438" i="72"/>
  <c r="AM436" i="72"/>
  <c r="AP436" i="72" s="1"/>
  <c r="EU39" i="13" s="1"/>
  <c r="H48" i="37"/>
  <c r="EM48" i="37"/>
  <c r="H45" i="39"/>
  <c r="EM45" i="39"/>
  <c r="CD218" i="72"/>
  <c r="H44" i="40"/>
  <c r="EM44" i="40"/>
  <c r="EC220" i="72"/>
  <c r="DY220" i="72"/>
  <c r="DU220" i="72"/>
  <c r="EB220" i="72"/>
  <c r="DX220" i="72"/>
  <c r="EH220" i="72"/>
  <c r="EI220" i="72" s="1"/>
  <c r="EA220" i="72"/>
  <c r="DW220" i="72"/>
  <c r="DZ220" i="72"/>
  <c r="DV220" i="72"/>
  <c r="H42" i="42"/>
  <c r="EM42" i="42"/>
  <c r="CD306" i="72"/>
  <c r="ED175" i="72"/>
  <c r="EE175" i="72" s="1"/>
  <c r="EN46" i="37" s="1"/>
  <c r="EN47" i="72"/>
  <c r="BV47" i="72" s="1"/>
  <c r="BW47" i="72" s="1"/>
  <c r="EO47" i="72"/>
  <c r="ED131" i="72"/>
  <c r="EE131" i="72" s="1"/>
  <c r="ED132" i="72"/>
  <c r="EE132" i="72" s="1"/>
  <c r="EM96" i="72"/>
  <c r="ED351" i="72"/>
  <c r="EE351" i="72" s="1"/>
  <c r="ED307" i="72"/>
  <c r="EE307" i="72" s="1"/>
  <c r="H40" i="44"/>
  <c r="EM40" i="44"/>
  <c r="CD130" i="72"/>
  <c r="CD350" i="72"/>
  <c r="EC308" i="72"/>
  <c r="DY308" i="72"/>
  <c r="DU308" i="72"/>
  <c r="EB308" i="72"/>
  <c r="DX308" i="72"/>
  <c r="EH308" i="72"/>
  <c r="EI308" i="72" s="1"/>
  <c r="EA308" i="72"/>
  <c r="DW308" i="72"/>
  <c r="DZ308" i="72"/>
  <c r="DV308" i="72"/>
  <c r="H46" i="38"/>
  <c r="EM46" i="38"/>
  <c r="EH176" i="72"/>
  <c r="EI176" i="72" s="1"/>
  <c r="EA176" i="72"/>
  <c r="DW176" i="72"/>
  <c r="DZ176" i="72"/>
  <c r="DV176" i="72"/>
  <c r="EC176" i="72"/>
  <c r="DY176" i="72"/>
  <c r="DU176" i="72"/>
  <c r="EB176" i="72"/>
  <c r="DX176" i="72"/>
  <c r="H43" i="41"/>
  <c r="EM43" i="41"/>
  <c r="CD262" i="72"/>
  <c r="ED263" i="72"/>
  <c r="EE263" i="72" s="1"/>
  <c r="AM348" i="72"/>
  <c r="AP348" i="72" s="1"/>
  <c r="EU41" i="11" s="1"/>
  <c r="CD174" i="72"/>
  <c r="AM304" i="72"/>
  <c r="AP304" i="72" s="1"/>
  <c r="EU42" i="10" s="1"/>
  <c r="EB177" i="72"/>
  <c r="DX177" i="72"/>
  <c r="EH177" i="72"/>
  <c r="EI177" i="72" s="1"/>
  <c r="EA177" i="72"/>
  <c r="DW177" i="72"/>
  <c r="DZ177" i="72"/>
  <c r="DV177" i="72"/>
  <c r="EC177" i="72"/>
  <c r="DY177" i="72"/>
  <c r="DU177" i="72"/>
  <c r="EH264" i="72"/>
  <c r="EI264" i="72" s="1"/>
  <c r="EA264" i="72"/>
  <c r="DW264" i="72"/>
  <c r="DZ264" i="72"/>
  <c r="DV264" i="72"/>
  <c r="EC264" i="72"/>
  <c r="DY264" i="72"/>
  <c r="DU264" i="72"/>
  <c r="EB264" i="72"/>
  <c r="DX264" i="72"/>
  <c r="EC440" i="72"/>
  <c r="DY440" i="72"/>
  <c r="DU440" i="72"/>
  <c r="EB440" i="72"/>
  <c r="DX440" i="72"/>
  <c r="EH440" i="72"/>
  <c r="EI440" i="72" s="1"/>
  <c r="EA440" i="72"/>
  <c r="DW440" i="72"/>
  <c r="DZ440" i="72"/>
  <c r="DV440" i="72"/>
  <c r="H39" i="45"/>
  <c r="EM39" i="45"/>
  <c r="AM392" i="72"/>
  <c r="H47" i="37"/>
  <c r="EM47" i="37"/>
  <c r="EC396" i="72"/>
  <c r="DY396" i="72"/>
  <c r="DU396" i="72"/>
  <c r="EB396" i="72"/>
  <c r="DX396" i="72"/>
  <c r="EH396" i="72"/>
  <c r="EI396" i="72" s="1"/>
  <c r="EA396" i="72"/>
  <c r="DW396" i="72"/>
  <c r="DZ396" i="72"/>
  <c r="DV396" i="72"/>
  <c r="EH352" i="72"/>
  <c r="EI352" i="72" s="1"/>
  <c r="EA352" i="72"/>
  <c r="DW352" i="72"/>
  <c r="DZ352" i="72"/>
  <c r="DV352" i="72"/>
  <c r="EC352" i="72"/>
  <c r="DY352" i="72"/>
  <c r="DU352" i="72"/>
  <c r="EB352" i="72"/>
  <c r="DX352" i="72"/>
  <c r="EL137" i="72"/>
  <c r="ED439" i="72"/>
  <c r="EE439" i="72" s="1"/>
  <c r="ED219" i="72"/>
  <c r="EE219" i="72" s="1"/>
  <c r="ED527" i="72"/>
  <c r="EE527" i="72" s="1"/>
  <c r="EN46" i="36"/>
  <c r="CD394" i="72"/>
  <c r="DZ484" i="72"/>
  <c r="DV484" i="72"/>
  <c r="EC484" i="72"/>
  <c r="DY484" i="72"/>
  <c r="DU484" i="72"/>
  <c r="EB484" i="72"/>
  <c r="DX484" i="72"/>
  <c r="EH484" i="72"/>
  <c r="EI484" i="72" s="1"/>
  <c r="EA484" i="72"/>
  <c r="DW484" i="72"/>
  <c r="AM260" i="72"/>
  <c r="AM524" i="72"/>
  <c r="AP524" i="72" s="1"/>
  <c r="EU37" i="15" s="1"/>
  <c r="H41" i="43"/>
  <c r="EM41" i="43"/>
  <c r="CD526" i="72"/>
  <c r="CD482" i="72"/>
  <c r="EB528" i="72"/>
  <c r="DX528" i="72"/>
  <c r="EH528" i="72"/>
  <c r="EI528" i="72" s="1"/>
  <c r="EA528" i="72"/>
  <c r="DW528" i="72"/>
  <c r="DZ528" i="72"/>
  <c r="DV528" i="72"/>
  <c r="EC528" i="72"/>
  <c r="DY528" i="72"/>
  <c r="DU528" i="72"/>
  <c r="AM480" i="72"/>
  <c r="AM172" i="72"/>
  <c r="EN7" i="72"/>
  <c r="BV7" i="72" s="1"/>
  <c r="BW7" i="72" s="1"/>
  <c r="EO7" i="72"/>
  <c r="EN43" i="37"/>
  <c r="EN40" i="37"/>
  <c r="EN41" i="37"/>
  <c r="EN44" i="37"/>
  <c r="EN42" i="37"/>
  <c r="EN47" i="36"/>
  <c r="K220" i="72"/>
  <c r="V220" i="72" s="1"/>
  <c r="AG220" i="72" s="1"/>
  <c r="G220" i="72"/>
  <c r="R220" i="72" s="1"/>
  <c r="AC220" i="72" s="1"/>
  <c r="J220" i="72"/>
  <c r="U220" i="72" s="1"/>
  <c r="AF220" i="72" s="1"/>
  <c r="F220" i="72"/>
  <c r="Q220" i="72" s="1"/>
  <c r="AB220" i="72" s="1"/>
  <c r="I220" i="72"/>
  <c r="T220" i="72" s="1"/>
  <c r="AE220" i="72" s="1"/>
  <c r="E220" i="72"/>
  <c r="P220" i="72" s="1"/>
  <c r="H220" i="72"/>
  <c r="S220" i="72" s="1"/>
  <c r="AD220" i="72" s="1"/>
  <c r="D220" i="72"/>
  <c r="O220" i="72" s="1"/>
  <c r="Z220" i="72" s="1"/>
  <c r="K396" i="72"/>
  <c r="V396" i="72" s="1"/>
  <c r="AG396" i="72" s="1"/>
  <c r="G396" i="72"/>
  <c r="R396" i="72" s="1"/>
  <c r="AC396" i="72" s="1"/>
  <c r="J396" i="72"/>
  <c r="U396" i="72" s="1"/>
  <c r="AF396" i="72" s="1"/>
  <c r="F396" i="72"/>
  <c r="Q396" i="72" s="1"/>
  <c r="AB396" i="72" s="1"/>
  <c r="I396" i="72"/>
  <c r="T396" i="72" s="1"/>
  <c r="AE396" i="72" s="1"/>
  <c r="E396" i="72"/>
  <c r="P396" i="72" s="1"/>
  <c r="H396" i="72"/>
  <c r="S396" i="72" s="1"/>
  <c r="AD396" i="72" s="1"/>
  <c r="D396" i="72"/>
  <c r="O396" i="72" s="1"/>
  <c r="Z396" i="72" s="1"/>
  <c r="K352" i="72"/>
  <c r="V352" i="72" s="1"/>
  <c r="AG352" i="72" s="1"/>
  <c r="G352" i="72"/>
  <c r="R352" i="72" s="1"/>
  <c r="AC352" i="72" s="1"/>
  <c r="J352" i="72"/>
  <c r="U352" i="72" s="1"/>
  <c r="AF352" i="72" s="1"/>
  <c r="F352" i="72"/>
  <c r="Q352" i="72" s="1"/>
  <c r="AB352" i="72" s="1"/>
  <c r="I352" i="72"/>
  <c r="T352" i="72" s="1"/>
  <c r="AE352" i="72" s="1"/>
  <c r="E352" i="72"/>
  <c r="P352" i="72" s="1"/>
  <c r="AA352" i="72" s="1"/>
  <c r="H352" i="72"/>
  <c r="S352" i="72" s="1"/>
  <c r="AD352" i="72" s="1"/>
  <c r="D352" i="72"/>
  <c r="O352" i="72" s="1"/>
  <c r="K308" i="72"/>
  <c r="V308" i="72" s="1"/>
  <c r="AG308" i="72" s="1"/>
  <c r="G308" i="72"/>
  <c r="R308" i="72" s="1"/>
  <c r="AC308" i="72" s="1"/>
  <c r="J308" i="72"/>
  <c r="U308" i="72" s="1"/>
  <c r="AF308" i="72" s="1"/>
  <c r="F308" i="72"/>
  <c r="Q308" i="72" s="1"/>
  <c r="AB308" i="72" s="1"/>
  <c r="I308" i="72"/>
  <c r="T308" i="72" s="1"/>
  <c r="AE308" i="72" s="1"/>
  <c r="E308" i="72"/>
  <c r="P308" i="72" s="1"/>
  <c r="H308" i="72"/>
  <c r="S308" i="72" s="1"/>
  <c r="AD308" i="72" s="1"/>
  <c r="D308" i="72"/>
  <c r="O308" i="72" s="1"/>
  <c r="Z308" i="72" s="1"/>
  <c r="K176" i="72"/>
  <c r="V176" i="72" s="1"/>
  <c r="AG176" i="72" s="1"/>
  <c r="G176" i="72"/>
  <c r="R176" i="72" s="1"/>
  <c r="AC176" i="72" s="1"/>
  <c r="J176" i="72"/>
  <c r="U176" i="72" s="1"/>
  <c r="AF176" i="72" s="1"/>
  <c r="F176" i="72"/>
  <c r="Q176" i="72" s="1"/>
  <c r="AB176" i="72" s="1"/>
  <c r="I176" i="72"/>
  <c r="T176" i="72" s="1"/>
  <c r="AE176" i="72" s="1"/>
  <c r="E176" i="72"/>
  <c r="P176" i="72" s="1"/>
  <c r="AA176" i="72" s="1"/>
  <c r="H176" i="72"/>
  <c r="S176" i="72" s="1"/>
  <c r="AD176" i="72" s="1"/>
  <c r="D176" i="72"/>
  <c r="O176" i="72" s="1"/>
  <c r="K484" i="72"/>
  <c r="V484" i="72" s="1"/>
  <c r="AG484" i="72" s="1"/>
  <c r="G484" i="72"/>
  <c r="R484" i="72" s="1"/>
  <c r="AC484" i="72" s="1"/>
  <c r="J484" i="72"/>
  <c r="U484" i="72" s="1"/>
  <c r="AF484" i="72" s="1"/>
  <c r="F484" i="72"/>
  <c r="Q484" i="72" s="1"/>
  <c r="AB484" i="72" s="1"/>
  <c r="I484" i="72"/>
  <c r="T484" i="72" s="1"/>
  <c r="AE484" i="72" s="1"/>
  <c r="E484" i="72"/>
  <c r="P484" i="72" s="1"/>
  <c r="H484" i="72"/>
  <c r="S484" i="72" s="1"/>
  <c r="AD484" i="72" s="1"/>
  <c r="D484" i="72"/>
  <c r="O484" i="72" s="1"/>
  <c r="Z484" i="72" s="1"/>
  <c r="K177" i="72"/>
  <c r="V177" i="72" s="1"/>
  <c r="AG177" i="72" s="1"/>
  <c r="G177" i="72"/>
  <c r="R177" i="72" s="1"/>
  <c r="AC177" i="72" s="1"/>
  <c r="J177" i="72"/>
  <c r="U177" i="72" s="1"/>
  <c r="AF177" i="72" s="1"/>
  <c r="F177" i="72"/>
  <c r="Q177" i="72" s="1"/>
  <c r="AB177" i="72" s="1"/>
  <c r="I177" i="72"/>
  <c r="T177" i="72" s="1"/>
  <c r="AE177" i="72" s="1"/>
  <c r="E177" i="72"/>
  <c r="P177" i="72" s="1"/>
  <c r="H177" i="72"/>
  <c r="S177" i="72" s="1"/>
  <c r="AD177" i="72" s="1"/>
  <c r="D177" i="72"/>
  <c r="O177" i="72" s="1"/>
  <c r="Z177" i="72" s="1"/>
  <c r="K264" i="72"/>
  <c r="V264" i="72" s="1"/>
  <c r="AG264" i="72" s="1"/>
  <c r="G264" i="72"/>
  <c r="R264" i="72" s="1"/>
  <c r="AC264" i="72" s="1"/>
  <c r="J264" i="72"/>
  <c r="U264" i="72" s="1"/>
  <c r="AF264" i="72" s="1"/>
  <c r="F264" i="72"/>
  <c r="Q264" i="72" s="1"/>
  <c r="AB264" i="72" s="1"/>
  <c r="I264" i="72"/>
  <c r="T264" i="72" s="1"/>
  <c r="AE264" i="72" s="1"/>
  <c r="E264" i="72"/>
  <c r="P264" i="72" s="1"/>
  <c r="H264" i="72"/>
  <c r="S264" i="72" s="1"/>
  <c r="AD264" i="72" s="1"/>
  <c r="D264" i="72"/>
  <c r="O264" i="72" s="1"/>
  <c r="Z264" i="72" s="1"/>
  <c r="K440" i="72"/>
  <c r="V440" i="72" s="1"/>
  <c r="AG440" i="72" s="1"/>
  <c r="G440" i="72"/>
  <c r="R440" i="72" s="1"/>
  <c r="AC440" i="72" s="1"/>
  <c r="J440" i="72"/>
  <c r="U440" i="72" s="1"/>
  <c r="AF440" i="72" s="1"/>
  <c r="F440" i="72"/>
  <c r="Q440" i="72" s="1"/>
  <c r="AB440" i="72" s="1"/>
  <c r="I440" i="72"/>
  <c r="T440" i="72" s="1"/>
  <c r="AE440" i="72" s="1"/>
  <c r="E440" i="72"/>
  <c r="P440" i="72" s="1"/>
  <c r="H440" i="72"/>
  <c r="S440" i="72" s="1"/>
  <c r="AD440" i="72" s="1"/>
  <c r="D440" i="72"/>
  <c r="O440" i="72" s="1"/>
  <c r="Z440" i="72" s="1"/>
  <c r="K528" i="72"/>
  <c r="V528" i="72" s="1"/>
  <c r="AG528" i="72" s="1"/>
  <c r="G528" i="72"/>
  <c r="R528" i="72" s="1"/>
  <c r="AC528" i="72" s="1"/>
  <c r="J528" i="72"/>
  <c r="U528" i="72" s="1"/>
  <c r="AF528" i="72" s="1"/>
  <c r="F528" i="72"/>
  <c r="Q528" i="72" s="1"/>
  <c r="AB528" i="72" s="1"/>
  <c r="I528" i="72"/>
  <c r="T528" i="72" s="1"/>
  <c r="AE528" i="72" s="1"/>
  <c r="E528" i="72"/>
  <c r="P528" i="72" s="1"/>
  <c r="AA528" i="72" s="1"/>
  <c r="H528" i="72"/>
  <c r="S528" i="72" s="1"/>
  <c r="AD528" i="72" s="1"/>
  <c r="D528" i="72"/>
  <c r="O528" i="72" s="1"/>
  <c r="ER45" i="6"/>
  <c r="EU45" i="6"/>
  <c r="ER47" i="5"/>
  <c r="EU47" i="5"/>
  <c r="BG394" i="72"/>
  <c r="BB394" i="72"/>
  <c r="I45" i="38"/>
  <c r="I46" i="37"/>
  <c r="L175" i="72"/>
  <c r="M175" i="72" s="1"/>
  <c r="BN44" i="15"/>
  <c r="BJ43" i="15"/>
  <c r="BA40" i="44"/>
  <c r="I41" i="42"/>
  <c r="K41" i="39"/>
  <c r="L41" i="39" s="1"/>
  <c r="E41" i="39" s="1"/>
  <c r="D80" i="39" s="1"/>
  <c r="E80" i="39" s="1"/>
  <c r="AY174" i="72"/>
  <c r="I47" i="36"/>
  <c r="A309" i="72"/>
  <c r="A45" i="40"/>
  <c r="FB47" i="10"/>
  <c r="BH47" i="10" s="1"/>
  <c r="BG438" i="72"/>
  <c r="BB438" i="72"/>
  <c r="A48" i="38"/>
  <c r="A222" i="72"/>
  <c r="FB50" i="8"/>
  <c r="BH50" i="8" s="1"/>
  <c r="K40" i="40"/>
  <c r="L40" i="40" s="1"/>
  <c r="E40" i="40" s="1"/>
  <c r="D79" i="40" s="1"/>
  <c r="E79" i="40" s="1"/>
  <c r="AY130" i="72"/>
  <c r="K35" i="45"/>
  <c r="L35" i="45" s="1"/>
  <c r="E35" i="45" s="1"/>
  <c r="D74" i="45" s="1"/>
  <c r="E74" i="45" s="1"/>
  <c r="A43" i="42"/>
  <c r="FB45" i="12"/>
  <c r="BH45" i="12" s="1"/>
  <c r="A397" i="72"/>
  <c r="BC86" i="72"/>
  <c r="BD86" i="72" s="1"/>
  <c r="AM86" i="72" s="1"/>
  <c r="BF86" i="72"/>
  <c r="BG526" i="72"/>
  <c r="BB526" i="72"/>
  <c r="BN48" i="11"/>
  <c r="BJ47" i="11"/>
  <c r="BF305" i="72"/>
  <c r="BC305" i="72"/>
  <c r="BD305" i="72" s="1"/>
  <c r="AY482" i="72"/>
  <c r="BF261" i="72"/>
  <c r="BC261" i="72"/>
  <c r="BD261" i="72" s="1"/>
  <c r="L307" i="72"/>
  <c r="M307" i="72" s="1"/>
  <c r="BF437" i="72"/>
  <c r="BC437" i="72"/>
  <c r="BD437" i="72" s="1"/>
  <c r="K36" i="44"/>
  <c r="L36" i="44" s="1"/>
  <c r="E36" i="44" s="1"/>
  <c r="D75" i="44" s="1"/>
  <c r="E75" i="44" s="1"/>
  <c r="BN45" i="14"/>
  <c r="BJ44" i="14"/>
  <c r="L395" i="72"/>
  <c r="M395" i="72" s="1"/>
  <c r="L439" i="72"/>
  <c r="M439" i="72" s="1"/>
  <c r="BG218" i="72"/>
  <c r="BB218" i="72"/>
  <c r="I42" i="41"/>
  <c r="BF173" i="72"/>
  <c r="BC173" i="72"/>
  <c r="BD173" i="72" s="1"/>
  <c r="BF349" i="72"/>
  <c r="BC349" i="72"/>
  <c r="BD349" i="72" s="1"/>
  <c r="K38" i="42"/>
  <c r="L38" i="42" s="1"/>
  <c r="E38" i="42" s="1"/>
  <c r="D77" i="42" s="1"/>
  <c r="E77" i="42" s="1"/>
  <c r="BA47" i="37"/>
  <c r="BF481" i="72"/>
  <c r="BC481" i="72"/>
  <c r="BD481" i="72" s="1"/>
  <c r="BJ49" i="9"/>
  <c r="BN50" i="9"/>
  <c r="BJ50" i="9" s="1"/>
  <c r="BA42" i="42"/>
  <c r="AY306" i="72"/>
  <c r="FB44" i="13"/>
  <c r="BH44" i="13" s="1"/>
  <c r="A42" i="43"/>
  <c r="A441" i="72"/>
  <c r="BG262" i="72"/>
  <c r="BB262" i="72"/>
  <c r="I48" i="36"/>
  <c r="L132" i="72"/>
  <c r="M132" i="72" s="1"/>
  <c r="BF525" i="72"/>
  <c r="BC525" i="72"/>
  <c r="BD525" i="72" s="1"/>
  <c r="AQ87" i="72"/>
  <c r="AI89" i="72"/>
  <c r="AY394" i="72"/>
  <c r="I43" i="40"/>
  <c r="L219" i="72"/>
  <c r="M219" i="72" s="1"/>
  <c r="FB42" i="15"/>
  <c r="BH42" i="15" s="1"/>
  <c r="GC42" i="15" s="1"/>
  <c r="FX366" i="34" s="1"/>
  <c r="A40" i="45"/>
  <c r="A529" i="72"/>
  <c r="L263" i="72"/>
  <c r="M263" i="72" s="1"/>
  <c r="K39" i="41"/>
  <c r="L39" i="41" s="1"/>
  <c r="E39" i="41" s="1"/>
  <c r="D78" i="41" s="1"/>
  <c r="E78" i="41" s="1"/>
  <c r="BF217" i="72"/>
  <c r="BC217" i="72"/>
  <c r="BD217" i="72" s="1"/>
  <c r="BG174" i="72"/>
  <c r="BB174" i="72"/>
  <c r="K37" i="43"/>
  <c r="L37" i="43" s="1"/>
  <c r="E37" i="43" s="1"/>
  <c r="D76" i="43" s="1"/>
  <c r="E76" i="43" s="1"/>
  <c r="K42" i="38"/>
  <c r="L42" i="38" s="1"/>
  <c r="E42" i="38" s="1"/>
  <c r="D81" i="38" s="1"/>
  <c r="ER44" i="8"/>
  <c r="BN49" i="10"/>
  <c r="BJ48" i="10"/>
  <c r="AY438" i="72"/>
  <c r="A47" i="38"/>
  <c r="FB49" i="8"/>
  <c r="BH49" i="8" s="1"/>
  <c r="A221" i="72"/>
  <c r="BA48" i="37"/>
  <c r="L527" i="72"/>
  <c r="M527" i="72" s="1"/>
  <c r="BA45" i="39"/>
  <c r="BG130" i="72"/>
  <c r="BB130" i="72"/>
  <c r="I39" i="44"/>
  <c r="BN47" i="12"/>
  <c r="BJ46" i="12"/>
  <c r="BA41" i="43"/>
  <c r="AY526" i="72"/>
  <c r="A44" i="41"/>
  <c r="FB46" i="11"/>
  <c r="BH46" i="11" s="1"/>
  <c r="A353" i="72"/>
  <c r="BG482" i="72"/>
  <c r="BB482" i="72"/>
  <c r="BA39" i="45"/>
  <c r="AY350" i="72"/>
  <c r="BG350" i="72"/>
  <c r="BB350" i="72"/>
  <c r="I44" i="39"/>
  <c r="A485" i="72"/>
  <c r="FB43" i="14"/>
  <c r="BH43" i="14" s="1"/>
  <c r="A41" i="44"/>
  <c r="BF129" i="72"/>
  <c r="BC129" i="72"/>
  <c r="BD129" i="72" s="1"/>
  <c r="AM129" i="72" s="1"/>
  <c r="AP129" i="72" s="1"/>
  <c r="I40" i="43"/>
  <c r="AQ218" i="72"/>
  <c r="AY218" i="72"/>
  <c r="K44" i="36"/>
  <c r="L44" i="36" s="1"/>
  <c r="E44" i="36" s="1"/>
  <c r="D83" i="36" s="1"/>
  <c r="L351" i="72"/>
  <c r="M351" i="72" s="1"/>
  <c r="L131" i="72"/>
  <c r="M131" i="72" s="1"/>
  <c r="K46" i="35"/>
  <c r="L46" i="35" s="1"/>
  <c r="E46" i="35" s="1"/>
  <c r="D85" i="35" s="1"/>
  <c r="EU50" i="9"/>
  <c r="BA44" i="40"/>
  <c r="BA46" i="38"/>
  <c r="I38" i="45"/>
  <c r="A46" i="39"/>
  <c r="A265" i="72"/>
  <c r="FB48" i="9"/>
  <c r="BH48" i="9" s="1"/>
  <c r="BF393" i="72"/>
  <c r="BC393" i="72"/>
  <c r="BD393" i="72" s="1"/>
  <c r="L483" i="72"/>
  <c r="M483" i="72" s="1"/>
  <c r="BG306" i="72"/>
  <c r="BB306" i="72"/>
  <c r="BJ45" i="13"/>
  <c r="BN46" i="13"/>
  <c r="BA43" i="41"/>
  <c r="AY262" i="72"/>
  <c r="K43" i="37"/>
  <c r="L43" i="37" s="1"/>
  <c r="E43" i="37" s="1"/>
  <c r="D82" i="37" s="1"/>
  <c r="BF87" i="72"/>
  <c r="BC87" i="72"/>
  <c r="BD87" i="72" s="1"/>
  <c r="AM87" i="72" s="1"/>
  <c r="EN48" i="36" l="1"/>
  <c r="EL97" i="72"/>
  <c r="J40" i="44"/>
  <c r="F75" i="44"/>
  <c r="G75" i="44"/>
  <c r="G79" i="40"/>
  <c r="F79" i="40"/>
  <c r="G80" i="39"/>
  <c r="F80" i="39"/>
  <c r="G76" i="43"/>
  <c r="F76" i="43"/>
  <c r="G77" i="42"/>
  <c r="F77" i="42"/>
  <c r="G78" i="41"/>
  <c r="F78" i="41"/>
  <c r="G74" i="45"/>
  <c r="F74" i="45"/>
  <c r="J47" i="37"/>
  <c r="J41" i="43"/>
  <c r="ER37" i="15"/>
  <c r="J39" i="45"/>
  <c r="J44" i="40"/>
  <c r="ER41" i="11"/>
  <c r="EN43" i="38"/>
  <c r="EL96" i="72"/>
  <c r="EO96" i="72" s="1"/>
  <c r="ER39" i="13"/>
  <c r="J46" i="38"/>
  <c r="K48" i="44"/>
  <c r="L48" i="44" s="1"/>
  <c r="K47" i="35"/>
  <c r="L47" i="35" s="1"/>
  <c r="E47" i="35" s="1"/>
  <c r="D86" i="35" s="1"/>
  <c r="E86" i="35" s="1"/>
  <c r="J43" i="41"/>
  <c r="J45" i="39"/>
  <c r="K48" i="37"/>
  <c r="L48" i="37" s="1"/>
  <c r="ER42" i="10"/>
  <c r="K48" i="35"/>
  <c r="L48" i="35" s="1"/>
  <c r="E48" i="35" s="1"/>
  <c r="D87" i="35" s="1"/>
  <c r="GC49" i="8"/>
  <c r="FX156" i="34" s="1"/>
  <c r="GC50" i="8"/>
  <c r="FX157" i="34" s="1"/>
  <c r="GC48" i="9"/>
  <c r="FX186" i="34" s="1"/>
  <c r="GC46" i="11"/>
  <c r="FX246" i="34" s="1"/>
  <c r="K48" i="42"/>
  <c r="L48" i="42" s="1"/>
  <c r="K48" i="39"/>
  <c r="L48" i="39" s="1"/>
  <c r="GC43" i="14"/>
  <c r="FX336" i="34" s="1"/>
  <c r="GC44" i="13"/>
  <c r="FX306" i="34" s="1"/>
  <c r="GC45" i="12"/>
  <c r="FX276" i="34" s="1"/>
  <c r="GC47" i="10"/>
  <c r="FX216" i="34" s="1"/>
  <c r="GC50" i="7"/>
  <c r="FX126" i="34" s="1"/>
  <c r="AI483" i="72"/>
  <c r="AQ483" i="72" s="1"/>
  <c r="AI131" i="72"/>
  <c r="AQ131" i="72" s="1"/>
  <c r="AI175" i="72"/>
  <c r="AQ175" i="72" s="1"/>
  <c r="AI132" i="72"/>
  <c r="AI527" i="72"/>
  <c r="AQ527" i="72" s="1"/>
  <c r="AI219" i="72"/>
  <c r="AQ219" i="72" s="1"/>
  <c r="AI351" i="72"/>
  <c r="AQ351" i="72" s="1"/>
  <c r="W177" i="72"/>
  <c r="X177" i="72" s="1"/>
  <c r="AA177" i="72"/>
  <c r="W484" i="72"/>
  <c r="X484" i="72" s="1"/>
  <c r="AA484" i="72"/>
  <c r="AI395" i="72"/>
  <c r="AQ395" i="72" s="1"/>
  <c r="AI263" i="72"/>
  <c r="AQ263" i="72" s="1"/>
  <c r="AI439" i="72"/>
  <c r="AQ439" i="72" s="1"/>
  <c r="W396" i="72"/>
  <c r="X396" i="72" s="1"/>
  <c r="AA396" i="72"/>
  <c r="AA440" i="72"/>
  <c r="W440" i="72"/>
  <c r="X440" i="72" s="1"/>
  <c r="AA264" i="72"/>
  <c r="W264" i="72"/>
  <c r="X264" i="72" s="1"/>
  <c r="W308" i="72"/>
  <c r="X308" i="72" s="1"/>
  <c r="AA308" i="72"/>
  <c r="W220" i="72"/>
  <c r="X220" i="72" s="1"/>
  <c r="AA220" i="72"/>
  <c r="W528" i="72"/>
  <c r="X528" i="72" s="1"/>
  <c r="Z528" i="72"/>
  <c r="W176" i="72"/>
  <c r="X176" i="72" s="1"/>
  <c r="Z176" i="72"/>
  <c r="W352" i="72"/>
  <c r="X352" i="72" s="1"/>
  <c r="Z352" i="72"/>
  <c r="AI307" i="72"/>
  <c r="AQ307" i="72" s="1"/>
  <c r="EN39" i="38"/>
  <c r="ER45" i="7"/>
  <c r="AP172" i="72"/>
  <c r="EU45" i="7" s="1"/>
  <c r="ER43" i="9"/>
  <c r="AP260" i="72"/>
  <c r="EU43" i="9" s="1"/>
  <c r="ER40" i="12"/>
  <c r="AP392" i="72"/>
  <c r="EU40" i="12" s="1"/>
  <c r="ER38" i="14"/>
  <c r="AP480" i="72"/>
  <c r="EU38" i="14" s="1"/>
  <c r="J42" i="42"/>
  <c r="EN41" i="38"/>
  <c r="AL40" i="37"/>
  <c r="AO40" i="37" s="1"/>
  <c r="AP40" i="37" s="1"/>
  <c r="AQ40" i="37" s="1"/>
  <c r="AL41" i="37"/>
  <c r="AL43" i="37"/>
  <c r="AO43" i="37" s="1"/>
  <c r="AP43" i="37" s="1"/>
  <c r="AQ43" i="37" s="1"/>
  <c r="FS45" i="12"/>
  <c r="BE45" i="12"/>
  <c r="BC45" i="12" s="1"/>
  <c r="FS50" i="8"/>
  <c r="BE50" i="8"/>
  <c r="BC50" i="8" s="1"/>
  <c r="FS49" i="8"/>
  <c r="BE49" i="8"/>
  <c r="BC49" i="8" s="1"/>
  <c r="FS42" i="15"/>
  <c r="BE42" i="15"/>
  <c r="BC42" i="15" s="1"/>
  <c r="FS44" i="13"/>
  <c r="BE44" i="13"/>
  <c r="BC44" i="13" s="1"/>
  <c r="FS47" i="10"/>
  <c r="BE47" i="10"/>
  <c r="BC47" i="10" s="1"/>
  <c r="AL42" i="37"/>
  <c r="AO42" i="37" s="1"/>
  <c r="AP42" i="37" s="1"/>
  <c r="AQ42" i="37" s="1"/>
  <c r="AL44" i="37"/>
  <c r="FS48" i="9"/>
  <c r="BE48" i="9"/>
  <c r="BC48" i="9" s="1"/>
  <c r="FS46" i="11"/>
  <c r="BE46" i="11"/>
  <c r="BC46" i="11" s="1"/>
  <c r="AL46" i="37"/>
  <c r="AL45" i="37"/>
  <c r="FS43" i="14"/>
  <c r="BE43" i="14"/>
  <c r="BC43" i="14" s="1"/>
  <c r="FS50" i="7"/>
  <c r="BE50" i="7"/>
  <c r="EV44" i="10"/>
  <c r="AA44" i="10" s="1"/>
  <c r="EV48" i="6"/>
  <c r="AA48" i="6" s="1"/>
  <c r="EV45" i="9"/>
  <c r="AA45" i="9" s="1"/>
  <c r="EV39" i="15"/>
  <c r="AA39" i="15" s="1"/>
  <c r="ED308" i="72"/>
  <c r="EE308" i="72" s="1"/>
  <c r="EV43" i="11"/>
  <c r="AA43" i="11" s="1"/>
  <c r="EV47" i="7"/>
  <c r="AA47" i="7" s="1"/>
  <c r="EV46" i="8"/>
  <c r="AA46" i="8" s="1"/>
  <c r="EV40" i="14"/>
  <c r="AA40" i="14" s="1"/>
  <c r="EV41" i="13"/>
  <c r="AA41" i="13" s="1"/>
  <c r="EV42" i="12"/>
  <c r="AA42" i="12" s="1"/>
  <c r="H41" i="44"/>
  <c r="EM41" i="44"/>
  <c r="EB353" i="72"/>
  <c r="DX353" i="72"/>
  <c r="EH353" i="72"/>
  <c r="EI353" i="72" s="1"/>
  <c r="EA353" i="72"/>
  <c r="DW353" i="72"/>
  <c r="DZ353" i="72"/>
  <c r="DV353" i="72"/>
  <c r="EC353" i="72"/>
  <c r="DY353" i="72"/>
  <c r="DU353" i="72"/>
  <c r="H47" i="38"/>
  <c r="EM47" i="38"/>
  <c r="CD439" i="72"/>
  <c r="ED176" i="72"/>
  <c r="EE176" i="72" s="1"/>
  <c r="EN47" i="37" s="1"/>
  <c r="CD527" i="72"/>
  <c r="AM525" i="72"/>
  <c r="AP525" i="72" s="1"/>
  <c r="EU38" i="15" s="1"/>
  <c r="CD395" i="72"/>
  <c r="CD307" i="72"/>
  <c r="H43" i="42"/>
  <c r="EM43" i="42"/>
  <c r="EH222" i="72"/>
  <c r="EI222" i="72" s="1"/>
  <c r="EA222" i="72"/>
  <c r="DW222" i="72"/>
  <c r="DZ222" i="72"/>
  <c r="DV222" i="72"/>
  <c r="EC222" i="72"/>
  <c r="DY222" i="72"/>
  <c r="DU222" i="72"/>
  <c r="EB222" i="72"/>
  <c r="DX222" i="72"/>
  <c r="ED484" i="72"/>
  <c r="EE484" i="72" s="1"/>
  <c r="ED396" i="72"/>
  <c r="EE396" i="72" s="1"/>
  <c r="EN45" i="38"/>
  <c r="EN40" i="38"/>
  <c r="CD351" i="72"/>
  <c r="AM481" i="72"/>
  <c r="AP481" i="72" s="1"/>
  <c r="EU39" i="14" s="1"/>
  <c r="AM349" i="72"/>
  <c r="AP349" i="72" s="1"/>
  <c r="EU42" i="11" s="1"/>
  <c r="CD175" i="72"/>
  <c r="ED528" i="72"/>
  <c r="EE528" i="72" s="1"/>
  <c r="DZ221" i="72"/>
  <c r="DV221" i="72"/>
  <c r="EC221" i="72"/>
  <c r="DY221" i="72"/>
  <c r="DU221" i="72"/>
  <c r="EB221" i="72"/>
  <c r="DX221" i="72"/>
  <c r="EH221" i="72"/>
  <c r="EI221" i="72" s="1"/>
  <c r="EA221" i="72"/>
  <c r="DW221" i="72"/>
  <c r="AM173" i="72"/>
  <c r="AP173" i="72" s="1"/>
  <c r="EU46" i="7" s="1"/>
  <c r="AM437" i="72"/>
  <c r="AP437" i="72" s="1"/>
  <c r="EU40" i="13" s="1"/>
  <c r="H48" i="38"/>
  <c r="EM48" i="38"/>
  <c r="H45" i="40"/>
  <c r="EM45" i="40"/>
  <c r="EO137" i="72"/>
  <c r="EN137" i="72"/>
  <c r="BV137" i="72" s="1"/>
  <c r="BW137" i="72" s="1"/>
  <c r="ED352" i="72"/>
  <c r="EE352" i="72" s="1"/>
  <c r="ED264" i="72"/>
  <c r="EE264" i="72" s="1"/>
  <c r="ED177" i="72"/>
  <c r="EE177" i="72" s="1"/>
  <c r="EN48" i="37" s="1"/>
  <c r="AM393" i="72"/>
  <c r="H46" i="39"/>
  <c r="EM46" i="39"/>
  <c r="H40" i="45"/>
  <c r="EM40" i="45"/>
  <c r="H42" i="43"/>
  <c r="EM42" i="43"/>
  <c r="EH485" i="72"/>
  <c r="EI485" i="72" s="1"/>
  <c r="EA485" i="72"/>
  <c r="DW485" i="72"/>
  <c r="DZ485" i="72"/>
  <c r="DV485" i="72"/>
  <c r="EC485" i="72"/>
  <c r="DY485" i="72"/>
  <c r="DU485" i="72"/>
  <c r="EB485" i="72"/>
  <c r="DX485" i="72"/>
  <c r="H44" i="41"/>
  <c r="EM44" i="41"/>
  <c r="AM217" i="72"/>
  <c r="CD263" i="72"/>
  <c r="CD219" i="72"/>
  <c r="CD483" i="72"/>
  <c r="EB265" i="72"/>
  <c r="DX265" i="72"/>
  <c r="EH265" i="72"/>
  <c r="EI265" i="72" s="1"/>
  <c r="EA265" i="72"/>
  <c r="DW265" i="72"/>
  <c r="DZ265" i="72"/>
  <c r="DV265" i="72"/>
  <c r="EC265" i="72"/>
  <c r="DY265" i="72"/>
  <c r="DU265" i="72"/>
  <c r="AL39" i="35"/>
  <c r="AO39" i="35" s="1"/>
  <c r="CD131" i="72"/>
  <c r="EC529" i="72"/>
  <c r="DY529" i="72"/>
  <c r="DU529" i="72"/>
  <c r="EB529" i="72"/>
  <c r="DX529" i="72"/>
  <c r="EH529" i="72"/>
  <c r="EI529" i="72" s="1"/>
  <c r="EA529" i="72"/>
  <c r="DW529" i="72"/>
  <c r="DZ529" i="72"/>
  <c r="DV529" i="72"/>
  <c r="CD132" i="72"/>
  <c r="DZ441" i="72"/>
  <c r="DV441" i="72"/>
  <c r="EC441" i="72"/>
  <c r="DY441" i="72"/>
  <c r="DU441" i="72"/>
  <c r="EB441" i="72"/>
  <c r="DX441" i="72"/>
  <c r="EH441" i="72"/>
  <c r="EI441" i="72" s="1"/>
  <c r="EA441" i="72"/>
  <c r="DW441" i="72"/>
  <c r="AM261" i="72"/>
  <c r="AP261" i="72" s="1"/>
  <c r="EU44" i="9" s="1"/>
  <c r="AM305" i="72"/>
  <c r="AP305" i="72" s="1"/>
  <c r="EU43" i="10" s="1"/>
  <c r="EC397" i="72"/>
  <c r="DY397" i="72"/>
  <c r="DU397" i="72"/>
  <c r="EB397" i="72"/>
  <c r="DX397" i="72"/>
  <c r="EH397" i="72"/>
  <c r="EI397" i="72" s="1"/>
  <c r="EA397" i="72"/>
  <c r="DW397" i="72"/>
  <c r="DZ397" i="72"/>
  <c r="DV397" i="72"/>
  <c r="DZ309" i="72"/>
  <c r="DV309" i="72"/>
  <c r="EC309" i="72"/>
  <c r="DY309" i="72"/>
  <c r="DU309" i="72"/>
  <c r="EB309" i="72"/>
  <c r="DX309" i="72"/>
  <c r="EH309" i="72"/>
  <c r="EI309" i="72" s="1"/>
  <c r="EA309" i="72"/>
  <c r="DW309" i="72"/>
  <c r="ED440" i="72"/>
  <c r="EE440" i="72" s="1"/>
  <c r="EN42" i="38"/>
  <c r="ED220" i="72"/>
  <c r="EE220" i="72" s="1"/>
  <c r="EN46" i="38" s="1"/>
  <c r="EN44" i="38"/>
  <c r="K529" i="72"/>
  <c r="V529" i="72" s="1"/>
  <c r="AG529" i="72" s="1"/>
  <c r="G529" i="72"/>
  <c r="R529" i="72" s="1"/>
  <c r="AC529" i="72" s="1"/>
  <c r="J529" i="72"/>
  <c r="U529" i="72" s="1"/>
  <c r="AF529" i="72" s="1"/>
  <c r="F529" i="72"/>
  <c r="Q529" i="72" s="1"/>
  <c r="AB529" i="72" s="1"/>
  <c r="I529" i="72"/>
  <c r="T529" i="72" s="1"/>
  <c r="AE529" i="72" s="1"/>
  <c r="E529" i="72"/>
  <c r="P529" i="72" s="1"/>
  <c r="H529" i="72"/>
  <c r="S529" i="72" s="1"/>
  <c r="AD529" i="72" s="1"/>
  <c r="D529" i="72"/>
  <c r="O529" i="72" s="1"/>
  <c r="Z529" i="72" s="1"/>
  <c r="K441" i="72"/>
  <c r="V441" i="72" s="1"/>
  <c r="AG441" i="72" s="1"/>
  <c r="G441" i="72"/>
  <c r="R441" i="72" s="1"/>
  <c r="AC441" i="72" s="1"/>
  <c r="J441" i="72"/>
  <c r="U441" i="72" s="1"/>
  <c r="AF441" i="72" s="1"/>
  <c r="F441" i="72"/>
  <c r="Q441" i="72" s="1"/>
  <c r="AB441" i="72" s="1"/>
  <c r="I441" i="72"/>
  <c r="T441" i="72" s="1"/>
  <c r="AE441" i="72" s="1"/>
  <c r="E441" i="72"/>
  <c r="P441" i="72" s="1"/>
  <c r="H441" i="72"/>
  <c r="S441" i="72" s="1"/>
  <c r="AD441" i="72" s="1"/>
  <c r="D441" i="72"/>
  <c r="O441" i="72" s="1"/>
  <c r="Z441" i="72" s="1"/>
  <c r="K222" i="72"/>
  <c r="V222" i="72" s="1"/>
  <c r="AG222" i="72" s="1"/>
  <c r="G222" i="72"/>
  <c r="R222" i="72" s="1"/>
  <c r="AC222" i="72" s="1"/>
  <c r="J222" i="72"/>
  <c r="U222" i="72" s="1"/>
  <c r="AF222" i="72" s="1"/>
  <c r="F222" i="72"/>
  <c r="Q222" i="72" s="1"/>
  <c r="AB222" i="72" s="1"/>
  <c r="I222" i="72"/>
  <c r="T222" i="72" s="1"/>
  <c r="AE222" i="72" s="1"/>
  <c r="E222" i="72"/>
  <c r="P222" i="72" s="1"/>
  <c r="H222" i="72"/>
  <c r="S222" i="72" s="1"/>
  <c r="AD222" i="72" s="1"/>
  <c r="D222" i="72"/>
  <c r="O222" i="72" s="1"/>
  <c r="Z222" i="72" s="1"/>
  <c r="K265" i="72"/>
  <c r="V265" i="72" s="1"/>
  <c r="AG265" i="72" s="1"/>
  <c r="G265" i="72"/>
  <c r="R265" i="72" s="1"/>
  <c r="AC265" i="72" s="1"/>
  <c r="J265" i="72"/>
  <c r="U265" i="72" s="1"/>
  <c r="AF265" i="72" s="1"/>
  <c r="F265" i="72"/>
  <c r="Q265" i="72" s="1"/>
  <c r="AB265" i="72" s="1"/>
  <c r="I265" i="72"/>
  <c r="T265" i="72" s="1"/>
  <c r="AE265" i="72" s="1"/>
  <c r="E265" i="72"/>
  <c r="P265" i="72" s="1"/>
  <c r="H265" i="72"/>
  <c r="S265" i="72" s="1"/>
  <c r="AD265" i="72" s="1"/>
  <c r="D265" i="72"/>
  <c r="O265" i="72" s="1"/>
  <c r="Z265" i="72" s="1"/>
  <c r="K353" i="72"/>
  <c r="V353" i="72" s="1"/>
  <c r="AG353" i="72" s="1"/>
  <c r="G353" i="72"/>
  <c r="R353" i="72" s="1"/>
  <c r="AC353" i="72" s="1"/>
  <c r="J353" i="72"/>
  <c r="U353" i="72" s="1"/>
  <c r="AF353" i="72" s="1"/>
  <c r="F353" i="72"/>
  <c r="Q353" i="72" s="1"/>
  <c r="AB353" i="72" s="1"/>
  <c r="I353" i="72"/>
  <c r="T353" i="72" s="1"/>
  <c r="AE353" i="72" s="1"/>
  <c r="E353" i="72"/>
  <c r="P353" i="72" s="1"/>
  <c r="H353" i="72"/>
  <c r="S353" i="72" s="1"/>
  <c r="AD353" i="72" s="1"/>
  <c r="D353" i="72"/>
  <c r="O353" i="72" s="1"/>
  <c r="Z353" i="72" s="1"/>
  <c r="K397" i="72"/>
  <c r="V397" i="72" s="1"/>
  <c r="AG397" i="72" s="1"/>
  <c r="G397" i="72"/>
  <c r="R397" i="72" s="1"/>
  <c r="AC397" i="72" s="1"/>
  <c r="J397" i="72"/>
  <c r="U397" i="72" s="1"/>
  <c r="AF397" i="72" s="1"/>
  <c r="F397" i="72"/>
  <c r="Q397" i="72" s="1"/>
  <c r="AB397" i="72" s="1"/>
  <c r="I397" i="72"/>
  <c r="T397" i="72" s="1"/>
  <c r="AE397" i="72" s="1"/>
  <c r="E397" i="72"/>
  <c r="P397" i="72" s="1"/>
  <c r="AA397" i="72" s="1"/>
  <c r="H397" i="72"/>
  <c r="S397" i="72" s="1"/>
  <c r="AD397" i="72" s="1"/>
  <c r="D397" i="72"/>
  <c r="O397" i="72" s="1"/>
  <c r="K309" i="72"/>
  <c r="V309" i="72" s="1"/>
  <c r="AG309" i="72" s="1"/>
  <c r="G309" i="72"/>
  <c r="R309" i="72" s="1"/>
  <c r="AC309" i="72" s="1"/>
  <c r="J309" i="72"/>
  <c r="U309" i="72" s="1"/>
  <c r="AF309" i="72" s="1"/>
  <c r="F309" i="72"/>
  <c r="Q309" i="72" s="1"/>
  <c r="AB309" i="72" s="1"/>
  <c r="I309" i="72"/>
  <c r="T309" i="72" s="1"/>
  <c r="AE309" i="72" s="1"/>
  <c r="E309" i="72"/>
  <c r="P309" i="72" s="1"/>
  <c r="H309" i="72"/>
  <c r="S309" i="72" s="1"/>
  <c r="AD309" i="72" s="1"/>
  <c r="D309" i="72"/>
  <c r="O309" i="72" s="1"/>
  <c r="Z309" i="72" s="1"/>
  <c r="K485" i="72"/>
  <c r="V485" i="72" s="1"/>
  <c r="AG485" i="72" s="1"/>
  <c r="G485" i="72"/>
  <c r="R485" i="72" s="1"/>
  <c r="AC485" i="72" s="1"/>
  <c r="J485" i="72"/>
  <c r="U485" i="72" s="1"/>
  <c r="AF485" i="72" s="1"/>
  <c r="F485" i="72"/>
  <c r="Q485" i="72" s="1"/>
  <c r="AB485" i="72" s="1"/>
  <c r="I485" i="72"/>
  <c r="T485" i="72" s="1"/>
  <c r="AE485" i="72" s="1"/>
  <c r="E485" i="72"/>
  <c r="P485" i="72" s="1"/>
  <c r="H485" i="72"/>
  <c r="S485" i="72" s="1"/>
  <c r="AD485" i="72" s="1"/>
  <c r="D485" i="72"/>
  <c r="O485" i="72" s="1"/>
  <c r="Z485" i="72" s="1"/>
  <c r="K221" i="72"/>
  <c r="V221" i="72" s="1"/>
  <c r="AG221" i="72" s="1"/>
  <c r="G221" i="72"/>
  <c r="R221" i="72" s="1"/>
  <c r="AC221" i="72" s="1"/>
  <c r="J221" i="72"/>
  <c r="U221" i="72" s="1"/>
  <c r="AF221" i="72" s="1"/>
  <c r="F221" i="72"/>
  <c r="Q221" i="72" s="1"/>
  <c r="AB221" i="72" s="1"/>
  <c r="I221" i="72"/>
  <c r="T221" i="72" s="1"/>
  <c r="AE221" i="72" s="1"/>
  <c r="E221" i="72"/>
  <c r="P221" i="72" s="1"/>
  <c r="AA221" i="72" s="1"/>
  <c r="H221" i="72"/>
  <c r="S221" i="72" s="1"/>
  <c r="AD221" i="72" s="1"/>
  <c r="D221" i="72"/>
  <c r="O221" i="72" s="1"/>
  <c r="EU50" i="14"/>
  <c r="EU50" i="12"/>
  <c r="EU50" i="5"/>
  <c r="EU48" i="5"/>
  <c r="EU49" i="5"/>
  <c r="EU50" i="7"/>
  <c r="ER46" i="6"/>
  <c r="EU46" i="6"/>
  <c r="AP88" i="72"/>
  <c r="BG483" i="72"/>
  <c r="BB483" i="72"/>
  <c r="BJ46" i="13"/>
  <c r="BN47" i="13"/>
  <c r="BF306" i="72"/>
  <c r="BC306" i="72"/>
  <c r="BD306" i="72" s="1"/>
  <c r="I42" i="42"/>
  <c r="AY483" i="72"/>
  <c r="BA46" i="39"/>
  <c r="L176" i="72"/>
  <c r="M176" i="72" s="1"/>
  <c r="I46" i="38"/>
  <c r="BB351" i="72"/>
  <c r="BG351" i="72"/>
  <c r="BA41" i="44"/>
  <c r="BA44" i="41"/>
  <c r="A44" i="42"/>
  <c r="FB46" i="12"/>
  <c r="BH46" i="12" s="1"/>
  <c r="A398" i="72"/>
  <c r="L264" i="72"/>
  <c r="M264" i="72" s="1"/>
  <c r="BB527" i="72"/>
  <c r="BG527" i="72"/>
  <c r="BA47" i="38"/>
  <c r="A310" i="72"/>
  <c r="A46" i="40"/>
  <c r="FB48" i="10"/>
  <c r="BH48" i="10" s="1"/>
  <c r="K43" i="38"/>
  <c r="L43" i="38" s="1"/>
  <c r="E43" i="38" s="1"/>
  <c r="D82" i="38" s="1"/>
  <c r="BB263" i="72"/>
  <c r="BG263" i="72"/>
  <c r="BG219" i="72"/>
  <c r="BB219" i="72"/>
  <c r="BG132" i="72"/>
  <c r="BB132" i="72"/>
  <c r="BF262" i="72"/>
  <c r="BC262" i="72"/>
  <c r="BD262" i="72" s="1"/>
  <c r="I43" i="41"/>
  <c r="FB49" i="9"/>
  <c r="BH49" i="9" s="1"/>
  <c r="A47" i="39"/>
  <c r="A266" i="72"/>
  <c r="K40" i="41"/>
  <c r="L40" i="41" s="1"/>
  <c r="E40" i="41" s="1"/>
  <c r="D79" i="41" s="1"/>
  <c r="E79" i="41" s="1"/>
  <c r="BF218" i="72"/>
  <c r="BC218" i="72"/>
  <c r="BD218" i="72" s="1"/>
  <c r="AY395" i="72"/>
  <c r="A486" i="72"/>
  <c r="A42" i="44"/>
  <c r="FB44" i="14"/>
  <c r="BH44" i="14" s="1"/>
  <c r="BG307" i="72"/>
  <c r="BB307" i="72"/>
  <c r="K41" i="40"/>
  <c r="L41" i="40" s="1"/>
  <c r="E41" i="40" s="1"/>
  <c r="D80" i="40" s="1"/>
  <c r="E80" i="40" s="1"/>
  <c r="A45" i="41"/>
  <c r="A354" i="72"/>
  <c r="FB47" i="11"/>
  <c r="BH47" i="11" s="1"/>
  <c r="BF526" i="72"/>
  <c r="BC526" i="72"/>
  <c r="BD526" i="72" s="1"/>
  <c r="I41" i="43"/>
  <c r="BA43" i="42"/>
  <c r="I45" i="39"/>
  <c r="BA48" i="38"/>
  <c r="BN45" i="15"/>
  <c r="BJ44" i="15"/>
  <c r="BC394" i="72"/>
  <c r="BD394" i="72" s="1"/>
  <c r="BF394" i="72"/>
  <c r="BD88" i="72"/>
  <c r="AM88" i="72"/>
  <c r="A43" i="43"/>
  <c r="FB45" i="13"/>
  <c r="BH45" i="13" s="1"/>
  <c r="A442" i="72"/>
  <c r="K39" i="42"/>
  <c r="L39" i="42" s="1"/>
  <c r="E39" i="42" s="1"/>
  <c r="D78" i="42" s="1"/>
  <c r="E78" i="42" s="1"/>
  <c r="I44" i="40"/>
  <c r="ER48" i="5"/>
  <c r="ER50" i="7"/>
  <c r="ER50" i="14"/>
  <c r="ER49" i="5"/>
  <c r="ER50" i="9"/>
  <c r="ER50" i="5"/>
  <c r="ER50" i="12"/>
  <c r="BG131" i="72"/>
  <c r="BB131" i="72"/>
  <c r="AY131" i="72"/>
  <c r="AY351" i="72"/>
  <c r="K45" i="36"/>
  <c r="L45" i="36" s="1"/>
  <c r="E45" i="36" s="1"/>
  <c r="D84" i="36" s="1"/>
  <c r="BF350" i="72"/>
  <c r="BC350" i="72"/>
  <c r="BD350" i="72" s="1"/>
  <c r="I39" i="45"/>
  <c r="BF482" i="72"/>
  <c r="BC482" i="72"/>
  <c r="BD482" i="72" s="1"/>
  <c r="BN48" i="12"/>
  <c r="BJ47" i="12"/>
  <c r="BF130" i="72"/>
  <c r="BC130" i="72"/>
  <c r="BD130" i="72" s="1"/>
  <c r="AM130" i="72" s="1"/>
  <c r="AP130" i="72" s="1"/>
  <c r="AY527" i="72"/>
  <c r="BJ49" i="10"/>
  <c r="BN50" i="10"/>
  <c r="BJ50" i="10" s="1"/>
  <c r="BF174" i="72"/>
  <c r="BC174" i="72"/>
  <c r="BD174" i="72" s="1"/>
  <c r="I40" i="44"/>
  <c r="AY263" i="72"/>
  <c r="BA40" i="45"/>
  <c r="AY219" i="72"/>
  <c r="K36" i="45"/>
  <c r="L36" i="45" s="1"/>
  <c r="E36" i="45" s="1"/>
  <c r="D75" i="45" s="1"/>
  <c r="E75" i="45" s="1"/>
  <c r="AY132" i="72"/>
  <c r="L352" i="72"/>
  <c r="M352" i="72" s="1"/>
  <c r="BA42" i="43"/>
  <c r="L396" i="72"/>
  <c r="M396" i="72" s="1"/>
  <c r="A48" i="39"/>
  <c r="A267" i="72"/>
  <c r="FB50" i="9"/>
  <c r="K37" i="44"/>
  <c r="L37" i="44" s="1"/>
  <c r="E37" i="44" s="1"/>
  <c r="D76" i="44" s="1"/>
  <c r="E76" i="44" s="1"/>
  <c r="I47" i="37"/>
  <c r="L220" i="72"/>
  <c r="M220" i="72" s="1"/>
  <c r="L308" i="72"/>
  <c r="M308" i="72" s="1"/>
  <c r="K44" i="37"/>
  <c r="L44" i="37" s="1"/>
  <c r="E44" i="37" s="1"/>
  <c r="D83" i="37" s="1"/>
  <c r="AY439" i="72"/>
  <c r="BB439" i="72"/>
  <c r="BG439" i="72"/>
  <c r="BG395" i="72"/>
  <c r="BB395" i="72"/>
  <c r="BN46" i="14"/>
  <c r="BJ45" i="14"/>
  <c r="K38" i="43"/>
  <c r="L38" i="43" s="1"/>
  <c r="E38" i="43" s="1"/>
  <c r="D77" i="43" s="1"/>
  <c r="E77" i="43" s="1"/>
  <c r="L528" i="72"/>
  <c r="M528" i="72" s="1"/>
  <c r="AY307" i="72"/>
  <c r="K42" i="39"/>
  <c r="L42" i="39" s="1"/>
  <c r="E42" i="39" s="1"/>
  <c r="D81" i="39" s="1"/>
  <c r="E81" i="39" s="1"/>
  <c r="BJ48" i="11"/>
  <c r="BN49" i="11"/>
  <c r="L440" i="72"/>
  <c r="M440" i="72" s="1"/>
  <c r="L177" i="72"/>
  <c r="M177" i="72" s="1"/>
  <c r="BF438" i="72"/>
  <c r="BC438" i="72"/>
  <c r="BD438" i="72" s="1"/>
  <c r="BA45" i="40"/>
  <c r="L484" i="72"/>
  <c r="M484" i="72" s="1"/>
  <c r="FB43" i="15"/>
  <c r="BH43" i="15" s="1"/>
  <c r="GC43" i="15" s="1"/>
  <c r="FX367" i="34" s="1"/>
  <c r="A41" i="45"/>
  <c r="A530" i="72"/>
  <c r="AY175" i="72"/>
  <c r="BG175" i="72"/>
  <c r="BB175" i="72"/>
  <c r="J43" i="42" l="1"/>
  <c r="J47" i="38"/>
  <c r="J41" i="44"/>
  <c r="EN97" i="72"/>
  <c r="BV97" i="72" s="1"/>
  <c r="BW97" i="72" s="1"/>
  <c r="EO97" i="72"/>
  <c r="ER40" i="13"/>
  <c r="AL44" i="38"/>
  <c r="G77" i="43"/>
  <c r="F77" i="43"/>
  <c r="G79" i="41"/>
  <c r="F79" i="41"/>
  <c r="E87" i="35"/>
  <c r="D88" i="35"/>
  <c r="G81" i="39"/>
  <c r="F81" i="39"/>
  <c r="F75" i="45"/>
  <c r="G75" i="45"/>
  <c r="F86" i="35"/>
  <c r="G86" i="35"/>
  <c r="G76" i="44"/>
  <c r="F76" i="44"/>
  <c r="G78" i="42"/>
  <c r="F78" i="42"/>
  <c r="G80" i="40"/>
  <c r="F80" i="40"/>
  <c r="ER46" i="7"/>
  <c r="J44" i="41"/>
  <c r="J42" i="43"/>
  <c r="E50" i="35"/>
  <c r="P45" i="35" s="1"/>
  <c r="ER38" i="15"/>
  <c r="ER42" i="11"/>
  <c r="EN96" i="72"/>
  <c r="BV96" i="72" s="1"/>
  <c r="BW96" i="72" s="1"/>
  <c r="ER43" i="10"/>
  <c r="BI13" i="8"/>
  <c r="BI9" i="9"/>
  <c r="GC44" i="14"/>
  <c r="FX337" i="34" s="1"/>
  <c r="GC47" i="11"/>
  <c r="FX247" i="34" s="1"/>
  <c r="GC48" i="10"/>
  <c r="FX217" i="34" s="1"/>
  <c r="GC49" i="9"/>
  <c r="FX187" i="34" s="1"/>
  <c r="GC46" i="12"/>
  <c r="FX277" i="34" s="1"/>
  <c r="GC45" i="13"/>
  <c r="FX307" i="34" s="1"/>
  <c r="AI177" i="72"/>
  <c r="AI308" i="72"/>
  <c r="AI176" i="72"/>
  <c r="AQ176" i="72" s="1"/>
  <c r="AI440" i="72"/>
  <c r="AI396" i="72"/>
  <c r="AQ396" i="72" s="1"/>
  <c r="EN41" i="39"/>
  <c r="AI484" i="72"/>
  <c r="AI352" i="72"/>
  <c r="AI528" i="72"/>
  <c r="AA485" i="72"/>
  <c r="W485" i="72"/>
  <c r="X485" i="72" s="1"/>
  <c r="AA309" i="72"/>
  <c r="W309" i="72"/>
  <c r="X309" i="72" s="1"/>
  <c r="W353" i="72"/>
  <c r="X353" i="72" s="1"/>
  <c r="AA353" i="72"/>
  <c r="W222" i="72"/>
  <c r="X222" i="72" s="1"/>
  <c r="AA222" i="72"/>
  <c r="W221" i="72"/>
  <c r="X221" i="72" s="1"/>
  <c r="Z221" i="72"/>
  <c r="W397" i="72"/>
  <c r="X397" i="72" s="1"/>
  <c r="Z397" i="72"/>
  <c r="W265" i="72"/>
  <c r="X265" i="72" s="1"/>
  <c r="AA265" i="72"/>
  <c r="W441" i="72"/>
  <c r="X441" i="72" s="1"/>
  <c r="AA441" i="72"/>
  <c r="W529" i="72"/>
  <c r="X529" i="72" s="1"/>
  <c r="AA529" i="72"/>
  <c r="AI220" i="72"/>
  <c r="AQ220" i="72" s="1"/>
  <c r="AI264" i="72"/>
  <c r="AQ264" i="72" s="1"/>
  <c r="ER39" i="14"/>
  <c r="AL40" i="38"/>
  <c r="AO40" i="38" s="1"/>
  <c r="AP40" i="38" s="1"/>
  <c r="AQ40" i="38" s="1"/>
  <c r="AL41" i="38"/>
  <c r="J48" i="38"/>
  <c r="J40" i="45"/>
  <c r="AL43" i="38"/>
  <c r="AO43" i="38" s="1"/>
  <c r="AP43" i="38" s="1"/>
  <c r="AQ43" i="38" s="1"/>
  <c r="ER44" i="9"/>
  <c r="AL46" i="38"/>
  <c r="AL45" i="38"/>
  <c r="J45" i="40"/>
  <c r="J46" i="39"/>
  <c r="AL42" i="38"/>
  <c r="AO42" i="38" s="1"/>
  <c r="AP42" i="38" s="1"/>
  <c r="AQ42" i="38" s="1"/>
  <c r="ER45" i="8"/>
  <c r="AP217" i="72"/>
  <c r="EU45" i="8" s="1"/>
  <c r="ER41" i="12"/>
  <c r="AP393" i="72"/>
  <c r="EU41" i="12" s="1"/>
  <c r="BC51" i="8"/>
  <c r="FS49" i="9"/>
  <c r="BE49" i="9"/>
  <c r="BC49" i="9" s="1"/>
  <c r="BC50" i="7"/>
  <c r="AA50" i="7"/>
  <c r="J48" i="37"/>
  <c r="E48" i="37" s="1"/>
  <c r="D87" i="37" s="1"/>
  <c r="BH50" i="9"/>
  <c r="GC50" i="9" s="1"/>
  <c r="FX188" i="34" s="1"/>
  <c r="FS43" i="15"/>
  <c r="BE43" i="15"/>
  <c r="BC43" i="15" s="1"/>
  <c r="FS45" i="13"/>
  <c r="BE45" i="13"/>
  <c r="BC45" i="13" s="1"/>
  <c r="FS44" i="14"/>
  <c r="BE44" i="14"/>
  <c r="BC44" i="14" s="1"/>
  <c r="FS48" i="10"/>
  <c r="BE48" i="10"/>
  <c r="BC48" i="10" s="1"/>
  <c r="FS46" i="12"/>
  <c r="BE46" i="12"/>
  <c r="BC46" i="12" s="1"/>
  <c r="FS47" i="11"/>
  <c r="BE47" i="11"/>
  <c r="BC47" i="11" s="1"/>
  <c r="EV43" i="12"/>
  <c r="AA43" i="12" s="1"/>
  <c r="ED529" i="72"/>
  <c r="EE529" i="72" s="1"/>
  <c r="EV46" i="9"/>
  <c r="AA46" i="9" s="1"/>
  <c r="EV48" i="7"/>
  <c r="AA48" i="7" s="1"/>
  <c r="EV42" i="13"/>
  <c r="AA42" i="13" s="1"/>
  <c r="EV49" i="6"/>
  <c r="AA49" i="6" s="1"/>
  <c r="EV45" i="10"/>
  <c r="AA45" i="10" s="1"/>
  <c r="EV50" i="6"/>
  <c r="AA50" i="6" s="1"/>
  <c r="EV47" i="8"/>
  <c r="AA47" i="8" s="1"/>
  <c r="EV40" i="15"/>
  <c r="AA40" i="15" s="1"/>
  <c r="EV44" i="11"/>
  <c r="AA44" i="11" s="1"/>
  <c r="EV41" i="14"/>
  <c r="AA41" i="14" s="1"/>
  <c r="EN44" i="39"/>
  <c r="EM227" i="72"/>
  <c r="AM438" i="72"/>
  <c r="AP438" i="72" s="1"/>
  <c r="EU41" i="13" s="1"/>
  <c r="EH442" i="72"/>
  <c r="EI442" i="72" s="1"/>
  <c r="EA442" i="72"/>
  <c r="DW442" i="72"/>
  <c r="DZ442" i="72"/>
  <c r="DV442" i="72"/>
  <c r="EC442" i="72"/>
  <c r="DY442" i="72"/>
  <c r="DU442" i="72"/>
  <c r="EB442" i="72"/>
  <c r="DX442" i="72"/>
  <c r="CD264" i="72"/>
  <c r="EM186" i="72"/>
  <c r="CD528" i="72"/>
  <c r="CD308" i="72"/>
  <c r="AM482" i="72"/>
  <c r="AP482" i="72" s="1"/>
  <c r="EU40" i="14" s="1"/>
  <c r="AM350" i="72"/>
  <c r="AP350" i="72" s="1"/>
  <c r="EU43" i="11" s="1"/>
  <c r="AM218" i="72"/>
  <c r="AP218" i="72" s="1"/>
  <c r="EU46" i="8" s="1"/>
  <c r="EC266" i="72"/>
  <c r="DY266" i="72"/>
  <c r="DU266" i="72"/>
  <c r="EB266" i="72"/>
  <c r="DX266" i="72"/>
  <c r="EH266" i="72"/>
  <c r="EI266" i="72" s="1"/>
  <c r="EA266" i="72"/>
  <c r="DW266" i="72"/>
  <c r="DZ266" i="72"/>
  <c r="DV266" i="72"/>
  <c r="AM262" i="72"/>
  <c r="AP262" i="72" s="1"/>
  <c r="EU45" i="9" s="1"/>
  <c r="EC398" i="72"/>
  <c r="DY398" i="72"/>
  <c r="DU398" i="72"/>
  <c r="EB398" i="72"/>
  <c r="DX398" i="72"/>
  <c r="EH398" i="72"/>
  <c r="EI398" i="72" s="1"/>
  <c r="EA398" i="72"/>
  <c r="DW398" i="72"/>
  <c r="DZ398" i="72"/>
  <c r="DV398" i="72"/>
  <c r="ED309" i="72"/>
  <c r="EE309" i="72" s="1"/>
  <c r="ED353" i="72"/>
  <c r="EE353" i="72" s="1"/>
  <c r="CD396" i="72"/>
  <c r="AM306" i="72"/>
  <c r="ED222" i="72"/>
  <c r="EE222" i="72" s="1"/>
  <c r="EN48" i="38" s="1"/>
  <c r="CD484" i="72"/>
  <c r="CD177" i="72"/>
  <c r="CD220" i="72"/>
  <c r="DZ267" i="72"/>
  <c r="DV267" i="72"/>
  <c r="EC267" i="72"/>
  <c r="DY267" i="72"/>
  <c r="DU267" i="72"/>
  <c r="EB267" i="72"/>
  <c r="DX267" i="72"/>
  <c r="EH267" i="72"/>
  <c r="EI267" i="72" s="1"/>
  <c r="EA267" i="72"/>
  <c r="DW267" i="72"/>
  <c r="CD352" i="72"/>
  <c r="H43" i="43"/>
  <c r="EM43" i="43"/>
  <c r="AM394" i="72"/>
  <c r="EC354" i="72"/>
  <c r="DY354" i="72"/>
  <c r="DU354" i="72"/>
  <c r="EB354" i="72"/>
  <c r="DX354" i="72"/>
  <c r="EH354" i="72"/>
  <c r="EI354" i="72" s="1"/>
  <c r="EA354" i="72"/>
  <c r="DW354" i="72"/>
  <c r="DZ354" i="72"/>
  <c r="DV354" i="72"/>
  <c r="H42" i="44"/>
  <c r="EM42" i="44"/>
  <c r="H47" i="39"/>
  <c r="EM47" i="39"/>
  <c r="ED441" i="72"/>
  <c r="EE441" i="72" s="1"/>
  <c r="ED221" i="72"/>
  <c r="EE221" i="72" s="1"/>
  <c r="EN47" i="38" s="1"/>
  <c r="H41" i="45"/>
  <c r="EM41" i="45"/>
  <c r="AM174" i="72"/>
  <c r="AP174" i="72" s="1"/>
  <c r="EU47" i="7" s="1"/>
  <c r="EH310" i="72"/>
  <c r="EI310" i="72" s="1"/>
  <c r="EA310" i="72"/>
  <c r="DW310" i="72"/>
  <c r="DZ310" i="72"/>
  <c r="DV310" i="72"/>
  <c r="EC310" i="72"/>
  <c r="DY310" i="72"/>
  <c r="DU310" i="72"/>
  <c r="EB310" i="72"/>
  <c r="DX310" i="72"/>
  <c r="DZ530" i="72"/>
  <c r="DV530" i="72"/>
  <c r="EC530" i="72"/>
  <c r="DY530" i="72"/>
  <c r="DU530" i="72"/>
  <c r="EB530" i="72"/>
  <c r="DX530" i="72"/>
  <c r="EH530" i="72"/>
  <c r="EI530" i="72" s="1"/>
  <c r="EA530" i="72"/>
  <c r="DW530" i="72"/>
  <c r="CD440" i="72"/>
  <c r="H48" i="39"/>
  <c r="AL41" i="39" s="1"/>
  <c r="EM48" i="39"/>
  <c r="AM526" i="72"/>
  <c r="H45" i="41"/>
  <c r="EM45" i="41"/>
  <c r="EB486" i="72"/>
  <c r="DX486" i="72"/>
  <c r="EH486" i="72"/>
  <c r="EI486" i="72" s="1"/>
  <c r="EA486" i="72"/>
  <c r="DW486" i="72"/>
  <c r="DZ486" i="72"/>
  <c r="DV486" i="72"/>
  <c r="EC486" i="72"/>
  <c r="DY486" i="72"/>
  <c r="DU486" i="72"/>
  <c r="H46" i="40"/>
  <c r="EM46" i="40"/>
  <c r="H44" i="42"/>
  <c r="EM44" i="42"/>
  <c r="CD176" i="72"/>
  <c r="ED397" i="72"/>
  <c r="EE397" i="72" s="1"/>
  <c r="ED265" i="72"/>
  <c r="EE265" i="72" s="1"/>
  <c r="EN46" i="39" s="1"/>
  <c r="ED485" i="72"/>
  <c r="EE485" i="72" s="1"/>
  <c r="EN42" i="39"/>
  <c r="EN43" i="39"/>
  <c r="EN45" i="39"/>
  <c r="K266" i="72"/>
  <c r="V266" i="72" s="1"/>
  <c r="AG266" i="72" s="1"/>
  <c r="G266" i="72"/>
  <c r="R266" i="72" s="1"/>
  <c r="AC266" i="72" s="1"/>
  <c r="J266" i="72"/>
  <c r="U266" i="72" s="1"/>
  <c r="AF266" i="72" s="1"/>
  <c r="F266" i="72"/>
  <c r="Q266" i="72" s="1"/>
  <c r="AB266" i="72" s="1"/>
  <c r="I266" i="72"/>
  <c r="T266" i="72" s="1"/>
  <c r="AE266" i="72" s="1"/>
  <c r="E266" i="72"/>
  <c r="P266" i="72" s="1"/>
  <c r="AA266" i="72" s="1"/>
  <c r="H266" i="72"/>
  <c r="S266" i="72" s="1"/>
  <c r="AD266" i="72" s="1"/>
  <c r="D266" i="72"/>
  <c r="O266" i="72" s="1"/>
  <c r="K267" i="72"/>
  <c r="V267" i="72" s="1"/>
  <c r="AG267" i="72" s="1"/>
  <c r="G267" i="72"/>
  <c r="R267" i="72" s="1"/>
  <c r="AC267" i="72" s="1"/>
  <c r="J267" i="72"/>
  <c r="U267" i="72" s="1"/>
  <c r="AF267" i="72" s="1"/>
  <c r="F267" i="72"/>
  <c r="Q267" i="72" s="1"/>
  <c r="AB267" i="72" s="1"/>
  <c r="I267" i="72"/>
  <c r="T267" i="72" s="1"/>
  <c r="AE267" i="72" s="1"/>
  <c r="E267" i="72"/>
  <c r="P267" i="72" s="1"/>
  <c r="H267" i="72"/>
  <c r="S267" i="72" s="1"/>
  <c r="AD267" i="72" s="1"/>
  <c r="D267" i="72"/>
  <c r="O267" i="72" s="1"/>
  <c r="Z267" i="72" s="1"/>
  <c r="K354" i="72"/>
  <c r="V354" i="72" s="1"/>
  <c r="AG354" i="72" s="1"/>
  <c r="G354" i="72"/>
  <c r="R354" i="72" s="1"/>
  <c r="AC354" i="72" s="1"/>
  <c r="J354" i="72"/>
  <c r="U354" i="72" s="1"/>
  <c r="AF354" i="72" s="1"/>
  <c r="F354" i="72"/>
  <c r="Q354" i="72" s="1"/>
  <c r="AB354" i="72" s="1"/>
  <c r="I354" i="72"/>
  <c r="T354" i="72" s="1"/>
  <c r="AE354" i="72" s="1"/>
  <c r="E354" i="72"/>
  <c r="P354" i="72" s="1"/>
  <c r="H354" i="72"/>
  <c r="S354" i="72" s="1"/>
  <c r="AD354" i="72" s="1"/>
  <c r="D354" i="72"/>
  <c r="O354" i="72" s="1"/>
  <c r="Z354" i="72" s="1"/>
  <c r="K398" i="72"/>
  <c r="V398" i="72" s="1"/>
  <c r="AG398" i="72" s="1"/>
  <c r="G398" i="72"/>
  <c r="R398" i="72" s="1"/>
  <c r="AC398" i="72" s="1"/>
  <c r="J398" i="72"/>
  <c r="U398" i="72" s="1"/>
  <c r="AF398" i="72" s="1"/>
  <c r="F398" i="72"/>
  <c r="Q398" i="72" s="1"/>
  <c r="AB398" i="72" s="1"/>
  <c r="I398" i="72"/>
  <c r="T398" i="72" s="1"/>
  <c r="AE398" i="72" s="1"/>
  <c r="E398" i="72"/>
  <c r="P398" i="72" s="1"/>
  <c r="H398" i="72"/>
  <c r="S398" i="72" s="1"/>
  <c r="AD398" i="72" s="1"/>
  <c r="D398" i="72"/>
  <c r="O398" i="72" s="1"/>
  <c r="Z398" i="72" s="1"/>
  <c r="K442" i="72"/>
  <c r="V442" i="72" s="1"/>
  <c r="AG442" i="72" s="1"/>
  <c r="G442" i="72"/>
  <c r="R442" i="72" s="1"/>
  <c r="AC442" i="72" s="1"/>
  <c r="J442" i="72"/>
  <c r="U442" i="72" s="1"/>
  <c r="AF442" i="72" s="1"/>
  <c r="F442" i="72"/>
  <c r="Q442" i="72" s="1"/>
  <c r="AB442" i="72" s="1"/>
  <c r="I442" i="72"/>
  <c r="T442" i="72" s="1"/>
  <c r="AE442" i="72" s="1"/>
  <c r="E442" i="72"/>
  <c r="P442" i="72" s="1"/>
  <c r="AA442" i="72" s="1"/>
  <c r="H442" i="72"/>
  <c r="S442" i="72" s="1"/>
  <c r="AD442" i="72" s="1"/>
  <c r="D442" i="72"/>
  <c r="O442" i="72" s="1"/>
  <c r="K486" i="72"/>
  <c r="V486" i="72" s="1"/>
  <c r="AG486" i="72" s="1"/>
  <c r="G486" i="72"/>
  <c r="R486" i="72" s="1"/>
  <c r="AC486" i="72" s="1"/>
  <c r="J486" i="72"/>
  <c r="U486" i="72" s="1"/>
  <c r="AF486" i="72" s="1"/>
  <c r="F486" i="72"/>
  <c r="Q486" i="72" s="1"/>
  <c r="AB486" i="72" s="1"/>
  <c r="I486" i="72"/>
  <c r="T486" i="72" s="1"/>
  <c r="AE486" i="72" s="1"/>
  <c r="E486" i="72"/>
  <c r="P486" i="72" s="1"/>
  <c r="H486" i="72"/>
  <c r="S486" i="72" s="1"/>
  <c r="AD486" i="72" s="1"/>
  <c r="D486" i="72"/>
  <c r="O486" i="72" s="1"/>
  <c r="Z486" i="72" s="1"/>
  <c r="K530" i="72"/>
  <c r="V530" i="72" s="1"/>
  <c r="AG530" i="72" s="1"/>
  <c r="G530" i="72"/>
  <c r="R530" i="72" s="1"/>
  <c r="AC530" i="72" s="1"/>
  <c r="J530" i="72"/>
  <c r="U530" i="72" s="1"/>
  <c r="AF530" i="72" s="1"/>
  <c r="F530" i="72"/>
  <c r="Q530" i="72" s="1"/>
  <c r="AB530" i="72" s="1"/>
  <c r="I530" i="72"/>
  <c r="T530" i="72" s="1"/>
  <c r="AE530" i="72" s="1"/>
  <c r="E530" i="72"/>
  <c r="P530" i="72" s="1"/>
  <c r="H530" i="72"/>
  <c r="S530" i="72" s="1"/>
  <c r="AD530" i="72" s="1"/>
  <c r="D530" i="72"/>
  <c r="O530" i="72" s="1"/>
  <c r="Z530" i="72" s="1"/>
  <c r="K310" i="72"/>
  <c r="V310" i="72" s="1"/>
  <c r="AG310" i="72" s="1"/>
  <c r="G310" i="72"/>
  <c r="R310" i="72" s="1"/>
  <c r="AC310" i="72" s="1"/>
  <c r="J310" i="72"/>
  <c r="U310" i="72" s="1"/>
  <c r="AF310" i="72" s="1"/>
  <c r="F310" i="72"/>
  <c r="Q310" i="72" s="1"/>
  <c r="AB310" i="72" s="1"/>
  <c r="I310" i="72"/>
  <c r="T310" i="72" s="1"/>
  <c r="AE310" i="72" s="1"/>
  <c r="E310" i="72"/>
  <c r="P310" i="72" s="1"/>
  <c r="H310" i="72"/>
  <c r="S310" i="72" s="1"/>
  <c r="AD310" i="72" s="1"/>
  <c r="D310" i="72"/>
  <c r="O310" i="72" s="1"/>
  <c r="Z310" i="72" s="1"/>
  <c r="H66" i="5"/>
  <c r="N66" i="5" s="1"/>
  <c r="AQ484" i="72"/>
  <c r="AQ440" i="72"/>
  <c r="AQ528" i="72"/>
  <c r="AQ308" i="72"/>
  <c r="AP39" i="35"/>
  <c r="AQ39" i="35" s="1"/>
  <c r="AO47" i="35"/>
  <c r="AL30" i="35" s="1"/>
  <c r="ER47" i="6"/>
  <c r="EU47" i="6"/>
  <c r="BA41" i="45"/>
  <c r="I43" i="42"/>
  <c r="BG440" i="72"/>
  <c r="BB440" i="72"/>
  <c r="A46" i="41"/>
  <c r="FB48" i="11"/>
  <c r="BH48" i="11" s="1"/>
  <c r="A355" i="72"/>
  <c r="BG528" i="72"/>
  <c r="BB528" i="72"/>
  <c r="FB45" i="14"/>
  <c r="BH45" i="14" s="1"/>
  <c r="A487" i="72"/>
  <c r="A43" i="44"/>
  <c r="BF395" i="72"/>
  <c r="BC395" i="72"/>
  <c r="BD395" i="72" s="1"/>
  <c r="BG396" i="72"/>
  <c r="BB396" i="72"/>
  <c r="AQ352" i="72"/>
  <c r="AQ132" i="72"/>
  <c r="AI134" i="72"/>
  <c r="FB50" i="10"/>
  <c r="BH50" i="10" s="1"/>
  <c r="A48" i="40"/>
  <c r="A312" i="72"/>
  <c r="I47" i="38"/>
  <c r="BF175" i="72"/>
  <c r="BC175" i="72"/>
  <c r="BD175" i="72" s="1"/>
  <c r="BG177" i="72"/>
  <c r="BB177" i="72"/>
  <c r="AP177" i="72" s="1"/>
  <c r="AY440" i="72"/>
  <c r="BJ49" i="11"/>
  <c r="BN50" i="11"/>
  <c r="BJ50" i="11" s="1"/>
  <c r="AY528" i="72"/>
  <c r="BN47" i="14"/>
  <c r="BJ46" i="14"/>
  <c r="BF439" i="72"/>
  <c r="BC439" i="72"/>
  <c r="BD439" i="72" s="1"/>
  <c r="BB308" i="72"/>
  <c r="AY308" i="72"/>
  <c r="BG308" i="72"/>
  <c r="AY220" i="72"/>
  <c r="BG220" i="72"/>
  <c r="BB220" i="72"/>
  <c r="BA48" i="39"/>
  <c r="AY396" i="72"/>
  <c r="BB352" i="72"/>
  <c r="BG352" i="72"/>
  <c r="AY352" i="72"/>
  <c r="K45" i="37"/>
  <c r="L45" i="37" s="1"/>
  <c r="E45" i="37" s="1"/>
  <c r="D84" i="37" s="1"/>
  <c r="FB49" i="10"/>
  <c r="BH49" i="10" s="1"/>
  <c r="A47" i="40"/>
  <c r="A311" i="72"/>
  <c r="K46" i="36"/>
  <c r="L46" i="36" s="1"/>
  <c r="E46" i="36" s="1"/>
  <c r="D85" i="36" s="1"/>
  <c r="BN49" i="12"/>
  <c r="BJ48" i="12"/>
  <c r="I44" i="41"/>
  <c r="K41" i="41"/>
  <c r="L41" i="41" s="1"/>
  <c r="E41" i="41" s="1"/>
  <c r="D80" i="41" s="1"/>
  <c r="E80" i="41" s="1"/>
  <c r="I41" i="44"/>
  <c r="Q45" i="35"/>
  <c r="L265" i="72"/>
  <c r="M265" i="72" s="1"/>
  <c r="BA43" i="43"/>
  <c r="K40" i="42"/>
  <c r="L40" i="42" s="1"/>
  <c r="E40" i="42" s="1"/>
  <c r="D79" i="42" s="1"/>
  <c r="E79" i="42" s="1"/>
  <c r="A42" i="45"/>
  <c r="A531" i="72"/>
  <c r="FB44" i="15"/>
  <c r="BH44" i="15" s="1"/>
  <c r="GC44" i="15" s="1"/>
  <c r="FX368" i="34" s="1"/>
  <c r="L309" i="72"/>
  <c r="M309" i="72" s="1"/>
  <c r="I45" i="40"/>
  <c r="K37" i="45"/>
  <c r="L37" i="45" s="1"/>
  <c r="E37" i="45" s="1"/>
  <c r="D76" i="45" s="1"/>
  <c r="E76" i="45" s="1"/>
  <c r="BA45" i="41"/>
  <c r="BF307" i="72"/>
  <c r="BC307" i="72"/>
  <c r="BD307" i="72" s="1"/>
  <c r="K44" i="38"/>
  <c r="L44" i="38" s="1"/>
  <c r="E44" i="38" s="1"/>
  <c r="D83" i="38" s="1"/>
  <c r="BA47" i="39"/>
  <c r="I42" i="43"/>
  <c r="L441" i="72"/>
  <c r="M441" i="72" s="1"/>
  <c r="K43" i="39"/>
  <c r="L43" i="39" s="1"/>
  <c r="E43" i="39" s="1"/>
  <c r="D82" i="39" s="1"/>
  <c r="E82" i="39" s="1"/>
  <c r="BF132" i="72"/>
  <c r="BC132" i="72"/>
  <c r="BD132" i="72" s="1"/>
  <c r="AM132" i="72" s="1"/>
  <c r="AP132" i="72" s="1"/>
  <c r="BF219" i="72"/>
  <c r="BC219" i="72"/>
  <c r="BD219" i="72" s="1"/>
  <c r="BA46" i="40"/>
  <c r="BF527" i="72"/>
  <c r="BC527" i="72"/>
  <c r="BD527" i="72" s="1"/>
  <c r="BG264" i="72"/>
  <c r="BB264" i="72"/>
  <c r="BA44" i="42"/>
  <c r="L353" i="72"/>
  <c r="M353" i="72" s="1"/>
  <c r="L485" i="72"/>
  <c r="M485" i="72" s="1"/>
  <c r="AY176" i="72"/>
  <c r="K42" i="40"/>
  <c r="L42" i="40" s="1"/>
  <c r="E42" i="40" s="1"/>
  <c r="D81" i="40" s="1"/>
  <c r="E81" i="40" s="1"/>
  <c r="BN48" i="13"/>
  <c r="BJ47" i="13"/>
  <c r="BB484" i="72"/>
  <c r="BG484" i="72"/>
  <c r="AY484" i="72"/>
  <c r="K39" i="43"/>
  <c r="L39" i="43" s="1"/>
  <c r="E39" i="43" s="1"/>
  <c r="D78" i="43" s="1"/>
  <c r="E78" i="43" s="1"/>
  <c r="L222" i="72"/>
  <c r="M222" i="72" s="1"/>
  <c r="AY177" i="72"/>
  <c r="FB47" i="12"/>
  <c r="BH47" i="12" s="1"/>
  <c r="A399" i="72"/>
  <c r="A45" i="42"/>
  <c r="K38" i="44"/>
  <c r="L38" i="44" s="1"/>
  <c r="E38" i="44" s="1"/>
  <c r="D77" i="44" s="1"/>
  <c r="E77" i="44" s="1"/>
  <c r="BF131" i="72"/>
  <c r="BC131" i="72"/>
  <c r="BD131" i="72" s="1"/>
  <c r="AM131" i="72" s="1"/>
  <c r="AP131" i="72" s="1"/>
  <c r="BN46" i="15"/>
  <c r="BJ45" i="15"/>
  <c r="I48" i="38"/>
  <c r="L397" i="72"/>
  <c r="M397" i="72" s="1"/>
  <c r="BA42" i="44"/>
  <c r="J47" i="39"/>
  <c r="I40" i="45"/>
  <c r="L529" i="72"/>
  <c r="M529" i="72" s="1"/>
  <c r="BF263" i="72"/>
  <c r="BC263" i="72"/>
  <c r="BD263" i="72" s="1"/>
  <c r="AC39" i="38"/>
  <c r="L221" i="72"/>
  <c r="M221" i="72" s="1"/>
  <c r="AY264" i="72"/>
  <c r="BF351" i="72"/>
  <c r="BC351" i="72"/>
  <c r="BD351" i="72" s="1"/>
  <c r="BG176" i="72"/>
  <c r="BB176" i="72"/>
  <c r="I46" i="39"/>
  <c r="FB46" i="13"/>
  <c r="BH46" i="13" s="1"/>
  <c r="A443" i="72"/>
  <c r="A44" i="43"/>
  <c r="BF483" i="72"/>
  <c r="BC483" i="72"/>
  <c r="BD483" i="72" s="1"/>
  <c r="EM272" i="72" l="1"/>
  <c r="EM232" i="72"/>
  <c r="P42" i="35"/>
  <c r="Q42" i="35"/>
  <c r="J45" i="41"/>
  <c r="J43" i="43"/>
  <c r="J46" i="40"/>
  <c r="J41" i="45"/>
  <c r="J42" i="44"/>
  <c r="J44" i="42"/>
  <c r="G78" i="43"/>
  <c r="F78" i="43"/>
  <c r="G79" i="42"/>
  <c r="F79" i="42"/>
  <c r="G80" i="41"/>
  <c r="F80" i="41"/>
  <c r="E87" i="37"/>
  <c r="G81" i="40"/>
  <c r="F81" i="40"/>
  <c r="G77" i="44"/>
  <c r="F77" i="44"/>
  <c r="F82" i="39"/>
  <c r="G82" i="39"/>
  <c r="G76" i="45"/>
  <c r="F76" i="45"/>
  <c r="F87" i="35"/>
  <c r="G87" i="35"/>
  <c r="ER46" i="8"/>
  <c r="EN43" i="40"/>
  <c r="ER43" i="11"/>
  <c r="ER40" i="14"/>
  <c r="EN45" i="40"/>
  <c r="GC45" i="14"/>
  <c r="FX338" i="34" s="1"/>
  <c r="GC50" i="10"/>
  <c r="FX219" i="34" s="1"/>
  <c r="GC49" i="10"/>
  <c r="FX218" i="34" s="1"/>
  <c r="GC46" i="13"/>
  <c r="FX308" i="34" s="1"/>
  <c r="GC47" i="12"/>
  <c r="FX278" i="34" s="1"/>
  <c r="ER45" i="9"/>
  <c r="GC48" i="11"/>
  <c r="FX248" i="34" s="1"/>
  <c r="AI222" i="72"/>
  <c r="AI309" i="72"/>
  <c r="AQ309" i="72" s="1"/>
  <c r="AI529" i="72"/>
  <c r="AQ529" i="72" s="1"/>
  <c r="AI265" i="72"/>
  <c r="AQ265" i="72" s="1"/>
  <c r="AI353" i="72"/>
  <c r="AQ353" i="72" s="1"/>
  <c r="AI485" i="72"/>
  <c r="W266" i="72"/>
  <c r="X266" i="72" s="1"/>
  <c r="Z266" i="72"/>
  <c r="W310" i="72"/>
  <c r="X310" i="72" s="1"/>
  <c r="AA310" i="72"/>
  <c r="AA530" i="72"/>
  <c r="W530" i="72"/>
  <c r="X530" i="72" s="1"/>
  <c r="W486" i="72"/>
  <c r="X486" i="72" s="1"/>
  <c r="AA486" i="72"/>
  <c r="W398" i="72"/>
  <c r="X398" i="72" s="1"/>
  <c r="AA398" i="72"/>
  <c r="AA354" i="72"/>
  <c r="W354" i="72"/>
  <c r="X354" i="72" s="1"/>
  <c r="W267" i="72"/>
  <c r="X267" i="72" s="1"/>
  <c r="AA267" i="72"/>
  <c r="AI441" i="72"/>
  <c r="AQ441" i="72" s="1"/>
  <c r="AI397" i="72"/>
  <c r="AQ397" i="72" s="1"/>
  <c r="W442" i="72"/>
  <c r="X442" i="72" s="1"/>
  <c r="Z442" i="72"/>
  <c r="AI221" i="72"/>
  <c r="ER41" i="13"/>
  <c r="EN40" i="40"/>
  <c r="EN41" i="40"/>
  <c r="EN42" i="40"/>
  <c r="EL186" i="72"/>
  <c r="EO186" i="72" s="1"/>
  <c r="ER47" i="7"/>
  <c r="ER39" i="15"/>
  <c r="AP526" i="72"/>
  <c r="EU39" i="15" s="1"/>
  <c r="ER44" i="10"/>
  <c r="AP306" i="72"/>
  <c r="EU44" i="10" s="1"/>
  <c r="ER42" i="12"/>
  <c r="AP394" i="72"/>
  <c r="EU42" i="12" s="1"/>
  <c r="AL46" i="39"/>
  <c r="AL45" i="39"/>
  <c r="AL42" i="39"/>
  <c r="AO42" i="39" s="1"/>
  <c r="AP42" i="39" s="1"/>
  <c r="AQ42" i="39" s="1"/>
  <c r="AL44" i="39"/>
  <c r="ED398" i="72"/>
  <c r="EE398" i="72" s="1"/>
  <c r="AL40" i="39"/>
  <c r="AO40" i="39" s="1"/>
  <c r="AP40" i="39" s="1"/>
  <c r="AQ40" i="39" s="1"/>
  <c r="AL43" i="39"/>
  <c r="AO43" i="39" s="1"/>
  <c r="AP43" i="39" s="1"/>
  <c r="AQ43" i="39" s="1"/>
  <c r="FS50" i="10"/>
  <c r="BE50" i="10"/>
  <c r="BC50" i="10" s="1"/>
  <c r="FS44" i="15"/>
  <c r="BE44" i="15"/>
  <c r="BC44" i="15" s="1"/>
  <c r="FS49" i="10"/>
  <c r="BE49" i="10"/>
  <c r="BC49" i="10" s="1"/>
  <c r="FS50" i="9"/>
  <c r="BE50" i="9"/>
  <c r="BC51" i="7"/>
  <c r="I48" i="37"/>
  <c r="FS46" i="13"/>
  <c r="BE46" i="13"/>
  <c r="BC46" i="13" s="1"/>
  <c r="FS47" i="12"/>
  <c r="BE47" i="12"/>
  <c r="BC47" i="12" s="1"/>
  <c r="FS45" i="14"/>
  <c r="BE45" i="14"/>
  <c r="BC45" i="14" s="1"/>
  <c r="FS48" i="11"/>
  <c r="BE48" i="11"/>
  <c r="BC48" i="11" s="1"/>
  <c r="EV42" i="14"/>
  <c r="AA42" i="14" s="1"/>
  <c r="EV47" i="9"/>
  <c r="AA47" i="9" s="1"/>
  <c r="EV49" i="7"/>
  <c r="AA49" i="7" s="1"/>
  <c r="EV48" i="8"/>
  <c r="AA48" i="8" s="1"/>
  <c r="EV43" i="13"/>
  <c r="AA43" i="13" s="1"/>
  <c r="EV45" i="11"/>
  <c r="AA45" i="11" s="1"/>
  <c r="EV46" i="10"/>
  <c r="AA46" i="10" s="1"/>
  <c r="EV44" i="12"/>
  <c r="AA44" i="12" s="1"/>
  <c r="EV41" i="15"/>
  <c r="AA41" i="15" s="1"/>
  <c r="AM351" i="72"/>
  <c r="CD485" i="72"/>
  <c r="AM527" i="72"/>
  <c r="AP527" i="72" s="1"/>
  <c r="EU40" i="15" s="1"/>
  <c r="AM439" i="72"/>
  <c r="AP439" i="72" s="1"/>
  <c r="EU42" i="13" s="1"/>
  <c r="H46" i="41"/>
  <c r="EM46" i="41"/>
  <c r="H44" i="43"/>
  <c r="EM44" i="43"/>
  <c r="CD221" i="72"/>
  <c r="CD529" i="72"/>
  <c r="H45" i="42"/>
  <c r="EM45" i="42"/>
  <c r="CD353" i="72"/>
  <c r="EH531" i="72"/>
  <c r="EI531" i="72" s="1"/>
  <c r="EA531" i="72"/>
  <c r="DW531" i="72"/>
  <c r="DZ531" i="72"/>
  <c r="DV531" i="72"/>
  <c r="EC531" i="72"/>
  <c r="DY531" i="72"/>
  <c r="DU531" i="72"/>
  <c r="EB531" i="72"/>
  <c r="DX531" i="72"/>
  <c r="H43" i="44"/>
  <c r="EM43" i="44"/>
  <c r="EL227" i="72"/>
  <c r="ED486" i="72"/>
  <c r="EE486" i="72" s="1"/>
  <c r="ED530" i="72"/>
  <c r="EE530" i="72" s="1"/>
  <c r="EN44" i="40"/>
  <c r="AM307" i="72"/>
  <c r="AP307" i="72" s="1"/>
  <c r="EU45" i="10" s="1"/>
  <c r="ED267" i="72"/>
  <c r="EE267" i="72" s="1"/>
  <c r="EN48" i="39" s="1"/>
  <c r="EB443" i="72"/>
  <c r="DX443" i="72"/>
  <c r="EH443" i="72"/>
  <c r="EI443" i="72" s="1"/>
  <c r="EA443" i="72"/>
  <c r="DW443" i="72"/>
  <c r="DZ443" i="72"/>
  <c r="DV443" i="72"/>
  <c r="EC443" i="72"/>
  <c r="DY443" i="72"/>
  <c r="DU443" i="72"/>
  <c r="EC399" i="72"/>
  <c r="DY399" i="72"/>
  <c r="DU399" i="72"/>
  <c r="EB399" i="72"/>
  <c r="DX399" i="72"/>
  <c r="EH399" i="72"/>
  <c r="EI399" i="72" s="1"/>
  <c r="EA399" i="72"/>
  <c r="DW399" i="72"/>
  <c r="DZ399" i="72"/>
  <c r="DV399" i="72"/>
  <c r="AM219" i="72"/>
  <c r="CD441" i="72"/>
  <c r="H42" i="45"/>
  <c r="EM42" i="45"/>
  <c r="CD265" i="72"/>
  <c r="EB311" i="72"/>
  <c r="DX311" i="72"/>
  <c r="EH311" i="72"/>
  <c r="EI311" i="72" s="1"/>
  <c r="EA311" i="72"/>
  <c r="DW311" i="72"/>
  <c r="DZ311" i="72"/>
  <c r="DV311" i="72"/>
  <c r="EC311" i="72"/>
  <c r="DY311" i="72"/>
  <c r="DU311" i="72"/>
  <c r="AM175" i="72"/>
  <c r="AP175" i="72" s="1"/>
  <c r="EU48" i="7" s="1"/>
  <c r="EC312" i="72"/>
  <c r="DY312" i="72"/>
  <c r="DU312" i="72"/>
  <c r="EB312" i="72"/>
  <c r="DX312" i="72"/>
  <c r="EH312" i="72"/>
  <c r="EI312" i="72" s="1"/>
  <c r="EA312" i="72"/>
  <c r="DW312" i="72"/>
  <c r="DZ312" i="72"/>
  <c r="DV312" i="72"/>
  <c r="EC487" i="72"/>
  <c r="DY487" i="72"/>
  <c r="DU487" i="72"/>
  <c r="EB487" i="72"/>
  <c r="DX487" i="72"/>
  <c r="EH487" i="72"/>
  <c r="EI487" i="72" s="1"/>
  <c r="EA487" i="72"/>
  <c r="DW487" i="72"/>
  <c r="DZ487" i="72"/>
  <c r="DV487" i="72"/>
  <c r="DZ355" i="72"/>
  <c r="DV355" i="72"/>
  <c r="EC355" i="72"/>
  <c r="DY355" i="72"/>
  <c r="DU355" i="72"/>
  <c r="EB355" i="72"/>
  <c r="DX355" i="72"/>
  <c r="EH355" i="72"/>
  <c r="EI355" i="72" s="1"/>
  <c r="EA355" i="72"/>
  <c r="DW355" i="72"/>
  <c r="ED310" i="72"/>
  <c r="EE310" i="72" s="1"/>
  <c r="EN46" i="40" s="1"/>
  <c r="ED266" i="72"/>
  <c r="EE266" i="72" s="1"/>
  <c r="ED442" i="72"/>
  <c r="EE442" i="72" s="1"/>
  <c r="CD222" i="72"/>
  <c r="AM483" i="72"/>
  <c r="AM263" i="72"/>
  <c r="AP263" i="72" s="1"/>
  <c r="EU46" i="9" s="1"/>
  <c r="CD397" i="72"/>
  <c r="CD309" i="72"/>
  <c r="H47" i="40"/>
  <c r="EM47" i="40"/>
  <c r="H48" i="40"/>
  <c r="EM48" i="40"/>
  <c r="AM395" i="72"/>
  <c r="ED354" i="72"/>
  <c r="EE354" i="72" s="1"/>
  <c r="BQ45" i="5"/>
  <c r="K311" i="72"/>
  <c r="V311" i="72" s="1"/>
  <c r="AG311" i="72" s="1"/>
  <c r="G311" i="72"/>
  <c r="R311" i="72" s="1"/>
  <c r="AC311" i="72" s="1"/>
  <c r="J311" i="72"/>
  <c r="U311" i="72" s="1"/>
  <c r="AF311" i="72" s="1"/>
  <c r="F311" i="72"/>
  <c r="Q311" i="72" s="1"/>
  <c r="AB311" i="72" s="1"/>
  <c r="I311" i="72"/>
  <c r="T311" i="72" s="1"/>
  <c r="AE311" i="72" s="1"/>
  <c r="E311" i="72"/>
  <c r="P311" i="72" s="1"/>
  <c r="AA311" i="72" s="1"/>
  <c r="H311" i="72"/>
  <c r="S311" i="72" s="1"/>
  <c r="AD311" i="72" s="1"/>
  <c r="D311" i="72"/>
  <c r="O311" i="72" s="1"/>
  <c r="K443" i="72"/>
  <c r="V443" i="72" s="1"/>
  <c r="AG443" i="72" s="1"/>
  <c r="G443" i="72"/>
  <c r="R443" i="72" s="1"/>
  <c r="AC443" i="72" s="1"/>
  <c r="J443" i="72"/>
  <c r="U443" i="72" s="1"/>
  <c r="AF443" i="72" s="1"/>
  <c r="F443" i="72"/>
  <c r="Q443" i="72" s="1"/>
  <c r="AB443" i="72" s="1"/>
  <c r="I443" i="72"/>
  <c r="T443" i="72" s="1"/>
  <c r="AE443" i="72" s="1"/>
  <c r="E443" i="72"/>
  <c r="P443" i="72" s="1"/>
  <c r="H443" i="72"/>
  <c r="S443" i="72" s="1"/>
  <c r="AD443" i="72" s="1"/>
  <c r="D443" i="72"/>
  <c r="O443" i="72" s="1"/>
  <c r="Z443" i="72" s="1"/>
  <c r="K531" i="72"/>
  <c r="V531" i="72" s="1"/>
  <c r="AG531" i="72" s="1"/>
  <c r="G531" i="72"/>
  <c r="R531" i="72" s="1"/>
  <c r="AC531" i="72" s="1"/>
  <c r="J531" i="72"/>
  <c r="U531" i="72" s="1"/>
  <c r="AF531" i="72" s="1"/>
  <c r="F531" i="72"/>
  <c r="Q531" i="72" s="1"/>
  <c r="AB531" i="72" s="1"/>
  <c r="I531" i="72"/>
  <c r="T531" i="72" s="1"/>
  <c r="AE531" i="72" s="1"/>
  <c r="E531" i="72"/>
  <c r="P531" i="72" s="1"/>
  <c r="H531" i="72"/>
  <c r="S531" i="72" s="1"/>
  <c r="AD531" i="72" s="1"/>
  <c r="D531" i="72"/>
  <c r="O531" i="72" s="1"/>
  <c r="Z531" i="72" s="1"/>
  <c r="K312" i="72"/>
  <c r="V312" i="72" s="1"/>
  <c r="AG312" i="72" s="1"/>
  <c r="G312" i="72"/>
  <c r="R312" i="72" s="1"/>
  <c r="AC312" i="72" s="1"/>
  <c r="J312" i="72"/>
  <c r="U312" i="72" s="1"/>
  <c r="AF312" i="72" s="1"/>
  <c r="F312" i="72"/>
  <c r="Q312" i="72" s="1"/>
  <c r="AB312" i="72" s="1"/>
  <c r="I312" i="72"/>
  <c r="T312" i="72" s="1"/>
  <c r="AE312" i="72" s="1"/>
  <c r="E312" i="72"/>
  <c r="P312" i="72" s="1"/>
  <c r="H312" i="72"/>
  <c r="S312" i="72" s="1"/>
  <c r="AD312" i="72" s="1"/>
  <c r="D312" i="72"/>
  <c r="O312" i="72" s="1"/>
  <c r="Z312" i="72" s="1"/>
  <c r="K487" i="72"/>
  <c r="V487" i="72" s="1"/>
  <c r="AG487" i="72" s="1"/>
  <c r="G487" i="72"/>
  <c r="R487" i="72" s="1"/>
  <c r="AC487" i="72" s="1"/>
  <c r="J487" i="72"/>
  <c r="U487" i="72" s="1"/>
  <c r="AF487" i="72" s="1"/>
  <c r="F487" i="72"/>
  <c r="Q487" i="72" s="1"/>
  <c r="AB487" i="72" s="1"/>
  <c r="I487" i="72"/>
  <c r="T487" i="72" s="1"/>
  <c r="AE487" i="72" s="1"/>
  <c r="E487" i="72"/>
  <c r="P487" i="72" s="1"/>
  <c r="AA487" i="72" s="1"/>
  <c r="H487" i="72"/>
  <c r="S487" i="72" s="1"/>
  <c r="AD487" i="72" s="1"/>
  <c r="D487" i="72"/>
  <c r="O487" i="72" s="1"/>
  <c r="K355" i="72"/>
  <c r="V355" i="72" s="1"/>
  <c r="AG355" i="72" s="1"/>
  <c r="G355" i="72"/>
  <c r="R355" i="72" s="1"/>
  <c r="AC355" i="72" s="1"/>
  <c r="J355" i="72"/>
  <c r="U355" i="72" s="1"/>
  <c r="AF355" i="72" s="1"/>
  <c r="F355" i="72"/>
  <c r="Q355" i="72" s="1"/>
  <c r="AB355" i="72" s="1"/>
  <c r="I355" i="72"/>
  <c r="T355" i="72" s="1"/>
  <c r="AE355" i="72" s="1"/>
  <c r="E355" i="72"/>
  <c r="P355" i="72" s="1"/>
  <c r="H355" i="72"/>
  <c r="S355" i="72" s="1"/>
  <c r="AD355" i="72" s="1"/>
  <c r="D355" i="72"/>
  <c r="O355" i="72" s="1"/>
  <c r="Z355" i="72" s="1"/>
  <c r="K399" i="72"/>
  <c r="V399" i="72" s="1"/>
  <c r="AG399" i="72" s="1"/>
  <c r="G399" i="72"/>
  <c r="R399" i="72" s="1"/>
  <c r="AC399" i="72" s="1"/>
  <c r="J399" i="72"/>
  <c r="U399" i="72" s="1"/>
  <c r="AF399" i="72" s="1"/>
  <c r="F399" i="72"/>
  <c r="Q399" i="72" s="1"/>
  <c r="AB399" i="72" s="1"/>
  <c r="I399" i="72"/>
  <c r="T399" i="72" s="1"/>
  <c r="AE399" i="72" s="1"/>
  <c r="E399" i="72"/>
  <c r="P399" i="72" s="1"/>
  <c r="H399" i="72"/>
  <c r="S399" i="72" s="1"/>
  <c r="AD399" i="72" s="1"/>
  <c r="D399" i="72"/>
  <c r="O399" i="72" s="1"/>
  <c r="Z399" i="72" s="1"/>
  <c r="H65" i="5"/>
  <c r="N65" i="5" s="1"/>
  <c r="Z48" i="36"/>
  <c r="AQ485" i="72"/>
  <c r="AL32" i="35"/>
  <c r="AI91" i="35" s="1"/>
  <c r="AQ47" i="35"/>
  <c r="AP47" i="35"/>
  <c r="ER48" i="6"/>
  <c r="EU48" i="6"/>
  <c r="K39" i="44"/>
  <c r="L39" i="44" s="1"/>
  <c r="E39" i="44" s="1"/>
  <c r="D78" i="44" s="1"/>
  <c r="E78" i="44" s="1"/>
  <c r="BA44" i="43"/>
  <c r="BC176" i="72"/>
  <c r="BD176" i="72" s="1"/>
  <c r="BF176" i="72"/>
  <c r="K42" i="41"/>
  <c r="L42" i="41" s="1"/>
  <c r="E42" i="41" s="1"/>
  <c r="D81" i="41" s="1"/>
  <c r="E81" i="41" s="1"/>
  <c r="BG221" i="72"/>
  <c r="BB221" i="72"/>
  <c r="L310" i="72"/>
  <c r="M310" i="72" s="1"/>
  <c r="K44" i="39"/>
  <c r="L44" i="39" s="1"/>
  <c r="E44" i="39" s="1"/>
  <c r="D83" i="39" s="1"/>
  <c r="E83" i="39" s="1"/>
  <c r="I45" i="41"/>
  <c r="AY397" i="72"/>
  <c r="A532" i="72"/>
  <c r="A43" i="45"/>
  <c r="FB45" i="15"/>
  <c r="BH45" i="15" s="1"/>
  <c r="GC45" i="15" s="1"/>
  <c r="FX369" i="34" s="1"/>
  <c r="I43" i="43"/>
  <c r="L442" i="72"/>
  <c r="M442" i="72" s="1"/>
  <c r="K47" i="36"/>
  <c r="L47" i="36" s="1"/>
  <c r="E47" i="36" s="1"/>
  <c r="D86" i="36" s="1"/>
  <c r="AY222" i="72"/>
  <c r="A45" i="43"/>
  <c r="FB47" i="13"/>
  <c r="BH47" i="13" s="1"/>
  <c r="A444" i="72"/>
  <c r="BB485" i="72"/>
  <c r="BG485" i="72"/>
  <c r="BG353" i="72"/>
  <c r="BB353" i="72"/>
  <c r="I44" i="42"/>
  <c r="BF264" i="72"/>
  <c r="BC264" i="72"/>
  <c r="BD264" i="72" s="1"/>
  <c r="K38" i="45"/>
  <c r="L38" i="45" s="1"/>
  <c r="E38" i="45" s="1"/>
  <c r="D77" i="45" s="1"/>
  <c r="E77" i="45" s="1"/>
  <c r="K45" i="38"/>
  <c r="L45" i="38" s="1"/>
  <c r="E45" i="38" s="1"/>
  <c r="D84" i="38" s="1"/>
  <c r="AY441" i="72"/>
  <c r="L486" i="72"/>
  <c r="M486" i="72" s="1"/>
  <c r="I42" i="44"/>
  <c r="L354" i="72"/>
  <c r="M354" i="72" s="1"/>
  <c r="BA42" i="45"/>
  <c r="BG265" i="72"/>
  <c r="BB265" i="72"/>
  <c r="BN50" i="12"/>
  <c r="BJ50" i="12" s="1"/>
  <c r="BJ49" i="12"/>
  <c r="L267" i="72"/>
  <c r="M267" i="72" s="1"/>
  <c r="BC220" i="72"/>
  <c r="BD220" i="72" s="1"/>
  <c r="BF220" i="72"/>
  <c r="BF308" i="72"/>
  <c r="BC308" i="72"/>
  <c r="BD308" i="72" s="1"/>
  <c r="K40" i="43"/>
  <c r="L40" i="43" s="1"/>
  <c r="E40" i="43" s="1"/>
  <c r="D79" i="43" s="1"/>
  <c r="E79" i="43" s="1"/>
  <c r="BN48" i="14"/>
  <c r="BJ47" i="14"/>
  <c r="A356" i="72"/>
  <c r="A47" i="41"/>
  <c r="FB49" i="11"/>
  <c r="BH49" i="11" s="1"/>
  <c r="BC177" i="72"/>
  <c r="BD177" i="72" s="1"/>
  <c r="AM177" i="72" s="1"/>
  <c r="BF177" i="72"/>
  <c r="I41" i="45"/>
  <c r="BA48" i="40"/>
  <c r="K41" i="42"/>
  <c r="L41" i="42" s="1"/>
  <c r="E41" i="42" s="1"/>
  <c r="D80" i="42" s="1"/>
  <c r="E80" i="42" s="1"/>
  <c r="BA43" i="44"/>
  <c r="J43" i="44"/>
  <c r="BC528" i="72"/>
  <c r="BD528" i="72" s="1"/>
  <c r="BF528" i="72"/>
  <c r="BC440" i="72"/>
  <c r="BD440" i="72" s="1"/>
  <c r="BF440" i="72"/>
  <c r="L398" i="72"/>
  <c r="M398" i="72" s="1"/>
  <c r="AQ221" i="72"/>
  <c r="AY221" i="72"/>
  <c r="I46" i="40"/>
  <c r="AY529" i="72"/>
  <c r="BG529" i="72"/>
  <c r="BB529" i="72"/>
  <c r="I47" i="39"/>
  <c r="L266" i="72"/>
  <c r="M266" i="72" s="1"/>
  <c r="BG397" i="72"/>
  <c r="BB397" i="72"/>
  <c r="BN47" i="15"/>
  <c r="BJ46" i="15"/>
  <c r="BA45" i="42"/>
  <c r="AQ177" i="72"/>
  <c r="AI179" i="72"/>
  <c r="BG222" i="72"/>
  <c r="BB222" i="72"/>
  <c r="BF484" i="72"/>
  <c r="BC484" i="72"/>
  <c r="BD484" i="72" s="1"/>
  <c r="BN49" i="13"/>
  <c r="BJ48" i="13"/>
  <c r="AY485" i="72"/>
  <c r="AY353" i="72"/>
  <c r="K48" i="36"/>
  <c r="L48" i="36" s="1"/>
  <c r="E48" i="36" s="1"/>
  <c r="D87" i="36" s="1"/>
  <c r="BD133" i="72"/>
  <c r="EU50" i="6"/>
  <c r="BG441" i="72"/>
  <c r="BB441" i="72"/>
  <c r="K43" i="40"/>
  <c r="L43" i="40" s="1"/>
  <c r="E43" i="40" s="1"/>
  <c r="D82" i="40" s="1"/>
  <c r="E82" i="40" s="1"/>
  <c r="BG309" i="72"/>
  <c r="BB309" i="72"/>
  <c r="AY309" i="72"/>
  <c r="AY265" i="72"/>
  <c r="FB48" i="12"/>
  <c r="BH48" i="12" s="1"/>
  <c r="A400" i="72"/>
  <c r="A46" i="42"/>
  <c r="BA47" i="40"/>
  <c r="BF352" i="72"/>
  <c r="BC352" i="72"/>
  <c r="BD352" i="72" s="1"/>
  <c r="FB46" i="14"/>
  <c r="BH46" i="14" s="1"/>
  <c r="A488" i="72"/>
  <c r="A44" i="44"/>
  <c r="A48" i="41"/>
  <c r="FB50" i="11"/>
  <c r="BH50" i="11" s="1"/>
  <c r="A357" i="72"/>
  <c r="L530" i="72"/>
  <c r="M530" i="72" s="1"/>
  <c r="K46" i="37"/>
  <c r="L46" i="37" s="1"/>
  <c r="E46" i="37" s="1"/>
  <c r="D85" i="37" s="1"/>
  <c r="BF396" i="72"/>
  <c r="BC396" i="72"/>
  <c r="BD396" i="72" s="1"/>
  <c r="BA46" i="41"/>
  <c r="EN47" i="39" l="1"/>
  <c r="EL232" i="72"/>
  <c r="BZ88" i="5"/>
  <c r="E75" i="5"/>
  <c r="B30" i="83" s="1"/>
  <c r="D88" i="36"/>
  <c r="G80" i="42"/>
  <c r="F80" i="42"/>
  <c r="G77" i="45"/>
  <c r="F77" i="45"/>
  <c r="F87" i="37"/>
  <c r="G87" i="37"/>
  <c r="G83" i="39"/>
  <c r="F83" i="39"/>
  <c r="G81" i="41"/>
  <c r="F81" i="41"/>
  <c r="F78" i="44"/>
  <c r="G78" i="44"/>
  <c r="G82" i="40"/>
  <c r="F82" i="40"/>
  <c r="G79" i="43"/>
  <c r="F79" i="43"/>
  <c r="J42" i="45"/>
  <c r="J44" i="43"/>
  <c r="BI9" i="11"/>
  <c r="GC48" i="12"/>
  <c r="FX279" i="34" s="1"/>
  <c r="GC49" i="11"/>
  <c r="FX249" i="34" s="1"/>
  <c r="GC50" i="11"/>
  <c r="FX250" i="34" s="1"/>
  <c r="GC46" i="14"/>
  <c r="FX339" i="34" s="1"/>
  <c r="GC47" i="13"/>
  <c r="FX309" i="34" s="1"/>
  <c r="AI354" i="72"/>
  <c r="AI442" i="72"/>
  <c r="AI266" i="72"/>
  <c r="AQ266" i="72" s="1"/>
  <c r="AI310" i="72"/>
  <c r="AQ310" i="72" s="1"/>
  <c r="AA399" i="72"/>
  <c r="W399" i="72"/>
  <c r="X399" i="72" s="1"/>
  <c r="AI486" i="72"/>
  <c r="AQ486" i="72" s="1"/>
  <c r="W355" i="72"/>
  <c r="X355" i="72" s="1"/>
  <c r="AA355" i="72"/>
  <c r="W312" i="72"/>
  <c r="X312" i="72" s="1"/>
  <c r="AA312" i="72"/>
  <c r="W531" i="72"/>
  <c r="X531" i="72" s="1"/>
  <c r="AA531" i="72"/>
  <c r="W443" i="72"/>
  <c r="X443" i="72" s="1"/>
  <c r="AA443" i="72"/>
  <c r="AI267" i="72"/>
  <c r="AI398" i="72"/>
  <c r="AI530" i="72"/>
  <c r="W487" i="72"/>
  <c r="X487" i="72" s="1"/>
  <c r="Z487" i="72"/>
  <c r="W311" i="72"/>
  <c r="X311" i="72" s="1"/>
  <c r="Z311" i="72"/>
  <c r="EN41" i="41"/>
  <c r="AL44" i="40"/>
  <c r="J45" i="42"/>
  <c r="J48" i="40"/>
  <c r="J47" i="40"/>
  <c r="EN186" i="72"/>
  <c r="BV186" i="72" s="1"/>
  <c r="BW186" i="72" s="1"/>
  <c r="J46" i="41"/>
  <c r="ER40" i="15"/>
  <c r="ER42" i="13"/>
  <c r="ER46" i="9"/>
  <c r="ER48" i="7"/>
  <c r="ER45" i="10"/>
  <c r="ER41" i="14"/>
  <c r="AP483" i="72"/>
  <c r="EU41" i="14" s="1"/>
  <c r="ER47" i="8"/>
  <c r="AP219" i="72"/>
  <c r="EU47" i="8" s="1"/>
  <c r="ER44" i="11"/>
  <c r="AP351" i="72"/>
  <c r="EU44" i="11" s="1"/>
  <c r="ER43" i="12"/>
  <c r="AP395" i="72"/>
  <c r="EU43" i="12" s="1"/>
  <c r="BC50" i="9"/>
  <c r="AA50" i="9"/>
  <c r="J48" i="39"/>
  <c r="E48" i="39" s="1"/>
  <c r="D87" i="39" s="1"/>
  <c r="FS50" i="11"/>
  <c r="BE50" i="11"/>
  <c r="BC50" i="11" s="1"/>
  <c r="FS47" i="13"/>
  <c r="BE47" i="13"/>
  <c r="BC47" i="13" s="1"/>
  <c r="FS49" i="11"/>
  <c r="BE49" i="11"/>
  <c r="BC49" i="11" s="1"/>
  <c r="FS46" i="14"/>
  <c r="BE46" i="14"/>
  <c r="BC46" i="14" s="1"/>
  <c r="BC51" i="10"/>
  <c r="FS45" i="15"/>
  <c r="BE45" i="15"/>
  <c r="BC45" i="15" s="1"/>
  <c r="FS48" i="12"/>
  <c r="BE48" i="12"/>
  <c r="BC48" i="12" s="1"/>
  <c r="EV47" i="10"/>
  <c r="AA47" i="10" s="1"/>
  <c r="EV44" i="13"/>
  <c r="AA44" i="13" s="1"/>
  <c r="EV50" i="8"/>
  <c r="AA50" i="8" s="1"/>
  <c r="EV42" i="15"/>
  <c r="AA42" i="15" s="1"/>
  <c r="EV46" i="11"/>
  <c r="AA46" i="11" s="1"/>
  <c r="EV49" i="8"/>
  <c r="AA49" i="8" s="1"/>
  <c r="EV45" i="12"/>
  <c r="AA45" i="12" s="1"/>
  <c r="EV48" i="9"/>
  <c r="AA48" i="9" s="1"/>
  <c r="EV43" i="14"/>
  <c r="AA43" i="14" s="1"/>
  <c r="AL41" i="40"/>
  <c r="ED355" i="72"/>
  <c r="EE355" i="72" s="1"/>
  <c r="EN46" i="41" s="1"/>
  <c r="ED487" i="72"/>
  <c r="EE487" i="72" s="1"/>
  <c r="CD267" i="72"/>
  <c r="CD442" i="72"/>
  <c r="H43" i="45"/>
  <c r="EM43" i="45"/>
  <c r="CD310" i="72"/>
  <c r="EN227" i="72"/>
  <c r="BV227" i="72" s="1"/>
  <c r="BW227" i="72" s="1"/>
  <c r="EO227" i="72"/>
  <c r="H48" i="41"/>
  <c r="EM48" i="41"/>
  <c r="H46" i="42"/>
  <c r="EM46" i="42"/>
  <c r="AM440" i="72"/>
  <c r="AP440" i="72" s="1"/>
  <c r="EU43" i="13" s="1"/>
  <c r="AM264" i="72"/>
  <c r="AP264" i="72" s="1"/>
  <c r="EU47" i="9" s="1"/>
  <c r="EC444" i="72"/>
  <c r="DY444" i="72"/>
  <c r="DU444" i="72"/>
  <c r="EB444" i="72"/>
  <c r="DX444" i="72"/>
  <c r="EH444" i="72"/>
  <c r="EI444" i="72" s="1"/>
  <c r="EA444" i="72"/>
  <c r="DW444" i="72"/>
  <c r="DZ444" i="72"/>
  <c r="DV444" i="72"/>
  <c r="EB532" i="72"/>
  <c r="DX532" i="72"/>
  <c r="EH532" i="72"/>
  <c r="EI532" i="72" s="1"/>
  <c r="EA532" i="72"/>
  <c r="DW532" i="72"/>
  <c r="DZ532" i="72"/>
  <c r="DV532" i="72"/>
  <c r="EC532" i="72"/>
  <c r="DY532" i="72"/>
  <c r="DU532" i="72"/>
  <c r="AL45" i="40"/>
  <c r="AL40" i="40"/>
  <c r="AO40" i="40" s="1"/>
  <c r="AP40" i="40" s="1"/>
  <c r="AQ40" i="40" s="1"/>
  <c r="ED311" i="72"/>
  <c r="EE311" i="72" s="1"/>
  <c r="EN47" i="40" s="1"/>
  <c r="ED399" i="72"/>
  <c r="EE399" i="72" s="1"/>
  <c r="AM308" i="72"/>
  <c r="AP308" i="72" s="1"/>
  <c r="EU46" i="10" s="1"/>
  <c r="EM317" i="72"/>
  <c r="EM277" i="72"/>
  <c r="EN44" i="41"/>
  <c r="AM396" i="72"/>
  <c r="CD530" i="72"/>
  <c r="H44" i="44"/>
  <c r="EM44" i="44"/>
  <c r="AM352" i="72"/>
  <c r="AP352" i="72" s="1"/>
  <c r="EU45" i="11" s="1"/>
  <c r="EC400" i="72"/>
  <c r="DY400" i="72"/>
  <c r="DU400" i="72"/>
  <c r="EB400" i="72"/>
  <c r="DX400" i="72"/>
  <c r="EH400" i="72"/>
  <c r="EI400" i="72" s="1"/>
  <c r="EA400" i="72"/>
  <c r="DW400" i="72"/>
  <c r="DZ400" i="72"/>
  <c r="DV400" i="72"/>
  <c r="AM484" i="72"/>
  <c r="AP484" i="72" s="1"/>
  <c r="EU42" i="14" s="1"/>
  <c r="CD266" i="72"/>
  <c r="AM528" i="72"/>
  <c r="H47" i="41"/>
  <c r="EM47" i="41"/>
  <c r="CD486" i="72"/>
  <c r="AM176" i="72"/>
  <c r="AP176" i="72" s="1"/>
  <c r="EU49" i="7" s="1"/>
  <c r="AL42" i="40"/>
  <c r="AO42" i="40" s="1"/>
  <c r="AP42" i="40" s="1"/>
  <c r="AQ42" i="40" s="1"/>
  <c r="AL46" i="40"/>
  <c r="ED312" i="72"/>
  <c r="EE312" i="72" s="1"/>
  <c r="CD398" i="72"/>
  <c r="EB357" i="72"/>
  <c r="DX357" i="72"/>
  <c r="EH357" i="72"/>
  <c r="EI357" i="72" s="1"/>
  <c r="EM322" i="72" s="1"/>
  <c r="EA357" i="72"/>
  <c r="DW357" i="72"/>
  <c r="DZ357" i="72"/>
  <c r="DV357" i="72"/>
  <c r="EC357" i="72"/>
  <c r="DY357" i="72"/>
  <c r="DU357" i="72"/>
  <c r="DZ488" i="72"/>
  <c r="DV488" i="72"/>
  <c r="EC488" i="72"/>
  <c r="DY488" i="72"/>
  <c r="DU488" i="72"/>
  <c r="EB488" i="72"/>
  <c r="DX488" i="72"/>
  <c r="EH488" i="72"/>
  <c r="EI488" i="72" s="1"/>
  <c r="EA488" i="72"/>
  <c r="DW488" i="72"/>
  <c r="EH356" i="72"/>
  <c r="EI356" i="72" s="1"/>
  <c r="EA356" i="72"/>
  <c r="DW356" i="72"/>
  <c r="DZ356" i="72"/>
  <c r="DV356" i="72"/>
  <c r="EC356" i="72"/>
  <c r="DY356" i="72"/>
  <c r="DU356" i="72"/>
  <c r="EB356" i="72"/>
  <c r="DX356" i="72"/>
  <c r="AM220" i="72"/>
  <c r="AP220" i="72" s="1"/>
  <c r="EU48" i="8" s="1"/>
  <c r="CD354" i="72"/>
  <c r="H45" i="43"/>
  <c r="EM45" i="43"/>
  <c r="AL43" i="40"/>
  <c r="AO43" i="40" s="1"/>
  <c r="AP43" i="40" s="1"/>
  <c r="AQ43" i="40" s="1"/>
  <c r="EN43" i="41"/>
  <c r="EN45" i="41"/>
  <c r="EN48" i="40"/>
  <c r="ED443" i="72"/>
  <c r="EE443" i="72" s="1"/>
  <c r="ED531" i="72"/>
  <c r="EE531" i="72" s="1"/>
  <c r="K444" i="72"/>
  <c r="V444" i="72" s="1"/>
  <c r="AG444" i="72" s="1"/>
  <c r="G444" i="72"/>
  <c r="R444" i="72" s="1"/>
  <c r="AC444" i="72" s="1"/>
  <c r="J444" i="72"/>
  <c r="U444" i="72" s="1"/>
  <c r="AF444" i="72" s="1"/>
  <c r="F444" i="72"/>
  <c r="Q444" i="72" s="1"/>
  <c r="AB444" i="72" s="1"/>
  <c r="I444" i="72"/>
  <c r="T444" i="72" s="1"/>
  <c r="AE444" i="72" s="1"/>
  <c r="E444" i="72"/>
  <c r="P444" i="72" s="1"/>
  <c r="H444" i="72"/>
  <c r="S444" i="72" s="1"/>
  <c r="AD444" i="72" s="1"/>
  <c r="D444" i="72"/>
  <c r="O444" i="72" s="1"/>
  <c r="Z444" i="72" s="1"/>
  <c r="K532" i="72"/>
  <c r="V532" i="72" s="1"/>
  <c r="AG532" i="72" s="1"/>
  <c r="G532" i="72"/>
  <c r="R532" i="72" s="1"/>
  <c r="AC532" i="72" s="1"/>
  <c r="J532" i="72"/>
  <c r="U532" i="72" s="1"/>
  <c r="AF532" i="72" s="1"/>
  <c r="F532" i="72"/>
  <c r="Q532" i="72" s="1"/>
  <c r="AB532" i="72" s="1"/>
  <c r="I532" i="72"/>
  <c r="T532" i="72" s="1"/>
  <c r="AE532" i="72" s="1"/>
  <c r="E532" i="72"/>
  <c r="P532" i="72" s="1"/>
  <c r="AA532" i="72" s="1"/>
  <c r="H532" i="72"/>
  <c r="S532" i="72" s="1"/>
  <c r="AD532" i="72" s="1"/>
  <c r="D532" i="72"/>
  <c r="O532" i="72" s="1"/>
  <c r="K356" i="72"/>
  <c r="V356" i="72" s="1"/>
  <c r="AG356" i="72" s="1"/>
  <c r="G356" i="72"/>
  <c r="R356" i="72" s="1"/>
  <c r="AC356" i="72" s="1"/>
  <c r="J356" i="72"/>
  <c r="U356" i="72" s="1"/>
  <c r="AF356" i="72" s="1"/>
  <c r="F356" i="72"/>
  <c r="Q356" i="72" s="1"/>
  <c r="AB356" i="72" s="1"/>
  <c r="I356" i="72"/>
  <c r="T356" i="72" s="1"/>
  <c r="AE356" i="72" s="1"/>
  <c r="E356" i="72"/>
  <c r="P356" i="72" s="1"/>
  <c r="AA356" i="72" s="1"/>
  <c r="H356" i="72"/>
  <c r="S356" i="72" s="1"/>
  <c r="AD356" i="72" s="1"/>
  <c r="D356" i="72"/>
  <c r="O356" i="72" s="1"/>
  <c r="K357" i="72"/>
  <c r="V357" i="72" s="1"/>
  <c r="AG357" i="72" s="1"/>
  <c r="G357" i="72"/>
  <c r="R357" i="72" s="1"/>
  <c r="AC357" i="72" s="1"/>
  <c r="J357" i="72"/>
  <c r="U357" i="72" s="1"/>
  <c r="AF357" i="72" s="1"/>
  <c r="F357" i="72"/>
  <c r="Q357" i="72" s="1"/>
  <c r="AB357" i="72" s="1"/>
  <c r="I357" i="72"/>
  <c r="T357" i="72" s="1"/>
  <c r="AE357" i="72" s="1"/>
  <c r="E357" i="72"/>
  <c r="P357" i="72" s="1"/>
  <c r="H357" i="72"/>
  <c r="S357" i="72" s="1"/>
  <c r="AD357" i="72" s="1"/>
  <c r="D357" i="72"/>
  <c r="O357" i="72" s="1"/>
  <c r="Z357" i="72" s="1"/>
  <c r="K488" i="72"/>
  <c r="V488" i="72" s="1"/>
  <c r="AG488" i="72" s="1"/>
  <c r="G488" i="72"/>
  <c r="R488" i="72" s="1"/>
  <c r="AC488" i="72" s="1"/>
  <c r="J488" i="72"/>
  <c r="U488" i="72" s="1"/>
  <c r="AF488" i="72" s="1"/>
  <c r="F488" i="72"/>
  <c r="Q488" i="72" s="1"/>
  <c r="AB488" i="72" s="1"/>
  <c r="I488" i="72"/>
  <c r="T488" i="72" s="1"/>
  <c r="AE488" i="72" s="1"/>
  <c r="E488" i="72"/>
  <c r="P488" i="72" s="1"/>
  <c r="H488" i="72"/>
  <c r="S488" i="72" s="1"/>
  <c r="AD488" i="72" s="1"/>
  <c r="D488" i="72"/>
  <c r="O488" i="72" s="1"/>
  <c r="Z488" i="72" s="1"/>
  <c r="K400" i="72"/>
  <c r="V400" i="72" s="1"/>
  <c r="AG400" i="72" s="1"/>
  <c r="G400" i="72"/>
  <c r="R400" i="72" s="1"/>
  <c r="AC400" i="72" s="1"/>
  <c r="J400" i="72"/>
  <c r="U400" i="72" s="1"/>
  <c r="AF400" i="72" s="1"/>
  <c r="F400" i="72"/>
  <c r="Q400" i="72" s="1"/>
  <c r="AB400" i="72" s="1"/>
  <c r="I400" i="72"/>
  <c r="T400" i="72" s="1"/>
  <c r="AE400" i="72" s="1"/>
  <c r="E400" i="72"/>
  <c r="P400" i="72" s="1"/>
  <c r="H400" i="72"/>
  <c r="S400" i="72" s="1"/>
  <c r="AD400" i="72" s="1"/>
  <c r="D400" i="72"/>
  <c r="O400" i="72" s="1"/>
  <c r="Z400" i="72" s="1"/>
  <c r="E13" i="51"/>
  <c r="DK37" i="5"/>
  <c r="AQ354" i="72"/>
  <c r="Z48" i="37"/>
  <c r="AQ398" i="72"/>
  <c r="AL34" i="35"/>
  <c r="AP58" i="35"/>
  <c r="AP61" i="35" s="1"/>
  <c r="AO58" i="35"/>
  <c r="AP55" i="35"/>
  <c r="AP64" i="35" s="1"/>
  <c r="AO55" i="35"/>
  <c r="AL39" i="36"/>
  <c r="AO39" i="36" s="1"/>
  <c r="ER49" i="6"/>
  <c r="BG530" i="72"/>
  <c r="BB530" i="72"/>
  <c r="BA46" i="42"/>
  <c r="I42" i="45"/>
  <c r="BF309" i="72"/>
  <c r="BC309" i="72"/>
  <c r="BD309" i="72" s="1"/>
  <c r="A46" i="43"/>
  <c r="A445" i="72"/>
  <c r="FB48" i="13"/>
  <c r="BH48" i="13" s="1"/>
  <c r="BF222" i="72"/>
  <c r="BC222" i="72"/>
  <c r="BD222" i="72" s="1"/>
  <c r="AM222" i="72" s="1"/>
  <c r="AP222" i="72" s="1"/>
  <c r="I45" i="42"/>
  <c r="BN48" i="15"/>
  <c r="BJ47" i="15"/>
  <c r="BG266" i="72"/>
  <c r="BB266" i="72"/>
  <c r="I44" i="43"/>
  <c r="K41" i="43"/>
  <c r="L41" i="43" s="1"/>
  <c r="E41" i="43" s="1"/>
  <c r="D80" i="43" s="1"/>
  <c r="E80" i="43" s="1"/>
  <c r="ER43" i="13"/>
  <c r="L355" i="72"/>
  <c r="M355" i="72" s="1"/>
  <c r="I43" i="44"/>
  <c r="BD178" i="72"/>
  <c r="A45" i="44"/>
  <c r="FB47" i="14"/>
  <c r="BH47" i="14" s="1"/>
  <c r="A489" i="72"/>
  <c r="K44" i="40"/>
  <c r="L44" i="40" s="1"/>
  <c r="E44" i="40" s="1"/>
  <c r="D83" i="40" s="1"/>
  <c r="E83" i="40" s="1"/>
  <c r="I47" i="40"/>
  <c r="FB50" i="12"/>
  <c r="A402" i="72"/>
  <c r="A48" i="42"/>
  <c r="L531" i="72"/>
  <c r="M531" i="72" s="1"/>
  <c r="BG354" i="72"/>
  <c r="BB354" i="72"/>
  <c r="BB486" i="72"/>
  <c r="BG486" i="72"/>
  <c r="BA45" i="43"/>
  <c r="AY442" i="72"/>
  <c r="AQ442" i="72"/>
  <c r="BA43" i="45"/>
  <c r="L487" i="72"/>
  <c r="M487" i="72" s="1"/>
  <c r="K42" i="42"/>
  <c r="L42" i="42" s="1"/>
  <c r="E42" i="42" s="1"/>
  <c r="D81" i="42" s="1"/>
  <c r="E81" i="42" s="1"/>
  <c r="L312" i="72"/>
  <c r="M312" i="72" s="1"/>
  <c r="AY530" i="72"/>
  <c r="AQ530" i="72"/>
  <c r="BA48" i="41"/>
  <c r="BP28" i="41" s="1"/>
  <c r="BR28" i="41" s="1"/>
  <c r="BA44" i="44"/>
  <c r="K43" i="41"/>
  <c r="L43" i="41" s="1"/>
  <c r="E43" i="41" s="1"/>
  <c r="D82" i="41" s="1"/>
  <c r="E82" i="41" s="1"/>
  <c r="ER45" i="11"/>
  <c r="BC441" i="72"/>
  <c r="BD441" i="72" s="1"/>
  <c r="BF441" i="72"/>
  <c r="ER50" i="6"/>
  <c r="AM133" i="72"/>
  <c r="E50" i="36"/>
  <c r="BJ49" i="13"/>
  <c r="BN50" i="13"/>
  <c r="BJ50" i="13" s="1"/>
  <c r="K40" i="44"/>
  <c r="L40" i="44" s="1"/>
  <c r="E40" i="44" s="1"/>
  <c r="D79" i="44" s="1"/>
  <c r="E79" i="44" s="1"/>
  <c r="A533" i="72"/>
  <c r="A44" i="45"/>
  <c r="FB46" i="15"/>
  <c r="BH46" i="15" s="1"/>
  <c r="GC46" i="15" s="1"/>
  <c r="FX370" i="34" s="1"/>
  <c r="BC397" i="72"/>
  <c r="BD397" i="72" s="1"/>
  <c r="BF397" i="72"/>
  <c r="AY266" i="72"/>
  <c r="BF529" i="72"/>
  <c r="BC529" i="72"/>
  <c r="BD529" i="72" s="1"/>
  <c r="AY398" i="72"/>
  <c r="BG398" i="72"/>
  <c r="BB398" i="72"/>
  <c r="I46" i="41"/>
  <c r="K39" i="45"/>
  <c r="L39" i="45" s="1"/>
  <c r="E39" i="45" s="1"/>
  <c r="D78" i="45" s="1"/>
  <c r="E78" i="45" s="1"/>
  <c r="I48" i="40"/>
  <c r="BA47" i="41"/>
  <c r="BN49" i="14"/>
  <c r="BJ48" i="14"/>
  <c r="K46" i="38"/>
  <c r="L46" i="38" s="1"/>
  <c r="E46" i="38" s="1"/>
  <c r="D85" i="38" s="1"/>
  <c r="BB267" i="72"/>
  <c r="AP267" i="72" s="1"/>
  <c r="BG267" i="72"/>
  <c r="AY267" i="72"/>
  <c r="L311" i="72"/>
  <c r="M311" i="72" s="1"/>
  <c r="FB49" i="12"/>
  <c r="BH49" i="12" s="1"/>
  <c r="A47" i="42"/>
  <c r="A401" i="72"/>
  <c r="BC265" i="72"/>
  <c r="BD265" i="72" s="1"/>
  <c r="BF265" i="72"/>
  <c r="AY354" i="72"/>
  <c r="AY486" i="72"/>
  <c r="K45" i="39"/>
  <c r="L45" i="39" s="1"/>
  <c r="E45" i="39" s="1"/>
  <c r="D84" i="39" s="1"/>
  <c r="E84" i="39" s="1"/>
  <c r="BF353" i="72"/>
  <c r="BC353" i="72"/>
  <c r="BD353" i="72" s="1"/>
  <c r="BF485" i="72"/>
  <c r="BC485" i="72"/>
  <c r="BD485" i="72" s="1"/>
  <c r="AQ222" i="72"/>
  <c r="AI224" i="72"/>
  <c r="L399" i="72"/>
  <c r="M399" i="72" s="1"/>
  <c r="BG442" i="72"/>
  <c r="BB442" i="72"/>
  <c r="J43" i="45"/>
  <c r="AY310" i="72"/>
  <c r="BB310" i="72"/>
  <c r="BG310" i="72"/>
  <c r="BF221" i="72"/>
  <c r="BC221" i="72"/>
  <c r="BD221" i="72" s="1"/>
  <c r="K47" i="37"/>
  <c r="L47" i="37" s="1"/>
  <c r="E47" i="37" s="1"/>
  <c r="D86" i="37" s="1"/>
  <c r="L443" i="72"/>
  <c r="M443" i="72" s="1"/>
  <c r="J44" i="44" l="1"/>
  <c r="J45" i="43"/>
  <c r="C7" i="16"/>
  <c r="EN232" i="72"/>
  <c r="BV232" i="72" s="1"/>
  <c r="BW232" i="72" s="1"/>
  <c r="EO232" i="72"/>
  <c r="J47" i="41"/>
  <c r="ER47" i="9"/>
  <c r="G84" i="39"/>
  <c r="F84" i="39"/>
  <c r="G80" i="43"/>
  <c r="F80" i="43"/>
  <c r="G82" i="41"/>
  <c r="F82" i="41"/>
  <c r="G78" i="45"/>
  <c r="F78" i="45"/>
  <c r="E87" i="39"/>
  <c r="D88" i="37"/>
  <c r="F79" i="44"/>
  <c r="G79" i="44"/>
  <c r="G81" i="42"/>
  <c r="F81" i="42"/>
  <c r="G83" i="40"/>
  <c r="F83" i="40"/>
  <c r="ER42" i="14"/>
  <c r="ER48" i="8"/>
  <c r="ER49" i="7"/>
  <c r="AL45" i="41"/>
  <c r="BI13" i="11"/>
  <c r="BI9" i="12"/>
  <c r="GC47" i="14"/>
  <c r="FX340" i="34" s="1"/>
  <c r="GC48" i="13"/>
  <c r="FX310" i="34" s="1"/>
  <c r="GC49" i="12"/>
  <c r="FX280" i="34" s="1"/>
  <c r="AI399" i="72"/>
  <c r="AQ399" i="72" s="1"/>
  <c r="AI531" i="72"/>
  <c r="AQ531" i="72" s="1"/>
  <c r="AI487" i="72"/>
  <c r="AQ487" i="72" s="1"/>
  <c r="W356" i="72"/>
  <c r="X356" i="72" s="1"/>
  <c r="Z356" i="72"/>
  <c r="W532" i="72"/>
  <c r="X532" i="72" s="1"/>
  <c r="Z532" i="72"/>
  <c r="AL42" i="41"/>
  <c r="AO42" i="41" s="1"/>
  <c r="AP42" i="41" s="1"/>
  <c r="AQ42" i="41" s="1"/>
  <c r="W400" i="72"/>
  <c r="X400" i="72" s="1"/>
  <c r="AA400" i="72"/>
  <c r="W488" i="72"/>
  <c r="X488" i="72" s="1"/>
  <c r="AA488" i="72"/>
  <c r="W357" i="72"/>
  <c r="X357" i="72" s="1"/>
  <c r="AA357" i="72"/>
  <c r="AA444" i="72"/>
  <c r="W444" i="72"/>
  <c r="X444" i="72" s="1"/>
  <c r="AI443" i="72"/>
  <c r="AQ443" i="72" s="1"/>
  <c r="AI312" i="72"/>
  <c r="AI311" i="72"/>
  <c r="AI355" i="72"/>
  <c r="AQ355" i="72" s="1"/>
  <c r="J48" i="41"/>
  <c r="AL40" i="41"/>
  <c r="AO40" i="41" s="1"/>
  <c r="AP40" i="41" s="1"/>
  <c r="AQ40" i="41" s="1"/>
  <c r="AL44" i="41"/>
  <c r="AL46" i="41"/>
  <c r="AL43" i="41"/>
  <c r="AO43" i="41" s="1"/>
  <c r="AP43" i="41" s="1"/>
  <c r="AQ43" i="41" s="1"/>
  <c r="ER46" i="10"/>
  <c r="AL41" i="41"/>
  <c r="AP178" i="72"/>
  <c r="ER41" i="15"/>
  <c r="AP528" i="72"/>
  <c r="EU41" i="15" s="1"/>
  <c r="ER44" i="12"/>
  <c r="AP396" i="72"/>
  <c r="EU44" i="12" s="1"/>
  <c r="J46" i="42"/>
  <c r="FS48" i="13"/>
  <c r="BE48" i="13"/>
  <c r="BC48" i="13" s="1"/>
  <c r="FS47" i="14"/>
  <c r="BE47" i="14"/>
  <c r="BC47" i="14" s="1"/>
  <c r="FS49" i="12"/>
  <c r="BE49" i="12"/>
  <c r="BC49" i="12" s="1"/>
  <c r="FS46" i="15"/>
  <c r="BE46" i="15"/>
  <c r="BC46" i="15" s="1"/>
  <c r="BH50" i="12"/>
  <c r="GC50" i="12" s="1"/>
  <c r="FX281" i="34" s="1"/>
  <c r="EN45" i="42"/>
  <c r="BC51" i="11"/>
  <c r="I48" i="39"/>
  <c r="BC51" i="9"/>
  <c r="EM362" i="72"/>
  <c r="ED400" i="72"/>
  <c r="EE400" i="72" s="1"/>
  <c r="EN46" i="42" s="1"/>
  <c r="EN43" i="42"/>
  <c r="EV48" i="10"/>
  <c r="AA48" i="10" s="1"/>
  <c r="EV45" i="13"/>
  <c r="AA45" i="13" s="1"/>
  <c r="EV46" i="12"/>
  <c r="AA46" i="12" s="1"/>
  <c r="EV47" i="11"/>
  <c r="AA47" i="11" s="1"/>
  <c r="EV44" i="14"/>
  <c r="AA44" i="14" s="1"/>
  <c r="EV49" i="9"/>
  <c r="AA49" i="9" s="1"/>
  <c r="EV43" i="15"/>
  <c r="AA43" i="15" s="1"/>
  <c r="AM441" i="72"/>
  <c r="AP441" i="72" s="1"/>
  <c r="EU44" i="13" s="1"/>
  <c r="ED356" i="72"/>
  <c r="EE356" i="72" s="1"/>
  <c r="EN47" i="41" s="1"/>
  <c r="ED357" i="72"/>
  <c r="EE357" i="72" s="1"/>
  <c r="AM221" i="72"/>
  <c r="AP221" i="72" s="1"/>
  <c r="EU49" i="8" s="1"/>
  <c r="H47" i="42"/>
  <c r="EM47" i="42"/>
  <c r="AM529" i="72"/>
  <c r="AP529" i="72" s="1"/>
  <c r="EU42" i="15" s="1"/>
  <c r="H44" i="45"/>
  <c r="EM44" i="45"/>
  <c r="CD487" i="72"/>
  <c r="EC402" i="72"/>
  <c r="DY402" i="72"/>
  <c r="DU402" i="72"/>
  <c r="EB402" i="72"/>
  <c r="DX402" i="72"/>
  <c r="EH402" i="72"/>
  <c r="EI402" i="72" s="1"/>
  <c r="EA402" i="72"/>
  <c r="DW402" i="72"/>
  <c r="DZ402" i="72"/>
  <c r="DV402" i="72"/>
  <c r="DZ445" i="72"/>
  <c r="DV445" i="72"/>
  <c r="EC445" i="72"/>
  <c r="DY445" i="72"/>
  <c r="DU445" i="72"/>
  <c r="EB445" i="72"/>
  <c r="DX445" i="72"/>
  <c r="EH445" i="72"/>
  <c r="EI445" i="72" s="1"/>
  <c r="EA445" i="72"/>
  <c r="DW445" i="72"/>
  <c r="ED488" i="72"/>
  <c r="EE488" i="72" s="1"/>
  <c r="EN41" i="42"/>
  <c r="AM353" i="72"/>
  <c r="EC401" i="72"/>
  <c r="DY401" i="72"/>
  <c r="DU401" i="72"/>
  <c r="EB401" i="72"/>
  <c r="DX401" i="72"/>
  <c r="EH401" i="72"/>
  <c r="EI401" i="72" s="1"/>
  <c r="EM367" i="72" s="1"/>
  <c r="EA401" i="72"/>
  <c r="DW401" i="72"/>
  <c r="DZ401" i="72"/>
  <c r="DV401" i="72"/>
  <c r="H48" i="42"/>
  <c r="EM48" i="42"/>
  <c r="EN48" i="42" s="1"/>
  <c r="ED532" i="72"/>
  <c r="EE532" i="72" s="1"/>
  <c r="CD443" i="72"/>
  <c r="AM485" i="72"/>
  <c r="AM397" i="72"/>
  <c r="AP397" i="72" s="1"/>
  <c r="EU45" i="12" s="1"/>
  <c r="EC533" i="72"/>
  <c r="DY533" i="72"/>
  <c r="DU533" i="72"/>
  <c r="EB533" i="72"/>
  <c r="DX533" i="72"/>
  <c r="EH533" i="72"/>
  <c r="EI533" i="72" s="1"/>
  <c r="EA533" i="72"/>
  <c r="DW533" i="72"/>
  <c r="DZ533" i="72"/>
  <c r="DV533" i="72"/>
  <c r="CD312" i="72"/>
  <c r="CD531" i="72"/>
  <c r="H45" i="44"/>
  <c r="EM45" i="44"/>
  <c r="CD355" i="72"/>
  <c r="H46" i="43"/>
  <c r="EM46" i="43"/>
  <c r="EL317" i="72"/>
  <c r="EL277" i="72"/>
  <c r="EH489" i="72"/>
  <c r="EI489" i="72" s="1"/>
  <c r="EA489" i="72"/>
  <c r="DW489" i="72"/>
  <c r="DZ489" i="72"/>
  <c r="DV489" i="72"/>
  <c r="EC489" i="72"/>
  <c r="DY489" i="72"/>
  <c r="DU489" i="72"/>
  <c r="EB489" i="72"/>
  <c r="DX489" i="72"/>
  <c r="CD399" i="72"/>
  <c r="AM265" i="72"/>
  <c r="AP265" i="72" s="1"/>
  <c r="EU48" i="9" s="1"/>
  <c r="CD311" i="72"/>
  <c r="AM309" i="72"/>
  <c r="AP309" i="72" s="1"/>
  <c r="EU47" i="10" s="1"/>
  <c r="EN44" i="42"/>
  <c r="EN42" i="42"/>
  <c r="ED444" i="72"/>
  <c r="EE444" i="72" s="1"/>
  <c r="EM321" i="72"/>
  <c r="K489" i="72"/>
  <c r="V489" i="72" s="1"/>
  <c r="AG489" i="72" s="1"/>
  <c r="G489" i="72"/>
  <c r="R489" i="72" s="1"/>
  <c r="AC489" i="72" s="1"/>
  <c r="J489" i="72"/>
  <c r="U489" i="72" s="1"/>
  <c r="AF489" i="72" s="1"/>
  <c r="F489" i="72"/>
  <c r="Q489" i="72" s="1"/>
  <c r="AB489" i="72" s="1"/>
  <c r="I489" i="72"/>
  <c r="T489" i="72" s="1"/>
  <c r="AE489" i="72" s="1"/>
  <c r="E489" i="72"/>
  <c r="P489" i="72" s="1"/>
  <c r="H489" i="72"/>
  <c r="S489" i="72" s="1"/>
  <c r="AD489" i="72" s="1"/>
  <c r="D489" i="72"/>
  <c r="O489" i="72" s="1"/>
  <c r="Z489" i="72" s="1"/>
  <c r="K402" i="72"/>
  <c r="V402" i="72" s="1"/>
  <c r="AG402" i="72" s="1"/>
  <c r="G402" i="72"/>
  <c r="R402" i="72" s="1"/>
  <c r="AC402" i="72" s="1"/>
  <c r="J402" i="72"/>
  <c r="U402" i="72" s="1"/>
  <c r="AF402" i="72" s="1"/>
  <c r="F402" i="72"/>
  <c r="Q402" i="72" s="1"/>
  <c r="AB402" i="72" s="1"/>
  <c r="I402" i="72"/>
  <c r="T402" i="72" s="1"/>
  <c r="AE402" i="72" s="1"/>
  <c r="E402" i="72"/>
  <c r="P402" i="72" s="1"/>
  <c r="H402" i="72"/>
  <c r="S402" i="72" s="1"/>
  <c r="AD402" i="72" s="1"/>
  <c r="D402" i="72"/>
  <c r="O402" i="72" s="1"/>
  <c r="Z402" i="72" s="1"/>
  <c r="K445" i="72"/>
  <c r="V445" i="72" s="1"/>
  <c r="AG445" i="72" s="1"/>
  <c r="G445" i="72"/>
  <c r="R445" i="72" s="1"/>
  <c r="AC445" i="72" s="1"/>
  <c r="J445" i="72"/>
  <c r="U445" i="72" s="1"/>
  <c r="AF445" i="72" s="1"/>
  <c r="F445" i="72"/>
  <c r="Q445" i="72" s="1"/>
  <c r="AB445" i="72" s="1"/>
  <c r="I445" i="72"/>
  <c r="T445" i="72" s="1"/>
  <c r="AE445" i="72" s="1"/>
  <c r="E445" i="72"/>
  <c r="P445" i="72" s="1"/>
  <c r="H445" i="72"/>
  <c r="S445" i="72" s="1"/>
  <c r="AD445" i="72" s="1"/>
  <c r="D445" i="72"/>
  <c r="O445" i="72" s="1"/>
  <c r="Z445" i="72" s="1"/>
  <c r="K533" i="72"/>
  <c r="V533" i="72" s="1"/>
  <c r="AG533" i="72" s="1"/>
  <c r="G533" i="72"/>
  <c r="R533" i="72" s="1"/>
  <c r="AC533" i="72" s="1"/>
  <c r="J533" i="72"/>
  <c r="U533" i="72" s="1"/>
  <c r="AF533" i="72" s="1"/>
  <c r="F533" i="72"/>
  <c r="Q533" i="72" s="1"/>
  <c r="AB533" i="72" s="1"/>
  <c r="I533" i="72"/>
  <c r="T533" i="72" s="1"/>
  <c r="AE533" i="72" s="1"/>
  <c r="E533" i="72"/>
  <c r="P533" i="72" s="1"/>
  <c r="H533" i="72"/>
  <c r="S533" i="72" s="1"/>
  <c r="AD533" i="72" s="1"/>
  <c r="D533" i="72"/>
  <c r="O533" i="72" s="1"/>
  <c r="Z533" i="72" s="1"/>
  <c r="K401" i="72"/>
  <c r="V401" i="72" s="1"/>
  <c r="AG401" i="72" s="1"/>
  <c r="G401" i="72"/>
  <c r="R401" i="72" s="1"/>
  <c r="AC401" i="72" s="1"/>
  <c r="J401" i="72"/>
  <c r="U401" i="72" s="1"/>
  <c r="AF401" i="72" s="1"/>
  <c r="F401" i="72"/>
  <c r="Q401" i="72" s="1"/>
  <c r="AB401" i="72" s="1"/>
  <c r="I401" i="72"/>
  <c r="T401" i="72" s="1"/>
  <c r="AE401" i="72" s="1"/>
  <c r="E401" i="72"/>
  <c r="P401" i="72" s="1"/>
  <c r="AA401" i="72" s="1"/>
  <c r="H401" i="72"/>
  <c r="S401" i="72" s="1"/>
  <c r="AD401" i="72" s="1"/>
  <c r="D401" i="72"/>
  <c r="O401" i="72" s="1"/>
  <c r="BS28" i="41"/>
  <c r="BT39" i="41" s="1"/>
  <c r="AI95" i="35"/>
  <c r="AP52" i="35"/>
  <c r="AP50" i="35"/>
  <c r="AQ311" i="72"/>
  <c r="AO61" i="35"/>
  <c r="AO64" i="35"/>
  <c r="AP39" i="36"/>
  <c r="AQ39" i="36" s="1"/>
  <c r="AO47" i="36"/>
  <c r="AL30" i="36" s="1"/>
  <c r="AL39" i="37"/>
  <c r="EU49" i="6"/>
  <c r="AP133" i="72"/>
  <c r="K47" i="38"/>
  <c r="L47" i="38" s="1"/>
  <c r="E47" i="38" s="1"/>
  <c r="D86" i="38" s="1"/>
  <c r="BC442" i="72"/>
  <c r="BD442" i="72" s="1"/>
  <c r="BF442" i="72"/>
  <c r="L444" i="72"/>
  <c r="M444" i="72" s="1"/>
  <c r="K41" i="44"/>
  <c r="L41" i="44" s="1"/>
  <c r="E41" i="44" s="1"/>
  <c r="D80" i="44" s="1"/>
  <c r="E80" i="44" s="1"/>
  <c r="BB311" i="72"/>
  <c r="BG311" i="72"/>
  <c r="BF267" i="72"/>
  <c r="BC267" i="72"/>
  <c r="BD267" i="72" s="1"/>
  <c r="AM267" i="72" s="1"/>
  <c r="BN50" i="14"/>
  <c r="BJ50" i="14" s="1"/>
  <c r="BJ49" i="14"/>
  <c r="BC398" i="72"/>
  <c r="BD398" i="72" s="1"/>
  <c r="BF398" i="72"/>
  <c r="K40" i="45"/>
  <c r="L40" i="45" s="1"/>
  <c r="E40" i="45" s="1"/>
  <c r="D79" i="45" s="1"/>
  <c r="E79" i="45" s="1"/>
  <c r="K43" i="42"/>
  <c r="L43" i="42" s="1"/>
  <c r="E43" i="42" s="1"/>
  <c r="D82" i="42" s="1"/>
  <c r="E82" i="42" s="1"/>
  <c r="A446" i="72"/>
  <c r="A47" i="43"/>
  <c r="FB49" i="13"/>
  <c r="BH49" i="13" s="1"/>
  <c r="P42" i="36"/>
  <c r="Q45" i="36"/>
  <c r="P45" i="36"/>
  <c r="Q42" i="36"/>
  <c r="K42" i="43"/>
  <c r="L42" i="43" s="1"/>
  <c r="E42" i="43" s="1"/>
  <c r="D81" i="43" s="1"/>
  <c r="E81" i="43" s="1"/>
  <c r="I45" i="43"/>
  <c r="BC354" i="72"/>
  <c r="BD354" i="72" s="1"/>
  <c r="BF354" i="72"/>
  <c r="BG531" i="72"/>
  <c r="BB531" i="72"/>
  <c r="AQ267" i="72"/>
  <c r="AI269" i="72"/>
  <c r="BA45" i="44"/>
  <c r="L356" i="72"/>
  <c r="M356" i="72" s="1"/>
  <c r="I47" i="41"/>
  <c r="BB355" i="72"/>
  <c r="BG355" i="72"/>
  <c r="FB47" i="15"/>
  <c r="BH47" i="15" s="1"/>
  <c r="GC47" i="15" s="1"/>
  <c r="FX371" i="34" s="1"/>
  <c r="A45" i="45"/>
  <c r="A534" i="72"/>
  <c r="EU50" i="8"/>
  <c r="BA46" i="43"/>
  <c r="K45" i="40"/>
  <c r="L45" i="40" s="1"/>
  <c r="E45" i="40" s="1"/>
  <c r="D84" i="40" s="1"/>
  <c r="E84" i="40" s="1"/>
  <c r="BF530" i="72"/>
  <c r="BC530" i="72"/>
  <c r="BD530" i="72" s="1"/>
  <c r="BG443" i="72"/>
  <c r="BB443" i="72"/>
  <c r="AY443" i="72"/>
  <c r="BF310" i="72"/>
  <c r="BC310" i="72"/>
  <c r="BD310" i="72" s="1"/>
  <c r="L532" i="72"/>
  <c r="M532" i="72" s="1"/>
  <c r="I43" i="45"/>
  <c r="BB399" i="72"/>
  <c r="BG399" i="72"/>
  <c r="AY399" i="72"/>
  <c r="K44" i="41"/>
  <c r="L44" i="41" s="1"/>
  <c r="E44" i="41" s="1"/>
  <c r="D83" i="41" s="1"/>
  <c r="E83" i="41" s="1"/>
  <c r="K46" i="39"/>
  <c r="L46" i="39" s="1"/>
  <c r="E46" i="39" s="1"/>
  <c r="D85" i="39" s="1"/>
  <c r="E85" i="39" s="1"/>
  <c r="BA47" i="42"/>
  <c r="AY311" i="72"/>
  <c r="A490" i="72"/>
  <c r="A46" i="44"/>
  <c r="FB48" i="14"/>
  <c r="BH48" i="14" s="1"/>
  <c r="BA44" i="45"/>
  <c r="FB50" i="13"/>
  <c r="BH50" i="13" s="1"/>
  <c r="A447" i="72"/>
  <c r="A48" i="43"/>
  <c r="L400" i="72"/>
  <c r="M400" i="72" s="1"/>
  <c r="I44" i="44"/>
  <c r="L357" i="72"/>
  <c r="M357" i="72" s="1"/>
  <c r="E50" i="37"/>
  <c r="BG312" i="72"/>
  <c r="AY312" i="72"/>
  <c r="BB312" i="72"/>
  <c r="AY487" i="72"/>
  <c r="BB487" i="72"/>
  <c r="BG487" i="72"/>
  <c r="BF486" i="72"/>
  <c r="BC486" i="72"/>
  <c r="BD486" i="72" s="1"/>
  <c r="AY531" i="72"/>
  <c r="BA48" i="42"/>
  <c r="AM178" i="72"/>
  <c r="AY355" i="72"/>
  <c r="BF266" i="72"/>
  <c r="BC266" i="72"/>
  <c r="BD266" i="72" s="1"/>
  <c r="BJ48" i="15"/>
  <c r="BN49" i="15"/>
  <c r="K48" i="38"/>
  <c r="L48" i="38" s="1"/>
  <c r="E48" i="38" s="1"/>
  <c r="D87" i="38" s="1"/>
  <c r="BD223" i="72"/>
  <c r="I46" i="42"/>
  <c r="L488" i="72"/>
  <c r="M488" i="72" s="1"/>
  <c r="I48" i="41"/>
  <c r="EN48" i="41" l="1"/>
  <c r="EL322" i="72"/>
  <c r="AL43" i="42"/>
  <c r="AO43" i="42" s="1"/>
  <c r="AP43" i="42" s="1"/>
  <c r="AQ43" i="42" s="1"/>
  <c r="J47" i="42"/>
  <c r="J46" i="43"/>
  <c r="AL42" i="42"/>
  <c r="AO42" i="42" s="1"/>
  <c r="AP42" i="42" s="1"/>
  <c r="AQ42" i="42" s="1"/>
  <c r="G81" i="43"/>
  <c r="F81" i="43"/>
  <c r="G82" i="42"/>
  <c r="F82" i="42"/>
  <c r="G84" i="40"/>
  <c r="F84" i="40"/>
  <c r="F79" i="45"/>
  <c r="G79" i="45"/>
  <c r="G80" i="44"/>
  <c r="F80" i="44"/>
  <c r="G87" i="39"/>
  <c r="F87" i="39"/>
  <c r="F85" i="39"/>
  <c r="G85" i="39"/>
  <c r="D88" i="38"/>
  <c r="G83" i="41"/>
  <c r="F83" i="41"/>
  <c r="AI444" i="72"/>
  <c r="AI488" i="72"/>
  <c r="ER45" i="12"/>
  <c r="J45" i="44"/>
  <c r="ER44" i="13"/>
  <c r="J44" i="45"/>
  <c r="ER47" i="10"/>
  <c r="ER49" i="8"/>
  <c r="ER42" i="15"/>
  <c r="GC50" i="13"/>
  <c r="FX312" i="34" s="1"/>
  <c r="GC49" i="13"/>
  <c r="FX311" i="34" s="1"/>
  <c r="GC48" i="14"/>
  <c r="FX341" i="34" s="1"/>
  <c r="AI356" i="72"/>
  <c r="AI357" i="72"/>
  <c r="AI400" i="72"/>
  <c r="AQ400" i="72" s="1"/>
  <c r="AI532" i="72"/>
  <c r="AQ532" i="72" s="1"/>
  <c r="W533" i="72"/>
  <c r="X533" i="72" s="1"/>
  <c r="AA533" i="72"/>
  <c r="W445" i="72"/>
  <c r="X445" i="72" s="1"/>
  <c r="AA445" i="72"/>
  <c r="W402" i="72"/>
  <c r="X402" i="72" s="1"/>
  <c r="AA402" i="72"/>
  <c r="AA489" i="72"/>
  <c r="W489" i="72"/>
  <c r="X489" i="72" s="1"/>
  <c r="W401" i="72"/>
  <c r="X401" i="72" s="1"/>
  <c r="Z401" i="72"/>
  <c r="AL45" i="42"/>
  <c r="ER48" i="9"/>
  <c r="AL40" i="42"/>
  <c r="AO40" i="42" s="1"/>
  <c r="AP40" i="42" s="1"/>
  <c r="AQ40" i="42" s="1"/>
  <c r="EN45" i="43"/>
  <c r="AP223" i="72"/>
  <c r="ER43" i="14"/>
  <c r="AP485" i="72"/>
  <c r="EU43" i="14" s="1"/>
  <c r="ER46" i="11"/>
  <c r="AP353" i="72"/>
  <c r="EU46" i="11" s="1"/>
  <c r="FS50" i="13"/>
  <c r="BE50" i="13"/>
  <c r="BC50" i="13" s="1"/>
  <c r="FS47" i="15"/>
  <c r="BE47" i="15"/>
  <c r="BC47" i="15" s="1"/>
  <c r="AL46" i="42"/>
  <c r="FS50" i="12"/>
  <c r="BE50" i="12"/>
  <c r="FS49" i="13"/>
  <c r="BE49" i="13"/>
  <c r="BC49" i="13" s="1"/>
  <c r="FS48" i="14"/>
  <c r="BE48" i="14"/>
  <c r="BC48" i="14" s="1"/>
  <c r="EN43" i="43"/>
  <c r="AL41" i="42"/>
  <c r="AL44" i="42"/>
  <c r="ED401" i="72"/>
  <c r="EE401" i="72" s="1"/>
  <c r="EL367" i="72" s="1"/>
  <c r="EV48" i="11"/>
  <c r="AA48" i="11" s="1"/>
  <c r="EV44" i="15"/>
  <c r="AA44" i="15" s="1"/>
  <c r="EV49" i="10"/>
  <c r="AA49" i="10" s="1"/>
  <c r="ED445" i="72"/>
  <c r="EE445" i="72" s="1"/>
  <c r="EN46" i="43" s="1"/>
  <c r="ED402" i="72"/>
  <c r="EE402" i="72" s="1"/>
  <c r="EV45" i="14"/>
  <c r="AA45" i="14" s="1"/>
  <c r="EV50" i="10"/>
  <c r="AA50" i="10" s="1"/>
  <c r="EV47" i="12"/>
  <c r="AA47" i="12" s="1"/>
  <c r="EV46" i="13"/>
  <c r="AA46" i="13" s="1"/>
  <c r="EB447" i="72"/>
  <c r="DX447" i="72"/>
  <c r="EH447" i="72"/>
  <c r="EI447" i="72" s="1"/>
  <c r="EA447" i="72"/>
  <c r="DW447" i="72"/>
  <c r="DZ447" i="72"/>
  <c r="DV447" i="72"/>
  <c r="EC447" i="72"/>
  <c r="DY447" i="72"/>
  <c r="DU447" i="72"/>
  <c r="CD532" i="72"/>
  <c r="H45" i="45"/>
  <c r="EM45" i="45"/>
  <c r="CD356" i="72"/>
  <c r="CD444" i="72"/>
  <c r="ED489" i="72"/>
  <c r="EE489" i="72" s="1"/>
  <c r="EL362" i="72"/>
  <c r="EL321" i="72"/>
  <c r="AM266" i="72"/>
  <c r="AM486" i="72"/>
  <c r="AM530" i="72"/>
  <c r="H47" i="43"/>
  <c r="EM47" i="43"/>
  <c r="AM442" i="72"/>
  <c r="AP442" i="72" s="1"/>
  <c r="EU45" i="13" s="1"/>
  <c r="EN277" i="72"/>
  <c r="BV277" i="72" s="1"/>
  <c r="BW277" i="72" s="1"/>
  <c r="EO277" i="72"/>
  <c r="ED533" i="72"/>
  <c r="EE533" i="72" s="1"/>
  <c r="EN41" i="43"/>
  <c r="EN44" i="43"/>
  <c r="AM310" i="72"/>
  <c r="AP310" i="72" s="1"/>
  <c r="EU48" i="10" s="1"/>
  <c r="EH446" i="72"/>
  <c r="EI446" i="72" s="1"/>
  <c r="EA446" i="72"/>
  <c r="DW446" i="72"/>
  <c r="DZ446" i="72"/>
  <c r="DV446" i="72"/>
  <c r="EC446" i="72"/>
  <c r="DY446" i="72"/>
  <c r="DU446" i="72"/>
  <c r="EB446" i="72"/>
  <c r="DX446" i="72"/>
  <c r="EN317" i="72"/>
  <c r="BV317" i="72" s="1"/>
  <c r="BW317" i="72" s="1"/>
  <c r="EO317" i="72"/>
  <c r="EN47" i="42"/>
  <c r="H46" i="44"/>
  <c r="EM46" i="44"/>
  <c r="CD488" i="72"/>
  <c r="EB490" i="72"/>
  <c r="DX490" i="72"/>
  <c r="EH490" i="72"/>
  <c r="EI490" i="72" s="1"/>
  <c r="EA490" i="72"/>
  <c r="DW490" i="72"/>
  <c r="DZ490" i="72"/>
  <c r="DV490" i="72"/>
  <c r="EC490" i="72"/>
  <c r="DY490" i="72"/>
  <c r="DU490" i="72"/>
  <c r="CD357" i="72"/>
  <c r="CD400" i="72"/>
  <c r="H48" i="43"/>
  <c r="EM48" i="43"/>
  <c r="DZ534" i="72"/>
  <c r="DV534" i="72"/>
  <c r="EC534" i="72"/>
  <c r="DY534" i="72"/>
  <c r="DU534" i="72"/>
  <c r="EB534" i="72"/>
  <c r="DX534" i="72"/>
  <c r="EH534" i="72"/>
  <c r="EI534" i="72" s="1"/>
  <c r="EA534" i="72"/>
  <c r="DW534" i="72"/>
  <c r="AM354" i="72"/>
  <c r="AM398" i="72"/>
  <c r="AP398" i="72" s="1"/>
  <c r="EU46" i="12" s="1"/>
  <c r="AQ488" i="72"/>
  <c r="K447" i="72"/>
  <c r="V447" i="72" s="1"/>
  <c r="AG447" i="72" s="1"/>
  <c r="G447" i="72"/>
  <c r="R447" i="72" s="1"/>
  <c r="AC447" i="72" s="1"/>
  <c r="J447" i="72"/>
  <c r="U447" i="72" s="1"/>
  <c r="AF447" i="72" s="1"/>
  <c r="F447" i="72"/>
  <c r="Q447" i="72" s="1"/>
  <c r="AB447" i="72" s="1"/>
  <c r="I447" i="72"/>
  <c r="T447" i="72" s="1"/>
  <c r="AE447" i="72" s="1"/>
  <c r="E447" i="72"/>
  <c r="P447" i="72" s="1"/>
  <c r="H447" i="72"/>
  <c r="S447" i="72" s="1"/>
  <c r="AD447" i="72" s="1"/>
  <c r="D447" i="72"/>
  <c r="O447" i="72" s="1"/>
  <c r="Z447" i="72" s="1"/>
  <c r="K490" i="72"/>
  <c r="V490" i="72" s="1"/>
  <c r="AG490" i="72" s="1"/>
  <c r="G490" i="72"/>
  <c r="R490" i="72" s="1"/>
  <c r="AC490" i="72" s="1"/>
  <c r="J490" i="72"/>
  <c r="U490" i="72" s="1"/>
  <c r="AF490" i="72" s="1"/>
  <c r="F490" i="72"/>
  <c r="Q490" i="72" s="1"/>
  <c r="AB490" i="72" s="1"/>
  <c r="I490" i="72"/>
  <c r="T490" i="72" s="1"/>
  <c r="AE490" i="72" s="1"/>
  <c r="E490" i="72"/>
  <c r="P490" i="72" s="1"/>
  <c r="H490" i="72"/>
  <c r="S490" i="72" s="1"/>
  <c r="AD490" i="72" s="1"/>
  <c r="D490" i="72"/>
  <c r="O490" i="72" s="1"/>
  <c r="Z490" i="72" s="1"/>
  <c r="K534" i="72"/>
  <c r="V534" i="72" s="1"/>
  <c r="AG534" i="72" s="1"/>
  <c r="G534" i="72"/>
  <c r="R534" i="72" s="1"/>
  <c r="AC534" i="72" s="1"/>
  <c r="J534" i="72"/>
  <c r="U534" i="72" s="1"/>
  <c r="AF534" i="72" s="1"/>
  <c r="F534" i="72"/>
  <c r="Q534" i="72" s="1"/>
  <c r="AB534" i="72" s="1"/>
  <c r="I534" i="72"/>
  <c r="T534" i="72" s="1"/>
  <c r="AE534" i="72" s="1"/>
  <c r="E534" i="72"/>
  <c r="P534" i="72" s="1"/>
  <c r="H534" i="72"/>
  <c r="S534" i="72" s="1"/>
  <c r="AD534" i="72" s="1"/>
  <c r="D534" i="72"/>
  <c r="O534" i="72" s="1"/>
  <c r="Z534" i="72" s="1"/>
  <c r="K446" i="72"/>
  <c r="V446" i="72" s="1"/>
  <c r="AG446" i="72" s="1"/>
  <c r="G446" i="72"/>
  <c r="R446" i="72" s="1"/>
  <c r="AC446" i="72" s="1"/>
  <c r="J446" i="72"/>
  <c r="U446" i="72" s="1"/>
  <c r="AF446" i="72" s="1"/>
  <c r="F446" i="72"/>
  <c r="Q446" i="72" s="1"/>
  <c r="AB446" i="72" s="1"/>
  <c r="I446" i="72"/>
  <c r="T446" i="72" s="1"/>
  <c r="AE446" i="72" s="1"/>
  <c r="E446" i="72"/>
  <c r="P446" i="72" s="1"/>
  <c r="AA446" i="72" s="1"/>
  <c r="H446" i="72"/>
  <c r="S446" i="72" s="1"/>
  <c r="AD446" i="72" s="1"/>
  <c r="D446" i="72"/>
  <c r="O446" i="72" s="1"/>
  <c r="Q42" i="37"/>
  <c r="Q45" i="37"/>
  <c r="P42" i="37"/>
  <c r="P45" i="37"/>
  <c r="BT28" i="41"/>
  <c r="BT41" i="41" s="1"/>
  <c r="BQ49" i="41" s="1"/>
  <c r="BQ46" i="41"/>
  <c r="BR46" i="41"/>
  <c r="AQ356" i="72"/>
  <c r="H65" i="7"/>
  <c r="N65" i="7" s="1"/>
  <c r="H66" i="7"/>
  <c r="N66" i="7" s="1"/>
  <c r="Z48" i="39"/>
  <c r="AC53" i="38"/>
  <c r="AL32" i="36"/>
  <c r="AL34" i="36" s="1"/>
  <c r="AI95" i="36" s="1"/>
  <c r="Z150" i="80"/>
  <c r="AQ444" i="72"/>
  <c r="F110" i="80"/>
  <c r="Z110" i="80" s="1"/>
  <c r="AL39" i="38"/>
  <c r="AO39" i="38" s="1"/>
  <c r="AQ47" i="36"/>
  <c r="AP47" i="36"/>
  <c r="AO39" i="37"/>
  <c r="AY488" i="72"/>
  <c r="BG488" i="72"/>
  <c r="BB488" i="72"/>
  <c r="ER50" i="8"/>
  <c r="AM223" i="72"/>
  <c r="E50" i="38"/>
  <c r="FB48" i="15"/>
  <c r="BH48" i="15" s="1"/>
  <c r="GC48" i="15" s="1"/>
  <c r="FX372" i="34" s="1"/>
  <c r="A535" i="72"/>
  <c r="A46" i="45"/>
  <c r="K47" i="39"/>
  <c r="L47" i="39" s="1"/>
  <c r="E47" i="39" s="1"/>
  <c r="D86" i="39" s="1"/>
  <c r="E86" i="39" s="1"/>
  <c r="BB357" i="72"/>
  <c r="BG357" i="72"/>
  <c r="AY400" i="72"/>
  <c r="BA48" i="43"/>
  <c r="BG532" i="72"/>
  <c r="BB532" i="72"/>
  <c r="K46" i="40"/>
  <c r="L46" i="40" s="1"/>
  <c r="E46" i="40" s="1"/>
  <c r="D85" i="40" s="1"/>
  <c r="E85" i="40" s="1"/>
  <c r="ER48" i="10"/>
  <c r="I46" i="43"/>
  <c r="BF355" i="72"/>
  <c r="BC355" i="72"/>
  <c r="BD355" i="72" s="1"/>
  <c r="AY356" i="72"/>
  <c r="K45" i="41"/>
  <c r="L45" i="41" s="1"/>
  <c r="E45" i="41" s="1"/>
  <c r="D84" i="41" s="1"/>
  <c r="E84" i="41" s="1"/>
  <c r="L533" i="72"/>
  <c r="M533" i="72" s="1"/>
  <c r="A491" i="72"/>
  <c r="FB49" i="14"/>
  <c r="BH49" i="14" s="1"/>
  <c r="A47" i="44"/>
  <c r="BF311" i="72"/>
  <c r="BC311" i="72"/>
  <c r="BD311" i="72" s="1"/>
  <c r="L401" i="72"/>
  <c r="M401" i="72" s="1"/>
  <c r="AY444" i="72"/>
  <c r="K43" i="43"/>
  <c r="L43" i="43" s="1"/>
  <c r="E43" i="43" s="1"/>
  <c r="D82" i="43" s="1"/>
  <c r="E82" i="43" s="1"/>
  <c r="L445" i="72"/>
  <c r="M445" i="72" s="1"/>
  <c r="BN50" i="15"/>
  <c r="BJ50" i="15" s="1"/>
  <c r="BJ49" i="15"/>
  <c r="L489" i="72"/>
  <c r="M489" i="72" s="1"/>
  <c r="K42" i="44"/>
  <c r="L42" i="44" s="1"/>
  <c r="E42" i="44" s="1"/>
  <c r="D81" i="44" s="1"/>
  <c r="E81" i="44" s="1"/>
  <c r="BF487" i="72"/>
  <c r="BC487" i="72"/>
  <c r="BD487" i="72" s="1"/>
  <c r="BF312" i="72"/>
  <c r="BC312" i="72"/>
  <c r="BD312" i="72" s="1"/>
  <c r="AM312" i="72" s="1"/>
  <c r="AP312" i="72" s="1"/>
  <c r="AY357" i="72"/>
  <c r="BG400" i="72"/>
  <c r="BB400" i="72"/>
  <c r="BA46" i="44"/>
  <c r="I47" i="42"/>
  <c r="BF399" i="72"/>
  <c r="BC399" i="72"/>
  <c r="BD399" i="72" s="1"/>
  <c r="AY532" i="72"/>
  <c r="BF443" i="72"/>
  <c r="BC443" i="72"/>
  <c r="BD443" i="72" s="1"/>
  <c r="K41" i="45"/>
  <c r="L41" i="45" s="1"/>
  <c r="E41" i="45" s="1"/>
  <c r="D80" i="45" s="1"/>
  <c r="E80" i="45" s="1"/>
  <c r="BA45" i="45"/>
  <c r="BB356" i="72"/>
  <c r="BG356" i="72"/>
  <c r="I45" i="44"/>
  <c r="L402" i="72"/>
  <c r="M402" i="72" s="1"/>
  <c r="BF531" i="72"/>
  <c r="BC531" i="72"/>
  <c r="BD531" i="72" s="1"/>
  <c r="AQ312" i="72"/>
  <c r="AI314" i="72"/>
  <c r="BA47" i="43"/>
  <c r="I44" i="45"/>
  <c r="K44" i="42"/>
  <c r="L44" i="42" s="1"/>
  <c r="E44" i="42" s="1"/>
  <c r="D83" i="42" s="1"/>
  <c r="E83" i="42" s="1"/>
  <c r="FB50" i="14"/>
  <c r="A48" i="44"/>
  <c r="A492" i="72"/>
  <c r="BD268" i="72"/>
  <c r="BB444" i="72"/>
  <c r="BG444" i="72"/>
  <c r="EO322" i="72" l="1"/>
  <c r="EN322" i="72"/>
  <c r="BV322" i="72" s="1"/>
  <c r="BW322" i="72" s="1"/>
  <c r="BZ88" i="7"/>
  <c r="E75" i="7"/>
  <c r="BI9" i="14"/>
  <c r="J48" i="43"/>
  <c r="G84" i="41"/>
  <c r="F84" i="41"/>
  <c r="G80" i="45"/>
  <c r="F80" i="45"/>
  <c r="G81" i="44"/>
  <c r="F81" i="44"/>
  <c r="G85" i="40"/>
  <c r="F85" i="40"/>
  <c r="F86" i="39"/>
  <c r="F88" i="39" s="1"/>
  <c r="G86" i="39"/>
  <c r="G88" i="39" s="1"/>
  <c r="D88" i="39"/>
  <c r="G83" i="42"/>
  <c r="F83" i="42"/>
  <c r="G82" i="43"/>
  <c r="F82" i="43"/>
  <c r="J47" i="43"/>
  <c r="J46" i="44"/>
  <c r="J45" i="45"/>
  <c r="GC49" i="14"/>
  <c r="FX342" i="34" s="1"/>
  <c r="BI13" i="14" s="1"/>
  <c r="EO367" i="72"/>
  <c r="EN367" i="72"/>
  <c r="BV367" i="72" s="1"/>
  <c r="BW367" i="72" s="1"/>
  <c r="AL46" i="43"/>
  <c r="AI402" i="72"/>
  <c r="AI489" i="72"/>
  <c r="AQ489" i="72" s="1"/>
  <c r="AI533" i="72"/>
  <c r="AI445" i="72"/>
  <c r="AA534" i="72"/>
  <c r="W534" i="72"/>
  <c r="X534" i="72" s="1"/>
  <c r="W490" i="72"/>
  <c r="X490" i="72" s="1"/>
  <c r="AA490" i="72"/>
  <c r="W447" i="72"/>
  <c r="X447" i="72" s="1"/>
  <c r="AA447" i="72"/>
  <c r="W446" i="72"/>
  <c r="X446" i="72" s="1"/>
  <c r="Z446" i="72"/>
  <c r="AI401" i="72"/>
  <c r="AQ401" i="72" s="1"/>
  <c r="ER45" i="13"/>
  <c r="ER46" i="12"/>
  <c r="BC51" i="13"/>
  <c r="ER43" i="15"/>
  <c r="AP530" i="72"/>
  <c r="EU43" i="15" s="1"/>
  <c r="ER49" i="9"/>
  <c r="AP266" i="72"/>
  <c r="ER44" i="14"/>
  <c r="AP486" i="72"/>
  <c r="EU44" i="14" s="1"/>
  <c r="ER47" i="11"/>
  <c r="AP354" i="72"/>
  <c r="EU47" i="11" s="1"/>
  <c r="AL42" i="43"/>
  <c r="AO42" i="43" s="1"/>
  <c r="AP42" i="43" s="1"/>
  <c r="AQ42" i="43" s="1"/>
  <c r="AL45" i="43"/>
  <c r="AL43" i="43"/>
  <c r="AO43" i="43" s="1"/>
  <c r="AP43" i="43" s="1"/>
  <c r="AQ43" i="43" s="1"/>
  <c r="FS49" i="14"/>
  <c r="BE49" i="14"/>
  <c r="BC49" i="14" s="1"/>
  <c r="FS48" i="15"/>
  <c r="BE48" i="15"/>
  <c r="BC48" i="15" s="1"/>
  <c r="BC50" i="12"/>
  <c r="AA50" i="12"/>
  <c r="J48" i="42"/>
  <c r="E48" i="42" s="1"/>
  <c r="D87" i="42" s="1"/>
  <c r="AL40" i="43"/>
  <c r="AO40" i="43" s="1"/>
  <c r="AP40" i="43" s="1"/>
  <c r="AQ40" i="43" s="1"/>
  <c r="BH50" i="14"/>
  <c r="GC50" i="14" s="1"/>
  <c r="FX343" i="34" s="1"/>
  <c r="BI14" i="12" s="1"/>
  <c r="AM268" i="72"/>
  <c r="AL41" i="43"/>
  <c r="AL44" i="43"/>
  <c r="EN45" i="44"/>
  <c r="EN42" i="44"/>
  <c r="ED534" i="72"/>
  <c r="EE534" i="72" s="1"/>
  <c r="EL366" i="72"/>
  <c r="EL407" i="72"/>
  <c r="EV48" i="12"/>
  <c r="AA48" i="12" s="1"/>
  <c r="EV46" i="14"/>
  <c r="AA46" i="14" s="1"/>
  <c r="EN40" i="44"/>
  <c r="EV47" i="13"/>
  <c r="AA47" i="13" s="1"/>
  <c r="EV49" i="11"/>
  <c r="AA49" i="11" s="1"/>
  <c r="EV45" i="15"/>
  <c r="AA45" i="15" s="1"/>
  <c r="EV50" i="11"/>
  <c r="AA50" i="11" s="1"/>
  <c r="DZ492" i="72"/>
  <c r="DV492" i="72"/>
  <c r="EC492" i="72"/>
  <c r="DY492" i="72"/>
  <c r="DU492" i="72"/>
  <c r="EB492" i="72"/>
  <c r="DX492" i="72"/>
  <c r="EH492" i="72"/>
  <c r="EI492" i="72" s="1"/>
  <c r="EA492" i="72"/>
  <c r="DW492" i="72"/>
  <c r="AM311" i="72"/>
  <c r="AP311" i="72" s="1"/>
  <c r="EU49" i="10" s="1"/>
  <c r="AM355" i="72"/>
  <c r="AP355" i="72" s="1"/>
  <c r="EU48" i="11" s="1"/>
  <c r="AM531" i="72"/>
  <c r="AP531" i="72" s="1"/>
  <c r="EU44" i="15" s="1"/>
  <c r="CD445" i="72"/>
  <c r="CD401" i="72"/>
  <c r="H47" i="44"/>
  <c r="EM47" i="44"/>
  <c r="H46" i="45"/>
  <c r="EM46" i="45"/>
  <c r="EN44" i="44"/>
  <c r="EN362" i="72"/>
  <c r="BV362" i="72" s="1"/>
  <c r="BW362" i="72" s="1"/>
  <c r="EO362" i="72"/>
  <c r="AM399" i="72"/>
  <c r="AP399" i="72" s="1"/>
  <c r="EU47" i="12" s="1"/>
  <c r="AM487" i="72"/>
  <c r="AP487" i="72" s="1"/>
  <c r="EU45" i="14" s="1"/>
  <c r="CD489" i="72"/>
  <c r="ED446" i="72"/>
  <c r="EE446" i="72" s="1"/>
  <c r="EN47" i="43" s="1"/>
  <c r="EH535" i="72"/>
  <c r="EI535" i="72" s="1"/>
  <c r="EA535" i="72"/>
  <c r="DW535" i="72"/>
  <c r="DZ535" i="72"/>
  <c r="DV535" i="72"/>
  <c r="EC535" i="72"/>
  <c r="DY535" i="72"/>
  <c r="DU535" i="72"/>
  <c r="EB535" i="72"/>
  <c r="DX535" i="72"/>
  <c r="H48" i="44"/>
  <c r="EM48" i="44"/>
  <c r="EN48" i="44" s="1"/>
  <c r="CD402" i="72"/>
  <c r="AM443" i="72"/>
  <c r="EC491" i="72"/>
  <c r="DY491" i="72"/>
  <c r="DU491" i="72"/>
  <c r="EB491" i="72"/>
  <c r="DX491" i="72"/>
  <c r="EH491" i="72"/>
  <c r="EI491" i="72" s="1"/>
  <c r="EA491" i="72"/>
  <c r="DW491" i="72"/>
  <c r="DZ491" i="72"/>
  <c r="DV491" i="72"/>
  <c r="ED447" i="72"/>
  <c r="EE447" i="72" s="1"/>
  <c r="CD533" i="72"/>
  <c r="EN48" i="43"/>
  <c r="ED490" i="72"/>
  <c r="EE490" i="72" s="1"/>
  <c r="EN46" i="44" s="1"/>
  <c r="EM452" i="72"/>
  <c r="EM412" i="72"/>
  <c r="EO321" i="72"/>
  <c r="EN321" i="72"/>
  <c r="BV321" i="72" s="1"/>
  <c r="BW321" i="72" s="1"/>
  <c r="K491" i="72"/>
  <c r="V491" i="72" s="1"/>
  <c r="AG491" i="72" s="1"/>
  <c r="G491" i="72"/>
  <c r="R491" i="72" s="1"/>
  <c r="AC491" i="72" s="1"/>
  <c r="J491" i="72"/>
  <c r="U491" i="72" s="1"/>
  <c r="AF491" i="72" s="1"/>
  <c r="F491" i="72"/>
  <c r="Q491" i="72" s="1"/>
  <c r="AB491" i="72" s="1"/>
  <c r="I491" i="72"/>
  <c r="T491" i="72" s="1"/>
  <c r="AE491" i="72" s="1"/>
  <c r="E491" i="72"/>
  <c r="P491" i="72" s="1"/>
  <c r="AA491" i="72" s="1"/>
  <c r="H491" i="72"/>
  <c r="S491" i="72" s="1"/>
  <c r="AD491" i="72" s="1"/>
  <c r="D491" i="72"/>
  <c r="O491" i="72" s="1"/>
  <c r="K535" i="72"/>
  <c r="V535" i="72" s="1"/>
  <c r="AG535" i="72" s="1"/>
  <c r="G535" i="72"/>
  <c r="R535" i="72" s="1"/>
  <c r="AC535" i="72" s="1"/>
  <c r="J535" i="72"/>
  <c r="U535" i="72" s="1"/>
  <c r="AF535" i="72" s="1"/>
  <c r="F535" i="72"/>
  <c r="Q535" i="72" s="1"/>
  <c r="AB535" i="72" s="1"/>
  <c r="I535" i="72"/>
  <c r="T535" i="72" s="1"/>
  <c r="AE535" i="72" s="1"/>
  <c r="E535" i="72"/>
  <c r="P535" i="72" s="1"/>
  <c r="H535" i="72"/>
  <c r="S535" i="72" s="1"/>
  <c r="AD535" i="72" s="1"/>
  <c r="D535" i="72"/>
  <c r="O535" i="72" s="1"/>
  <c r="Z535" i="72" s="1"/>
  <c r="K492" i="72"/>
  <c r="V492" i="72" s="1"/>
  <c r="AG492" i="72" s="1"/>
  <c r="G492" i="72"/>
  <c r="R492" i="72" s="1"/>
  <c r="AC492" i="72" s="1"/>
  <c r="J492" i="72"/>
  <c r="U492" i="72" s="1"/>
  <c r="AF492" i="72" s="1"/>
  <c r="F492" i="72"/>
  <c r="Q492" i="72" s="1"/>
  <c r="AB492" i="72" s="1"/>
  <c r="I492" i="72"/>
  <c r="T492" i="72" s="1"/>
  <c r="AE492" i="72" s="1"/>
  <c r="E492" i="72"/>
  <c r="P492" i="72" s="1"/>
  <c r="H492" i="72"/>
  <c r="S492" i="72" s="1"/>
  <c r="AD492" i="72" s="1"/>
  <c r="D492" i="72"/>
  <c r="O492" i="72" s="1"/>
  <c r="Z492" i="72" s="1"/>
  <c r="BR49" i="41"/>
  <c r="BW54" i="41" s="1"/>
  <c r="BJ53" i="41" s="1"/>
  <c r="GQ10" i="34" s="1"/>
  <c r="AP52" i="36"/>
  <c r="AP50" i="36"/>
  <c r="H66" i="6"/>
  <c r="N66" i="6" s="1"/>
  <c r="DK37" i="7"/>
  <c r="C13" i="51"/>
  <c r="AI91" i="36"/>
  <c r="AO55" i="36"/>
  <c r="AP55" i="36"/>
  <c r="AP64" i="36" s="1"/>
  <c r="AP58" i="36"/>
  <c r="AP61" i="36" s="1"/>
  <c r="AO58" i="36"/>
  <c r="AP39" i="37"/>
  <c r="AQ39" i="37" s="1"/>
  <c r="AO47" i="37"/>
  <c r="AL30" i="37" s="1"/>
  <c r="AP39" i="38"/>
  <c r="AQ39" i="38" s="1"/>
  <c r="AO47" i="38"/>
  <c r="AL30" i="38" s="1"/>
  <c r="AL39" i="39"/>
  <c r="AC28" i="36"/>
  <c r="AB28" i="36"/>
  <c r="W28" i="36"/>
  <c r="V28" i="36"/>
  <c r="I47" i="43"/>
  <c r="BB402" i="72"/>
  <c r="AP402" i="72" s="1"/>
  <c r="BG402" i="72"/>
  <c r="BC356" i="72"/>
  <c r="BD356" i="72" s="1"/>
  <c r="BF356" i="72"/>
  <c r="I45" i="45"/>
  <c r="K44" i="43"/>
  <c r="L44" i="43" s="1"/>
  <c r="E44" i="43" s="1"/>
  <c r="D83" i="43" s="1"/>
  <c r="E83" i="43" s="1"/>
  <c r="K45" i="42"/>
  <c r="L45" i="42" s="1"/>
  <c r="E45" i="42" s="1"/>
  <c r="D84" i="42" s="1"/>
  <c r="E84" i="42" s="1"/>
  <c r="L447" i="72"/>
  <c r="M447" i="72" s="1"/>
  <c r="K48" i="40"/>
  <c r="L48" i="40" s="1"/>
  <c r="E48" i="40" s="1"/>
  <c r="D87" i="40" s="1"/>
  <c r="BD313" i="72"/>
  <c r="K43" i="44"/>
  <c r="L43" i="44" s="1"/>
  <c r="E43" i="44" s="1"/>
  <c r="D82" i="44" s="1"/>
  <c r="E82" i="44" s="1"/>
  <c r="AY489" i="72"/>
  <c r="FB50" i="15"/>
  <c r="BH50" i="15" s="1"/>
  <c r="A537" i="72"/>
  <c r="A48" i="45"/>
  <c r="BB445" i="72"/>
  <c r="BG445" i="72"/>
  <c r="BG401" i="72"/>
  <c r="BB401" i="72"/>
  <c r="BA47" i="44"/>
  <c r="BG533" i="72"/>
  <c r="BB533" i="72"/>
  <c r="K46" i="41"/>
  <c r="L46" i="41" s="1"/>
  <c r="E46" i="41" s="1"/>
  <c r="D85" i="41" s="1"/>
  <c r="E85" i="41" s="1"/>
  <c r="I46" i="44"/>
  <c r="P45" i="38"/>
  <c r="Q42" i="38"/>
  <c r="Q45" i="38"/>
  <c r="P42" i="38"/>
  <c r="BF488" i="72"/>
  <c r="BC488" i="72"/>
  <c r="BD488" i="72" s="1"/>
  <c r="BF444" i="72"/>
  <c r="BC444" i="72"/>
  <c r="BD444" i="72" s="1"/>
  <c r="BA48" i="44"/>
  <c r="K42" i="45"/>
  <c r="L42" i="45" s="1"/>
  <c r="E42" i="45" s="1"/>
  <c r="D81" i="45" s="1"/>
  <c r="E81" i="45" s="1"/>
  <c r="AY402" i="72"/>
  <c r="BF400" i="72"/>
  <c r="BC400" i="72"/>
  <c r="BD400" i="72" s="1"/>
  <c r="AQ357" i="72"/>
  <c r="AI359" i="72"/>
  <c r="EU50" i="10"/>
  <c r="BG489" i="72"/>
  <c r="BB489" i="72"/>
  <c r="A47" i="45"/>
  <c r="A536" i="72"/>
  <c r="FB49" i="15"/>
  <c r="BH49" i="15" s="1"/>
  <c r="AY445" i="72"/>
  <c r="AQ445" i="72"/>
  <c r="AY401" i="72"/>
  <c r="K47" i="40"/>
  <c r="L47" i="40" s="1"/>
  <c r="E47" i="40" s="1"/>
  <c r="D86" i="40" s="1"/>
  <c r="E86" i="40" s="1"/>
  <c r="AY533" i="72"/>
  <c r="AQ533" i="72"/>
  <c r="L446" i="72"/>
  <c r="M446" i="72" s="1"/>
  <c r="L534" i="72"/>
  <c r="M534" i="72" s="1"/>
  <c r="BF532" i="72"/>
  <c r="BC532" i="72"/>
  <c r="BD532" i="72" s="1"/>
  <c r="L490" i="72"/>
  <c r="M490" i="72" s="1"/>
  <c r="I48" i="43"/>
  <c r="BF357" i="72"/>
  <c r="BC357" i="72"/>
  <c r="BD357" i="72" s="1"/>
  <c r="AM357" i="72" s="1"/>
  <c r="AP357" i="72" s="1"/>
  <c r="E50" i="39"/>
  <c r="BA46" i="45"/>
  <c r="EM456" i="72" l="1"/>
  <c r="EM457" i="72"/>
  <c r="GU10" i="34"/>
  <c r="T27" i="11"/>
  <c r="G81" i="45"/>
  <c r="F81" i="45"/>
  <c r="G83" i="43"/>
  <c r="F83" i="43"/>
  <c r="G84" i="42"/>
  <c r="F84" i="42"/>
  <c r="G86" i="40"/>
  <c r="F86" i="40"/>
  <c r="E87" i="40"/>
  <c r="D88" i="40"/>
  <c r="G85" i="41"/>
  <c r="F85" i="41"/>
  <c r="G82" i="44"/>
  <c r="F82" i="44"/>
  <c r="E87" i="42"/>
  <c r="AL42" i="44"/>
  <c r="AO42" i="44" s="1"/>
  <c r="AP42" i="44" s="1"/>
  <c r="AQ42" i="44" s="1"/>
  <c r="EN41" i="45"/>
  <c r="J47" i="44"/>
  <c r="ER49" i="10"/>
  <c r="ER47" i="12"/>
  <c r="J46" i="45"/>
  <c r="AP313" i="72"/>
  <c r="AI447" i="72"/>
  <c r="AI534" i="72"/>
  <c r="GC49" i="15"/>
  <c r="FX373" i="34" s="1"/>
  <c r="GC50" i="15"/>
  <c r="FX374" i="34" s="1"/>
  <c r="BI14" i="9"/>
  <c r="BI14" i="10"/>
  <c r="BI14" i="13"/>
  <c r="BI14" i="14"/>
  <c r="BI14" i="11"/>
  <c r="BI14" i="5"/>
  <c r="BI14" i="8"/>
  <c r="BI14" i="6"/>
  <c r="BI14" i="7"/>
  <c r="BI9" i="8"/>
  <c r="BI10" i="7"/>
  <c r="BI10" i="5"/>
  <c r="BI10" i="6"/>
  <c r="BI10" i="10"/>
  <c r="BI10" i="9"/>
  <c r="BI10" i="13"/>
  <c r="BI10" i="8"/>
  <c r="BI10" i="12"/>
  <c r="BI11" i="7"/>
  <c r="BI11" i="5"/>
  <c r="BI10" i="11"/>
  <c r="BI10" i="15"/>
  <c r="BI11" i="10"/>
  <c r="BI10" i="14"/>
  <c r="BI11" i="6"/>
  <c r="BI11" i="9"/>
  <c r="BI11" i="13"/>
  <c r="BI11" i="12"/>
  <c r="BI11" i="8"/>
  <c r="BI12" i="7"/>
  <c r="BI12" i="5"/>
  <c r="BI11" i="11"/>
  <c r="BI11" i="15"/>
  <c r="BI11" i="14"/>
  <c r="BI12" i="6"/>
  <c r="BI12" i="10"/>
  <c r="BI12" i="9"/>
  <c r="BI12" i="13"/>
  <c r="BI12" i="8"/>
  <c r="BI12" i="12"/>
  <c r="BI13" i="7"/>
  <c r="BI12" i="11"/>
  <c r="BI12" i="15"/>
  <c r="BI13" i="10"/>
  <c r="BI12" i="14"/>
  <c r="BI9" i="7"/>
  <c r="BI13" i="13"/>
  <c r="BI9" i="10"/>
  <c r="BI13" i="9"/>
  <c r="BI9" i="13"/>
  <c r="BI13" i="12"/>
  <c r="BI9" i="15"/>
  <c r="AI490" i="72"/>
  <c r="AQ490" i="72" s="1"/>
  <c r="W492" i="72"/>
  <c r="X492" i="72" s="1"/>
  <c r="AA492" i="72"/>
  <c r="W535" i="72"/>
  <c r="X535" i="72" s="1"/>
  <c r="AA535" i="72"/>
  <c r="AI446" i="72"/>
  <c r="AQ446" i="72" s="1"/>
  <c r="W491" i="72"/>
  <c r="X491" i="72" s="1"/>
  <c r="Z491" i="72"/>
  <c r="ER48" i="11"/>
  <c r="AL40" i="44"/>
  <c r="AO40" i="44" s="1"/>
  <c r="AP40" i="44" s="1"/>
  <c r="AQ40" i="44" s="1"/>
  <c r="ER44" i="15"/>
  <c r="AL41" i="44"/>
  <c r="ER45" i="14"/>
  <c r="AL46" i="44"/>
  <c r="EN44" i="45"/>
  <c r="ER46" i="13"/>
  <c r="AP443" i="72"/>
  <c r="EU46" i="13" s="1"/>
  <c r="EU49" i="9"/>
  <c r="AP268" i="72"/>
  <c r="FS50" i="15"/>
  <c r="BE50" i="15"/>
  <c r="BC50" i="15" s="1"/>
  <c r="FS50" i="14"/>
  <c r="BE50" i="14"/>
  <c r="BC51" i="12"/>
  <c r="I48" i="42"/>
  <c r="FS49" i="15"/>
  <c r="BE49" i="15"/>
  <c r="BC49" i="15" s="1"/>
  <c r="AL44" i="44"/>
  <c r="EV49" i="12"/>
  <c r="AA49" i="12" s="1"/>
  <c r="EN42" i="45"/>
  <c r="EV46" i="15"/>
  <c r="AA46" i="15" s="1"/>
  <c r="EV47" i="14"/>
  <c r="AA47" i="14" s="1"/>
  <c r="EV48" i="13"/>
  <c r="AA48" i="13" s="1"/>
  <c r="ED491" i="72"/>
  <c r="EE491" i="72" s="1"/>
  <c r="EN45" i="45"/>
  <c r="EN43" i="45"/>
  <c r="H47" i="45"/>
  <c r="EM47" i="45"/>
  <c r="AM488" i="72"/>
  <c r="AM532" i="72"/>
  <c r="AP532" i="72" s="1"/>
  <c r="EU45" i="15" s="1"/>
  <c r="CD534" i="72"/>
  <c r="AM444" i="72"/>
  <c r="H48" i="45"/>
  <c r="EM48" i="45"/>
  <c r="CD446" i="72"/>
  <c r="EB536" i="72"/>
  <c r="DX536" i="72"/>
  <c r="EH536" i="72"/>
  <c r="EI536" i="72" s="1"/>
  <c r="EA536" i="72"/>
  <c r="DW536" i="72"/>
  <c r="DZ536" i="72"/>
  <c r="DV536" i="72"/>
  <c r="EC536" i="72"/>
  <c r="DY536" i="72"/>
  <c r="DU536" i="72"/>
  <c r="AM400" i="72"/>
  <c r="EC537" i="72"/>
  <c r="DY537" i="72"/>
  <c r="DU537" i="72"/>
  <c r="EB537" i="72"/>
  <c r="DX537" i="72"/>
  <c r="EH537" i="72"/>
  <c r="EI537" i="72" s="1"/>
  <c r="EA537" i="72"/>
  <c r="DW537" i="72"/>
  <c r="DZ537" i="72"/>
  <c r="DV537" i="72"/>
  <c r="AL45" i="44"/>
  <c r="AL43" i="44"/>
  <c r="AO43" i="44" s="1"/>
  <c r="AP43" i="44" s="1"/>
  <c r="AQ43" i="44" s="1"/>
  <c r="ED492" i="72"/>
  <c r="EE492" i="72" s="1"/>
  <c r="EL452" i="72"/>
  <c r="EL412" i="72"/>
  <c r="CD490" i="72"/>
  <c r="EM497" i="72"/>
  <c r="CD447" i="72"/>
  <c r="AM356" i="72"/>
  <c r="ED535" i="72"/>
  <c r="EE535" i="72" s="1"/>
  <c r="K536" i="72"/>
  <c r="V536" i="72" s="1"/>
  <c r="AG536" i="72" s="1"/>
  <c r="G536" i="72"/>
  <c r="R536" i="72" s="1"/>
  <c r="AC536" i="72" s="1"/>
  <c r="J536" i="72"/>
  <c r="U536" i="72" s="1"/>
  <c r="AF536" i="72" s="1"/>
  <c r="F536" i="72"/>
  <c r="Q536" i="72" s="1"/>
  <c r="AB536" i="72" s="1"/>
  <c r="I536" i="72"/>
  <c r="T536" i="72" s="1"/>
  <c r="AE536" i="72" s="1"/>
  <c r="E536" i="72"/>
  <c r="P536" i="72" s="1"/>
  <c r="AA536" i="72" s="1"/>
  <c r="H536" i="72"/>
  <c r="S536" i="72" s="1"/>
  <c r="AD536" i="72" s="1"/>
  <c r="D536" i="72"/>
  <c r="O536" i="72" s="1"/>
  <c r="K537" i="72"/>
  <c r="V537" i="72" s="1"/>
  <c r="AG537" i="72" s="1"/>
  <c r="G537" i="72"/>
  <c r="R537" i="72" s="1"/>
  <c r="AC537" i="72" s="1"/>
  <c r="J537" i="72"/>
  <c r="U537" i="72" s="1"/>
  <c r="AF537" i="72" s="1"/>
  <c r="F537" i="72"/>
  <c r="Q537" i="72" s="1"/>
  <c r="AB537" i="72" s="1"/>
  <c r="I537" i="72"/>
  <c r="T537" i="72" s="1"/>
  <c r="AE537" i="72" s="1"/>
  <c r="E537" i="72"/>
  <c r="P537" i="72" s="1"/>
  <c r="H537" i="72"/>
  <c r="S537" i="72" s="1"/>
  <c r="AD537" i="72" s="1"/>
  <c r="D537" i="72"/>
  <c r="O537" i="72" s="1"/>
  <c r="Z537" i="72" s="1"/>
  <c r="H65" i="6"/>
  <c r="N65" i="6" s="1"/>
  <c r="BW52" i="41"/>
  <c r="BJ61" i="41" s="1"/>
  <c r="GR10" i="34" s="1"/>
  <c r="GV10" i="34" s="1"/>
  <c r="H66" i="9"/>
  <c r="N66" i="9" s="1"/>
  <c r="C9" i="16"/>
  <c r="B32" i="83"/>
  <c r="H65" i="9"/>
  <c r="N65" i="9" s="1"/>
  <c r="AL32" i="38"/>
  <c r="AI91" i="38" s="1"/>
  <c r="AL32" i="37"/>
  <c r="AI91" i="37" s="1"/>
  <c r="AO64" i="36"/>
  <c r="AO61" i="36"/>
  <c r="AQ47" i="38"/>
  <c r="AQ47" i="37"/>
  <c r="AP47" i="38"/>
  <c r="AP47" i="37"/>
  <c r="AL39" i="40"/>
  <c r="AO39" i="39"/>
  <c r="P45" i="39"/>
  <c r="P42" i="39"/>
  <c r="Q42" i="39"/>
  <c r="Q45" i="39"/>
  <c r="K48" i="41"/>
  <c r="L48" i="41" s="1"/>
  <c r="E48" i="41" s="1"/>
  <c r="D87" i="41" s="1"/>
  <c r="BD358" i="72"/>
  <c r="EU50" i="11"/>
  <c r="AY490" i="72"/>
  <c r="AY534" i="72"/>
  <c r="AQ534" i="72"/>
  <c r="AY446" i="72"/>
  <c r="BA47" i="45"/>
  <c r="BF489" i="72"/>
  <c r="BC489" i="72"/>
  <c r="BD489" i="72" s="1"/>
  <c r="K46" i="42"/>
  <c r="L46" i="42" s="1"/>
  <c r="E46" i="42" s="1"/>
  <c r="D85" i="42" s="1"/>
  <c r="E85" i="42" s="1"/>
  <c r="AQ402" i="72"/>
  <c r="AI404" i="72"/>
  <c r="L492" i="72"/>
  <c r="M492" i="72" s="1"/>
  <c r="K45" i="43"/>
  <c r="L45" i="43" s="1"/>
  <c r="E45" i="43" s="1"/>
  <c r="D84" i="43" s="1"/>
  <c r="E84" i="43" s="1"/>
  <c r="L535" i="72"/>
  <c r="M535" i="72" s="1"/>
  <c r="L491" i="72"/>
  <c r="M491" i="72" s="1"/>
  <c r="BF401" i="72"/>
  <c r="BC401" i="72"/>
  <c r="BD401" i="72" s="1"/>
  <c r="BF445" i="72"/>
  <c r="BC445" i="72"/>
  <c r="BD445" i="72" s="1"/>
  <c r="BA48" i="45"/>
  <c r="BG447" i="72"/>
  <c r="BB447" i="72"/>
  <c r="I46" i="45"/>
  <c r="BB490" i="72"/>
  <c r="BG490" i="72"/>
  <c r="K43" i="45"/>
  <c r="L43" i="45" s="1"/>
  <c r="E43" i="45" s="1"/>
  <c r="D82" i="45" s="1"/>
  <c r="E82" i="45" s="1"/>
  <c r="BG534" i="72"/>
  <c r="BB534" i="72"/>
  <c r="BG446" i="72"/>
  <c r="BB446" i="72"/>
  <c r="I47" i="44"/>
  <c r="K44" i="44"/>
  <c r="L44" i="44" s="1"/>
  <c r="E44" i="44" s="1"/>
  <c r="D83" i="44" s="1"/>
  <c r="E83" i="44" s="1"/>
  <c r="BF533" i="72"/>
  <c r="BC533" i="72"/>
  <c r="BD533" i="72" s="1"/>
  <c r="ER50" i="10"/>
  <c r="AM313" i="72"/>
  <c r="E50" i="40"/>
  <c r="AY447" i="72"/>
  <c r="K47" i="41"/>
  <c r="L47" i="41" s="1"/>
  <c r="E47" i="41" s="1"/>
  <c r="D86" i="41" s="1"/>
  <c r="E86" i="41" s="1"/>
  <c r="BF402" i="72"/>
  <c r="BC402" i="72"/>
  <c r="BD402" i="72" s="1"/>
  <c r="AM402" i="72" s="1"/>
  <c r="EN47" i="44" l="1"/>
  <c r="EL457" i="72"/>
  <c r="BZ88" i="9"/>
  <c r="E75" i="9"/>
  <c r="BZ88" i="6"/>
  <c r="E75" i="6"/>
  <c r="B31" i="83" s="1"/>
  <c r="G84" i="43"/>
  <c r="F84" i="43"/>
  <c r="G86" i="41"/>
  <c r="F86" i="41"/>
  <c r="E87" i="41"/>
  <c r="D88" i="41"/>
  <c r="G82" i="45"/>
  <c r="F82" i="45"/>
  <c r="G87" i="42"/>
  <c r="F87" i="42"/>
  <c r="G85" i="42"/>
  <c r="F85" i="42"/>
  <c r="F83" i="44"/>
  <c r="G83" i="44"/>
  <c r="G87" i="40"/>
  <c r="G88" i="40" s="1"/>
  <c r="F87" i="40"/>
  <c r="F88" i="40" s="1"/>
  <c r="BI14" i="15"/>
  <c r="BI13" i="15"/>
  <c r="BD143" i="15"/>
  <c r="BD142" i="13"/>
  <c r="BD144" i="12"/>
  <c r="BD142" i="14"/>
  <c r="BD146" i="12"/>
  <c r="BD142" i="11"/>
  <c r="BD143" i="14"/>
  <c r="BD145" i="6"/>
  <c r="BD144" i="7"/>
  <c r="BD145" i="5"/>
  <c r="BD146" i="11"/>
  <c r="BD145" i="14"/>
  <c r="BD144" i="11"/>
  <c r="BD142" i="15"/>
  <c r="BD143" i="13"/>
  <c r="BD142" i="8"/>
  <c r="BD147" i="7"/>
  <c r="BD145" i="10"/>
  <c r="BD144" i="8"/>
  <c r="BD146" i="7"/>
  <c r="BD143" i="6"/>
  <c r="BD145" i="8"/>
  <c r="BD147" i="14"/>
  <c r="BD143" i="10"/>
  <c r="BD142" i="12"/>
  <c r="BD147" i="9"/>
  <c r="BD143" i="5"/>
  <c r="BD144" i="15"/>
  <c r="BD147" i="5"/>
  <c r="BD147" i="11"/>
  <c r="BD143" i="11"/>
  <c r="BD146" i="14"/>
  <c r="BD144" i="6"/>
  <c r="BD145" i="15"/>
  <c r="BD147" i="10"/>
  <c r="BD145" i="12"/>
  <c r="BD144" i="10"/>
  <c r="BD146" i="4"/>
  <c r="BD146" i="9"/>
  <c r="BD144" i="14"/>
  <c r="BD146" i="10"/>
  <c r="BD147" i="12"/>
  <c r="BD143" i="8"/>
  <c r="BD147" i="6"/>
  <c r="BD143" i="12"/>
  <c r="BD145" i="11"/>
  <c r="BD142" i="5"/>
  <c r="BD144" i="4"/>
  <c r="BD147" i="8"/>
  <c r="BD142" i="10"/>
  <c r="BD144" i="5"/>
  <c r="BD146" i="6"/>
  <c r="BD143" i="7"/>
  <c r="BD142" i="9"/>
  <c r="BD143" i="4"/>
  <c r="BD144" i="13"/>
  <c r="BD147" i="4"/>
  <c r="BD146" i="8"/>
  <c r="BD145" i="4"/>
  <c r="BD144" i="9"/>
  <c r="BD146" i="13"/>
  <c r="BD142" i="7"/>
  <c r="BD145" i="7"/>
  <c r="BD145" i="9"/>
  <c r="BD147" i="13"/>
  <c r="BD146" i="5"/>
  <c r="BD143" i="9"/>
  <c r="BD142" i="6"/>
  <c r="BD145" i="13"/>
  <c r="J48" i="45"/>
  <c r="CF33" i="15"/>
  <c r="EM502" i="72"/>
  <c r="BD110" i="9"/>
  <c r="BD109" i="9"/>
  <c r="BD108" i="9"/>
  <c r="BD108" i="11"/>
  <c r="BD109" i="5"/>
  <c r="BD108" i="14"/>
  <c r="BD110" i="15"/>
  <c r="BD111" i="5"/>
  <c r="BD112" i="9"/>
  <c r="BD112" i="10"/>
  <c r="BD111" i="6"/>
  <c r="BD108" i="13"/>
  <c r="BD107" i="6"/>
  <c r="BD109" i="10"/>
  <c r="BD109" i="8"/>
  <c r="BD111" i="14"/>
  <c r="BD109" i="11"/>
  <c r="BD112" i="7"/>
  <c r="BD109" i="7"/>
  <c r="BD107" i="13"/>
  <c r="BD110" i="14"/>
  <c r="BD112" i="5"/>
  <c r="BD112" i="13"/>
  <c r="BD109" i="14"/>
  <c r="BD111" i="7"/>
  <c r="BD111" i="12"/>
  <c r="BD107" i="9"/>
  <c r="BD107" i="11"/>
  <c r="BD111" i="11"/>
  <c r="BD109" i="4"/>
  <c r="BD109" i="12"/>
  <c r="BD108" i="7"/>
  <c r="BD109" i="6"/>
  <c r="BD112" i="6"/>
  <c r="BD112" i="8"/>
  <c r="BD108" i="10"/>
  <c r="BD108" i="15"/>
  <c r="BD107" i="5"/>
  <c r="BD110" i="10"/>
  <c r="BD112" i="14"/>
  <c r="BD107" i="12"/>
  <c r="BD110" i="5"/>
  <c r="BD110" i="13"/>
  <c r="BD107" i="10"/>
  <c r="BD112" i="11"/>
  <c r="BD111" i="8"/>
  <c r="BD109" i="15"/>
  <c r="BD110" i="7"/>
  <c r="BD110" i="8"/>
  <c r="BD108" i="4"/>
  <c r="BD108" i="12"/>
  <c r="BD107" i="7"/>
  <c r="BD112" i="12"/>
  <c r="BD108" i="5"/>
  <c r="BD108" i="8"/>
  <c r="BD111" i="4"/>
  <c r="BD107" i="15"/>
  <c r="BD107" i="8"/>
  <c r="BD111" i="9"/>
  <c r="BD107" i="14"/>
  <c r="BD112" i="4"/>
  <c r="BD110" i="12"/>
  <c r="BD111" i="10"/>
  <c r="BD109" i="13"/>
  <c r="BD110" i="6"/>
  <c r="BD111" i="13"/>
  <c r="BD110" i="11"/>
  <c r="BD108" i="6"/>
  <c r="BD110" i="4"/>
  <c r="BI14" i="4"/>
  <c r="AI491" i="72"/>
  <c r="AQ491" i="72" s="1"/>
  <c r="AI492" i="72"/>
  <c r="W536" i="72"/>
  <c r="X536" i="72" s="1"/>
  <c r="Z536" i="72"/>
  <c r="W537" i="72"/>
  <c r="X537" i="72" s="1"/>
  <c r="AA537" i="72"/>
  <c r="AI535" i="72"/>
  <c r="AQ535" i="72" s="1"/>
  <c r="ER45" i="15"/>
  <c r="AL43" i="45"/>
  <c r="AO43" i="45" s="1"/>
  <c r="AP43" i="45" s="1"/>
  <c r="AQ43" i="45" s="1"/>
  <c r="AL40" i="45"/>
  <c r="AO40" i="45" s="1"/>
  <c r="AP40" i="45" s="1"/>
  <c r="AQ40" i="45" s="1"/>
  <c r="J47" i="45"/>
  <c r="AL45" i="45"/>
  <c r="EL497" i="72"/>
  <c r="EO497" i="72" s="1"/>
  <c r="EL456" i="72"/>
  <c r="EN456" i="72" s="1"/>
  <c r="BV456" i="72" s="1"/>
  <c r="BW456" i="72" s="1"/>
  <c r="EM501" i="72"/>
  <c r="ER49" i="11"/>
  <c r="AP356" i="72"/>
  <c r="ER47" i="13"/>
  <c r="AP444" i="72"/>
  <c r="EU47" i="13" s="1"/>
  <c r="ER48" i="12"/>
  <c r="AP400" i="72"/>
  <c r="EU48" i="12" s="1"/>
  <c r="ER46" i="14"/>
  <c r="AP488" i="72"/>
  <c r="EU46" i="14" s="1"/>
  <c r="BC50" i="14"/>
  <c r="AA50" i="14"/>
  <c r="J48" i="44"/>
  <c r="E48" i="44" s="1"/>
  <c r="D87" i="44" s="1"/>
  <c r="BC51" i="15"/>
  <c r="AL44" i="45"/>
  <c r="AL41" i="45"/>
  <c r="AL42" i="45"/>
  <c r="AO42" i="45" s="1"/>
  <c r="AP42" i="45" s="1"/>
  <c r="AQ42" i="45" s="1"/>
  <c r="AL46" i="45"/>
  <c r="EV49" i="13"/>
  <c r="AA49" i="13" s="1"/>
  <c r="EV50" i="13"/>
  <c r="AA50" i="13" s="1"/>
  <c r="EV48" i="14"/>
  <c r="AA48" i="14" s="1"/>
  <c r="EV47" i="15"/>
  <c r="AA47" i="15" s="1"/>
  <c r="CD535" i="72"/>
  <c r="AM489" i="72"/>
  <c r="AP489" i="72" s="1"/>
  <c r="EU47" i="14" s="1"/>
  <c r="ED536" i="72"/>
  <c r="EE536" i="72" s="1"/>
  <c r="EN47" i="45" s="1"/>
  <c r="EN46" i="45"/>
  <c r="ED537" i="72"/>
  <c r="EE537" i="72" s="1"/>
  <c r="CD491" i="72"/>
  <c r="AM533" i="72"/>
  <c r="AP533" i="72" s="1"/>
  <c r="EU46" i="15" s="1"/>
  <c r="AM401" i="72"/>
  <c r="AP401" i="72" s="1"/>
  <c r="EU49" i="12" s="1"/>
  <c r="EO412" i="72"/>
  <c r="EN412" i="72"/>
  <c r="BV412" i="72" s="1"/>
  <c r="BW412" i="72" s="1"/>
  <c r="AM445" i="72"/>
  <c r="AP445" i="72" s="1"/>
  <c r="EU48" i="13" s="1"/>
  <c r="CD492" i="72"/>
  <c r="EN452" i="72"/>
  <c r="BV452" i="72" s="1"/>
  <c r="BW452" i="72" s="1"/>
  <c r="EO452" i="72"/>
  <c r="EM3" i="72"/>
  <c r="EM182" i="72"/>
  <c r="EM138" i="72"/>
  <c r="EM48" i="72"/>
  <c r="EM93" i="72"/>
  <c r="EM273" i="72"/>
  <c r="EM4" i="72"/>
  <c r="EM228" i="72"/>
  <c r="EM363" i="72"/>
  <c r="EM183" i="72"/>
  <c r="EM408" i="72"/>
  <c r="EM49" i="72"/>
  <c r="EM139" i="72"/>
  <c r="EM94" i="72"/>
  <c r="EM318" i="72"/>
  <c r="EM453" i="72"/>
  <c r="EM5" i="72"/>
  <c r="EM498" i="72"/>
  <c r="EM274" i="72"/>
  <c r="EM229" i="72"/>
  <c r="EM364" i="72"/>
  <c r="EM409" i="72"/>
  <c r="EM184" i="72"/>
  <c r="EM50" i="72"/>
  <c r="EM140" i="72"/>
  <c r="EM319" i="72"/>
  <c r="EM499" i="72"/>
  <c r="EM454" i="72"/>
  <c r="EM95" i="72"/>
  <c r="EM6" i="72"/>
  <c r="EM230" i="72"/>
  <c r="EM275" i="72"/>
  <c r="EM185" i="72"/>
  <c r="EM410" i="72"/>
  <c r="EM365" i="72"/>
  <c r="EM141" i="72"/>
  <c r="EM320" i="72"/>
  <c r="EM500" i="72"/>
  <c r="EM455" i="72"/>
  <c r="EM276" i="72"/>
  <c r="EM411" i="72"/>
  <c r="EM231" i="72"/>
  <c r="EM407" i="72"/>
  <c r="EM366" i="72"/>
  <c r="EM2" i="72"/>
  <c r="BQ45" i="8"/>
  <c r="CB33" i="8"/>
  <c r="J13" i="51"/>
  <c r="DK37" i="6"/>
  <c r="H66" i="8"/>
  <c r="N66" i="8" s="1"/>
  <c r="H65" i="8"/>
  <c r="N65" i="8" s="1"/>
  <c r="N72" i="9"/>
  <c r="DK37" i="9"/>
  <c r="H13" i="51"/>
  <c r="C8" i="16"/>
  <c r="CF28" i="15"/>
  <c r="CF29" i="15"/>
  <c r="CF30" i="15"/>
  <c r="CF31" i="15"/>
  <c r="CF32" i="15"/>
  <c r="AL34" i="37"/>
  <c r="AL34" i="38"/>
  <c r="AP58" i="38"/>
  <c r="AP61" i="38" s="1"/>
  <c r="AO58" i="38"/>
  <c r="AP55" i="38"/>
  <c r="AP64" i="38" s="1"/>
  <c r="AO55" i="38"/>
  <c r="AO58" i="37"/>
  <c r="AP58" i="37"/>
  <c r="AP61" i="37" s="1"/>
  <c r="AP55" i="37"/>
  <c r="AP64" i="37" s="1"/>
  <c r="AO55" i="37"/>
  <c r="AP39" i="39"/>
  <c r="AQ39" i="39" s="1"/>
  <c r="AO47" i="39"/>
  <c r="AL30" i="39" s="1"/>
  <c r="AL39" i="41"/>
  <c r="AO39" i="40"/>
  <c r="BD403" i="72"/>
  <c r="AQ447" i="72"/>
  <c r="AI449" i="72"/>
  <c r="Q45" i="40"/>
  <c r="Q42" i="40"/>
  <c r="P45" i="40"/>
  <c r="P42" i="40"/>
  <c r="I48" i="45"/>
  <c r="L537" i="72"/>
  <c r="M537" i="72" s="1"/>
  <c r="K44" i="45"/>
  <c r="L44" i="45" s="1"/>
  <c r="E44" i="45" s="1"/>
  <c r="D83" i="45" s="1"/>
  <c r="E83" i="45" s="1"/>
  <c r="ER46" i="15"/>
  <c r="BC534" i="72"/>
  <c r="BD534" i="72" s="1"/>
  <c r="BF534" i="72"/>
  <c r="BF490" i="72"/>
  <c r="BC490" i="72"/>
  <c r="BD490" i="72" s="1"/>
  <c r="K47" i="42"/>
  <c r="L47" i="42" s="1"/>
  <c r="E47" i="42" s="1"/>
  <c r="D86" i="42" s="1"/>
  <c r="E86" i="42" s="1"/>
  <c r="AY491" i="72"/>
  <c r="I47" i="45"/>
  <c r="ER50" i="11"/>
  <c r="AM358" i="72"/>
  <c r="E50" i="41"/>
  <c r="L536" i="72"/>
  <c r="M536" i="72" s="1"/>
  <c r="BF446" i="72"/>
  <c r="BC446" i="72"/>
  <c r="BD446" i="72" s="1"/>
  <c r="BF447" i="72"/>
  <c r="BC447" i="72"/>
  <c r="BD447" i="72" s="1"/>
  <c r="AM447" i="72" s="1"/>
  <c r="AP447" i="72" s="1"/>
  <c r="K46" i="43"/>
  <c r="L46" i="43" s="1"/>
  <c r="E46" i="43" s="1"/>
  <c r="D85" i="43" s="1"/>
  <c r="E85" i="43" s="1"/>
  <c r="ER48" i="13"/>
  <c r="BG491" i="72"/>
  <c r="BB491" i="72"/>
  <c r="BB535" i="72"/>
  <c r="BG535" i="72"/>
  <c r="AY535" i="72"/>
  <c r="BG492" i="72"/>
  <c r="AY492" i="72"/>
  <c r="BB492" i="72"/>
  <c r="AP492" i="72" s="1"/>
  <c r="K45" i="44"/>
  <c r="L45" i="44" s="1"/>
  <c r="E45" i="44" s="1"/>
  <c r="D84" i="44" s="1"/>
  <c r="E84" i="44" s="1"/>
  <c r="EO457" i="72" l="1"/>
  <c r="EN457" i="72"/>
  <c r="BV457" i="72" s="1"/>
  <c r="BW457" i="72" s="1"/>
  <c r="BZ88" i="8"/>
  <c r="I13" i="51" s="1"/>
  <c r="E75" i="8"/>
  <c r="B33" i="83" s="1"/>
  <c r="D88" i="42"/>
  <c r="G86" i="42"/>
  <c r="G88" i="42" s="1"/>
  <c r="F86" i="42"/>
  <c r="F88" i="42" s="1"/>
  <c r="G85" i="43"/>
  <c r="F85" i="43"/>
  <c r="F83" i="45"/>
  <c r="G83" i="45"/>
  <c r="G84" i="44"/>
  <c r="F84" i="44"/>
  <c r="E87" i="44"/>
  <c r="G87" i="41"/>
  <c r="G88" i="41" s="1"/>
  <c r="F87" i="41"/>
  <c r="F88" i="41" s="1"/>
  <c r="ER47" i="14"/>
  <c r="EN48" i="45"/>
  <c r="EL502" i="72"/>
  <c r="AI536" i="72"/>
  <c r="AQ536" i="72" s="1"/>
  <c r="AI537" i="72"/>
  <c r="ER49" i="12"/>
  <c r="AP403" i="72"/>
  <c r="EO456" i="72"/>
  <c r="EN497" i="72"/>
  <c r="BV497" i="72" s="1"/>
  <c r="BW497" i="72" s="1"/>
  <c r="AP358" i="72"/>
  <c r="EU49" i="11"/>
  <c r="BC51" i="14"/>
  <c r="I48" i="44"/>
  <c r="EV49" i="14"/>
  <c r="AA49" i="14" s="1"/>
  <c r="EV48" i="15"/>
  <c r="AA48" i="15" s="1"/>
  <c r="AM446" i="72"/>
  <c r="AP446" i="72" s="1"/>
  <c r="EU49" i="13" s="1"/>
  <c r="AM490" i="72"/>
  <c r="AP490" i="72" s="1"/>
  <c r="EU48" i="14" s="1"/>
  <c r="AM534" i="72"/>
  <c r="AP534" i="72" s="1"/>
  <c r="EU47" i="15" s="1"/>
  <c r="CD537" i="72"/>
  <c r="EO407" i="72"/>
  <c r="EN407" i="72"/>
  <c r="BV407" i="72" s="1"/>
  <c r="BW407" i="72" s="1"/>
  <c r="CD536" i="72"/>
  <c r="EN18" i="35"/>
  <c r="EN20" i="35"/>
  <c r="EL3" i="72"/>
  <c r="EN19" i="35"/>
  <c r="EL182" i="72"/>
  <c r="EL48" i="72"/>
  <c r="EL138" i="72"/>
  <c r="EN19" i="39"/>
  <c r="EN21" i="35"/>
  <c r="EN22" i="35"/>
  <c r="EN18" i="38"/>
  <c r="EL93" i="72"/>
  <c r="EN19" i="36"/>
  <c r="EL273" i="72"/>
  <c r="EN18" i="36"/>
  <c r="EN19" i="37"/>
  <c r="EN20" i="38"/>
  <c r="EN18" i="37"/>
  <c r="EN18" i="39"/>
  <c r="EN19" i="38"/>
  <c r="EN23" i="35"/>
  <c r="EN24" i="35"/>
  <c r="EL4" i="72"/>
  <c r="EL228" i="72"/>
  <c r="EN20" i="36"/>
  <c r="EN20" i="37"/>
  <c r="EN20" i="39"/>
  <c r="EN19" i="40"/>
  <c r="EN18" i="40"/>
  <c r="EN21" i="37"/>
  <c r="EN21" i="36"/>
  <c r="EN21" i="38"/>
  <c r="EN25" i="35"/>
  <c r="EN23" i="36"/>
  <c r="EN18" i="42"/>
  <c r="EN27" i="35"/>
  <c r="EL408" i="72"/>
  <c r="EN22" i="38"/>
  <c r="EL363" i="72"/>
  <c r="EL183" i="72"/>
  <c r="EN21" i="40"/>
  <c r="EN21" i="39"/>
  <c r="EN20" i="40"/>
  <c r="EN22" i="36"/>
  <c r="EN26" i="35"/>
  <c r="EN18" i="41"/>
  <c r="EN20" i="41"/>
  <c r="EN19" i="41"/>
  <c r="EN20" i="42"/>
  <c r="EN18" i="44"/>
  <c r="EN19" i="43"/>
  <c r="EN22" i="39"/>
  <c r="EN28" i="35"/>
  <c r="EN18" i="43"/>
  <c r="EN21" i="41"/>
  <c r="EN23" i="39"/>
  <c r="EN24" i="36"/>
  <c r="EN23" i="37"/>
  <c r="EN25" i="38"/>
  <c r="EN23" i="38"/>
  <c r="EN19" i="42"/>
  <c r="EN22" i="37"/>
  <c r="EN22" i="40"/>
  <c r="EN24" i="37"/>
  <c r="EN23" i="40"/>
  <c r="EN22" i="42"/>
  <c r="EN24" i="38"/>
  <c r="EL318" i="72"/>
  <c r="EN19" i="44"/>
  <c r="EN25" i="37"/>
  <c r="EN21" i="42"/>
  <c r="EN18" i="45"/>
  <c r="EN25" i="36"/>
  <c r="EN24" i="39"/>
  <c r="EN20" i="43"/>
  <c r="EN29" i="35"/>
  <c r="EN22" i="41"/>
  <c r="EL49" i="72"/>
  <c r="EL94" i="72"/>
  <c r="EL498" i="72"/>
  <c r="EN23" i="41"/>
  <c r="EL139" i="72"/>
  <c r="EN26" i="40"/>
  <c r="EN20" i="44"/>
  <c r="EN23" i="42"/>
  <c r="EN22" i="43"/>
  <c r="EN19" i="45"/>
  <c r="EN20" i="45"/>
  <c r="EN27" i="36"/>
  <c r="EN30" i="35"/>
  <c r="EN27" i="38"/>
  <c r="EN21" i="44"/>
  <c r="EN25" i="40"/>
  <c r="EN26" i="39"/>
  <c r="EN25" i="39"/>
  <c r="EN21" i="43"/>
  <c r="EN24" i="40"/>
  <c r="EN26" i="36"/>
  <c r="EL453" i="72"/>
  <c r="EL274" i="72"/>
  <c r="EN23" i="45"/>
  <c r="EL5" i="72"/>
  <c r="EN27" i="37"/>
  <c r="EN32" i="35"/>
  <c r="EN26" i="38"/>
  <c r="EN21" i="45"/>
  <c r="EN22" i="44"/>
  <c r="EN24" i="41"/>
  <c r="EL229" i="72"/>
  <c r="EN31" i="35"/>
  <c r="EN29" i="36"/>
  <c r="EL409" i="72"/>
  <c r="EN25" i="41"/>
  <c r="EN27" i="39"/>
  <c r="EN26" i="37"/>
  <c r="EN28" i="36"/>
  <c r="EL364" i="72"/>
  <c r="EN33" i="35"/>
  <c r="EN27" i="40"/>
  <c r="EN22" i="45"/>
  <c r="EN25" i="42"/>
  <c r="EN23" i="43"/>
  <c r="EN28" i="37"/>
  <c r="EN34" i="35"/>
  <c r="EN26" i="41"/>
  <c r="EN27" i="41"/>
  <c r="EN24" i="42"/>
  <c r="EN23" i="44"/>
  <c r="EL140" i="72"/>
  <c r="EN29" i="41"/>
  <c r="EN30" i="37"/>
  <c r="EN30" i="36"/>
  <c r="EN33" i="36"/>
  <c r="EN35" i="35"/>
  <c r="EN24" i="43"/>
  <c r="EN26" i="43"/>
  <c r="EL184" i="72"/>
  <c r="EN28" i="39"/>
  <c r="EN30" i="39"/>
  <c r="EL319" i="72"/>
  <c r="EN24" i="44"/>
  <c r="EN29" i="37"/>
  <c r="EN25" i="44"/>
  <c r="EN29" i="38"/>
  <c r="EN25" i="43"/>
  <c r="EN27" i="42"/>
  <c r="EN26" i="42"/>
  <c r="EN24" i="45"/>
  <c r="EN28" i="41"/>
  <c r="EN29" i="39"/>
  <c r="EN31" i="36"/>
  <c r="EN31" i="37"/>
  <c r="EL50" i="72"/>
  <c r="EN28" i="38"/>
  <c r="EN28" i="40"/>
  <c r="EL95" i="72"/>
  <c r="EN32" i="37"/>
  <c r="EL499" i="72"/>
  <c r="EN29" i="40"/>
  <c r="EN30" i="41"/>
  <c r="EN26" i="44"/>
  <c r="EN34" i="38"/>
  <c r="EN31" i="38"/>
  <c r="EN30" i="38"/>
  <c r="EN38" i="35"/>
  <c r="EN27" i="43"/>
  <c r="EN30" i="40"/>
  <c r="EN31" i="39"/>
  <c r="EN32" i="36"/>
  <c r="EN25" i="45"/>
  <c r="EN36" i="35"/>
  <c r="EN28" i="42"/>
  <c r="EN32" i="40"/>
  <c r="EN27" i="45"/>
  <c r="EN30" i="42"/>
  <c r="EN27" i="44"/>
  <c r="EN29" i="42"/>
  <c r="EN37" i="35"/>
  <c r="EL6" i="72"/>
  <c r="EN28" i="44"/>
  <c r="EN33" i="39"/>
  <c r="EN26" i="45"/>
  <c r="EN31" i="40"/>
  <c r="EN30" i="43"/>
  <c r="EN29" i="43"/>
  <c r="EN31" i="41"/>
  <c r="EN32" i="41"/>
  <c r="EN33" i="38"/>
  <c r="EL275" i="72"/>
  <c r="EN28" i="43"/>
  <c r="EN32" i="39"/>
  <c r="EN32" i="38"/>
  <c r="EN33" i="37"/>
  <c r="EL230" i="72"/>
  <c r="EL454" i="72"/>
  <c r="EN34" i="36"/>
  <c r="EN33" i="40"/>
  <c r="EN36" i="36"/>
  <c r="EN35" i="37"/>
  <c r="EN34" i="39"/>
  <c r="EN31" i="42"/>
  <c r="EN29" i="44"/>
  <c r="EN31" i="44"/>
  <c r="EN30" i="44"/>
  <c r="EN36" i="37"/>
  <c r="EN41" i="35"/>
  <c r="EN32" i="42"/>
  <c r="EN28" i="45"/>
  <c r="EN34" i="37"/>
  <c r="EN39" i="35"/>
  <c r="EN40" i="35"/>
  <c r="EN35" i="36"/>
  <c r="EN35" i="39"/>
  <c r="EN34" i="41"/>
  <c r="EN36" i="39"/>
  <c r="EN35" i="38"/>
  <c r="EN34" i="40"/>
  <c r="EN33" i="41"/>
  <c r="EN30" i="45"/>
  <c r="EN36" i="41"/>
  <c r="EN29" i="45"/>
  <c r="EN31" i="43"/>
  <c r="EN35" i="40"/>
  <c r="EL410" i="72"/>
  <c r="EN33" i="42"/>
  <c r="EL141" i="72"/>
  <c r="EN31" i="45"/>
  <c r="EN38" i="36"/>
  <c r="EN37" i="37"/>
  <c r="EN36" i="40"/>
  <c r="EN42" i="35"/>
  <c r="EN34" i="42"/>
  <c r="EN33" i="43"/>
  <c r="EN32" i="44"/>
  <c r="EL365" i="72"/>
  <c r="EN32" i="43"/>
  <c r="EN38" i="38"/>
  <c r="EL185" i="72"/>
  <c r="EN36" i="38"/>
  <c r="EN39" i="36"/>
  <c r="EN37" i="38"/>
  <c r="EN37" i="40"/>
  <c r="EL320" i="72"/>
  <c r="EN37" i="39"/>
  <c r="EN35" i="43"/>
  <c r="EN33" i="44"/>
  <c r="EN35" i="42"/>
  <c r="EN33" i="45"/>
  <c r="EN36" i="42"/>
  <c r="EN39" i="37"/>
  <c r="EN34" i="43"/>
  <c r="EL500" i="72"/>
  <c r="EN38" i="39"/>
  <c r="EN35" i="41"/>
  <c r="EN32" i="45"/>
  <c r="EN38" i="37"/>
  <c r="EL276" i="72"/>
  <c r="EN37" i="41"/>
  <c r="EN34" i="44"/>
  <c r="EN38" i="40"/>
  <c r="EL455" i="72"/>
  <c r="EN34" i="45"/>
  <c r="EN35" i="44"/>
  <c r="EN39" i="39"/>
  <c r="EN38" i="44"/>
  <c r="EN35" i="45"/>
  <c r="EN39" i="40"/>
  <c r="EN40" i="39"/>
  <c r="EN39" i="43"/>
  <c r="EN37" i="42"/>
  <c r="EN36" i="43"/>
  <c r="EN39" i="41"/>
  <c r="EN38" i="41"/>
  <c r="EN37" i="43"/>
  <c r="EN36" i="44"/>
  <c r="EN38" i="42"/>
  <c r="EL411" i="72"/>
  <c r="EN39" i="42"/>
  <c r="EL272" i="72"/>
  <c r="EN42" i="41"/>
  <c r="EN40" i="42"/>
  <c r="EN40" i="43"/>
  <c r="EL231" i="72"/>
  <c r="EN37" i="44"/>
  <c r="EN40" i="41"/>
  <c r="EN37" i="45"/>
  <c r="EN42" i="43"/>
  <c r="EN38" i="43"/>
  <c r="EN36" i="45"/>
  <c r="EN38" i="45"/>
  <c r="EN41" i="44"/>
  <c r="EN39" i="44"/>
  <c r="EN39" i="45"/>
  <c r="EN43" i="44"/>
  <c r="EN40" i="45"/>
  <c r="EL501" i="72"/>
  <c r="EL2" i="72"/>
  <c r="EN366" i="72"/>
  <c r="BV366" i="72" s="1"/>
  <c r="BW366" i="72" s="1"/>
  <c r="EO366" i="72"/>
  <c r="DK37" i="8"/>
  <c r="CO53" i="38"/>
  <c r="F118" i="80"/>
  <c r="Z118" i="80" s="1"/>
  <c r="F104" i="80"/>
  <c r="Z104" i="80" s="1"/>
  <c r="B34" i="83"/>
  <c r="C11" i="16"/>
  <c r="H66" i="10"/>
  <c r="N66" i="10" s="1"/>
  <c r="AI95" i="38"/>
  <c r="AP52" i="38"/>
  <c r="AP50" i="38"/>
  <c r="AI95" i="37"/>
  <c r="AP52" i="37"/>
  <c r="AP50" i="37"/>
  <c r="AL32" i="39"/>
  <c r="AL34" i="39" s="1"/>
  <c r="AI95" i="39" s="1"/>
  <c r="F114" i="80"/>
  <c r="Z114" i="80" s="1"/>
  <c r="AO61" i="37"/>
  <c r="AO64" i="38"/>
  <c r="AO61" i="38"/>
  <c r="AO64" i="37"/>
  <c r="AQ47" i="39"/>
  <c r="AP47" i="39"/>
  <c r="AP39" i="40"/>
  <c r="AQ39" i="40" s="1"/>
  <c r="AO47" i="40"/>
  <c r="AL30" i="40" s="1"/>
  <c r="AL39" i="42"/>
  <c r="V28" i="39"/>
  <c r="W28" i="39"/>
  <c r="AC28" i="38"/>
  <c r="AB28" i="38"/>
  <c r="W28" i="40"/>
  <c r="V28" i="40"/>
  <c r="AB28" i="40"/>
  <c r="AC28" i="40"/>
  <c r="W28" i="38"/>
  <c r="V28" i="38"/>
  <c r="AO39" i="41"/>
  <c r="BF535" i="72"/>
  <c r="BC535" i="72"/>
  <c r="BD535" i="72" s="1"/>
  <c r="BC491" i="72"/>
  <c r="BD491" i="72" s="1"/>
  <c r="BF491" i="72"/>
  <c r="EU50" i="13"/>
  <c r="BG536" i="72"/>
  <c r="BB536" i="72"/>
  <c r="Q42" i="41"/>
  <c r="Q45" i="41"/>
  <c r="P42" i="41"/>
  <c r="P45" i="41"/>
  <c r="K46" i="44"/>
  <c r="L46" i="44" s="1"/>
  <c r="E46" i="44" s="1"/>
  <c r="D85" i="44" s="1"/>
  <c r="E85" i="44" s="1"/>
  <c r="K45" i="45"/>
  <c r="L45" i="45" s="1"/>
  <c r="E45" i="45" s="1"/>
  <c r="D84" i="45" s="1"/>
  <c r="E84" i="45" s="1"/>
  <c r="BG537" i="72"/>
  <c r="BB537" i="72"/>
  <c r="BF492" i="72"/>
  <c r="BC492" i="72"/>
  <c r="BD492" i="72" s="1"/>
  <c r="AM492" i="72" s="1"/>
  <c r="K48" i="43"/>
  <c r="L48" i="43" s="1"/>
  <c r="E48" i="43" s="1"/>
  <c r="D87" i="43" s="1"/>
  <c r="BD448" i="72"/>
  <c r="K47" i="43"/>
  <c r="L47" i="43" s="1"/>
  <c r="E47" i="43" s="1"/>
  <c r="D86" i="43" s="1"/>
  <c r="E86" i="43" s="1"/>
  <c r="AY536" i="72"/>
  <c r="AQ492" i="72"/>
  <c r="AI494" i="72"/>
  <c r="E50" i="42"/>
  <c r="AY537" i="72"/>
  <c r="AM403" i="72"/>
  <c r="ER47" i="15" l="1"/>
  <c r="AP448" i="72"/>
  <c r="G85" i="44"/>
  <c r="F85" i="44"/>
  <c r="F87" i="44"/>
  <c r="G87" i="44"/>
  <c r="G86" i="43"/>
  <c r="F86" i="43"/>
  <c r="F84" i="45"/>
  <c r="G84" i="45"/>
  <c r="E87" i="43"/>
  <c r="D88" i="43"/>
  <c r="ER49" i="13"/>
  <c r="ER48" i="14"/>
  <c r="EN502" i="72"/>
  <c r="BV502" i="72" s="1"/>
  <c r="BW502" i="72" s="1"/>
  <c r="EO502" i="72"/>
  <c r="EV50" i="15"/>
  <c r="AA50" i="15" s="1"/>
  <c r="EV49" i="15"/>
  <c r="AA49" i="15" s="1"/>
  <c r="AM535" i="72"/>
  <c r="AP535" i="72" s="1"/>
  <c r="EU48" i="15" s="1"/>
  <c r="EO185" i="72"/>
  <c r="EN185" i="72"/>
  <c r="BV185" i="72" s="1"/>
  <c r="BW185" i="72" s="1"/>
  <c r="EN141" i="72"/>
  <c r="BV141" i="72" s="1"/>
  <c r="BW141" i="72" s="1"/>
  <c r="EO141" i="72"/>
  <c r="EO230" i="72"/>
  <c r="EN230" i="72"/>
  <c r="BV230" i="72" s="1"/>
  <c r="BW230" i="72" s="1"/>
  <c r="EN499" i="72"/>
  <c r="BV499" i="72" s="1"/>
  <c r="BW499" i="72" s="1"/>
  <c r="EO499" i="72"/>
  <c r="EN5" i="72"/>
  <c r="BV5" i="72" s="1"/>
  <c r="BW5" i="72" s="1"/>
  <c r="EO5" i="72"/>
  <c r="EN139" i="72"/>
  <c r="BV139" i="72" s="1"/>
  <c r="BW139" i="72" s="1"/>
  <c r="EO139" i="72"/>
  <c r="EO49" i="72"/>
  <c r="EN49" i="72"/>
  <c r="BV49" i="72" s="1"/>
  <c r="BW49" i="72" s="1"/>
  <c r="EO273" i="72"/>
  <c r="EN273" i="72"/>
  <c r="BV273" i="72" s="1"/>
  <c r="BW273" i="72" s="1"/>
  <c r="EN48" i="72"/>
  <c r="BV48" i="72" s="1"/>
  <c r="BW48" i="72" s="1"/>
  <c r="EO48" i="72"/>
  <c r="EO2" i="72"/>
  <c r="EN2" i="72"/>
  <c r="BV2" i="72" s="1"/>
  <c r="BW2" i="72" s="1"/>
  <c r="EO411" i="72"/>
  <c r="EN411" i="72"/>
  <c r="BV411" i="72" s="1"/>
  <c r="BW411" i="72" s="1"/>
  <c r="EN455" i="72"/>
  <c r="BV455" i="72" s="1"/>
  <c r="BW455" i="72" s="1"/>
  <c r="EO455" i="72"/>
  <c r="EN276" i="72"/>
  <c r="BV276" i="72" s="1"/>
  <c r="BW276" i="72" s="1"/>
  <c r="EO276" i="72"/>
  <c r="EO275" i="72"/>
  <c r="EN275" i="72"/>
  <c r="BV275" i="72" s="1"/>
  <c r="BW275" i="72" s="1"/>
  <c r="EN50" i="72"/>
  <c r="BV50" i="72" s="1"/>
  <c r="BW50" i="72" s="1"/>
  <c r="EO50" i="72"/>
  <c r="EO184" i="72"/>
  <c r="EN184" i="72"/>
  <c r="BV184" i="72" s="1"/>
  <c r="BW184" i="72" s="1"/>
  <c r="EO140" i="72"/>
  <c r="EN140" i="72"/>
  <c r="BV140" i="72" s="1"/>
  <c r="BW140" i="72" s="1"/>
  <c r="EN364" i="72"/>
  <c r="BV364" i="72" s="1"/>
  <c r="BW364" i="72" s="1"/>
  <c r="EO364" i="72"/>
  <c r="EO229" i="72"/>
  <c r="EN229" i="72"/>
  <c r="BV229" i="72" s="1"/>
  <c r="BW229" i="72" s="1"/>
  <c r="EO408" i="72"/>
  <c r="EN408" i="72"/>
  <c r="BV408" i="72" s="1"/>
  <c r="BW408" i="72" s="1"/>
  <c r="EN182" i="72"/>
  <c r="BV182" i="72" s="1"/>
  <c r="BW182" i="72" s="1"/>
  <c r="EO182" i="72"/>
  <c r="EO501" i="72"/>
  <c r="EN501" i="72"/>
  <c r="BV501" i="72" s="1"/>
  <c r="BW501" i="72" s="1"/>
  <c r="EN500" i="72"/>
  <c r="BV500" i="72" s="1"/>
  <c r="BW500" i="72" s="1"/>
  <c r="EO500" i="72"/>
  <c r="EO410" i="72"/>
  <c r="EN410" i="72"/>
  <c r="BV410" i="72" s="1"/>
  <c r="BW410" i="72" s="1"/>
  <c r="EN95" i="72"/>
  <c r="BV95" i="72" s="1"/>
  <c r="BW95" i="72" s="1"/>
  <c r="EO95" i="72"/>
  <c r="EO319" i="72"/>
  <c r="EN319" i="72"/>
  <c r="BV319" i="72" s="1"/>
  <c r="BW319" i="72" s="1"/>
  <c r="EO409" i="72"/>
  <c r="EN409" i="72"/>
  <c r="BV409" i="72" s="1"/>
  <c r="BW409" i="72" s="1"/>
  <c r="EN274" i="72"/>
  <c r="BV274" i="72" s="1"/>
  <c r="BW274" i="72" s="1"/>
  <c r="EO274" i="72"/>
  <c r="EN498" i="72"/>
  <c r="BV498" i="72" s="1"/>
  <c r="BW498" i="72" s="1"/>
  <c r="EO498" i="72"/>
  <c r="EO318" i="72"/>
  <c r="EN318" i="72"/>
  <c r="BV318" i="72" s="1"/>
  <c r="BW318" i="72" s="1"/>
  <c r="EN183" i="72"/>
  <c r="BV183" i="72" s="1"/>
  <c r="BW183" i="72" s="1"/>
  <c r="EO183" i="72"/>
  <c r="EN228" i="72"/>
  <c r="BV228" i="72" s="1"/>
  <c r="BW228" i="72" s="1"/>
  <c r="EO228" i="72"/>
  <c r="EN93" i="72"/>
  <c r="BV93" i="72" s="1"/>
  <c r="BW93" i="72" s="1"/>
  <c r="EO93" i="72"/>
  <c r="AM491" i="72"/>
  <c r="AP491" i="72" s="1"/>
  <c r="EU49" i="14" s="1"/>
  <c r="EN231" i="72"/>
  <c r="BV231" i="72" s="1"/>
  <c r="BW231" i="72" s="1"/>
  <c r="EO231" i="72"/>
  <c r="EN272" i="72"/>
  <c r="BV272" i="72" s="1"/>
  <c r="BW272" i="72" s="1"/>
  <c r="EO272" i="72"/>
  <c r="EO320" i="72"/>
  <c r="EN320" i="72"/>
  <c r="BV320" i="72" s="1"/>
  <c r="BW320" i="72" s="1"/>
  <c r="EO365" i="72"/>
  <c r="EN365" i="72"/>
  <c r="BV365" i="72" s="1"/>
  <c r="BW365" i="72" s="1"/>
  <c r="EO454" i="72"/>
  <c r="EN454" i="72"/>
  <c r="BV454" i="72" s="1"/>
  <c r="BW454" i="72" s="1"/>
  <c r="EO6" i="72"/>
  <c r="EN6" i="72"/>
  <c r="BV6" i="72" s="1"/>
  <c r="BW6" i="72" s="1"/>
  <c r="EN453" i="72"/>
  <c r="BV453" i="72" s="1"/>
  <c r="BW453" i="72" s="1"/>
  <c r="EO453" i="72"/>
  <c r="EN94" i="72"/>
  <c r="BV94" i="72" s="1"/>
  <c r="BW94" i="72" s="1"/>
  <c r="EO94" i="72"/>
  <c r="EO363" i="72"/>
  <c r="EN363" i="72"/>
  <c r="BV363" i="72" s="1"/>
  <c r="BW363" i="72" s="1"/>
  <c r="EO4" i="72"/>
  <c r="EN4" i="72"/>
  <c r="BV4" i="72" s="1"/>
  <c r="BW4" i="72" s="1"/>
  <c r="EO138" i="72"/>
  <c r="EN138" i="72"/>
  <c r="BV138" i="72" s="1"/>
  <c r="BW138" i="72" s="1"/>
  <c r="EN3" i="72"/>
  <c r="BV3" i="72" s="1"/>
  <c r="BW3" i="72" s="1"/>
  <c r="EO3" i="72"/>
  <c r="C10" i="16"/>
  <c r="H65" i="10"/>
  <c r="N65" i="10" s="1"/>
  <c r="AP52" i="39"/>
  <c r="AP50" i="39"/>
  <c r="Z48" i="44"/>
  <c r="AI91" i="39"/>
  <c r="AL32" i="40"/>
  <c r="AL34" i="40" s="1"/>
  <c r="AI95" i="40" s="1"/>
  <c r="Z154" i="80"/>
  <c r="F106" i="80"/>
  <c r="Z106" i="80" s="1"/>
  <c r="F100" i="80"/>
  <c r="Z100" i="80" s="1"/>
  <c r="F90" i="80"/>
  <c r="Z90" i="80" s="1"/>
  <c r="AO55" i="39"/>
  <c r="AP55" i="39"/>
  <c r="AP64" i="39" s="1"/>
  <c r="AO58" i="39"/>
  <c r="AP58" i="39"/>
  <c r="AP61" i="39" s="1"/>
  <c r="AQ47" i="40"/>
  <c r="AP47" i="40"/>
  <c r="AP39" i="41"/>
  <c r="AQ39" i="41" s="1"/>
  <c r="AO47" i="41"/>
  <c r="AL30" i="41" s="1"/>
  <c r="AL39" i="43"/>
  <c r="AC28" i="39"/>
  <c r="AB28" i="39"/>
  <c r="AO39" i="42"/>
  <c r="AQ537" i="72"/>
  <c r="AI539" i="72"/>
  <c r="P42" i="42"/>
  <c r="P45" i="42"/>
  <c r="Q45" i="42"/>
  <c r="Q42" i="42"/>
  <c r="BD493" i="72"/>
  <c r="BF536" i="72"/>
  <c r="BC536" i="72"/>
  <c r="BD536" i="72" s="1"/>
  <c r="K46" i="45"/>
  <c r="L46" i="45" s="1"/>
  <c r="E46" i="45" s="1"/>
  <c r="D85" i="45" s="1"/>
  <c r="E85" i="45" s="1"/>
  <c r="ER50" i="13"/>
  <c r="AM448" i="72"/>
  <c r="E50" i="43"/>
  <c r="BF537" i="72"/>
  <c r="BC537" i="72"/>
  <c r="BD537" i="72" s="1"/>
  <c r="AM537" i="72" s="1"/>
  <c r="AP537" i="72" s="1"/>
  <c r="K47" i="44"/>
  <c r="L47" i="44" s="1"/>
  <c r="E47" i="44" s="1"/>
  <c r="D86" i="44" s="1"/>
  <c r="E86" i="44" s="1"/>
  <c r="ER49" i="14"/>
  <c r="BZ88" i="10" l="1"/>
  <c r="G13" i="51" s="1"/>
  <c r="E75" i="10"/>
  <c r="C12" i="16" s="1"/>
  <c r="G86" i="44"/>
  <c r="G88" i="44" s="1"/>
  <c r="F86" i="44"/>
  <c r="F88" i="44" s="1"/>
  <c r="D88" i="44"/>
  <c r="G85" i="45"/>
  <c r="F85" i="45"/>
  <c r="G87" i="43"/>
  <c r="G88" i="43" s="1"/>
  <c r="F87" i="43"/>
  <c r="F88" i="43" s="1"/>
  <c r="ER48" i="15"/>
  <c r="AP493" i="72"/>
  <c r="AM536" i="72"/>
  <c r="AP536" i="72" s="1"/>
  <c r="EU49" i="15" s="1"/>
  <c r="BQ45" i="12"/>
  <c r="H65" i="11"/>
  <c r="N65" i="11" s="1"/>
  <c r="H65" i="12"/>
  <c r="N65" i="12" s="1"/>
  <c r="H66" i="11"/>
  <c r="N66" i="11" s="1"/>
  <c r="H66" i="12"/>
  <c r="N66" i="12" s="1"/>
  <c r="DK37" i="10"/>
  <c r="N72" i="10"/>
  <c r="AP50" i="40"/>
  <c r="AP52" i="40"/>
  <c r="R48" i="36"/>
  <c r="L25" i="6" s="1"/>
  <c r="R50" i="36"/>
  <c r="L26" i="6" s="1"/>
  <c r="Z48" i="45"/>
  <c r="AL39" i="44"/>
  <c r="AO39" i="44" s="1"/>
  <c r="AL32" i="41"/>
  <c r="AI91" i="41" s="1"/>
  <c r="AI91" i="40"/>
  <c r="R50" i="39"/>
  <c r="L26" i="9" s="1"/>
  <c r="AO55" i="40"/>
  <c r="AP55" i="40"/>
  <c r="AP64" i="40" s="1"/>
  <c r="AP58" i="40"/>
  <c r="AP61" i="40" s="1"/>
  <c r="AO58" i="40"/>
  <c r="AO61" i="39"/>
  <c r="AO64" i="39"/>
  <c r="AQ47" i="41"/>
  <c r="AP47" i="41"/>
  <c r="AP39" i="42"/>
  <c r="AQ39" i="42" s="1"/>
  <c r="AO47" i="42"/>
  <c r="AL30" i="42" s="1"/>
  <c r="AB28" i="41"/>
  <c r="AC28" i="41"/>
  <c r="AO39" i="43"/>
  <c r="EU50" i="15"/>
  <c r="P45" i="43"/>
  <c r="P42" i="43"/>
  <c r="Q45" i="43"/>
  <c r="Q42" i="43"/>
  <c r="E50" i="44"/>
  <c r="K48" i="45"/>
  <c r="L48" i="45" s="1"/>
  <c r="E48" i="45" s="1"/>
  <c r="D87" i="45" s="1"/>
  <c r="E87" i="45" s="1"/>
  <c r="BD538" i="72"/>
  <c r="K18" i="45" s="1"/>
  <c r="L18" i="45" s="1"/>
  <c r="E18" i="45" s="1"/>
  <c r="D57" i="45" s="1"/>
  <c r="K47" i="45"/>
  <c r="L47" i="45" s="1"/>
  <c r="E47" i="45" s="1"/>
  <c r="D86" i="45" s="1"/>
  <c r="E86" i="45" s="1"/>
  <c r="AM493" i="72"/>
  <c r="BZ88" i="11" l="1"/>
  <c r="B13" i="51" s="1"/>
  <c r="E75" i="11"/>
  <c r="B36" i="83" s="1"/>
  <c r="BZ88" i="12"/>
  <c r="M13" i="51" s="1"/>
  <c r="E75" i="12"/>
  <c r="B37" i="83" s="1"/>
  <c r="G86" i="45"/>
  <c r="F86" i="45"/>
  <c r="E57" i="45"/>
  <c r="D88" i="45"/>
  <c r="F87" i="45"/>
  <c r="G87" i="45"/>
  <c r="ER49" i="15"/>
  <c r="AP538" i="72"/>
  <c r="H90" i="76"/>
  <c r="D90" i="76"/>
  <c r="C89" i="76"/>
  <c r="C92" i="76"/>
  <c r="D89" i="76"/>
  <c r="D92" i="76"/>
  <c r="B35" i="83"/>
  <c r="DK37" i="12"/>
  <c r="DK37" i="11"/>
  <c r="R48" i="38"/>
  <c r="L25" i="8" s="1"/>
  <c r="R50" i="38"/>
  <c r="L26" i="8" s="1"/>
  <c r="R48" i="39"/>
  <c r="L25" i="9" s="1"/>
  <c r="AL32" i="42"/>
  <c r="AI91" i="42" s="1"/>
  <c r="AL34" i="41"/>
  <c r="P26" i="9"/>
  <c r="AO64" i="40"/>
  <c r="AO55" i="41"/>
  <c r="AP55" i="41"/>
  <c r="AP64" i="41" s="1"/>
  <c r="AO58" i="41"/>
  <c r="AP58" i="41"/>
  <c r="AP61" i="41" s="1"/>
  <c r="AO61" i="40"/>
  <c r="AP47" i="42"/>
  <c r="AQ47" i="42"/>
  <c r="AP39" i="43"/>
  <c r="AQ39" i="43" s="1"/>
  <c r="AO47" i="43"/>
  <c r="AL30" i="43" s="1"/>
  <c r="AP39" i="44"/>
  <c r="AQ39" i="44" s="1"/>
  <c r="AO47" i="44"/>
  <c r="AL30" i="44" s="1"/>
  <c r="AL39" i="45"/>
  <c r="W28" i="41"/>
  <c r="V28" i="41"/>
  <c r="P45" i="44"/>
  <c r="Q42" i="44"/>
  <c r="P42" i="44"/>
  <c r="Q45" i="44"/>
  <c r="ER50" i="15"/>
  <c r="AM538" i="72"/>
  <c r="E50" i="45"/>
  <c r="G57" i="45" l="1"/>
  <c r="G88" i="45" s="1"/>
  <c r="F57" i="45"/>
  <c r="F88" i="45" s="1"/>
  <c r="B110" i="75"/>
  <c r="B107" i="75"/>
  <c r="C90" i="76"/>
  <c r="B108" i="75" s="1"/>
  <c r="G91" i="76"/>
  <c r="G89" i="76"/>
  <c r="C91" i="76"/>
  <c r="J92" i="76"/>
  <c r="H92" i="76"/>
  <c r="J89" i="76"/>
  <c r="D91" i="76"/>
  <c r="C14" i="16"/>
  <c r="C13" i="16"/>
  <c r="H65" i="14"/>
  <c r="N65" i="14" s="1"/>
  <c r="H66" i="14"/>
  <c r="N66" i="14" s="1"/>
  <c r="H66" i="13"/>
  <c r="N66" i="13" s="1"/>
  <c r="H65" i="13"/>
  <c r="N65" i="13" s="1"/>
  <c r="P26" i="8"/>
  <c r="AI95" i="41"/>
  <c r="AP52" i="41"/>
  <c r="AP50" i="41"/>
  <c r="AL32" i="43"/>
  <c r="AI91" i="43" s="1"/>
  <c r="AL32" i="44"/>
  <c r="AI91" i="44" s="1"/>
  <c r="AL34" i="42"/>
  <c r="AI95" i="42" s="1"/>
  <c r="AP55" i="42"/>
  <c r="AP64" i="42" s="1"/>
  <c r="AO55" i="42"/>
  <c r="AO58" i="42"/>
  <c r="AP58" i="42"/>
  <c r="AP61" i="42" s="1"/>
  <c r="AO61" i="41"/>
  <c r="AO64" i="41"/>
  <c r="AQ47" i="43"/>
  <c r="AQ47" i="44"/>
  <c r="AP47" i="44"/>
  <c r="AP47" i="43"/>
  <c r="W28" i="42"/>
  <c r="V28" i="42"/>
  <c r="AC28" i="42"/>
  <c r="AB28" i="42"/>
  <c r="AO39" i="45"/>
  <c r="W28" i="43"/>
  <c r="V28" i="43"/>
  <c r="P45" i="45"/>
  <c r="Q42" i="45"/>
  <c r="Q45" i="45"/>
  <c r="P42" i="45"/>
  <c r="BZ88" i="13" l="1"/>
  <c r="L13" i="51" s="1"/>
  <c r="E75" i="13"/>
  <c r="C15" i="16" s="1"/>
  <c r="BZ88" i="14"/>
  <c r="E75" i="14"/>
  <c r="B109" i="75"/>
  <c r="G92" i="76"/>
  <c r="J91" i="76"/>
  <c r="F89" i="76"/>
  <c r="G90" i="76"/>
  <c r="I92" i="76"/>
  <c r="D110" i="75" s="1"/>
  <c r="I91" i="76"/>
  <c r="D109" i="75" s="1"/>
  <c r="K91" i="76"/>
  <c r="H91" i="76"/>
  <c r="K89" i="76"/>
  <c r="DK37" i="14"/>
  <c r="C16" i="16"/>
  <c r="K13" i="51"/>
  <c r="N72" i="13"/>
  <c r="DK37" i="13"/>
  <c r="R50" i="40"/>
  <c r="L26" i="10" s="1"/>
  <c r="AP50" i="42"/>
  <c r="AP52" i="42"/>
  <c r="AL34" i="44"/>
  <c r="AL34" i="43"/>
  <c r="AO58" i="43"/>
  <c r="AP58" i="43"/>
  <c r="AP61" i="43" s="1"/>
  <c r="AP55" i="44"/>
  <c r="AO64" i="44" s="1"/>
  <c r="AO55" i="44"/>
  <c r="AO55" i="43"/>
  <c r="AP55" i="43"/>
  <c r="AP64" i="43" s="1"/>
  <c r="AP58" i="44"/>
  <c r="AP61" i="44" s="1"/>
  <c r="AO58" i="44"/>
  <c r="AO64" i="42"/>
  <c r="AO61" i="42"/>
  <c r="AP39" i="45"/>
  <c r="AQ39" i="45" s="1"/>
  <c r="AO47" i="45"/>
  <c r="AL30" i="45" s="1"/>
  <c r="AB28" i="43"/>
  <c r="AC28" i="43"/>
  <c r="D93" i="76" l="1"/>
  <c r="E89" i="76"/>
  <c r="K90" i="76"/>
  <c r="L89" i="76"/>
  <c r="E107" i="75" s="1"/>
  <c r="I90" i="76"/>
  <c r="D108" i="75" s="1"/>
  <c r="J90" i="76"/>
  <c r="L91" i="76"/>
  <c r="E109" i="75" s="1"/>
  <c r="K92" i="76"/>
  <c r="H93" i="76"/>
  <c r="B39" i="83"/>
  <c r="B38" i="83"/>
  <c r="H65" i="15"/>
  <c r="N65" i="15" s="1"/>
  <c r="H66" i="15"/>
  <c r="N66" i="15" s="1"/>
  <c r="R50" i="41"/>
  <c r="L26" i="11" s="1"/>
  <c r="P26" i="10"/>
  <c r="AI95" i="43"/>
  <c r="AP52" i="43"/>
  <c r="AP50" i="43"/>
  <c r="AI95" i="44"/>
  <c r="AP52" i="44"/>
  <c r="AP50" i="44"/>
  <c r="AL32" i="45"/>
  <c r="AI91" i="45" s="1"/>
  <c r="AP64" i="44"/>
  <c r="AO61" i="43"/>
  <c r="AO64" i="43"/>
  <c r="AO61" i="44"/>
  <c r="AQ47" i="45"/>
  <c r="AP47" i="45"/>
  <c r="W28" i="45"/>
  <c r="V28" i="45"/>
  <c r="V28" i="44"/>
  <c r="W28" i="44"/>
  <c r="AB28" i="44"/>
  <c r="AC28" i="44"/>
  <c r="BZ88" i="15" l="1"/>
  <c r="D13" i="51" s="1"/>
  <c r="E75" i="15"/>
  <c r="C17" i="16" s="1"/>
  <c r="F91" i="76"/>
  <c r="H95" i="76"/>
  <c r="D94" i="76"/>
  <c r="M91" i="76"/>
  <c r="F109" i="75" s="1"/>
  <c r="M92" i="76"/>
  <c r="F110" i="75" s="1"/>
  <c r="F92" i="76"/>
  <c r="F90" i="76"/>
  <c r="L90" i="76"/>
  <c r="E108" i="75" s="1"/>
  <c r="L92" i="76"/>
  <c r="E110" i="75" s="1"/>
  <c r="C93" i="76"/>
  <c r="B111" i="75" s="1"/>
  <c r="H94" i="76"/>
  <c r="E91" i="76"/>
  <c r="D95" i="76"/>
  <c r="DK37" i="15"/>
  <c r="P26" i="11"/>
  <c r="AL34" i="45"/>
  <c r="AP55" i="45"/>
  <c r="AP64" i="45" s="1"/>
  <c r="AO55" i="45"/>
  <c r="AO58" i="45"/>
  <c r="AP58" i="45"/>
  <c r="AO61" i="45" s="1"/>
  <c r="AC28" i="45"/>
  <c r="AB28" i="45"/>
  <c r="G93" i="76" l="1"/>
  <c r="G94" i="76"/>
  <c r="C94" i="76"/>
  <c r="B112" i="75" s="1"/>
  <c r="K94" i="76"/>
  <c r="E90" i="76"/>
  <c r="M90" i="76"/>
  <c r="F108" i="75" s="1"/>
  <c r="K93" i="76"/>
  <c r="E92" i="76"/>
  <c r="J93" i="76"/>
  <c r="C95" i="76"/>
  <c r="B113" i="75" s="1"/>
  <c r="I94" i="76"/>
  <c r="D112" i="75" s="1"/>
  <c r="B40" i="83"/>
  <c r="R50" i="43"/>
  <c r="L26" i="13" s="1"/>
  <c r="AI95" i="45"/>
  <c r="AP52" i="45"/>
  <c r="AP50" i="45"/>
  <c r="AP61" i="45"/>
  <c r="AO64" i="45"/>
  <c r="F93" i="76" l="1"/>
  <c r="J94" i="76"/>
  <c r="L93" i="76"/>
  <c r="E111" i="75" s="1"/>
  <c r="H97" i="76"/>
  <c r="H96" i="76"/>
  <c r="L94" i="76"/>
  <c r="E112" i="75" s="1"/>
  <c r="D96" i="76"/>
  <c r="G95" i="76"/>
  <c r="D97" i="76"/>
  <c r="I93" i="76"/>
  <c r="D111" i="75" s="1"/>
  <c r="J95" i="76"/>
  <c r="P26" i="13"/>
  <c r="E94" i="76" l="1"/>
  <c r="I95" i="76"/>
  <c r="D113" i="75" s="1"/>
  <c r="M94" i="76"/>
  <c r="F112" i="75" s="1"/>
  <c r="F94" i="76"/>
  <c r="K95" i="76"/>
  <c r="C96" i="76"/>
  <c r="B114" i="75" s="1"/>
  <c r="E93" i="76"/>
  <c r="F95" i="76"/>
  <c r="C97" i="76"/>
  <c r="B115" i="75" s="1"/>
  <c r="M93" i="76"/>
  <c r="F111" i="75" s="1"/>
  <c r="R50" i="45"/>
  <c r="L26" i="15" s="1"/>
  <c r="R48" i="45"/>
  <c r="L25" i="15" s="1"/>
  <c r="P25" i="15" s="1"/>
  <c r="G97" i="76" l="1"/>
  <c r="C98" i="76"/>
  <c r="G96" i="76"/>
  <c r="I97" i="76"/>
  <c r="D115" i="75" s="1"/>
  <c r="H98" i="76"/>
  <c r="I96" i="76"/>
  <c r="D114" i="75" s="1"/>
  <c r="D98" i="76"/>
  <c r="E95" i="76"/>
  <c r="K96" i="76"/>
  <c r="P26" i="15"/>
  <c r="B116" i="75" l="1"/>
  <c r="J96" i="76"/>
  <c r="L95" i="76"/>
  <c r="E113" i="75" s="1"/>
  <c r="I98" i="76"/>
  <c r="D116" i="75" s="1"/>
  <c r="J98" i="76"/>
  <c r="K97" i="76"/>
  <c r="J97" i="76"/>
  <c r="G98" i="76"/>
  <c r="L96" i="76"/>
  <c r="E114" i="75" s="1"/>
  <c r="M95" i="76"/>
  <c r="F113" i="75" s="1"/>
  <c r="M96" i="76" l="1"/>
  <c r="F114" i="75" s="1"/>
  <c r="F98" i="76"/>
  <c r="K98" i="76"/>
  <c r="F97" i="76"/>
  <c r="L97" i="76"/>
  <c r="E115" i="75" s="1"/>
  <c r="M97" i="76"/>
  <c r="F115" i="75" s="1"/>
  <c r="E97" i="76" l="1"/>
  <c r="E96" i="76"/>
  <c r="F96" i="76"/>
  <c r="E98" i="76"/>
  <c r="M98" i="76"/>
  <c r="F116" i="75" s="1"/>
  <c r="L98" i="76"/>
  <c r="E116" i="75" s="1"/>
  <c r="L12" i="72" l="1"/>
  <c r="M12" i="72" s="1"/>
  <c r="CD12" i="72" l="1"/>
  <c r="AY12" i="72"/>
  <c r="AQ12" i="72"/>
  <c r="BB12" i="72"/>
  <c r="EV20" i="4" s="1"/>
  <c r="AA20" i="4" s="1"/>
  <c r="BG12" i="72"/>
  <c r="BC12" i="72" l="1"/>
  <c r="BD12" i="72" s="1"/>
  <c r="AM12" i="72" s="1"/>
  <c r="AP12" i="72" s="1"/>
  <c r="BF12" i="72"/>
  <c r="K18" i="18" l="1"/>
  <c r="L18" i="18" s="1"/>
  <c r="E18" i="18" s="1"/>
  <c r="D57" i="18" s="1"/>
  <c r="ER20" i="4"/>
  <c r="EU20" i="4"/>
  <c r="L13" i="72" l="1"/>
  <c r="M13" i="72" s="1"/>
  <c r="CD13" i="72" l="1"/>
  <c r="AY13" i="72"/>
  <c r="AQ13" i="72"/>
  <c r="BB13" i="72"/>
  <c r="BG13" i="72"/>
  <c r="EV21" i="4" l="1"/>
  <c r="AA21" i="4" s="1"/>
  <c r="BC13" i="72"/>
  <c r="BD13" i="72" s="1"/>
  <c r="AM13" i="72" s="1"/>
  <c r="AP13" i="72" s="1"/>
  <c r="BF13" i="72"/>
  <c r="K19" i="18" l="1"/>
  <c r="L19" i="18" s="1"/>
  <c r="E19" i="18" s="1"/>
  <c r="D58" i="18" s="1"/>
  <c r="ER21" i="4" l="1"/>
  <c r="EU21" i="4"/>
  <c r="L17" i="72" l="1"/>
  <c r="M17" i="72" s="1"/>
  <c r="CD17" i="72" l="1"/>
  <c r="AY17" i="72"/>
  <c r="BB17" i="72"/>
  <c r="AQ17" i="72"/>
  <c r="BG17" i="72"/>
  <c r="L40" i="72"/>
  <c r="M40" i="72" s="1"/>
  <c r="EV25" i="4" l="1"/>
  <c r="AA25" i="4" s="1"/>
  <c r="CD40" i="72"/>
  <c r="L25" i="72"/>
  <c r="M25" i="72" s="1"/>
  <c r="L37" i="72"/>
  <c r="M37" i="72" s="1"/>
  <c r="L27" i="72"/>
  <c r="M27" i="72" s="1"/>
  <c r="L33" i="72"/>
  <c r="M33" i="72" s="1"/>
  <c r="L38" i="72"/>
  <c r="M38" i="72" s="1"/>
  <c r="L24" i="72"/>
  <c r="M24" i="72" s="1"/>
  <c r="L26" i="72"/>
  <c r="M26" i="72" s="1"/>
  <c r="L34" i="72"/>
  <c r="M34" i="72" s="1"/>
  <c r="BC17" i="72"/>
  <c r="BD17" i="72" s="1"/>
  <c r="BF17" i="72"/>
  <c r="L20" i="72"/>
  <c r="M20" i="72" s="1"/>
  <c r="L39" i="72"/>
  <c r="M39" i="72" s="1"/>
  <c r="L29" i="72"/>
  <c r="M29" i="72" s="1"/>
  <c r="L22" i="72"/>
  <c r="M22" i="72" s="1"/>
  <c r="AQ27" i="72"/>
  <c r="AQ26" i="72"/>
  <c r="AQ29" i="72"/>
  <c r="AQ21" i="72"/>
  <c r="BG40" i="72"/>
  <c r="BB40" i="72"/>
  <c r="L32" i="72"/>
  <c r="M32" i="72" s="1"/>
  <c r="AQ23" i="72"/>
  <c r="L30" i="72"/>
  <c r="M30" i="72" s="1"/>
  <c r="L28" i="72"/>
  <c r="M28" i="72" s="1"/>
  <c r="AQ42" i="72"/>
  <c r="L35" i="72"/>
  <c r="M35" i="72" s="1"/>
  <c r="L41" i="72"/>
  <c r="M41" i="72" s="1"/>
  <c r="AQ34" i="72"/>
  <c r="AQ36" i="72"/>
  <c r="AQ24" i="72"/>
  <c r="AQ30" i="72"/>
  <c r="L15" i="72"/>
  <c r="M15" i="72" s="1"/>
  <c r="AQ32" i="72"/>
  <c r="AQ39" i="72"/>
  <c r="L23" i="72"/>
  <c r="M23" i="72" s="1"/>
  <c r="AQ33" i="72"/>
  <c r="AQ28" i="72"/>
  <c r="L42" i="72"/>
  <c r="M42" i="72" s="1"/>
  <c r="L31" i="72"/>
  <c r="M31" i="72" s="1"/>
  <c r="L21" i="72"/>
  <c r="M21" i="72" s="1"/>
  <c r="L36" i="72"/>
  <c r="M36" i="72" s="1"/>
  <c r="AQ35" i="72"/>
  <c r="AQ22" i="72"/>
  <c r="AQ41" i="72"/>
  <c r="AQ38" i="72"/>
  <c r="AQ31" i="72"/>
  <c r="EV48" i="4" l="1"/>
  <c r="AA48" i="4" s="1"/>
  <c r="CD30" i="72"/>
  <c r="BG22" i="72"/>
  <c r="CD22" i="72"/>
  <c r="BB38" i="72"/>
  <c r="BF38" i="72" s="1"/>
  <c r="CD38" i="72"/>
  <c r="BB25" i="72"/>
  <c r="BF25" i="72" s="1"/>
  <c r="CD25" i="72"/>
  <c r="CD36" i="72"/>
  <c r="CD23" i="72"/>
  <c r="CD15" i="72"/>
  <c r="CD41" i="72"/>
  <c r="CD29" i="72"/>
  <c r="AM17" i="72"/>
  <c r="AP17" i="72" s="1"/>
  <c r="EU25" i="4" s="1"/>
  <c r="BG34" i="72"/>
  <c r="CD34" i="72"/>
  <c r="BB33" i="72"/>
  <c r="BC33" i="72" s="1"/>
  <c r="BD33" i="72" s="1"/>
  <c r="CD33" i="72"/>
  <c r="CD42" i="72"/>
  <c r="CD35" i="72"/>
  <c r="BG39" i="72"/>
  <c r="CD39" i="72"/>
  <c r="BB26" i="72"/>
  <c r="BF26" i="72" s="1"/>
  <c r="CD26" i="72"/>
  <c r="BG27" i="72"/>
  <c r="CD27" i="72"/>
  <c r="CD21" i="72"/>
  <c r="CD31" i="72"/>
  <c r="CD28" i="72"/>
  <c r="CD32" i="72"/>
  <c r="BG20" i="72"/>
  <c r="CD20" i="72"/>
  <c r="BG24" i="72"/>
  <c r="CD24" i="72"/>
  <c r="BB37" i="72"/>
  <c r="BF37" i="72" s="1"/>
  <c r="CD37" i="72"/>
  <c r="BG25" i="72"/>
  <c r="BB27" i="72"/>
  <c r="EV35" i="4" s="1"/>
  <c r="AA35" i="4" s="1"/>
  <c r="BG26" i="72"/>
  <c r="BG37" i="72"/>
  <c r="AY38" i="72"/>
  <c r="AY24" i="72"/>
  <c r="AY22" i="72"/>
  <c r="BG38" i="72"/>
  <c r="AY26" i="72"/>
  <c r="BB22" i="72"/>
  <c r="EV30" i="4" s="1"/>
  <c r="AA30" i="4" s="1"/>
  <c r="AY39" i="72"/>
  <c r="AY33" i="72"/>
  <c r="AY34" i="72"/>
  <c r="BB34" i="72"/>
  <c r="EV42" i="4" s="1"/>
  <c r="AA42" i="4" s="1"/>
  <c r="BB24" i="72"/>
  <c r="EV32" i="4" s="1"/>
  <c r="AA32" i="4" s="1"/>
  <c r="BG33" i="72"/>
  <c r="AY27" i="72"/>
  <c r="BB39" i="72"/>
  <c r="EV47" i="4" s="1"/>
  <c r="AA47" i="4" s="1"/>
  <c r="BB29" i="72"/>
  <c r="EV37" i="4" s="1"/>
  <c r="AA37" i="4" s="1"/>
  <c r="BB20" i="72"/>
  <c r="BG29" i="72"/>
  <c r="AY20" i="72"/>
  <c r="AY15" i="72"/>
  <c r="AY29" i="72"/>
  <c r="AQ15" i="72"/>
  <c r="K23" i="18"/>
  <c r="L23" i="18" s="1"/>
  <c r="E23" i="18" s="1"/>
  <c r="D62" i="18" s="1"/>
  <c r="AY21" i="72"/>
  <c r="BG21" i="72"/>
  <c r="BB21" i="72"/>
  <c r="AY23" i="72"/>
  <c r="BG23" i="72"/>
  <c r="BB23" i="72"/>
  <c r="AY25" i="72"/>
  <c r="AQ25" i="72"/>
  <c r="BF40" i="72"/>
  <c r="BC40" i="72"/>
  <c r="BD40" i="72" s="1"/>
  <c r="BG15" i="72"/>
  <c r="BB15" i="72"/>
  <c r="AQ37" i="72"/>
  <c r="AY37" i="72"/>
  <c r="AY40" i="72"/>
  <c r="AQ40" i="72"/>
  <c r="BG30" i="72"/>
  <c r="AY30" i="72"/>
  <c r="BB30" i="72"/>
  <c r="BC38" i="72"/>
  <c r="BD38" i="72" s="1"/>
  <c r="BG36" i="72"/>
  <c r="AY36" i="72"/>
  <c r="BB36" i="72"/>
  <c r="BG31" i="72"/>
  <c r="AY31" i="72"/>
  <c r="BB31" i="72"/>
  <c r="BG42" i="72"/>
  <c r="AY42" i="72"/>
  <c r="BB42" i="72"/>
  <c r="BG41" i="72"/>
  <c r="AY41" i="72"/>
  <c r="BB41" i="72"/>
  <c r="BG35" i="72"/>
  <c r="AY35" i="72"/>
  <c r="BB35" i="72"/>
  <c r="BG28" i="72"/>
  <c r="AY28" i="72"/>
  <c r="BB28" i="72"/>
  <c r="AY32" i="72"/>
  <c r="BG32" i="72"/>
  <c r="BB32" i="72"/>
  <c r="AQ20" i="72"/>
  <c r="BC26" i="72" l="1"/>
  <c r="BD26" i="72" s="1"/>
  <c r="BF33" i="72"/>
  <c r="ER25" i="4"/>
  <c r="BC37" i="72"/>
  <c r="BD37" i="72" s="1"/>
  <c r="AM37" i="72" s="1"/>
  <c r="AP37" i="72" s="1"/>
  <c r="EU45" i="4" s="1"/>
  <c r="BC25" i="72"/>
  <c r="BD25" i="72" s="1"/>
  <c r="EV36" i="4"/>
  <c r="AA36" i="4" s="1"/>
  <c r="EV49" i="4"/>
  <c r="AA49" i="4" s="1"/>
  <c r="EV39" i="4"/>
  <c r="AA39" i="4" s="1"/>
  <c r="EV38" i="4"/>
  <c r="AA38" i="4" s="1"/>
  <c r="EV29" i="4"/>
  <c r="AA29" i="4" s="1"/>
  <c r="EV28" i="4"/>
  <c r="AA28" i="4" s="1"/>
  <c r="EV33" i="4"/>
  <c r="AA33" i="4" s="1"/>
  <c r="EV46" i="4"/>
  <c r="AA46" i="4" s="1"/>
  <c r="EV40" i="4"/>
  <c r="AA40" i="4" s="1"/>
  <c r="EV43" i="4"/>
  <c r="AA43" i="4" s="1"/>
  <c r="EV50" i="4"/>
  <c r="AA50" i="4" s="1"/>
  <c r="EV44" i="4"/>
  <c r="AA44" i="4" s="1"/>
  <c r="EV23" i="4"/>
  <c r="AA23" i="4" s="1"/>
  <c r="EV31" i="4"/>
  <c r="AA31" i="4" s="1"/>
  <c r="EV45" i="4"/>
  <c r="AA45" i="4" s="1"/>
  <c r="EV34" i="4"/>
  <c r="AA34" i="4" s="1"/>
  <c r="EV41" i="4"/>
  <c r="AA41" i="4" s="1"/>
  <c r="AM40" i="72"/>
  <c r="AP40" i="72" s="1"/>
  <c r="EU48" i="4" s="1"/>
  <c r="AM33" i="72"/>
  <c r="AP33" i="72" s="1"/>
  <c r="EU41" i="4" s="1"/>
  <c r="AM38" i="72"/>
  <c r="AP38" i="72" s="1"/>
  <c r="EU46" i="4" s="1"/>
  <c r="BF29" i="72"/>
  <c r="BF24" i="72"/>
  <c r="AM26" i="72"/>
  <c r="AP26" i="72" s="1"/>
  <c r="EU34" i="4" s="1"/>
  <c r="AM25" i="72"/>
  <c r="AP25" i="72" s="1"/>
  <c r="EU33" i="4" s="1"/>
  <c r="BC39" i="72"/>
  <c r="BD39" i="72" s="1"/>
  <c r="AM39" i="72" s="1"/>
  <c r="ER47" i="4" s="1"/>
  <c r="AP39" i="72"/>
  <c r="EU47" i="4" s="1"/>
  <c r="BF34" i="72"/>
  <c r="BF22" i="72"/>
  <c r="BC27" i="72"/>
  <c r="BD27" i="72" s="1"/>
  <c r="K33" i="18" s="1"/>
  <c r="L33" i="18" s="1"/>
  <c r="E33" i="18" s="1"/>
  <c r="D72" i="18" s="1"/>
  <c r="BF27" i="72"/>
  <c r="BF39" i="72"/>
  <c r="BC29" i="72"/>
  <c r="BD29" i="72" s="1"/>
  <c r="K35" i="18" s="1"/>
  <c r="L35" i="18" s="1"/>
  <c r="E35" i="18" s="1"/>
  <c r="D74" i="18" s="1"/>
  <c r="BC34" i="72"/>
  <c r="BD34" i="72" s="1"/>
  <c r="K40" i="18" s="1"/>
  <c r="L40" i="18" s="1"/>
  <c r="E40" i="18" s="1"/>
  <c r="D79" i="18" s="1"/>
  <c r="BC22" i="72"/>
  <c r="BD22" i="72" s="1"/>
  <c r="K28" i="18" s="1"/>
  <c r="L28" i="18" s="1"/>
  <c r="E28" i="18" s="1"/>
  <c r="D67" i="18" s="1"/>
  <c r="BC24" i="72"/>
  <c r="BD24" i="72" s="1"/>
  <c r="AI44" i="72"/>
  <c r="BF20" i="72"/>
  <c r="BC20" i="72"/>
  <c r="BD20" i="72" s="1"/>
  <c r="K43" i="18"/>
  <c r="L43" i="18" s="1"/>
  <c r="E43" i="18" s="1"/>
  <c r="D82" i="18" s="1"/>
  <c r="K31" i="18"/>
  <c r="L31" i="18" s="1"/>
  <c r="E31" i="18" s="1"/>
  <c r="D70" i="18" s="1"/>
  <c r="K44" i="18"/>
  <c r="L44" i="18" s="1"/>
  <c r="E44" i="18" s="1"/>
  <c r="D83" i="18" s="1"/>
  <c r="BF30" i="72"/>
  <c r="BC30" i="72"/>
  <c r="BD30" i="72" s="1"/>
  <c r="AM30" i="72" s="1"/>
  <c r="AP30" i="72" s="1"/>
  <c r="EU38" i="4" s="1"/>
  <c r="BF23" i="72"/>
  <c r="BC23" i="72"/>
  <c r="BD23" i="72" s="1"/>
  <c r="BF21" i="72"/>
  <c r="BC21" i="72"/>
  <c r="BD21" i="72" s="1"/>
  <c r="BF32" i="72"/>
  <c r="BC32" i="72"/>
  <c r="BD32" i="72" s="1"/>
  <c r="BF28" i="72"/>
  <c r="BC28" i="72"/>
  <c r="BD28" i="72" s="1"/>
  <c r="BF35" i="72"/>
  <c r="BC35" i="72"/>
  <c r="BD35" i="72" s="1"/>
  <c r="BF41" i="72"/>
  <c r="BC41" i="72"/>
  <c r="BD41" i="72" s="1"/>
  <c r="BF42" i="72"/>
  <c r="BC42" i="72"/>
  <c r="BD42" i="72" s="1"/>
  <c r="BF31" i="72"/>
  <c r="BC31" i="72"/>
  <c r="BD31" i="72" s="1"/>
  <c r="BF36" i="72"/>
  <c r="BC36" i="72"/>
  <c r="BD36" i="72" s="1"/>
  <c r="K39" i="18"/>
  <c r="L39" i="18" s="1"/>
  <c r="E39" i="18" s="1"/>
  <c r="D78" i="18" s="1"/>
  <c r="BF15" i="72"/>
  <c r="BC15" i="72"/>
  <c r="BD15" i="72" s="1"/>
  <c r="AM15" i="72" s="1"/>
  <c r="AP15" i="72" s="1"/>
  <c r="K32" i="18"/>
  <c r="L32" i="18" s="1"/>
  <c r="E32" i="18" s="1"/>
  <c r="D71" i="18" s="1"/>
  <c r="K46" i="18"/>
  <c r="L46" i="18" s="1"/>
  <c r="E46" i="18" s="1"/>
  <c r="D85" i="18" s="1"/>
  <c r="ER41" i="4" l="1"/>
  <c r="ER48" i="4"/>
  <c r="K45" i="18"/>
  <c r="L45" i="18" s="1"/>
  <c r="E45" i="18" s="1"/>
  <c r="D84" i="18" s="1"/>
  <c r="ER46" i="4"/>
  <c r="ER34" i="4"/>
  <c r="ER33" i="4"/>
  <c r="ER45" i="4"/>
  <c r="AM36" i="72"/>
  <c r="AP36" i="72" s="1"/>
  <c r="EU44" i="4" s="1"/>
  <c r="AM42" i="72"/>
  <c r="AP42" i="72" s="1"/>
  <c r="EU50" i="4" s="1"/>
  <c r="AM35" i="72"/>
  <c r="AP35" i="72" s="1"/>
  <c r="EU43" i="4" s="1"/>
  <c r="AM32" i="72"/>
  <c r="AP32" i="72" s="1"/>
  <c r="EU40" i="4" s="1"/>
  <c r="AM20" i="72"/>
  <c r="AP20" i="72" s="1"/>
  <c r="EU28" i="4" s="1"/>
  <c r="AM24" i="72"/>
  <c r="AP24" i="72" s="1"/>
  <c r="EU32" i="4" s="1"/>
  <c r="AM29" i="72"/>
  <c r="AM21" i="72"/>
  <c r="AP21" i="72" s="1"/>
  <c r="EU29" i="4" s="1"/>
  <c r="AM31" i="72"/>
  <c r="AP31" i="72" s="1"/>
  <c r="EU39" i="4" s="1"/>
  <c r="AM41" i="72"/>
  <c r="AP41" i="72" s="1"/>
  <c r="EU49" i="4" s="1"/>
  <c r="AM28" i="72"/>
  <c r="AP28" i="72" s="1"/>
  <c r="EU36" i="4" s="1"/>
  <c r="AM22" i="72"/>
  <c r="AM27" i="72"/>
  <c r="AM23" i="72"/>
  <c r="AP23" i="72" s="1"/>
  <c r="EU31" i="4" s="1"/>
  <c r="AM34" i="72"/>
  <c r="K30" i="18"/>
  <c r="L30" i="18" s="1"/>
  <c r="E30" i="18" s="1"/>
  <c r="D69" i="18" s="1"/>
  <c r="ER28" i="4"/>
  <c r="K26" i="18"/>
  <c r="L26" i="18" s="1"/>
  <c r="E26" i="18" s="1"/>
  <c r="D65" i="18" s="1"/>
  <c r="BD43" i="72"/>
  <c r="K21" i="18"/>
  <c r="L21" i="18" s="1"/>
  <c r="E21" i="18" s="1"/>
  <c r="D60" i="18" s="1"/>
  <c r="K42" i="18"/>
  <c r="L42" i="18" s="1"/>
  <c r="E42" i="18" s="1"/>
  <c r="D81" i="18" s="1"/>
  <c r="K37" i="18"/>
  <c r="L37" i="18" s="1"/>
  <c r="E37" i="18" s="1"/>
  <c r="D76" i="18" s="1"/>
  <c r="K48" i="18"/>
  <c r="L48" i="18" s="1"/>
  <c r="E48" i="18" s="1"/>
  <c r="D87" i="18" s="1"/>
  <c r="K47" i="18"/>
  <c r="L47" i="18" s="1"/>
  <c r="E47" i="18" s="1"/>
  <c r="D86" i="18" s="1"/>
  <c r="K34" i="18"/>
  <c r="L34" i="18" s="1"/>
  <c r="E34" i="18" s="1"/>
  <c r="D73" i="18" s="1"/>
  <c r="K38" i="18"/>
  <c r="L38" i="18" s="1"/>
  <c r="E38" i="18" s="1"/>
  <c r="D77" i="18" s="1"/>
  <c r="K29" i="18"/>
  <c r="L29" i="18" s="1"/>
  <c r="E29" i="18" s="1"/>
  <c r="D68" i="18" s="1"/>
  <c r="K41" i="18"/>
  <c r="L41" i="18" s="1"/>
  <c r="E41" i="18" s="1"/>
  <c r="D80" i="18" s="1"/>
  <c r="K27" i="18"/>
  <c r="L27" i="18" s="1"/>
  <c r="E27" i="18" s="1"/>
  <c r="D66" i="18" s="1"/>
  <c r="K36" i="18"/>
  <c r="L36" i="18" s="1"/>
  <c r="E36" i="18" s="1"/>
  <c r="D75" i="18" s="1"/>
  <c r="ER38" i="4"/>
  <c r="D88" i="18" l="1"/>
  <c r="ER43" i="4"/>
  <c r="ER36" i="4"/>
  <c r="ER44" i="4"/>
  <c r="ER29" i="4"/>
  <c r="ER31" i="4"/>
  <c r="ER50" i="4"/>
  <c r="ER40" i="4"/>
  <c r="ER49" i="4"/>
  <c r="ER39" i="4"/>
  <c r="ER42" i="4"/>
  <c r="AP34" i="72"/>
  <c r="EU42" i="4" s="1"/>
  <c r="ER35" i="4"/>
  <c r="AP27" i="72"/>
  <c r="EU35" i="4" s="1"/>
  <c r="ER30" i="4"/>
  <c r="AP22" i="72"/>
  <c r="EU30" i="4" s="1"/>
  <c r="ER37" i="4"/>
  <c r="AP29" i="72"/>
  <c r="EU37" i="4" s="1"/>
  <c r="ER32" i="4"/>
  <c r="AL40" i="18"/>
  <c r="AO40" i="18" s="1"/>
  <c r="AP40" i="18" s="1"/>
  <c r="AQ40" i="18" s="1"/>
  <c r="AL39" i="18"/>
  <c r="E50" i="18"/>
  <c r="AM43" i="72"/>
  <c r="ER23" i="4"/>
  <c r="AO39" i="18" l="1"/>
  <c r="P42" i="18"/>
  <c r="P45" i="18"/>
  <c r="Q42" i="18"/>
  <c r="Q45" i="18"/>
  <c r="AP43" i="72"/>
  <c r="EU23" i="4"/>
  <c r="T18" i="4" l="1"/>
  <c r="AP39" i="18"/>
  <c r="AQ39" i="18" s="1"/>
  <c r="AO47" i="18"/>
  <c r="AL30" i="18" s="1"/>
  <c r="BE10" i="18" l="1"/>
  <c r="BJ45" i="18" s="1"/>
  <c r="H66" i="4"/>
  <c r="N66" i="4" s="1"/>
  <c r="H65" i="4"/>
  <c r="N65" i="4" s="1"/>
  <c r="AL32" i="18"/>
  <c r="AL34" i="18" s="1"/>
  <c r="AI95" i="18" s="1"/>
  <c r="AB28" i="18"/>
  <c r="AQ47" i="18"/>
  <c r="AP47" i="18"/>
  <c r="AC28" i="18"/>
  <c r="V28" i="18"/>
  <c r="W28" i="18"/>
  <c r="BZ88" i="4" l="1"/>
  <c r="F13" i="51" s="1"/>
  <c r="B33" i="50" s="1"/>
  <c r="E75" i="4"/>
  <c r="B29" i="83" s="1"/>
  <c r="C29" i="83" s="1"/>
  <c r="C30" i="83" s="1"/>
  <c r="C31" i="83" s="1"/>
  <c r="C32" i="83" s="1"/>
  <c r="C33" i="83" s="1"/>
  <c r="C34" i="83" s="1"/>
  <c r="C35" i="83" s="1"/>
  <c r="C36" i="83" s="1"/>
  <c r="C37" i="83" s="1"/>
  <c r="C38" i="83" s="1"/>
  <c r="C39" i="83" s="1"/>
  <c r="C40" i="83" s="1"/>
  <c r="BJ29" i="18"/>
  <c r="BI59" i="18" s="1"/>
  <c r="BJ61" i="18" s="1"/>
  <c r="BH29" i="18"/>
  <c r="BH45" i="18"/>
  <c r="DK37" i="4"/>
  <c r="BJ64" i="18"/>
  <c r="BJ56" i="18"/>
  <c r="GS3" i="34" s="1"/>
  <c r="AP52" i="18"/>
  <c r="AP50" i="18"/>
  <c r="AI91" i="18"/>
  <c r="HG16" i="4"/>
  <c r="HO16" i="4" s="1"/>
  <c r="AO55" i="18"/>
  <c r="AP55" i="18"/>
  <c r="AP64" i="18" s="1"/>
  <c r="AP58" i="18"/>
  <c r="AP61" i="18" s="1"/>
  <c r="AO58" i="18"/>
  <c r="AB28" i="35"/>
  <c r="AC28" i="35"/>
  <c r="W28" i="35"/>
  <c r="V28" i="35"/>
  <c r="AB5" i="59" l="1"/>
  <c r="GT3" i="34"/>
  <c r="BI50" i="18"/>
  <c r="BJ53" i="18" s="1"/>
  <c r="GR3" i="34"/>
  <c r="C6" i="16"/>
  <c r="C18" i="16" s="1"/>
  <c r="B42" i="83"/>
  <c r="H75" i="4"/>
  <c r="H75" i="5" s="1"/>
  <c r="H75" i="6" s="1"/>
  <c r="H75" i="7" s="1"/>
  <c r="H75" i="8" s="1"/>
  <c r="H75" i="9" s="1"/>
  <c r="H75" i="10" s="1"/>
  <c r="H75" i="11" s="1"/>
  <c r="H75" i="12" s="1"/>
  <c r="H75" i="13" s="1"/>
  <c r="H75" i="14" s="1"/>
  <c r="H75" i="15" s="1"/>
  <c r="D31" i="58"/>
  <c r="CC80" i="4"/>
  <c r="C5" i="59"/>
  <c r="B84" i="60" s="1"/>
  <c r="BK5" i="59"/>
  <c r="DM28" i="4"/>
  <c r="B26" i="28"/>
  <c r="AO64" i="18"/>
  <c r="AO61" i="18"/>
  <c r="GV3" i="34" l="1"/>
  <c r="T28" i="4" s="1"/>
  <c r="GQ3" i="34"/>
  <c r="T27" i="4" s="1"/>
  <c r="BI5" i="59"/>
  <c r="Z148" i="80"/>
  <c r="F96" i="80"/>
  <c r="Z96" i="80" s="1"/>
  <c r="F108" i="80"/>
  <c r="Z108" i="80" s="1"/>
  <c r="F94" i="80"/>
  <c r="Z94" i="80" s="1"/>
  <c r="F86" i="80"/>
  <c r="Z86" i="80" s="1"/>
  <c r="B86" i="62"/>
  <c r="GU3" i="34" l="1"/>
  <c r="H88" i="76"/>
  <c r="D88" i="76"/>
  <c r="C88" i="76"/>
  <c r="B106" i="75" l="1"/>
  <c r="H89" i="76"/>
  <c r="G88" i="76"/>
  <c r="F112" i="80"/>
  <c r="Z112" i="80" s="1"/>
  <c r="F98" i="80"/>
  <c r="Z98" i="80" s="1"/>
  <c r="F84" i="80"/>
  <c r="Z84" i="80" s="1"/>
  <c r="F88" i="80"/>
  <c r="Z88" i="80" s="1"/>
  <c r="F102" i="80"/>
  <c r="Z102" i="80" s="1"/>
  <c r="Z156" i="80"/>
  <c r="R50" i="18"/>
  <c r="L26" i="4" s="1"/>
  <c r="D87" i="76" l="1"/>
  <c r="M89" i="76"/>
  <c r="F107" i="75" s="1"/>
  <c r="I89" i="76"/>
  <c r="D107" i="75" s="1"/>
  <c r="H87" i="76"/>
  <c r="I88" i="76"/>
  <c r="D106" i="75" s="1"/>
  <c r="P26" i="4"/>
  <c r="C87" i="76" l="1"/>
  <c r="J87" i="76"/>
  <c r="K88" i="76"/>
  <c r="J88" i="76"/>
  <c r="HG16" i="5"/>
  <c r="HO16" i="5" s="1"/>
  <c r="B105" i="75" l="1"/>
  <c r="M88" i="76"/>
  <c r="F106" i="75" s="1"/>
  <c r="F88" i="76"/>
  <c r="I87" i="76"/>
  <c r="D105" i="75" s="1"/>
  <c r="G87" i="76"/>
  <c r="L87" i="76"/>
  <c r="E105" i="75" s="1"/>
  <c r="F35" i="62"/>
  <c r="B27" i="28"/>
  <c r="BK6" i="59"/>
  <c r="DM28" i="5"/>
  <c r="C6" i="59"/>
  <c r="B85" i="60" s="1"/>
  <c r="CC80" i="5"/>
  <c r="D41" i="62" l="1"/>
  <c r="H36" i="62"/>
  <c r="D39" i="62"/>
  <c r="D68" i="62" s="1"/>
  <c r="BI6" i="59"/>
  <c r="E88" i="76"/>
  <c r="K87" i="76"/>
  <c r="M87" i="76"/>
  <c r="F105" i="75" s="1"/>
  <c r="L88" i="76"/>
  <c r="E106" i="75" s="1"/>
  <c r="F87" i="76"/>
  <c r="D37" i="62"/>
  <c r="B87" i="62"/>
  <c r="E87" i="76" l="1"/>
  <c r="AK2" i="58"/>
  <c r="H37" i="58" s="1"/>
  <c r="HG16" i="6"/>
  <c r="HO16" i="6" s="1"/>
  <c r="C7" i="59" l="1"/>
  <c r="B86" i="60" s="1"/>
  <c r="BK7" i="59"/>
  <c r="B28" i="28"/>
  <c r="DM28" i="6"/>
  <c r="CC80" i="6"/>
  <c r="Y150" i="80"/>
  <c r="Y110" i="80"/>
  <c r="HG16" i="7"/>
  <c r="HO16" i="7" s="1"/>
  <c r="BI7" i="59" l="1"/>
  <c r="B88" i="62"/>
  <c r="B29" i="28"/>
  <c r="CC80" i="7"/>
  <c r="C8" i="59"/>
  <c r="B87" i="60" s="1"/>
  <c r="DM28" i="7"/>
  <c r="BK8" i="59"/>
  <c r="T9" i="62" l="1"/>
  <c r="D57" i="62"/>
  <c r="W9" i="58"/>
  <c r="D65" i="58"/>
  <c r="Y106" i="80"/>
  <c r="Y154" i="80"/>
  <c r="B89" i="62"/>
  <c r="BI8" i="59"/>
  <c r="H53" i="62" l="1"/>
  <c r="I106" i="80"/>
  <c r="AA106" i="80" s="1"/>
  <c r="HG16" i="8"/>
  <c r="HO16" i="8" s="1"/>
  <c r="BZ77" i="6" l="1"/>
  <c r="T10" i="62"/>
  <c r="D58" i="62"/>
  <c r="H54" i="62" s="1"/>
  <c r="Y148" i="80"/>
  <c r="Y84" i="80"/>
  <c r="D66" i="58"/>
  <c r="W10" i="58"/>
  <c r="BK9" i="59"/>
  <c r="C9" i="59"/>
  <c r="CC80" i="8"/>
  <c r="DM28" i="8"/>
  <c r="B30" i="28"/>
  <c r="HG16" i="9"/>
  <c r="HO16" i="9" s="1"/>
  <c r="J8" i="51" l="1"/>
  <c r="W152" i="58"/>
  <c r="E26" i="28"/>
  <c r="B90" i="62"/>
  <c r="B88" i="60"/>
  <c r="D90" i="60" s="1"/>
  <c r="BI9" i="59"/>
  <c r="C10" i="59"/>
  <c r="B79" i="62" s="1"/>
  <c r="Y108" i="80"/>
  <c r="CC80" i="9"/>
  <c r="Y156" i="80"/>
  <c r="Y114" i="80"/>
  <c r="Y100" i="80"/>
  <c r="B109" i="62" l="1"/>
  <c r="B42" i="54"/>
  <c r="T11" i="62"/>
  <c r="D59" i="62"/>
  <c r="D67" i="58"/>
  <c r="W11" i="58"/>
  <c r="HG16" i="10"/>
  <c r="HO16" i="10" s="1"/>
  <c r="K13" i="60"/>
  <c r="C11" i="59" l="1"/>
  <c r="B80" i="62" s="1"/>
  <c r="AA154" i="80"/>
  <c r="I116" i="80"/>
  <c r="AA116" i="80" s="1"/>
  <c r="W153" i="58"/>
  <c r="DM28" i="10"/>
  <c r="BI11" i="59" s="1"/>
  <c r="BK11" i="59"/>
  <c r="E27" i="28"/>
  <c r="CC80" i="10"/>
  <c r="HG16" i="11"/>
  <c r="HO16" i="11" s="1"/>
  <c r="T12" i="62" l="1"/>
  <c r="D60" i="62"/>
  <c r="Y88" i="80"/>
  <c r="Y116" i="80"/>
  <c r="D68" i="58"/>
  <c r="W12" i="58"/>
  <c r="E28" i="28"/>
  <c r="CC80" i="11"/>
  <c r="BK12" i="59"/>
  <c r="DM28" i="11"/>
  <c r="C12" i="59"/>
  <c r="B81" i="62" s="1"/>
  <c r="D92" i="62" s="1"/>
  <c r="K13" i="62" s="1"/>
  <c r="W154" i="58" l="1"/>
  <c r="HG16" i="12"/>
  <c r="HO16" i="12" s="1"/>
  <c r="BI12" i="59"/>
  <c r="Y118" i="80" l="1"/>
  <c r="Y104" i="80"/>
  <c r="T13" i="62"/>
  <c r="D61" i="62"/>
  <c r="W13" i="58"/>
  <c r="D69" i="58"/>
  <c r="H61" i="58" s="1"/>
  <c r="H60" i="58"/>
  <c r="Y86" i="80"/>
  <c r="Y90" i="80"/>
  <c r="C13" i="59"/>
  <c r="DM28" i="12"/>
  <c r="BI13" i="59" s="1"/>
  <c r="CC80" i="12"/>
  <c r="BK13" i="59"/>
  <c r="E29" i="28"/>
  <c r="HG16" i="13" l="1"/>
  <c r="HO16" i="13" s="1"/>
  <c r="C14" i="59" l="1"/>
  <c r="F167" i="80"/>
  <c r="Y92" i="80"/>
  <c r="E30" i="28"/>
  <c r="CC80" i="13"/>
  <c r="DM28" i="13"/>
  <c r="BI14" i="59" s="1"/>
  <c r="BK14" i="59"/>
  <c r="HG16" i="14" l="1"/>
  <c r="HO16" i="14" s="1"/>
  <c r="E31" i="28" l="1"/>
  <c r="BK15" i="59"/>
  <c r="CC80" i="14"/>
  <c r="DM28" i="14"/>
  <c r="C15" i="59"/>
  <c r="HG16" i="15" l="1"/>
  <c r="HO16" i="15" s="1"/>
  <c r="BI15" i="59"/>
  <c r="C16" i="59" l="1"/>
  <c r="BK16" i="59"/>
  <c r="CC80" i="15"/>
  <c r="DM28" i="15"/>
  <c r="BI16" i="59" s="1"/>
  <c r="E32" i="28"/>
  <c r="AA150" i="80" l="1"/>
  <c r="I110" i="80"/>
  <c r="AA110" i="80" s="1"/>
  <c r="Q83" i="4" l="1"/>
  <c r="F28" i="51" s="1"/>
  <c r="BB5" i="59"/>
  <c r="BB6" i="59"/>
  <c r="Q83" i="5"/>
  <c r="E28" i="51" s="1"/>
  <c r="BB9" i="59"/>
  <c r="Q83" i="8"/>
  <c r="I28" i="51" s="1"/>
  <c r="D111" i="77" l="1"/>
  <c r="D123" i="77"/>
  <c r="D115" i="77"/>
  <c r="D127" i="77"/>
  <c r="D112" i="77"/>
  <c r="D124" i="77"/>
  <c r="D88" i="77"/>
  <c r="D100" i="77"/>
  <c r="D87" i="77"/>
  <c r="D99" i="77"/>
  <c r="D91" i="77"/>
  <c r="D103" i="77"/>
  <c r="EO6" i="4"/>
  <c r="EO7" i="4" l="1"/>
  <c r="AZ6" i="59"/>
  <c r="AZ7" i="59" l="1"/>
  <c r="AZ8" i="59"/>
  <c r="EO6" i="5"/>
  <c r="EO6" i="6" l="1"/>
  <c r="EO8" i="6" s="1"/>
  <c r="EO7" i="5"/>
  <c r="EO7" i="6" l="1"/>
  <c r="F57" i="63" l="1"/>
  <c r="F69" i="63" s="1"/>
  <c r="S15" i="63" s="1"/>
  <c r="BM5" i="63"/>
  <c r="BK8" i="63" s="1"/>
  <c r="A87" i="63" s="1"/>
  <c r="F87" i="63" l="1"/>
  <c r="B87" i="63"/>
  <c r="A42" i="63"/>
  <c r="B42" i="63" s="1"/>
  <c r="A43" i="63"/>
  <c r="B43" i="63" s="1"/>
  <c r="A49" i="63"/>
  <c r="A45" i="63"/>
  <c r="B45" i="63" s="1"/>
  <c r="H10" i="63"/>
  <c r="A78" i="63"/>
  <c r="A82" i="63"/>
  <c r="A80" i="63"/>
  <c r="A84" i="63"/>
  <c r="A51" i="63"/>
  <c r="A79" i="63"/>
  <c r="A85" i="63"/>
  <c r="A77" i="63"/>
  <c r="A40" i="63"/>
  <c r="B40" i="63" s="1"/>
  <c r="A41" i="63"/>
  <c r="B41" i="63" s="1"/>
  <c r="F59" i="63"/>
  <c r="F72" i="63" s="1"/>
  <c r="A46" i="63"/>
  <c r="B46" i="63" s="1"/>
  <c r="A76" i="63"/>
  <c r="BM3" i="63"/>
  <c r="BL5" i="63" s="1"/>
  <c r="B13" i="63" s="1"/>
  <c r="A48" i="63"/>
  <c r="A86" i="63"/>
  <c r="A47" i="63"/>
  <c r="A50" i="63"/>
  <c r="A44" i="63"/>
  <c r="B44" i="63" s="1"/>
  <c r="A83" i="63"/>
  <c r="A81" i="63"/>
  <c r="H12" i="63" l="1"/>
  <c r="T4" i="63"/>
  <c r="B86" i="63"/>
  <c r="F86" i="63"/>
  <c r="B77" i="63"/>
  <c r="F77" i="63"/>
  <c r="F85" i="63"/>
  <c r="B85" i="63"/>
  <c r="B80" i="63"/>
  <c r="F80" i="63"/>
  <c r="T7" i="63"/>
  <c r="B83" i="63"/>
  <c r="F83" i="63"/>
  <c r="T8" i="63"/>
  <c r="F84" i="63"/>
  <c r="B84" i="63"/>
  <c r="T3" i="63"/>
  <c r="B79" i="63"/>
  <c r="F79" i="63"/>
  <c r="B82" i="63"/>
  <c r="F82" i="63"/>
  <c r="F81" i="63"/>
  <c r="B81" i="63"/>
  <c r="F76" i="63"/>
  <c r="B76" i="63"/>
  <c r="F78" i="63"/>
  <c r="B78" i="63"/>
  <c r="T5" i="63"/>
  <c r="D44" i="63" l="1"/>
  <c r="D43" i="63"/>
  <c r="F88" i="63"/>
  <c r="D46" i="63"/>
  <c r="D40" i="63"/>
  <c r="T2" i="63"/>
  <c r="D41" i="63"/>
  <c r="D42" i="63"/>
  <c r="H45" i="63" s="1"/>
  <c r="H44" i="63"/>
  <c r="B88" i="63"/>
  <c r="D45" i="63"/>
  <c r="T6" i="63"/>
  <c r="W17" i="58" l="1"/>
  <c r="D143" i="58"/>
  <c r="W23" i="58"/>
  <c r="D149" i="58"/>
  <c r="D147" i="58"/>
  <c r="W21" i="58"/>
  <c r="W22" i="58"/>
  <c r="D148" i="58"/>
  <c r="W18" i="58"/>
  <c r="D144" i="58"/>
  <c r="W28" i="58"/>
  <c r="D152" i="58"/>
  <c r="D146" i="58"/>
  <c r="W20" i="58"/>
  <c r="W19" i="58"/>
  <c r="D145" i="58"/>
  <c r="D153" i="58"/>
  <c r="W30" i="58"/>
  <c r="W31" i="58"/>
  <c r="D154" i="58"/>
  <c r="H146" i="58" s="1"/>
  <c r="H145" i="58"/>
  <c r="AK87" i="58" l="1"/>
  <c r="H126" i="58" s="1"/>
  <c r="D50" i="62" l="1"/>
  <c r="BZ77" i="10"/>
  <c r="D51" i="62" l="1"/>
  <c r="D58" i="58"/>
  <c r="W2" i="58"/>
  <c r="T2" i="62"/>
  <c r="G8" i="51"/>
  <c r="T3" i="62" l="1"/>
  <c r="W3" i="58"/>
  <c r="D59" i="58"/>
  <c r="D52" i="62"/>
  <c r="BZ77" i="12"/>
  <c r="EO13" i="10"/>
  <c r="EO13" i="11" s="1"/>
  <c r="EO13" i="12" s="1"/>
  <c r="EO13" i="13" s="1"/>
  <c r="EO13" i="14" s="1"/>
  <c r="EO13" i="15" s="1"/>
  <c r="EO13" i="9"/>
  <c r="BB10" i="59"/>
  <c r="Q83" i="9"/>
  <c r="H28" i="51" s="1"/>
  <c r="Q83" i="7"/>
  <c r="C28" i="51" s="1"/>
  <c r="BB8" i="59"/>
  <c r="D116" i="77" l="1"/>
  <c r="D128" i="77"/>
  <c r="D114" i="77"/>
  <c r="D126" i="77"/>
  <c r="D92" i="77"/>
  <c r="D104" i="77"/>
  <c r="D90" i="77"/>
  <c r="D102" i="77"/>
  <c r="W4" i="58"/>
  <c r="D60" i="58"/>
  <c r="D70" i="58" s="1"/>
  <c r="T4" i="62"/>
  <c r="M8" i="51"/>
  <c r="BZ77" i="13"/>
  <c r="EO6" i="7"/>
  <c r="H63" i="58" l="1"/>
  <c r="D62" i="62"/>
  <c r="I31" i="25"/>
  <c r="AA156" i="80"/>
  <c r="L8" i="51"/>
  <c r="BZ77" i="14"/>
  <c r="I102" i="80"/>
  <c r="AA102" i="80" s="1"/>
  <c r="I108" i="80"/>
  <c r="AA108" i="80" s="1"/>
  <c r="AZ9" i="59"/>
  <c r="EO7" i="7"/>
  <c r="H56" i="62" l="1"/>
  <c r="AP9" i="25"/>
  <c r="N71" i="12" s="1"/>
  <c r="AP3" i="25"/>
  <c r="N71" i="6" s="1"/>
  <c r="AP2" i="25"/>
  <c r="N71" i="5" s="1"/>
  <c r="AP10" i="25"/>
  <c r="AP4" i="25"/>
  <c r="N71" i="7" s="1"/>
  <c r="AP7" i="25"/>
  <c r="AP11" i="25"/>
  <c r="N71" i="14" s="1"/>
  <c r="AP8" i="25"/>
  <c r="N71" i="11" s="1"/>
  <c r="AP1" i="25"/>
  <c r="N71" i="4" s="1"/>
  <c r="AP6" i="25"/>
  <c r="AP5" i="25"/>
  <c r="N71" i="8" s="1"/>
  <c r="AP12" i="25"/>
  <c r="N71" i="15" s="1"/>
  <c r="K8" i="51"/>
  <c r="AZ10" i="59"/>
  <c r="EO6" i="8"/>
  <c r="DM29" i="15" l="1"/>
  <c r="BJ16" i="59" s="1"/>
  <c r="DM29" i="4"/>
  <c r="BJ5" i="59" s="1"/>
  <c r="BZ100" i="11"/>
  <c r="N72" i="11"/>
  <c r="N72" i="4"/>
  <c r="BZ100" i="4"/>
  <c r="N72" i="15"/>
  <c r="BZ100" i="15"/>
  <c r="N72" i="8"/>
  <c r="BZ100" i="8"/>
  <c r="N72" i="14"/>
  <c r="BZ100" i="14"/>
  <c r="N72" i="5"/>
  <c r="BZ100" i="5"/>
  <c r="N72" i="6"/>
  <c r="BZ100" i="6"/>
  <c r="N72" i="7"/>
  <c r="BZ100" i="7"/>
  <c r="N72" i="12"/>
  <c r="BZ100" i="12"/>
  <c r="EO7" i="8"/>
  <c r="EO6" i="9"/>
  <c r="AZ11" i="59"/>
  <c r="BO12" i="59" l="1"/>
  <c r="B19" i="51"/>
  <c r="BO6" i="59"/>
  <c r="E19" i="51"/>
  <c r="BO13" i="59"/>
  <c r="M19" i="51"/>
  <c r="J19" i="51"/>
  <c r="BO7" i="59"/>
  <c r="BO9" i="59"/>
  <c r="I19" i="51"/>
  <c r="C19" i="51"/>
  <c r="BO8" i="59"/>
  <c r="K19" i="51"/>
  <c r="BO15" i="59"/>
  <c r="F19" i="51"/>
  <c r="B51" i="50" s="1"/>
  <c r="BO5" i="59"/>
  <c r="D19" i="51"/>
  <c r="BO16" i="59"/>
  <c r="EO7" i="9"/>
  <c r="AZ12" i="59"/>
  <c r="EO6" i="10"/>
  <c r="F184" i="80" l="1"/>
  <c r="EO6" i="11"/>
  <c r="EO7" i="11" s="1"/>
  <c r="AZ13" i="59"/>
  <c r="EO8" i="10"/>
  <c r="EO7" i="10"/>
  <c r="I88" i="80" l="1"/>
  <c r="AA88" i="80" s="1"/>
  <c r="I112" i="80"/>
  <c r="AA112" i="80" s="1"/>
  <c r="AA148" i="80"/>
  <c r="I84" i="80"/>
  <c r="AA84" i="80" s="1"/>
  <c r="EO6" i="12"/>
  <c r="EO8" i="12" s="1"/>
  <c r="AZ14" i="59"/>
  <c r="EO7" i="12" l="1"/>
  <c r="EO6" i="13"/>
  <c r="EO7" i="13" s="1"/>
  <c r="AZ15" i="59"/>
  <c r="EO8" i="13" l="1"/>
  <c r="EO6" i="14"/>
  <c r="EO8" i="14" s="1"/>
  <c r="EO6" i="15"/>
  <c r="AZ16" i="59"/>
  <c r="I90" i="80" l="1"/>
  <c r="AA90" i="80" s="1"/>
  <c r="I86" i="80"/>
  <c r="AA86" i="80" s="1"/>
  <c r="EO7" i="14"/>
  <c r="EO7" i="15"/>
  <c r="I118" i="80" l="1"/>
  <c r="AA118" i="80" s="1"/>
  <c r="B20" i="25"/>
  <c r="A85" i="25" s="1"/>
  <c r="B22" i="25"/>
  <c r="A87" i="25" s="1"/>
  <c r="I98" i="80"/>
  <c r="AA98" i="80" s="1"/>
  <c r="I94" i="80"/>
  <c r="AA94" i="80" s="1"/>
  <c r="I92" i="80"/>
  <c r="AA92" i="80" s="1"/>
  <c r="I114" i="80"/>
  <c r="AA114" i="80" s="1"/>
  <c r="AH91" i="14"/>
  <c r="AH91" i="13"/>
  <c r="B111" i="62"/>
  <c r="B123" i="62" s="1"/>
  <c r="K17" i="62" s="1"/>
  <c r="AH91" i="12"/>
  <c r="AH91" i="10"/>
  <c r="BZ94" i="11" l="1"/>
  <c r="B16" i="51" s="1"/>
  <c r="BZ77" i="11"/>
  <c r="AH91" i="11"/>
  <c r="AL91" i="11"/>
  <c r="EO8" i="11"/>
  <c r="BL12" i="59"/>
  <c r="V91" i="11"/>
  <c r="DM29" i="5"/>
  <c r="BJ6" i="59" s="1"/>
  <c r="DM29" i="7"/>
  <c r="BJ8" i="59" s="1"/>
  <c r="AH91" i="9"/>
  <c r="DM29" i="9"/>
  <c r="BJ10" i="59" s="1"/>
  <c r="DM29" i="11"/>
  <c r="BJ12" i="59" s="1"/>
  <c r="DK39" i="9"/>
  <c r="BZ94" i="9"/>
  <c r="H16" i="51" s="1"/>
  <c r="V91" i="9"/>
  <c r="AL91" i="9"/>
  <c r="DK39" i="11"/>
  <c r="BL10" i="59"/>
  <c r="B8" i="51" l="1"/>
  <c r="F41" i="62" l="1"/>
  <c r="H43" i="62" l="1"/>
  <c r="F32" i="62"/>
  <c r="H40" i="62" s="1"/>
  <c r="H44" i="62"/>
  <c r="J59" i="62" l="1"/>
  <c r="G72" i="62"/>
  <c r="I59" i="62"/>
  <c r="D94" i="62" l="1"/>
  <c r="D96" i="62" s="1"/>
  <c r="I72" i="62"/>
  <c r="K12" i="62"/>
  <c r="K14" i="62" s="1"/>
  <c r="G73" i="62"/>
  <c r="DM29" i="8" l="1"/>
  <c r="BJ9" i="59" s="1"/>
  <c r="B19" i="25" l="1"/>
  <c r="A84" i="25" s="1"/>
  <c r="I167" i="80"/>
  <c r="D167" i="80" s="1"/>
  <c r="B15" i="25"/>
  <c r="A80" i="25" s="1"/>
  <c r="B16" i="25"/>
  <c r="A81" i="25" s="1"/>
  <c r="B17" i="25"/>
  <c r="A82" i="25" s="1"/>
  <c r="B18" i="25"/>
  <c r="A83" i="25" s="1"/>
  <c r="B21" i="25"/>
  <c r="A86" i="25" s="1"/>
  <c r="BZ77" i="8"/>
  <c r="BZ77" i="15"/>
  <c r="D172" i="80"/>
  <c r="Y94" i="80"/>
  <c r="F66" i="62"/>
  <c r="I100" i="80"/>
  <c r="AA100" i="80" s="1"/>
  <c r="I104" i="80"/>
  <c r="AA104" i="80" s="1"/>
  <c r="F19" i="58"/>
  <c r="F23" i="58" s="1"/>
  <c r="D33" i="58" s="1"/>
  <c r="D150" i="58"/>
  <c r="D151" i="58"/>
  <c r="F105" i="58"/>
  <c r="F109" i="58" s="1"/>
  <c r="Y98" i="80"/>
  <c r="Y96" i="80"/>
  <c r="I96" i="80"/>
  <c r="AA96" i="80" s="1"/>
  <c r="F115" i="58"/>
  <c r="Y102" i="80"/>
  <c r="Y112" i="80"/>
  <c r="R48" i="18"/>
  <c r="L25" i="4" s="1"/>
  <c r="R50" i="35"/>
  <c r="L26" i="5" s="1"/>
  <c r="P26" i="5" s="1"/>
  <c r="R48" i="35"/>
  <c r="L25" i="5" s="1"/>
  <c r="P25" i="5" s="1"/>
  <c r="R50" i="44"/>
  <c r="L26" i="14" s="1"/>
  <c r="P26" i="14" s="1"/>
  <c r="R48" i="43"/>
  <c r="L25" i="13" s="1"/>
  <c r="P25" i="13" s="1"/>
  <c r="R48" i="44"/>
  <c r="L25" i="14" s="1"/>
  <c r="P25" i="14" s="1"/>
  <c r="R50" i="42"/>
  <c r="L26" i="12" s="1"/>
  <c r="P26" i="12" s="1"/>
  <c r="R48" i="41"/>
  <c r="L25" i="11" s="1"/>
  <c r="P25" i="11" s="1"/>
  <c r="R48" i="42"/>
  <c r="L25" i="12" s="1"/>
  <c r="P25" i="12" s="1"/>
  <c r="R48" i="40"/>
  <c r="L25" i="10" s="1"/>
  <c r="P25" i="10" s="1"/>
  <c r="R50" i="37"/>
  <c r="L26" i="7" s="1"/>
  <c r="P26" i="7" s="1"/>
  <c r="R48" i="37"/>
  <c r="L25" i="7" s="1"/>
  <c r="P25" i="7" s="1"/>
  <c r="F92" i="80"/>
  <c r="Z92" i="80" s="1"/>
  <c r="F116" i="80"/>
  <c r="Z116" i="80" s="1"/>
  <c r="I71" i="58" l="1"/>
  <c r="J71" i="58"/>
  <c r="D73" i="58"/>
  <c r="D72" i="58"/>
  <c r="D121" i="58"/>
  <c r="F121" i="58" s="1"/>
  <c r="D119" i="58"/>
  <c r="D35" i="58"/>
  <c r="F35" i="58" s="1"/>
  <c r="H114" i="58"/>
  <c r="W26" i="58"/>
  <c r="EO8" i="15"/>
  <c r="W150" i="58"/>
  <c r="EO8" i="8"/>
  <c r="W151" i="58"/>
  <c r="BZ94" i="8"/>
  <c r="I16" i="51" s="1"/>
  <c r="AL91" i="15"/>
  <c r="W27" i="58"/>
  <c r="BZ94" i="15"/>
  <c r="D16" i="51" s="1"/>
  <c r="H105" i="58"/>
  <c r="DK39" i="15"/>
  <c r="H19" i="58"/>
  <c r="AH91" i="15"/>
  <c r="V91" i="15"/>
  <c r="AH91" i="8"/>
  <c r="AH92" i="8" s="1"/>
  <c r="AL91" i="8"/>
  <c r="BL16" i="59"/>
  <c r="V91" i="8"/>
  <c r="D155" i="58"/>
  <c r="I8" i="51"/>
  <c r="D8" i="51"/>
  <c r="AL87" i="8"/>
  <c r="DK39" i="8"/>
  <c r="B28" i="25"/>
  <c r="E31" i="25" s="1"/>
  <c r="BL9" i="59"/>
  <c r="Q9" i="59" l="1"/>
  <c r="AQ16" i="8"/>
  <c r="AQ51" i="8" s="1"/>
  <c r="D157" i="58"/>
  <c r="D125" i="58"/>
  <c r="F125" i="58" s="1"/>
  <c r="AK86" i="58" s="1"/>
  <c r="H116" i="58"/>
  <c r="D39" i="58"/>
  <c r="F39" i="58" s="1"/>
  <c r="H73" i="58" s="1"/>
  <c r="F30" i="58"/>
  <c r="H29" i="58"/>
  <c r="I152" i="58"/>
  <c r="J152" i="58"/>
  <c r="H148" i="58"/>
  <c r="H75" i="58" l="1"/>
  <c r="J67" i="58"/>
  <c r="I67" i="58"/>
  <c r="H28" i="58"/>
  <c r="G80" i="58"/>
  <c r="K12" i="58" s="1"/>
  <c r="H154" i="58"/>
  <c r="G164" i="58"/>
  <c r="K13" i="58" s="1"/>
  <c r="H156" i="58"/>
  <c r="C130" i="58"/>
  <c r="H125" i="58"/>
  <c r="H119" i="58"/>
  <c r="C44" i="58"/>
  <c r="H32" i="58"/>
  <c r="AK1" i="58"/>
  <c r="H36" i="58" s="1"/>
  <c r="K14" i="58" l="1"/>
  <c r="E4" i="79" s="1"/>
  <c r="EQ18" i="35"/>
  <c r="D18" i="35" s="1"/>
  <c r="EQ18" i="41"/>
  <c r="D18" i="41" s="1"/>
  <c r="EQ18" i="38"/>
  <c r="D18" i="38" s="1"/>
  <c r="EQ18" i="36"/>
  <c r="D18" i="36" s="1"/>
  <c r="GG20" i="6" s="1"/>
  <c r="GQ20" i="6" s="1"/>
  <c r="EQ18" i="43"/>
  <c r="D18" i="43" s="1"/>
  <c r="EQ18" i="45"/>
  <c r="D18" i="45" s="1"/>
  <c r="EQ18" i="39"/>
  <c r="D18" i="39" s="1"/>
  <c r="GG20" i="9" s="1"/>
  <c r="GQ20" i="9" s="1"/>
  <c r="EQ18" i="37"/>
  <c r="D18" i="37" s="1"/>
  <c r="GG20" i="7" s="1"/>
  <c r="GQ20" i="7" s="1"/>
  <c r="EQ18" i="42"/>
  <c r="D18" i="42" s="1"/>
  <c r="GG20" i="12" s="1"/>
  <c r="GQ20" i="12" s="1"/>
  <c r="EQ18" i="44"/>
  <c r="D18" i="44" s="1"/>
  <c r="EQ18" i="40"/>
  <c r="D18" i="40" s="1"/>
  <c r="EQ18" i="18"/>
  <c r="D18" i="18" s="1"/>
  <c r="GG20" i="4" s="1"/>
  <c r="GQ20" i="4" s="1"/>
  <c r="EX20" i="9"/>
  <c r="EX20" i="6"/>
  <c r="EX20" i="11"/>
  <c r="EX20" i="7"/>
  <c r="EX20" i="4"/>
  <c r="EX20" i="8"/>
  <c r="EX20" i="5"/>
  <c r="EX20" i="14"/>
  <c r="EX20" i="10"/>
  <c r="EX20" i="12"/>
  <c r="EX20" i="15"/>
  <c r="EX20" i="13"/>
  <c r="GG20" i="15" l="1"/>
  <c r="GG20" i="10"/>
  <c r="GQ20" i="10" s="1"/>
  <c r="GQ20" i="15"/>
  <c r="GO20" i="12"/>
  <c r="FP20" i="12"/>
  <c r="GO20" i="14"/>
  <c r="FP20" i="14"/>
  <c r="GO20" i="8"/>
  <c r="FP20" i="8"/>
  <c r="GO20" i="7"/>
  <c r="FP20" i="7"/>
  <c r="GO20" i="6"/>
  <c r="FP20" i="6"/>
  <c r="GO20" i="13"/>
  <c r="FP20" i="13"/>
  <c r="GO20" i="15"/>
  <c r="FP20" i="15"/>
  <c r="GO20" i="10"/>
  <c r="FP20" i="10"/>
  <c r="GO20" i="5"/>
  <c r="FP20" i="5"/>
  <c r="GO20" i="4"/>
  <c r="FP20" i="4"/>
  <c r="GO20" i="11"/>
  <c r="FP20" i="11"/>
  <c r="GO20" i="9"/>
  <c r="FP20" i="9"/>
  <c r="GG20" i="14"/>
  <c r="GQ20" i="14" s="1"/>
  <c r="GG20" i="11"/>
  <c r="GQ20" i="11" s="1"/>
  <c r="GG20" i="13"/>
  <c r="GQ20" i="13" s="1"/>
  <c r="GG20" i="5"/>
  <c r="GQ20" i="5" s="1"/>
  <c r="GG20" i="8"/>
  <c r="GQ20" i="8" s="1"/>
  <c r="E7" i="79"/>
  <c r="E13" i="79"/>
  <c r="E9" i="79"/>
  <c r="E10" i="79"/>
  <c r="E11" i="79"/>
  <c r="E8" i="79"/>
  <c r="E12" i="79"/>
  <c r="E14" i="79"/>
  <c r="E6" i="79"/>
  <c r="E3" i="79"/>
  <c r="E5" i="79"/>
  <c r="AD20" i="8"/>
  <c r="AD20" i="13"/>
  <c r="AD20" i="15"/>
  <c r="AD20" i="14"/>
  <c r="AD20" i="5"/>
  <c r="AD20" i="7"/>
  <c r="AD20" i="9"/>
  <c r="AD20" i="12"/>
  <c r="HJ250" i="34" s="1"/>
  <c r="HK250" i="34" s="1"/>
  <c r="AD20" i="10"/>
  <c r="HJ188" i="34" s="1"/>
  <c r="HK188" i="34" s="1"/>
  <c r="BD18" i="18"/>
  <c r="AD20" i="11"/>
  <c r="HJ219" i="34" s="1"/>
  <c r="HK219" i="34" s="1"/>
  <c r="AD20" i="4"/>
  <c r="HJ2" i="34" s="1"/>
  <c r="HK2" i="34" s="1"/>
  <c r="BD18" i="39"/>
  <c r="AD20" i="6"/>
  <c r="HJ64" i="34" s="1"/>
  <c r="HK64" i="34" s="1"/>
  <c r="BD18" i="40"/>
  <c r="BD18" i="43"/>
  <c r="BD18" i="44"/>
  <c r="BD18" i="42"/>
  <c r="BD18" i="37"/>
  <c r="BD18" i="45"/>
  <c r="BD18" i="36"/>
  <c r="BD18" i="38"/>
  <c r="BD18" i="41"/>
  <c r="BD18" i="35"/>
  <c r="FA20" i="9" l="1"/>
  <c r="AM20" i="9" s="1"/>
  <c r="GJ20" i="9" s="1"/>
  <c r="GM20" i="9" s="1"/>
  <c r="HJ157" i="34"/>
  <c r="HK157" i="34" s="1"/>
  <c r="FA20" i="5"/>
  <c r="AM20" i="5" s="1"/>
  <c r="GJ20" i="5" s="1"/>
  <c r="GM20" i="5" s="1"/>
  <c r="HJ33" i="34"/>
  <c r="HK33" i="34" s="1"/>
  <c r="DY20" i="15"/>
  <c r="HJ343" i="34"/>
  <c r="HK343" i="34" s="1"/>
  <c r="FA20" i="8"/>
  <c r="AM20" i="8" s="1"/>
  <c r="GJ20" i="8" s="1"/>
  <c r="GM20" i="8" s="1"/>
  <c r="HJ126" i="34"/>
  <c r="HK126" i="34" s="1"/>
  <c r="FA20" i="7"/>
  <c r="AM20" i="7" s="1"/>
  <c r="O8" i="74" s="1"/>
  <c r="HJ95" i="34"/>
  <c r="HK95" i="34" s="1"/>
  <c r="AS20" i="14"/>
  <c r="HJ312" i="34"/>
  <c r="HK312" i="34" s="1"/>
  <c r="DV20" i="13"/>
  <c r="HJ281" i="34"/>
  <c r="HK281" i="34" s="1"/>
  <c r="DY20" i="13"/>
  <c r="GP20" i="9"/>
  <c r="GP20" i="11"/>
  <c r="GP20" i="4"/>
  <c r="GP20" i="5"/>
  <c r="GP20" i="10"/>
  <c r="GP20" i="15"/>
  <c r="GP20" i="13"/>
  <c r="GP20" i="6"/>
  <c r="GP20" i="7"/>
  <c r="GP20" i="8"/>
  <c r="GP20" i="14"/>
  <c r="GP20" i="12"/>
  <c r="DW20" i="13"/>
  <c r="EA20" i="7"/>
  <c r="FA20" i="13"/>
  <c r="AM20" i="13" s="1"/>
  <c r="GJ20" i="13" s="1"/>
  <c r="GM20" i="13" s="1"/>
  <c r="EB20" i="13"/>
  <c r="DV20" i="7"/>
  <c r="FG20" i="13"/>
  <c r="AS20" i="13"/>
  <c r="DX20" i="13"/>
  <c r="U8" i="74"/>
  <c r="DW20" i="7"/>
  <c r="AS20" i="7"/>
  <c r="FG20" i="7"/>
  <c r="DY20" i="7"/>
  <c r="DX20" i="7"/>
  <c r="EB20" i="7"/>
  <c r="DU20" i="7"/>
  <c r="EB20" i="14"/>
  <c r="DW20" i="14"/>
  <c r="DX20" i="14"/>
  <c r="EA18" i="38"/>
  <c r="EB18" i="38" s="1"/>
  <c r="GF20" i="8"/>
  <c r="EA20" i="8"/>
  <c r="EB20" i="8"/>
  <c r="DV20" i="8"/>
  <c r="DV20" i="9"/>
  <c r="EA20" i="14"/>
  <c r="DV20" i="14"/>
  <c r="FG20" i="14"/>
  <c r="DU20" i="14"/>
  <c r="FA20" i="14"/>
  <c r="AM20" i="14" s="1"/>
  <c r="GJ20" i="14" s="1"/>
  <c r="GM20" i="14" s="1"/>
  <c r="DY20" i="14"/>
  <c r="FG20" i="9"/>
  <c r="DU20" i="9"/>
  <c r="FA20" i="15"/>
  <c r="AM20" i="15" s="1"/>
  <c r="EA20" i="15"/>
  <c r="DX20" i="9"/>
  <c r="EB20" i="9"/>
  <c r="DY20" i="9"/>
  <c r="EB20" i="15"/>
  <c r="EA20" i="13"/>
  <c r="DU20" i="13"/>
  <c r="AS20" i="5"/>
  <c r="DX20" i="5"/>
  <c r="DW20" i="9"/>
  <c r="FG20" i="8"/>
  <c r="DU20" i="5"/>
  <c r="FG20" i="15"/>
  <c r="DW20" i="5"/>
  <c r="DU20" i="15"/>
  <c r="AS20" i="9"/>
  <c r="EA20" i="9"/>
  <c r="DW20" i="8"/>
  <c r="DU20" i="8"/>
  <c r="EA20" i="5"/>
  <c r="DY20" i="5"/>
  <c r="DX20" i="15"/>
  <c r="DW20" i="15"/>
  <c r="AS20" i="8"/>
  <c r="DX20" i="8"/>
  <c r="DY20" i="8"/>
  <c r="FG20" i="5"/>
  <c r="DV20" i="5"/>
  <c r="EB20" i="5"/>
  <c r="AS20" i="15"/>
  <c r="DV20" i="15"/>
  <c r="I8" i="74"/>
  <c r="DV20" i="11"/>
  <c r="DX20" i="11"/>
  <c r="EB20" i="11"/>
  <c r="DY20" i="11"/>
  <c r="DW20" i="11"/>
  <c r="EA20" i="11"/>
  <c r="DU20" i="11"/>
  <c r="AS20" i="11"/>
  <c r="FG20" i="11"/>
  <c r="FA20" i="11"/>
  <c r="AM20" i="11" s="1"/>
  <c r="GJ20" i="11" s="1"/>
  <c r="GM20" i="11" s="1"/>
  <c r="EA20" i="12"/>
  <c r="DX20" i="12"/>
  <c r="DU20" i="12"/>
  <c r="DY20" i="12"/>
  <c r="EB20" i="12"/>
  <c r="DW20" i="12"/>
  <c r="DV20" i="12"/>
  <c r="AS20" i="12"/>
  <c r="FG20" i="12"/>
  <c r="FA20" i="12"/>
  <c r="AM20" i="12" s="1"/>
  <c r="EA20" i="6"/>
  <c r="DY20" i="6"/>
  <c r="EB20" i="6"/>
  <c r="DU20" i="6"/>
  <c r="DW20" i="6"/>
  <c r="AS20" i="6"/>
  <c r="DV20" i="6"/>
  <c r="DX20" i="6"/>
  <c r="FG20" i="6"/>
  <c r="FA20" i="6"/>
  <c r="AM20" i="6" s="1"/>
  <c r="DV20" i="4"/>
  <c r="EA20" i="4"/>
  <c r="EB20" i="4"/>
  <c r="DX20" i="4"/>
  <c r="DY20" i="4"/>
  <c r="DU20" i="4"/>
  <c r="DW20" i="4"/>
  <c r="FG20" i="4"/>
  <c r="AS20" i="4"/>
  <c r="FA20" i="4"/>
  <c r="AM20" i="4" s="1"/>
  <c r="EB20" i="10"/>
  <c r="DY20" i="10"/>
  <c r="DU20" i="10"/>
  <c r="DW20" i="10"/>
  <c r="DV20" i="10"/>
  <c r="EA20" i="10"/>
  <c r="AS20" i="10"/>
  <c r="FG20" i="10"/>
  <c r="DX20" i="10"/>
  <c r="FA20" i="10"/>
  <c r="AM20" i="10" s="1"/>
  <c r="R8" i="74" l="1"/>
  <c r="EA18" i="35"/>
  <c r="CG18" i="35" s="1"/>
  <c r="E57" i="35" s="1"/>
  <c r="GF20" i="5"/>
  <c r="GJ20" i="7"/>
  <c r="GM20" i="7" s="1"/>
  <c r="EA18" i="39"/>
  <c r="CG18" i="39" s="1"/>
  <c r="GF20" i="9"/>
  <c r="EA18" i="37"/>
  <c r="EB18" i="37" s="1"/>
  <c r="GF20" i="7"/>
  <c r="GJ20" i="15"/>
  <c r="GM20" i="15" s="1"/>
  <c r="G57" i="35"/>
  <c r="F57" i="35"/>
  <c r="AJ8" i="74"/>
  <c r="AM8" i="74"/>
  <c r="AG8" i="74"/>
  <c r="GF20" i="13"/>
  <c r="EB18" i="35"/>
  <c r="DU18" i="35" s="1"/>
  <c r="EA18" i="43"/>
  <c r="CG18" i="43" s="1"/>
  <c r="GF20" i="10"/>
  <c r="GJ20" i="10"/>
  <c r="GM20" i="10" s="1"/>
  <c r="GF20" i="12"/>
  <c r="GJ20" i="12"/>
  <c r="GM20" i="12" s="1"/>
  <c r="GF20" i="4"/>
  <c r="GJ20" i="4"/>
  <c r="GM20" i="4" s="1"/>
  <c r="GF20" i="6"/>
  <c r="GJ20" i="6"/>
  <c r="GM20" i="6" s="1"/>
  <c r="EB18" i="39"/>
  <c r="DU18" i="39" s="1"/>
  <c r="CG18" i="38"/>
  <c r="E57" i="38" s="1"/>
  <c r="GF20" i="11"/>
  <c r="EA18" i="45"/>
  <c r="CG18" i="45" s="1"/>
  <c r="GF20" i="15"/>
  <c r="EA18" i="44"/>
  <c r="EB18" i="44" s="1"/>
  <c r="GF20" i="14"/>
  <c r="CG18" i="37"/>
  <c r="E57" i="37" s="1"/>
  <c r="L8" i="74"/>
  <c r="EA18" i="36"/>
  <c r="X8" i="74"/>
  <c r="EA18" i="40"/>
  <c r="AD8" i="74"/>
  <c r="EA18" i="42"/>
  <c r="AA8" i="74"/>
  <c r="EA18" i="41"/>
  <c r="DU18" i="38"/>
  <c r="DV18" i="38"/>
  <c r="DR18" i="38"/>
  <c r="F8" i="74"/>
  <c r="EA18" i="18"/>
  <c r="DU18" i="37"/>
  <c r="DV18" i="37"/>
  <c r="DR18" i="37"/>
  <c r="F57" i="37" l="1"/>
  <c r="G57" i="37"/>
  <c r="F57" i="38"/>
  <c r="G57" i="38"/>
  <c r="DR18" i="35"/>
  <c r="DV18" i="35"/>
  <c r="DW18" i="35" s="1"/>
  <c r="EB18" i="43"/>
  <c r="DV18" i="43" s="1"/>
  <c r="DV18" i="39"/>
  <c r="DW18" i="39" s="1"/>
  <c r="DR18" i="39"/>
  <c r="EB18" i="45"/>
  <c r="DU18" i="45" s="1"/>
  <c r="CG18" i="44"/>
  <c r="DW18" i="37"/>
  <c r="CG18" i="42"/>
  <c r="EB18" i="42"/>
  <c r="DU18" i="44"/>
  <c r="DV18" i="44"/>
  <c r="DR18" i="44"/>
  <c r="CG18" i="36"/>
  <c r="E57" i="36" s="1"/>
  <c r="EB18" i="36"/>
  <c r="CG18" i="18"/>
  <c r="E57" i="18" s="1"/>
  <c r="EB18" i="18"/>
  <c r="DW18" i="38"/>
  <c r="CG18" i="41"/>
  <c r="EB18" i="41"/>
  <c r="CG18" i="40"/>
  <c r="EB18" i="40"/>
  <c r="G57" i="18" l="1"/>
  <c r="H57" i="18"/>
  <c r="F57" i="18"/>
  <c r="DR18" i="43"/>
  <c r="DU18" i="43"/>
  <c r="DW18" i="43" s="1"/>
  <c r="G57" i="36"/>
  <c r="F57" i="36"/>
  <c r="DV18" i="45"/>
  <c r="DW18" i="45" s="1"/>
  <c r="DR18" i="45"/>
  <c r="DU18" i="40"/>
  <c r="DV18" i="40"/>
  <c r="DR18" i="40"/>
  <c r="DU18" i="41"/>
  <c r="DV18" i="41"/>
  <c r="DR18" i="41"/>
  <c r="DU18" i="42"/>
  <c r="DV18" i="42"/>
  <c r="DR18" i="42"/>
  <c r="DU18" i="36"/>
  <c r="DV18" i="36"/>
  <c r="DR18" i="36"/>
  <c r="DU18" i="18"/>
  <c r="DV18" i="18"/>
  <c r="DR18" i="18"/>
  <c r="DW18" i="44"/>
  <c r="DW18" i="42" l="1"/>
  <c r="DW18" i="18"/>
  <c r="DW18" i="40"/>
  <c r="DW18" i="41"/>
  <c r="DW18" i="36"/>
  <c r="EQ42" i="44"/>
  <c r="EQ28" i="37"/>
  <c r="EQ39" i="45"/>
  <c r="EQ32" i="45"/>
  <c r="D32" i="45" s="1"/>
  <c r="EQ27" i="37"/>
  <c r="D27" i="37" s="1"/>
  <c r="GG29" i="7" s="1"/>
  <c r="GQ29" i="7" s="1"/>
  <c r="EQ33" i="35"/>
  <c r="D33" i="35" s="1"/>
  <c r="EQ26" i="35"/>
  <c r="EQ31" i="44"/>
  <c r="EQ35" i="18"/>
  <c r="EQ44" i="40"/>
  <c r="EQ31" i="41"/>
  <c r="D31" i="41" s="1"/>
  <c r="GG33" i="11" s="1"/>
  <c r="GQ33" i="11" s="1"/>
  <c r="EQ30" i="44"/>
  <c r="D30" i="44" s="1"/>
  <c r="GG32" i="14" s="1"/>
  <c r="GQ32" i="14" s="1"/>
  <c r="EQ22" i="45"/>
  <c r="EQ20" i="37"/>
  <c r="D20" i="37" s="1"/>
  <c r="GG22" i="7" s="1"/>
  <c r="GQ22" i="7" s="1"/>
  <c r="EQ33" i="43"/>
  <c r="D33" i="43" s="1"/>
  <c r="GG35" i="13" s="1"/>
  <c r="GQ35" i="13" s="1"/>
  <c r="EQ19" i="38"/>
  <c r="D19" i="38" s="1"/>
  <c r="EQ48" i="38"/>
  <c r="D48" i="38" s="1"/>
  <c r="GG50" i="8" s="1"/>
  <c r="GQ50" i="8" s="1"/>
  <c r="EQ47" i="18"/>
  <c r="EX34" i="15"/>
  <c r="EQ30" i="36"/>
  <c r="D30" i="36" s="1"/>
  <c r="GG32" i="6" s="1"/>
  <c r="GQ32" i="6" s="1"/>
  <c r="EQ20" i="40"/>
  <c r="D20" i="40" s="1"/>
  <c r="GG22" i="10" s="1"/>
  <c r="GQ22" i="10" s="1"/>
  <c r="EX33" i="14"/>
  <c r="EQ33" i="39"/>
  <c r="D33" i="39" s="1"/>
  <c r="EQ44" i="44"/>
  <c r="D44" i="44" s="1"/>
  <c r="GG46" i="14" s="1"/>
  <c r="GQ46" i="14" s="1"/>
  <c r="EQ40" i="18"/>
  <c r="D40" i="18" s="1"/>
  <c r="GG42" i="4" s="1"/>
  <c r="GQ42" i="4" s="1"/>
  <c r="EQ23" i="44"/>
  <c r="D23" i="44" s="1"/>
  <c r="GG25" i="14" s="1"/>
  <c r="GQ25" i="14" s="1"/>
  <c r="EX32" i="6"/>
  <c r="EQ45" i="38"/>
  <c r="EQ41" i="40"/>
  <c r="D41" i="40" s="1"/>
  <c r="GG43" i="10" s="1"/>
  <c r="GQ43" i="10" s="1"/>
  <c r="EQ22" i="39"/>
  <c r="D22" i="39" s="1"/>
  <c r="GG24" i="9" s="1"/>
  <c r="GQ24" i="9" s="1"/>
  <c r="EQ30" i="39"/>
  <c r="EX44" i="14"/>
  <c r="EQ34" i="45"/>
  <c r="EQ32" i="36"/>
  <c r="D32" i="36" s="1"/>
  <c r="EQ44" i="45"/>
  <c r="EQ24" i="45"/>
  <c r="EQ45" i="44"/>
  <c r="EQ35" i="41"/>
  <c r="EQ25" i="45"/>
  <c r="D25" i="45" s="1"/>
  <c r="EX45" i="6"/>
  <c r="EQ43" i="36"/>
  <c r="EX27" i="10"/>
  <c r="EQ25" i="40"/>
  <c r="EQ28" i="43"/>
  <c r="D28" i="43" s="1"/>
  <c r="EQ27" i="43"/>
  <c r="EX25" i="11"/>
  <c r="EQ23" i="41"/>
  <c r="EQ41" i="35"/>
  <c r="EQ39" i="43"/>
  <c r="EX31" i="11"/>
  <c r="EQ29" i="41"/>
  <c r="EQ19" i="42"/>
  <c r="D19" i="42" s="1"/>
  <c r="GG21" i="12" s="1"/>
  <c r="GQ21" i="12" s="1"/>
  <c r="EX47" i="14"/>
  <c r="EQ47" i="35"/>
  <c r="EQ21" i="18"/>
  <c r="D21" i="18" s="1"/>
  <c r="EQ39" i="18"/>
  <c r="EX23" i="5"/>
  <c r="EQ21" i="35"/>
  <c r="EX27" i="11"/>
  <c r="EQ25" i="41"/>
  <c r="EX39" i="7"/>
  <c r="EQ37" i="37"/>
  <c r="EQ42" i="41"/>
  <c r="EQ47" i="39"/>
  <c r="EQ46" i="36"/>
  <c r="EX27" i="14"/>
  <c r="EQ25" i="44"/>
  <c r="EQ26" i="36"/>
  <c r="EQ32" i="38"/>
  <c r="D32" i="38" s="1"/>
  <c r="GG34" i="8" s="1"/>
  <c r="GQ34" i="8" s="1"/>
  <c r="EX34" i="6"/>
  <c r="EX41" i="4"/>
  <c r="EQ48" i="39"/>
  <c r="EX46" i="10"/>
  <c r="EX41" i="15"/>
  <c r="EQ22" i="43"/>
  <c r="D22" i="43" s="1"/>
  <c r="EQ46" i="40"/>
  <c r="EX37" i="6"/>
  <c r="EQ35" i="36"/>
  <c r="EX41" i="14"/>
  <c r="EQ39" i="44"/>
  <c r="EQ20" i="43"/>
  <c r="EX32" i="10"/>
  <c r="EQ30" i="40"/>
  <c r="EX28" i="13"/>
  <c r="EQ26" i="43"/>
  <c r="D26" i="43" s="1"/>
  <c r="GG28" i="13" s="1"/>
  <c r="GQ28" i="13" s="1"/>
  <c r="EX48" i="6"/>
  <c r="EX44" i="12"/>
  <c r="EQ42" i="42"/>
  <c r="D42" i="42" s="1"/>
  <c r="GG44" i="12" s="1"/>
  <c r="GQ44" i="12" s="1"/>
  <c r="EX34" i="9"/>
  <c r="EQ32" i="39"/>
  <c r="EX30" i="7"/>
  <c r="EX49" i="9"/>
  <c r="EQ35" i="45"/>
  <c r="D35" i="45" s="1"/>
  <c r="EX35" i="13"/>
  <c r="EX24" i="15"/>
  <c r="EQ31" i="45"/>
  <c r="EX49" i="4"/>
  <c r="EX50" i="8"/>
  <c r="EX43" i="5"/>
  <c r="EX34" i="8"/>
  <c r="EX28" i="6"/>
  <c r="EQ42" i="38"/>
  <c r="EX45" i="8"/>
  <c r="EQ43" i="38"/>
  <c r="EQ26" i="39"/>
  <c r="D26" i="39" s="1"/>
  <c r="EQ22" i="37"/>
  <c r="EQ26" i="38"/>
  <c r="EX40" i="4"/>
  <c r="EQ38" i="18"/>
  <c r="EX25" i="7"/>
  <c r="EQ23" i="37"/>
  <c r="EQ45" i="45"/>
  <c r="D45" i="45" s="1"/>
  <c r="EQ23" i="42"/>
  <c r="EX23" i="7"/>
  <c r="EQ21" i="37"/>
  <c r="D21" i="37" s="1"/>
  <c r="EQ45" i="35"/>
  <c r="EQ42" i="37"/>
  <c r="EX50" i="4"/>
  <c r="EQ48" i="18"/>
  <c r="D48" i="18" s="1"/>
  <c r="GG50" i="4" s="1"/>
  <c r="GQ50" i="4" s="1"/>
  <c r="EX37" i="9"/>
  <c r="EQ35" i="39"/>
  <c r="EQ38" i="37"/>
  <c r="EQ21" i="44"/>
  <c r="EQ45" i="40"/>
  <c r="EQ30" i="18"/>
  <c r="EX40" i="15"/>
  <c r="EQ38" i="45"/>
  <c r="EX39" i="9"/>
  <c r="EQ37" i="39"/>
  <c r="EX26" i="5"/>
  <c r="EQ24" i="35"/>
  <c r="EQ42" i="39"/>
  <c r="D42" i="39" s="1"/>
  <c r="EQ20" i="45"/>
  <c r="EQ42" i="36"/>
  <c r="D42" i="36" s="1"/>
  <c r="EX44" i="13"/>
  <c r="EQ42" i="43"/>
  <c r="EX35" i="9"/>
  <c r="EQ46" i="18"/>
  <c r="EX43" i="10"/>
  <c r="EX31" i="4"/>
  <c r="EQ29" i="18"/>
  <c r="EQ28" i="44"/>
  <c r="EX48" i="12"/>
  <c r="EQ46" i="42"/>
  <c r="EQ33" i="18"/>
  <c r="D33" i="18" s="1"/>
  <c r="GG35" i="4" s="1"/>
  <c r="GQ35" i="4" s="1"/>
  <c r="EX25" i="4"/>
  <c r="EQ23" i="18"/>
  <c r="EQ32" i="42"/>
  <c r="EQ36" i="40"/>
  <c r="EX38" i="14"/>
  <c r="EQ36" i="44"/>
  <c r="EX31" i="12"/>
  <c r="EQ29" i="42"/>
  <c r="EX34" i="11"/>
  <c r="EQ32" i="41"/>
  <c r="D32" i="41" s="1"/>
  <c r="EX41" i="11"/>
  <c r="EQ39" i="41"/>
  <c r="EX32" i="4"/>
  <c r="EX40" i="8"/>
  <c r="EQ38" i="38"/>
  <c r="EQ46" i="37"/>
  <c r="EQ45" i="36"/>
  <c r="D45" i="36" s="1"/>
  <c r="EQ41" i="37"/>
  <c r="D41" i="37" s="1"/>
  <c r="EQ21" i="45"/>
  <c r="D21" i="45" s="1"/>
  <c r="GG23" i="15" s="1"/>
  <c r="GQ23" i="15" s="1"/>
  <c r="EQ48" i="37"/>
  <c r="EQ37" i="36"/>
  <c r="D37" i="36" s="1"/>
  <c r="GG39" i="6" s="1"/>
  <c r="GQ39" i="6" s="1"/>
  <c r="EQ34" i="38"/>
  <c r="EX36" i="8"/>
  <c r="EX33" i="7"/>
  <c r="EQ31" i="37"/>
  <c r="EX33" i="4"/>
  <c r="EQ31" i="18"/>
  <c r="EQ33" i="36"/>
  <c r="EQ41" i="43"/>
  <c r="EX28" i="12"/>
  <c r="EQ26" i="42"/>
  <c r="EX46" i="12"/>
  <c r="EQ44" i="42"/>
  <c r="D44" i="42" s="1"/>
  <c r="EX37" i="7"/>
  <c r="EQ35" i="37"/>
  <c r="EQ43" i="43"/>
  <c r="EQ41" i="41"/>
  <c r="EQ38" i="43"/>
  <c r="D38" i="43" s="1"/>
  <c r="EX34" i="5"/>
  <c r="EQ32" i="35"/>
  <c r="EX38" i="7"/>
  <c r="EQ36" i="37"/>
  <c r="EQ20" i="44"/>
  <c r="EQ43" i="44"/>
  <c r="EX36" i="6"/>
  <c r="EQ34" i="36"/>
  <c r="EX44" i="6"/>
  <c r="EX50" i="15"/>
  <c r="EQ48" i="45"/>
  <c r="EQ31" i="40"/>
  <c r="D31" i="40" s="1"/>
  <c r="EX43" i="9"/>
  <c r="EQ41" i="39"/>
  <c r="EX46" i="13"/>
  <c r="EQ44" i="43"/>
  <c r="D44" i="43" s="1"/>
  <c r="EX31" i="8"/>
  <c r="EQ29" i="38"/>
  <c r="EX30" i="15"/>
  <c r="EQ28" i="45"/>
  <c r="D28" i="45" s="1"/>
  <c r="GG30" i="15" s="1"/>
  <c r="GQ30" i="15" s="1"/>
  <c r="EQ35" i="42"/>
  <c r="D35" i="42" s="1"/>
  <c r="GG37" i="12" s="1"/>
  <c r="GQ37" i="12" s="1"/>
  <c r="EX47" i="15"/>
  <c r="EX33" i="11"/>
  <c r="EQ29" i="39"/>
  <c r="D29" i="39" s="1"/>
  <c r="GG31" i="9" s="1"/>
  <c r="GQ31" i="9" s="1"/>
  <c r="EX26" i="15"/>
  <c r="EX24" i="7"/>
  <c r="EX23" i="4"/>
  <c r="EX44" i="11"/>
  <c r="EX30" i="5"/>
  <c r="EQ28" i="35"/>
  <c r="EX49" i="14"/>
  <c r="EQ47" i="44"/>
  <c r="EX37" i="12"/>
  <c r="EQ38" i="39"/>
  <c r="D38" i="39" s="1"/>
  <c r="EX46" i="11"/>
  <c r="EQ44" i="41"/>
  <c r="D44" i="41" s="1"/>
  <c r="EX24" i="13"/>
  <c r="EQ20" i="36"/>
  <c r="EQ19" i="18"/>
  <c r="D19" i="18" s="1"/>
  <c r="EX50" i="7"/>
  <c r="EX36" i="7"/>
  <c r="EQ34" i="37"/>
  <c r="D34" i="37" s="1"/>
  <c r="GG36" i="7" s="1"/>
  <c r="GQ36" i="7" s="1"/>
  <c r="EX40" i="11"/>
  <c r="EQ38" i="41"/>
  <c r="D38" i="41" s="1"/>
  <c r="EX33" i="10"/>
  <c r="EX24" i="9"/>
  <c r="EX36" i="10"/>
  <c r="EQ34" i="40"/>
  <c r="D34" i="40" s="1"/>
  <c r="GG36" i="10" s="1"/>
  <c r="GQ36" i="10" s="1"/>
  <c r="EX22" i="10"/>
  <c r="EX37" i="4"/>
  <c r="EX42" i="4"/>
  <c r="EX47" i="11"/>
  <c r="EQ45" i="41"/>
  <c r="D45" i="41" s="1"/>
  <c r="GG47" i="11" s="1"/>
  <c r="GQ47" i="11" s="1"/>
  <c r="EX46" i="5"/>
  <c r="EQ44" i="35"/>
  <c r="D44" i="35" s="1"/>
  <c r="GG46" i="5" s="1"/>
  <c r="GQ46" i="5" s="1"/>
  <c r="EX48" i="7"/>
  <c r="EX45" i="14"/>
  <c r="EX30" i="10"/>
  <c r="EQ28" i="40"/>
  <c r="EQ27" i="41"/>
  <c r="EX30" i="4"/>
  <c r="EQ28" i="18"/>
  <c r="EX37" i="8"/>
  <c r="EQ35" i="38"/>
  <c r="EX23" i="13"/>
  <c r="EQ21" i="43"/>
  <c r="EX26" i="6"/>
  <c r="EQ24" i="36"/>
  <c r="EX47" i="13"/>
  <c r="EQ45" i="43"/>
  <c r="EX48" i="9"/>
  <c r="EQ46" i="39"/>
  <c r="EX50" i="11"/>
  <c r="EQ48" i="41"/>
  <c r="EX32" i="7"/>
  <c r="EQ30" i="37"/>
  <c r="EX36" i="12"/>
  <c r="EQ34" i="42"/>
  <c r="EX42" i="14"/>
  <c r="EQ40" i="44"/>
  <c r="EX30" i="12"/>
  <c r="EQ28" i="42"/>
  <c r="D28" i="42" s="1"/>
  <c r="GG30" i="12" s="1"/>
  <c r="GQ30" i="12" s="1"/>
  <c r="EX43" i="11"/>
  <c r="EQ33" i="38"/>
  <c r="D33" i="38" s="1"/>
  <c r="EX31" i="9"/>
  <c r="EX27" i="13"/>
  <c r="EQ25" i="43"/>
  <c r="EX22" i="5"/>
  <c r="EQ20" i="35"/>
  <c r="EX29" i="13"/>
  <c r="EX31" i="6"/>
  <c r="EQ29" i="36"/>
  <c r="D29" i="36" s="1"/>
  <c r="EX31" i="14"/>
  <c r="EQ29" i="44"/>
  <c r="EX43" i="14"/>
  <c r="EQ41" i="44"/>
  <c r="EX39" i="12"/>
  <c r="EQ37" i="42"/>
  <c r="EX40" i="12"/>
  <c r="EQ38" i="42"/>
  <c r="D38" i="42" s="1"/>
  <c r="EX22" i="11"/>
  <c r="EQ20" i="41"/>
  <c r="EX41" i="12"/>
  <c r="EQ39" i="42"/>
  <c r="D39" i="42" s="1"/>
  <c r="EX48" i="13"/>
  <c r="EQ46" i="43"/>
  <c r="EX38" i="13"/>
  <c r="EQ36" i="43"/>
  <c r="D36" i="43" s="1"/>
  <c r="EX47" i="6"/>
  <c r="EX35" i="6"/>
  <c r="EQ48" i="42"/>
  <c r="D48" i="42" s="1"/>
  <c r="EX46" i="14"/>
  <c r="EX29" i="4"/>
  <c r="EQ27" i="18"/>
  <c r="D27" i="18" s="1"/>
  <c r="EX23" i="9"/>
  <c r="EQ21" i="39"/>
  <c r="EX33" i="8"/>
  <c r="EQ31" i="38"/>
  <c r="D31" i="38" s="1"/>
  <c r="EX33" i="6"/>
  <c r="EQ31" i="36"/>
  <c r="EX42" i="8"/>
  <c r="EQ40" i="38"/>
  <c r="D40" i="38" s="1"/>
  <c r="EX40" i="6"/>
  <c r="EQ38" i="36"/>
  <c r="EX38" i="5"/>
  <c r="EQ36" i="35"/>
  <c r="D36" i="35" s="1"/>
  <c r="EX39" i="4"/>
  <c r="EQ37" i="18"/>
  <c r="EX39" i="8"/>
  <c r="EQ37" i="38"/>
  <c r="D37" i="38" s="1"/>
  <c r="EX42" i="15"/>
  <c r="EQ40" i="45"/>
  <c r="EX35" i="5"/>
  <c r="EX45" i="4"/>
  <c r="EQ43" i="18"/>
  <c r="EQ30" i="42"/>
  <c r="D30" i="42" s="1"/>
  <c r="EQ19" i="41"/>
  <c r="D19" i="41" s="1"/>
  <c r="EQ46" i="38"/>
  <c r="D46" i="38" s="1"/>
  <c r="GG48" i="8" s="1"/>
  <c r="GQ48" i="8" s="1"/>
  <c r="EX34" i="10"/>
  <c r="EQ32" i="40"/>
  <c r="EQ25" i="38"/>
  <c r="D25" i="38" s="1"/>
  <c r="GG27" i="8" s="1"/>
  <c r="GQ27" i="8" s="1"/>
  <c r="EX46" i="15"/>
  <c r="EQ19" i="37"/>
  <c r="EQ27" i="44"/>
  <c r="EQ46" i="41"/>
  <c r="EQ39" i="37"/>
  <c r="D39" i="37" s="1"/>
  <c r="EX35" i="15"/>
  <c r="EQ33" i="45"/>
  <c r="EX41" i="7"/>
  <c r="EX33" i="12"/>
  <c r="EQ31" i="42"/>
  <c r="D31" i="42" s="1"/>
  <c r="EX34" i="13"/>
  <c r="EQ32" i="43"/>
  <c r="EX49" i="12"/>
  <c r="EQ47" i="42"/>
  <c r="D47" i="42" s="1"/>
  <c r="GG49" i="12" s="1"/>
  <c r="GQ49" i="12" s="1"/>
  <c r="EX22" i="12"/>
  <c r="EQ20" i="42"/>
  <c r="EX25" i="13"/>
  <c r="EQ23" i="43"/>
  <c r="EX42" i="6"/>
  <c r="EQ40" i="36"/>
  <c r="D40" i="36" s="1"/>
  <c r="EX27" i="4"/>
  <c r="EQ25" i="18"/>
  <c r="EX46" i="8"/>
  <c r="EQ44" i="38"/>
  <c r="D44" i="38" s="1"/>
  <c r="EQ24" i="39"/>
  <c r="EQ23" i="36"/>
  <c r="D23" i="36" s="1"/>
  <c r="GG25" i="6" s="1"/>
  <c r="GQ25" i="6" s="1"/>
  <c r="EX47" i="5"/>
  <c r="EX35" i="8"/>
  <c r="EQ47" i="37"/>
  <c r="EX50" i="9"/>
  <c r="EX32" i="5"/>
  <c r="EQ30" i="35"/>
  <c r="D30" i="35" s="1"/>
  <c r="GG32" i="5" s="1"/>
  <c r="GQ32" i="5" s="1"/>
  <c r="EX48" i="8"/>
  <c r="EQ46" i="35"/>
  <c r="D46" i="35" s="1"/>
  <c r="GG48" i="5" s="1"/>
  <c r="GQ48" i="5" s="1"/>
  <c r="EX46" i="6"/>
  <c r="EQ44" i="36"/>
  <c r="D44" i="36" s="1"/>
  <c r="GG46" i="6" s="1"/>
  <c r="GQ46" i="6" s="1"/>
  <c r="EX47" i="10"/>
  <c r="EX48" i="4"/>
  <c r="EX38" i="10"/>
  <c r="EX48" i="11"/>
  <c r="EX34" i="12"/>
  <c r="EX44" i="9"/>
  <c r="EX22" i="14"/>
  <c r="EX44" i="15"/>
  <c r="EQ42" i="45"/>
  <c r="D42" i="45" s="1"/>
  <c r="GG44" i="15" s="1"/>
  <c r="GQ44" i="15" s="1"/>
  <c r="EX30" i="14"/>
  <c r="EX34" i="14"/>
  <c r="EQ32" i="44"/>
  <c r="EX37" i="11"/>
  <c r="EX25" i="6"/>
  <c r="EX21" i="15"/>
  <c r="EQ19" i="45"/>
  <c r="EX49" i="5"/>
  <c r="EX26" i="4"/>
  <c r="EQ24" i="18"/>
  <c r="EX30" i="13"/>
  <c r="EX47" i="9"/>
  <c r="EQ45" i="39"/>
  <c r="EX34" i="4"/>
  <c r="EQ32" i="18"/>
  <c r="EX29" i="6"/>
  <c r="EQ27" i="36"/>
  <c r="EX42" i="7"/>
  <c r="EQ40" i="37"/>
  <c r="EX45" i="12"/>
  <c r="EQ43" i="42"/>
  <c r="EX40" i="9"/>
  <c r="EX31" i="13"/>
  <c r="EQ29" i="43"/>
  <c r="EX24" i="6"/>
  <c r="EQ22" i="36"/>
  <c r="EX47" i="4"/>
  <c r="EQ45" i="18"/>
  <c r="EX23" i="11"/>
  <c r="EQ21" i="41"/>
  <c r="EX25" i="10"/>
  <c r="EQ23" i="40"/>
  <c r="EQ35" i="40"/>
  <c r="D35" i="40" s="1"/>
  <c r="EX32" i="11"/>
  <c r="EQ30" i="41"/>
  <c r="EX49" i="11"/>
  <c r="EQ47" i="41"/>
  <c r="EX24" i="10"/>
  <c r="EQ22" i="40"/>
  <c r="EQ27" i="40"/>
  <c r="D27" i="40" s="1"/>
  <c r="GG29" i="10" s="1"/>
  <c r="GQ29" i="10" s="1"/>
  <c r="EX41" i="8"/>
  <c r="EQ39" i="38"/>
  <c r="D39" i="38" s="1"/>
  <c r="GG41" i="8" s="1"/>
  <c r="GQ41" i="8" s="1"/>
  <c r="EX47" i="8"/>
  <c r="EX45" i="15"/>
  <c r="EQ43" i="45"/>
  <c r="EX41" i="9"/>
  <c r="EQ39" i="39"/>
  <c r="EX32" i="9"/>
  <c r="EQ48" i="35"/>
  <c r="EX38" i="6"/>
  <c r="EQ36" i="36"/>
  <c r="EX33" i="9"/>
  <c r="EQ31" i="39"/>
  <c r="EX35" i="12"/>
  <c r="EQ33" i="42"/>
  <c r="EX44" i="5"/>
  <c r="EQ42" i="35"/>
  <c r="EX28" i="15"/>
  <c r="EQ26" i="45"/>
  <c r="EX32" i="13"/>
  <c r="EQ30" i="43"/>
  <c r="EX23" i="6"/>
  <c r="EQ21" i="36"/>
  <c r="EX28" i="10"/>
  <c r="EQ26" i="40"/>
  <c r="EX35" i="7"/>
  <c r="EQ33" i="37"/>
  <c r="EX36" i="9"/>
  <c r="EQ34" i="39"/>
  <c r="EX38" i="8"/>
  <c r="EQ36" i="38"/>
  <c r="EX48" i="14"/>
  <c r="EQ46" i="44"/>
  <c r="EX25" i="9"/>
  <c r="EQ23" i="39"/>
  <c r="EX39" i="14"/>
  <c r="EQ37" i="44"/>
  <c r="D37" i="44" s="1"/>
  <c r="GG39" i="14" s="1"/>
  <c r="GQ39" i="14" s="1"/>
  <c r="EX22" i="6"/>
  <c r="EQ19" i="35"/>
  <c r="D19" i="35" s="1"/>
  <c r="EX28" i="9"/>
  <c r="EX29" i="10"/>
  <c r="EX40" i="13"/>
  <c r="EX32" i="12"/>
  <c r="EX32" i="14"/>
  <c r="EQ47" i="40"/>
  <c r="EX48" i="5"/>
  <c r="EX21" i="7"/>
  <c r="EX38" i="4"/>
  <c r="EQ36" i="18"/>
  <c r="EX27" i="5"/>
  <c r="EQ25" i="35"/>
  <c r="D25" i="35" s="1"/>
  <c r="EX29" i="7"/>
  <c r="EQ39" i="40"/>
  <c r="EX38" i="12"/>
  <c r="EQ36" i="42"/>
  <c r="D36" i="42" s="1"/>
  <c r="EX29" i="15"/>
  <c r="EQ27" i="45"/>
  <c r="D27" i="45" s="1"/>
  <c r="EX35" i="10"/>
  <c r="EQ33" i="40"/>
  <c r="EX24" i="12"/>
  <c r="EQ22" i="42"/>
  <c r="EX29" i="8"/>
  <c r="EQ27" i="38"/>
  <c r="EX30" i="6"/>
  <c r="EQ28" i="36"/>
  <c r="D28" i="36" s="1"/>
  <c r="EX42" i="12"/>
  <c r="EQ40" i="42"/>
  <c r="D40" i="42" s="1"/>
  <c r="EX31" i="15"/>
  <c r="EQ29" i="45"/>
  <c r="EX41" i="13"/>
  <c r="EX42" i="5"/>
  <c r="EQ40" i="35"/>
  <c r="EX32" i="8"/>
  <c r="EQ30" i="38"/>
  <c r="EX36" i="15"/>
  <c r="EX22" i="13"/>
  <c r="EX41" i="10"/>
  <c r="EX37" i="10"/>
  <c r="EX25" i="15"/>
  <c r="EQ23" i="45"/>
  <c r="EX22" i="7"/>
  <c r="EQ28" i="39"/>
  <c r="EX49" i="7"/>
  <c r="EX50" i="5"/>
  <c r="EX23" i="15"/>
  <c r="EX39" i="6"/>
  <c r="EX27" i="15"/>
  <c r="EX29" i="11"/>
  <c r="EX31" i="10"/>
  <c r="EQ29" i="40"/>
  <c r="EQ19" i="36"/>
  <c r="D19" i="36" s="1"/>
  <c r="GG21" i="6" s="1"/>
  <c r="GQ21" i="6" s="1"/>
  <c r="EX35" i="4"/>
  <c r="EX45" i="7"/>
  <c r="EQ43" i="37"/>
  <c r="EX48" i="10"/>
  <c r="EX37" i="13"/>
  <c r="EQ35" i="43"/>
  <c r="EQ42" i="18"/>
  <c r="EX45" i="13"/>
  <c r="EX24" i="11"/>
  <c r="EQ22" i="41"/>
  <c r="D22" i="41" s="1"/>
  <c r="EX36" i="4"/>
  <c r="EQ34" i="18"/>
  <c r="EX49" i="10"/>
  <c r="EX34" i="7"/>
  <c r="EQ32" i="37"/>
  <c r="EX22" i="9"/>
  <c r="EQ20" i="39"/>
  <c r="EX28" i="8"/>
  <c r="EX36" i="13"/>
  <c r="EQ34" i="43"/>
  <c r="EX26" i="7"/>
  <c r="EQ24" i="37"/>
  <c r="EX26" i="13"/>
  <c r="EQ24" i="43"/>
  <c r="EX30" i="11"/>
  <c r="EQ28" i="41"/>
  <c r="EX39" i="10"/>
  <c r="EQ37" i="40"/>
  <c r="EX35" i="14"/>
  <c r="EQ33" i="44"/>
  <c r="EX39" i="13"/>
  <c r="EQ37" i="43"/>
  <c r="EX42" i="13"/>
  <c r="EQ40" i="43"/>
  <c r="D40" i="43" s="1"/>
  <c r="GG42" i="13" s="1"/>
  <c r="GQ42" i="13" s="1"/>
  <c r="EX43" i="7"/>
  <c r="EX21" i="12"/>
  <c r="EX25" i="12"/>
  <c r="EX33" i="15"/>
  <c r="EX50" i="14"/>
  <c r="EQ48" i="44"/>
  <c r="D48" i="44" s="1"/>
  <c r="GG50" i="14" s="1"/>
  <c r="GQ50" i="14" s="1"/>
  <c r="EQ19" i="43"/>
  <c r="D19" i="43" s="1"/>
  <c r="EX25" i="14"/>
  <c r="EQ19" i="44"/>
  <c r="D19" i="44" s="1"/>
  <c r="EX43" i="13"/>
  <c r="EX44" i="7"/>
  <c r="EX37" i="15"/>
  <c r="EX40" i="7"/>
  <c r="EX21" i="14"/>
  <c r="EX31" i="7"/>
  <c r="EQ29" i="37"/>
  <c r="EX35" i="11"/>
  <c r="EQ33" i="41"/>
  <c r="EX36" i="11"/>
  <c r="EQ34" i="41"/>
  <c r="EX46" i="4"/>
  <c r="EQ44" i="18"/>
  <c r="EX25" i="8"/>
  <c r="EQ23" i="38"/>
  <c r="EX29" i="5"/>
  <c r="EQ27" i="35"/>
  <c r="EX22" i="4"/>
  <c r="EQ20" i="18"/>
  <c r="EX24" i="5"/>
  <c r="EQ22" i="35"/>
  <c r="EX49" i="15"/>
  <c r="EQ47" i="45"/>
  <c r="EX28" i="14"/>
  <c r="EQ26" i="44"/>
  <c r="D26" i="44" s="1"/>
  <c r="EX30" i="8"/>
  <c r="EQ28" i="38"/>
  <c r="EX21" i="4"/>
  <c r="EX48" i="15"/>
  <c r="EQ46" i="45"/>
  <c r="EX45" i="5"/>
  <c r="EQ43" i="35"/>
  <c r="EX43" i="15"/>
  <c r="EQ41" i="45"/>
  <c r="EX24" i="14"/>
  <c r="EQ22" i="44"/>
  <c r="EX38" i="9"/>
  <c r="EQ36" i="39"/>
  <c r="D36" i="39" s="1"/>
  <c r="GG38" i="9" s="1"/>
  <c r="GQ38" i="9" s="1"/>
  <c r="EQ44" i="37"/>
  <c r="EX37" i="5"/>
  <c r="EQ35" i="35"/>
  <c r="D35" i="35" s="1"/>
  <c r="EX44" i="10"/>
  <c r="EQ42" i="40"/>
  <c r="EX38" i="15"/>
  <c r="EQ36" i="45"/>
  <c r="D36" i="45" s="1"/>
  <c r="EX50" i="12"/>
  <c r="EX42" i="9"/>
  <c r="EQ40" i="39"/>
  <c r="EX49" i="6"/>
  <c r="EQ47" i="36"/>
  <c r="D47" i="36" s="1"/>
  <c r="GG49" i="6" s="1"/>
  <c r="GQ49" i="6" s="1"/>
  <c r="EX26" i="12"/>
  <c r="EQ24" i="42"/>
  <c r="EX27" i="6"/>
  <c r="EQ25" i="36"/>
  <c r="EX43" i="4"/>
  <c r="EQ41" i="18"/>
  <c r="D41" i="18" s="1"/>
  <c r="EX41" i="6"/>
  <c r="EQ39" i="36"/>
  <c r="D39" i="36" s="1"/>
  <c r="EX50" i="6"/>
  <c r="EQ48" i="36"/>
  <c r="EX21" i="8"/>
  <c r="EX29" i="14"/>
  <c r="EX27" i="12"/>
  <c r="EQ25" i="42"/>
  <c r="EX46" i="9"/>
  <c r="EQ44" i="39"/>
  <c r="EX36" i="14"/>
  <c r="EQ34" i="44"/>
  <c r="EX47" i="7"/>
  <c r="EQ45" i="37"/>
  <c r="EX39" i="15"/>
  <c r="EQ37" i="45"/>
  <c r="D37" i="45" s="1"/>
  <c r="EX38" i="11"/>
  <c r="EQ36" i="41"/>
  <c r="D36" i="41" s="1"/>
  <c r="EX25" i="5"/>
  <c r="EQ23" i="35"/>
  <c r="D23" i="35" s="1"/>
  <c r="GG25" i="5" s="1"/>
  <c r="GQ25" i="5" s="1"/>
  <c r="EX39" i="5"/>
  <c r="EQ37" i="35"/>
  <c r="D37" i="35" s="1"/>
  <c r="GG39" i="5" s="1"/>
  <c r="GQ39" i="5" s="1"/>
  <c r="EX28" i="4"/>
  <c r="EQ26" i="18"/>
  <c r="D26" i="18" s="1"/>
  <c r="GG28" i="4" s="1"/>
  <c r="GQ28" i="4" s="1"/>
  <c r="EX46" i="7"/>
  <c r="EX45" i="11"/>
  <c r="EQ43" i="41"/>
  <c r="EX23" i="14"/>
  <c r="EX28" i="5"/>
  <c r="EX22" i="15"/>
  <c r="EX23" i="10"/>
  <c r="EQ21" i="40"/>
  <c r="EX30" i="9"/>
  <c r="EX45" i="10"/>
  <c r="EQ43" i="40"/>
  <c r="EX26" i="9"/>
  <c r="EX27" i="7"/>
  <c r="EQ25" i="37"/>
  <c r="D25" i="37" s="1"/>
  <c r="EX37" i="14"/>
  <c r="EQ35" i="44"/>
  <c r="EX43" i="6"/>
  <c r="EQ41" i="36"/>
  <c r="D41" i="36" s="1"/>
  <c r="EX32" i="15"/>
  <c r="EQ30" i="45"/>
  <c r="EX50" i="10"/>
  <c r="EQ48" i="40"/>
  <c r="EX50" i="13"/>
  <c r="EQ48" i="43"/>
  <c r="D48" i="43" s="1"/>
  <c r="GG50" i="13" s="1"/>
  <c r="GQ50" i="13" s="1"/>
  <c r="EX42" i="10"/>
  <c r="EQ40" i="40"/>
  <c r="D40" i="40" s="1"/>
  <c r="EX39" i="11"/>
  <c r="EQ37" i="41"/>
  <c r="D37" i="41" s="1"/>
  <c r="EX26" i="14"/>
  <c r="EQ24" i="44"/>
  <c r="D24" i="44" s="1"/>
  <c r="EX28" i="11"/>
  <c r="EQ26" i="41"/>
  <c r="D26" i="41" s="1"/>
  <c r="EX49" i="8"/>
  <c r="EQ47" i="38"/>
  <c r="D47" i="38" s="1"/>
  <c r="GG49" i="8" s="1"/>
  <c r="GQ49" i="8" s="1"/>
  <c r="EX40" i="10"/>
  <c r="EQ38" i="40"/>
  <c r="EX27" i="8"/>
  <c r="EX43" i="8"/>
  <c r="EQ41" i="38"/>
  <c r="D41" i="38" s="1"/>
  <c r="EX23" i="8"/>
  <c r="EQ21" i="38"/>
  <c r="D21" i="38" s="1"/>
  <c r="EX42" i="11"/>
  <c r="EQ40" i="41"/>
  <c r="D40" i="41" s="1"/>
  <c r="EX43" i="12"/>
  <c r="EQ41" i="42"/>
  <c r="D41" i="42" s="1"/>
  <c r="EX29" i="9"/>
  <c r="EQ27" i="39"/>
  <c r="D27" i="39" s="1"/>
  <c r="EX27" i="9"/>
  <c r="EQ25" i="39"/>
  <c r="D25" i="39" s="1"/>
  <c r="EX26" i="11"/>
  <c r="EQ24" i="41"/>
  <c r="D24" i="41" s="1"/>
  <c r="GG26" i="11" s="1"/>
  <c r="GQ26" i="11" s="1"/>
  <c r="EX45" i="9"/>
  <c r="EQ43" i="39"/>
  <c r="D43" i="39" s="1"/>
  <c r="GG45" i="9" s="1"/>
  <c r="GQ45" i="9" s="1"/>
  <c r="EX44" i="8"/>
  <c r="EX21" i="5"/>
  <c r="EX21" i="6"/>
  <c r="EX21" i="9"/>
  <c r="EQ19" i="39"/>
  <c r="D19" i="39" s="1"/>
  <c r="GG21" i="9" s="1"/>
  <c r="GQ21" i="9" s="1"/>
  <c r="EX44" i="4"/>
  <c r="EX21" i="10"/>
  <c r="EQ19" i="40"/>
  <c r="EX23" i="12"/>
  <c r="EQ21" i="42"/>
  <c r="D21" i="42" s="1"/>
  <c r="GG23" i="12" s="1"/>
  <c r="GQ23" i="12" s="1"/>
  <c r="EX33" i="13"/>
  <c r="EQ31" i="43"/>
  <c r="EX28" i="7"/>
  <c r="EQ26" i="37"/>
  <c r="D26" i="37" s="1"/>
  <c r="EX40" i="5"/>
  <c r="EQ38" i="35"/>
  <c r="EX21" i="11"/>
  <c r="EX40" i="14"/>
  <c r="EQ38" i="44"/>
  <c r="EX31" i="5"/>
  <c r="EQ29" i="35"/>
  <c r="D29" i="35" s="1"/>
  <c r="EX36" i="5"/>
  <c r="EQ34" i="35"/>
  <c r="EX49" i="13"/>
  <c r="EQ47" i="43"/>
  <c r="D47" i="43" s="1"/>
  <c r="GG49" i="13" s="1"/>
  <c r="GQ49" i="13" s="1"/>
  <c r="EX22" i="8"/>
  <c r="EQ20" i="38"/>
  <c r="D20" i="38" s="1"/>
  <c r="GG22" i="8" s="1"/>
  <c r="GQ22" i="8" s="1"/>
  <c r="EX26" i="10"/>
  <c r="EQ24" i="40"/>
  <c r="EX21" i="13"/>
  <c r="EX33" i="5"/>
  <c r="EQ31" i="35"/>
  <c r="D31" i="35" s="1"/>
  <c r="EX29" i="12"/>
  <c r="EQ27" i="42"/>
  <c r="EX24" i="4"/>
  <c r="EQ22" i="18"/>
  <c r="EX41" i="5"/>
  <c r="EQ39" i="35"/>
  <c r="D39" i="35" s="1"/>
  <c r="EX24" i="8"/>
  <c r="EQ22" i="38"/>
  <c r="EX47" i="12"/>
  <c r="EQ45" i="42"/>
  <c r="EX26" i="8"/>
  <c r="EQ24" i="38"/>
  <c r="AD41" i="9" l="1"/>
  <c r="GO41" i="9"/>
  <c r="GP41" i="9" s="1"/>
  <c r="FP41" i="9"/>
  <c r="GO45" i="15"/>
  <c r="GP45" i="15" s="1"/>
  <c r="FP45" i="15"/>
  <c r="FP24" i="10"/>
  <c r="GO24" i="10"/>
  <c r="GP24" i="10" s="1"/>
  <c r="AD49" i="11"/>
  <c r="GO49" i="11"/>
  <c r="GP49" i="11" s="1"/>
  <c r="FP49" i="11"/>
  <c r="GO32" i="11"/>
  <c r="GP32" i="11" s="1"/>
  <c r="FP32" i="11"/>
  <c r="GO40" i="9"/>
  <c r="GP40" i="9" s="1"/>
  <c r="FP40" i="9"/>
  <c r="GO45" i="12"/>
  <c r="GP45" i="12" s="1"/>
  <c r="FP45" i="12"/>
  <c r="FP42" i="7"/>
  <c r="GO42" i="7"/>
  <c r="GP42" i="7" s="1"/>
  <c r="GO29" i="6"/>
  <c r="GP29" i="6" s="1"/>
  <c r="FP29" i="6"/>
  <c r="GO34" i="4"/>
  <c r="GP34" i="4" s="1"/>
  <c r="FP34" i="4"/>
  <c r="AD47" i="9"/>
  <c r="GO47" i="9"/>
  <c r="GP47" i="9" s="1"/>
  <c r="FP47" i="9"/>
  <c r="GO49" i="5"/>
  <c r="GP49" i="5" s="1"/>
  <c r="FP49" i="5"/>
  <c r="GO21" i="15"/>
  <c r="FP21" i="15"/>
  <c r="GO37" i="11"/>
  <c r="GP37" i="11" s="1"/>
  <c r="FP37" i="11"/>
  <c r="GO34" i="14"/>
  <c r="GP34" i="14" s="1"/>
  <c r="FP34" i="14"/>
  <c r="GO22" i="14"/>
  <c r="GP22" i="14" s="1"/>
  <c r="FP22" i="14"/>
  <c r="GO34" i="12"/>
  <c r="GP34" i="12" s="1"/>
  <c r="FP34" i="12"/>
  <c r="GO38" i="10"/>
  <c r="GP38" i="10" s="1"/>
  <c r="FP38" i="10"/>
  <c r="GO47" i="10"/>
  <c r="GP47" i="10" s="1"/>
  <c r="FP47" i="10"/>
  <c r="GO46" i="6"/>
  <c r="GP46" i="6" s="1"/>
  <c r="FP46" i="6"/>
  <c r="FP48" i="8"/>
  <c r="GO48" i="8"/>
  <c r="GP48" i="8" s="1"/>
  <c r="GO32" i="5"/>
  <c r="GP32" i="5" s="1"/>
  <c r="FP32" i="5"/>
  <c r="GO47" i="5"/>
  <c r="GP47" i="5" s="1"/>
  <c r="FP47" i="5"/>
  <c r="GO46" i="8"/>
  <c r="GP46" i="8" s="1"/>
  <c r="FP46" i="8"/>
  <c r="GO27" i="4"/>
  <c r="GP27" i="4" s="1"/>
  <c r="FP27" i="4"/>
  <c r="AD42" i="6"/>
  <c r="GO42" i="6"/>
  <c r="GP42" i="6" s="1"/>
  <c r="FP42" i="6"/>
  <c r="GO25" i="13"/>
  <c r="GP25" i="13" s="1"/>
  <c r="FP25" i="13"/>
  <c r="GO22" i="12"/>
  <c r="GP22" i="12" s="1"/>
  <c r="FP22" i="12"/>
  <c r="GO49" i="12"/>
  <c r="GP49" i="12" s="1"/>
  <c r="FP49" i="12"/>
  <c r="FP34" i="13"/>
  <c r="GO34" i="13"/>
  <c r="GP34" i="13" s="1"/>
  <c r="GO33" i="12"/>
  <c r="GP33" i="12" s="1"/>
  <c r="FP33" i="12"/>
  <c r="FP46" i="15"/>
  <c r="GO46" i="15"/>
  <c r="GP46" i="15" s="1"/>
  <c r="GO45" i="4"/>
  <c r="GP45" i="4" s="1"/>
  <c r="FP45" i="4"/>
  <c r="GO46" i="14"/>
  <c r="GP46" i="14" s="1"/>
  <c r="FP46" i="14"/>
  <c r="AD35" i="6"/>
  <c r="GO35" i="6"/>
  <c r="GP35" i="6" s="1"/>
  <c r="FP35" i="6"/>
  <c r="GO29" i="13"/>
  <c r="GP29" i="13" s="1"/>
  <c r="FP29" i="13"/>
  <c r="GO22" i="5"/>
  <c r="GP22" i="5" s="1"/>
  <c r="FP22" i="5"/>
  <c r="GO27" i="13"/>
  <c r="GP27" i="13" s="1"/>
  <c r="FP27" i="13"/>
  <c r="GO30" i="10"/>
  <c r="GP30" i="10" s="1"/>
  <c r="FP30" i="10"/>
  <c r="GO48" i="7"/>
  <c r="GP48" i="7" s="1"/>
  <c r="FP48" i="7"/>
  <c r="GO46" i="5"/>
  <c r="GP46" i="5" s="1"/>
  <c r="FP46" i="5"/>
  <c r="GO47" i="11"/>
  <c r="GP47" i="11" s="1"/>
  <c r="FP47" i="11"/>
  <c r="GO37" i="4"/>
  <c r="GP37" i="4" s="1"/>
  <c r="FP37" i="4"/>
  <c r="GO24" i="9"/>
  <c r="GP24" i="9" s="1"/>
  <c r="FP24" i="9"/>
  <c r="FP50" i="7"/>
  <c r="GO50" i="7"/>
  <c r="GP50" i="7" s="1"/>
  <c r="GO44" i="11"/>
  <c r="GP44" i="11" s="1"/>
  <c r="FP44" i="11"/>
  <c r="GO24" i="7"/>
  <c r="GP24" i="7" s="1"/>
  <c r="FP24" i="7"/>
  <c r="AD47" i="15"/>
  <c r="GO47" i="15"/>
  <c r="GP47" i="15" s="1"/>
  <c r="FP47" i="15"/>
  <c r="FP50" i="15"/>
  <c r="GO50" i="15"/>
  <c r="GP50" i="15" s="1"/>
  <c r="GO37" i="7"/>
  <c r="GP37" i="7" s="1"/>
  <c r="FP37" i="7"/>
  <c r="AD46" i="12"/>
  <c r="GO46" i="12"/>
  <c r="GP46" i="12" s="1"/>
  <c r="FP46" i="12"/>
  <c r="FP28" i="12"/>
  <c r="GO28" i="12"/>
  <c r="GP28" i="12" s="1"/>
  <c r="GO33" i="4"/>
  <c r="GP33" i="4" s="1"/>
  <c r="FP33" i="4"/>
  <c r="GO33" i="7"/>
  <c r="GP33" i="7" s="1"/>
  <c r="FP33" i="7"/>
  <c r="FP40" i="8"/>
  <c r="GO40" i="8"/>
  <c r="GP40" i="8" s="1"/>
  <c r="FP48" i="12"/>
  <c r="GO48" i="12"/>
  <c r="GP48" i="12" s="1"/>
  <c r="GO43" i="10"/>
  <c r="GP43" i="10" s="1"/>
  <c r="FP43" i="10"/>
  <c r="AD35" i="9"/>
  <c r="GO35" i="9"/>
  <c r="GP35" i="9" s="1"/>
  <c r="FP35" i="9"/>
  <c r="GO44" i="13"/>
  <c r="GP44" i="13" s="1"/>
  <c r="FP44" i="13"/>
  <c r="GO45" i="8"/>
  <c r="GP45" i="8" s="1"/>
  <c r="FP45" i="8"/>
  <c r="GO28" i="6"/>
  <c r="GP28" i="6" s="1"/>
  <c r="FP28" i="6"/>
  <c r="AD43" i="5"/>
  <c r="GO43" i="5"/>
  <c r="GP43" i="5" s="1"/>
  <c r="FP43" i="5"/>
  <c r="GO49" i="4"/>
  <c r="GP49" i="4" s="1"/>
  <c r="FP49" i="4"/>
  <c r="GO24" i="15"/>
  <c r="GP24" i="15" s="1"/>
  <c r="FP24" i="15"/>
  <c r="AD30" i="7"/>
  <c r="FP30" i="7"/>
  <c r="GO30" i="7"/>
  <c r="GP30" i="7" s="1"/>
  <c r="FP34" i="9"/>
  <c r="GO34" i="9"/>
  <c r="GP34" i="9" s="1"/>
  <c r="AD44" i="12"/>
  <c r="FP44" i="12"/>
  <c r="GO44" i="12"/>
  <c r="GP44" i="12" s="1"/>
  <c r="GO41" i="14"/>
  <c r="GP41" i="14" s="1"/>
  <c r="FP41" i="14"/>
  <c r="GO37" i="6"/>
  <c r="GP37" i="6" s="1"/>
  <c r="FP37" i="6"/>
  <c r="GO46" i="10"/>
  <c r="GP46" i="10" s="1"/>
  <c r="FP46" i="10"/>
  <c r="AD41" i="4"/>
  <c r="GO41" i="4"/>
  <c r="GP41" i="4" s="1"/>
  <c r="FP41" i="4"/>
  <c r="GO39" i="7"/>
  <c r="GP39" i="7" s="1"/>
  <c r="FP39" i="7"/>
  <c r="AD27" i="11"/>
  <c r="GO27" i="11"/>
  <c r="GP27" i="11" s="1"/>
  <c r="FP27" i="11"/>
  <c r="GO23" i="5"/>
  <c r="GP23" i="5" s="1"/>
  <c r="FP23" i="5"/>
  <c r="AD47" i="14"/>
  <c r="GO47" i="14"/>
  <c r="GP47" i="14" s="1"/>
  <c r="FP47" i="14"/>
  <c r="GO32" i="6"/>
  <c r="GP32" i="6" s="1"/>
  <c r="FP32" i="6"/>
  <c r="FP34" i="15"/>
  <c r="GO34" i="15"/>
  <c r="GP34" i="15" s="1"/>
  <c r="GO26" i="8"/>
  <c r="GP26" i="8" s="1"/>
  <c r="FP26" i="8"/>
  <c r="GO47" i="12"/>
  <c r="GP47" i="12" s="1"/>
  <c r="FP47" i="12"/>
  <c r="FP24" i="8"/>
  <c r="GO24" i="8"/>
  <c r="GP24" i="8" s="1"/>
  <c r="GO41" i="5"/>
  <c r="GP41" i="5" s="1"/>
  <c r="FP41" i="5"/>
  <c r="GO24" i="4"/>
  <c r="GP24" i="4" s="1"/>
  <c r="FP24" i="4"/>
  <c r="GO29" i="12"/>
  <c r="GP29" i="12" s="1"/>
  <c r="FP29" i="12"/>
  <c r="GO33" i="5"/>
  <c r="GP33" i="5" s="1"/>
  <c r="FP33" i="5"/>
  <c r="GO21" i="11"/>
  <c r="FP21" i="11"/>
  <c r="GO40" i="5"/>
  <c r="GP40" i="5" s="1"/>
  <c r="FP40" i="5"/>
  <c r="GO28" i="7"/>
  <c r="GP28" i="7" s="1"/>
  <c r="FP28" i="7"/>
  <c r="GO33" i="13"/>
  <c r="GP33" i="13" s="1"/>
  <c r="FP33" i="13"/>
  <c r="GO23" i="12"/>
  <c r="GP23" i="12" s="1"/>
  <c r="FP23" i="12"/>
  <c r="GO21" i="10"/>
  <c r="FP21" i="10"/>
  <c r="AD21" i="6"/>
  <c r="GO21" i="6"/>
  <c r="FP21" i="6"/>
  <c r="FP44" i="8"/>
  <c r="GO44" i="8"/>
  <c r="GP44" i="8" s="1"/>
  <c r="GO45" i="9"/>
  <c r="GP45" i="9" s="1"/>
  <c r="FP45" i="9"/>
  <c r="FP26" i="11"/>
  <c r="GO26" i="11"/>
  <c r="GP26" i="11" s="1"/>
  <c r="GO27" i="9"/>
  <c r="GP27" i="9" s="1"/>
  <c r="FP27" i="9"/>
  <c r="GO29" i="9"/>
  <c r="GP29" i="9" s="1"/>
  <c r="FP29" i="9"/>
  <c r="GO43" i="12"/>
  <c r="GP43" i="12" s="1"/>
  <c r="FP43" i="12"/>
  <c r="FP42" i="11"/>
  <c r="GO42" i="11"/>
  <c r="GP42" i="11" s="1"/>
  <c r="GO23" i="8"/>
  <c r="GP23" i="8" s="1"/>
  <c r="FP23" i="8"/>
  <c r="GO43" i="8"/>
  <c r="GP43" i="8" s="1"/>
  <c r="FP43" i="8"/>
  <c r="FP26" i="9"/>
  <c r="GO26" i="9"/>
  <c r="GP26" i="9" s="1"/>
  <c r="GO45" i="10"/>
  <c r="GP45" i="10" s="1"/>
  <c r="FP45" i="10"/>
  <c r="AD22" i="15"/>
  <c r="FP22" i="15"/>
  <c r="GO22" i="15"/>
  <c r="GP22" i="15" s="1"/>
  <c r="GO23" i="14"/>
  <c r="GP23" i="14" s="1"/>
  <c r="FP23" i="14"/>
  <c r="GO45" i="11"/>
  <c r="GP45" i="11" s="1"/>
  <c r="FP45" i="11"/>
  <c r="AD29" i="14"/>
  <c r="GO29" i="14"/>
  <c r="GP29" i="14" s="1"/>
  <c r="FP29" i="14"/>
  <c r="GO50" i="12"/>
  <c r="GP50" i="12" s="1"/>
  <c r="FP50" i="12"/>
  <c r="FP38" i="15"/>
  <c r="GO38" i="15"/>
  <c r="GP38" i="15" s="1"/>
  <c r="FP44" i="10"/>
  <c r="GO44" i="10"/>
  <c r="GP44" i="10" s="1"/>
  <c r="GO37" i="5"/>
  <c r="GP37" i="5" s="1"/>
  <c r="FP37" i="5"/>
  <c r="GO21" i="4"/>
  <c r="FP21" i="4"/>
  <c r="AD30" i="8"/>
  <c r="GO30" i="8"/>
  <c r="GP30" i="8" s="1"/>
  <c r="FP30" i="8"/>
  <c r="AD28" i="14"/>
  <c r="FP28" i="14"/>
  <c r="GO28" i="14"/>
  <c r="GP28" i="14" s="1"/>
  <c r="GO49" i="15"/>
  <c r="GP49" i="15" s="1"/>
  <c r="FP49" i="15"/>
  <c r="GO24" i="5"/>
  <c r="GP24" i="5" s="1"/>
  <c r="FP24" i="5"/>
  <c r="FP22" i="4"/>
  <c r="GO22" i="4"/>
  <c r="GP22" i="4" s="1"/>
  <c r="GO29" i="5"/>
  <c r="GP29" i="5" s="1"/>
  <c r="FP29" i="5"/>
  <c r="GO25" i="8"/>
  <c r="GP25" i="8" s="1"/>
  <c r="FP25" i="8"/>
  <c r="GO46" i="4"/>
  <c r="GP46" i="4" s="1"/>
  <c r="FP46" i="4"/>
  <c r="GO36" i="11"/>
  <c r="GP36" i="11" s="1"/>
  <c r="FP36" i="11"/>
  <c r="GO35" i="11"/>
  <c r="GP35" i="11" s="1"/>
  <c r="FP35" i="11"/>
  <c r="GO31" i="7"/>
  <c r="GP31" i="7" s="1"/>
  <c r="FP31" i="7"/>
  <c r="AD40" i="7"/>
  <c r="GO40" i="7"/>
  <c r="GP40" i="7" s="1"/>
  <c r="FP40" i="7"/>
  <c r="GO44" i="7"/>
  <c r="GP44" i="7" s="1"/>
  <c r="FP44" i="7"/>
  <c r="GO50" i="14"/>
  <c r="GP50" i="14" s="1"/>
  <c r="FP50" i="14"/>
  <c r="GO25" i="12"/>
  <c r="GP25" i="12" s="1"/>
  <c r="FP25" i="12"/>
  <c r="GO43" i="7"/>
  <c r="GP43" i="7" s="1"/>
  <c r="FP43" i="7"/>
  <c r="FP42" i="13"/>
  <c r="GO42" i="13"/>
  <c r="GP42" i="13" s="1"/>
  <c r="GO39" i="13"/>
  <c r="GP39" i="13" s="1"/>
  <c r="FP39" i="13"/>
  <c r="GO35" i="14"/>
  <c r="GP35" i="14" s="1"/>
  <c r="FP35" i="14"/>
  <c r="GO39" i="10"/>
  <c r="GP39" i="10" s="1"/>
  <c r="FP39" i="10"/>
  <c r="FP30" i="11"/>
  <c r="GO30" i="11"/>
  <c r="GP30" i="11" s="1"/>
  <c r="FP26" i="13"/>
  <c r="GO26" i="13"/>
  <c r="GP26" i="13" s="1"/>
  <c r="FP26" i="7"/>
  <c r="GO26" i="7"/>
  <c r="GP26" i="7" s="1"/>
  <c r="GO36" i="13"/>
  <c r="GP36" i="13" s="1"/>
  <c r="FP36" i="13"/>
  <c r="GO49" i="10"/>
  <c r="GP49" i="10" s="1"/>
  <c r="FP49" i="10"/>
  <c r="GO36" i="4"/>
  <c r="GP36" i="4" s="1"/>
  <c r="FP36" i="4"/>
  <c r="GO24" i="11"/>
  <c r="GP24" i="11" s="1"/>
  <c r="FP24" i="11"/>
  <c r="GO37" i="13"/>
  <c r="GP37" i="13" s="1"/>
  <c r="FP37" i="13"/>
  <c r="GO35" i="4"/>
  <c r="GP35" i="4" s="1"/>
  <c r="FP35" i="4"/>
  <c r="AD29" i="11"/>
  <c r="GO29" i="11"/>
  <c r="GP29" i="11" s="1"/>
  <c r="FP29" i="11"/>
  <c r="GO39" i="6"/>
  <c r="GP39" i="6" s="1"/>
  <c r="FP39" i="6"/>
  <c r="GO50" i="5"/>
  <c r="GP50" i="5" s="1"/>
  <c r="FP50" i="5"/>
  <c r="GO37" i="10"/>
  <c r="GP37" i="10" s="1"/>
  <c r="FP37" i="10"/>
  <c r="FP22" i="13"/>
  <c r="GO22" i="13"/>
  <c r="GP22" i="13" s="1"/>
  <c r="GO41" i="13"/>
  <c r="GP41" i="13" s="1"/>
  <c r="FP41" i="13"/>
  <c r="GO31" i="15"/>
  <c r="GP31" i="15" s="1"/>
  <c r="FP31" i="15"/>
  <c r="GO42" i="12"/>
  <c r="GP42" i="12" s="1"/>
  <c r="FP42" i="12"/>
  <c r="GO30" i="6"/>
  <c r="GP30" i="6" s="1"/>
  <c r="FP30" i="6"/>
  <c r="GO29" i="8"/>
  <c r="GP29" i="8" s="1"/>
  <c r="FP29" i="8"/>
  <c r="FP24" i="12"/>
  <c r="GO24" i="12"/>
  <c r="GP24" i="12" s="1"/>
  <c r="GO35" i="10"/>
  <c r="GP35" i="10" s="1"/>
  <c r="FP35" i="10"/>
  <c r="GO29" i="15"/>
  <c r="GP29" i="15" s="1"/>
  <c r="FP29" i="15"/>
  <c r="GO38" i="12"/>
  <c r="GP38" i="12" s="1"/>
  <c r="FP38" i="12"/>
  <c r="GO29" i="7"/>
  <c r="GP29" i="7" s="1"/>
  <c r="FP29" i="7"/>
  <c r="GO27" i="5"/>
  <c r="GP27" i="5" s="1"/>
  <c r="FP27" i="5"/>
  <c r="GO38" i="4"/>
  <c r="GP38" i="4" s="1"/>
  <c r="FP38" i="4"/>
  <c r="GO48" i="5"/>
  <c r="GP48" i="5" s="1"/>
  <c r="FP48" i="5"/>
  <c r="FP32" i="14"/>
  <c r="GO32" i="14"/>
  <c r="GP32" i="14" s="1"/>
  <c r="GO40" i="13"/>
  <c r="GP40" i="13" s="1"/>
  <c r="FP40" i="13"/>
  <c r="GO28" i="9"/>
  <c r="GP28" i="9" s="1"/>
  <c r="FP28" i="9"/>
  <c r="GO22" i="6"/>
  <c r="GP22" i="6" s="1"/>
  <c r="FP22" i="6"/>
  <c r="GO39" i="14"/>
  <c r="GP39" i="14" s="1"/>
  <c r="FP39" i="14"/>
  <c r="GO25" i="9"/>
  <c r="GP25" i="9" s="1"/>
  <c r="FP25" i="9"/>
  <c r="FP48" i="14"/>
  <c r="GO48" i="14"/>
  <c r="GP48" i="14" s="1"/>
  <c r="GO38" i="8"/>
  <c r="GP38" i="8" s="1"/>
  <c r="FP38" i="8"/>
  <c r="GO36" i="9"/>
  <c r="GP36" i="9" s="1"/>
  <c r="FP36" i="9"/>
  <c r="GO35" i="7"/>
  <c r="GP35" i="7" s="1"/>
  <c r="FP35" i="7"/>
  <c r="FP28" i="10"/>
  <c r="GO28" i="10"/>
  <c r="GP28" i="10" s="1"/>
  <c r="GO23" i="6"/>
  <c r="GP23" i="6" s="1"/>
  <c r="FP23" i="6"/>
  <c r="GO32" i="13"/>
  <c r="GP32" i="13" s="1"/>
  <c r="FP32" i="13"/>
  <c r="GO28" i="15"/>
  <c r="GP28" i="15" s="1"/>
  <c r="FP28" i="15"/>
  <c r="GO44" i="5"/>
  <c r="GP44" i="5" s="1"/>
  <c r="FP44" i="5"/>
  <c r="GO35" i="12"/>
  <c r="GP35" i="12" s="1"/>
  <c r="FP35" i="12"/>
  <c r="GO33" i="9"/>
  <c r="GP33" i="9" s="1"/>
  <c r="FP33" i="9"/>
  <c r="GO38" i="6"/>
  <c r="GP38" i="6" s="1"/>
  <c r="FP38" i="6"/>
  <c r="AD32" i="9"/>
  <c r="GO32" i="9"/>
  <c r="GP32" i="9" s="1"/>
  <c r="FP32" i="9"/>
  <c r="GO21" i="13"/>
  <c r="FP21" i="13"/>
  <c r="GO26" i="10"/>
  <c r="GP26" i="10" s="1"/>
  <c r="FP26" i="10"/>
  <c r="GO22" i="8"/>
  <c r="GP22" i="8" s="1"/>
  <c r="FP22" i="8"/>
  <c r="GO49" i="13"/>
  <c r="GP49" i="13" s="1"/>
  <c r="FP49" i="13"/>
  <c r="GO36" i="5"/>
  <c r="GP36" i="5" s="1"/>
  <c r="FP36" i="5"/>
  <c r="GO31" i="5"/>
  <c r="GP31" i="5" s="1"/>
  <c r="FP31" i="5"/>
  <c r="FP40" i="14"/>
  <c r="GO40" i="14"/>
  <c r="GP40" i="14" s="1"/>
  <c r="GO44" i="4"/>
  <c r="GP44" i="4" s="1"/>
  <c r="FP44" i="4"/>
  <c r="GO21" i="9"/>
  <c r="FP21" i="9"/>
  <c r="GO21" i="5"/>
  <c r="FP21" i="5"/>
  <c r="GO27" i="8"/>
  <c r="GP27" i="8" s="1"/>
  <c r="FP27" i="8"/>
  <c r="FP40" i="10"/>
  <c r="GO40" i="10"/>
  <c r="GP40" i="10" s="1"/>
  <c r="GO49" i="8"/>
  <c r="GP49" i="8" s="1"/>
  <c r="FP49" i="8"/>
  <c r="GO28" i="11"/>
  <c r="GP28" i="11" s="1"/>
  <c r="FP28" i="11"/>
  <c r="GO26" i="14"/>
  <c r="GP26" i="14" s="1"/>
  <c r="FP26" i="14"/>
  <c r="GO39" i="11"/>
  <c r="GP39" i="11" s="1"/>
  <c r="FP39" i="11"/>
  <c r="GO42" i="10"/>
  <c r="GP42" i="10" s="1"/>
  <c r="FP42" i="10"/>
  <c r="FP50" i="13"/>
  <c r="GO50" i="13"/>
  <c r="GP50" i="13" s="1"/>
  <c r="GO50" i="10"/>
  <c r="GP50" i="10" s="1"/>
  <c r="FP50" i="10"/>
  <c r="GO32" i="15"/>
  <c r="GP32" i="15" s="1"/>
  <c r="FP32" i="15"/>
  <c r="GO43" i="6"/>
  <c r="GP43" i="6" s="1"/>
  <c r="FP43" i="6"/>
  <c r="AD37" i="14"/>
  <c r="GO37" i="14"/>
  <c r="GP37" i="14" s="1"/>
  <c r="FP37" i="14"/>
  <c r="GO27" i="7"/>
  <c r="GP27" i="7" s="1"/>
  <c r="FP27" i="7"/>
  <c r="FP30" i="9"/>
  <c r="GO30" i="9"/>
  <c r="GP30" i="9" s="1"/>
  <c r="GO23" i="10"/>
  <c r="GP23" i="10" s="1"/>
  <c r="FP23" i="10"/>
  <c r="GO28" i="5"/>
  <c r="GP28" i="5" s="1"/>
  <c r="FP28" i="5"/>
  <c r="FP46" i="7"/>
  <c r="GO46" i="7"/>
  <c r="GP46" i="7" s="1"/>
  <c r="GO28" i="4"/>
  <c r="GP28" i="4" s="1"/>
  <c r="FP28" i="4"/>
  <c r="GO39" i="5"/>
  <c r="GP39" i="5" s="1"/>
  <c r="FP39" i="5"/>
  <c r="GO25" i="5"/>
  <c r="GP25" i="5" s="1"/>
  <c r="FP25" i="5"/>
  <c r="FP38" i="11"/>
  <c r="GO38" i="11"/>
  <c r="GP38" i="11" s="1"/>
  <c r="GO39" i="15"/>
  <c r="GP39" i="15" s="1"/>
  <c r="FP39" i="15"/>
  <c r="GO47" i="7"/>
  <c r="GP47" i="7" s="1"/>
  <c r="FP47" i="7"/>
  <c r="FP36" i="14"/>
  <c r="GO36" i="14"/>
  <c r="GP36" i="14" s="1"/>
  <c r="FP46" i="9"/>
  <c r="GO46" i="9"/>
  <c r="GP46" i="9" s="1"/>
  <c r="GO27" i="12"/>
  <c r="GP27" i="12" s="1"/>
  <c r="FP27" i="12"/>
  <c r="GO21" i="8"/>
  <c r="FP21" i="8"/>
  <c r="GO50" i="6"/>
  <c r="GP50" i="6" s="1"/>
  <c r="FP50" i="6"/>
  <c r="GO41" i="6"/>
  <c r="GP41" i="6" s="1"/>
  <c r="FP41" i="6"/>
  <c r="GO43" i="4"/>
  <c r="GP43" i="4" s="1"/>
  <c r="FP43" i="4"/>
  <c r="GO27" i="6"/>
  <c r="GP27" i="6" s="1"/>
  <c r="FP27" i="6"/>
  <c r="GO26" i="12"/>
  <c r="GP26" i="12" s="1"/>
  <c r="FP26" i="12"/>
  <c r="AD49" i="6"/>
  <c r="GO49" i="6"/>
  <c r="GP49" i="6" s="1"/>
  <c r="FP49" i="6"/>
  <c r="FP42" i="9"/>
  <c r="GO42" i="9"/>
  <c r="GP42" i="9" s="1"/>
  <c r="FP38" i="9"/>
  <c r="GO38" i="9"/>
  <c r="GP38" i="9" s="1"/>
  <c r="FP24" i="14"/>
  <c r="GO24" i="14"/>
  <c r="GP24" i="14" s="1"/>
  <c r="GO43" i="15"/>
  <c r="GP43" i="15" s="1"/>
  <c r="FP43" i="15"/>
  <c r="GO45" i="5"/>
  <c r="GP45" i="5" s="1"/>
  <c r="FP45" i="5"/>
  <c r="GO48" i="15"/>
  <c r="GP48" i="15" s="1"/>
  <c r="FP48" i="15"/>
  <c r="GO21" i="14"/>
  <c r="FP21" i="14"/>
  <c r="AD37" i="15"/>
  <c r="GO37" i="15"/>
  <c r="GP37" i="15" s="1"/>
  <c r="FP37" i="15"/>
  <c r="GO43" i="13"/>
  <c r="GP43" i="13" s="1"/>
  <c r="FP43" i="13"/>
  <c r="GO25" i="14"/>
  <c r="GP25" i="14" s="1"/>
  <c r="FP25" i="14"/>
  <c r="GO33" i="15"/>
  <c r="GP33" i="15" s="1"/>
  <c r="FP33" i="15"/>
  <c r="GO21" i="12"/>
  <c r="FP21" i="12"/>
  <c r="FP28" i="8"/>
  <c r="GO28" i="8"/>
  <c r="GP28" i="8" s="1"/>
  <c r="FP22" i="9"/>
  <c r="GO22" i="9"/>
  <c r="GP22" i="9" s="1"/>
  <c r="FP34" i="7"/>
  <c r="GO34" i="7"/>
  <c r="GP34" i="7" s="1"/>
  <c r="GO45" i="13"/>
  <c r="GP45" i="13" s="1"/>
  <c r="FP45" i="13"/>
  <c r="FP48" i="10"/>
  <c r="GO48" i="10"/>
  <c r="GP48" i="10" s="1"/>
  <c r="GO45" i="7"/>
  <c r="GP45" i="7" s="1"/>
  <c r="FP45" i="7"/>
  <c r="GO31" i="10"/>
  <c r="GP31" i="10" s="1"/>
  <c r="FP31" i="10"/>
  <c r="AD27" i="15"/>
  <c r="GO27" i="15"/>
  <c r="GP27" i="15" s="1"/>
  <c r="FP27" i="15"/>
  <c r="GO23" i="15"/>
  <c r="GP23" i="15" s="1"/>
  <c r="FP23" i="15"/>
  <c r="GO49" i="7"/>
  <c r="GP49" i="7" s="1"/>
  <c r="FP49" i="7"/>
  <c r="FP22" i="7"/>
  <c r="GO22" i="7"/>
  <c r="GP22" i="7" s="1"/>
  <c r="GO25" i="15"/>
  <c r="GP25" i="15" s="1"/>
  <c r="FP25" i="15"/>
  <c r="AD41" i="10"/>
  <c r="GO41" i="10"/>
  <c r="GP41" i="10" s="1"/>
  <c r="FP41" i="10"/>
  <c r="GO36" i="15"/>
  <c r="GP36" i="15" s="1"/>
  <c r="FP36" i="15"/>
  <c r="FP32" i="8"/>
  <c r="GO32" i="8"/>
  <c r="GP32" i="8" s="1"/>
  <c r="GO42" i="5"/>
  <c r="GP42" i="5" s="1"/>
  <c r="FP42" i="5"/>
  <c r="GO21" i="7"/>
  <c r="FP21" i="7"/>
  <c r="FP32" i="12"/>
  <c r="GO32" i="12"/>
  <c r="GP32" i="12" s="1"/>
  <c r="GO29" i="10"/>
  <c r="GP29" i="10" s="1"/>
  <c r="FP29" i="10"/>
  <c r="GO47" i="8"/>
  <c r="GP47" i="8" s="1"/>
  <c r="FP47" i="8"/>
  <c r="GO41" i="8"/>
  <c r="GP41" i="8" s="1"/>
  <c r="FP41" i="8"/>
  <c r="GO25" i="10"/>
  <c r="GP25" i="10" s="1"/>
  <c r="FP25" i="10"/>
  <c r="GO23" i="11"/>
  <c r="GP23" i="11" s="1"/>
  <c r="FP23" i="11"/>
  <c r="GO47" i="4"/>
  <c r="GP47" i="4" s="1"/>
  <c r="FP47" i="4"/>
  <c r="GO24" i="6"/>
  <c r="GP24" i="6" s="1"/>
  <c r="FP24" i="6"/>
  <c r="GO31" i="13"/>
  <c r="GP31" i="13" s="1"/>
  <c r="FP31" i="13"/>
  <c r="FP30" i="13"/>
  <c r="GO30" i="13"/>
  <c r="GP30" i="13" s="1"/>
  <c r="GO26" i="4"/>
  <c r="GP26" i="4" s="1"/>
  <c r="FP26" i="4"/>
  <c r="GO25" i="6"/>
  <c r="GP25" i="6" s="1"/>
  <c r="FP25" i="6"/>
  <c r="GO30" i="14"/>
  <c r="GP30" i="14" s="1"/>
  <c r="FP30" i="14"/>
  <c r="GO44" i="15"/>
  <c r="GP44" i="15" s="1"/>
  <c r="FP44" i="15"/>
  <c r="GO44" i="9"/>
  <c r="GP44" i="9" s="1"/>
  <c r="FP44" i="9"/>
  <c r="GO48" i="11"/>
  <c r="GP48" i="11" s="1"/>
  <c r="FP48" i="11"/>
  <c r="GO48" i="4"/>
  <c r="GP48" i="4" s="1"/>
  <c r="FP48" i="4"/>
  <c r="FP50" i="9"/>
  <c r="GO50" i="9"/>
  <c r="GP50" i="9" s="1"/>
  <c r="AD35" i="8"/>
  <c r="GO35" i="8"/>
  <c r="GP35" i="8" s="1"/>
  <c r="FP35" i="8"/>
  <c r="GO41" i="7"/>
  <c r="GP41" i="7" s="1"/>
  <c r="FP41" i="7"/>
  <c r="GO35" i="15"/>
  <c r="GP35" i="15" s="1"/>
  <c r="FP35" i="15"/>
  <c r="GO34" i="10"/>
  <c r="GP34" i="10" s="1"/>
  <c r="FP34" i="10"/>
  <c r="GO35" i="5"/>
  <c r="GP35" i="5" s="1"/>
  <c r="FP35" i="5"/>
  <c r="FP42" i="15"/>
  <c r="GO42" i="15"/>
  <c r="GP42" i="15" s="1"/>
  <c r="GO39" i="8"/>
  <c r="GP39" i="8" s="1"/>
  <c r="FP39" i="8"/>
  <c r="GO39" i="4"/>
  <c r="GP39" i="4" s="1"/>
  <c r="FP39" i="4"/>
  <c r="GO38" i="5"/>
  <c r="GP38" i="5" s="1"/>
  <c r="FP38" i="5"/>
  <c r="GO40" i="6"/>
  <c r="GP40" i="6" s="1"/>
  <c r="FP40" i="6"/>
  <c r="GO42" i="8"/>
  <c r="GP42" i="8" s="1"/>
  <c r="FP42" i="8"/>
  <c r="GO33" i="6"/>
  <c r="GP33" i="6" s="1"/>
  <c r="FP33" i="6"/>
  <c r="GO33" i="8"/>
  <c r="GP33" i="8" s="1"/>
  <c r="FP33" i="8"/>
  <c r="GO23" i="9"/>
  <c r="GP23" i="9" s="1"/>
  <c r="FP23" i="9"/>
  <c r="GO29" i="4"/>
  <c r="GP29" i="4" s="1"/>
  <c r="FP29" i="4"/>
  <c r="GO47" i="6"/>
  <c r="GP47" i="6" s="1"/>
  <c r="FP47" i="6"/>
  <c r="FP38" i="13"/>
  <c r="GO38" i="13"/>
  <c r="GP38" i="13" s="1"/>
  <c r="AD48" i="13"/>
  <c r="GO48" i="13"/>
  <c r="GP48" i="13" s="1"/>
  <c r="FP48" i="13"/>
  <c r="AD41" i="12"/>
  <c r="GO41" i="12"/>
  <c r="GP41" i="12" s="1"/>
  <c r="FP41" i="12"/>
  <c r="FP22" i="11"/>
  <c r="GO22" i="11"/>
  <c r="GP22" i="11" s="1"/>
  <c r="FP40" i="12"/>
  <c r="GO40" i="12"/>
  <c r="GP40" i="12" s="1"/>
  <c r="GO39" i="12"/>
  <c r="GP39" i="12" s="1"/>
  <c r="FP39" i="12"/>
  <c r="GO43" i="14"/>
  <c r="GP43" i="14" s="1"/>
  <c r="FP43" i="14"/>
  <c r="AD31" i="14"/>
  <c r="GO31" i="14"/>
  <c r="GP31" i="14" s="1"/>
  <c r="FP31" i="14"/>
  <c r="GO31" i="6"/>
  <c r="GP31" i="6" s="1"/>
  <c r="FP31" i="6"/>
  <c r="GO31" i="9"/>
  <c r="GP31" i="9" s="1"/>
  <c r="FP31" i="9"/>
  <c r="GO43" i="11"/>
  <c r="GP43" i="11" s="1"/>
  <c r="FP43" i="11"/>
  <c r="AD30" i="12"/>
  <c r="GO30" i="12"/>
  <c r="GP30" i="12" s="1"/>
  <c r="FP30" i="12"/>
  <c r="GO42" i="14"/>
  <c r="GP42" i="14" s="1"/>
  <c r="FP42" i="14"/>
  <c r="FP36" i="12"/>
  <c r="GO36" i="12"/>
  <c r="GP36" i="12" s="1"/>
  <c r="GO32" i="7"/>
  <c r="GP32" i="7" s="1"/>
  <c r="FP32" i="7"/>
  <c r="FP50" i="11"/>
  <c r="GO50" i="11"/>
  <c r="GP50" i="11" s="1"/>
  <c r="GO48" i="9"/>
  <c r="GP48" i="9" s="1"/>
  <c r="FP48" i="9"/>
  <c r="AD47" i="13"/>
  <c r="GO47" i="13"/>
  <c r="GP47" i="13" s="1"/>
  <c r="FP47" i="13"/>
  <c r="GO26" i="6"/>
  <c r="GP26" i="6" s="1"/>
  <c r="FP26" i="6"/>
  <c r="GO23" i="13"/>
  <c r="GP23" i="13" s="1"/>
  <c r="FP23" i="13"/>
  <c r="AD37" i="8"/>
  <c r="GO37" i="8"/>
  <c r="GP37" i="8" s="1"/>
  <c r="FP37" i="8"/>
  <c r="AD30" i="4"/>
  <c r="GO30" i="4"/>
  <c r="GP30" i="4" s="1"/>
  <c r="FP30" i="4"/>
  <c r="GO45" i="14"/>
  <c r="GP45" i="14" s="1"/>
  <c r="FP45" i="14"/>
  <c r="GO42" i="4"/>
  <c r="GP42" i="4" s="1"/>
  <c r="FP42" i="4"/>
  <c r="GO22" i="10"/>
  <c r="GP22" i="10" s="1"/>
  <c r="FP22" i="10"/>
  <c r="FP36" i="10"/>
  <c r="GO36" i="10"/>
  <c r="GP36" i="10" s="1"/>
  <c r="GO33" i="10"/>
  <c r="GP33" i="10" s="1"/>
  <c r="FP33" i="10"/>
  <c r="GO40" i="11"/>
  <c r="GP40" i="11" s="1"/>
  <c r="FP40" i="11"/>
  <c r="GO36" i="7"/>
  <c r="GP36" i="7" s="1"/>
  <c r="FP36" i="7"/>
  <c r="GO24" i="13"/>
  <c r="GP24" i="13" s="1"/>
  <c r="FP24" i="13"/>
  <c r="FP46" i="11"/>
  <c r="GO46" i="11"/>
  <c r="GP46" i="11" s="1"/>
  <c r="GO37" i="12"/>
  <c r="GP37" i="12" s="1"/>
  <c r="FP37" i="12"/>
  <c r="GO49" i="14"/>
  <c r="GP49" i="14" s="1"/>
  <c r="FP49" i="14"/>
  <c r="GO30" i="5"/>
  <c r="GP30" i="5" s="1"/>
  <c r="FP30" i="5"/>
  <c r="GO23" i="4"/>
  <c r="GP23" i="4" s="1"/>
  <c r="FP23" i="4"/>
  <c r="FP26" i="15"/>
  <c r="GO26" i="15"/>
  <c r="GP26" i="15" s="1"/>
  <c r="GO33" i="11"/>
  <c r="GP33" i="11" s="1"/>
  <c r="FP33" i="11"/>
  <c r="FP30" i="15"/>
  <c r="GO30" i="15"/>
  <c r="GP30" i="15" s="1"/>
  <c r="GO31" i="8"/>
  <c r="GP31" i="8" s="1"/>
  <c r="FP31" i="8"/>
  <c r="AD46" i="13"/>
  <c r="FP46" i="13"/>
  <c r="GO46" i="13"/>
  <c r="GP46" i="13" s="1"/>
  <c r="GO43" i="9"/>
  <c r="GP43" i="9" s="1"/>
  <c r="FP43" i="9"/>
  <c r="FP44" i="6"/>
  <c r="GO44" i="6"/>
  <c r="GP44" i="6" s="1"/>
  <c r="GO36" i="6"/>
  <c r="GP36" i="6" s="1"/>
  <c r="FP36" i="6"/>
  <c r="FP38" i="7"/>
  <c r="GO38" i="7"/>
  <c r="GP38" i="7" s="1"/>
  <c r="GO34" i="5"/>
  <c r="GP34" i="5" s="1"/>
  <c r="FP34" i="5"/>
  <c r="FP36" i="8"/>
  <c r="GO36" i="8"/>
  <c r="GP36" i="8" s="1"/>
  <c r="AD32" i="4"/>
  <c r="GO32" i="4"/>
  <c r="GP32" i="4" s="1"/>
  <c r="FP32" i="4"/>
  <c r="GO41" i="11"/>
  <c r="GP41" i="11" s="1"/>
  <c r="FP41" i="11"/>
  <c r="FP34" i="11"/>
  <c r="GO34" i="11"/>
  <c r="GP34" i="11" s="1"/>
  <c r="GO31" i="12"/>
  <c r="GP31" i="12" s="1"/>
  <c r="FP31" i="12"/>
  <c r="GO38" i="14"/>
  <c r="GP38" i="14" s="1"/>
  <c r="FP38" i="14"/>
  <c r="GO25" i="4"/>
  <c r="GP25" i="4" s="1"/>
  <c r="FP25" i="4"/>
  <c r="AD31" i="4"/>
  <c r="GO31" i="4"/>
  <c r="GP31" i="4" s="1"/>
  <c r="FP31" i="4"/>
  <c r="GO26" i="5"/>
  <c r="GP26" i="5" s="1"/>
  <c r="FP26" i="5"/>
  <c r="GO39" i="9"/>
  <c r="GP39" i="9" s="1"/>
  <c r="FP39" i="9"/>
  <c r="GO40" i="15"/>
  <c r="GP40" i="15" s="1"/>
  <c r="FP40" i="15"/>
  <c r="GO37" i="9"/>
  <c r="GP37" i="9" s="1"/>
  <c r="FP37" i="9"/>
  <c r="GO50" i="4"/>
  <c r="GP50" i="4" s="1"/>
  <c r="FP50" i="4"/>
  <c r="GO23" i="7"/>
  <c r="GP23" i="7" s="1"/>
  <c r="FP23" i="7"/>
  <c r="GO25" i="7"/>
  <c r="GP25" i="7" s="1"/>
  <c r="FP25" i="7"/>
  <c r="GO40" i="4"/>
  <c r="GP40" i="4" s="1"/>
  <c r="FP40" i="4"/>
  <c r="GO34" i="8"/>
  <c r="GP34" i="8" s="1"/>
  <c r="FP34" i="8"/>
  <c r="AD50" i="8"/>
  <c r="GO50" i="8"/>
  <c r="GP50" i="8" s="1"/>
  <c r="FP50" i="8"/>
  <c r="GO35" i="13"/>
  <c r="GP35" i="13" s="1"/>
  <c r="FP35" i="13"/>
  <c r="GO49" i="9"/>
  <c r="GP49" i="9" s="1"/>
  <c r="FP49" i="9"/>
  <c r="FP48" i="6"/>
  <c r="GO48" i="6"/>
  <c r="GP48" i="6" s="1"/>
  <c r="GO28" i="13"/>
  <c r="GP28" i="13" s="1"/>
  <c r="FP28" i="13"/>
  <c r="FP32" i="10"/>
  <c r="GO32" i="10"/>
  <c r="GP32" i="10" s="1"/>
  <c r="GO41" i="15"/>
  <c r="GP41" i="15" s="1"/>
  <c r="FP41" i="15"/>
  <c r="GO34" i="6"/>
  <c r="GP34" i="6" s="1"/>
  <c r="FP34" i="6"/>
  <c r="GO27" i="14"/>
  <c r="GP27" i="14" s="1"/>
  <c r="FP27" i="14"/>
  <c r="GO31" i="11"/>
  <c r="GP31" i="11" s="1"/>
  <c r="FP31" i="11"/>
  <c r="GO25" i="11"/>
  <c r="GP25" i="11" s="1"/>
  <c r="FP25" i="11"/>
  <c r="GO27" i="10"/>
  <c r="GP27" i="10" s="1"/>
  <c r="FP27" i="10"/>
  <c r="GO45" i="6"/>
  <c r="GP45" i="6" s="1"/>
  <c r="FP45" i="6"/>
  <c r="FP44" i="14"/>
  <c r="GO44" i="14"/>
  <c r="GP44" i="14" s="1"/>
  <c r="GO33" i="14"/>
  <c r="GP33" i="14" s="1"/>
  <c r="FP33" i="14"/>
  <c r="GG21" i="14"/>
  <c r="GQ21" i="14" s="1"/>
  <c r="GG50" i="12"/>
  <c r="GQ50" i="12" s="1"/>
  <c r="AD53" i="43"/>
  <c r="AD39" i="43"/>
  <c r="GG21" i="4"/>
  <c r="GQ21" i="4" s="1"/>
  <c r="GG21" i="13"/>
  <c r="GQ21" i="13" s="1"/>
  <c r="GG21" i="5"/>
  <c r="GQ21" i="5" s="1"/>
  <c r="GG21" i="11"/>
  <c r="GQ21" i="11" s="1"/>
  <c r="GG21" i="8"/>
  <c r="GQ21" i="8" s="1"/>
  <c r="BD39" i="35"/>
  <c r="GG41" i="5"/>
  <c r="GQ41" i="5" s="1"/>
  <c r="BD31" i="35"/>
  <c r="GG33" i="5"/>
  <c r="GQ33" i="5" s="1"/>
  <c r="BD25" i="39"/>
  <c r="GG27" i="9"/>
  <c r="GQ27" i="9" s="1"/>
  <c r="BD21" i="38"/>
  <c r="GG23" i="8"/>
  <c r="GQ23" i="8" s="1"/>
  <c r="BD26" i="41"/>
  <c r="GG28" i="11"/>
  <c r="GQ28" i="11" s="1"/>
  <c r="BD37" i="41"/>
  <c r="GG39" i="11"/>
  <c r="GQ39" i="11" s="1"/>
  <c r="BD48" i="43"/>
  <c r="BD37" i="45"/>
  <c r="GG39" i="15"/>
  <c r="GQ39" i="15" s="1"/>
  <c r="BD41" i="18"/>
  <c r="GG43" i="4"/>
  <c r="GQ43" i="4" s="1"/>
  <c r="BD30" i="42"/>
  <c r="GG32" i="12"/>
  <c r="GQ32" i="12" s="1"/>
  <c r="BD36" i="43"/>
  <c r="GG38" i="13"/>
  <c r="GQ38" i="13" s="1"/>
  <c r="BD39" i="42"/>
  <c r="GG41" i="12"/>
  <c r="GQ41" i="12" s="1"/>
  <c r="BD38" i="42"/>
  <c r="GG40" i="12"/>
  <c r="GQ40" i="12" s="1"/>
  <c r="BD29" i="36"/>
  <c r="GG31" i="6"/>
  <c r="GQ31" i="6" s="1"/>
  <c r="BD33" i="38"/>
  <c r="GG35" i="8"/>
  <c r="GQ35" i="8" s="1"/>
  <c r="BD38" i="41"/>
  <c r="GG40" i="11"/>
  <c r="GQ40" i="11" s="1"/>
  <c r="BD44" i="41"/>
  <c r="GG46" i="11"/>
  <c r="GQ46" i="11" s="1"/>
  <c r="BD44" i="43"/>
  <c r="GG46" i="13"/>
  <c r="GQ46" i="13" s="1"/>
  <c r="BD31" i="40"/>
  <c r="GG33" i="10"/>
  <c r="GQ33" i="10" s="1"/>
  <c r="BD38" i="43"/>
  <c r="GG40" i="13"/>
  <c r="GQ40" i="13" s="1"/>
  <c r="BD41" i="37"/>
  <c r="GG43" i="7"/>
  <c r="GQ43" i="7" s="1"/>
  <c r="BD32" i="41"/>
  <c r="GG34" i="11"/>
  <c r="GQ34" i="11" s="1"/>
  <c r="BD48" i="18"/>
  <c r="BD21" i="37"/>
  <c r="GG23" i="7"/>
  <c r="GQ23" i="7" s="1"/>
  <c r="BD22" i="43"/>
  <c r="GG24" i="13"/>
  <c r="GQ24" i="13" s="1"/>
  <c r="BD21" i="18"/>
  <c r="GG23" i="4"/>
  <c r="GQ23" i="4" s="1"/>
  <c r="BD25" i="45"/>
  <c r="GG27" i="15"/>
  <c r="GQ27" i="15" s="1"/>
  <c r="BD33" i="39"/>
  <c r="GG35" i="9"/>
  <c r="GQ35" i="9" s="1"/>
  <c r="BD26" i="37"/>
  <c r="GG28" i="7"/>
  <c r="GQ28" i="7" s="1"/>
  <c r="BD27" i="39"/>
  <c r="GG29" i="9"/>
  <c r="GQ29" i="9" s="1"/>
  <c r="BD40" i="41"/>
  <c r="GG42" i="11"/>
  <c r="GQ42" i="11" s="1"/>
  <c r="BD41" i="38"/>
  <c r="GG43" i="8"/>
  <c r="GQ43" i="8" s="1"/>
  <c r="BD22" i="41"/>
  <c r="GG24" i="11"/>
  <c r="GQ24" i="11" s="1"/>
  <c r="BD28" i="36"/>
  <c r="GG30" i="6"/>
  <c r="GQ30" i="6" s="1"/>
  <c r="BD27" i="45"/>
  <c r="GG29" i="15"/>
  <c r="GQ29" i="15" s="1"/>
  <c r="BD35" i="40"/>
  <c r="GG37" i="10"/>
  <c r="GQ37" i="10" s="1"/>
  <c r="BD47" i="42"/>
  <c r="BD31" i="42"/>
  <c r="GG33" i="12"/>
  <c r="GQ33" i="12" s="1"/>
  <c r="BD44" i="42"/>
  <c r="GG46" i="12"/>
  <c r="GQ46" i="12" s="1"/>
  <c r="BD45" i="36"/>
  <c r="GG47" i="6"/>
  <c r="GQ47" i="6" s="1"/>
  <c r="BD42" i="36"/>
  <c r="GG44" i="6"/>
  <c r="GQ44" i="6" s="1"/>
  <c r="BD32" i="36"/>
  <c r="GG34" i="6"/>
  <c r="GQ34" i="6" s="1"/>
  <c r="BD33" i="35"/>
  <c r="GG35" i="5"/>
  <c r="GQ35" i="5" s="1"/>
  <c r="BD47" i="38"/>
  <c r="BD24" i="44"/>
  <c r="GG26" i="14"/>
  <c r="GQ26" i="14" s="1"/>
  <c r="BD40" i="40"/>
  <c r="GG42" i="10"/>
  <c r="GQ42" i="10" s="1"/>
  <c r="BD41" i="36"/>
  <c r="GG43" i="6"/>
  <c r="GQ43" i="6" s="1"/>
  <c r="BD25" i="37"/>
  <c r="GG27" i="7"/>
  <c r="GQ27" i="7" s="1"/>
  <c r="BD36" i="41"/>
  <c r="GG38" i="11"/>
  <c r="GQ38" i="11" s="1"/>
  <c r="BD39" i="36"/>
  <c r="GG41" i="6"/>
  <c r="GQ41" i="6" s="1"/>
  <c r="BD47" i="36"/>
  <c r="BD39" i="37"/>
  <c r="GG41" i="7"/>
  <c r="GQ41" i="7" s="1"/>
  <c r="BD37" i="38"/>
  <c r="GG39" i="8"/>
  <c r="GQ39" i="8" s="1"/>
  <c r="BD36" i="35"/>
  <c r="GG38" i="5"/>
  <c r="GQ38" i="5" s="1"/>
  <c r="BD40" i="38"/>
  <c r="GG42" i="8"/>
  <c r="GQ42" i="8" s="1"/>
  <c r="BD31" i="38"/>
  <c r="GG33" i="8"/>
  <c r="GQ33" i="8" s="1"/>
  <c r="BD27" i="18"/>
  <c r="GG29" i="4"/>
  <c r="GQ29" i="4" s="1"/>
  <c r="BD38" i="39"/>
  <c r="GG40" i="9"/>
  <c r="GQ40" i="9" s="1"/>
  <c r="BD26" i="39"/>
  <c r="GG28" i="9"/>
  <c r="GQ28" i="9" s="1"/>
  <c r="BD35" i="45"/>
  <c r="GG37" i="15"/>
  <c r="GQ37" i="15" s="1"/>
  <c r="BD48" i="38"/>
  <c r="BD29" i="35"/>
  <c r="GG31" i="5"/>
  <c r="GQ31" i="5" s="1"/>
  <c r="BD41" i="42"/>
  <c r="GG43" i="12"/>
  <c r="GQ43" i="12" s="1"/>
  <c r="BD36" i="45"/>
  <c r="GG38" i="15"/>
  <c r="GQ38" i="15" s="1"/>
  <c r="BD35" i="35"/>
  <c r="GG37" i="5"/>
  <c r="GQ37" i="5" s="1"/>
  <c r="BD26" i="44"/>
  <c r="GG28" i="14"/>
  <c r="GQ28" i="14" s="1"/>
  <c r="BD40" i="42"/>
  <c r="GG42" i="12"/>
  <c r="GQ42" i="12" s="1"/>
  <c r="BD36" i="42"/>
  <c r="GG38" i="12"/>
  <c r="GQ38" i="12" s="1"/>
  <c r="BD25" i="35"/>
  <c r="GG27" i="5"/>
  <c r="GQ27" i="5" s="1"/>
  <c r="BD44" i="38"/>
  <c r="GG46" i="8"/>
  <c r="GQ46" i="8" s="1"/>
  <c r="BD40" i="36"/>
  <c r="GG42" i="6"/>
  <c r="GQ42" i="6" s="1"/>
  <c r="BD42" i="39"/>
  <c r="GG44" i="9"/>
  <c r="GQ44" i="9" s="1"/>
  <c r="BD45" i="45"/>
  <c r="GG47" i="15"/>
  <c r="GQ47" i="15" s="1"/>
  <c r="BD28" i="43"/>
  <c r="GG30" i="13"/>
  <c r="GQ30" i="13" s="1"/>
  <c r="BD32" i="45"/>
  <c r="GG34" i="15"/>
  <c r="GQ34" i="15" s="1"/>
  <c r="D45" i="18"/>
  <c r="D31" i="18"/>
  <c r="D29" i="18"/>
  <c r="D30" i="18"/>
  <c r="D22" i="18"/>
  <c r="D44" i="18"/>
  <c r="D34" i="18"/>
  <c r="D32" i="18"/>
  <c r="D28" i="18"/>
  <c r="D38" i="18"/>
  <c r="D47" i="18"/>
  <c r="GG49" i="4" s="1"/>
  <c r="GQ49" i="4" s="1"/>
  <c r="D42" i="18"/>
  <c r="D24" i="18"/>
  <c r="D37" i="18"/>
  <c r="D23" i="18"/>
  <c r="D39" i="18"/>
  <c r="D35" i="18"/>
  <c r="D20" i="18"/>
  <c r="D36" i="18"/>
  <c r="D25" i="18"/>
  <c r="D43" i="18"/>
  <c r="D46" i="18"/>
  <c r="AD30" i="11"/>
  <c r="D42" i="35"/>
  <c r="D48" i="35"/>
  <c r="GG50" i="5" s="1"/>
  <c r="GQ50" i="5" s="1"/>
  <c r="D20" i="35"/>
  <c r="D28" i="35"/>
  <c r="D47" i="35"/>
  <c r="GG49" i="5" s="1"/>
  <c r="GQ49" i="5" s="1"/>
  <c r="D43" i="35"/>
  <c r="D22" i="35"/>
  <c r="D27" i="35"/>
  <c r="AD42" i="12"/>
  <c r="D32" i="35"/>
  <c r="D24" i="35"/>
  <c r="D45" i="35"/>
  <c r="D34" i="35"/>
  <c r="D41" i="35"/>
  <c r="D38" i="35"/>
  <c r="D40" i="35"/>
  <c r="AD47" i="5"/>
  <c r="D21" i="35"/>
  <c r="D26" i="35"/>
  <c r="AD31" i="15"/>
  <c r="D24" i="38"/>
  <c r="D38" i="44"/>
  <c r="D24" i="40"/>
  <c r="D43" i="40"/>
  <c r="D43" i="41"/>
  <c r="D40" i="39"/>
  <c r="D41" i="45"/>
  <c r="D46" i="45"/>
  <c r="D47" i="45"/>
  <c r="D23" i="38"/>
  <c r="D34" i="41"/>
  <c r="D29" i="37"/>
  <c r="D33" i="44"/>
  <c r="D28" i="41"/>
  <c r="D32" i="37"/>
  <c r="D23" i="45"/>
  <c r="D43" i="42"/>
  <c r="D27" i="36"/>
  <c r="D45" i="39"/>
  <c r="D33" i="45"/>
  <c r="D46" i="41"/>
  <c r="D38" i="36"/>
  <c r="D37" i="42"/>
  <c r="D29" i="44"/>
  <c r="D25" i="43"/>
  <c r="D40" i="44"/>
  <c r="D30" i="37"/>
  <c r="D46" i="39"/>
  <c r="D24" i="36"/>
  <c r="D35" i="38"/>
  <c r="D27" i="41"/>
  <c r="D20" i="36"/>
  <c r="D47" i="44"/>
  <c r="GG49" i="14" s="1"/>
  <c r="GQ49" i="14" s="1"/>
  <c r="D43" i="44"/>
  <c r="D26" i="42"/>
  <c r="D36" i="44"/>
  <c r="D37" i="39"/>
  <c r="D35" i="39"/>
  <c r="D32" i="39"/>
  <c r="D35" i="36"/>
  <c r="D25" i="44"/>
  <c r="D42" i="41"/>
  <c r="D43" i="36"/>
  <c r="D35" i="41"/>
  <c r="D30" i="39"/>
  <c r="D22" i="45"/>
  <c r="D39" i="45"/>
  <c r="D22" i="38"/>
  <c r="AE52" i="37" s="1"/>
  <c r="D45" i="42"/>
  <c r="D30" i="45"/>
  <c r="D34" i="44"/>
  <c r="D25" i="42"/>
  <c r="D48" i="36"/>
  <c r="D25" i="36"/>
  <c r="D24" i="37"/>
  <c r="D43" i="37"/>
  <c r="D29" i="40"/>
  <c r="D27" i="38"/>
  <c r="D33" i="40"/>
  <c r="D39" i="40"/>
  <c r="D23" i="39"/>
  <c r="D36" i="38"/>
  <c r="D33" i="37"/>
  <c r="D21" i="36"/>
  <c r="D26" i="45"/>
  <c r="D33" i="42"/>
  <c r="D36" i="36"/>
  <c r="D39" i="39"/>
  <c r="D22" i="40"/>
  <c r="D30" i="41"/>
  <c r="D23" i="40"/>
  <c r="D29" i="43"/>
  <c r="D47" i="37"/>
  <c r="GG49" i="7" s="1"/>
  <c r="GQ49" i="7" s="1"/>
  <c r="D20" i="42"/>
  <c r="D27" i="44"/>
  <c r="D32" i="40"/>
  <c r="D31" i="36"/>
  <c r="D28" i="40"/>
  <c r="D20" i="44"/>
  <c r="AE52" i="43" s="1"/>
  <c r="D41" i="41"/>
  <c r="D34" i="38"/>
  <c r="D46" i="37"/>
  <c r="D39" i="41"/>
  <c r="D28" i="44"/>
  <c r="D45" i="40"/>
  <c r="D42" i="37"/>
  <c r="D23" i="37"/>
  <c r="D26" i="38"/>
  <c r="D43" i="38"/>
  <c r="D31" i="45"/>
  <c r="D20" i="43"/>
  <c r="D37" i="37"/>
  <c r="D29" i="41"/>
  <c r="D23" i="41"/>
  <c r="D45" i="44"/>
  <c r="D31" i="44"/>
  <c r="D28" i="37"/>
  <c r="D27" i="42"/>
  <c r="D35" i="44"/>
  <c r="D42" i="40"/>
  <c r="D22" i="44"/>
  <c r="D33" i="41"/>
  <c r="D37" i="43"/>
  <c r="D37" i="40"/>
  <c r="D20" i="39"/>
  <c r="D35" i="43"/>
  <c r="D28" i="39"/>
  <c r="D30" i="38"/>
  <c r="AD29" i="7"/>
  <c r="D40" i="37"/>
  <c r="D19" i="45"/>
  <c r="D32" i="44"/>
  <c r="D24" i="39"/>
  <c r="D32" i="43"/>
  <c r="D19" i="37"/>
  <c r="BD19" i="37" s="1"/>
  <c r="D40" i="45"/>
  <c r="D21" i="39"/>
  <c r="D46" i="43"/>
  <c r="D41" i="44"/>
  <c r="D34" i="42"/>
  <c r="D48" i="41"/>
  <c r="D45" i="43"/>
  <c r="D21" i="43"/>
  <c r="D29" i="38"/>
  <c r="D34" i="36"/>
  <c r="D36" i="37"/>
  <c r="D43" i="43"/>
  <c r="D41" i="43"/>
  <c r="D31" i="37"/>
  <c r="D38" i="38"/>
  <c r="D29" i="42"/>
  <c r="D36" i="40"/>
  <c r="D38" i="45"/>
  <c r="D21" i="44"/>
  <c r="D23" i="42"/>
  <c r="D22" i="37"/>
  <c r="D39" i="44"/>
  <c r="D46" i="40"/>
  <c r="D46" i="36"/>
  <c r="D25" i="40"/>
  <c r="D24" i="45"/>
  <c r="D34" i="45"/>
  <c r="D42" i="44"/>
  <c r="D31" i="43"/>
  <c r="D19" i="40"/>
  <c r="D38" i="40"/>
  <c r="D48" i="40"/>
  <c r="GG50" i="10" s="1"/>
  <c r="GQ50" i="10" s="1"/>
  <c r="D21" i="40"/>
  <c r="D45" i="37"/>
  <c r="D44" i="39"/>
  <c r="D24" i="42"/>
  <c r="D44" i="37"/>
  <c r="D28" i="38"/>
  <c r="D24" i="43"/>
  <c r="D34" i="43"/>
  <c r="D29" i="45"/>
  <c r="D22" i="42"/>
  <c r="D47" i="40"/>
  <c r="GG49" i="10" s="1"/>
  <c r="GQ49" i="10" s="1"/>
  <c r="D46" i="44"/>
  <c r="D34" i="39"/>
  <c r="D26" i="40"/>
  <c r="D30" i="43"/>
  <c r="D31" i="39"/>
  <c r="D43" i="45"/>
  <c r="D47" i="41"/>
  <c r="GG49" i="11" s="1"/>
  <c r="GQ49" i="11" s="1"/>
  <c r="D21" i="41"/>
  <c r="D22" i="36"/>
  <c r="D23" i="43"/>
  <c r="D20" i="41"/>
  <c r="D41" i="39"/>
  <c r="D48" i="45"/>
  <c r="GG50" i="15" s="1"/>
  <c r="GQ50" i="15" s="1"/>
  <c r="AD38" i="7"/>
  <c r="D35" i="37"/>
  <c r="D33" i="36"/>
  <c r="D48" i="37"/>
  <c r="GG50" i="7" s="1"/>
  <c r="GQ50" i="7" s="1"/>
  <c r="D32" i="42"/>
  <c r="D46" i="42"/>
  <c r="AD48" i="43" s="1"/>
  <c r="D42" i="43"/>
  <c r="D20" i="45"/>
  <c r="D38" i="37"/>
  <c r="D42" i="38"/>
  <c r="D30" i="40"/>
  <c r="D48" i="39"/>
  <c r="BD48" i="39" s="1"/>
  <c r="D26" i="36"/>
  <c r="D47" i="39"/>
  <c r="GG49" i="9" s="1"/>
  <c r="GQ49" i="9" s="1"/>
  <c r="D25" i="41"/>
  <c r="D39" i="43"/>
  <c r="D27" i="43"/>
  <c r="D44" i="45"/>
  <c r="D45" i="38"/>
  <c r="D44" i="40"/>
  <c r="AD36" i="14"/>
  <c r="AD25" i="8"/>
  <c r="AD48" i="5"/>
  <c r="AD48" i="8"/>
  <c r="AD48" i="14"/>
  <c r="AD36" i="10"/>
  <c r="AD36" i="7"/>
  <c r="AD37" i="7"/>
  <c r="AD28" i="5"/>
  <c r="AD25" i="14"/>
  <c r="AD49" i="7"/>
  <c r="AD28" i="10"/>
  <c r="AD47" i="8"/>
  <c r="AD30" i="14"/>
  <c r="AD35" i="15"/>
  <c r="AD50" i="11"/>
  <c r="AD35" i="4"/>
  <c r="AD31" i="10"/>
  <c r="AD35" i="10"/>
  <c r="AD29" i="15"/>
  <c r="AD38" i="4"/>
  <c r="AD44" i="5"/>
  <c r="AD39" i="12"/>
  <c r="AD28" i="12"/>
  <c r="AD31" i="12"/>
  <c r="AD44" i="14"/>
  <c r="HJ336" i="34" s="1"/>
  <c r="HK336" i="34" s="1"/>
  <c r="AD33" i="14"/>
  <c r="AD26" i="11"/>
  <c r="AD27" i="9"/>
  <c r="AD29" i="9"/>
  <c r="AD43" i="12"/>
  <c r="AD42" i="11"/>
  <c r="AD23" i="8"/>
  <c r="AD43" i="8"/>
  <c r="AD43" i="13"/>
  <c r="AD25" i="12"/>
  <c r="AD34" i="14"/>
  <c r="HJ326" i="34" s="1"/>
  <c r="HK326" i="34" s="1"/>
  <c r="AD50" i="7"/>
  <c r="AD24" i="13"/>
  <c r="AD49" i="4"/>
  <c r="AD21" i="11"/>
  <c r="AD21" i="10"/>
  <c r="AD44" i="8"/>
  <c r="AD49" i="8"/>
  <c r="AD28" i="11"/>
  <c r="AD26" i="14"/>
  <c r="AD39" i="11"/>
  <c r="AD42" i="10"/>
  <c r="AD50" i="13"/>
  <c r="AD46" i="7"/>
  <c r="AD38" i="11"/>
  <c r="AD39" i="15"/>
  <c r="AD50" i="12"/>
  <c r="AD24" i="5"/>
  <c r="AD36" i="11"/>
  <c r="HJ235" i="34" s="1"/>
  <c r="HK235" i="34" s="1"/>
  <c r="AD39" i="13"/>
  <c r="AD28" i="8"/>
  <c r="AD34" i="7"/>
  <c r="AD23" i="15"/>
  <c r="AD37" i="10"/>
  <c r="AD36" i="9"/>
  <c r="AD32" i="13"/>
  <c r="AD40" i="9"/>
  <c r="AD30" i="13"/>
  <c r="AD46" i="14"/>
  <c r="AD29" i="13"/>
  <c r="AD36" i="12"/>
  <c r="AD25" i="4"/>
  <c r="AD44" i="13"/>
  <c r="AD40" i="15"/>
  <c r="AD28" i="6"/>
  <c r="AD35" i="13"/>
  <c r="AD42" i="13"/>
  <c r="AD31" i="7"/>
  <c r="AD26" i="7"/>
  <c r="AD25" i="15"/>
  <c r="AD38" i="10"/>
  <c r="AD44" i="4"/>
  <c r="HJ26" i="34" s="1"/>
  <c r="HK26" i="34" s="1"/>
  <c r="AD50" i="10"/>
  <c r="AD30" i="9"/>
  <c r="AD46" i="9"/>
  <c r="AD27" i="12"/>
  <c r="HJ257" i="34" s="1"/>
  <c r="HK257" i="34" s="1"/>
  <c r="AD46" i="4"/>
  <c r="AD39" i="10"/>
  <c r="AD42" i="5"/>
  <c r="AD32" i="12"/>
  <c r="HJ262" i="34" s="1"/>
  <c r="HK262" i="34" s="1"/>
  <c r="AD23" i="6"/>
  <c r="AD48" i="4"/>
  <c r="AD41" i="7"/>
  <c r="AD34" i="10"/>
  <c r="HJ202" i="34" s="1"/>
  <c r="HK202" i="34" s="1"/>
  <c r="AD31" i="9"/>
  <c r="AD44" i="11"/>
  <c r="AD24" i="15"/>
  <c r="AD35" i="11"/>
  <c r="AD36" i="13"/>
  <c r="AD50" i="5"/>
  <c r="AD41" i="13"/>
  <c r="AD40" i="13"/>
  <c r="AD25" i="9"/>
  <c r="HJ162" i="34" s="1"/>
  <c r="HK162" i="34" s="1"/>
  <c r="AD28" i="15"/>
  <c r="AD25" i="6"/>
  <c r="AD34" i="12"/>
  <c r="AD47" i="10"/>
  <c r="AD32" i="5"/>
  <c r="AD46" i="15"/>
  <c r="AD36" i="6"/>
  <c r="AD43" i="10"/>
  <c r="AD21" i="13"/>
  <c r="AD26" i="9"/>
  <c r="AD45" i="10"/>
  <c r="AD28" i="4"/>
  <c r="AD47" i="7"/>
  <c r="AD50" i="14"/>
  <c r="AD35" i="14"/>
  <c r="AD38" i="8"/>
  <c r="AD49" i="5"/>
  <c r="AD37" i="11"/>
  <c r="AD50" i="9"/>
  <c r="AD45" i="4"/>
  <c r="AD42" i="4"/>
  <c r="AD24" i="7"/>
  <c r="AD36" i="8"/>
  <c r="HJ142" i="34" s="1"/>
  <c r="HK142" i="34" s="1"/>
  <c r="AD34" i="8"/>
  <c r="AD29" i="5"/>
  <c r="AD24" i="12"/>
  <c r="AD35" i="7"/>
  <c r="AD35" i="5"/>
  <c r="AD43" i="14"/>
  <c r="AD43" i="11"/>
  <c r="AD42" i="14"/>
  <c r="AD37" i="12"/>
  <c r="AD30" i="15"/>
  <c r="AD44" i="6"/>
  <c r="AD27" i="10"/>
  <c r="AD47" i="6"/>
  <c r="AD27" i="13"/>
  <c r="AD32" i="7"/>
  <c r="HJ107" i="34" s="1"/>
  <c r="HK107" i="34" s="1"/>
  <c r="AD30" i="5"/>
  <c r="AD50" i="15"/>
  <c r="AD33" i="4"/>
  <c r="AD33" i="7"/>
  <c r="HJ108" i="34" s="1"/>
  <c r="HK108" i="34" s="1"/>
  <c r="AD39" i="9"/>
  <c r="AD40" i="4"/>
  <c r="AD45" i="8"/>
  <c r="AD37" i="4"/>
  <c r="AD23" i="4"/>
  <c r="AD26" i="15"/>
  <c r="AD49" i="9"/>
  <c r="AD41" i="15"/>
  <c r="AD46" i="10"/>
  <c r="AD27" i="14"/>
  <c r="HJ319" i="34" s="1"/>
  <c r="HK319" i="34" s="1"/>
  <c r="AD23" i="10"/>
  <c r="AD25" i="5"/>
  <c r="AD22" i="4"/>
  <c r="HJ4" i="34" s="1"/>
  <c r="HK4" i="34" s="1"/>
  <c r="AD22" i="9"/>
  <c r="AD25" i="7"/>
  <c r="AD21" i="5"/>
  <c r="AD23" i="14"/>
  <c r="AD21" i="8"/>
  <c r="AD21" i="4"/>
  <c r="AD26" i="13"/>
  <c r="AD22" i="7"/>
  <c r="AD26" i="4"/>
  <c r="AD26" i="5"/>
  <c r="BD43" i="39"/>
  <c r="AD49" i="15"/>
  <c r="HJ372" i="34" s="1"/>
  <c r="HK372" i="34" s="1"/>
  <c r="AD47" i="12"/>
  <c r="HJ277" i="34" s="1"/>
  <c r="HK277" i="34" s="1"/>
  <c r="AD41" i="5"/>
  <c r="HJ54" i="34" s="1"/>
  <c r="HK54" i="34" s="1"/>
  <c r="AD29" i="12"/>
  <c r="HJ259" i="34" s="1"/>
  <c r="HK259" i="34" s="1"/>
  <c r="BD21" i="42"/>
  <c r="AD27" i="8"/>
  <c r="HJ133" i="34" s="1"/>
  <c r="HK133" i="34" s="1"/>
  <c r="BD37" i="35"/>
  <c r="AD26" i="12"/>
  <c r="HJ256" i="34" s="1"/>
  <c r="HK256" i="34" s="1"/>
  <c r="AC53" i="44"/>
  <c r="AD53" i="45"/>
  <c r="AD39" i="45"/>
  <c r="BD48" i="44"/>
  <c r="AD33" i="15"/>
  <c r="HJ356" i="34" s="1"/>
  <c r="HK356" i="34" s="1"/>
  <c r="AD39" i="6"/>
  <c r="HJ83" i="34" s="1"/>
  <c r="HK83" i="34" s="1"/>
  <c r="AD27" i="5"/>
  <c r="HJ40" i="34" s="1"/>
  <c r="HK40" i="34" s="1"/>
  <c r="FG47" i="9"/>
  <c r="DW47" i="9"/>
  <c r="BD29" i="39"/>
  <c r="BD20" i="38"/>
  <c r="AD28" i="7"/>
  <c r="HJ103" i="34" s="1"/>
  <c r="HK103" i="34" s="1"/>
  <c r="AD44" i="10"/>
  <c r="HJ212" i="34" s="1"/>
  <c r="HK212" i="34" s="1"/>
  <c r="AD49" i="10"/>
  <c r="HJ217" i="34" s="1"/>
  <c r="HK217" i="34" s="1"/>
  <c r="AD45" i="13"/>
  <c r="HJ306" i="34" s="1"/>
  <c r="HK306" i="34" s="1"/>
  <c r="AD26" i="8"/>
  <c r="HJ132" i="34" s="1"/>
  <c r="HK132" i="34" s="1"/>
  <c r="AD24" i="8"/>
  <c r="HJ130" i="34" s="1"/>
  <c r="HK130" i="34" s="1"/>
  <c r="AD24" i="4"/>
  <c r="HJ6" i="34" s="1"/>
  <c r="HK6" i="34" s="1"/>
  <c r="AD33" i="5"/>
  <c r="HJ46" i="34" s="1"/>
  <c r="HK46" i="34" s="1"/>
  <c r="BD19" i="39"/>
  <c r="AC34" i="39"/>
  <c r="AE52" i="38"/>
  <c r="AE38" i="38"/>
  <c r="AD40" i="10"/>
  <c r="HJ208" i="34" s="1"/>
  <c r="HK208" i="34" s="1"/>
  <c r="AC53" i="40"/>
  <c r="BD26" i="18"/>
  <c r="AD45" i="7"/>
  <c r="HJ120" i="34" s="1"/>
  <c r="HK120" i="34" s="1"/>
  <c r="AD26" i="10"/>
  <c r="HJ194" i="34" s="1"/>
  <c r="HK194" i="34" s="1"/>
  <c r="AD22" i="8"/>
  <c r="HJ128" i="34" s="1"/>
  <c r="HK128" i="34" s="1"/>
  <c r="AD49" i="13"/>
  <c r="HJ310" i="34" s="1"/>
  <c r="HK310" i="34" s="1"/>
  <c r="AD36" i="5"/>
  <c r="HJ49" i="34" s="1"/>
  <c r="HK49" i="34" s="1"/>
  <c r="AD31" i="5"/>
  <c r="HJ44" i="34" s="1"/>
  <c r="HK44" i="34" s="1"/>
  <c r="AD40" i="14"/>
  <c r="HJ332" i="34" s="1"/>
  <c r="HK332" i="34" s="1"/>
  <c r="AE52" i="39"/>
  <c r="AD45" i="9"/>
  <c r="HJ182" i="34" s="1"/>
  <c r="HK182" i="34" s="1"/>
  <c r="AD45" i="11"/>
  <c r="HJ244" i="34" s="1"/>
  <c r="HK244" i="34" s="1"/>
  <c r="BD23" i="35"/>
  <c r="AD43" i="4"/>
  <c r="HJ25" i="34" s="1"/>
  <c r="HK25" i="34" s="1"/>
  <c r="BD36" i="39"/>
  <c r="AD24" i="14"/>
  <c r="HJ316" i="34" s="1"/>
  <c r="HK316" i="34" s="1"/>
  <c r="AD44" i="7"/>
  <c r="HJ119" i="34" s="1"/>
  <c r="HK119" i="34" s="1"/>
  <c r="BD19" i="43"/>
  <c r="AD43" i="7"/>
  <c r="HJ118" i="34" s="1"/>
  <c r="HK118" i="34" s="1"/>
  <c r="AD36" i="4"/>
  <c r="HJ18" i="34" s="1"/>
  <c r="HK18" i="34" s="1"/>
  <c r="AD48" i="10"/>
  <c r="HJ216" i="34" s="1"/>
  <c r="HK216" i="34" s="1"/>
  <c r="AD32" i="8"/>
  <c r="HJ138" i="34" s="1"/>
  <c r="HK138" i="34" s="1"/>
  <c r="AD21" i="7"/>
  <c r="HJ96" i="34" s="1"/>
  <c r="HK96" i="34" s="1"/>
  <c r="DV41" i="9"/>
  <c r="FG41" i="9"/>
  <c r="BD19" i="41"/>
  <c r="AE39" i="40"/>
  <c r="AE53" i="40"/>
  <c r="DV46" i="12"/>
  <c r="EB46" i="12"/>
  <c r="BD37" i="36"/>
  <c r="BD41" i="40"/>
  <c r="BD23" i="44"/>
  <c r="AC53" i="43"/>
  <c r="AC39" i="43"/>
  <c r="BD47" i="43"/>
  <c r="BD27" i="40"/>
  <c r="BD34" i="40"/>
  <c r="BD34" i="37"/>
  <c r="BD28" i="45"/>
  <c r="AD34" i="43"/>
  <c r="BD42" i="42"/>
  <c r="BD32" i="38"/>
  <c r="BD19" i="42"/>
  <c r="AE38" i="41"/>
  <c r="AE52" i="41"/>
  <c r="BD40" i="18"/>
  <c r="AD40" i="5"/>
  <c r="HJ53" i="34" s="1"/>
  <c r="HK53" i="34" s="1"/>
  <c r="AD33" i="13"/>
  <c r="HJ294" i="34" s="1"/>
  <c r="HK294" i="34" s="1"/>
  <c r="EB21" i="6"/>
  <c r="DX21" i="6"/>
  <c r="AD32" i="15"/>
  <c r="HJ355" i="34" s="1"/>
  <c r="HK355" i="34" s="1"/>
  <c r="AD43" i="6"/>
  <c r="HJ87" i="34" s="1"/>
  <c r="HK87" i="34" s="1"/>
  <c r="AD27" i="7"/>
  <c r="HJ102" i="34" s="1"/>
  <c r="HK102" i="34" s="1"/>
  <c r="AD50" i="6"/>
  <c r="HJ94" i="34" s="1"/>
  <c r="HK94" i="34" s="1"/>
  <c r="BD40" i="43"/>
  <c r="BD19" i="36"/>
  <c r="AD29" i="8"/>
  <c r="HJ135" i="34" s="1"/>
  <c r="HK135" i="34" s="1"/>
  <c r="BD30" i="35"/>
  <c r="AC53" i="42"/>
  <c r="BD48" i="42"/>
  <c r="AC39" i="42"/>
  <c r="AD23" i="12"/>
  <c r="HJ253" i="34" s="1"/>
  <c r="HK253" i="34" s="1"/>
  <c r="AD21" i="9"/>
  <c r="HJ158" i="34" s="1"/>
  <c r="HK158" i="34" s="1"/>
  <c r="BD24" i="41"/>
  <c r="AD39" i="5"/>
  <c r="HJ52" i="34" s="1"/>
  <c r="HK52" i="34" s="1"/>
  <c r="EA29" i="14"/>
  <c r="DV29" i="14"/>
  <c r="AD42" i="9"/>
  <c r="HJ179" i="34" s="1"/>
  <c r="HK179" i="34" s="1"/>
  <c r="AD38" i="9"/>
  <c r="HJ175" i="34" s="1"/>
  <c r="HK175" i="34" s="1"/>
  <c r="AD45" i="5"/>
  <c r="HJ58" i="34" s="1"/>
  <c r="HK58" i="34" s="1"/>
  <c r="BD19" i="44"/>
  <c r="AE39" i="43"/>
  <c r="AE53" i="43"/>
  <c r="AC39" i="44"/>
  <c r="BD19" i="35"/>
  <c r="BD25" i="38"/>
  <c r="BD19" i="18"/>
  <c r="AS27" i="11"/>
  <c r="FA27" i="11"/>
  <c r="AM27" i="11" s="1"/>
  <c r="GJ27" i="11" s="1"/>
  <c r="GM27" i="11" s="1"/>
  <c r="AD41" i="6"/>
  <c r="HJ85" i="34" s="1"/>
  <c r="HK85" i="34" s="1"/>
  <c r="AD27" i="6"/>
  <c r="HJ71" i="34" s="1"/>
  <c r="HK71" i="34" s="1"/>
  <c r="AD38" i="15"/>
  <c r="HJ361" i="34" s="1"/>
  <c r="HK361" i="34" s="1"/>
  <c r="AD37" i="5"/>
  <c r="HJ50" i="34" s="1"/>
  <c r="HK50" i="34" s="1"/>
  <c r="AD43" i="15"/>
  <c r="HJ366" i="34" s="1"/>
  <c r="HK366" i="34" s="1"/>
  <c r="AD48" i="15"/>
  <c r="HJ371" i="34" s="1"/>
  <c r="HK371" i="34" s="1"/>
  <c r="AD21" i="14"/>
  <c r="HJ313" i="34" s="1"/>
  <c r="HK313" i="34" s="1"/>
  <c r="AD21" i="12"/>
  <c r="HJ251" i="34" s="1"/>
  <c r="HK251" i="34" s="1"/>
  <c r="AD24" i="11"/>
  <c r="HJ223" i="34" s="1"/>
  <c r="HK223" i="34" s="1"/>
  <c r="AD37" i="13"/>
  <c r="HJ298" i="34" s="1"/>
  <c r="HK298" i="34" s="1"/>
  <c r="AD22" i="13"/>
  <c r="HJ283" i="34" s="1"/>
  <c r="HK283" i="34" s="1"/>
  <c r="AD36" i="15"/>
  <c r="HJ359" i="34" s="1"/>
  <c r="HK359" i="34" s="1"/>
  <c r="AD30" i="6"/>
  <c r="HJ74" i="34" s="1"/>
  <c r="HK74" i="34" s="1"/>
  <c r="AD38" i="12"/>
  <c r="HJ268" i="34" s="1"/>
  <c r="HK268" i="34" s="1"/>
  <c r="AD29" i="10"/>
  <c r="HJ197" i="34" s="1"/>
  <c r="HK197" i="34" s="1"/>
  <c r="AD22" i="6"/>
  <c r="HJ66" i="34" s="1"/>
  <c r="HK66" i="34" s="1"/>
  <c r="AD35" i="12"/>
  <c r="HJ265" i="34" s="1"/>
  <c r="HK265" i="34" s="1"/>
  <c r="AD38" i="6"/>
  <c r="HJ82" i="34" s="1"/>
  <c r="HK82" i="34" s="1"/>
  <c r="AD45" i="15"/>
  <c r="HJ368" i="34" s="1"/>
  <c r="HK368" i="34" s="1"/>
  <c r="AD41" i="8"/>
  <c r="HJ147" i="34" s="1"/>
  <c r="HK147" i="34" s="1"/>
  <c r="AD24" i="10"/>
  <c r="HJ192" i="34" s="1"/>
  <c r="HK192" i="34" s="1"/>
  <c r="AD32" i="11"/>
  <c r="HJ231" i="34" s="1"/>
  <c r="HK231" i="34" s="1"/>
  <c r="AD23" i="11"/>
  <c r="HJ222" i="34" s="1"/>
  <c r="HK222" i="34" s="1"/>
  <c r="AD47" i="4"/>
  <c r="HJ29" i="34" s="1"/>
  <c r="HK29" i="34" s="1"/>
  <c r="AD31" i="13"/>
  <c r="HJ292" i="34" s="1"/>
  <c r="HK292" i="34" s="1"/>
  <c r="AD42" i="7"/>
  <c r="HJ117" i="34" s="1"/>
  <c r="HK117" i="34" s="1"/>
  <c r="AD34" i="4"/>
  <c r="HJ16" i="34" s="1"/>
  <c r="HK16" i="34" s="1"/>
  <c r="AD21" i="15"/>
  <c r="HJ344" i="34" s="1"/>
  <c r="HK344" i="34" s="1"/>
  <c r="AD44" i="15"/>
  <c r="HJ367" i="34" s="1"/>
  <c r="HK367" i="34" s="1"/>
  <c r="AD44" i="9"/>
  <c r="HJ181" i="34" s="1"/>
  <c r="HK181" i="34" s="1"/>
  <c r="AD48" i="11"/>
  <c r="HJ247" i="34" s="1"/>
  <c r="HK247" i="34" s="1"/>
  <c r="AD46" i="6"/>
  <c r="HJ90" i="34" s="1"/>
  <c r="HK90" i="34" s="1"/>
  <c r="AD27" i="4"/>
  <c r="HJ9" i="34" s="1"/>
  <c r="HK9" i="34" s="1"/>
  <c r="AD25" i="13"/>
  <c r="HJ286" i="34" s="1"/>
  <c r="HK286" i="34" s="1"/>
  <c r="AD49" i="12"/>
  <c r="HJ279" i="34" s="1"/>
  <c r="HK279" i="34" s="1"/>
  <c r="AD33" i="12"/>
  <c r="HJ263" i="34" s="1"/>
  <c r="HK263" i="34" s="1"/>
  <c r="AD39" i="8"/>
  <c r="HJ145" i="34" s="1"/>
  <c r="HK145" i="34" s="1"/>
  <c r="AD38" i="5"/>
  <c r="HJ51" i="34" s="1"/>
  <c r="HK51" i="34" s="1"/>
  <c r="AD42" i="8"/>
  <c r="HJ148" i="34" s="1"/>
  <c r="HK148" i="34" s="1"/>
  <c r="AD33" i="8"/>
  <c r="HJ139" i="34" s="1"/>
  <c r="HK139" i="34" s="1"/>
  <c r="AD22" i="11"/>
  <c r="HJ221" i="34" s="1"/>
  <c r="HK221" i="34" s="1"/>
  <c r="AD31" i="6"/>
  <c r="HJ75" i="34" s="1"/>
  <c r="HK75" i="34" s="1"/>
  <c r="AD22" i="5"/>
  <c r="HJ35" i="34" s="1"/>
  <c r="HK35" i="34" s="1"/>
  <c r="BD46" i="35"/>
  <c r="AD48" i="9"/>
  <c r="HJ185" i="34" s="1"/>
  <c r="HK185" i="34" s="1"/>
  <c r="AD26" i="6"/>
  <c r="HJ70" i="34" s="1"/>
  <c r="HK70" i="34" s="1"/>
  <c r="AD30" i="10"/>
  <c r="HJ198" i="34" s="1"/>
  <c r="HK198" i="34" s="1"/>
  <c r="AD45" i="14"/>
  <c r="HJ337" i="34" s="1"/>
  <c r="HK337" i="34" s="1"/>
  <c r="AD48" i="7"/>
  <c r="HJ123" i="34" s="1"/>
  <c r="HK123" i="34" s="1"/>
  <c r="AD46" i="5"/>
  <c r="HJ59" i="34" s="1"/>
  <c r="HK59" i="34" s="1"/>
  <c r="AD47" i="11"/>
  <c r="HJ246" i="34" s="1"/>
  <c r="HK246" i="34" s="1"/>
  <c r="AD22" i="10"/>
  <c r="HJ190" i="34" s="1"/>
  <c r="HK190" i="34" s="1"/>
  <c r="AD24" i="9"/>
  <c r="HJ161" i="34" s="1"/>
  <c r="HK161" i="34" s="1"/>
  <c r="AD40" i="11"/>
  <c r="HJ239" i="34" s="1"/>
  <c r="HK239" i="34" s="1"/>
  <c r="AD49" i="14"/>
  <c r="HJ341" i="34" s="1"/>
  <c r="HK341" i="34" s="1"/>
  <c r="AD33" i="11"/>
  <c r="HJ232" i="34" s="1"/>
  <c r="HK232" i="34" s="1"/>
  <c r="AD31" i="8"/>
  <c r="HJ137" i="34" s="1"/>
  <c r="HK137" i="34" s="1"/>
  <c r="AD43" i="9"/>
  <c r="HJ180" i="34" s="1"/>
  <c r="HK180" i="34" s="1"/>
  <c r="AD34" i="5"/>
  <c r="HJ47" i="34" s="1"/>
  <c r="HK47" i="34" s="1"/>
  <c r="AD41" i="11"/>
  <c r="HJ240" i="34" s="1"/>
  <c r="HK240" i="34" s="1"/>
  <c r="AD48" i="12"/>
  <c r="HJ278" i="34" s="1"/>
  <c r="HK278" i="34" s="1"/>
  <c r="AD37" i="9"/>
  <c r="HJ174" i="34" s="1"/>
  <c r="HK174" i="34" s="1"/>
  <c r="AD34" i="9"/>
  <c r="HJ171" i="34" s="1"/>
  <c r="HK171" i="34" s="1"/>
  <c r="AD48" i="6"/>
  <c r="HJ92" i="34" s="1"/>
  <c r="HK92" i="34" s="1"/>
  <c r="AD28" i="13"/>
  <c r="HJ289" i="34" s="1"/>
  <c r="HK289" i="34" s="1"/>
  <c r="AD41" i="14"/>
  <c r="HJ333" i="34" s="1"/>
  <c r="HK333" i="34" s="1"/>
  <c r="AD31" i="11"/>
  <c r="HJ230" i="34" s="1"/>
  <c r="HK230" i="34" s="1"/>
  <c r="AD45" i="6"/>
  <c r="HJ89" i="34" s="1"/>
  <c r="HK89" i="34" s="1"/>
  <c r="BD33" i="18"/>
  <c r="BD20" i="37"/>
  <c r="BD30" i="44"/>
  <c r="AC48" i="45"/>
  <c r="AD34" i="37"/>
  <c r="AD48" i="37"/>
  <c r="BD23" i="36"/>
  <c r="AE52" i="36"/>
  <c r="BD44" i="44"/>
  <c r="BD33" i="43"/>
  <c r="BD31" i="41"/>
  <c r="AD32" i="14"/>
  <c r="HJ324" i="34" s="1"/>
  <c r="HK324" i="34" s="1"/>
  <c r="AD28" i="9"/>
  <c r="HJ165" i="34" s="1"/>
  <c r="HK165" i="34" s="1"/>
  <c r="AD22" i="14"/>
  <c r="HJ314" i="34" s="1"/>
  <c r="HK314" i="34" s="1"/>
  <c r="BD42" i="45"/>
  <c r="BD37" i="44"/>
  <c r="FG43" i="5"/>
  <c r="AS43" i="5"/>
  <c r="DV43" i="5"/>
  <c r="EA44" i="12"/>
  <c r="DW44" i="12"/>
  <c r="BD35" i="42"/>
  <c r="AS29" i="11"/>
  <c r="AD39" i="14"/>
  <c r="HJ331" i="34" s="1"/>
  <c r="HK331" i="34" s="1"/>
  <c r="AD33" i="9"/>
  <c r="HJ170" i="34" s="1"/>
  <c r="HK170" i="34" s="1"/>
  <c r="AD25" i="10"/>
  <c r="HJ193" i="34" s="1"/>
  <c r="HK193" i="34" s="1"/>
  <c r="AD24" i="6"/>
  <c r="HJ68" i="34" s="1"/>
  <c r="HK68" i="34" s="1"/>
  <c r="AD45" i="12"/>
  <c r="HJ275" i="34" s="1"/>
  <c r="HK275" i="34" s="1"/>
  <c r="AD29" i="6"/>
  <c r="HJ73" i="34" s="1"/>
  <c r="HK73" i="34" s="1"/>
  <c r="AE52" i="44"/>
  <c r="AD46" i="8"/>
  <c r="HJ152" i="34" s="1"/>
  <c r="HK152" i="34" s="1"/>
  <c r="AD22" i="12"/>
  <c r="HJ252" i="34" s="1"/>
  <c r="HK252" i="34" s="1"/>
  <c r="AD34" i="13"/>
  <c r="HJ295" i="34" s="1"/>
  <c r="HK295" i="34" s="1"/>
  <c r="AD42" i="15"/>
  <c r="HJ365" i="34" s="1"/>
  <c r="HK365" i="34" s="1"/>
  <c r="AD39" i="4"/>
  <c r="HJ21" i="34" s="1"/>
  <c r="HK21" i="34" s="1"/>
  <c r="AD40" i="6"/>
  <c r="HJ84" i="34" s="1"/>
  <c r="HK84" i="34" s="1"/>
  <c r="AD33" i="6"/>
  <c r="HJ77" i="34" s="1"/>
  <c r="HK77" i="34" s="1"/>
  <c r="AD23" i="9"/>
  <c r="HJ160" i="34" s="1"/>
  <c r="HK160" i="34" s="1"/>
  <c r="AD29" i="4"/>
  <c r="HJ11" i="34" s="1"/>
  <c r="HK11" i="34" s="1"/>
  <c r="AD38" i="13"/>
  <c r="HJ299" i="34" s="1"/>
  <c r="HK299" i="34" s="1"/>
  <c r="AD40" i="12"/>
  <c r="HJ270" i="34" s="1"/>
  <c r="HK270" i="34" s="1"/>
  <c r="AD23" i="13"/>
  <c r="HJ284" i="34" s="1"/>
  <c r="HK284" i="34" s="1"/>
  <c r="AD33" i="10"/>
  <c r="HJ201" i="34" s="1"/>
  <c r="HK201" i="34" s="1"/>
  <c r="AD46" i="11"/>
  <c r="HJ245" i="34" s="1"/>
  <c r="HK245" i="34" s="1"/>
  <c r="AD40" i="8"/>
  <c r="HJ146" i="34" s="1"/>
  <c r="HK146" i="34" s="1"/>
  <c r="AD34" i="11"/>
  <c r="HJ233" i="34" s="1"/>
  <c r="HK233" i="34" s="1"/>
  <c r="AD38" i="14"/>
  <c r="HJ330" i="34" s="1"/>
  <c r="HK330" i="34" s="1"/>
  <c r="AS35" i="9"/>
  <c r="AD50" i="4"/>
  <c r="HJ32" i="34" s="1"/>
  <c r="HK32" i="34" s="1"/>
  <c r="AD23" i="7"/>
  <c r="HJ98" i="34" s="1"/>
  <c r="HK98" i="34" s="1"/>
  <c r="BD44" i="35"/>
  <c r="BD45" i="41"/>
  <c r="AD32" i="10"/>
  <c r="HJ200" i="34" s="1"/>
  <c r="HK200" i="34" s="1"/>
  <c r="AD37" i="6"/>
  <c r="HJ81" i="34" s="1"/>
  <c r="HK81" i="34" s="1"/>
  <c r="AD34" i="6"/>
  <c r="HJ78" i="34" s="1"/>
  <c r="HK78" i="34" s="1"/>
  <c r="BD28" i="42"/>
  <c r="AD39" i="7"/>
  <c r="HJ114" i="34" s="1"/>
  <c r="HK114" i="34" s="1"/>
  <c r="AD23" i="5"/>
  <c r="HJ36" i="34" s="1"/>
  <c r="HK36" i="34" s="1"/>
  <c r="BD39" i="38"/>
  <c r="AD25" i="11"/>
  <c r="HJ224" i="34" s="1"/>
  <c r="HK224" i="34" s="1"/>
  <c r="AD32" i="6"/>
  <c r="HJ76" i="34" s="1"/>
  <c r="HK76" i="34" s="1"/>
  <c r="AC39" i="18"/>
  <c r="BD21" i="45"/>
  <c r="BD22" i="39"/>
  <c r="BD44" i="36"/>
  <c r="BD46" i="38"/>
  <c r="BD26" i="43"/>
  <c r="BD20" i="40"/>
  <c r="BD30" i="36"/>
  <c r="AD34" i="15"/>
  <c r="HJ357" i="34" s="1"/>
  <c r="HK357" i="34" s="1"/>
  <c r="AC53" i="18"/>
  <c r="BD19" i="38"/>
  <c r="BD27" i="37"/>
  <c r="AC34" i="42" l="1"/>
  <c r="AE53" i="41"/>
  <c r="AE39" i="41"/>
  <c r="AC48" i="39"/>
  <c r="FA26" i="4"/>
  <c r="AM26" i="4" s="1"/>
  <c r="HJ8" i="34"/>
  <c r="HK8" i="34" s="1"/>
  <c r="AS26" i="13"/>
  <c r="HJ287" i="34"/>
  <c r="HK287" i="34" s="1"/>
  <c r="FG21" i="8"/>
  <c r="HJ127" i="34"/>
  <c r="HK127" i="34" s="1"/>
  <c r="DU21" i="5"/>
  <c r="HJ34" i="34"/>
  <c r="HK34" i="34" s="1"/>
  <c r="FA22" i="9"/>
  <c r="AM22" i="9" s="1"/>
  <c r="HJ159" i="34"/>
  <c r="HK159" i="34" s="1"/>
  <c r="DX25" i="5"/>
  <c r="HJ38" i="34"/>
  <c r="HK38" i="34" s="1"/>
  <c r="FA41" i="15"/>
  <c r="AM41" i="15" s="1"/>
  <c r="HJ364" i="34"/>
  <c r="HK364" i="34" s="1"/>
  <c r="FA26" i="15"/>
  <c r="AM26" i="15" s="1"/>
  <c r="HJ349" i="34"/>
  <c r="HK349" i="34" s="1"/>
  <c r="FA37" i="4"/>
  <c r="AM37" i="4" s="1"/>
  <c r="HJ19" i="34"/>
  <c r="HK19" i="34" s="1"/>
  <c r="FA40" i="4"/>
  <c r="AM40" i="4" s="1"/>
  <c r="GF40" i="4" s="1"/>
  <c r="HJ22" i="34"/>
  <c r="HK22" i="34" s="1"/>
  <c r="FA50" i="15"/>
  <c r="AM50" i="15" s="1"/>
  <c r="HJ373" i="34"/>
  <c r="HK373" i="34" s="1"/>
  <c r="HL373" i="34" s="1"/>
  <c r="FG47" i="6"/>
  <c r="HJ91" i="34"/>
  <c r="HK91" i="34" s="1"/>
  <c r="DY44" i="6"/>
  <c r="HJ88" i="34"/>
  <c r="HK88" i="34" s="1"/>
  <c r="DW37" i="12"/>
  <c r="HJ267" i="34"/>
  <c r="HK267" i="34" s="1"/>
  <c r="FA43" i="11"/>
  <c r="AM43" i="11" s="1"/>
  <c r="HJ242" i="34"/>
  <c r="HK242" i="34" s="1"/>
  <c r="FA35" i="5"/>
  <c r="AM35" i="5" s="1"/>
  <c r="HJ48" i="34"/>
  <c r="HK48" i="34" s="1"/>
  <c r="AS24" i="12"/>
  <c r="HJ254" i="34"/>
  <c r="HK254" i="34" s="1"/>
  <c r="FA34" i="8"/>
  <c r="AM34" i="8" s="1"/>
  <c r="EA32" i="38" s="1"/>
  <c r="EB32" i="38" s="1"/>
  <c r="HJ140" i="34"/>
  <c r="HK140" i="34" s="1"/>
  <c r="FA24" i="7"/>
  <c r="AM24" i="7" s="1"/>
  <c r="HJ99" i="34"/>
  <c r="HK99" i="34" s="1"/>
  <c r="DV45" i="4"/>
  <c r="HJ27" i="34"/>
  <c r="HK27" i="34" s="1"/>
  <c r="FA37" i="11"/>
  <c r="AM37" i="11" s="1"/>
  <c r="EA35" i="41" s="1"/>
  <c r="CG35" i="41" s="1"/>
  <c r="HJ236" i="34"/>
  <c r="HK236" i="34" s="1"/>
  <c r="FA38" i="8"/>
  <c r="AM38" i="8" s="1"/>
  <c r="HJ144" i="34"/>
  <c r="HK144" i="34" s="1"/>
  <c r="EA50" i="14"/>
  <c r="HJ342" i="34"/>
  <c r="AS28" i="4"/>
  <c r="HJ10" i="34"/>
  <c r="HK10" i="34" s="1"/>
  <c r="EB26" i="9"/>
  <c r="HJ163" i="34"/>
  <c r="HK163" i="34" s="1"/>
  <c r="EA43" i="10"/>
  <c r="HJ211" i="34"/>
  <c r="HK211" i="34" s="1"/>
  <c r="FA46" i="15"/>
  <c r="AM46" i="15" s="1"/>
  <c r="HJ369" i="34"/>
  <c r="HK369" i="34" s="1"/>
  <c r="DW47" i="10"/>
  <c r="HJ215" i="34"/>
  <c r="HK215" i="34" s="1"/>
  <c r="FA25" i="6"/>
  <c r="AM25" i="6" s="1"/>
  <c r="HJ69" i="34"/>
  <c r="HK69" i="34" s="1"/>
  <c r="DX41" i="13"/>
  <c r="HJ302" i="34"/>
  <c r="HK302" i="34" s="1"/>
  <c r="DU36" i="13"/>
  <c r="HJ297" i="34"/>
  <c r="HK297" i="34" s="1"/>
  <c r="DX24" i="15"/>
  <c r="HJ347" i="34"/>
  <c r="HK347" i="34" s="1"/>
  <c r="FG31" i="9"/>
  <c r="HJ168" i="34"/>
  <c r="HK168" i="34" s="1"/>
  <c r="EA41" i="7"/>
  <c r="HJ116" i="34"/>
  <c r="HK116" i="34" s="1"/>
  <c r="FG23" i="6"/>
  <c r="HJ67" i="34"/>
  <c r="HK67" i="34" s="1"/>
  <c r="FG42" i="5"/>
  <c r="HJ55" i="34"/>
  <c r="HK55" i="34" s="1"/>
  <c r="EA46" i="4"/>
  <c r="HJ28" i="34"/>
  <c r="HK28" i="34" s="1"/>
  <c r="FA46" i="9"/>
  <c r="AM46" i="9" s="1"/>
  <c r="HJ183" i="34"/>
  <c r="HK183" i="34" s="1"/>
  <c r="AS50" i="10"/>
  <c r="HJ218" i="34"/>
  <c r="HK218" i="34" s="1"/>
  <c r="FA38" i="10"/>
  <c r="AM38" i="10" s="1"/>
  <c r="EA36" i="40" s="1"/>
  <c r="CG36" i="40" s="1"/>
  <c r="HJ206" i="34"/>
  <c r="HK206" i="34" s="1"/>
  <c r="FA26" i="7"/>
  <c r="AM26" i="7" s="1"/>
  <c r="HJ101" i="34"/>
  <c r="HK101" i="34" s="1"/>
  <c r="FA42" i="13"/>
  <c r="AM42" i="13" s="1"/>
  <c r="HJ303" i="34"/>
  <c r="HK303" i="34" s="1"/>
  <c r="FA28" i="6"/>
  <c r="AM28" i="6" s="1"/>
  <c r="HJ72" i="34"/>
  <c r="HK72" i="34" s="1"/>
  <c r="DX44" i="13"/>
  <c r="HJ305" i="34"/>
  <c r="HK305" i="34" s="1"/>
  <c r="FA36" i="12"/>
  <c r="AM36" i="12" s="1"/>
  <c r="EA34" i="42" s="1"/>
  <c r="CG34" i="42" s="1"/>
  <c r="HJ266" i="34"/>
  <c r="HK266" i="34" s="1"/>
  <c r="DY46" i="14"/>
  <c r="HJ338" i="34"/>
  <c r="HK338" i="34" s="1"/>
  <c r="FA40" i="9"/>
  <c r="AM40" i="9" s="1"/>
  <c r="HJ177" i="34"/>
  <c r="HK177" i="34" s="1"/>
  <c r="FG36" i="9"/>
  <c r="HJ173" i="34"/>
  <c r="HK173" i="34" s="1"/>
  <c r="EA23" i="15"/>
  <c r="HJ346" i="34"/>
  <c r="HK346" i="34" s="1"/>
  <c r="EB28" i="8"/>
  <c r="HJ134" i="34"/>
  <c r="HK134" i="34" s="1"/>
  <c r="DX50" i="12"/>
  <c r="HJ280" i="34"/>
  <c r="DW38" i="11"/>
  <c r="HJ237" i="34"/>
  <c r="HK237" i="34" s="1"/>
  <c r="DW50" i="13"/>
  <c r="HJ311" i="34"/>
  <c r="HK311" i="34" s="1"/>
  <c r="FG39" i="11"/>
  <c r="HJ238" i="34"/>
  <c r="HK238" i="34" s="1"/>
  <c r="DV28" i="11"/>
  <c r="HJ227" i="34"/>
  <c r="HK227" i="34" s="1"/>
  <c r="DV44" i="8"/>
  <c r="HJ150" i="34"/>
  <c r="HK150" i="34" s="1"/>
  <c r="DU21" i="11"/>
  <c r="HJ220" i="34"/>
  <c r="HK220" i="34" s="1"/>
  <c r="DU24" i="13"/>
  <c r="HJ285" i="34"/>
  <c r="HK285" i="34" s="1"/>
  <c r="DW43" i="13"/>
  <c r="HJ304" i="34"/>
  <c r="HK304" i="34" s="1"/>
  <c r="DU23" i="8"/>
  <c r="HJ129" i="34"/>
  <c r="HK129" i="34" s="1"/>
  <c r="DW43" i="12"/>
  <c r="HJ273" i="34"/>
  <c r="HK273" i="34" s="1"/>
  <c r="DY27" i="9"/>
  <c r="HJ164" i="34"/>
  <c r="HK164" i="34" s="1"/>
  <c r="FA33" i="14"/>
  <c r="AM33" i="14" s="1"/>
  <c r="HJ325" i="34"/>
  <c r="HK325" i="34" s="1"/>
  <c r="FA31" i="12"/>
  <c r="AM31" i="12" s="1"/>
  <c r="HJ261" i="34"/>
  <c r="HK261" i="34" s="1"/>
  <c r="FA39" i="12"/>
  <c r="AM39" i="12" s="1"/>
  <c r="HJ269" i="34"/>
  <c r="HK269" i="34" s="1"/>
  <c r="DW38" i="4"/>
  <c r="HJ20" i="34"/>
  <c r="HK20" i="34" s="1"/>
  <c r="FA35" i="10"/>
  <c r="AM35" i="10" s="1"/>
  <c r="HJ203" i="34"/>
  <c r="HK203" i="34" s="1"/>
  <c r="FG35" i="4"/>
  <c r="HJ17" i="34"/>
  <c r="HK17" i="34" s="1"/>
  <c r="EA35" i="15"/>
  <c r="HJ358" i="34"/>
  <c r="HK358" i="34" s="1"/>
  <c r="FA47" i="8"/>
  <c r="AM47" i="8" s="1"/>
  <c r="EA45" i="38" s="1"/>
  <c r="EB45" i="38" s="1"/>
  <c r="HJ153" i="34"/>
  <c r="HK153" i="34" s="1"/>
  <c r="DY49" i="7"/>
  <c r="HJ124" i="34"/>
  <c r="HK124" i="34" s="1"/>
  <c r="DY28" i="5"/>
  <c r="HJ41" i="34"/>
  <c r="HK41" i="34" s="1"/>
  <c r="EA36" i="7"/>
  <c r="HJ111" i="34"/>
  <c r="HK111" i="34" s="1"/>
  <c r="DY48" i="14"/>
  <c r="HJ340" i="34"/>
  <c r="HK340" i="34" s="1"/>
  <c r="FA48" i="5"/>
  <c r="AM48" i="5" s="1"/>
  <c r="HJ61" i="34"/>
  <c r="EA36" i="14"/>
  <c r="HJ328" i="34"/>
  <c r="HK328" i="34" s="1"/>
  <c r="FA38" i="7"/>
  <c r="AM38" i="7" s="1"/>
  <c r="EA36" i="37" s="1"/>
  <c r="EB36" i="37" s="1"/>
  <c r="HJ113" i="34"/>
  <c r="HK113" i="34" s="1"/>
  <c r="AD34" i="44"/>
  <c r="FG31" i="15"/>
  <c r="HJ354" i="34"/>
  <c r="HK354" i="34" s="1"/>
  <c r="FA30" i="11"/>
  <c r="AM30" i="11" s="1"/>
  <c r="HJ229" i="34"/>
  <c r="HK229" i="34" s="1"/>
  <c r="FA31" i="4"/>
  <c r="AM31" i="4" s="1"/>
  <c r="GJ31" i="4" s="1"/>
  <c r="GM31" i="4" s="1"/>
  <c r="HJ13" i="34"/>
  <c r="HK13" i="34" s="1"/>
  <c r="FG46" i="13"/>
  <c r="HJ307" i="34"/>
  <c r="HK307" i="34" s="1"/>
  <c r="FG37" i="8"/>
  <c r="HJ143" i="34"/>
  <c r="HK143" i="34" s="1"/>
  <c r="DY30" i="12"/>
  <c r="HJ260" i="34"/>
  <c r="HK260" i="34" s="1"/>
  <c r="DY41" i="12"/>
  <c r="HJ271" i="34"/>
  <c r="HK271" i="34" s="1"/>
  <c r="FA35" i="8"/>
  <c r="AM35" i="8" s="1"/>
  <c r="HJ141" i="34"/>
  <c r="HK141" i="34" s="1"/>
  <c r="FA27" i="15"/>
  <c r="AM27" i="15" s="1"/>
  <c r="GF27" i="15" s="1"/>
  <c r="HJ350" i="34"/>
  <c r="HK350" i="34" s="1"/>
  <c r="FG49" i="6"/>
  <c r="HJ93" i="34"/>
  <c r="HK93" i="34" s="1"/>
  <c r="FG32" i="9"/>
  <c r="HJ169" i="34"/>
  <c r="HK169" i="34" s="1"/>
  <c r="FA40" i="7"/>
  <c r="AM40" i="7" s="1"/>
  <c r="GJ40" i="7" s="1"/>
  <c r="GM40" i="7" s="1"/>
  <c r="HJ115" i="34"/>
  <c r="HK115" i="34" s="1"/>
  <c r="EB30" i="8"/>
  <c r="HJ136" i="34"/>
  <c r="HK136" i="34" s="1"/>
  <c r="FG22" i="15"/>
  <c r="HJ345" i="34"/>
  <c r="HK345" i="34" s="1"/>
  <c r="EA47" i="14"/>
  <c r="HJ339" i="34"/>
  <c r="HK339" i="34" s="1"/>
  <c r="EB41" i="4"/>
  <c r="HJ23" i="34"/>
  <c r="HK23" i="34" s="1"/>
  <c r="FA30" i="7"/>
  <c r="AM30" i="7" s="1"/>
  <c r="GJ30" i="7" s="1"/>
  <c r="GM30" i="7" s="1"/>
  <c r="HJ105" i="34"/>
  <c r="HK105" i="34" s="1"/>
  <c r="FA35" i="9"/>
  <c r="AM35" i="9" s="1"/>
  <c r="GJ35" i="9" s="1"/>
  <c r="GM35" i="9" s="1"/>
  <c r="HJ172" i="34"/>
  <c r="HK172" i="34" s="1"/>
  <c r="DY47" i="15"/>
  <c r="HJ370" i="34"/>
  <c r="HK370" i="34" s="1"/>
  <c r="HL370" i="34" s="1"/>
  <c r="DY42" i="6"/>
  <c r="HJ86" i="34"/>
  <c r="HK86" i="34" s="1"/>
  <c r="DW49" i="11"/>
  <c r="HJ248" i="34"/>
  <c r="HK248" i="34" s="1"/>
  <c r="FA26" i="5"/>
  <c r="AM26" i="5" s="1"/>
  <c r="HJ39" i="34"/>
  <c r="HK39" i="34" s="1"/>
  <c r="EA22" i="7"/>
  <c r="HJ97" i="34"/>
  <c r="HK97" i="34" s="1"/>
  <c r="DY21" i="4"/>
  <c r="HJ3" i="34"/>
  <c r="HK3" i="34" s="1"/>
  <c r="DU23" i="14"/>
  <c r="HJ315" i="34"/>
  <c r="HK315" i="34" s="1"/>
  <c r="FA25" i="7"/>
  <c r="AM25" i="7" s="1"/>
  <c r="HJ100" i="34"/>
  <c r="HK100" i="34" s="1"/>
  <c r="DY23" i="10"/>
  <c r="HJ191" i="34"/>
  <c r="HK191" i="34" s="1"/>
  <c r="FA46" i="10"/>
  <c r="AM46" i="10" s="1"/>
  <c r="EA44" i="40" s="1"/>
  <c r="CG44" i="40" s="1"/>
  <c r="HJ214" i="34"/>
  <c r="HK214" i="34" s="1"/>
  <c r="EB49" i="9"/>
  <c r="HJ186" i="34"/>
  <c r="HK186" i="34" s="1"/>
  <c r="AS23" i="4"/>
  <c r="HJ5" i="34"/>
  <c r="HK5" i="34" s="1"/>
  <c r="FA45" i="8"/>
  <c r="AM45" i="8" s="1"/>
  <c r="GJ45" i="8" s="1"/>
  <c r="GM45" i="8" s="1"/>
  <c r="HJ151" i="34"/>
  <c r="HK151" i="34" s="1"/>
  <c r="FA39" i="9"/>
  <c r="AM39" i="9" s="1"/>
  <c r="EA37" i="39" s="1"/>
  <c r="CG37" i="39" s="1"/>
  <c r="HJ176" i="34"/>
  <c r="HK176" i="34" s="1"/>
  <c r="DY33" i="4"/>
  <c r="HJ15" i="34"/>
  <c r="HK15" i="34" s="1"/>
  <c r="FA30" i="5"/>
  <c r="AM30" i="5" s="1"/>
  <c r="HJ43" i="34"/>
  <c r="HK43" i="34" s="1"/>
  <c r="DW27" i="13"/>
  <c r="HJ288" i="34"/>
  <c r="HK288" i="34" s="1"/>
  <c r="FA27" i="10"/>
  <c r="AM27" i="10" s="1"/>
  <c r="HJ195" i="34"/>
  <c r="HK195" i="34" s="1"/>
  <c r="EA30" i="15"/>
  <c r="HJ353" i="34"/>
  <c r="HK353" i="34" s="1"/>
  <c r="DX42" i="14"/>
  <c r="HJ334" i="34"/>
  <c r="HK334" i="34" s="1"/>
  <c r="DY43" i="14"/>
  <c r="HJ335" i="34"/>
  <c r="HK335" i="34" s="1"/>
  <c r="FA35" i="7"/>
  <c r="AM35" i="7" s="1"/>
  <c r="HJ110" i="34"/>
  <c r="HK110" i="34" s="1"/>
  <c r="DY29" i="5"/>
  <c r="HJ42" i="34"/>
  <c r="HK42" i="34" s="1"/>
  <c r="FA42" i="4"/>
  <c r="AM42" i="4" s="1"/>
  <c r="HJ24" i="34"/>
  <c r="HK24" i="34" s="1"/>
  <c r="FG50" i="9"/>
  <c r="HJ187" i="34"/>
  <c r="EB49" i="5"/>
  <c r="HJ62" i="34"/>
  <c r="EB35" i="14"/>
  <c r="HJ327" i="34"/>
  <c r="HK327" i="34" s="1"/>
  <c r="AS47" i="7"/>
  <c r="HJ122" i="34"/>
  <c r="HK122" i="34" s="1"/>
  <c r="EB45" i="10"/>
  <c r="HJ213" i="34"/>
  <c r="HK213" i="34" s="1"/>
  <c r="EA21" i="13"/>
  <c r="HJ282" i="34"/>
  <c r="HK282" i="34" s="1"/>
  <c r="DU36" i="6"/>
  <c r="HJ80" i="34"/>
  <c r="HK80" i="34" s="1"/>
  <c r="EA32" i="5"/>
  <c r="HJ45" i="34"/>
  <c r="HK45" i="34" s="1"/>
  <c r="DY34" i="12"/>
  <c r="HJ264" i="34"/>
  <c r="HK264" i="34" s="1"/>
  <c r="DX28" i="15"/>
  <c r="HJ351" i="34"/>
  <c r="HK351" i="34" s="1"/>
  <c r="EB40" i="13"/>
  <c r="HJ301" i="34"/>
  <c r="HK301" i="34" s="1"/>
  <c r="DX50" i="5"/>
  <c r="HJ63" i="34"/>
  <c r="DW35" i="11"/>
  <c r="HJ234" i="34"/>
  <c r="HK234" i="34" s="1"/>
  <c r="FG44" i="11"/>
  <c r="HJ243" i="34"/>
  <c r="HK243" i="34" s="1"/>
  <c r="EB48" i="4"/>
  <c r="HJ30" i="34"/>
  <c r="HK30" i="34" s="1"/>
  <c r="DY39" i="10"/>
  <c r="HJ207" i="34"/>
  <c r="HK207" i="34" s="1"/>
  <c r="DX30" i="9"/>
  <c r="HJ167" i="34"/>
  <c r="HK167" i="34" s="1"/>
  <c r="FA25" i="15"/>
  <c r="AM25" i="15" s="1"/>
  <c r="HJ348" i="34"/>
  <c r="HK348" i="34" s="1"/>
  <c r="EB31" i="7"/>
  <c r="HJ106" i="34"/>
  <c r="HK106" i="34" s="1"/>
  <c r="FA35" i="13"/>
  <c r="AM35" i="13" s="1"/>
  <c r="EA33" i="43" s="1"/>
  <c r="EB33" i="43" s="1"/>
  <c r="HJ296" i="34"/>
  <c r="HK296" i="34" s="1"/>
  <c r="FA40" i="15"/>
  <c r="AM40" i="15" s="1"/>
  <c r="GJ40" i="15" s="1"/>
  <c r="GM40" i="15" s="1"/>
  <c r="HJ363" i="34"/>
  <c r="HK363" i="34" s="1"/>
  <c r="HL363" i="34" s="1"/>
  <c r="DX25" i="4"/>
  <c r="HJ7" i="34"/>
  <c r="HK7" i="34" s="1"/>
  <c r="DV29" i="13"/>
  <c r="HJ290" i="34"/>
  <c r="HK290" i="34" s="1"/>
  <c r="AS30" i="13"/>
  <c r="HJ291" i="34"/>
  <c r="HK291" i="34" s="1"/>
  <c r="FA32" i="13"/>
  <c r="AM32" i="13" s="1"/>
  <c r="HJ293" i="34"/>
  <c r="HK293" i="34" s="1"/>
  <c r="FG37" i="10"/>
  <c r="HJ205" i="34"/>
  <c r="HK205" i="34" s="1"/>
  <c r="DX34" i="7"/>
  <c r="HJ109" i="34"/>
  <c r="HK109" i="34" s="1"/>
  <c r="EA39" i="13"/>
  <c r="HJ300" i="34"/>
  <c r="HK300" i="34" s="1"/>
  <c r="FG24" i="5"/>
  <c r="HJ37" i="34"/>
  <c r="HK37" i="34" s="1"/>
  <c r="DU39" i="15"/>
  <c r="HJ362" i="34"/>
  <c r="HK362" i="34" s="1"/>
  <c r="AS46" i="7"/>
  <c r="HJ121" i="34"/>
  <c r="HK121" i="34" s="1"/>
  <c r="EA42" i="10"/>
  <c r="HJ210" i="34"/>
  <c r="HK210" i="34" s="1"/>
  <c r="DX26" i="14"/>
  <c r="HJ318" i="34"/>
  <c r="HK318" i="34" s="1"/>
  <c r="DV49" i="8"/>
  <c r="HJ155" i="34"/>
  <c r="HK155" i="34" s="1"/>
  <c r="DY21" i="10"/>
  <c r="HJ189" i="34"/>
  <c r="HK189" i="34" s="1"/>
  <c r="FA49" i="4"/>
  <c r="AM49" i="4" s="1"/>
  <c r="HJ31" i="34"/>
  <c r="HK31" i="34" s="1"/>
  <c r="FA50" i="7"/>
  <c r="AM50" i="7" s="1"/>
  <c r="CC33" i="8" s="1"/>
  <c r="HJ125" i="34"/>
  <c r="DY25" i="12"/>
  <c r="HJ255" i="34"/>
  <c r="HK255" i="34" s="1"/>
  <c r="DW43" i="8"/>
  <c r="HJ149" i="34"/>
  <c r="HK149" i="34" s="1"/>
  <c r="DV42" i="11"/>
  <c r="HJ241" i="34"/>
  <c r="HK241" i="34" s="1"/>
  <c r="FG29" i="9"/>
  <c r="HJ166" i="34"/>
  <c r="HK166" i="34" s="1"/>
  <c r="FG26" i="11"/>
  <c r="HJ225" i="34"/>
  <c r="HK225" i="34" s="1"/>
  <c r="DV28" i="12"/>
  <c r="HJ258" i="34"/>
  <c r="HK258" i="34" s="1"/>
  <c r="FA44" i="5"/>
  <c r="AM44" i="5" s="1"/>
  <c r="HJ57" i="34"/>
  <c r="HK57" i="34" s="1"/>
  <c r="DX29" i="15"/>
  <c r="HJ352" i="34"/>
  <c r="HK352" i="34" s="1"/>
  <c r="FA31" i="10"/>
  <c r="AM31" i="10" s="1"/>
  <c r="HJ199" i="34"/>
  <c r="HK199" i="34" s="1"/>
  <c r="FA50" i="11"/>
  <c r="AM50" i="11" s="1"/>
  <c r="CB33" i="11" s="1"/>
  <c r="HJ249" i="34"/>
  <c r="HK249" i="34" s="1"/>
  <c r="EA30" i="14"/>
  <c r="HJ322" i="34"/>
  <c r="HK322" i="34" s="1"/>
  <c r="FA28" i="10"/>
  <c r="AM28" i="10" s="1"/>
  <c r="GF28" i="10" s="1"/>
  <c r="HJ196" i="34"/>
  <c r="HK196" i="34" s="1"/>
  <c r="DW25" i="14"/>
  <c r="HJ317" i="34"/>
  <c r="HK317" i="34" s="1"/>
  <c r="EA37" i="7"/>
  <c r="HJ112" i="34"/>
  <c r="HK112" i="34" s="1"/>
  <c r="FA36" i="10"/>
  <c r="AM36" i="10" s="1"/>
  <c r="HJ204" i="34"/>
  <c r="HK204" i="34" s="1"/>
  <c r="AS48" i="8"/>
  <c r="HJ154" i="34"/>
  <c r="HK154" i="34" s="1"/>
  <c r="AS25" i="8"/>
  <c r="HJ131" i="34"/>
  <c r="HK131" i="34" s="1"/>
  <c r="AS29" i="7"/>
  <c r="HJ104" i="34"/>
  <c r="HK104" i="34" s="1"/>
  <c r="DV47" i="5"/>
  <c r="HJ60" i="34"/>
  <c r="HK60" i="34" s="1"/>
  <c r="DX42" i="12"/>
  <c r="HJ272" i="34"/>
  <c r="HK272" i="34" s="1"/>
  <c r="EB50" i="8"/>
  <c r="HJ156" i="34"/>
  <c r="HK156" i="34" s="1"/>
  <c r="DU32" i="4"/>
  <c r="HJ14" i="34"/>
  <c r="HK14" i="34" s="1"/>
  <c r="FA30" i="4"/>
  <c r="AM30" i="4" s="1"/>
  <c r="GJ30" i="4" s="1"/>
  <c r="GM30" i="4" s="1"/>
  <c r="HJ12" i="34"/>
  <c r="HK12" i="34" s="1"/>
  <c r="DV47" i="13"/>
  <c r="HJ308" i="34"/>
  <c r="HK308" i="34" s="1"/>
  <c r="FA31" i="14"/>
  <c r="AM31" i="14" s="1"/>
  <c r="GJ31" i="14" s="1"/>
  <c r="GM31" i="14" s="1"/>
  <c r="HJ323" i="34"/>
  <c r="HK323" i="34" s="1"/>
  <c r="DX48" i="13"/>
  <c r="HJ309" i="34"/>
  <c r="HK309" i="34" s="1"/>
  <c r="FG41" i="10"/>
  <c r="HJ209" i="34"/>
  <c r="HK209" i="34" s="1"/>
  <c r="FA37" i="15"/>
  <c r="AM37" i="15" s="1"/>
  <c r="GJ37" i="15" s="1"/>
  <c r="GM37" i="15" s="1"/>
  <c r="HJ360" i="34"/>
  <c r="HK360" i="34" s="1"/>
  <c r="HL360" i="34" s="1"/>
  <c r="EA37" i="14"/>
  <c r="HJ329" i="34"/>
  <c r="HK329" i="34" s="1"/>
  <c r="FA29" i="11"/>
  <c r="AM29" i="11" s="1"/>
  <c r="GJ29" i="11" s="1"/>
  <c r="GM29" i="11" s="1"/>
  <c r="HJ228" i="34"/>
  <c r="HK228" i="34" s="1"/>
  <c r="FA28" i="14"/>
  <c r="AM28" i="14" s="1"/>
  <c r="GJ28" i="14" s="1"/>
  <c r="GM28" i="14" s="1"/>
  <c r="HJ320" i="34"/>
  <c r="HK320" i="34" s="1"/>
  <c r="FA29" i="14"/>
  <c r="AM29" i="14" s="1"/>
  <c r="GJ29" i="14" s="1"/>
  <c r="GM29" i="14" s="1"/>
  <c r="HJ321" i="34"/>
  <c r="HK321" i="34" s="1"/>
  <c r="DY21" i="6"/>
  <c r="HJ65" i="34"/>
  <c r="HK65" i="34" s="1"/>
  <c r="EB27" i="11"/>
  <c r="HJ226" i="34"/>
  <c r="HK226" i="34" s="1"/>
  <c r="FA44" i="12"/>
  <c r="AM44" i="12" s="1"/>
  <c r="GJ44" i="12" s="1"/>
  <c r="GM44" i="12" s="1"/>
  <c r="HJ274" i="34"/>
  <c r="HK274" i="34" s="1"/>
  <c r="FA43" i="5"/>
  <c r="AM43" i="5" s="1"/>
  <c r="GJ43" i="5" s="1"/>
  <c r="GM43" i="5" s="1"/>
  <c r="HJ56" i="34"/>
  <c r="HK56" i="34" s="1"/>
  <c r="HL56" i="34" s="1"/>
  <c r="FG46" i="12"/>
  <c r="HJ276" i="34"/>
  <c r="HK276" i="34" s="1"/>
  <c r="DX35" i="6"/>
  <c r="HJ79" i="34"/>
  <c r="HK79" i="34" s="1"/>
  <c r="DX47" i="9"/>
  <c r="HJ184" i="34"/>
  <c r="HK184" i="34" s="1"/>
  <c r="DX41" i="9"/>
  <c r="HJ178" i="34"/>
  <c r="HK178" i="34" s="1"/>
  <c r="GG21" i="15"/>
  <c r="AE53" i="44"/>
  <c r="AE39" i="44"/>
  <c r="GG50" i="11"/>
  <c r="GQ50" i="11" s="1"/>
  <c r="AC53" i="41"/>
  <c r="AA53" i="41" s="1"/>
  <c r="AB53" i="41" s="1"/>
  <c r="AF53" i="41" s="1"/>
  <c r="AC39" i="41"/>
  <c r="AA39" i="41" s="1"/>
  <c r="AB39" i="41" s="1"/>
  <c r="AF39" i="41" s="1"/>
  <c r="GF43" i="5"/>
  <c r="EB29" i="11"/>
  <c r="AS44" i="12"/>
  <c r="DU44" i="12"/>
  <c r="DY44" i="12"/>
  <c r="DU43" i="5"/>
  <c r="DX43" i="5"/>
  <c r="DY27" i="11"/>
  <c r="EB28" i="14"/>
  <c r="AS29" i="14"/>
  <c r="FG29" i="14"/>
  <c r="FA21" i="6"/>
  <c r="AM21" i="6" s="1"/>
  <c r="GJ21" i="6" s="1"/>
  <c r="GM21" i="6" s="1"/>
  <c r="AS21" i="6"/>
  <c r="DV21" i="6"/>
  <c r="DU21" i="6"/>
  <c r="DY46" i="12"/>
  <c r="DW46" i="12"/>
  <c r="AS46" i="12"/>
  <c r="EA41" i="9"/>
  <c r="DW41" i="9"/>
  <c r="AS41" i="9"/>
  <c r="EA47" i="9"/>
  <c r="DV47" i="9"/>
  <c r="DU47" i="9"/>
  <c r="AC52" i="38"/>
  <c r="AS30" i="7"/>
  <c r="FA47" i="14"/>
  <c r="AM47" i="14" s="1"/>
  <c r="GJ47" i="14" s="1"/>
  <c r="GM47" i="14" s="1"/>
  <c r="DW42" i="6"/>
  <c r="AC48" i="42"/>
  <c r="AC34" i="45"/>
  <c r="AC38" i="41"/>
  <c r="DX30" i="7"/>
  <c r="DW35" i="9"/>
  <c r="DW35" i="8"/>
  <c r="DV32" i="9"/>
  <c r="AD48" i="44"/>
  <c r="DW47" i="14"/>
  <c r="FG42" i="6"/>
  <c r="DV49" i="6"/>
  <c r="AE38" i="42"/>
  <c r="DY30" i="7"/>
  <c r="DU30" i="7"/>
  <c r="DU35" i="9"/>
  <c r="DX35" i="9"/>
  <c r="U23" i="74"/>
  <c r="DY35" i="8"/>
  <c r="EB35" i="8"/>
  <c r="DX32" i="9"/>
  <c r="EB32" i="9"/>
  <c r="AS47" i="14"/>
  <c r="DX42" i="6"/>
  <c r="EA49" i="6"/>
  <c r="EB49" i="6"/>
  <c r="AE52" i="42"/>
  <c r="BD19" i="40"/>
  <c r="AE39" i="39"/>
  <c r="AE53" i="39"/>
  <c r="GG50" i="6"/>
  <c r="GQ50" i="6" s="1"/>
  <c r="AC53" i="36"/>
  <c r="AC39" i="36"/>
  <c r="DU29" i="11"/>
  <c r="DX44" i="12"/>
  <c r="DV44" i="12"/>
  <c r="EB44" i="12"/>
  <c r="FG44" i="12"/>
  <c r="EB43" i="5"/>
  <c r="DW43" i="5"/>
  <c r="EA43" i="5"/>
  <c r="DY43" i="5"/>
  <c r="DU27" i="11"/>
  <c r="DX27" i="11"/>
  <c r="DY28" i="14"/>
  <c r="DV28" i="14"/>
  <c r="DU29" i="14"/>
  <c r="DX29" i="14"/>
  <c r="EB29" i="14"/>
  <c r="DW29" i="14"/>
  <c r="DY29" i="14"/>
  <c r="FG21" i="6"/>
  <c r="DW21" i="6"/>
  <c r="EA21" i="6"/>
  <c r="FA46" i="12"/>
  <c r="AM46" i="12" s="1"/>
  <c r="GJ46" i="12" s="1"/>
  <c r="GM46" i="12" s="1"/>
  <c r="EA46" i="12"/>
  <c r="DU46" i="12"/>
  <c r="DX46" i="12"/>
  <c r="FA41" i="9"/>
  <c r="AM41" i="9" s="1"/>
  <c r="GJ41" i="9" s="1"/>
  <c r="GM41" i="9" s="1"/>
  <c r="DU41" i="9"/>
  <c r="DY41" i="9"/>
  <c r="EB41" i="9"/>
  <c r="FA47" i="9"/>
  <c r="AM47" i="9" s="1"/>
  <c r="GJ47" i="9" s="1"/>
  <c r="GM47" i="9" s="1"/>
  <c r="DY47" i="9"/>
  <c r="AS47" i="9"/>
  <c r="EB47" i="9"/>
  <c r="AS37" i="15"/>
  <c r="AS30" i="4"/>
  <c r="DX41" i="10"/>
  <c r="FG37" i="14"/>
  <c r="EA30" i="4"/>
  <c r="FG31" i="14"/>
  <c r="DY37" i="14"/>
  <c r="AC37" i="38"/>
  <c r="AD48" i="39"/>
  <c r="CQ53" i="18"/>
  <c r="AD34" i="35"/>
  <c r="AD48" i="35"/>
  <c r="DY32" i="4"/>
  <c r="DX37" i="15"/>
  <c r="DV41" i="10"/>
  <c r="BE19" i="18"/>
  <c r="BP28" i="18"/>
  <c r="BR28" i="18" s="1"/>
  <c r="EA36" i="10"/>
  <c r="DY47" i="13"/>
  <c r="AC38" i="38"/>
  <c r="AD34" i="39"/>
  <c r="AD48" i="36"/>
  <c r="GQ21" i="15"/>
  <c r="FG32" i="13"/>
  <c r="AC48" i="38"/>
  <c r="DV31" i="10"/>
  <c r="DV50" i="8"/>
  <c r="FG48" i="13"/>
  <c r="FG50" i="8"/>
  <c r="EA47" i="13"/>
  <c r="AS48" i="13"/>
  <c r="DY31" i="14"/>
  <c r="EB32" i="4"/>
  <c r="DV24" i="5"/>
  <c r="FA49" i="11"/>
  <c r="AM49" i="11" s="1"/>
  <c r="GJ49" i="11" s="1"/>
  <c r="GM49" i="11" s="1"/>
  <c r="GF37" i="15"/>
  <c r="AS35" i="6"/>
  <c r="DV29" i="11"/>
  <c r="DX29" i="11"/>
  <c r="EA31" i="10"/>
  <c r="DW35" i="6"/>
  <c r="EA35" i="6"/>
  <c r="DV27" i="11"/>
  <c r="DW27" i="11"/>
  <c r="EA50" i="8"/>
  <c r="DX50" i="8"/>
  <c r="DX39" i="13"/>
  <c r="FG47" i="13"/>
  <c r="AS47" i="13"/>
  <c r="FA48" i="13"/>
  <c r="AM48" i="13" s="1"/>
  <c r="GJ48" i="13" s="1"/>
  <c r="GM48" i="13" s="1"/>
  <c r="DV48" i="13"/>
  <c r="DW48" i="13"/>
  <c r="DW29" i="11"/>
  <c r="DU31" i="10"/>
  <c r="DV35" i="6"/>
  <c r="EB35" i="6"/>
  <c r="FA50" i="8"/>
  <c r="AM50" i="8" s="1"/>
  <c r="GJ50" i="8" s="1"/>
  <c r="GM50" i="8" s="1"/>
  <c r="DW47" i="13"/>
  <c r="DY48" i="13"/>
  <c r="DU48" i="13"/>
  <c r="DY35" i="6"/>
  <c r="FG35" i="6"/>
  <c r="EA29" i="11"/>
  <c r="FG44" i="5"/>
  <c r="DY50" i="8"/>
  <c r="DW50" i="8"/>
  <c r="FA47" i="13"/>
  <c r="AM47" i="13" s="1"/>
  <c r="GJ47" i="13" s="1"/>
  <c r="GM47" i="13" s="1"/>
  <c r="DX47" i="13"/>
  <c r="EA48" i="13"/>
  <c r="FA35" i="6"/>
  <c r="AM35" i="6" s="1"/>
  <c r="GJ35" i="6" s="1"/>
  <c r="GM35" i="6" s="1"/>
  <c r="DY29" i="11"/>
  <c r="FG29" i="11"/>
  <c r="DX31" i="10"/>
  <c r="DY31" i="10"/>
  <c r="DU35" i="6"/>
  <c r="FG27" i="11"/>
  <c r="EA27" i="11"/>
  <c r="DU50" i="8"/>
  <c r="AS50" i="8"/>
  <c r="EB47" i="13"/>
  <c r="DU47" i="13"/>
  <c r="EB48" i="13"/>
  <c r="DU49" i="11"/>
  <c r="FG27" i="15"/>
  <c r="FG49" i="11"/>
  <c r="FA41" i="12"/>
  <c r="AM41" i="12" s="1"/>
  <c r="GJ41" i="12" s="1"/>
  <c r="GM41" i="12" s="1"/>
  <c r="DU30" i="11"/>
  <c r="EA47" i="15"/>
  <c r="DX31" i="12"/>
  <c r="EA41" i="4"/>
  <c r="EA49" i="11"/>
  <c r="FA30" i="12"/>
  <c r="AM30" i="12" s="1"/>
  <c r="GJ30" i="12" s="1"/>
  <c r="GM30" i="12" s="1"/>
  <c r="EB31" i="12"/>
  <c r="DY28" i="6"/>
  <c r="DU22" i="15"/>
  <c r="DV47" i="15"/>
  <c r="DX49" i="11"/>
  <c r="FG30" i="4"/>
  <c r="DW30" i="4"/>
  <c r="EA31" i="14"/>
  <c r="DW31" i="14"/>
  <c r="DW37" i="15"/>
  <c r="FG37" i="15"/>
  <c r="EA28" i="14"/>
  <c r="DU28" i="14"/>
  <c r="DV32" i="4"/>
  <c r="DX32" i="4"/>
  <c r="F18" i="74"/>
  <c r="AJ19" i="74"/>
  <c r="FA37" i="14"/>
  <c r="AM37" i="14" s="1"/>
  <c r="GJ37" i="14" s="1"/>
  <c r="GM37" i="14" s="1"/>
  <c r="DW37" i="14"/>
  <c r="DX37" i="14"/>
  <c r="DV37" i="14"/>
  <c r="EB41" i="10"/>
  <c r="EA41" i="10"/>
  <c r="DY30" i="4"/>
  <c r="DX31" i="14"/>
  <c r="EB37" i="15"/>
  <c r="DX28" i="14"/>
  <c r="FA32" i="4"/>
  <c r="AM32" i="4" s="1"/>
  <c r="GJ32" i="4" s="1"/>
  <c r="GM32" i="4" s="1"/>
  <c r="FG32" i="4"/>
  <c r="AS32" i="4"/>
  <c r="DU37" i="14"/>
  <c r="EB37" i="14"/>
  <c r="DW41" i="10"/>
  <c r="DU41" i="10"/>
  <c r="AS41" i="10"/>
  <c r="AJ16" i="74"/>
  <c r="DV30" i="4"/>
  <c r="DV31" i="14"/>
  <c r="DV37" i="15"/>
  <c r="FG28" i="14"/>
  <c r="DX30" i="4"/>
  <c r="EB30" i="4"/>
  <c r="DU30" i="4"/>
  <c r="EB31" i="14"/>
  <c r="AS31" i="14"/>
  <c r="DU31" i="14"/>
  <c r="DU48" i="5"/>
  <c r="DY37" i="15"/>
  <c r="EA37" i="15"/>
  <c r="DU37" i="15"/>
  <c r="FA41" i="10"/>
  <c r="AM41" i="10" s="1"/>
  <c r="GJ41" i="10" s="1"/>
  <c r="GM41" i="10" s="1"/>
  <c r="AS28" i="14"/>
  <c r="DW28" i="14"/>
  <c r="DW32" i="4"/>
  <c r="EA32" i="4"/>
  <c r="EA28" i="18"/>
  <c r="EB28" i="18" s="1"/>
  <c r="AS37" i="14"/>
  <c r="DY41" i="10"/>
  <c r="EA26" i="44"/>
  <c r="CG26" i="44" s="1"/>
  <c r="DW30" i="7"/>
  <c r="EB30" i="7"/>
  <c r="FG30" i="7"/>
  <c r="DV35" i="9"/>
  <c r="FG35" i="9"/>
  <c r="DV30" i="7"/>
  <c r="EA30" i="7"/>
  <c r="EB35" i="9"/>
  <c r="EA35" i="9"/>
  <c r="DY35" i="9"/>
  <c r="EA33" i="39"/>
  <c r="CG33" i="39" s="1"/>
  <c r="DU31" i="12"/>
  <c r="EB36" i="10"/>
  <c r="DU35" i="8"/>
  <c r="DX35" i="8"/>
  <c r="DY32" i="9"/>
  <c r="DW32" i="9"/>
  <c r="DU25" i="12"/>
  <c r="DU47" i="14"/>
  <c r="DX47" i="14"/>
  <c r="DV42" i="6"/>
  <c r="AS42" i="6"/>
  <c r="DW49" i="6"/>
  <c r="DX49" i="6"/>
  <c r="FG28" i="6"/>
  <c r="AS31" i="12"/>
  <c r="DY36" i="10"/>
  <c r="EA26" i="7"/>
  <c r="AS35" i="8"/>
  <c r="EA35" i="8"/>
  <c r="FA32" i="9"/>
  <c r="AM32" i="9" s="1"/>
  <c r="GJ32" i="9" s="1"/>
  <c r="GM32" i="9" s="1"/>
  <c r="DU32" i="9"/>
  <c r="AS32" i="9"/>
  <c r="FA49" i="6"/>
  <c r="AM49" i="6" s="1"/>
  <c r="GJ49" i="6" s="1"/>
  <c r="GM49" i="6" s="1"/>
  <c r="DY47" i="14"/>
  <c r="EB47" i="14"/>
  <c r="FA42" i="6"/>
  <c r="AM42" i="6" s="1"/>
  <c r="GJ42" i="6" s="1"/>
  <c r="GM42" i="6" s="1"/>
  <c r="EA42" i="6"/>
  <c r="DU42" i="6"/>
  <c r="DY49" i="6"/>
  <c r="DU49" i="6"/>
  <c r="DW31" i="12"/>
  <c r="DX36" i="10"/>
  <c r="DV35" i="8"/>
  <c r="FG35" i="8"/>
  <c r="EA33" i="38"/>
  <c r="CG33" i="38" s="1"/>
  <c r="E72" i="38" s="1"/>
  <c r="EA32" i="9"/>
  <c r="FA25" i="12"/>
  <c r="AM25" i="12" s="1"/>
  <c r="GJ25" i="12" s="1"/>
  <c r="GM25" i="12" s="1"/>
  <c r="DX38" i="4"/>
  <c r="FG47" i="14"/>
  <c r="DV47" i="14"/>
  <c r="EB42" i="6"/>
  <c r="AS49" i="6"/>
  <c r="EB27" i="9"/>
  <c r="FG41" i="12"/>
  <c r="DX41" i="4"/>
  <c r="DU30" i="12"/>
  <c r="FA30" i="8"/>
  <c r="AM30" i="8" s="1"/>
  <c r="GJ30" i="8" s="1"/>
  <c r="GM30" i="8" s="1"/>
  <c r="AS22" i="15"/>
  <c r="DU38" i="8"/>
  <c r="AS40" i="7"/>
  <c r="FA47" i="15"/>
  <c r="AM47" i="15" s="1"/>
  <c r="GJ47" i="15" s="1"/>
  <c r="GM47" i="15" s="1"/>
  <c r="DU47" i="15"/>
  <c r="EB49" i="11"/>
  <c r="AS49" i="11"/>
  <c r="DU46" i="13"/>
  <c r="DX30" i="12"/>
  <c r="FG30" i="8"/>
  <c r="DU37" i="8"/>
  <c r="DU41" i="12"/>
  <c r="DY40" i="7"/>
  <c r="EB27" i="15"/>
  <c r="DU40" i="7"/>
  <c r="DW47" i="15"/>
  <c r="EA30" i="8"/>
  <c r="DY37" i="8"/>
  <c r="DW22" i="15"/>
  <c r="GF35" i="8"/>
  <c r="DU38" i="10"/>
  <c r="EB31" i="4"/>
  <c r="DU42" i="13"/>
  <c r="AS49" i="7"/>
  <c r="DY31" i="4"/>
  <c r="DW33" i="14"/>
  <c r="EB46" i="9"/>
  <c r="DY46" i="13"/>
  <c r="GF35" i="9"/>
  <c r="GF28" i="14"/>
  <c r="DX38" i="10"/>
  <c r="FG38" i="10"/>
  <c r="DW32" i="13"/>
  <c r="DX27" i="15"/>
  <c r="DW27" i="15"/>
  <c r="DV31" i="4"/>
  <c r="DU31" i="4"/>
  <c r="DW40" i="7"/>
  <c r="EA40" i="7"/>
  <c r="DU41" i="4"/>
  <c r="DV41" i="4"/>
  <c r="EB47" i="15"/>
  <c r="FG47" i="15"/>
  <c r="AS47" i="15"/>
  <c r="DV49" i="11"/>
  <c r="DY49" i="11"/>
  <c r="FG21" i="10"/>
  <c r="FA46" i="13"/>
  <c r="AM46" i="13" s="1"/>
  <c r="GJ46" i="13" s="1"/>
  <c r="GM46" i="13" s="1"/>
  <c r="DV46" i="13"/>
  <c r="EA46" i="13"/>
  <c r="DW30" i="12"/>
  <c r="AS30" i="12"/>
  <c r="FG30" i="12"/>
  <c r="DX30" i="8"/>
  <c r="DY30" i="8"/>
  <c r="AS30" i="8"/>
  <c r="EA37" i="8"/>
  <c r="EB37" i="8"/>
  <c r="AS41" i="12"/>
  <c r="DX41" i="12"/>
  <c r="DV41" i="12"/>
  <c r="DX22" i="15"/>
  <c r="DY22" i="15"/>
  <c r="GF40" i="7"/>
  <c r="EA38" i="10"/>
  <c r="DV32" i="13"/>
  <c r="DU27" i="15"/>
  <c r="EA27" i="15"/>
  <c r="AS31" i="4"/>
  <c r="FG31" i="4"/>
  <c r="EA25" i="45"/>
  <c r="EB25" i="45" s="1"/>
  <c r="FG40" i="7"/>
  <c r="DV40" i="7"/>
  <c r="FA41" i="4"/>
  <c r="AM41" i="4" s="1"/>
  <c r="GJ41" i="4" s="1"/>
  <c r="GM41" i="4" s="1"/>
  <c r="AS41" i="4"/>
  <c r="DW41" i="4"/>
  <c r="DX47" i="15"/>
  <c r="EA38" i="37"/>
  <c r="EB38" i="37" s="1"/>
  <c r="EB21" i="10"/>
  <c r="EB46" i="13"/>
  <c r="DW46" i="13"/>
  <c r="DX46" i="13"/>
  <c r="EB30" i="12"/>
  <c r="DV30" i="12"/>
  <c r="DW30" i="8"/>
  <c r="DV30" i="8"/>
  <c r="FA37" i="8"/>
  <c r="AM37" i="8" s="1"/>
  <c r="GJ37" i="8" s="1"/>
  <c r="GM37" i="8" s="1"/>
  <c r="DV37" i="8"/>
  <c r="AS37" i="8"/>
  <c r="DW41" i="12"/>
  <c r="EA41" i="12"/>
  <c r="EA22" i="15"/>
  <c r="EB22" i="15"/>
  <c r="AS38" i="10"/>
  <c r="DU32" i="13"/>
  <c r="AS27" i="15"/>
  <c r="DY27" i="15"/>
  <c r="DV27" i="15"/>
  <c r="DW31" i="4"/>
  <c r="DX31" i="4"/>
  <c r="EA31" i="4"/>
  <c r="EB40" i="7"/>
  <c r="DX40" i="7"/>
  <c r="DY41" i="4"/>
  <c r="FG41" i="4"/>
  <c r="DW34" i="7"/>
  <c r="O28" i="74"/>
  <c r="AS46" i="13"/>
  <c r="EA30" i="12"/>
  <c r="DU30" i="8"/>
  <c r="DY26" i="14"/>
  <c r="DX37" i="8"/>
  <c r="DW37" i="8"/>
  <c r="EB41" i="12"/>
  <c r="FA22" i="15"/>
  <c r="AM22" i="15" s="1"/>
  <c r="GJ22" i="15" s="1"/>
  <c r="GM22" i="15" s="1"/>
  <c r="DV22" i="15"/>
  <c r="EB46" i="14"/>
  <c r="DX46" i="14"/>
  <c r="GF31" i="14"/>
  <c r="FG22" i="7"/>
  <c r="DX42" i="13"/>
  <c r="FA34" i="7"/>
  <c r="AM34" i="7" s="1"/>
  <c r="GF34" i="7" s="1"/>
  <c r="AS34" i="7"/>
  <c r="AS25" i="12"/>
  <c r="AS38" i="4"/>
  <c r="DU21" i="10"/>
  <c r="DX24" i="5"/>
  <c r="AS24" i="5"/>
  <c r="EA29" i="18"/>
  <c r="EB29" i="18" s="1"/>
  <c r="AS49" i="8"/>
  <c r="DW23" i="8"/>
  <c r="GP21" i="7"/>
  <c r="BC145" i="7" s="1"/>
  <c r="GO57" i="7"/>
  <c r="EI28" i="7" s="1"/>
  <c r="GP21" i="12"/>
  <c r="BC147" i="12" s="1"/>
  <c r="GO57" i="12"/>
  <c r="EI28" i="12" s="1"/>
  <c r="GP21" i="8"/>
  <c r="BC145" i="8" s="1"/>
  <c r="GO57" i="8"/>
  <c r="EI28" i="8" s="1"/>
  <c r="GP21" i="4"/>
  <c r="BC143" i="4" s="1"/>
  <c r="GO57" i="4"/>
  <c r="EI28" i="4" s="1"/>
  <c r="GP21" i="6"/>
  <c r="BC145" i="6" s="1"/>
  <c r="GO57" i="6"/>
  <c r="EI28" i="6" s="1"/>
  <c r="GP21" i="15"/>
  <c r="BC144" i="15" s="1"/>
  <c r="GO57" i="15"/>
  <c r="EI28" i="15" s="1"/>
  <c r="GP21" i="14"/>
  <c r="BC145" i="14" s="1"/>
  <c r="GO57" i="14"/>
  <c r="EI28" i="14" s="1"/>
  <c r="GP21" i="5"/>
  <c r="BC145" i="5" s="1"/>
  <c r="GO57" i="5"/>
  <c r="EI28" i="5" s="1"/>
  <c r="GP21" i="9"/>
  <c r="BC145" i="9" s="1"/>
  <c r="GO57" i="9"/>
  <c r="EI28" i="9" s="1"/>
  <c r="GP21" i="13"/>
  <c r="BC147" i="13" s="1"/>
  <c r="GO57" i="13"/>
  <c r="EI28" i="13" s="1"/>
  <c r="GP21" i="10"/>
  <c r="BC145" i="10" s="1"/>
  <c r="GO57" i="10"/>
  <c r="EI28" i="10" s="1"/>
  <c r="GP21" i="11"/>
  <c r="BC143" i="11" s="1"/>
  <c r="GO57" i="11"/>
  <c r="EI28" i="11" s="1"/>
  <c r="DW46" i="7"/>
  <c r="AS43" i="12"/>
  <c r="DV28" i="6"/>
  <c r="EB28" i="6"/>
  <c r="DU46" i="9"/>
  <c r="DX46" i="9"/>
  <c r="AS26" i="7"/>
  <c r="EB26" i="7"/>
  <c r="DV42" i="13"/>
  <c r="FG42" i="13"/>
  <c r="FG48" i="5"/>
  <c r="DW48" i="5"/>
  <c r="EA46" i="14"/>
  <c r="DU46" i="14"/>
  <c r="AC52" i="43"/>
  <c r="AC51" i="38"/>
  <c r="AA51" i="38" s="1"/>
  <c r="AB51" i="38" s="1"/>
  <c r="AF51" i="38" s="1"/>
  <c r="FG48" i="4"/>
  <c r="AC48" i="41"/>
  <c r="AC49" i="39"/>
  <c r="AC50" i="38"/>
  <c r="AA50" i="38" s="1"/>
  <c r="AB50" i="38" s="1"/>
  <c r="AF50" i="38" s="1"/>
  <c r="AC50" i="45"/>
  <c r="AA50" i="45" s="1"/>
  <c r="AB50" i="45" s="1"/>
  <c r="AF50" i="45" s="1"/>
  <c r="AC38" i="42"/>
  <c r="AA38" i="42" s="1"/>
  <c r="AB38" i="42" s="1"/>
  <c r="AF38" i="42" s="1"/>
  <c r="DU34" i="8"/>
  <c r="DY42" i="4"/>
  <c r="FG35" i="7"/>
  <c r="DU43" i="14"/>
  <c r="DV41" i="15"/>
  <c r="DY39" i="9"/>
  <c r="EA30" i="5"/>
  <c r="EA39" i="9"/>
  <c r="EA35" i="7"/>
  <c r="DX35" i="7"/>
  <c r="FA30" i="15"/>
  <c r="AM30" i="15" s="1"/>
  <c r="GJ30" i="15" s="1"/>
  <c r="GM30" i="15" s="1"/>
  <c r="FA42" i="14"/>
  <c r="AM42" i="14" s="1"/>
  <c r="GJ42" i="14" s="1"/>
  <c r="GM42" i="14" s="1"/>
  <c r="AS41" i="15"/>
  <c r="FG37" i="4"/>
  <c r="DW42" i="4"/>
  <c r="FA43" i="10"/>
  <c r="AM43" i="10" s="1"/>
  <c r="GJ43" i="10" s="1"/>
  <c r="GM43" i="10" s="1"/>
  <c r="EB24" i="15"/>
  <c r="DV39" i="9"/>
  <c r="DY35" i="7"/>
  <c r="DX27" i="10"/>
  <c r="EA22" i="9"/>
  <c r="DW23" i="14"/>
  <c r="FG41" i="15"/>
  <c r="AS37" i="4"/>
  <c r="EA25" i="6"/>
  <c r="DY30" i="15"/>
  <c r="DW39" i="9"/>
  <c r="FG39" i="9"/>
  <c r="EB35" i="7"/>
  <c r="DW30" i="5"/>
  <c r="DV42" i="4"/>
  <c r="FG27" i="10"/>
  <c r="DY42" i="14"/>
  <c r="AS23" i="14"/>
  <c r="DV35" i="7"/>
  <c r="FA43" i="14"/>
  <c r="AM43" i="14" s="1"/>
  <c r="GJ43" i="14" s="1"/>
  <c r="GM43" i="14" s="1"/>
  <c r="EA41" i="15"/>
  <c r="DX41" i="15"/>
  <c r="EB30" i="5"/>
  <c r="DY30" i="5"/>
  <c r="DV37" i="4"/>
  <c r="EB42" i="4"/>
  <c r="DU42" i="4"/>
  <c r="DU27" i="10"/>
  <c r="DV27" i="10"/>
  <c r="DW22" i="9"/>
  <c r="DU25" i="6"/>
  <c r="DX30" i="15"/>
  <c r="AS42" i="14"/>
  <c r="DV43" i="14"/>
  <c r="DV41" i="13"/>
  <c r="DX23" i="14"/>
  <c r="DX47" i="10"/>
  <c r="FA29" i="5"/>
  <c r="AM29" i="5" s="1"/>
  <c r="GJ29" i="5" s="1"/>
  <c r="GM29" i="5" s="1"/>
  <c r="DX48" i="4"/>
  <c r="AC38" i="37"/>
  <c r="DX39" i="9"/>
  <c r="DU39" i="9"/>
  <c r="DU35" i="7"/>
  <c r="AC35" i="39"/>
  <c r="AS39" i="9"/>
  <c r="EB39" i="9"/>
  <c r="EB23" i="6"/>
  <c r="DW35" i="7"/>
  <c r="AS35" i="7"/>
  <c r="AC39" i="35"/>
  <c r="AA39" i="35" s="1"/>
  <c r="AB39" i="35" s="1"/>
  <c r="AF39" i="35" s="1"/>
  <c r="EB41" i="15"/>
  <c r="DW41" i="15"/>
  <c r="FG30" i="5"/>
  <c r="EA37" i="4"/>
  <c r="DY37" i="4"/>
  <c r="FG42" i="4"/>
  <c r="EA42" i="4"/>
  <c r="EA27" i="10"/>
  <c r="EB22" i="9"/>
  <c r="EB43" i="13"/>
  <c r="EB30" i="15"/>
  <c r="EB42" i="14"/>
  <c r="EA43" i="14"/>
  <c r="FG41" i="13"/>
  <c r="FG23" i="14"/>
  <c r="AS24" i="15"/>
  <c r="EA29" i="5"/>
  <c r="AS30" i="5"/>
  <c r="DX30" i="5"/>
  <c r="EB37" i="4"/>
  <c r="DU37" i="4"/>
  <c r="AS27" i="10"/>
  <c r="DU22" i="9"/>
  <c r="EB25" i="6"/>
  <c r="DU30" i="15"/>
  <c r="FG42" i="14"/>
  <c r="DW43" i="14"/>
  <c r="DY23" i="14"/>
  <c r="EA24" i="15"/>
  <c r="DX22" i="7"/>
  <c r="FG29" i="5"/>
  <c r="AC49" i="40"/>
  <c r="AC37" i="37"/>
  <c r="AC50" i="35"/>
  <c r="AA50" i="35" s="1"/>
  <c r="AB50" i="35" s="1"/>
  <c r="AF50" i="35" s="1"/>
  <c r="AD34" i="45"/>
  <c r="AC38" i="36"/>
  <c r="DU49" i="4"/>
  <c r="DY43" i="11"/>
  <c r="DX26" i="5"/>
  <c r="AC48" i="37"/>
  <c r="EB36" i="7"/>
  <c r="FG45" i="4"/>
  <c r="EB48" i="8"/>
  <c r="AC36" i="38"/>
  <c r="AC52" i="42"/>
  <c r="AA52" i="42" s="1"/>
  <c r="AB52" i="42" s="1"/>
  <c r="AF52" i="42" s="1"/>
  <c r="AC52" i="41"/>
  <c r="AA52" i="41" s="1"/>
  <c r="AB52" i="41" s="1"/>
  <c r="AF52" i="41" s="1"/>
  <c r="AC37" i="35"/>
  <c r="D50" i="18"/>
  <c r="O27" i="18" s="1"/>
  <c r="EB27" i="13"/>
  <c r="AE53" i="38"/>
  <c r="AC48" i="44"/>
  <c r="AA48" i="44" s="1"/>
  <c r="AB48" i="44" s="1"/>
  <c r="AF48" i="44" s="1"/>
  <c r="AD34" i="42"/>
  <c r="AD39" i="36"/>
  <c r="AE39" i="18"/>
  <c r="AC36" i="35"/>
  <c r="FG25" i="4"/>
  <c r="AD53" i="36"/>
  <c r="DW28" i="12"/>
  <c r="AD48" i="42"/>
  <c r="AA48" i="42" s="1"/>
  <c r="AB48" i="42" s="1"/>
  <c r="AF48" i="42" s="1"/>
  <c r="DU35" i="11"/>
  <c r="EB28" i="15"/>
  <c r="AC53" i="35"/>
  <c r="AA53" i="35" s="1"/>
  <c r="AB53" i="35" s="1"/>
  <c r="DW22" i="7"/>
  <c r="AC51" i="40"/>
  <c r="AA51" i="40" s="1"/>
  <c r="AB51" i="40" s="1"/>
  <c r="AF51" i="40" s="1"/>
  <c r="AC37" i="43"/>
  <c r="AA37" i="43" s="1"/>
  <c r="AB37" i="43" s="1"/>
  <c r="AF37" i="43" s="1"/>
  <c r="AC52" i="44"/>
  <c r="AC52" i="36"/>
  <c r="AA52" i="36" s="1"/>
  <c r="AB52" i="36" s="1"/>
  <c r="AF52" i="36" s="1"/>
  <c r="AE53" i="18"/>
  <c r="AA53" i="18" s="1"/>
  <c r="AB53" i="18" s="1"/>
  <c r="AF53" i="18" s="1"/>
  <c r="FA28" i="11"/>
  <c r="AM28" i="11" s="1"/>
  <c r="EA26" i="41" s="1"/>
  <c r="AC35" i="36"/>
  <c r="AC38" i="44"/>
  <c r="AC48" i="40"/>
  <c r="AC51" i="42"/>
  <c r="AC50" i="37"/>
  <c r="AC48" i="35"/>
  <c r="EB28" i="12"/>
  <c r="DV28" i="8"/>
  <c r="FG32" i="5"/>
  <c r="DV35" i="14"/>
  <c r="DW30" i="13"/>
  <c r="FG33" i="4"/>
  <c r="FG37" i="12"/>
  <c r="DV41" i="7"/>
  <c r="DX31" i="15"/>
  <c r="DU25" i="8"/>
  <c r="DW47" i="5"/>
  <c r="EB30" i="13"/>
  <c r="DX30" i="14"/>
  <c r="DV38" i="7"/>
  <c r="EA48" i="14"/>
  <c r="DV40" i="15"/>
  <c r="DY26" i="15"/>
  <c r="DW29" i="7"/>
  <c r="DW35" i="5"/>
  <c r="DY50" i="5"/>
  <c r="DV50" i="12"/>
  <c r="DV24" i="7"/>
  <c r="DY37" i="7"/>
  <c r="DW24" i="13"/>
  <c r="DU24" i="12"/>
  <c r="AS42" i="10"/>
  <c r="DX45" i="8"/>
  <c r="AS35" i="5"/>
  <c r="DU45" i="8"/>
  <c r="DV43" i="11"/>
  <c r="DY34" i="8"/>
  <c r="DW26" i="5"/>
  <c r="FG26" i="15"/>
  <c r="DY47" i="7"/>
  <c r="EA24" i="7"/>
  <c r="AS33" i="4"/>
  <c r="FA24" i="12"/>
  <c r="AM24" i="12" s="1"/>
  <c r="GJ24" i="12" s="1"/>
  <c r="GM24" i="12" s="1"/>
  <c r="DX35" i="13"/>
  <c r="DW40" i="9"/>
  <c r="FA27" i="13"/>
  <c r="AM27" i="13" s="1"/>
  <c r="GF27" i="13" s="1"/>
  <c r="EA21" i="5"/>
  <c r="EB35" i="5"/>
  <c r="DY37" i="12"/>
  <c r="DU27" i="13"/>
  <c r="DY45" i="4"/>
  <c r="DX24" i="12"/>
  <c r="FA37" i="12"/>
  <c r="AM37" i="12" s="1"/>
  <c r="GJ37" i="12" s="1"/>
  <c r="GM37" i="12" s="1"/>
  <c r="EB45" i="4"/>
  <c r="DV40" i="13"/>
  <c r="EA25" i="8"/>
  <c r="DY36" i="9"/>
  <c r="DW35" i="4"/>
  <c r="AS50" i="12"/>
  <c r="AS25" i="14"/>
  <c r="FA49" i="5"/>
  <c r="AM49" i="5" s="1"/>
  <c r="GJ49" i="5" s="1"/>
  <c r="GM49" i="5" s="1"/>
  <c r="EB36" i="6"/>
  <c r="FA26" i="9"/>
  <c r="AM26" i="9" s="1"/>
  <c r="GJ26" i="9" s="1"/>
  <c r="GM26" i="9" s="1"/>
  <c r="EB22" i="7"/>
  <c r="FA29" i="15"/>
  <c r="AM29" i="15" s="1"/>
  <c r="GF29" i="15" s="1"/>
  <c r="FA33" i="7"/>
  <c r="AM33" i="7" s="1"/>
  <c r="EA31" i="37" s="1"/>
  <c r="EB33" i="7"/>
  <c r="DV49" i="5"/>
  <c r="FG49" i="5"/>
  <c r="DW49" i="5"/>
  <c r="AS49" i="5"/>
  <c r="DX49" i="5"/>
  <c r="EA49" i="5"/>
  <c r="DY49" i="5"/>
  <c r="FA35" i="14"/>
  <c r="AM35" i="14" s="1"/>
  <c r="AJ23" i="74" s="1"/>
  <c r="AS35" i="14"/>
  <c r="EA35" i="14"/>
  <c r="FG35" i="14"/>
  <c r="DX35" i="14"/>
  <c r="DU35" i="14"/>
  <c r="DY36" i="6"/>
  <c r="DW36" i="6"/>
  <c r="FG36" i="6"/>
  <c r="AS36" i="6"/>
  <c r="FA25" i="9"/>
  <c r="AM25" i="9" s="1"/>
  <c r="EA23" i="39" s="1"/>
  <c r="EA25" i="9"/>
  <c r="FA40" i="13"/>
  <c r="AM40" i="13" s="1"/>
  <c r="GF40" i="13" s="1"/>
  <c r="DY40" i="13"/>
  <c r="FG40" i="13"/>
  <c r="AS40" i="13"/>
  <c r="DX40" i="13"/>
  <c r="FA32" i="12"/>
  <c r="AM32" i="12" s="1"/>
  <c r="EA30" i="42" s="1"/>
  <c r="DY32" i="12"/>
  <c r="EA42" i="5"/>
  <c r="DV42" i="5"/>
  <c r="AS42" i="5"/>
  <c r="EB42" i="5"/>
  <c r="FA42" i="5"/>
  <c r="AM42" i="5" s="1"/>
  <c r="GJ42" i="5" s="1"/>
  <c r="GM42" i="5" s="1"/>
  <c r="DW42" i="5"/>
  <c r="DY42" i="5"/>
  <c r="DX46" i="4"/>
  <c r="DY46" i="4"/>
  <c r="DU46" i="4"/>
  <c r="EB46" i="4"/>
  <c r="FG46" i="4"/>
  <c r="DV46" i="4"/>
  <c r="DW46" i="4"/>
  <c r="FA46" i="4"/>
  <c r="AM46" i="4" s="1"/>
  <c r="GJ46" i="4" s="1"/>
  <c r="GM46" i="4" s="1"/>
  <c r="DU30" i="9"/>
  <c r="DW30" i="9"/>
  <c r="DV30" i="9"/>
  <c r="EB30" i="9"/>
  <c r="EA30" i="9"/>
  <c r="DY30" i="9"/>
  <c r="FG30" i="9"/>
  <c r="FA30" i="9"/>
  <c r="AM30" i="9" s="1"/>
  <c r="GF30" i="9" s="1"/>
  <c r="DU44" i="4"/>
  <c r="DY44" i="4"/>
  <c r="FA44" i="13"/>
  <c r="AM44" i="13" s="1"/>
  <c r="GF44" i="13" s="1"/>
  <c r="DU44" i="13"/>
  <c r="FA25" i="4"/>
  <c r="AM25" i="4" s="1"/>
  <c r="GF25" i="4" s="1"/>
  <c r="EA25" i="4"/>
  <c r="DW25" i="4"/>
  <c r="DY25" i="4"/>
  <c r="AS25" i="4"/>
  <c r="FA29" i="13"/>
  <c r="AM29" i="13" s="1"/>
  <c r="GF29" i="13" s="1"/>
  <c r="EA29" i="13"/>
  <c r="FA30" i="13"/>
  <c r="AM30" i="13" s="1"/>
  <c r="GJ30" i="13" s="1"/>
  <c r="GM30" i="13" s="1"/>
  <c r="FG30" i="13"/>
  <c r="EA30" i="13"/>
  <c r="DY30" i="13"/>
  <c r="DV30" i="13"/>
  <c r="AS36" i="11"/>
  <c r="DW36" i="11"/>
  <c r="FA50" i="12"/>
  <c r="AM50" i="12" s="1"/>
  <c r="CC33" i="13" s="1"/>
  <c r="EB50" i="12"/>
  <c r="FG50" i="12"/>
  <c r="DW50" i="12"/>
  <c r="DY50" i="12"/>
  <c r="DY28" i="11"/>
  <c r="FG28" i="11"/>
  <c r="DX28" i="11"/>
  <c r="AS28" i="11"/>
  <c r="EA28" i="11"/>
  <c r="EB28" i="11"/>
  <c r="DU28" i="11"/>
  <c r="DY42" i="11"/>
  <c r="DX42" i="11"/>
  <c r="AS42" i="11"/>
  <c r="DU42" i="11"/>
  <c r="FG42" i="11"/>
  <c r="EB42" i="11"/>
  <c r="EA42" i="11"/>
  <c r="FA42" i="11"/>
  <c r="AM42" i="11" s="1"/>
  <c r="GJ42" i="11" s="1"/>
  <c r="GM42" i="11" s="1"/>
  <c r="AS26" i="11"/>
  <c r="DW26" i="11"/>
  <c r="EA26" i="11"/>
  <c r="DV26" i="11"/>
  <c r="DX26" i="11"/>
  <c r="EB26" i="11"/>
  <c r="DY26" i="11"/>
  <c r="FA28" i="12"/>
  <c r="AM28" i="12" s="1"/>
  <c r="GF28" i="12" s="1"/>
  <c r="AS28" i="12"/>
  <c r="DY28" i="12"/>
  <c r="DU28" i="12"/>
  <c r="DX28" i="12"/>
  <c r="FA35" i="4"/>
  <c r="AM35" i="4" s="1"/>
  <c r="GJ35" i="4" s="1"/>
  <c r="GM35" i="4" s="1"/>
  <c r="EA35" i="4"/>
  <c r="DX35" i="4"/>
  <c r="AS35" i="4"/>
  <c r="DY35" i="4"/>
  <c r="DU35" i="15"/>
  <c r="EB35" i="15"/>
  <c r="FA30" i="14"/>
  <c r="AM30" i="14" s="1"/>
  <c r="GJ30" i="14" s="1"/>
  <c r="GM30" i="14" s="1"/>
  <c r="AS30" i="14"/>
  <c r="DW30" i="14"/>
  <c r="EB30" i="14"/>
  <c r="FG30" i="14"/>
  <c r="DU30" i="14"/>
  <c r="DX25" i="14"/>
  <c r="EB25" i="14"/>
  <c r="DU25" i="14"/>
  <c r="EA25" i="14"/>
  <c r="FG25" i="14"/>
  <c r="DY25" i="14"/>
  <c r="AS37" i="7"/>
  <c r="DX37" i="7"/>
  <c r="DU37" i="7"/>
  <c r="FG37" i="7"/>
  <c r="DV37" i="7"/>
  <c r="FA37" i="7"/>
  <c r="AM37" i="7" s="1"/>
  <c r="EA35" i="37" s="1"/>
  <c r="FA48" i="14"/>
  <c r="AM48" i="14" s="1"/>
  <c r="GF48" i="14" s="1"/>
  <c r="DV48" i="14"/>
  <c r="FG48" i="14"/>
  <c r="DX48" i="14"/>
  <c r="AS48" i="14"/>
  <c r="DU48" i="14"/>
  <c r="FA25" i="8"/>
  <c r="AM25" i="8" s="1"/>
  <c r="GF25" i="8" s="1"/>
  <c r="FG25" i="8"/>
  <c r="DX25" i="8"/>
  <c r="DV25" i="8"/>
  <c r="EB25" i="8"/>
  <c r="FA29" i="7"/>
  <c r="AM29" i="7" s="1"/>
  <c r="GF29" i="7" s="1"/>
  <c r="EB29" i="7"/>
  <c r="FG29" i="7"/>
  <c r="EA29" i="7"/>
  <c r="DV29" i="7"/>
  <c r="FA47" i="5"/>
  <c r="AM47" i="5" s="1"/>
  <c r="GJ47" i="5" s="1"/>
  <c r="GM47" i="5" s="1"/>
  <c r="EA47" i="5"/>
  <c r="DU47" i="5"/>
  <c r="EB47" i="5"/>
  <c r="DY47" i="5"/>
  <c r="FG22" i="4"/>
  <c r="DW22" i="4"/>
  <c r="DY27" i="14"/>
  <c r="DV27" i="14"/>
  <c r="FA49" i="9"/>
  <c r="AM49" i="9" s="1"/>
  <c r="EA47" i="39" s="1"/>
  <c r="CG47" i="39" s="1"/>
  <c r="DV49" i="9"/>
  <c r="AS32" i="7"/>
  <c r="DU32" i="7"/>
  <c r="FG36" i="8"/>
  <c r="EA36" i="8"/>
  <c r="EB50" i="9"/>
  <c r="DU50" i="9"/>
  <c r="DY50" i="9"/>
  <c r="DV50" i="9"/>
  <c r="FA50" i="9"/>
  <c r="AM50" i="9" s="1"/>
  <c r="CC33" i="10" s="1"/>
  <c r="DW50" i="9"/>
  <c r="DX50" i="9"/>
  <c r="AS50" i="9"/>
  <c r="DU26" i="9"/>
  <c r="FG26" i="9"/>
  <c r="AS26" i="9"/>
  <c r="DW26" i="9"/>
  <c r="DX26" i="9"/>
  <c r="DY26" i="9"/>
  <c r="EA26" i="9"/>
  <c r="AS32" i="5"/>
  <c r="DW32" i="5"/>
  <c r="DX32" i="5"/>
  <c r="DY32" i="5"/>
  <c r="EB32" i="5"/>
  <c r="FA32" i="5"/>
  <c r="AM32" i="5" s="1"/>
  <c r="GJ32" i="5" s="1"/>
  <c r="GM32" i="5" s="1"/>
  <c r="FA28" i="15"/>
  <c r="AM28" i="15" s="1"/>
  <c r="GF28" i="15" s="1"/>
  <c r="DU28" i="15"/>
  <c r="DW28" i="15"/>
  <c r="EA28" i="15"/>
  <c r="FG28" i="15"/>
  <c r="DV28" i="15"/>
  <c r="FA50" i="5"/>
  <c r="AM50" i="5" s="1"/>
  <c r="GJ50" i="5" s="1"/>
  <c r="GM50" i="5" s="1"/>
  <c r="DV50" i="5"/>
  <c r="DU50" i="5"/>
  <c r="DW50" i="5"/>
  <c r="EB50" i="5"/>
  <c r="FA35" i="11"/>
  <c r="AM35" i="11" s="1"/>
  <c r="GF35" i="11" s="1"/>
  <c r="DY35" i="11"/>
  <c r="AS35" i="11"/>
  <c r="FG35" i="11"/>
  <c r="EA35" i="11"/>
  <c r="EB35" i="11"/>
  <c r="DV34" i="10"/>
  <c r="DW34" i="10"/>
  <c r="DX41" i="7"/>
  <c r="EB41" i="7"/>
  <c r="AS41" i="7"/>
  <c r="DY41" i="7"/>
  <c r="FA41" i="7"/>
  <c r="AM41" i="7" s="1"/>
  <c r="GJ41" i="7" s="1"/>
  <c r="GM41" i="7" s="1"/>
  <c r="FA23" i="6"/>
  <c r="AM23" i="6" s="1"/>
  <c r="GF23" i="6" s="1"/>
  <c r="DW23" i="6"/>
  <c r="AS23" i="6"/>
  <c r="DV23" i="6"/>
  <c r="DX23" i="6"/>
  <c r="EA23" i="6"/>
  <c r="DW27" i="12"/>
  <c r="DX27" i="12"/>
  <c r="FA36" i="9"/>
  <c r="AM36" i="9" s="1"/>
  <c r="GF36" i="9" s="1"/>
  <c r="AS36" i="9"/>
  <c r="DW36" i="9"/>
  <c r="DU36" i="9"/>
  <c r="EB36" i="9"/>
  <c r="DV36" i="9"/>
  <c r="FA28" i="8"/>
  <c r="AM28" i="8" s="1"/>
  <c r="GF28" i="8" s="1"/>
  <c r="FG28" i="8"/>
  <c r="DY28" i="8"/>
  <c r="DW28" i="8"/>
  <c r="DU28" i="8"/>
  <c r="AS28" i="8"/>
  <c r="EA50" i="13"/>
  <c r="DV50" i="13"/>
  <c r="DY50" i="13"/>
  <c r="DU50" i="13"/>
  <c r="FA50" i="13"/>
  <c r="AM50" i="13" s="1"/>
  <c r="GF50" i="13" s="1"/>
  <c r="FG50" i="13"/>
  <c r="EB50" i="13"/>
  <c r="DX50" i="13"/>
  <c r="FA21" i="11"/>
  <c r="AM21" i="11" s="1"/>
  <c r="GF21" i="11" s="1"/>
  <c r="DY21" i="11"/>
  <c r="EA21" i="11"/>
  <c r="FG21" i="11"/>
  <c r="DX21" i="11"/>
  <c r="AS21" i="11"/>
  <c r="EB21" i="11"/>
  <c r="DV21" i="11"/>
  <c r="EA24" i="13"/>
  <c r="EB24" i="13"/>
  <c r="DY24" i="13"/>
  <c r="DV24" i="13"/>
  <c r="AS24" i="13"/>
  <c r="FA34" i="14"/>
  <c r="AM34" i="14" s="1"/>
  <c r="GJ34" i="14" s="1"/>
  <c r="GM34" i="14" s="1"/>
  <c r="DV34" i="14"/>
  <c r="FA43" i="13"/>
  <c r="AM43" i="13" s="1"/>
  <c r="GJ43" i="13" s="1"/>
  <c r="GM43" i="13" s="1"/>
  <c r="DY43" i="13"/>
  <c r="DU43" i="13"/>
  <c r="FG43" i="13"/>
  <c r="DV43" i="13"/>
  <c r="DX43" i="13"/>
  <c r="FA44" i="14"/>
  <c r="AM44" i="14" s="1"/>
  <c r="GJ44" i="14" s="1"/>
  <c r="GM44" i="14" s="1"/>
  <c r="EB44" i="14"/>
  <c r="DU29" i="15"/>
  <c r="AS29" i="15"/>
  <c r="DV29" i="15"/>
  <c r="FG29" i="15"/>
  <c r="DW29" i="15"/>
  <c r="EA29" i="15"/>
  <c r="DY29" i="15"/>
  <c r="DY42" i="12"/>
  <c r="FG42" i="12"/>
  <c r="EA42" i="12"/>
  <c r="DU42" i="12"/>
  <c r="EB42" i="12"/>
  <c r="DV42" i="12"/>
  <c r="DW42" i="12"/>
  <c r="FA42" i="12"/>
  <c r="AM42" i="12" s="1"/>
  <c r="GJ42" i="12" s="1"/>
  <c r="GM42" i="12" s="1"/>
  <c r="DU25" i="4"/>
  <c r="EB25" i="4"/>
  <c r="DV25" i="4"/>
  <c r="DV30" i="14"/>
  <c r="DY30" i="14"/>
  <c r="DY23" i="6"/>
  <c r="DU23" i="6"/>
  <c r="EA40" i="13"/>
  <c r="DU40" i="13"/>
  <c r="DW40" i="13"/>
  <c r="FA36" i="6"/>
  <c r="AM36" i="6" s="1"/>
  <c r="GJ36" i="6" s="1"/>
  <c r="GM36" i="6" s="1"/>
  <c r="FA24" i="13"/>
  <c r="AM24" i="13" s="1"/>
  <c r="GJ24" i="13" s="1"/>
  <c r="GM24" i="13" s="1"/>
  <c r="FA48" i="8"/>
  <c r="AM48" i="8" s="1"/>
  <c r="GF48" i="8" s="1"/>
  <c r="FG33" i="7"/>
  <c r="EA28" i="12"/>
  <c r="FG28" i="12"/>
  <c r="DU29" i="7"/>
  <c r="DX29" i="7"/>
  <c r="DY29" i="7"/>
  <c r="DX35" i="11"/>
  <c r="DV35" i="11"/>
  <c r="DY25" i="8"/>
  <c r="DW25" i="8"/>
  <c r="DY46" i="15"/>
  <c r="FG47" i="5"/>
  <c r="AS47" i="5"/>
  <c r="DX47" i="5"/>
  <c r="DY28" i="15"/>
  <c r="AS28" i="15"/>
  <c r="DV28" i="10"/>
  <c r="EA36" i="9"/>
  <c r="DX36" i="9"/>
  <c r="DW48" i="14"/>
  <c r="EB48" i="14"/>
  <c r="AS50" i="5"/>
  <c r="EA50" i="5"/>
  <c r="FG50" i="5"/>
  <c r="EB35" i="4"/>
  <c r="DV35" i="4"/>
  <c r="DU35" i="4"/>
  <c r="DW35" i="14"/>
  <c r="DY35" i="14"/>
  <c r="EA50" i="12"/>
  <c r="DU50" i="12"/>
  <c r="DU30" i="13"/>
  <c r="DX30" i="13"/>
  <c r="DX28" i="8"/>
  <c r="EA28" i="8"/>
  <c r="EA43" i="13"/>
  <c r="AS43" i="13"/>
  <c r="EB37" i="7"/>
  <c r="DW37" i="7"/>
  <c r="EA36" i="6"/>
  <c r="DV36" i="6"/>
  <c r="DX36" i="6"/>
  <c r="FG24" i="13"/>
  <c r="DX24" i="13"/>
  <c r="DW41" i="7"/>
  <c r="DU41" i="7"/>
  <c r="FG41" i="7"/>
  <c r="DU32" i="5"/>
  <c r="DV32" i="5"/>
  <c r="FA25" i="14"/>
  <c r="AM25" i="14" s="1"/>
  <c r="GJ25" i="14" s="1"/>
  <c r="GM25" i="14" s="1"/>
  <c r="DV25" i="14"/>
  <c r="AS46" i="4"/>
  <c r="AS30" i="9"/>
  <c r="EA50" i="9"/>
  <c r="DV26" i="9"/>
  <c r="AS50" i="13"/>
  <c r="DU49" i="5"/>
  <c r="DW28" i="11"/>
  <c r="DW42" i="11"/>
  <c r="FA26" i="11"/>
  <c r="AM26" i="11" s="1"/>
  <c r="GJ26" i="11" s="1"/>
  <c r="GM26" i="11" s="1"/>
  <c r="DU26" i="11"/>
  <c r="DW21" i="11"/>
  <c r="EB29" i="15"/>
  <c r="DX42" i="5"/>
  <c r="AS42" i="12"/>
  <c r="GJ25" i="7"/>
  <c r="GM25" i="7" s="1"/>
  <c r="GJ40" i="4"/>
  <c r="GM40" i="4" s="1"/>
  <c r="GJ38" i="8"/>
  <c r="GM38" i="8" s="1"/>
  <c r="GJ49" i="4"/>
  <c r="GM49" i="4" s="1"/>
  <c r="GF44" i="5"/>
  <c r="GJ44" i="5"/>
  <c r="GM44" i="5" s="1"/>
  <c r="GJ22" i="9"/>
  <c r="GM22" i="9" s="1"/>
  <c r="GJ26" i="15"/>
  <c r="GM26" i="15" s="1"/>
  <c r="GJ30" i="5"/>
  <c r="GM30" i="5" s="1"/>
  <c r="GJ43" i="11"/>
  <c r="GM43" i="11" s="1"/>
  <c r="GJ34" i="8"/>
  <c r="GM34" i="8" s="1"/>
  <c r="GJ42" i="4"/>
  <c r="GM42" i="4" s="1"/>
  <c r="GJ25" i="6"/>
  <c r="GM25" i="6" s="1"/>
  <c r="GJ38" i="10"/>
  <c r="GM38" i="10" s="1"/>
  <c r="GJ26" i="7"/>
  <c r="GM26" i="7" s="1"/>
  <c r="GJ40" i="9"/>
  <c r="GM40" i="9" s="1"/>
  <c r="GJ31" i="12"/>
  <c r="GM31" i="12" s="1"/>
  <c r="GJ35" i="10"/>
  <c r="GM35" i="10" s="1"/>
  <c r="X19" i="74"/>
  <c r="GJ31" i="10"/>
  <c r="GM31" i="10" s="1"/>
  <c r="EA48" i="41"/>
  <c r="EB48" i="41" s="1"/>
  <c r="EA34" i="40"/>
  <c r="EB34" i="40" s="1"/>
  <c r="GJ36" i="10"/>
  <c r="GM36" i="10" s="1"/>
  <c r="GJ48" i="5"/>
  <c r="GM48" i="5" s="1"/>
  <c r="AA18" i="74"/>
  <c r="GJ30" i="11"/>
  <c r="GM30" i="11" s="1"/>
  <c r="DV25" i="9"/>
  <c r="DU32" i="12"/>
  <c r="AC36" i="37"/>
  <c r="DX49" i="4"/>
  <c r="EA44" i="13"/>
  <c r="EB29" i="13"/>
  <c r="DW44" i="14"/>
  <c r="EB46" i="15"/>
  <c r="AC34" i="37"/>
  <c r="FG34" i="14"/>
  <c r="EA44" i="5"/>
  <c r="DW28" i="10"/>
  <c r="FG38" i="8"/>
  <c r="DW38" i="8"/>
  <c r="DY36" i="7"/>
  <c r="EB34" i="10"/>
  <c r="FG35" i="15"/>
  <c r="DU48" i="8"/>
  <c r="DW48" i="8"/>
  <c r="EA28" i="5"/>
  <c r="BD48" i="40"/>
  <c r="DX44" i="4"/>
  <c r="AC50" i="36"/>
  <c r="AA50" i="36" s="1"/>
  <c r="AB50" i="36" s="1"/>
  <c r="DV32" i="12"/>
  <c r="DW29" i="13"/>
  <c r="FG44" i="14"/>
  <c r="DU44" i="5"/>
  <c r="EA38" i="8"/>
  <c r="D50" i="37"/>
  <c r="CC75" i="7" s="1"/>
  <c r="C31" i="51" s="1"/>
  <c r="AS36" i="7"/>
  <c r="AS34" i="10"/>
  <c r="DY35" i="15"/>
  <c r="DV48" i="8"/>
  <c r="EB36" i="11"/>
  <c r="DV28" i="5"/>
  <c r="DW28" i="4"/>
  <c r="DV36" i="13"/>
  <c r="DY29" i="9"/>
  <c r="EB44" i="8"/>
  <c r="EA38" i="11"/>
  <c r="DX25" i="9"/>
  <c r="DW49" i="4"/>
  <c r="AC39" i="37"/>
  <c r="AA39" i="37" s="1"/>
  <c r="AB39" i="37" s="1"/>
  <c r="AF39" i="37" s="1"/>
  <c r="FA36" i="7"/>
  <c r="AM36" i="7" s="1"/>
  <c r="EA34" i="37" s="1"/>
  <c r="DW44" i="13"/>
  <c r="DX46" i="15"/>
  <c r="DU34" i="14"/>
  <c r="EB44" i="5"/>
  <c r="EB28" i="10"/>
  <c r="AD39" i="38"/>
  <c r="BD48" i="37"/>
  <c r="DU40" i="4"/>
  <c r="AS25" i="9"/>
  <c r="DY25" i="9"/>
  <c r="DX32" i="12"/>
  <c r="EA49" i="4"/>
  <c r="EB44" i="13"/>
  <c r="DX50" i="15"/>
  <c r="DU29" i="13"/>
  <c r="AS44" i="14"/>
  <c r="AE39" i="38"/>
  <c r="DU46" i="15"/>
  <c r="DW34" i="14"/>
  <c r="DY34" i="14"/>
  <c r="DV44" i="5"/>
  <c r="DU28" i="10"/>
  <c r="EB38" i="8"/>
  <c r="FG36" i="7"/>
  <c r="FG34" i="10"/>
  <c r="DX35" i="15"/>
  <c r="EA48" i="8"/>
  <c r="DY36" i="11"/>
  <c r="FA44" i="4"/>
  <c r="AM44" i="4" s="1"/>
  <c r="EA42" i="18" s="1"/>
  <c r="DU50" i="14"/>
  <c r="DX28" i="4"/>
  <c r="AS27" i="12"/>
  <c r="DV43" i="8"/>
  <c r="DU29" i="9"/>
  <c r="DU38" i="11"/>
  <c r="GF27" i="11"/>
  <c r="AC37" i="36"/>
  <c r="AC37" i="42"/>
  <c r="AA37" i="42" s="1"/>
  <c r="AB37" i="42" s="1"/>
  <c r="AF37" i="42" s="1"/>
  <c r="AC34" i="35"/>
  <c r="AC34" i="41"/>
  <c r="AC49" i="43"/>
  <c r="D50" i="38"/>
  <c r="EI19" i="12"/>
  <c r="EI23" i="12" s="1"/>
  <c r="DW29" i="5"/>
  <c r="EB29" i="5"/>
  <c r="FA26" i="14"/>
  <c r="AM26" i="14" s="1"/>
  <c r="EA24" i="44" s="1"/>
  <c r="DW26" i="14"/>
  <c r="AS48" i="4"/>
  <c r="FA49" i="7"/>
  <c r="AM49" i="7" s="1"/>
  <c r="O37" i="74" s="1"/>
  <c r="DW49" i="7"/>
  <c r="EB46" i="7"/>
  <c r="FA23" i="8"/>
  <c r="AM23" i="8" s="1"/>
  <c r="EA21" i="38" s="1"/>
  <c r="AS23" i="8"/>
  <c r="DX27" i="9"/>
  <c r="AC51" i="43"/>
  <c r="AA51" i="43" s="1"/>
  <c r="AB51" i="43" s="1"/>
  <c r="AF51" i="43" s="1"/>
  <c r="EI19" i="6"/>
  <c r="AD48" i="45"/>
  <c r="AA48" i="45" s="1"/>
  <c r="AB48" i="45" s="1"/>
  <c r="AF48" i="45" s="1"/>
  <c r="AC49" i="42"/>
  <c r="AA49" i="42" s="1"/>
  <c r="AB49" i="42" s="1"/>
  <c r="AC37" i="44"/>
  <c r="AA37" i="44" s="1"/>
  <c r="AB37" i="44" s="1"/>
  <c r="AF37" i="44" s="1"/>
  <c r="EI19" i="10"/>
  <c r="AC35" i="41"/>
  <c r="AC38" i="45"/>
  <c r="AA38" i="45" s="1"/>
  <c r="AB38" i="45" s="1"/>
  <c r="AF38" i="45" s="1"/>
  <c r="AC49" i="35"/>
  <c r="AA49" i="35" s="1"/>
  <c r="AB49" i="35" s="1"/>
  <c r="AF49" i="35" s="1"/>
  <c r="DX22" i="9"/>
  <c r="DY22" i="9"/>
  <c r="FG22" i="9"/>
  <c r="DV30" i="15"/>
  <c r="FG30" i="15"/>
  <c r="DW30" i="15"/>
  <c r="DV42" i="14"/>
  <c r="DU42" i="14"/>
  <c r="EB43" i="14"/>
  <c r="AS43" i="14"/>
  <c r="FG43" i="14"/>
  <c r="DU43" i="10"/>
  <c r="EA41" i="13"/>
  <c r="EB41" i="13"/>
  <c r="EB34" i="7"/>
  <c r="EA25" i="12"/>
  <c r="EB23" i="14"/>
  <c r="DV23" i="14"/>
  <c r="DU47" i="10"/>
  <c r="EA38" i="4"/>
  <c r="DU38" i="4"/>
  <c r="DW45" i="10"/>
  <c r="DW21" i="10"/>
  <c r="DY24" i="15"/>
  <c r="FA22" i="7"/>
  <c r="AM22" i="7" s="1"/>
  <c r="DU22" i="7"/>
  <c r="DV22" i="7"/>
  <c r="EA29" i="40"/>
  <c r="EB29" i="40" s="1"/>
  <c r="DU24" i="5"/>
  <c r="DU29" i="5"/>
  <c r="AS29" i="5"/>
  <c r="DV29" i="5"/>
  <c r="DU26" i="14"/>
  <c r="DW48" i="4"/>
  <c r="DX49" i="7"/>
  <c r="FA46" i="7"/>
  <c r="AM46" i="7" s="1"/>
  <c r="O34" i="74" s="1"/>
  <c r="DV46" i="7"/>
  <c r="DV23" i="8"/>
  <c r="FA27" i="9"/>
  <c r="AM27" i="9" s="1"/>
  <c r="DW27" i="9"/>
  <c r="AE52" i="40"/>
  <c r="DU41" i="15"/>
  <c r="DY41" i="15"/>
  <c r="DV30" i="5"/>
  <c r="DU30" i="5"/>
  <c r="DX37" i="4"/>
  <c r="DW37" i="4"/>
  <c r="DX42" i="4"/>
  <c r="AS42" i="4"/>
  <c r="FG46" i="9"/>
  <c r="DY27" i="10"/>
  <c r="DW27" i="10"/>
  <c r="EB27" i="10"/>
  <c r="AS22" i="9"/>
  <c r="DV22" i="9"/>
  <c r="FG26" i="7"/>
  <c r="AS42" i="13"/>
  <c r="AS25" i="6"/>
  <c r="AS48" i="5"/>
  <c r="AS30" i="15"/>
  <c r="DW42" i="14"/>
  <c r="EA42" i="14"/>
  <c r="DX43" i="14"/>
  <c r="DV46" i="14"/>
  <c r="DY43" i="10"/>
  <c r="X24" i="74"/>
  <c r="DY41" i="13"/>
  <c r="DV34" i="7"/>
  <c r="DV25" i="12"/>
  <c r="FA23" i="14"/>
  <c r="AM23" i="14" s="1"/>
  <c r="AJ11" i="74" s="1"/>
  <c r="EA23" i="14"/>
  <c r="FG38" i="4"/>
  <c r="EA45" i="10"/>
  <c r="AS21" i="10"/>
  <c r="DV24" i="15"/>
  <c r="AS22" i="7"/>
  <c r="DY22" i="7"/>
  <c r="FG26" i="13"/>
  <c r="DY24" i="5"/>
  <c r="DX29" i="5"/>
  <c r="EB26" i="14"/>
  <c r="DY48" i="4"/>
  <c r="DU42" i="5"/>
  <c r="DV49" i="7"/>
  <c r="DX46" i="7"/>
  <c r="FG23" i="8"/>
  <c r="FG27" i="9"/>
  <c r="EB25" i="9"/>
  <c r="FG25" i="9"/>
  <c r="FG32" i="12"/>
  <c r="EB32" i="12"/>
  <c r="AS32" i="12"/>
  <c r="DY49" i="4"/>
  <c r="DV49" i="4"/>
  <c r="EB49" i="4"/>
  <c r="FA34" i="10"/>
  <c r="AM34" i="10" s="1"/>
  <c r="X22" i="74" s="1"/>
  <c r="AS46" i="10"/>
  <c r="DV44" i="13"/>
  <c r="AS44" i="13"/>
  <c r="FG29" i="13"/>
  <c r="DY29" i="13"/>
  <c r="AC51" i="44"/>
  <c r="EA44" i="14"/>
  <c r="DY44" i="14"/>
  <c r="DU44" i="14"/>
  <c r="AC39" i="39"/>
  <c r="FG46" i="15"/>
  <c r="DW46" i="15"/>
  <c r="AS46" i="15"/>
  <c r="EB34" i="14"/>
  <c r="AS34" i="14"/>
  <c r="DX44" i="5"/>
  <c r="DY44" i="5"/>
  <c r="EA28" i="10"/>
  <c r="DY28" i="10"/>
  <c r="DX28" i="10"/>
  <c r="DX38" i="8"/>
  <c r="AS38" i="8"/>
  <c r="AE53" i="36"/>
  <c r="DU36" i="7"/>
  <c r="DX36" i="7"/>
  <c r="EA34" i="10"/>
  <c r="DU34" i="10"/>
  <c r="AS35" i="15"/>
  <c r="DV35" i="15"/>
  <c r="DX48" i="8"/>
  <c r="FG48" i="8"/>
  <c r="AC34" i="44"/>
  <c r="DU36" i="11"/>
  <c r="FG36" i="11"/>
  <c r="FG28" i="5"/>
  <c r="DW28" i="5"/>
  <c r="D50" i="36"/>
  <c r="AD48" i="41"/>
  <c r="AS44" i="4"/>
  <c r="FG44" i="4"/>
  <c r="DV44" i="4"/>
  <c r="FA50" i="14"/>
  <c r="AM50" i="14" s="1"/>
  <c r="GJ50" i="14" s="1"/>
  <c r="GM50" i="14" s="1"/>
  <c r="DX50" i="14"/>
  <c r="DY28" i="4"/>
  <c r="AC34" i="40"/>
  <c r="EA36" i="13"/>
  <c r="EA27" i="12"/>
  <c r="FA43" i="8"/>
  <c r="AM43" i="8" s="1"/>
  <c r="R31" i="74" s="1"/>
  <c r="FG43" i="8"/>
  <c r="DV29" i="9"/>
  <c r="DX44" i="8"/>
  <c r="DV38" i="11"/>
  <c r="AC48" i="18"/>
  <c r="DU25" i="9"/>
  <c r="DW25" i="9"/>
  <c r="EA32" i="12"/>
  <c r="DW32" i="12"/>
  <c r="FG49" i="4"/>
  <c r="AS49" i="4"/>
  <c r="FA35" i="15"/>
  <c r="AM35" i="15" s="1"/>
  <c r="EA33" i="45" s="1"/>
  <c r="AD53" i="38"/>
  <c r="FG44" i="13"/>
  <c r="DY44" i="13"/>
  <c r="DX23" i="4"/>
  <c r="AS29" i="13"/>
  <c r="DX29" i="13"/>
  <c r="D50" i="45"/>
  <c r="P21" i="45" s="1"/>
  <c r="DV44" i="14"/>
  <c r="DX44" i="14"/>
  <c r="AE39" i="36"/>
  <c r="DV46" i="15"/>
  <c r="EA46" i="15"/>
  <c r="EA34" i="14"/>
  <c r="DX34" i="14"/>
  <c r="BD19" i="45"/>
  <c r="AS44" i="5"/>
  <c r="DW44" i="5"/>
  <c r="AS28" i="10"/>
  <c r="FG28" i="10"/>
  <c r="DY38" i="8"/>
  <c r="DV38" i="8"/>
  <c r="DW36" i="7"/>
  <c r="DV36" i="7"/>
  <c r="DX34" i="10"/>
  <c r="DY34" i="10"/>
  <c r="DW35" i="15"/>
  <c r="DY48" i="8"/>
  <c r="DX36" i="11"/>
  <c r="EA36" i="11"/>
  <c r="FA28" i="5"/>
  <c r="AM28" i="5" s="1"/>
  <c r="EA26" i="35" s="1"/>
  <c r="EB28" i="5"/>
  <c r="DU28" i="5"/>
  <c r="AD34" i="41"/>
  <c r="EA44" i="4"/>
  <c r="DW44" i="4"/>
  <c r="AC51" i="36"/>
  <c r="AA51" i="36" s="1"/>
  <c r="AB51" i="36" s="1"/>
  <c r="AF51" i="36" s="1"/>
  <c r="DY50" i="14"/>
  <c r="EA28" i="4"/>
  <c r="AS36" i="13"/>
  <c r="EB27" i="12"/>
  <c r="EA43" i="8"/>
  <c r="DX43" i="8"/>
  <c r="FA29" i="9"/>
  <c r="AM29" i="9" s="1"/>
  <c r="EA27" i="39" s="1"/>
  <c r="EA29" i="9"/>
  <c r="FG44" i="8"/>
  <c r="DY38" i="11"/>
  <c r="DU23" i="15"/>
  <c r="FA36" i="11"/>
  <c r="AM36" i="11" s="1"/>
  <c r="AA24" i="74" s="1"/>
  <c r="DV36" i="11"/>
  <c r="DX28" i="5"/>
  <c r="AS28" i="5"/>
  <c r="EB44" i="4"/>
  <c r="AC38" i="40"/>
  <c r="DW50" i="14"/>
  <c r="FA28" i="4"/>
  <c r="AM28" i="4" s="1"/>
  <c r="EA26" i="18" s="1"/>
  <c r="FG28" i="4"/>
  <c r="DW36" i="13"/>
  <c r="DU27" i="12"/>
  <c r="DY43" i="8"/>
  <c r="EB43" i="8"/>
  <c r="DX29" i="9"/>
  <c r="DW29" i="9"/>
  <c r="FA44" i="8"/>
  <c r="AM44" i="8" s="1"/>
  <c r="EA42" i="38" s="1"/>
  <c r="AS44" i="8"/>
  <c r="DX38" i="11"/>
  <c r="AS23" i="15"/>
  <c r="EB39" i="11"/>
  <c r="DU39" i="10"/>
  <c r="FG39" i="10"/>
  <c r="DY23" i="15"/>
  <c r="DW39" i="11"/>
  <c r="AC48" i="43"/>
  <c r="AA48" i="43" s="1"/>
  <c r="AB48" i="43" s="1"/>
  <c r="AF48" i="43" s="1"/>
  <c r="AE52" i="18"/>
  <c r="X16" i="74"/>
  <c r="EB23" i="15"/>
  <c r="DV23" i="15"/>
  <c r="FA39" i="10"/>
  <c r="AM39" i="10" s="1"/>
  <c r="GJ39" i="10" s="1"/>
  <c r="GM39" i="10" s="1"/>
  <c r="DW39" i="10"/>
  <c r="AS39" i="10"/>
  <c r="AS39" i="11"/>
  <c r="EA39" i="11"/>
  <c r="GF46" i="15"/>
  <c r="DV50" i="14"/>
  <c r="FG50" i="14"/>
  <c r="AS50" i="14"/>
  <c r="DV28" i="4"/>
  <c r="DU28" i="4"/>
  <c r="FA36" i="13"/>
  <c r="AM36" i="13" s="1"/>
  <c r="EB36" i="13"/>
  <c r="FG36" i="13"/>
  <c r="FG27" i="12"/>
  <c r="DY27" i="12"/>
  <c r="AS43" i="8"/>
  <c r="DU43" i="8"/>
  <c r="EB29" i="9"/>
  <c r="AS29" i="9"/>
  <c r="DY44" i="8"/>
  <c r="DW44" i="8"/>
  <c r="EA44" i="8"/>
  <c r="FG38" i="11"/>
  <c r="AS38" i="11"/>
  <c r="EA42" i="35"/>
  <c r="CG42" i="35" s="1"/>
  <c r="E81" i="35" s="1"/>
  <c r="DX23" i="15"/>
  <c r="FG23" i="15"/>
  <c r="EA39" i="10"/>
  <c r="EB39" i="10"/>
  <c r="DV39" i="10"/>
  <c r="FA39" i="11"/>
  <c r="AM39" i="11" s="1"/>
  <c r="AA27" i="74" s="1"/>
  <c r="DX39" i="11"/>
  <c r="DY39" i="11"/>
  <c r="EB50" i="14"/>
  <c r="EB28" i="4"/>
  <c r="DY36" i="13"/>
  <c r="DX36" i="13"/>
  <c r="FA27" i="12"/>
  <c r="AM27" i="12" s="1"/>
  <c r="AD15" i="74" s="1"/>
  <c r="DV27" i="12"/>
  <c r="DU44" i="8"/>
  <c r="FA38" i="11"/>
  <c r="AM38" i="11" s="1"/>
  <c r="EB38" i="11"/>
  <c r="DU44" i="6"/>
  <c r="I32" i="74"/>
  <c r="FA23" i="15"/>
  <c r="AM23" i="15" s="1"/>
  <c r="AM11" i="74" s="1"/>
  <c r="DW23" i="15"/>
  <c r="DX39" i="10"/>
  <c r="DU39" i="11"/>
  <c r="DV39" i="11"/>
  <c r="GG50" i="9"/>
  <c r="GQ50" i="9" s="1"/>
  <c r="AD39" i="40"/>
  <c r="AD53" i="40"/>
  <c r="AA53" i="40" s="1"/>
  <c r="AB53" i="40" s="1"/>
  <c r="AF53" i="40" s="1"/>
  <c r="AE38" i="37"/>
  <c r="AA38" i="37" s="1"/>
  <c r="AB38" i="37" s="1"/>
  <c r="AF38" i="37" s="1"/>
  <c r="AE38" i="40"/>
  <c r="CQ52" i="18"/>
  <c r="AE39" i="42"/>
  <c r="AA39" i="42" s="1"/>
  <c r="AB39" i="42" s="1"/>
  <c r="AF39" i="42" s="1"/>
  <c r="GF50" i="7"/>
  <c r="AD34" i="38"/>
  <c r="AD48" i="38"/>
  <c r="AA48" i="38" s="1"/>
  <c r="AB48" i="38" s="1"/>
  <c r="AE38" i="18"/>
  <c r="AC34" i="43"/>
  <c r="AC34" i="18"/>
  <c r="AE38" i="43"/>
  <c r="GG49" i="15"/>
  <c r="AC39" i="45"/>
  <c r="AA39" i="45" s="1"/>
  <c r="AB39" i="45" s="1"/>
  <c r="AF39" i="45" s="1"/>
  <c r="AC53" i="45"/>
  <c r="AA53" i="45" s="1"/>
  <c r="AB53" i="45" s="1"/>
  <c r="AF53" i="45" s="1"/>
  <c r="AE53" i="42"/>
  <c r="AA53" i="42" s="1"/>
  <c r="AB53" i="42" s="1"/>
  <c r="AF53" i="42" s="1"/>
  <c r="GF50" i="15"/>
  <c r="GF43" i="11"/>
  <c r="GF37" i="11"/>
  <c r="BD44" i="40"/>
  <c r="GG46" i="10"/>
  <c r="GQ46" i="10" s="1"/>
  <c r="BD39" i="43"/>
  <c r="GG41" i="13"/>
  <c r="GQ41" i="13" s="1"/>
  <c r="AC53" i="39"/>
  <c r="AA53" i="39" s="1"/>
  <c r="AB53" i="39" s="1"/>
  <c r="AF53" i="39" s="1"/>
  <c r="AE38" i="44"/>
  <c r="GG22" i="15"/>
  <c r="GQ22" i="15" s="1"/>
  <c r="AC53" i="37"/>
  <c r="AA53" i="37" s="1"/>
  <c r="AB53" i="37" s="1"/>
  <c r="AF53" i="37" s="1"/>
  <c r="BD48" i="45"/>
  <c r="BD22" i="36"/>
  <c r="GG24" i="6"/>
  <c r="GQ24" i="6" s="1"/>
  <c r="BD31" i="39"/>
  <c r="GG33" i="9"/>
  <c r="GQ33" i="9" s="1"/>
  <c r="BD46" i="44"/>
  <c r="GG48" i="14"/>
  <c r="GQ48" i="14" s="1"/>
  <c r="BD34" i="43"/>
  <c r="GG36" i="13"/>
  <c r="GQ36" i="13" s="1"/>
  <c r="BD24" i="42"/>
  <c r="GG26" i="12"/>
  <c r="GQ26" i="12" s="1"/>
  <c r="AC39" i="40"/>
  <c r="BD42" i="44"/>
  <c r="GG44" i="14"/>
  <c r="GQ44" i="14" s="1"/>
  <c r="BD46" i="36"/>
  <c r="GG48" i="6"/>
  <c r="GQ48" i="6" s="1"/>
  <c r="BD23" i="42"/>
  <c r="GG25" i="12"/>
  <c r="GQ25" i="12" s="1"/>
  <c r="BD29" i="42"/>
  <c r="GG31" i="12"/>
  <c r="GQ31" i="12" s="1"/>
  <c r="BD43" i="43"/>
  <c r="GG45" i="13"/>
  <c r="GQ45" i="13" s="1"/>
  <c r="BD21" i="43"/>
  <c r="GG23" i="13"/>
  <c r="GQ23" i="13" s="1"/>
  <c r="BD41" i="44"/>
  <c r="GG43" i="14"/>
  <c r="GQ43" i="14" s="1"/>
  <c r="AE38" i="36"/>
  <c r="GG21" i="7"/>
  <c r="GQ21" i="7" s="1"/>
  <c r="BD28" i="39"/>
  <c r="GG30" i="9"/>
  <c r="GQ30" i="9" s="1"/>
  <c r="BD37" i="43"/>
  <c r="GG39" i="13"/>
  <c r="GQ39" i="13" s="1"/>
  <c r="BD35" i="44"/>
  <c r="GG37" i="14"/>
  <c r="GQ37" i="14" s="1"/>
  <c r="BD45" i="44"/>
  <c r="GG47" i="14"/>
  <c r="GQ47" i="14" s="1"/>
  <c r="BD20" i="43"/>
  <c r="GG22" i="13"/>
  <c r="GQ22" i="13" s="1"/>
  <c r="BD23" i="37"/>
  <c r="GG25" i="7"/>
  <c r="GQ25" i="7" s="1"/>
  <c r="BD39" i="41"/>
  <c r="GG41" i="11"/>
  <c r="GQ41" i="11" s="1"/>
  <c r="BD20" i="44"/>
  <c r="GG22" i="14"/>
  <c r="GQ22" i="14" s="1"/>
  <c r="BD27" i="44"/>
  <c r="GG29" i="14"/>
  <c r="GQ29" i="14" s="1"/>
  <c r="BD23" i="40"/>
  <c r="GG25" i="10"/>
  <c r="GQ25" i="10" s="1"/>
  <c r="BD36" i="36"/>
  <c r="GG38" i="6"/>
  <c r="GQ38" i="6" s="1"/>
  <c r="BD33" i="37"/>
  <c r="GG35" i="7"/>
  <c r="GQ35" i="7" s="1"/>
  <c r="BD33" i="40"/>
  <c r="GG35" i="10"/>
  <c r="GQ35" i="10" s="1"/>
  <c r="BD24" i="37"/>
  <c r="GG26" i="7"/>
  <c r="GQ26" i="7" s="1"/>
  <c r="BD34" i="44"/>
  <c r="GG36" i="14"/>
  <c r="GQ36" i="14" s="1"/>
  <c r="BD39" i="45"/>
  <c r="GG41" i="15"/>
  <c r="GQ41" i="15" s="1"/>
  <c r="BD43" i="36"/>
  <c r="GG45" i="6"/>
  <c r="GQ45" i="6" s="1"/>
  <c r="BD32" i="39"/>
  <c r="GG34" i="9"/>
  <c r="GQ34" i="9" s="1"/>
  <c r="BD26" i="42"/>
  <c r="GG28" i="12"/>
  <c r="GQ28" i="12" s="1"/>
  <c r="BD27" i="41"/>
  <c r="GG29" i="11"/>
  <c r="GQ29" i="11" s="1"/>
  <c r="BD30" i="37"/>
  <c r="GG32" i="7"/>
  <c r="GQ32" i="7" s="1"/>
  <c r="BD37" i="42"/>
  <c r="GG39" i="12"/>
  <c r="GQ39" i="12" s="1"/>
  <c r="BD45" i="39"/>
  <c r="GG47" i="9"/>
  <c r="GQ47" i="9" s="1"/>
  <c r="BD32" i="37"/>
  <c r="GG34" i="7"/>
  <c r="GQ34" i="7" s="1"/>
  <c r="BD34" i="41"/>
  <c r="GG36" i="11"/>
  <c r="GQ36" i="11" s="1"/>
  <c r="BD41" i="45"/>
  <c r="GG43" i="15"/>
  <c r="GQ43" i="15" s="1"/>
  <c r="BD24" i="40"/>
  <c r="GG26" i="10"/>
  <c r="GQ26" i="10" s="1"/>
  <c r="BD26" i="35"/>
  <c r="GG28" i="5"/>
  <c r="GQ28" i="5" s="1"/>
  <c r="BD38" i="35"/>
  <c r="GG40" i="5"/>
  <c r="GQ40" i="5" s="1"/>
  <c r="BD24" i="35"/>
  <c r="GG26" i="5"/>
  <c r="GQ26" i="5" s="1"/>
  <c r="BD22" i="35"/>
  <c r="GG24" i="5"/>
  <c r="GQ24" i="5" s="1"/>
  <c r="BD20" i="35"/>
  <c r="GG22" i="5"/>
  <c r="GQ22" i="5" s="1"/>
  <c r="BD36" i="18"/>
  <c r="GG38" i="4"/>
  <c r="GQ38" i="4" s="1"/>
  <c r="BD23" i="18"/>
  <c r="GG25" i="4"/>
  <c r="GQ25" i="4" s="1"/>
  <c r="BD47" i="18"/>
  <c r="BD34" i="18"/>
  <c r="GG36" i="4"/>
  <c r="GQ36" i="4" s="1"/>
  <c r="BD29" i="18"/>
  <c r="GG31" i="4"/>
  <c r="GQ31" i="4" s="1"/>
  <c r="GF38" i="7"/>
  <c r="GF36" i="10"/>
  <c r="GF31" i="10"/>
  <c r="GF21" i="6"/>
  <c r="BD45" i="38"/>
  <c r="GG47" i="8"/>
  <c r="GQ47" i="8" s="1"/>
  <c r="AC49" i="41"/>
  <c r="AA49" i="41" s="1"/>
  <c r="AB49" i="41" s="1"/>
  <c r="AF49" i="41" s="1"/>
  <c r="GG27" i="11"/>
  <c r="GQ27" i="11" s="1"/>
  <c r="BD30" i="40"/>
  <c r="GG32" i="10"/>
  <c r="GQ32" i="10" s="1"/>
  <c r="BD42" i="43"/>
  <c r="GG44" i="13"/>
  <c r="GQ44" i="13" s="1"/>
  <c r="BD33" i="36"/>
  <c r="GG35" i="6"/>
  <c r="GQ35" i="6" s="1"/>
  <c r="BD41" i="39"/>
  <c r="GG43" i="9"/>
  <c r="GQ43" i="9" s="1"/>
  <c r="BD21" i="41"/>
  <c r="GG23" i="11"/>
  <c r="GQ23" i="11" s="1"/>
  <c r="BD30" i="43"/>
  <c r="GG32" i="13"/>
  <c r="GQ32" i="13" s="1"/>
  <c r="BD47" i="40"/>
  <c r="BD24" i="43"/>
  <c r="GG26" i="13"/>
  <c r="GQ26" i="13" s="1"/>
  <c r="BD44" i="39"/>
  <c r="GG46" i="9"/>
  <c r="GQ46" i="9" s="1"/>
  <c r="BD38" i="40"/>
  <c r="GG40" i="10"/>
  <c r="GQ40" i="10" s="1"/>
  <c r="BD34" i="45"/>
  <c r="GG36" i="15"/>
  <c r="GQ36" i="15" s="1"/>
  <c r="BD46" i="40"/>
  <c r="GG48" i="10"/>
  <c r="GQ48" i="10" s="1"/>
  <c r="BD21" i="44"/>
  <c r="GG23" i="14"/>
  <c r="GQ23" i="14" s="1"/>
  <c r="BD38" i="38"/>
  <c r="GG40" i="8"/>
  <c r="GQ40" i="8" s="1"/>
  <c r="BD36" i="37"/>
  <c r="GG38" i="7"/>
  <c r="GQ38" i="7" s="1"/>
  <c r="BD45" i="43"/>
  <c r="GG47" i="13"/>
  <c r="GQ47" i="13" s="1"/>
  <c r="BD46" i="43"/>
  <c r="GG48" i="13"/>
  <c r="GQ48" i="13" s="1"/>
  <c r="BD32" i="43"/>
  <c r="GG34" i="13"/>
  <c r="GQ34" i="13" s="1"/>
  <c r="BD40" i="37"/>
  <c r="GG42" i="7"/>
  <c r="GQ42" i="7" s="1"/>
  <c r="BD35" i="43"/>
  <c r="GG37" i="13"/>
  <c r="GQ37" i="13" s="1"/>
  <c r="BD33" i="41"/>
  <c r="GG35" i="11"/>
  <c r="GQ35" i="11" s="1"/>
  <c r="BD27" i="42"/>
  <c r="GG29" i="12"/>
  <c r="GQ29" i="12" s="1"/>
  <c r="BD23" i="41"/>
  <c r="GG25" i="11"/>
  <c r="GQ25" i="11" s="1"/>
  <c r="BD31" i="45"/>
  <c r="GG33" i="15"/>
  <c r="GQ33" i="15" s="1"/>
  <c r="BD42" i="37"/>
  <c r="GG44" i="7"/>
  <c r="GQ44" i="7" s="1"/>
  <c r="BD46" i="37"/>
  <c r="GG48" i="7"/>
  <c r="GQ48" i="7" s="1"/>
  <c r="BD28" i="40"/>
  <c r="GG30" i="10"/>
  <c r="GQ30" i="10" s="1"/>
  <c r="BD20" i="42"/>
  <c r="GG22" i="12"/>
  <c r="GQ22" i="12" s="1"/>
  <c r="BD30" i="41"/>
  <c r="GG32" i="11"/>
  <c r="GQ32" i="11" s="1"/>
  <c r="BD33" i="42"/>
  <c r="GG35" i="12"/>
  <c r="GQ35" i="12" s="1"/>
  <c r="BD36" i="38"/>
  <c r="GG38" i="8"/>
  <c r="GQ38" i="8" s="1"/>
  <c r="BD27" i="38"/>
  <c r="GG29" i="8"/>
  <c r="GQ29" i="8" s="1"/>
  <c r="BD25" i="36"/>
  <c r="GG27" i="6"/>
  <c r="GQ27" i="6" s="1"/>
  <c r="BD30" i="45"/>
  <c r="GG32" i="15"/>
  <c r="GQ32" i="15" s="1"/>
  <c r="BD22" i="45"/>
  <c r="GG24" i="15"/>
  <c r="GQ24" i="15" s="1"/>
  <c r="BD42" i="41"/>
  <c r="GG44" i="11"/>
  <c r="GQ44" i="11" s="1"/>
  <c r="BD35" i="39"/>
  <c r="GG37" i="9"/>
  <c r="GQ37" i="9" s="1"/>
  <c r="BD43" i="44"/>
  <c r="GG45" i="14"/>
  <c r="GQ45" i="14" s="1"/>
  <c r="BD35" i="38"/>
  <c r="GG37" i="8"/>
  <c r="GQ37" i="8" s="1"/>
  <c r="BD40" i="44"/>
  <c r="GG42" i="14"/>
  <c r="GQ42" i="14" s="1"/>
  <c r="BD38" i="36"/>
  <c r="GG40" i="6"/>
  <c r="GQ40" i="6" s="1"/>
  <c r="BD27" i="36"/>
  <c r="GG29" i="6"/>
  <c r="GQ29" i="6" s="1"/>
  <c r="BD28" i="41"/>
  <c r="GG30" i="11"/>
  <c r="GQ30" i="11" s="1"/>
  <c r="BD23" i="38"/>
  <c r="GG25" i="8"/>
  <c r="GQ25" i="8" s="1"/>
  <c r="BD40" i="39"/>
  <c r="GG42" i="9"/>
  <c r="GQ42" i="9" s="1"/>
  <c r="BD38" i="44"/>
  <c r="GG40" i="14"/>
  <c r="GQ40" i="14" s="1"/>
  <c r="BD21" i="35"/>
  <c r="GG23" i="5"/>
  <c r="GQ23" i="5" s="1"/>
  <c r="BD41" i="35"/>
  <c r="GG43" i="5"/>
  <c r="GQ43" i="5" s="1"/>
  <c r="BD32" i="35"/>
  <c r="GG34" i="5"/>
  <c r="GQ34" i="5" s="1"/>
  <c r="BD43" i="35"/>
  <c r="GG45" i="5"/>
  <c r="GQ45" i="5" s="1"/>
  <c r="BD48" i="35"/>
  <c r="BD46" i="18"/>
  <c r="GG48" i="4"/>
  <c r="GQ48" i="4" s="1"/>
  <c r="BD20" i="18"/>
  <c r="GG22" i="4"/>
  <c r="GQ22" i="4" s="1"/>
  <c r="BD37" i="18"/>
  <c r="GG39" i="4"/>
  <c r="GQ39" i="4" s="1"/>
  <c r="BD38" i="18"/>
  <c r="GG40" i="4"/>
  <c r="GQ40" i="4" s="1"/>
  <c r="BD44" i="18"/>
  <c r="GG46" i="4"/>
  <c r="GQ46" i="4" s="1"/>
  <c r="BD31" i="18"/>
  <c r="GG33" i="4"/>
  <c r="GQ33" i="4" s="1"/>
  <c r="GF47" i="14"/>
  <c r="GF42" i="4"/>
  <c r="BD44" i="45"/>
  <c r="GG46" i="15"/>
  <c r="GQ46" i="15" s="1"/>
  <c r="BD47" i="39"/>
  <c r="BD42" i="38"/>
  <c r="GG44" i="8"/>
  <c r="GQ44" i="8" s="1"/>
  <c r="BD46" i="42"/>
  <c r="GG48" i="12"/>
  <c r="GQ48" i="12" s="1"/>
  <c r="BD35" i="37"/>
  <c r="GG37" i="7"/>
  <c r="GQ37" i="7" s="1"/>
  <c r="BD20" i="41"/>
  <c r="GG22" i="11"/>
  <c r="GQ22" i="11" s="1"/>
  <c r="BD47" i="41"/>
  <c r="BD26" i="40"/>
  <c r="GG28" i="10"/>
  <c r="GQ28" i="10" s="1"/>
  <c r="BD22" i="42"/>
  <c r="GG24" i="12"/>
  <c r="GQ24" i="12" s="1"/>
  <c r="BD28" i="38"/>
  <c r="GG30" i="8"/>
  <c r="GQ30" i="8" s="1"/>
  <c r="BD45" i="37"/>
  <c r="GG47" i="7"/>
  <c r="GQ47" i="7" s="1"/>
  <c r="AE38" i="39"/>
  <c r="GG21" i="10"/>
  <c r="GQ21" i="10" s="1"/>
  <c r="BD24" i="45"/>
  <c r="GG26" i="15"/>
  <c r="GQ26" i="15" s="1"/>
  <c r="BD39" i="44"/>
  <c r="GG41" i="14"/>
  <c r="GQ41" i="14" s="1"/>
  <c r="BD38" i="45"/>
  <c r="GG40" i="15"/>
  <c r="GQ40" i="15" s="1"/>
  <c r="BD31" i="37"/>
  <c r="GG33" i="7"/>
  <c r="GQ33" i="7" s="1"/>
  <c r="BD34" i="36"/>
  <c r="GG36" i="6"/>
  <c r="GQ36" i="6" s="1"/>
  <c r="BD48" i="41"/>
  <c r="BD21" i="39"/>
  <c r="GG23" i="9"/>
  <c r="GQ23" i="9" s="1"/>
  <c r="BD24" i="39"/>
  <c r="GG26" i="9"/>
  <c r="GQ26" i="9" s="1"/>
  <c r="BD20" i="39"/>
  <c r="GG22" i="9"/>
  <c r="GQ22" i="9" s="1"/>
  <c r="BD22" i="44"/>
  <c r="GG24" i="14"/>
  <c r="GQ24" i="14" s="1"/>
  <c r="BD28" i="37"/>
  <c r="GG30" i="7"/>
  <c r="GQ30" i="7" s="1"/>
  <c r="BD29" i="41"/>
  <c r="GG31" i="11"/>
  <c r="GQ31" i="11" s="1"/>
  <c r="BD43" i="38"/>
  <c r="GG45" i="8"/>
  <c r="GQ45" i="8" s="1"/>
  <c r="BD45" i="40"/>
  <c r="GG47" i="10"/>
  <c r="GQ47" i="10" s="1"/>
  <c r="BD34" i="38"/>
  <c r="GG36" i="8"/>
  <c r="GQ36" i="8" s="1"/>
  <c r="BD31" i="36"/>
  <c r="GG33" i="6"/>
  <c r="GQ33" i="6" s="1"/>
  <c r="BD47" i="37"/>
  <c r="BD22" i="40"/>
  <c r="GG24" i="10"/>
  <c r="GQ24" i="10" s="1"/>
  <c r="BD26" i="45"/>
  <c r="GG28" i="15"/>
  <c r="BD23" i="39"/>
  <c r="GG25" i="9"/>
  <c r="GQ25" i="9" s="1"/>
  <c r="BD29" i="40"/>
  <c r="GG31" i="10"/>
  <c r="GQ31" i="10" s="1"/>
  <c r="BD48" i="36"/>
  <c r="BD45" i="42"/>
  <c r="GG47" i="12"/>
  <c r="GQ47" i="12" s="1"/>
  <c r="BD30" i="39"/>
  <c r="GG32" i="9"/>
  <c r="GQ32" i="9" s="1"/>
  <c r="BD25" i="44"/>
  <c r="GG27" i="14"/>
  <c r="GQ27" i="14" s="1"/>
  <c r="BD37" i="39"/>
  <c r="GG39" i="9"/>
  <c r="GQ39" i="9" s="1"/>
  <c r="BD47" i="44"/>
  <c r="BD24" i="36"/>
  <c r="GG26" i="6"/>
  <c r="GQ26" i="6" s="1"/>
  <c r="BD25" i="43"/>
  <c r="GG27" i="13"/>
  <c r="GQ27" i="13" s="1"/>
  <c r="BD46" i="41"/>
  <c r="GG48" i="11"/>
  <c r="GQ48" i="11" s="1"/>
  <c r="BD43" i="42"/>
  <c r="GG45" i="12"/>
  <c r="GQ45" i="12" s="1"/>
  <c r="BD33" i="44"/>
  <c r="GG35" i="14"/>
  <c r="GQ35" i="14" s="1"/>
  <c r="BD47" i="45"/>
  <c r="BD43" i="41"/>
  <c r="GG45" i="11"/>
  <c r="GQ45" i="11" s="1"/>
  <c r="BD24" i="38"/>
  <c r="GG26" i="8"/>
  <c r="GQ26" i="8" s="1"/>
  <c r="BD34" i="35"/>
  <c r="GG36" i="5"/>
  <c r="GQ36" i="5" s="1"/>
  <c r="BD47" i="35"/>
  <c r="BD42" i="35"/>
  <c r="GG44" i="5"/>
  <c r="GQ44" i="5" s="1"/>
  <c r="BD43" i="18"/>
  <c r="GG45" i="4"/>
  <c r="GQ45" i="4" s="1"/>
  <c r="BD35" i="18"/>
  <c r="GG37" i="4"/>
  <c r="GQ37" i="4" s="1"/>
  <c r="BD24" i="18"/>
  <c r="GG26" i="4"/>
  <c r="GQ26" i="4" s="1"/>
  <c r="BD28" i="18"/>
  <c r="GG30" i="4"/>
  <c r="GQ30" i="4" s="1"/>
  <c r="BD22" i="18"/>
  <c r="GG24" i="4"/>
  <c r="GQ24" i="4" s="1"/>
  <c r="BD45" i="18"/>
  <c r="GG47" i="4"/>
  <c r="GQ47" i="4" s="1"/>
  <c r="GF25" i="7"/>
  <c r="BD27" i="43"/>
  <c r="GG29" i="13"/>
  <c r="GQ29" i="13" s="1"/>
  <c r="BD26" i="36"/>
  <c r="GG28" i="6"/>
  <c r="GQ28" i="6" s="1"/>
  <c r="BD38" i="37"/>
  <c r="GG40" i="7"/>
  <c r="GQ40" i="7" s="1"/>
  <c r="BD32" i="42"/>
  <c r="GG34" i="12"/>
  <c r="GQ34" i="12" s="1"/>
  <c r="BD23" i="43"/>
  <c r="GG25" i="13"/>
  <c r="GQ25" i="13" s="1"/>
  <c r="BD43" i="45"/>
  <c r="GG45" i="15"/>
  <c r="GQ45" i="15" s="1"/>
  <c r="BD34" i="39"/>
  <c r="GG36" i="9"/>
  <c r="GQ36" i="9" s="1"/>
  <c r="BD29" i="45"/>
  <c r="GG31" i="15"/>
  <c r="GQ31" i="15" s="1"/>
  <c r="BD44" i="37"/>
  <c r="GG46" i="7"/>
  <c r="GQ46" i="7" s="1"/>
  <c r="BD21" i="40"/>
  <c r="GG23" i="10"/>
  <c r="GQ23" i="10" s="1"/>
  <c r="BD31" i="43"/>
  <c r="GG33" i="13"/>
  <c r="GQ33" i="13" s="1"/>
  <c r="BD25" i="40"/>
  <c r="GG27" i="10"/>
  <c r="GQ27" i="10" s="1"/>
  <c r="BD22" i="37"/>
  <c r="GG24" i="7"/>
  <c r="GQ24" i="7" s="1"/>
  <c r="BD36" i="40"/>
  <c r="GG38" i="10"/>
  <c r="GQ38" i="10" s="1"/>
  <c r="BD41" i="43"/>
  <c r="GG43" i="13"/>
  <c r="GQ43" i="13" s="1"/>
  <c r="BD29" i="38"/>
  <c r="GG31" i="8"/>
  <c r="GQ31" i="8" s="1"/>
  <c r="BD34" i="42"/>
  <c r="GG36" i="12"/>
  <c r="GQ36" i="12" s="1"/>
  <c r="BD40" i="45"/>
  <c r="GG42" i="15"/>
  <c r="BD32" i="44"/>
  <c r="GG34" i="14"/>
  <c r="GQ34" i="14" s="1"/>
  <c r="BD30" i="38"/>
  <c r="GG32" i="8"/>
  <c r="GQ32" i="8" s="1"/>
  <c r="BD37" i="40"/>
  <c r="GG39" i="10"/>
  <c r="GQ39" i="10" s="1"/>
  <c r="BD42" i="40"/>
  <c r="GG44" i="10"/>
  <c r="GQ44" i="10" s="1"/>
  <c r="BD31" i="44"/>
  <c r="GG33" i="14"/>
  <c r="GQ33" i="14" s="1"/>
  <c r="BD37" i="37"/>
  <c r="GG39" i="7"/>
  <c r="GQ39" i="7" s="1"/>
  <c r="BD26" i="38"/>
  <c r="GG28" i="8"/>
  <c r="GQ28" i="8" s="1"/>
  <c r="BD28" i="44"/>
  <c r="GG30" i="14"/>
  <c r="GQ30" i="14" s="1"/>
  <c r="BD41" i="41"/>
  <c r="GG43" i="11"/>
  <c r="GQ43" i="11" s="1"/>
  <c r="BD32" i="40"/>
  <c r="GG34" i="10"/>
  <c r="GQ34" i="10" s="1"/>
  <c r="BD29" i="43"/>
  <c r="GG31" i="13"/>
  <c r="GQ31" i="13" s="1"/>
  <c r="BD39" i="39"/>
  <c r="GG41" i="9"/>
  <c r="GQ41" i="9" s="1"/>
  <c r="BD21" i="36"/>
  <c r="GG23" i="6"/>
  <c r="GQ23" i="6" s="1"/>
  <c r="BD39" i="40"/>
  <c r="GG41" i="10"/>
  <c r="GQ41" i="10" s="1"/>
  <c r="BD43" i="37"/>
  <c r="GG45" i="7"/>
  <c r="GQ45" i="7" s="1"/>
  <c r="BD25" i="42"/>
  <c r="GG27" i="12"/>
  <c r="GQ27" i="12" s="1"/>
  <c r="BD22" i="38"/>
  <c r="GG24" i="8"/>
  <c r="GQ24" i="8" s="1"/>
  <c r="BD35" i="41"/>
  <c r="GG37" i="11"/>
  <c r="GQ37" i="11" s="1"/>
  <c r="BD35" i="36"/>
  <c r="GG37" i="6"/>
  <c r="GQ37" i="6" s="1"/>
  <c r="BD36" i="44"/>
  <c r="GG38" i="14"/>
  <c r="GQ38" i="14" s="1"/>
  <c r="BD20" i="36"/>
  <c r="GG22" i="6"/>
  <c r="GQ22" i="6" s="1"/>
  <c r="BD46" i="39"/>
  <c r="GG48" i="9"/>
  <c r="GQ48" i="9" s="1"/>
  <c r="BD29" i="44"/>
  <c r="GG31" i="14"/>
  <c r="GQ31" i="14" s="1"/>
  <c r="BD33" i="45"/>
  <c r="GG35" i="15"/>
  <c r="BD23" i="45"/>
  <c r="GG25" i="15"/>
  <c r="GQ25" i="15" s="1"/>
  <c r="BD29" i="37"/>
  <c r="GG31" i="7"/>
  <c r="GQ31" i="7" s="1"/>
  <c r="BD46" i="45"/>
  <c r="GG48" i="15"/>
  <c r="GQ48" i="15" s="1"/>
  <c r="BD43" i="40"/>
  <c r="GG45" i="10"/>
  <c r="GQ45" i="10" s="1"/>
  <c r="BD40" i="35"/>
  <c r="GG42" i="5"/>
  <c r="GQ42" i="5" s="1"/>
  <c r="AC38" i="35"/>
  <c r="GG47" i="5"/>
  <c r="GQ47" i="5" s="1"/>
  <c r="BD27" i="35"/>
  <c r="GG29" i="5"/>
  <c r="GQ29" i="5" s="1"/>
  <c r="BD28" i="35"/>
  <c r="GG30" i="5"/>
  <c r="GQ30" i="5" s="1"/>
  <c r="BD25" i="18"/>
  <c r="GG27" i="4"/>
  <c r="GQ27" i="4" s="1"/>
  <c r="BD39" i="18"/>
  <c r="GG41" i="4"/>
  <c r="GQ41" i="4" s="1"/>
  <c r="BD42" i="18"/>
  <c r="GG44" i="4"/>
  <c r="GQ44" i="4" s="1"/>
  <c r="BD32" i="18"/>
  <c r="GG34" i="4"/>
  <c r="GQ34" i="4" s="1"/>
  <c r="BD30" i="18"/>
  <c r="GG32" i="4"/>
  <c r="GQ32" i="4" s="1"/>
  <c r="GF30" i="11"/>
  <c r="DX21" i="4"/>
  <c r="FG21" i="4"/>
  <c r="DU21" i="4"/>
  <c r="I23" i="74"/>
  <c r="DW45" i="8"/>
  <c r="DV45" i="8"/>
  <c r="EA45" i="8"/>
  <c r="EA47" i="8"/>
  <c r="EA43" i="11"/>
  <c r="DW43" i="11"/>
  <c r="EB21" i="5"/>
  <c r="EB34" i="8"/>
  <c r="DX34" i="8"/>
  <c r="EB26" i="5"/>
  <c r="AS26" i="5"/>
  <c r="DY26" i="5"/>
  <c r="DX26" i="15"/>
  <c r="EA26" i="15"/>
  <c r="DU50" i="7"/>
  <c r="EA50" i="11"/>
  <c r="DY35" i="5"/>
  <c r="EA35" i="5"/>
  <c r="DV21" i="5"/>
  <c r="DW24" i="7"/>
  <c r="FG24" i="7"/>
  <c r="EA33" i="4"/>
  <c r="EB33" i="4"/>
  <c r="DW44" i="11"/>
  <c r="DX37" i="12"/>
  <c r="DU37" i="12"/>
  <c r="DV27" i="13"/>
  <c r="EA27" i="13"/>
  <c r="DX45" i="4"/>
  <c r="DW45" i="4"/>
  <c r="EA33" i="35"/>
  <c r="CG33" i="35" s="1"/>
  <c r="E72" i="35" s="1"/>
  <c r="DU31" i="7"/>
  <c r="FG24" i="12"/>
  <c r="DW24" i="12"/>
  <c r="EB24" i="12"/>
  <c r="FA21" i="4"/>
  <c r="AM21" i="4" s="1"/>
  <c r="GJ21" i="4" s="1"/>
  <c r="GM21" i="4" s="1"/>
  <c r="DW21" i="4"/>
  <c r="EA21" i="4"/>
  <c r="DU31" i="9"/>
  <c r="EB43" i="11"/>
  <c r="DW21" i="5"/>
  <c r="DY21" i="5"/>
  <c r="DV34" i="8"/>
  <c r="DU26" i="5"/>
  <c r="EB26" i="15"/>
  <c r="AS26" i="15"/>
  <c r="FG36" i="12"/>
  <c r="DV35" i="10"/>
  <c r="FG35" i="5"/>
  <c r="DX35" i="5"/>
  <c r="DX24" i="7"/>
  <c r="AS24" i="7"/>
  <c r="DU24" i="7"/>
  <c r="DU33" i="4"/>
  <c r="DX33" i="4"/>
  <c r="DV33" i="4"/>
  <c r="EA37" i="12"/>
  <c r="AS37" i="12"/>
  <c r="EB37" i="12"/>
  <c r="DX27" i="13"/>
  <c r="FG27" i="13"/>
  <c r="AS45" i="4"/>
  <c r="EA45" i="4"/>
  <c r="FA37" i="10"/>
  <c r="AM37" i="10" s="1"/>
  <c r="X25" i="74" s="1"/>
  <c r="DV50" i="10"/>
  <c r="FA34" i="12"/>
  <c r="AM34" i="12" s="1"/>
  <c r="EA32" i="42" s="1"/>
  <c r="EA24" i="12"/>
  <c r="DY24" i="12"/>
  <c r="DX36" i="14"/>
  <c r="DV21" i="4"/>
  <c r="EB21" i="4"/>
  <c r="AS45" i="8"/>
  <c r="EB45" i="8"/>
  <c r="DY47" i="8"/>
  <c r="DX43" i="11"/>
  <c r="FG34" i="8"/>
  <c r="EA34" i="8"/>
  <c r="FG26" i="5"/>
  <c r="DV26" i="15"/>
  <c r="FG45" i="8"/>
  <c r="DY45" i="8"/>
  <c r="DW37" i="11"/>
  <c r="FA33" i="4"/>
  <c r="AM33" i="4" s="1"/>
  <c r="EA31" i="18" s="1"/>
  <c r="DU43" i="11"/>
  <c r="FG43" i="11"/>
  <c r="AS43" i="11"/>
  <c r="FA45" i="4"/>
  <c r="AM45" i="4" s="1"/>
  <c r="F33" i="74" s="1"/>
  <c r="FG21" i="5"/>
  <c r="DW34" i="8"/>
  <c r="AS34" i="8"/>
  <c r="DV26" i="5"/>
  <c r="EA26" i="5"/>
  <c r="DU26" i="15"/>
  <c r="DW26" i="15"/>
  <c r="EA36" i="12"/>
  <c r="EA35" i="10"/>
  <c r="DY39" i="12"/>
  <c r="DU35" i="5"/>
  <c r="DV35" i="5"/>
  <c r="EB25" i="15"/>
  <c r="DY24" i="7"/>
  <c r="EB24" i="7"/>
  <c r="DW33" i="4"/>
  <c r="DV37" i="12"/>
  <c r="AS27" i="13"/>
  <c r="DY27" i="13"/>
  <c r="DU45" i="4"/>
  <c r="DW37" i="10"/>
  <c r="FA39" i="13"/>
  <c r="AM39" i="13" s="1"/>
  <c r="EB34" i="12"/>
  <c r="O26" i="74"/>
  <c r="DV24" i="12"/>
  <c r="AS21" i="4"/>
  <c r="AS39" i="15"/>
  <c r="AC35" i="37"/>
  <c r="AC35" i="40"/>
  <c r="DY33" i="14"/>
  <c r="EB35" i="13"/>
  <c r="DY25" i="7"/>
  <c r="DV26" i="4"/>
  <c r="DU40" i="9"/>
  <c r="DW47" i="8"/>
  <c r="DY40" i="15"/>
  <c r="DX38" i="7"/>
  <c r="FG50" i="15"/>
  <c r="DY50" i="7"/>
  <c r="AD34" i="36"/>
  <c r="AS50" i="11"/>
  <c r="EB36" i="12"/>
  <c r="DX35" i="10"/>
  <c r="AC50" i="41"/>
  <c r="AA50" i="41" s="1"/>
  <c r="AB50" i="41" s="1"/>
  <c r="DW39" i="12"/>
  <c r="DU25" i="15"/>
  <c r="AS30" i="11"/>
  <c r="AC36" i="44"/>
  <c r="AA36" i="44" s="1"/>
  <c r="AC51" i="45"/>
  <c r="AC37" i="41"/>
  <c r="AA37" i="41" s="1"/>
  <c r="AB37" i="41" s="1"/>
  <c r="AF37" i="41" s="1"/>
  <c r="DU44" i="11"/>
  <c r="EI19" i="4"/>
  <c r="EI23" i="4" s="1"/>
  <c r="AC49" i="38"/>
  <c r="AA49" i="38" s="1"/>
  <c r="AB49" i="38" s="1"/>
  <c r="AF49" i="38" s="1"/>
  <c r="AS21" i="13"/>
  <c r="EA37" i="10"/>
  <c r="DY39" i="13"/>
  <c r="FG50" i="10"/>
  <c r="DX34" i="12"/>
  <c r="AE38" i="35"/>
  <c r="AC34" i="36"/>
  <c r="AC38" i="18"/>
  <c r="D50" i="42"/>
  <c r="AC50" i="43"/>
  <c r="AA50" i="43" s="1"/>
  <c r="AB50" i="43" s="1"/>
  <c r="AF50" i="43" s="1"/>
  <c r="AC36" i="45"/>
  <c r="AA36" i="45" s="1"/>
  <c r="AC51" i="37"/>
  <c r="AA51" i="37" s="1"/>
  <c r="AB51" i="37" s="1"/>
  <c r="AF51" i="37" s="1"/>
  <c r="AC36" i="40"/>
  <c r="AA36" i="40" s="1"/>
  <c r="DW31" i="7"/>
  <c r="AC49" i="44"/>
  <c r="AA49" i="44" s="1"/>
  <c r="AB49" i="44" s="1"/>
  <c r="AF49" i="44" s="1"/>
  <c r="AC37" i="18"/>
  <c r="AA37" i="18" s="1"/>
  <c r="AB37" i="18" s="1"/>
  <c r="AF37" i="18" s="1"/>
  <c r="D50" i="41"/>
  <c r="P21" i="41" s="1"/>
  <c r="EI19" i="11"/>
  <c r="D50" i="43"/>
  <c r="AC51" i="39"/>
  <c r="AA51" i="39" s="1"/>
  <c r="AB51" i="39" s="1"/>
  <c r="AF51" i="39" s="1"/>
  <c r="FA36" i="14"/>
  <c r="AM36" i="14" s="1"/>
  <c r="GJ36" i="14" s="1"/>
  <c r="GM36" i="14" s="1"/>
  <c r="DW36" i="14"/>
  <c r="AC50" i="39"/>
  <c r="AA50" i="39" s="1"/>
  <c r="AB50" i="39" s="1"/>
  <c r="AF50" i="39" s="1"/>
  <c r="DX31" i="9"/>
  <c r="FA49" i="8"/>
  <c r="AM49" i="8" s="1"/>
  <c r="EA47" i="38" s="1"/>
  <c r="DU49" i="8"/>
  <c r="FA43" i="12"/>
  <c r="AM43" i="12" s="1"/>
  <c r="GJ43" i="12" s="1"/>
  <c r="GM43" i="12" s="1"/>
  <c r="DV43" i="12"/>
  <c r="DY31" i="15"/>
  <c r="DW39" i="15"/>
  <c r="DX42" i="10"/>
  <c r="AD48" i="40"/>
  <c r="AC49" i="36"/>
  <c r="AA49" i="36" s="1"/>
  <c r="AB49" i="36" s="1"/>
  <c r="AF49" i="36" s="1"/>
  <c r="DW35" i="13"/>
  <c r="AS26" i="4"/>
  <c r="DX40" i="9"/>
  <c r="AS47" i="8"/>
  <c r="EA38" i="7"/>
  <c r="DX50" i="7"/>
  <c r="AC36" i="41"/>
  <c r="AA36" i="41" s="1"/>
  <c r="EI19" i="7"/>
  <c r="EI23" i="7" s="1"/>
  <c r="AC50" i="44"/>
  <c r="AA50" i="44" s="1"/>
  <c r="AB50" i="44" s="1"/>
  <c r="AF50" i="44" s="1"/>
  <c r="AC49" i="37"/>
  <c r="AA49" i="37" s="1"/>
  <c r="AB49" i="37" s="1"/>
  <c r="AF49" i="37" s="1"/>
  <c r="AC52" i="35"/>
  <c r="DY44" i="11"/>
  <c r="DW47" i="6"/>
  <c r="AC49" i="18"/>
  <c r="AA49" i="18" s="1"/>
  <c r="AB49" i="18" s="1"/>
  <c r="AF49" i="18" s="1"/>
  <c r="D50" i="35"/>
  <c r="AS37" i="10"/>
  <c r="EB39" i="13"/>
  <c r="EI19" i="14"/>
  <c r="EI23" i="14" s="1"/>
  <c r="AC50" i="18"/>
  <c r="AA50" i="18" s="1"/>
  <c r="AB50" i="18" s="1"/>
  <c r="AF50" i="18" s="1"/>
  <c r="FA50" i="10"/>
  <c r="AM50" i="10" s="1"/>
  <c r="EA50" i="10"/>
  <c r="FG21" i="13"/>
  <c r="DW34" i="12"/>
  <c r="AC48" i="36"/>
  <c r="DY21" i="8"/>
  <c r="AC37" i="40"/>
  <c r="AA37" i="40" s="1"/>
  <c r="AB37" i="40" s="1"/>
  <c r="AF37" i="40" s="1"/>
  <c r="FA31" i="7"/>
  <c r="AM31" i="7" s="1"/>
  <c r="O19" i="74" s="1"/>
  <c r="DV31" i="7"/>
  <c r="AC35" i="44"/>
  <c r="AC52" i="40"/>
  <c r="AC35" i="43"/>
  <c r="AC37" i="39"/>
  <c r="AA37" i="39" s="1"/>
  <c r="AB37" i="39" s="1"/>
  <c r="AF37" i="39" s="1"/>
  <c r="AS36" i="14"/>
  <c r="AC36" i="18"/>
  <c r="AA36" i="18" s="1"/>
  <c r="EI19" i="9"/>
  <c r="EI23" i="9" s="1"/>
  <c r="D50" i="39"/>
  <c r="EI19" i="8"/>
  <c r="AA38" i="74"/>
  <c r="DW31" i="9"/>
  <c r="DW49" i="8"/>
  <c r="FG43" i="12"/>
  <c r="AC35" i="42"/>
  <c r="DW31" i="15"/>
  <c r="FA39" i="15"/>
  <c r="AM39" i="15" s="1"/>
  <c r="DX39" i="15"/>
  <c r="DY42" i="10"/>
  <c r="AC52" i="39"/>
  <c r="AA52" i="39" s="1"/>
  <c r="AB52" i="39" s="1"/>
  <c r="AF52" i="39" s="1"/>
  <c r="AD34" i="40"/>
  <c r="DU33" i="14"/>
  <c r="DV25" i="7"/>
  <c r="FG46" i="10"/>
  <c r="AC36" i="43"/>
  <c r="AA36" i="43" s="1"/>
  <c r="EB40" i="15"/>
  <c r="AS50" i="7"/>
  <c r="EI19" i="15"/>
  <c r="EI23" i="15" s="1"/>
  <c r="DW50" i="11"/>
  <c r="DY36" i="12"/>
  <c r="EB35" i="10"/>
  <c r="DU39" i="12"/>
  <c r="DX25" i="15"/>
  <c r="EA25" i="15"/>
  <c r="DV30" i="11"/>
  <c r="AC51" i="18"/>
  <c r="AA51" i="18" s="1"/>
  <c r="AB51" i="18" s="1"/>
  <c r="AF51" i="18" s="1"/>
  <c r="AC34" i="38"/>
  <c r="AC36" i="36"/>
  <c r="AA36" i="36" s="1"/>
  <c r="EB33" i="14"/>
  <c r="DU35" i="13"/>
  <c r="AS40" i="4"/>
  <c r="AS37" i="11"/>
  <c r="DU26" i="4"/>
  <c r="DV40" i="9"/>
  <c r="EB47" i="8"/>
  <c r="AC37" i="45"/>
  <c r="AA37" i="45" s="1"/>
  <c r="AB37" i="45" s="1"/>
  <c r="AF37" i="45" s="1"/>
  <c r="FA44" i="11"/>
  <c r="AM44" i="11" s="1"/>
  <c r="AC50" i="42"/>
  <c r="AA50" i="42" s="1"/>
  <c r="AB50" i="42" s="1"/>
  <c r="AF50" i="42" s="1"/>
  <c r="DX46" i="10"/>
  <c r="DU40" i="15"/>
  <c r="AC35" i="45"/>
  <c r="DW38" i="7"/>
  <c r="EB23" i="4"/>
  <c r="DV50" i="7"/>
  <c r="FG50" i="11"/>
  <c r="DX36" i="12"/>
  <c r="AC52" i="45"/>
  <c r="AA52" i="45" s="1"/>
  <c r="AB52" i="45" s="1"/>
  <c r="AF52" i="45" s="1"/>
  <c r="DW35" i="10"/>
  <c r="DX39" i="12"/>
  <c r="DV25" i="15"/>
  <c r="DY30" i="11"/>
  <c r="EB30" i="11"/>
  <c r="DV47" i="7"/>
  <c r="AC51" i="41"/>
  <c r="AA51" i="41" s="1"/>
  <c r="AB51" i="41" s="1"/>
  <c r="AF51" i="41" s="1"/>
  <c r="AC52" i="37"/>
  <c r="AA52" i="37" s="1"/>
  <c r="AB52" i="37" s="1"/>
  <c r="AF52" i="37" s="1"/>
  <c r="EB44" i="11"/>
  <c r="AC36" i="42"/>
  <c r="AA36" i="42" s="1"/>
  <c r="AC35" i="18"/>
  <c r="AC35" i="38"/>
  <c r="EI19" i="5"/>
  <c r="EI23" i="5" s="1"/>
  <c r="EB37" i="10"/>
  <c r="DV39" i="13"/>
  <c r="D50" i="44"/>
  <c r="DX23" i="10"/>
  <c r="DY50" i="10"/>
  <c r="DU21" i="13"/>
  <c r="AS34" i="12"/>
  <c r="AE52" i="35"/>
  <c r="AC38" i="43"/>
  <c r="AC52" i="18"/>
  <c r="AA52" i="18" s="1"/>
  <c r="AB52" i="18" s="1"/>
  <c r="AF52" i="18" s="1"/>
  <c r="AC50" i="40"/>
  <c r="AA50" i="40" s="1"/>
  <c r="AB50" i="40" s="1"/>
  <c r="AF50" i="40" s="1"/>
  <c r="AS31" i="7"/>
  <c r="EA28" i="41"/>
  <c r="CG28" i="41" s="1"/>
  <c r="EI19" i="13"/>
  <c r="EI23" i="13" s="1"/>
  <c r="EB36" i="14"/>
  <c r="AC35" i="35"/>
  <c r="AC49" i="45"/>
  <c r="AA49" i="45" s="1"/>
  <c r="AB49" i="45" s="1"/>
  <c r="AF49" i="45" s="1"/>
  <c r="AC36" i="39"/>
  <c r="AA36" i="39" s="1"/>
  <c r="AS31" i="9"/>
  <c r="DY31" i="9"/>
  <c r="AC51" i="35"/>
  <c r="AA51" i="35" s="1"/>
  <c r="AB51" i="35" s="1"/>
  <c r="AF51" i="35" s="1"/>
  <c r="EB49" i="8"/>
  <c r="DU43" i="12"/>
  <c r="D50" i="40"/>
  <c r="FA31" i="15"/>
  <c r="AM31" i="15" s="1"/>
  <c r="AM19" i="74" s="1"/>
  <c r="DV31" i="15"/>
  <c r="FG39" i="15"/>
  <c r="FA42" i="10"/>
  <c r="AM42" i="10" s="1"/>
  <c r="EA40" i="40" s="1"/>
  <c r="DW42" i="10"/>
  <c r="AC38" i="39"/>
  <c r="EA33" i="14"/>
  <c r="AS33" i="14"/>
  <c r="FG33" i="14"/>
  <c r="DX33" i="14"/>
  <c r="DV33" i="14"/>
  <c r="DV35" i="13"/>
  <c r="FG35" i="13"/>
  <c r="DY35" i="13"/>
  <c r="AS35" i="13"/>
  <c r="EA35" i="13"/>
  <c r="DX40" i="4"/>
  <c r="DV40" i="4"/>
  <c r="DW25" i="7"/>
  <c r="FG25" i="7"/>
  <c r="EB25" i="7"/>
  <c r="DY38" i="10"/>
  <c r="DV38" i="10"/>
  <c r="EB38" i="10"/>
  <c r="DW38" i="10"/>
  <c r="DX37" i="11"/>
  <c r="EA37" i="11"/>
  <c r="FG26" i="4"/>
  <c r="DX26" i="4"/>
  <c r="DY40" i="9"/>
  <c r="EB40" i="9"/>
  <c r="AS40" i="9"/>
  <c r="FG40" i="9"/>
  <c r="EA40" i="9"/>
  <c r="DX47" i="8"/>
  <c r="FG47" i="8"/>
  <c r="DU47" i="8"/>
  <c r="DV47" i="8"/>
  <c r="EB32" i="13"/>
  <c r="DY32" i="13"/>
  <c r="DX32" i="13"/>
  <c r="EA32" i="13"/>
  <c r="AS32" i="13"/>
  <c r="FA46" i="14"/>
  <c r="AM46" i="14" s="1"/>
  <c r="EA44" i="44" s="1"/>
  <c r="DY46" i="10"/>
  <c r="EB46" i="10"/>
  <c r="FG49" i="9"/>
  <c r="DW49" i="9"/>
  <c r="DX28" i="6"/>
  <c r="AS28" i="6"/>
  <c r="DU28" i="6"/>
  <c r="DW28" i="6"/>
  <c r="EA28" i="6"/>
  <c r="EA40" i="15"/>
  <c r="AS40" i="15"/>
  <c r="FG40" i="15"/>
  <c r="DX40" i="15"/>
  <c r="DW40" i="15"/>
  <c r="DY31" i="12"/>
  <c r="FG31" i="12"/>
  <c r="EA31" i="12"/>
  <c r="DV31" i="12"/>
  <c r="AS33" i="7"/>
  <c r="EA33" i="7"/>
  <c r="DY33" i="7"/>
  <c r="EB38" i="7"/>
  <c r="DU38" i="7"/>
  <c r="FG38" i="7"/>
  <c r="AS38" i="7"/>
  <c r="DY38" i="7"/>
  <c r="AS50" i="15"/>
  <c r="EA50" i="15"/>
  <c r="EA23" i="4"/>
  <c r="DW50" i="7"/>
  <c r="FG50" i="7"/>
  <c r="EB50" i="7"/>
  <c r="EA50" i="7"/>
  <c r="DU36" i="10"/>
  <c r="AS36" i="10"/>
  <c r="FG36" i="10"/>
  <c r="DV36" i="10"/>
  <c r="DW36" i="10"/>
  <c r="EB50" i="11"/>
  <c r="DU50" i="11"/>
  <c r="DY50" i="11"/>
  <c r="DX50" i="11"/>
  <c r="DV50" i="11"/>
  <c r="DW36" i="12"/>
  <c r="AS36" i="12"/>
  <c r="DU36" i="12"/>
  <c r="DV36" i="12"/>
  <c r="DU35" i="10"/>
  <c r="DY35" i="10"/>
  <c r="AS35" i="10"/>
  <c r="FG35" i="10"/>
  <c r="DW46" i="9"/>
  <c r="AS46" i="9"/>
  <c r="DY46" i="9"/>
  <c r="DV46" i="9"/>
  <c r="EA46" i="9"/>
  <c r="EB39" i="12"/>
  <c r="EA39" i="12"/>
  <c r="AS39" i="12"/>
  <c r="FG39" i="12"/>
  <c r="DV39" i="12"/>
  <c r="AA48" i="39"/>
  <c r="AB48" i="39" s="1"/>
  <c r="AF48" i="39" s="1"/>
  <c r="AS25" i="15"/>
  <c r="FG25" i="15"/>
  <c r="DY25" i="15"/>
  <c r="DW25" i="15"/>
  <c r="AS31" i="10"/>
  <c r="FG31" i="10"/>
  <c r="EB31" i="10"/>
  <c r="DW31" i="10"/>
  <c r="DU26" i="7"/>
  <c r="DY26" i="7"/>
  <c r="DX26" i="7"/>
  <c r="DV26" i="7"/>
  <c r="DW26" i="7"/>
  <c r="DW30" i="11"/>
  <c r="EA30" i="11"/>
  <c r="FG30" i="11"/>
  <c r="DX30" i="11"/>
  <c r="EB42" i="13"/>
  <c r="DW42" i="13"/>
  <c r="DY42" i="13"/>
  <c r="EA42" i="13"/>
  <c r="FG47" i="7"/>
  <c r="FG25" i="6"/>
  <c r="DX25" i="6"/>
  <c r="DW25" i="6"/>
  <c r="DY25" i="6"/>
  <c r="DV25" i="6"/>
  <c r="DX48" i="5"/>
  <c r="EA48" i="5"/>
  <c r="EB48" i="5"/>
  <c r="DV48" i="5"/>
  <c r="DY48" i="5"/>
  <c r="AS44" i="11"/>
  <c r="DX44" i="11"/>
  <c r="EA44" i="11"/>
  <c r="DV44" i="11"/>
  <c r="DW46" i="14"/>
  <c r="AS46" i="14"/>
  <c r="FG46" i="14"/>
  <c r="DW43" i="10"/>
  <c r="FA41" i="13"/>
  <c r="AM41" i="13" s="1"/>
  <c r="AG29" i="74" s="1"/>
  <c r="DW41" i="13"/>
  <c r="AS41" i="13"/>
  <c r="DU41" i="13"/>
  <c r="DV37" i="10"/>
  <c r="DU37" i="10"/>
  <c r="DX37" i="10"/>
  <c r="DY37" i="10"/>
  <c r="EA34" i="7"/>
  <c r="FG34" i="7"/>
  <c r="DU34" i="7"/>
  <c r="DY34" i="7"/>
  <c r="AS39" i="13"/>
  <c r="FG39" i="13"/>
  <c r="DW39" i="13"/>
  <c r="DU39" i="13"/>
  <c r="FG25" i="12"/>
  <c r="DX25" i="12"/>
  <c r="DW25" i="12"/>
  <c r="EB25" i="12"/>
  <c r="DW50" i="10"/>
  <c r="EB50" i="10"/>
  <c r="DX50" i="10"/>
  <c r="DU50" i="10"/>
  <c r="DV21" i="13"/>
  <c r="FA47" i="10"/>
  <c r="AM47" i="10" s="1"/>
  <c r="X35" i="74" s="1"/>
  <c r="EA47" i="10"/>
  <c r="AS47" i="10"/>
  <c r="EA34" i="12"/>
  <c r="DV34" i="12"/>
  <c r="FG34" i="12"/>
  <c r="DU34" i="12"/>
  <c r="FA38" i="4"/>
  <c r="AM38" i="4" s="1"/>
  <c r="F26" i="74" s="1"/>
  <c r="EB38" i="4"/>
  <c r="DY38" i="4"/>
  <c r="DV38" i="4"/>
  <c r="FA45" i="10"/>
  <c r="AM45" i="10" s="1"/>
  <c r="GJ45" i="10" s="1"/>
  <c r="GM45" i="10" s="1"/>
  <c r="DY45" i="10"/>
  <c r="FA21" i="10"/>
  <c r="AM21" i="10" s="1"/>
  <c r="DV21" i="10"/>
  <c r="DX21" i="10"/>
  <c r="EA21" i="10"/>
  <c r="FA24" i="15"/>
  <c r="AM24" i="15" s="1"/>
  <c r="DW24" i="15"/>
  <c r="FG24" i="15"/>
  <c r="DU24" i="15"/>
  <c r="DY31" i="7"/>
  <c r="FG31" i="7"/>
  <c r="DX31" i="7"/>
  <c r="EA31" i="7"/>
  <c r="EA48" i="37"/>
  <c r="CG48" i="37" s="1"/>
  <c r="DX26" i="13"/>
  <c r="FA24" i="5"/>
  <c r="AM24" i="5" s="1"/>
  <c r="I12" i="74" s="1"/>
  <c r="EA24" i="5"/>
  <c r="EB24" i="5"/>
  <c r="DW24" i="5"/>
  <c r="DY36" i="14"/>
  <c r="DV36" i="14"/>
  <c r="FG36" i="14"/>
  <c r="DU36" i="14"/>
  <c r="FG26" i="14"/>
  <c r="EA26" i="14"/>
  <c r="AS26" i="14"/>
  <c r="DV26" i="14"/>
  <c r="FA44" i="6"/>
  <c r="AM44" i="6" s="1"/>
  <c r="FA31" i="9"/>
  <c r="AM31" i="9" s="1"/>
  <c r="DV31" i="9"/>
  <c r="EB31" i="9"/>
  <c r="EA31" i="9"/>
  <c r="FA48" i="4"/>
  <c r="AM48" i="4" s="1"/>
  <c r="DU48" i="4"/>
  <c r="EA48" i="4"/>
  <c r="DV48" i="4"/>
  <c r="EA49" i="7"/>
  <c r="DU49" i="7"/>
  <c r="EB49" i="7"/>
  <c r="FG49" i="7"/>
  <c r="FG46" i="7"/>
  <c r="EA46" i="7"/>
  <c r="DY46" i="7"/>
  <c r="DU46" i="7"/>
  <c r="DX49" i="8"/>
  <c r="EA49" i="8"/>
  <c r="FG49" i="8"/>
  <c r="DY49" i="8"/>
  <c r="EA23" i="8"/>
  <c r="DX23" i="8"/>
  <c r="EB23" i="8"/>
  <c r="DY23" i="8"/>
  <c r="EB43" i="12"/>
  <c r="DY43" i="12"/>
  <c r="DX43" i="12"/>
  <c r="EA43" i="12"/>
  <c r="AS27" i="9"/>
  <c r="DU27" i="9"/>
  <c r="EA27" i="9"/>
  <c r="DV27" i="9"/>
  <c r="EA31" i="15"/>
  <c r="DU31" i="15"/>
  <c r="AS31" i="15"/>
  <c r="EB31" i="15"/>
  <c r="EA39" i="15"/>
  <c r="EB39" i="15"/>
  <c r="DY39" i="15"/>
  <c r="DV39" i="15"/>
  <c r="DV42" i="10"/>
  <c r="FG42" i="10"/>
  <c r="EB42" i="10"/>
  <c r="DU42" i="10"/>
  <c r="DY25" i="5"/>
  <c r="AS25" i="5"/>
  <c r="FG25" i="5"/>
  <c r="BD45" i="35"/>
  <c r="EA25" i="5"/>
  <c r="BD20" i="45"/>
  <c r="EB25" i="5"/>
  <c r="BD25" i="41"/>
  <c r="FA25" i="5"/>
  <c r="AM25" i="5" s="1"/>
  <c r="DV25" i="5"/>
  <c r="DW25" i="5"/>
  <c r="DU25" i="5"/>
  <c r="DW26" i="13"/>
  <c r="EA26" i="13"/>
  <c r="DU26" i="13"/>
  <c r="DY26" i="13"/>
  <c r="FA26" i="13"/>
  <c r="AM26" i="13" s="1"/>
  <c r="AG14" i="74" s="1"/>
  <c r="EB21" i="8"/>
  <c r="EA21" i="8"/>
  <c r="DW21" i="8"/>
  <c r="DX21" i="8"/>
  <c r="AS21" i="8"/>
  <c r="FA22" i="4"/>
  <c r="AM22" i="4" s="1"/>
  <c r="AS22" i="4"/>
  <c r="DY22" i="4"/>
  <c r="DU22" i="4"/>
  <c r="EA22" i="4"/>
  <c r="FG23" i="10"/>
  <c r="EA23" i="10"/>
  <c r="DW23" i="10"/>
  <c r="DU23" i="10"/>
  <c r="EB23" i="10"/>
  <c r="FA27" i="14"/>
  <c r="AM27" i="14" s="1"/>
  <c r="EA27" i="14"/>
  <c r="DU27" i="14"/>
  <c r="DX27" i="14"/>
  <c r="EB27" i="14"/>
  <c r="FA23" i="4"/>
  <c r="AM23" i="4" s="1"/>
  <c r="DV23" i="4"/>
  <c r="DV32" i="7"/>
  <c r="EB32" i="7"/>
  <c r="FG32" i="7"/>
  <c r="DX32" i="7"/>
  <c r="DY32" i="7"/>
  <c r="AS47" i="6"/>
  <c r="DX47" i="6"/>
  <c r="DU47" i="6"/>
  <c r="DY47" i="6"/>
  <c r="EB44" i="6"/>
  <c r="DW44" i="6"/>
  <c r="DV44" i="6"/>
  <c r="EA44" i="6"/>
  <c r="AS44" i="6"/>
  <c r="DU36" i="8"/>
  <c r="AS36" i="8"/>
  <c r="DV36" i="8"/>
  <c r="EB36" i="8"/>
  <c r="DX36" i="8"/>
  <c r="DW40" i="4"/>
  <c r="EB40" i="4"/>
  <c r="FG40" i="4"/>
  <c r="EA40" i="4"/>
  <c r="DY40" i="4"/>
  <c r="AS25" i="7"/>
  <c r="DU25" i="7"/>
  <c r="DX25" i="7"/>
  <c r="EA25" i="7"/>
  <c r="EB37" i="11"/>
  <c r="DU37" i="11"/>
  <c r="DV37" i="11"/>
  <c r="FG37" i="11"/>
  <c r="DY37" i="11"/>
  <c r="EA26" i="4"/>
  <c r="DW26" i="4"/>
  <c r="EB26" i="4"/>
  <c r="DY26" i="4"/>
  <c r="FA32" i="7"/>
  <c r="AM32" i="7" s="1"/>
  <c r="FA47" i="6"/>
  <c r="AM47" i="6" s="1"/>
  <c r="DU46" i="10"/>
  <c r="DV46" i="10"/>
  <c r="DW46" i="10"/>
  <c r="EA46" i="10"/>
  <c r="DY49" i="9"/>
  <c r="DX49" i="9"/>
  <c r="EA49" i="9"/>
  <c r="AS49" i="9"/>
  <c r="DU49" i="9"/>
  <c r="FP57" i="6"/>
  <c r="EF20" i="6" s="1"/>
  <c r="DX33" i="7"/>
  <c r="DW33" i="7"/>
  <c r="DV33" i="7"/>
  <c r="DU33" i="7"/>
  <c r="DW50" i="15"/>
  <c r="EB50" i="15"/>
  <c r="DY50" i="15"/>
  <c r="DV50" i="15"/>
  <c r="DU50" i="15"/>
  <c r="FG23" i="4"/>
  <c r="DY23" i="4"/>
  <c r="DU23" i="4"/>
  <c r="DW23" i="4"/>
  <c r="DV22" i="4"/>
  <c r="EB22" i="4"/>
  <c r="DX22" i="4"/>
  <c r="DW27" i="14"/>
  <c r="FG27" i="14"/>
  <c r="AS27" i="14"/>
  <c r="EA32" i="7"/>
  <c r="DW32" i="7"/>
  <c r="EB47" i="6"/>
  <c r="DV47" i="6"/>
  <c r="EA47" i="6"/>
  <c r="FA23" i="10"/>
  <c r="AM23" i="10" s="1"/>
  <c r="GJ23" i="10" s="1"/>
  <c r="GM23" i="10" s="1"/>
  <c r="DV23" i="10"/>
  <c r="AS23" i="10"/>
  <c r="FA21" i="8"/>
  <c r="AM21" i="8" s="1"/>
  <c r="DV21" i="8"/>
  <c r="DU21" i="8"/>
  <c r="FA36" i="8"/>
  <c r="AM36" i="8" s="1"/>
  <c r="DW36" i="8"/>
  <c r="DY36" i="8"/>
  <c r="DV26" i="13"/>
  <c r="EB26" i="13"/>
  <c r="FP57" i="10"/>
  <c r="EF20" i="10" s="1"/>
  <c r="FG44" i="6"/>
  <c r="DX44" i="6"/>
  <c r="FA47" i="7"/>
  <c r="AM47" i="7" s="1"/>
  <c r="EA47" i="7"/>
  <c r="DX47" i="7"/>
  <c r="DU47" i="7"/>
  <c r="DW47" i="7"/>
  <c r="EB47" i="7"/>
  <c r="DX45" i="10"/>
  <c r="FG45" i="10"/>
  <c r="AS45" i="10"/>
  <c r="DV45" i="10"/>
  <c r="DU45" i="10"/>
  <c r="FA21" i="13"/>
  <c r="AM21" i="13" s="1"/>
  <c r="EB21" i="13"/>
  <c r="DY21" i="13"/>
  <c r="DW21" i="13"/>
  <c r="DX21" i="13"/>
  <c r="FG43" i="10"/>
  <c r="AS43" i="10"/>
  <c r="DX43" i="10"/>
  <c r="DV43" i="10"/>
  <c r="EB43" i="10"/>
  <c r="FP57" i="11"/>
  <c r="EF20" i="11" s="1"/>
  <c r="FP57" i="4"/>
  <c r="EF20" i="4" s="1"/>
  <c r="FP57" i="8"/>
  <c r="EF20" i="8" s="1"/>
  <c r="FG47" i="10"/>
  <c r="DV47" i="10"/>
  <c r="DY47" i="10"/>
  <c r="EB47" i="10"/>
  <c r="AA48" i="37"/>
  <c r="AB48" i="37" s="1"/>
  <c r="AF48" i="37" s="1"/>
  <c r="AA53" i="38"/>
  <c r="AB53" i="38" s="1"/>
  <c r="AF53" i="38" s="1"/>
  <c r="FP57" i="15"/>
  <c r="EF20" i="15" s="1"/>
  <c r="FP57" i="5"/>
  <c r="EF20" i="5" s="1"/>
  <c r="AD51" i="8"/>
  <c r="FP57" i="13"/>
  <c r="EF20" i="13" s="1"/>
  <c r="FP57" i="14"/>
  <c r="EF20" i="14" s="1"/>
  <c r="AD51" i="13"/>
  <c r="AD51" i="10"/>
  <c r="DX21" i="5"/>
  <c r="AS21" i="5"/>
  <c r="FA21" i="5"/>
  <c r="AM21" i="5" s="1"/>
  <c r="GJ21" i="5" s="1"/>
  <c r="GM21" i="5" s="1"/>
  <c r="AA39" i="18"/>
  <c r="AB39" i="18" s="1"/>
  <c r="AF39" i="18" s="1"/>
  <c r="AS34" i="6"/>
  <c r="DX34" i="6"/>
  <c r="DW34" i="6"/>
  <c r="EA34" i="6"/>
  <c r="EB34" i="6"/>
  <c r="FG34" i="6"/>
  <c r="DU34" i="6"/>
  <c r="DY34" i="6"/>
  <c r="DV34" i="6"/>
  <c r="FA34" i="6"/>
  <c r="AM34" i="6" s="1"/>
  <c r="FG23" i="7"/>
  <c r="DX23" i="7"/>
  <c r="EB23" i="7"/>
  <c r="DY23" i="7"/>
  <c r="DW23" i="7"/>
  <c r="AS23" i="7"/>
  <c r="DU23" i="7"/>
  <c r="EA23" i="7"/>
  <c r="DV23" i="7"/>
  <c r="FA23" i="7"/>
  <c r="AM23" i="7" s="1"/>
  <c r="DU34" i="11"/>
  <c r="FG34" i="11"/>
  <c r="EA34" i="11"/>
  <c r="DX34" i="11"/>
  <c r="DV34" i="11"/>
  <c r="DY34" i="11"/>
  <c r="EB34" i="11"/>
  <c r="DW34" i="11"/>
  <c r="AS34" i="11"/>
  <c r="FA34" i="11"/>
  <c r="AM34" i="11" s="1"/>
  <c r="AS33" i="6"/>
  <c r="EB33" i="6"/>
  <c r="DW33" i="6"/>
  <c r="DV33" i="6"/>
  <c r="FG33" i="6"/>
  <c r="DX33" i="6"/>
  <c r="DY33" i="6"/>
  <c r="DU33" i="6"/>
  <c r="EA33" i="6"/>
  <c r="FA33" i="6"/>
  <c r="AM33" i="6" s="1"/>
  <c r="DX34" i="13"/>
  <c r="AS34" i="13"/>
  <c r="DY34" i="13"/>
  <c r="EB34" i="13"/>
  <c r="DU34" i="13"/>
  <c r="EA34" i="13"/>
  <c r="FG34" i="13"/>
  <c r="DW34" i="13"/>
  <c r="DV34" i="13"/>
  <c r="FA34" i="13"/>
  <c r="AM34" i="13" s="1"/>
  <c r="FG45" i="12"/>
  <c r="DV45" i="12"/>
  <c r="AS45" i="12"/>
  <c r="DY45" i="12"/>
  <c r="DU45" i="12"/>
  <c r="DX45" i="12"/>
  <c r="DW45" i="12"/>
  <c r="EA45" i="12"/>
  <c r="EB45" i="12"/>
  <c r="FA45" i="12"/>
  <c r="AM45" i="12" s="1"/>
  <c r="FG39" i="14"/>
  <c r="EB39" i="14"/>
  <c r="DW39" i="14"/>
  <c r="DV39" i="14"/>
  <c r="DX39" i="14"/>
  <c r="DU39" i="14"/>
  <c r="DY39" i="14"/>
  <c r="AS39" i="14"/>
  <c r="EA39" i="14"/>
  <c r="FA39" i="14"/>
  <c r="AM39" i="14" s="1"/>
  <c r="AA51" i="45"/>
  <c r="AB51" i="45" s="1"/>
  <c r="AF51" i="45" s="1"/>
  <c r="FG45" i="6"/>
  <c r="DV45" i="6"/>
  <c r="EB45" i="6"/>
  <c r="DU45" i="6"/>
  <c r="DW45" i="6"/>
  <c r="DY45" i="6"/>
  <c r="EA45" i="6"/>
  <c r="AS45" i="6"/>
  <c r="DX45" i="6"/>
  <c r="FA45" i="6"/>
  <c r="AM45" i="6" s="1"/>
  <c r="DW28" i="13"/>
  <c r="DY28" i="13"/>
  <c r="AS28" i="13"/>
  <c r="EB28" i="13"/>
  <c r="DU28" i="13"/>
  <c r="DX28" i="13"/>
  <c r="FG28" i="13"/>
  <c r="EA28" i="13"/>
  <c r="DV28" i="13"/>
  <c r="FA28" i="13"/>
  <c r="AM28" i="13" s="1"/>
  <c r="DW41" i="11"/>
  <c r="EA41" i="11"/>
  <c r="DX41" i="11"/>
  <c r="DV41" i="11"/>
  <c r="AS41" i="11"/>
  <c r="DU41" i="11"/>
  <c r="EB41" i="11"/>
  <c r="DY41" i="11"/>
  <c r="FG41" i="11"/>
  <c r="FA41" i="11"/>
  <c r="AM41" i="11" s="1"/>
  <c r="DU34" i="5"/>
  <c r="EA34" i="5"/>
  <c r="DW34" i="5"/>
  <c r="EB34" i="5"/>
  <c r="FG34" i="5"/>
  <c r="DY34" i="5"/>
  <c r="DV34" i="5"/>
  <c r="DX34" i="5"/>
  <c r="AS34" i="5"/>
  <c r="FA34" i="5"/>
  <c r="AM34" i="5" s="1"/>
  <c r="DX40" i="11"/>
  <c r="DW40" i="11"/>
  <c r="DY40" i="11"/>
  <c r="DV40" i="11"/>
  <c r="EA40" i="11"/>
  <c r="EB40" i="11"/>
  <c r="DU40" i="11"/>
  <c r="FG40" i="11"/>
  <c r="AS40" i="11"/>
  <c r="FA40" i="11"/>
  <c r="AM40" i="11" s="1"/>
  <c r="DV47" i="11"/>
  <c r="FG47" i="11"/>
  <c r="AS47" i="11"/>
  <c r="EB47" i="11"/>
  <c r="EA47" i="11"/>
  <c r="DX47" i="11"/>
  <c r="DW47" i="11"/>
  <c r="DY47" i="11"/>
  <c r="DU47" i="11"/>
  <c r="FA47" i="11"/>
  <c r="AM47" i="11" s="1"/>
  <c r="EB45" i="14"/>
  <c r="DX45" i="14"/>
  <c r="DY45" i="14"/>
  <c r="AS45" i="14"/>
  <c r="DU45" i="14"/>
  <c r="FG45" i="14"/>
  <c r="EA45" i="14"/>
  <c r="DV45" i="14"/>
  <c r="DW45" i="14"/>
  <c r="FA45" i="14"/>
  <c r="AM45" i="14" s="1"/>
  <c r="DU33" i="8"/>
  <c r="DY33" i="8"/>
  <c r="FG33" i="8"/>
  <c r="EA33" i="8"/>
  <c r="AS33" i="8"/>
  <c r="EB33" i="8"/>
  <c r="DW33" i="8"/>
  <c r="DV33" i="8"/>
  <c r="DX33" i="8"/>
  <c r="FA33" i="8"/>
  <c r="AM33" i="8" s="1"/>
  <c r="DW27" i="4"/>
  <c r="EB27" i="4"/>
  <c r="DY27" i="4"/>
  <c r="DX27" i="4"/>
  <c r="EA27" i="4"/>
  <c r="AS27" i="4"/>
  <c r="DV27" i="4"/>
  <c r="DU27" i="4"/>
  <c r="FG27" i="4"/>
  <c r="FA27" i="4"/>
  <c r="AM27" i="4" s="1"/>
  <c r="FG44" i="9"/>
  <c r="AS44" i="9"/>
  <c r="DU44" i="9"/>
  <c r="DV44" i="9"/>
  <c r="EB44" i="9"/>
  <c r="DW44" i="9"/>
  <c r="DX44" i="9"/>
  <c r="DY44" i="9"/>
  <c r="EA44" i="9"/>
  <c r="FA44" i="9"/>
  <c r="AM44" i="9" s="1"/>
  <c r="EA47" i="4"/>
  <c r="DW47" i="4"/>
  <c r="DU47" i="4"/>
  <c r="EB47" i="4"/>
  <c r="DX47" i="4"/>
  <c r="AS47" i="4"/>
  <c r="FG47" i="4"/>
  <c r="DV47" i="4"/>
  <c r="DY47" i="4"/>
  <c r="FA47" i="4"/>
  <c r="AM47" i="4" s="1"/>
  <c r="DW41" i="8"/>
  <c r="DU41" i="8"/>
  <c r="FG41" i="8"/>
  <c r="EB41" i="8"/>
  <c r="AS41" i="8"/>
  <c r="DY41" i="8"/>
  <c r="DV41" i="8"/>
  <c r="EA41" i="8"/>
  <c r="DX41" i="8"/>
  <c r="FA41" i="8"/>
  <c r="AM41" i="8" s="1"/>
  <c r="AS22" i="6"/>
  <c r="EB22" i="6"/>
  <c r="EA22" i="6"/>
  <c r="DY22" i="6"/>
  <c r="DU22" i="6"/>
  <c r="FG22" i="6"/>
  <c r="DW22" i="6"/>
  <c r="DV22" i="6"/>
  <c r="DX22" i="6"/>
  <c r="FA22" i="6"/>
  <c r="AM22" i="6" s="1"/>
  <c r="FG30" i="6"/>
  <c r="AS30" i="6"/>
  <c r="EA30" i="6"/>
  <c r="DX30" i="6"/>
  <c r="DV30" i="6"/>
  <c r="DW30" i="6"/>
  <c r="EB30" i="6"/>
  <c r="DY30" i="6"/>
  <c r="DU30" i="6"/>
  <c r="FA30" i="6"/>
  <c r="AM30" i="6" s="1"/>
  <c r="DY24" i="11"/>
  <c r="EA24" i="11"/>
  <c r="DU24" i="11"/>
  <c r="EB24" i="11"/>
  <c r="DW24" i="11"/>
  <c r="DX24" i="11"/>
  <c r="AS24" i="11"/>
  <c r="DV24" i="11"/>
  <c r="FG24" i="11"/>
  <c r="FA24" i="11"/>
  <c r="AM24" i="11" s="1"/>
  <c r="EB43" i="15"/>
  <c r="DU43" i="15"/>
  <c r="DY43" i="15"/>
  <c r="DX43" i="15"/>
  <c r="AS43" i="15"/>
  <c r="FG43" i="15"/>
  <c r="EA43" i="15"/>
  <c r="DV43" i="15"/>
  <c r="DW43" i="15"/>
  <c r="FA43" i="15"/>
  <c r="AM43" i="15" s="1"/>
  <c r="DV41" i="6"/>
  <c r="FG41" i="6"/>
  <c r="DW41" i="6"/>
  <c r="EB41" i="6"/>
  <c r="DU41" i="6"/>
  <c r="AS41" i="6"/>
  <c r="DX41" i="6"/>
  <c r="DY41" i="6"/>
  <c r="EA41" i="6"/>
  <c r="FA41" i="6"/>
  <c r="AM41" i="6" s="1"/>
  <c r="AA49" i="39"/>
  <c r="AB49" i="39" s="1"/>
  <c r="AF49" i="39" s="1"/>
  <c r="FG42" i="9"/>
  <c r="DU42" i="9"/>
  <c r="DW42" i="9"/>
  <c r="DY42" i="9"/>
  <c r="EA42" i="9"/>
  <c r="EB42" i="9"/>
  <c r="DX42" i="9"/>
  <c r="DV42" i="9"/>
  <c r="AS42" i="9"/>
  <c r="FA42" i="9"/>
  <c r="AM42" i="9" s="1"/>
  <c r="CB33" i="10"/>
  <c r="FP57" i="9"/>
  <c r="EF20" i="9" s="1"/>
  <c r="CC75" i="6"/>
  <c r="J31" i="51" s="1"/>
  <c r="P27" i="36"/>
  <c r="O27" i="36"/>
  <c r="P21" i="36"/>
  <c r="EI23" i="6"/>
  <c r="AA52" i="43"/>
  <c r="AB52" i="43" s="1"/>
  <c r="AF52" i="43" s="1"/>
  <c r="DU50" i="6"/>
  <c r="DY50" i="6"/>
  <c r="DW50" i="6"/>
  <c r="DV50" i="6"/>
  <c r="EB50" i="6"/>
  <c r="EA50" i="6"/>
  <c r="AS50" i="6"/>
  <c r="FG50" i="6"/>
  <c r="DX50" i="6"/>
  <c r="FA50" i="6"/>
  <c r="AM50" i="6" s="1"/>
  <c r="AA36" i="38"/>
  <c r="EA45" i="44"/>
  <c r="AJ35" i="74"/>
  <c r="AA37" i="36"/>
  <c r="AB37" i="36" s="1"/>
  <c r="AF37" i="36" s="1"/>
  <c r="DY21" i="7"/>
  <c r="EA21" i="7"/>
  <c r="EB21" i="7"/>
  <c r="DU21" i="7"/>
  <c r="AD51" i="7"/>
  <c r="DW21" i="7"/>
  <c r="FG21" i="7"/>
  <c r="DX21" i="7"/>
  <c r="FA21" i="7"/>
  <c r="AM21" i="7" s="1"/>
  <c r="AS21" i="7"/>
  <c r="DV21" i="7"/>
  <c r="EA32" i="8"/>
  <c r="EB32" i="8"/>
  <c r="DY32" i="8"/>
  <c r="DV32" i="8"/>
  <c r="AS32" i="8"/>
  <c r="FG32" i="8"/>
  <c r="DX32" i="8"/>
  <c r="DU32" i="8"/>
  <c r="DW32" i="8"/>
  <c r="FA32" i="8"/>
  <c r="AM32" i="8" s="1"/>
  <c r="DW43" i="7"/>
  <c r="EA43" i="7"/>
  <c r="DY43" i="7"/>
  <c r="AS43" i="7"/>
  <c r="EB43" i="7"/>
  <c r="DU43" i="7"/>
  <c r="DX43" i="7"/>
  <c r="DV43" i="7"/>
  <c r="FG43" i="7"/>
  <c r="FA43" i="7"/>
  <c r="AM43" i="7" s="1"/>
  <c r="DV43" i="4"/>
  <c r="FG43" i="4"/>
  <c r="DY43" i="4"/>
  <c r="EA43" i="4"/>
  <c r="DX43" i="4"/>
  <c r="DW43" i="4"/>
  <c r="AS43" i="4"/>
  <c r="EB43" i="4"/>
  <c r="DU43" i="4"/>
  <c r="FA43" i="4"/>
  <c r="AM43" i="4" s="1"/>
  <c r="EA36" i="5"/>
  <c r="DW36" i="5"/>
  <c r="EB36" i="5"/>
  <c r="DV36" i="5"/>
  <c r="DU36" i="5"/>
  <c r="DY36" i="5"/>
  <c r="AS36" i="5"/>
  <c r="FG36" i="5"/>
  <c r="DX36" i="5"/>
  <c r="FA36" i="5"/>
  <c r="AM36" i="5" s="1"/>
  <c r="AD51" i="4"/>
  <c r="DY24" i="8"/>
  <c r="DX24" i="8"/>
  <c r="DW24" i="8"/>
  <c r="DV24" i="8"/>
  <c r="DU24" i="8"/>
  <c r="EA24" i="8"/>
  <c r="AS24" i="8"/>
  <c r="FG24" i="8"/>
  <c r="EB24" i="8"/>
  <c r="FA24" i="8"/>
  <c r="AM24" i="8" s="1"/>
  <c r="DV45" i="13"/>
  <c r="DY45" i="13"/>
  <c r="FG45" i="13"/>
  <c r="AS45" i="13"/>
  <c r="DW45" i="13"/>
  <c r="EB45" i="13"/>
  <c r="EA45" i="13"/>
  <c r="DU45" i="13"/>
  <c r="DX45" i="13"/>
  <c r="FA45" i="13"/>
  <c r="AM45" i="13" s="1"/>
  <c r="EB39" i="6"/>
  <c r="DV39" i="6"/>
  <c r="AS39" i="6"/>
  <c r="DX39" i="6"/>
  <c r="DW39" i="6"/>
  <c r="EA39" i="6"/>
  <c r="FG39" i="6"/>
  <c r="DU39" i="6"/>
  <c r="DY39" i="6"/>
  <c r="FA39" i="6"/>
  <c r="AM39" i="6" s="1"/>
  <c r="DV41" i="5"/>
  <c r="EB41" i="5"/>
  <c r="AS41" i="5"/>
  <c r="DX41" i="5"/>
  <c r="DW41" i="5"/>
  <c r="DY41" i="5"/>
  <c r="EA41" i="5"/>
  <c r="DU41" i="5"/>
  <c r="FG41" i="5"/>
  <c r="FA41" i="5"/>
  <c r="AM41" i="5" s="1"/>
  <c r="EB49" i="15"/>
  <c r="EA49" i="15"/>
  <c r="DX49" i="15"/>
  <c r="DV49" i="15"/>
  <c r="FG49" i="15"/>
  <c r="DY49" i="15"/>
  <c r="DU49" i="15"/>
  <c r="AS49" i="15"/>
  <c r="DW49" i="15"/>
  <c r="FA49" i="15"/>
  <c r="AM49" i="15" s="1"/>
  <c r="FG32" i="6"/>
  <c r="DW32" i="6"/>
  <c r="DV32" i="6"/>
  <c r="DU32" i="6"/>
  <c r="EB32" i="6"/>
  <c r="EA32" i="6"/>
  <c r="AS32" i="6"/>
  <c r="DY32" i="6"/>
  <c r="DX32" i="6"/>
  <c r="FA32" i="6"/>
  <c r="AM32" i="6" s="1"/>
  <c r="DV23" i="5"/>
  <c r="DY23" i="5"/>
  <c r="FG23" i="5"/>
  <c r="DX23" i="5"/>
  <c r="EB23" i="5"/>
  <c r="EA23" i="5"/>
  <c r="DW23" i="5"/>
  <c r="DU23" i="5"/>
  <c r="AS23" i="5"/>
  <c r="FA23" i="5"/>
  <c r="AM23" i="5" s="1"/>
  <c r="DU37" i="6"/>
  <c r="DV37" i="6"/>
  <c r="DY37" i="6"/>
  <c r="DW37" i="6"/>
  <c r="AS37" i="6"/>
  <c r="EA37" i="6"/>
  <c r="FG37" i="6"/>
  <c r="DX37" i="6"/>
  <c r="EB37" i="6"/>
  <c r="FA37" i="6"/>
  <c r="AM37" i="6" s="1"/>
  <c r="DU50" i="4"/>
  <c r="AS50" i="4"/>
  <c r="FG50" i="4"/>
  <c r="DV50" i="4"/>
  <c r="EA50" i="4"/>
  <c r="DW50" i="4"/>
  <c r="DX50" i="4"/>
  <c r="DY50" i="4"/>
  <c r="EB50" i="4"/>
  <c r="FA50" i="4"/>
  <c r="AM50" i="4" s="1"/>
  <c r="FG40" i="8"/>
  <c r="DX40" i="8"/>
  <c r="AS40" i="8"/>
  <c r="DU40" i="8"/>
  <c r="EA40" i="8"/>
  <c r="DY40" i="8"/>
  <c r="DW40" i="8"/>
  <c r="EB40" i="8"/>
  <c r="DV40" i="8"/>
  <c r="FA40" i="8"/>
  <c r="AM40" i="8" s="1"/>
  <c r="DY33" i="10"/>
  <c r="EA33" i="10"/>
  <c r="DX33" i="10"/>
  <c r="DV33" i="10"/>
  <c r="FG33" i="10"/>
  <c r="DW33" i="10"/>
  <c r="EB33" i="10"/>
  <c r="DU33" i="10"/>
  <c r="AS33" i="10"/>
  <c r="FA33" i="10"/>
  <c r="AM33" i="10" s="1"/>
  <c r="DU40" i="12"/>
  <c r="DV40" i="12"/>
  <c r="FG40" i="12"/>
  <c r="DY40" i="12"/>
  <c r="EA40" i="12"/>
  <c r="DW40" i="12"/>
  <c r="AS40" i="12"/>
  <c r="DX40" i="12"/>
  <c r="EB40" i="12"/>
  <c r="FA40" i="12"/>
  <c r="AM40" i="12" s="1"/>
  <c r="EB40" i="6"/>
  <c r="FG40" i="6"/>
  <c r="EA40" i="6"/>
  <c r="DV40" i="6"/>
  <c r="DW40" i="6"/>
  <c r="DY40" i="6"/>
  <c r="DX40" i="6"/>
  <c r="DU40" i="6"/>
  <c r="AS40" i="6"/>
  <c r="FA40" i="6"/>
  <c r="AM40" i="6" s="1"/>
  <c r="EB22" i="12"/>
  <c r="DU22" i="12"/>
  <c r="DV22" i="12"/>
  <c r="DY22" i="12"/>
  <c r="EA22" i="12"/>
  <c r="DW22" i="12"/>
  <c r="DX22" i="12"/>
  <c r="AS22" i="12"/>
  <c r="FG22" i="12"/>
  <c r="FA22" i="12"/>
  <c r="AM22" i="12" s="1"/>
  <c r="EA24" i="6"/>
  <c r="DW24" i="6"/>
  <c r="FG24" i="6"/>
  <c r="DX24" i="6"/>
  <c r="DY24" i="6"/>
  <c r="DV24" i="6"/>
  <c r="DU24" i="6"/>
  <c r="AS24" i="6"/>
  <c r="EB24" i="6"/>
  <c r="FA24" i="6"/>
  <c r="AM24" i="6" s="1"/>
  <c r="AD51" i="5"/>
  <c r="AA38" i="41"/>
  <c r="AB38" i="41" s="1"/>
  <c r="AF38" i="41" s="1"/>
  <c r="AA51" i="44"/>
  <c r="AB51" i="44" s="1"/>
  <c r="AF51" i="44" s="1"/>
  <c r="AA39" i="39"/>
  <c r="AB39" i="39" s="1"/>
  <c r="AF39" i="39" s="1"/>
  <c r="DX31" i="11"/>
  <c r="DU31" i="11"/>
  <c r="EA31" i="11"/>
  <c r="AS31" i="11"/>
  <c r="FG31" i="11"/>
  <c r="DV31" i="11"/>
  <c r="DY31" i="11"/>
  <c r="DW31" i="11"/>
  <c r="EB31" i="11"/>
  <c r="FA31" i="11"/>
  <c r="AM31" i="11" s="1"/>
  <c r="FG48" i="6"/>
  <c r="DV48" i="6"/>
  <c r="EB48" i="6"/>
  <c r="AS48" i="6"/>
  <c r="DU48" i="6"/>
  <c r="EA48" i="6"/>
  <c r="DW48" i="6"/>
  <c r="DX48" i="6"/>
  <c r="DY48" i="6"/>
  <c r="FA48" i="6"/>
  <c r="AM48" i="6" s="1"/>
  <c r="EA43" i="9"/>
  <c r="DV43" i="9"/>
  <c r="DU43" i="9"/>
  <c r="DW43" i="9"/>
  <c r="DY43" i="9"/>
  <c r="FG43" i="9"/>
  <c r="EB43" i="9"/>
  <c r="AS43" i="9"/>
  <c r="DX43" i="9"/>
  <c r="FA43" i="9"/>
  <c r="AM43" i="9" s="1"/>
  <c r="EA46" i="5"/>
  <c r="DX46" i="5"/>
  <c r="DU46" i="5"/>
  <c r="EB46" i="5"/>
  <c r="DV46" i="5"/>
  <c r="FG46" i="5"/>
  <c r="DW46" i="5"/>
  <c r="AS46" i="5"/>
  <c r="DY46" i="5"/>
  <c r="FA46" i="5"/>
  <c r="AM46" i="5" s="1"/>
  <c r="DU30" i="10"/>
  <c r="EA30" i="10"/>
  <c r="DV30" i="10"/>
  <c r="DY30" i="10"/>
  <c r="EB30" i="10"/>
  <c r="FG30" i="10"/>
  <c r="AS30" i="10"/>
  <c r="DW30" i="10"/>
  <c r="DX30" i="10"/>
  <c r="FA30" i="10"/>
  <c r="AM30" i="10" s="1"/>
  <c r="EB22" i="5"/>
  <c r="DV22" i="5"/>
  <c r="DW22" i="5"/>
  <c r="FG22" i="5"/>
  <c r="DX22" i="5"/>
  <c r="AS22" i="5"/>
  <c r="DY22" i="5"/>
  <c r="EA22" i="5"/>
  <c r="DU22" i="5"/>
  <c r="FA22" i="5"/>
  <c r="AM22" i="5" s="1"/>
  <c r="DW42" i="8"/>
  <c r="DX42" i="8"/>
  <c r="DU42" i="8"/>
  <c r="FG42" i="8"/>
  <c r="DY42" i="8"/>
  <c r="AS42" i="8"/>
  <c r="DV42" i="8"/>
  <c r="EB42" i="8"/>
  <c r="EA42" i="8"/>
  <c r="FA42" i="8"/>
  <c r="AM42" i="8" s="1"/>
  <c r="FG33" i="12"/>
  <c r="AS33" i="12"/>
  <c r="DW33" i="12"/>
  <c r="DV33" i="12"/>
  <c r="EA33" i="12"/>
  <c r="EB33" i="12"/>
  <c r="DU33" i="12"/>
  <c r="DY33" i="12"/>
  <c r="DX33" i="12"/>
  <c r="FA33" i="12"/>
  <c r="AM33" i="12" s="1"/>
  <c r="EA44" i="15"/>
  <c r="DV44" i="15"/>
  <c r="DW44" i="15"/>
  <c r="DU44" i="15"/>
  <c r="FG44" i="15"/>
  <c r="AS44" i="15"/>
  <c r="DX44" i="15"/>
  <c r="EB44" i="15"/>
  <c r="DY44" i="15"/>
  <c r="FA44" i="15"/>
  <c r="AM44" i="15" s="1"/>
  <c r="DV34" i="4"/>
  <c r="EA34" i="4"/>
  <c r="DW34" i="4"/>
  <c r="DX34" i="4"/>
  <c r="DU34" i="4"/>
  <c r="FG34" i="4"/>
  <c r="EB34" i="4"/>
  <c r="DY34" i="4"/>
  <c r="AS34" i="4"/>
  <c r="FA34" i="4"/>
  <c r="AM34" i="4" s="1"/>
  <c r="AS23" i="11"/>
  <c r="FG23" i="11"/>
  <c r="DX23" i="11"/>
  <c r="DU23" i="11"/>
  <c r="DV23" i="11"/>
  <c r="DY23" i="11"/>
  <c r="EA23" i="11"/>
  <c r="EB23" i="11"/>
  <c r="DW23" i="11"/>
  <c r="FA23" i="11"/>
  <c r="AM23" i="11" s="1"/>
  <c r="DU45" i="15"/>
  <c r="DY45" i="15"/>
  <c r="AS45" i="15"/>
  <c r="FG45" i="15"/>
  <c r="EA45" i="15"/>
  <c r="EB45" i="15"/>
  <c r="DX45" i="15"/>
  <c r="DW45" i="15"/>
  <c r="DV45" i="15"/>
  <c r="FA45" i="15"/>
  <c r="AM45" i="15" s="1"/>
  <c r="EB29" i="10"/>
  <c r="DW29" i="10"/>
  <c r="DU29" i="10"/>
  <c r="DX29" i="10"/>
  <c r="EA29" i="10"/>
  <c r="DV29" i="10"/>
  <c r="AS29" i="10"/>
  <c r="DY29" i="10"/>
  <c r="FG29" i="10"/>
  <c r="FA29" i="10"/>
  <c r="AM29" i="10" s="1"/>
  <c r="EB36" i="15"/>
  <c r="DV36" i="15"/>
  <c r="DY36" i="15"/>
  <c r="FG36" i="15"/>
  <c r="DU36" i="15"/>
  <c r="AS36" i="15"/>
  <c r="EA36" i="15"/>
  <c r="DX36" i="15"/>
  <c r="DW36" i="15"/>
  <c r="FA36" i="15"/>
  <c r="AM36" i="15" s="1"/>
  <c r="DV37" i="5"/>
  <c r="DY37" i="5"/>
  <c r="DW37" i="5"/>
  <c r="DX37" i="5"/>
  <c r="EB37" i="5"/>
  <c r="EA37" i="5"/>
  <c r="DU37" i="5"/>
  <c r="AS37" i="5"/>
  <c r="FG37" i="5"/>
  <c r="FA37" i="5"/>
  <c r="AM37" i="5" s="1"/>
  <c r="AA37" i="38"/>
  <c r="AB37" i="38" s="1"/>
  <c r="AF37" i="38" s="1"/>
  <c r="DX45" i="5"/>
  <c r="EB45" i="5"/>
  <c r="DU45" i="5"/>
  <c r="FG45" i="5"/>
  <c r="AS45" i="5"/>
  <c r="EA45" i="5"/>
  <c r="DV45" i="5"/>
  <c r="DW45" i="5"/>
  <c r="DY45" i="5"/>
  <c r="FA45" i="5"/>
  <c r="AM45" i="5" s="1"/>
  <c r="FG39" i="5"/>
  <c r="EA39" i="5"/>
  <c r="DW39" i="5"/>
  <c r="AS39" i="5"/>
  <c r="DV39" i="5"/>
  <c r="EB39" i="5"/>
  <c r="DX39" i="5"/>
  <c r="DU39" i="5"/>
  <c r="DY39" i="5"/>
  <c r="FA39" i="5"/>
  <c r="AM39" i="5" s="1"/>
  <c r="AS27" i="7"/>
  <c r="DX27" i="7"/>
  <c r="EA27" i="7"/>
  <c r="DV27" i="7"/>
  <c r="DY27" i="7"/>
  <c r="FG27" i="7"/>
  <c r="DU27" i="7"/>
  <c r="EB27" i="7"/>
  <c r="DW27" i="7"/>
  <c r="FA27" i="7"/>
  <c r="AM27" i="7" s="1"/>
  <c r="DY32" i="15"/>
  <c r="DU32" i="15"/>
  <c r="DX32" i="15"/>
  <c r="DV32" i="15"/>
  <c r="EB32" i="15"/>
  <c r="EA32" i="15"/>
  <c r="AS32" i="15"/>
  <c r="DW32" i="15"/>
  <c r="FG32" i="15"/>
  <c r="FA32" i="15"/>
  <c r="AM32" i="15" s="1"/>
  <c r="DX33" i="13"/>
  <c r="DU33" i="13"/>
  <c r="DY33" i="13"/>
  <c r="DV33" i="13"/>
  <c r="DW33" i="13"/>
  <c r="EA33" i="13"/>
  <c r="FG33" i="13"/>
  <c r="EB33" i="13"/>
  <c r="AS33" i="13"/>
  <c r="FA33" i="13"/>
  <c r="AM33" i="13" s="1"/>
  <c r="AA37" i="37"/>
  <c r="AB37" i="37" s="1"/>
  <c r="AF37" i="37" s="1"/>
  <c r="AA49" i="40"/>
  <c r="AB49" i="40" s="1"/>
  <c r="AF49" i="40" s="1"/>
  <c r="DW36" i="4"/>
  <c r="EA36" i="4"/>
  <c r="DX36" i="4"/>
  <c r="DV36" i="4"/>
  <c r="FG36" i="4"/>
  <c r="EB36" i="4"/>
  <c r="DU36" i="4"/>
  <c r="AS36" i="4"/>
  <c r="DY36" i="4"/>
  <c r="FA36" i="4"/>
  <c r="AM36" i="4" s="1"/>
  <c r="EA45" i="9"/>
  <c r="EB45" i="9"/>
  <c r="DY45" i="9"/>
  <c r="DV45" i="9"/>
  <c r="DX45" i="9"/>
  <c r="FG45" i="9"/>
  <c r="DW45" i="9"/>
  <c r="DU45" i="9"/>
  <c r="AS45" i="9"/>
  <c r="FA45" i="9"/>
  <c r="AM45" i="9" s="1"/>
  <c r="DY31" i="5"/>
  <c r="DX31" i="5"/>
  <c r="EA31" i="5"/>
  <c r="DU31" i="5"/>
  <c r="DW31" i="5"/>
  <c r="EB31" i="5"/>
  <c r="FG31" i="5"/>
  <c r="DV31" i="5"/>
  <c r="AS31" i="5"/>
  <c r="FA31" i="5"/>
  <c r="AM31" i="5" s="1"/>
  <c r="EB49" i="13"/>
  <c r="DY49" i="13"/>
  <c r="FG49" i="13"/>
  <c r="DV49" i="13"/>
  <c r="DU49" i="13"/>
  <c r="DW49" i="13"/>
  <c r="DX49" i="13"/>
  <c r="EA49" i="13"/>
  <c r="AS49" i="13"/>
  <c r="FA49" i="13"/>
  <c r="AM49" i="13" s="1"/>
  <c r="AS26" i="10"/>
  <c r="EB26" i="10"/>
  <c r="DY26" i="10"/>
  <c r="DX26" i="10"/>
  <c r="DU26" i="10"/>
  <c r="EA26" i="10"/>
  <c r="FG26" i="10"/>
  <c r="DW26" i="10"/>
  <c r="DV26" i="10"/>
  <c r="FA26" i="10"/>
  <c r="AM26" i="10" s="1"/>
  <c r="AH93" i="4"/>
  <c r="DV33" i="5"/>
  <c r="EA33" i="5"/>
  <c r="DX33" i="5"/>
  <c r="FG33" i="5"/>
  <c r="EB33" i="5"/>
  <c r="DW33" i="5"/>
  <c r="DU33" i="5"/>
  <c r="DY33" i="5"/>
  <c r="AS33" i="5"/>
  <c r="FA33" i="5"/>
  <c r="AM33" i="5" s="1"/>
  <c r="DU28" i="7"/>
  <c r="AS28" i="7"/>
  <c r="EB28" i="7"/>
  <c r="FG28" i="7"/>
  <c r="EA28" i="7"/>
  <c r="DY28" i="7"/>
  <c r="DW28" i="7"/>
  <c r="DV28" i="7"/>
  <c r="DX28" i="7"/>
  <c r="FA28" i="7"/>
  <c r="AM28" i="7" s="1"/>
  <c r="P27" i="38"/>
  <c r="DW34" i="15"/>
  <c r="AS34" i="15"/>
  <c r="DU34" i="15"/>
  <c r="EB34" i="15"/>
  <c r="EA34" i="15"/>
  <c r="DX34" i="15"/>
  <c r="DV34" i="15"/>
  <c r="FG34" i="15"/>
  <c r="DY34" i="15"/>
  <c r="FA34" i="15"/>
  <c r="AM34" i="15" s="1"/>
  <c r="AS39" i="7"/>
  <c r="EA39" i="7"/>
  <c r="DW39" i="7"/>
  <c r="DU39" i="7"/>
  <c r="DY39" i="7"/>
  <c r="EB39" i="7"/>
  <c r="DX39" i="7"/>
  <c r="DV39" i="7"/>
  <c r="FG39" i="7"/>
  <c r="FA39" i="7"/>
  <c r="AM39" i="7" s="1"/>
  <c r="AS46" i="11"/>
  <c r="DX46" i="11"/>
  <c r="DV46" i="11"/>
  <c r="DW46" i="11"/>
  <c r="EB46" i="11"/>
  <c r="EA46" i="11"/>
  <c r="FG46" i="11"/>
  <c r="DU46" i="11"/>
  <c r="DY46" i="11"/>
  <c r="FA46" i="11"/>
  <c r="AM46" i="11" s="1"/>
  <c r="DU23" i="13"/>
  <c r="EB23" i="13"/>
  <c r="AS23" i="13"/>
  <c r="DV23" i="13"/>
  <c r="DX23" i="13"/>
  <c r="DY23" i="13"/>
  <c r="DW23" i="13"/>
  <c r="EA23" i="13"/>
  <c r="FG23" i="13"/>
  <c r="FA23" i="13"/>
  <c r="AM23" i="13" s="1"/>
  <c r="EA38" i="13"/>
  <c r="FG38" i="13"/>
  <c r="DX38" i="13"/>
  <c r="DW38" i="13"/>
  <c r="DY38" i="13"/>
  <c r="DU38" i="13"/>
  <c r="DV38" i="13"/>
  <c r="EB38" i="13"/>
  <c r="AS38" i="13"/>
  <c r="FA38" i="13"/>
  <c r="AM38" i="13" s="1"/>
  <c r="DU29" i="4"/>
  <c r="DY29" i="4"/>
  <c r="EA29" i="4"/>
  <c r="DX29" i="4"/>
  <c r="DV29" i="4"/>
  <c r="FG29" i="4"/>
  <c r="AS29" i="4"/>
  <c r="EB29" i="4"/>
  <c r="DW29" i="4"/>
  <c r="FA29" i="4"/>
  <c r="AM29" i="4" s="1"/>
  <c r="AS39" i="4"/>
  <c r="EB39" i="4"/>
  <c r="FG39" i="4"/>
  <c r="DV39" i="4"/>
  <c r="DX39" i="4"/>
  <c r="DU39" i="4"/>
  <c r="DW39" i="4"/>
  <c r="DY39" i="4"/>
  <c r="EA39" i="4"/>
  <c r="FA39" i="4"/>
  <c r="AM39" i="4" s="1"/>
  <c r="DW46" i="8"/>
  <c r="DY46" i="8"/>
  <c r="EB46" i="8"/>
  <c r="DV46" i="8"/>
  <c r="AS46" i="8"/>
  <c r="FG46" i="8"/>
  <c r="DU46" i="8"/>
  <c r="EA46" i="8"/>
  <c r="DX46" i="8"/>
  <c r="FA46" i="8"/>
  <c r="AM46" i="8" s="1"/>
  <c r="AS25" i="10"/>
  <c r="EB25" i="10"/>
  <c r="DU25" i="10"/>
  <c r="DV25" i="10"/>
  <c r="FG25" i="10"/>
  <c r="DX25" i="10"/>
  <c r="DW25" i="10"/>
  <c r="EA25" i="10"/>
  <c r="DY25" i="10"/>
  <c r="FA25" i="10"/>
  <c r="AM25" i="10" s="1"/>
  <c r="FG28" i="9"/>
  <c r="DX28" i="9"/>
  <c r="DU28" i="9"/>
  <c r="AS28" i="9"/>
  <c r="DW28" i="9"/>
  <c r="EB28" i="9"/>
  <c r="DY28" i="9"/>
  <c r="EA28" i="9"/>
  <c r="DV28" i="9"/>
  <c r="FA28" i="9"/>
  <c r="AM28" i="9" s="1"/>
  <c r="EB34" i="9"/>
  <c r="DU34" i="9"/>
  <c r="EA34" i="9"/>
  <c r="DV34" i="9"/>
  <c r="DW34" i="9"/>
  <c r="DY34" i="9"/>
  <c r="AS34" i="9"/>
  <c r="FG34" i="9"/>
  <c r="DX34" i="9"/>
  <c r="FA34" i="9"/>
  <c r="AM34" i="9" s="1"/>
  <c r="DX37" i="9"/>
  <c r="AS37" i="9"/>
  <c r="EB37" i="9"/>
  <c r="DW37" i="9"/>
  <c r="EA37" i="9"/>
  <c r="DU37" i="9"/>
  <c r="DY37" i="9"/>
  <c r="FG37" i="9"/>
  <c r="DV37" i="9"/>
  <c r="FA37" i="9"/>
  <c r="AM37" i="9" s="1"/>
  <c r="DU31" i="8"/>
  <c r="DV31" i="8"/>
  <c r="DY31" i="8"/>
  <c r="FG31" i="8"/>
  <c r="AS31" i="8"/>
  <c r="DX31" i="8"/>
  <c r="DW31" i="8"/>
  <c r="EA31" i="8"/>
  <c r="EB31" i="8"/>
  <c r="FA31" i="8"/>
  <c r="AM31" i="8" s="1"/>
  <c r="AS24" i="9"/>
  <c r="EB24" i="9"/>
  <c r="DU24" i="9"/>
  <c r="DW24" i="9"/>
  <c r="EA24" i="9"/>
  <c r="DV24" i="9"/>
  <c r="DX24" i="9"/>
  <c r="DY24" i="9"/>
  <c r="FG24" i="9"/>
  <c r="FA24" i="9"/>
  <c r="AM24" i="9" s="1"/>
  <c r="EA26" i="6"/>
  <c r="DX26" i="6"/>
  <c r="DW26" i="6"/>
  <c r="FG26" i="6"/>
  <c r="DV26" i="6"/>
  <c r="EB26" i="6"/>
  <c r="AS26" i="6"/>
  <c r="DY26" i="6"/>
  <c r="DU26" i="6"/>
  <c r="FA26" i="6"/>
  <c r="AM26" i="6" s="1"/>
  <c r="DV31" i="6"/>
  <c r="EA31" i="6"/>
  <c r="DY31" i="6"/>
  <c r="DW31" i="6"/>
  <c r="AS31" i="6"/>
  <c r="EB31" i="6"/>
  <c r="FG31" i="6"/>
  <c r="DU31" i="6"/>
  <c r="DX31" i="6"/>
  <c r="FA31" i="6"/>
  <c r="AM31" i="6" s="1"/>
  <c r="AS38" i="5"/>
  <c r="DX38" i="5"/>
  <c r="FG38" i="5"/>
  <c r="EA38" i="5"/>
  <c r="EB38" i="5"/>
  <c r="DY38" i="5"/>
  <c r="DU38" i="5"/>
  <c r="DW38" i="5"/>
  <c r="DV38" i="5"/>
  <c r="FA38" i="5"/>
  <c r="AM38" i="5" s="1"/>
  <c r="FG49" i="12"/>
  <c r="EA49" i="12"/>
  <c r="EB49" i="12"/>
  <c r="DV49" i="12"/>
  <c r="AS49" i="12"/>
  <c r="DX49" i="12"/>
  <c r="DY49" i="12"/>
  <c r="DW49" i="12"/>
  <c r="DU49" i="12"/>
  <c r="FA49" i="12"/>
  <c r="AM49" i="12" s="1"/>
  <c r="GJ49" i="12" s="1"/>
  <c r="GM49" i="12" s="1"/>
  <c r="DY46" i="6"/>
  <c r="DV46" i="6"/>
  <c r="AS46" i="6"/>
  <c r="EB46" i="6"/>
  <c r="EA46" i="6"/>
  <c r="DX46" i="6"/>
  <c r="DW46" i="6"/>
  <c r="DU46" i="6"/>
  <c r="FG46" i="6"/>
  <c r="FA46" i="6"/>
  <c r="AM46" i="6" s="1"/>
  <c r="EB42" i="7"/>
  <c r="AS42" i="7"/>
  <c r="DV42" i="7"/>
  <c r="DX42" i="7"/>
  <c r="EA42" i="7"/>
  <c r="DU42" i="7"/>
  <c r="FG42" i="7"/>
  <c r="DY42" i="7"/>
  <c r="DW42" i="7"/>
  <c r="FA42" i="7"/>
  <c r="AM42" i="7" s="1"/>
  <c r="DY32" i="11"/>
  <c r="EA32" i="11"/>
  <c r="AS32" i="11"/>
  <c r="DV32" i="11"/>
  <c r="FG32" i="11"/>
  <c r="EB32" i="11"/>
  <c r="DU32" i="11"/>
  <c r="DX32" i="11"/>
  <c r="DW32" i="11"/>
  <c r="FA32" i="11"/>
  <c r="AM32" i="11" s="1"/>
  <c r="DV38" i="6"/>
  <c r="FG38" i="6"/>
  <c r="DX38" i="6"/>
  <c r="DW38" i="6"/>
  <c r="DU38" i="6"/>
  <c r="DY38" i="6"/>
  <c r="EB38" i="6"/>
  <c r="AS38" i="6"/>
  <c r="EA38" i="6"/>
  <c r="FA38" i="6"/>
  <c r="AM38" i="6" s="1"/>
  <c r="DU22" i="13"/>
  <c r="FG22" i="13"/>
  <c r="DY22" i="13"/>
  <c r="DW22" i="13"/>
  <c r="DX22" i="13"/>
  <c r="AS22" i="13"/>
  <c r="EA22" i="13"/>
  <c r="DV22" i="13"/>
  <c r="EB22" i="13"/>
  <c r="FA22" i="13"/>
  <c r="AM22" i="13" s="1"/>
  <c r="DY21" i="12"/>
  <c r="EA21" i="12"/>
  <c r="EB21" i="12"/>
  <c r="DU21" i="12"/>
  <c r="AD51" i="12"/>
  <c r="DV21" i="12"/>
  <c r="DW21" i="12"/>
  <c r="FG21" i="12"/>
  <c r="FA21" i="12"/>
  <c r="AM21" i="12" s="1"/>
  <c r="DX21" i="12"/>
  <c r="AS21" i="12"/>
  <c r="EA21" i="14"/>
  <c r="DY21" i="14"/>
  <c r="EB21" i="14"/>
  <c r="DU21" i="14"/>
  <c r="AD51" i="14"/>
  <c r="DX21" i="14"/>
  <c r="DV21" i="14"/>
  <c r="DW21" i="14"/>
  <c r="FA21" i="14"/>
  <c r="AM21" i="14" s="1"/>
  <c r="GJ21" i="14" s="1"/>
  <c r="GM21" i="14" s="1"/>
  <c r="FG21" i="14"/>
  <c r="AS21" i="14"/>
  <c r="DW38" i="15"/>
  <c r="AS38" i="15"/>
  <c r="EB38" i="15"/>
  <c r="FG38" i="15"/>
  <c r="DX38" i="15"/>
  <c r="EA38" i="15"/>
  <c r="DY38" i="15"/>
  <c r="DV38" i="15"/>
  <c r="DU38" i="15"/>
  <c r="FA38" i="15"/>
  <c r="AM38" i="15" s="1"/>
  <c r="L9" i="74"/>
  <c r="EA19" i="36"/>
  <c r="DV23" i="12"/>
  <c r="DW23" i="12"/>
  <c r="EA23" i="12"/>
  <c r="EB23" i="12"/>
  <c r="FG23" i="12"/>
  <c r="DY23" i="12"/>
  <c r="DX23" i="12"/>
  <c r="AS23" i="12"/>
  <c r="DU23" i="12"/>
  <c r="FA23" i="12"/>
  <c r="AM23" i="12" s="1"/>
  <c r="AA36" i="35"/>
  <c r="AA39" i="43"/>
  <c r="AB39" i="43" s="1"/>
  <c r="AF39" i="43" s="1"/>
  <c r="EI23" i="11"/>
  <c r="DW44" i="7"/>
  <c r="EA44" i="7"/>
  <c r="DY44" i="7"/>
  <c r="DU44" i="7"/>
  <c r="DX44" i="7"/>
  <c r="DV44" i="7"/>
  <c r="EB44" i="7"/>
  <c r="FG44" i="7"/>
  <c r="AS44" i="7"/>
  <c r="FA44" i="7"/>
  <c r="AM44" i="7" s="1"/>
  <c r="DU45" i="11"/>
  <c r="DX45" i="11"/>
  <c r="AS45" i="11"/>
  <c r="EA45" i="11"/>
  <c r="DV45" i="11"/>
  <c r="FG45" i="11"/>
  <c r="DW45" i="11"/>
  <c r="EB45" i="11"/>
  <c r="DY45" i="11"/>
  <c r="FA45" i="11"/>
  <c r="AM45" i="11" s="1"/>
  <c r="EI23" i="10"/>
  <c r="FG40" i="10"/>
  <c r="DV40" i="10"/>
  <c r="DY40" i="10"/>
  <c r="EB40" i="10"/>
  <c r="EA40" i="10"/>
  <c r="DX40" i="10"/>
  <c r="DU40" i="10"/>
  <c r="DW40" i="10"/>
  <c r="AS40" i="10"/>
  <c r="FA40" i="10"/>
  <c r="AM40" i="10" s="1"/>
  <c r="DX49" i="10"/>
  <c r="EB49" i="10"/>
  <c r="AS49" i="10"/>
  <c r="DU49" i="10"/>
  <c r="FG49" i="10"/>
  <c r="EA49" i="10"/>
  <c r="DW49" i="10"/>
  <c r="DV49" i="10"/>
  <c r="DY49" i="10"/>
  <c r="FA49" i="10"/>
  <c r="AM49" i="10" s="1"/>
  <c r="EB44" i="10"/>
  <c r="DU44" i="10"/>
  <c r="FG44" i="10"/>
  <c r="DX44" i="10"/>
  <c r="DV44" i="10"/>
  <c r="DY44" i="10"/>
  <c r="DW44" i="10"/>
  <c r="EA44" i="10"/>
  <c r="AS44" i="10"/>
  <c r="FA44" i="10"/>
  <c r="AM44" i="10" s="1"/>
  <c r="DW33" i="15"/>
  <c r="FG33" i="15"/>
  <c r="DX33" i="15"/>
  <c r="DY33" i="15"/>
  <c r="AS33" i="15"/>
  <c r="DV33" i="15"/>
  <c r="EA33" i="15"/>
  <c r="EB33" i="15"/>
  <c r="DU33" i="15"/>
  <c r="FA33" i="15"/>
  <c r="AM33" i="15" s="1"/>
  <c r="AA37" i="35"/>
  <c r="AB37" i="35" s="1"/>
  <c r="AF37" i="35" s="1"/>
  <c r="EB27" i="8"/>
  <c r="FG27" i="8"/>
  <c r="DW27" i="8"/>
  <c r="DU27" i="8"/>
  <c r="DV27" i="8"/>
  <c r="EA27" i="8"/>
  <c r="AS27" i="8"/>
  <c r="DY27" i="8"/>
  <c r="DX27" i="8"/>
  <c r="FA27" i="8"/>
  <c r="AM27" i="8" s="1"/>
  <c r="DU29" i="12"/>
  <c r="DW29" i="12"/>
  <c r="FG29" i="12"/>
  <c r="DX29" i="12"/>
  <c r="DY29" i="12"/>
  <c r="EA29" i="12"/>
  <c r="AS29" i="12"/>
  <c r="EB29" i="12"/>
  <c r="DV29" i="12"/>
  <c r="FA29" i="12"/>
  <c r="AM29" i="12" s="1"/>
  <c r="DY47" i="12"/>
  <c r="DX47" i="12"/>
  <c r="EB47" i="12"/>
  <c r="DW47" i="12"/>
  <c r="EA47" i="12"/>
  <c r="AS47" i="12"/>
  <c r="DV47" i="12"/>
  <c r="DU47" i="12"/>
  <c r="FG47" i="12"/>
  <c r="FA47" i="12"/>
  <c r="AM47" i="12" s="1"/>
  <c r="DU32" i="10"/>
  <c r="DX32" i="10"/>
  <c r="FG32" i="10"/>
  <c r="AS32" i="10"/>
  <c r="DV32" i="10"/>
  <c r="EA32" i="10"/>
  <c r="DY32" i="10"/>
  <c r="EB32" i="10"/>
  <c r="DW32" i="10"/>
  <c r="FA32" i="10"/>
  <c r="AM32" i="10" s="1"/>
  <c r="AA50" i="37"/>
  <c r="AB50" i="37" s="1"/>
  <c r="AF50" i="37" s="1"/>
  <c r="AA36" i="37"/>
  <c r="FG25" i="11"/>
  <c r="DY25" i="11"/>
  <c r="EA25" i="11"/>
  <c r="DW25" i="11"/>
  <c r="DV25" i="11"/>
  <c r="AS25" i="11"/>
  <c r="DX25" i="11"/>
  <c r="DU25" i="11"/>
  <c r="EB25" i="11"/>
  <c r="FA25" i="11"/>
  <c r="AM25" i="11" s="1"/>
  <c r="EA38" i="14"/>
  <c r="FG38" i="14"/>
  <c r="DY38" i="14"/>
  <c r="DX38" i="14"/>
  <c r="DV38" i="14"/>
  <c r="DW38" i="14"/>
  <c r="EB38" i="14"/>
  <c r="DU38" i="14"/>
  <c r="AS38" i="14"/>
  <c r="FA38" i="14"/>
  <c r="AM38" i="14" s="1"/>
  <c r="AA51" i="42"/>
  <c r="AB51" i="42" s="1"/>
  <c r="AF51" i="42" s="1"/>
  <c r="DV23" i="9"/>
  <c r="DY23" i="9"/>
  <c r="DX23" i="9"/>
  <c r="FG23" i="9"/>
  <c r="DU23" i="9"/>
  <c r="DW23" i="9"/>
  <c r="EA23" i="9"/>
  <c r="AS23" i="9"/>
  <c r="EB23" i="9"/>
  <c r="FA23" i="9"/>
  <c r="AM23" i="9" s="1"/>
  <c r="AS42" i="15"/>
  <c r="DY42" i="15"/>
  <c r="FG42" i="15"/>
  <c r="DX42" i="15"/>
  <c r="DW42" i="15"/>
  <c r="EA42" i="15"/>
  <c r="DV42" i="15"/>
  <c r="EB42" i="15"/>
  <c r="DU42" i="15"/>
  <c r="FA42" i="15"/>
  <c r="AM42" i="15" s="1"/>
  <c r="DW29" i="6"/>
  <c r="DU29" i="6"/>
  <c r="EB29" i="6"/>
  <c r="FG29" i="6"/>
  <c r="EA29" i="6"/>
  <c r="DX29" i="6"/>
  <c r="AS29" i="6"/>
  <c r="DY29" i="6"/>
  <c r="DV29" i="6"/>
  <c r="FA29" i="6"/>
  <c r="AM29" i="6" s="1"/>
  <c r="DU33" i="9"/>
  <c r="DW33" i="9"/>
  <c r="EA33" i="9"/>
  <c r="EB33" i="9"/>
  <c r="DX33" i="9"/>
  <c r="DV33" i="9"/>
  <c r="DY33" i="9"/>
  <c r="FG33" i="9"/>
  <c r="AS33" i="9"/>
  <c r="FA33" i="9"/>
  <c r="AM33" i="9" s="1"/>
  <c r="FG22" i="14"/>
  <c r="DX22" i="14"/>
  <c r="DU22" i="14"/>
  <c r="DV22" i="14"/>
  <c r="EB22" i="14"/>
  <c r="DW22" i="14"/>
  <c r="DY22" i="14"/>
  <c r="EA22" i="14"/>
  <c r="AS22" i="14"/>
  <c r="FA22" i="14"/>
  <c r="AM22" i="14" s="1"/>
  <c r="DU32" i="14"/>
  <c r="EA32" i="14"/>
  <c r="EB32" i="14"/>
  <c r="DV32" i="14"/>
  <c r="FG32" i="14"/>
  <c r="DX32" i="14"/>
  <c r="DY32" i="14"/>
  <c r="AS32" i="14"/>
  <c r="DW32" i="14"/>
  <c r="FA32" i="14"/>
  <c r="AM32" i="14" s="1"/>
  <c r="AA38" i="38"/>
  <c r="AB38" i="38" s="1"/>
  <c r="AF38" i="38" s="1"/>
  <c r="DW41" i="14"/>
  <c r="DV41" i="14"/>
  <c r="EB41" i="14"/>
  <c r="DX41" i="14"/>
  <c r="FG41" i="14"/>
  <c r="AS41" i="14"/>
  <c r="DU41" i="14"/>
  <c r="DY41" i="14"/>
  <c r="EA41" i="14"/>
  <c r="FA41" i="14"/>
  <c r="AM41" i="14" s="1"/>
  <c r="DU48" i="12"/>
  <c r="EB48" i="12"/>
  <c r="DV48" i="12"/>
  <c r="AS48" i="12"/>
  <c r="DY48" i="12"/>
  <c r="DX48" i="12"/>
  <c r="FG48" i="12"/>
  <c r="EA48" i="12"/>
  <c r="DW48" i="12"/>
  <c r="FA48" i="12"/>
  <c r="AM48" i="12" s="1"/>
  <c r="EB33" i="11"/>
  <c r="FG33" i="11"/>
  <c r="EA33" i="11"/>
  <c r="DX33" i="11"/>
  <c r="DW33" i="11"/>
  <c r="DU33" i="11"/>
  <c r="DV33" i="11"/>
  <c r="AS33" i="11"/>
  <c r="DY33" i="11"/>
  <c r="FA33" i="11"/>
  <c r="AM33" i="11" s="1"/>
  <c r="DW49" i="14"/>
  <c r="AS49" i="14"/>
  <c r="EB49" i="14"/>
  <c r="FG49" i="14"/>
  <c r="DU49" i="14"/>
  <c r="DX49" i="14"/>
  <c r="DY49" i="14"/>
  <c r="EA49" i="14"/>
  <c r="DV49" i="14"/>
  <c r="FA49" i="14"/>
  <c r="AM49" i="14" s="1"/>
  <c r="DY22" i="10"/>
  <c r="DW22" i="10"/>
  <c r="DU22" i="10"/>
  <c r="DX22" i="10"/>
  <c r="EA22" i="10"/>
  <c r="AS22" i="10"/>
  <c r="EB22" i="10"/>
  <c r="DV22" i="10"/>
  <c r="FG22" i="10"/>
  <c r="FA22" i="10"/>
  <c r="AM22" i="10" s="1"/>
  <c r="DV48" i="7"/>
  <c r="EB48" i="7"/>
  <c r="DU48" i="7"/>
  <c r="FG48" i="7"/>
  <c r="AS48" i="7"/>
  <c r="DY48" i="7"/>
  <c r="DX48" i="7"/>
  <c r="EA48" i="7"/>
  <c r="DW48" i="7"/>
  <c r="FA48" i="7"/>
  <c r="AM48" i="7" s="1"/>
  <c r="GJ48" i="7" s="1"/>
  <c r="GM48" i="7" s="1"/>
  <c r="DX48" i="9"/>
  <c r="DV48" i="9"/>
  <c r="DY48" i="9"/>
  <c r="DU48" i="9"/>
  <c r="FG48" i="9"/>
  <c r="EB48" i="9"/>
  <c r="AS48" i="9"/>
  <c r="EA48" i="9"/>
  <c r="DW48" i="9"/>
  <c r="FA48" i="9"/>
  <c r="AM48" i="9" s="1"/>
  <c r="DX22" i="11"/>
  <c r="DY22" i="11"/>
  <c r="AS22" i="11"/>
  <c r="EA22" i="11"/>
  <c r="DW22" i="11"/>
  <c r="DU22" i="11"/>
  <c r="FG22" i="11"/>
  <c r="DV22" i="11"/>
  <c r="EB22" i="11"/>
  <c r="FA22" i="11"/>
  <c r="AM22" i="11" s="1"/>
  <c r="AS39" i="8"/>
  <c r="DV39" i="8"/>
  <c r="DX39" i="8"/>
  <c r="DY39" i="8"/>
  <c r="DU39" i="8"/>
  <c r="DW39" i="8"/>
  <c r="EB39" i="8"/>
  <c r="FG39" i="8"/>
  <c r="EA39" i="8"/>
  <c r="FA39" i="8"/>
  <c r="AM39" i="8" s="1"/>
  <c r="DV25" i="13"/>
  <c r="DY25" i="13"/>
  <c r="DU25" i="13"/>
  <c r="DW25" i="13"/>
  <c r="EB25" i="13"/>
  <c r="EA25" i="13"/>
  <c r="FG25" i="13"/>
  <c r="DX25" i="13"/>
  <c r="AS25" i="13"/>
  <c r="FA25" i="13"/>
  <c r="AM25" i="13" s="1"/>
  <c r="EB48" i="11"/>
  <c r="DW48" i="11"/>
  <c r="AS48" i="11"/>
  <c r="DU48" i="11"/>
  <c r="DY48" i="11"/>
  <c r="DV48" i="11"/>
  <c r="FG48" i="11"/>
  <c r="DX48" i="11"/>
  <c r="EA48" i="11"/>
  <c r="FA48" i="11"/>
  <c r="AM48" i="11" s="1"/>
  <c r="EB21" i="15"/>
  <c r="DU21" i="15"/>
  <c r="DY21" i="15"/>
  <c r="EA21" i="15"/>
  <c r="AD51" i="15"/>
  <c r="DV21" i="15"/>
  <c r="FA21" i="15"/>
  <c r="AM21" i="15" s="1"/>
  <c r="FG21" i="15"/>
  <c r="AS21" i="15"/>
  <c r="DX21" i="15"/>
  <c r="DW21" i="15"/>
  <c r="DW31" i="13"/>
  <c r="DU31" i="13"/>
  <c r="DX31" i="13"/>
  <c r="DY31" i="13"/>
  <c r="DV31" i="13"/>
  <c r="EA31" i="13"/>
  <c r="FG31" i="13"/>
  <c r="AS31" i="13"/>
  <c r="EB31" i="13"/>
  <c r="FA31" i="13"/>
  <c r="AM31" i="13" s="1"/>
  <c r="DW24" i="10"/>
  <c r="DV24" i="10"/>
  <c r="EB24" i="10"/>
  <c r="EA24" i="10"/>
  <c r="DU24" i="10"/>
  <c r="FG24" i="10"/>
  <c r="DY24" i="10"/>
  <c r="DX24" i="10"/>
  <c r="AS24" i="10"/>
  <c r="FA24" i="10"/>
  <c r="AM24" i="10" s="1"/>
  <c r="DV35" i="12"/>
  <c r="DU35" i="12"/>
  <c r="FG35" i="12"/>
  <c r="DY35" i="12"/>
  <c r="EA35" i="12"/>
  <c r="DW35" i="12"/>
  <c r="AS35" i="12"/>
  <c r="EB35" i="12"/>
  <c r="DX35" i="12"/>
  <c r="FA35" i="12"/>
  <c r="AM35" i="12" s="1"/>
  <c r="EA38" i="12"/>
  <c r="DU38" i="12"/>
  <c r="DV38" i="12"/>
  <c r="DX38" i="12"/>
  <c r="DW38" i="12"/>
  <c r="DY38" i="12"/>
  <c r="FG38" i="12"/>
  <c r="EB38" i="12"/>
  <c r="AS38" i="12"/>
  <c r="FA38" i="12"/>
  <c r="AM38" i="12" s="1"/>
  <c r="EA37" i="13"/>
  <c r="DX37" i="13"/>
  <c r="DW37" i="13"/>
  <c r="FG37" i="13"/>
  <c r="DY37" i="13"/>
  <c r="EB37" i="13"/>
  <c r="DV37" i="13"/>
  <c r="AS37" i="13"/>
  <c r="DU37" i="13"/>
  <c r="FA37" i="13"/>
  <c r="AM37" i="13" s="1"/>
  <c r="DX48" i="15"/>
  <c r="AS48" i="15"/>
  <c r="DV48" i="15"/>
  <c r="DY48" i="15"/>
  <c r="EB48" i="15"/>
  <c r="EA48" i="15"/>
  <c r="DU48" i="15"/>
  <c r="FG48" i="15"/>
  <c r="DW48" i="15"/>
  <c r="FA48" i="15"/>
  <c r="AM48" i="15" s="1"/>
  <c r="DV27" i="6"/>
  <c r="FG27" i="6"/>
  <c r="AS27" i="6"/>
  <c r="EA27" i="6"/>
  <c r="DW27" i="6"/>
  <c r="EB27" i="6"/>
  <c r="DU27" i="6"/>
  <c r="DX27" i="6"/>
  <c r="DY27" i="6"/>
  <c r="FA27" i="6"/>
  <c r="AM27" i="6" s="1"/>
  <c r="AA52" i="44"/>
  <c r="AB52" i="44" s="1"/>
  <c r="AF52" i="44" s="1"/>
  <c r="AA15" i="74"/>
  <c r="EA25" i="41"/>
  <c r="CC75" i="4"/>
  <c r="F31" i="51" s="1"/>
  <c r="A26" i="50" s="1"/>
  <c r="AA52" i="38"/>
  <c r="AB52" i="38" s="1"/>
  <c r="AF52" i="38" s="1"/>
  <c r="P21" i="35"/>
  <c r="CC75" i="5"/>
  <c r="E31" i="51" s="1"/>
  <c r="P27" i="35"/>
  <c r="AA39" i="44"/>
  <c r="AB39" i="44" s="1"/>
  <c r="AF39" i="44" s="1"/>
  <c r="EB38" i="9"/>
  <c r="DU38" i="9"/>
  <c r="AS38" i="9"/>
  <c r="DY38" i="9"/>
  <c r="DW38" i="9"/>
  <c r="FG38" i="9"/>
  <c r="DX38" i="9"/>
  <c r="EA38" i="9"/>
  <c r="DV38" i="9"/>
  <c r="FA38" i="9"/>
  <c r="AM38" i="9" s="1"/>
  <c r="EA21" i="9"/>
  <c r="EB21" i="9"/>
  <c r="DY21" i="9"/>
  <c r="DU21" i="9"/>
  <c r="AD51" i="9"/>
  <c r="FG21" i="9"/>
  <c r="DX21" i="9"/>
  <c r="DW21" i="9"/>
  <c r="DV21" i="9"/>
  <c r="AS21" i="9"/>
  <c r="FA21" i="9"/>
  <c r="AM21" i="9" s="1"/>
  <c r="FP57" i="12"/>
  <c r="EF20" i="12" s="1"/>
  <c r="FG29" i="8"/>
  <c r="DY29" i="8"/>
  <c r="DU29" i="8"/>
  <c r="EA29" i="8"/>
  <c r="DW29" i="8"/>
  <c r="AS29" i="8"/>
  <c r="DV29" i="8"/>
  <c r="EB29" i="8"/>
  <c r="DX29" i="8"/>
  <c r="FA29" i="8"/>
  <c r="AM29" i="8" s="1"/>
  <c r="DY43" i="6"/>
  <c r="DX43" i="6"/>
  <c r="EB43" i="6"/>
  <c r="DV43" i="6"/>
  <c r="DW43" i="6"/>
  <c r="EA43" i="6"/>
  <c r="DU43" i="6"/>
  <c r="FG43" i="6"/>
  <c r="AS43" i="6"/>
  <c r="FA43" i="6"/>
  <c r="AM43" i="6" s="1"/>
  <c r="AD51" i="6"/>
  <c r="DY40" i="5"/>
  <c r="DV40" i="5"/>
  <c r="AS40" i="5"/>
  <c r="EA40" i="5"/>
  <c r="DX40" i="5"/>
  <c r="DU40" i="5"/>
  <c r="DW40" i="5"/>
  <c r="EB40" i="5"/>
  <c r="FG40" i="5"/>
  <c r="FA40" i="5"/>
  <c r="AM40" i="5" s="1"/>
  <c r="AA53" i="43"/>
  <c r="AB53" i="43" s="1"/>
  <c r="AF53" i="43" s="1"/>
  <c r="FP57" i="7"/>
  <c r="EF20" i="7" s="1"/>
  <c r="EB48" i="10"/>
  <c r="DX48" i="10"/>
  <c r="DW48" i="10"/>
  <c r="DY48" i="10"/>
  <c r="DU48" i="10"/>
  <c r="DV48" i="10"/>
  <c r="AS48" i="10"/>
  <c r="FG48" i="10"/>
  <c r="EA48" i="10"/>
  <c r="FA48" i="10"/>
  <c r="AM48" i="10" s="1"/>
  <c r="AA49" i="43"/>
  <c r="AB49" i="43" s="1"/>
  <c r="DU24" i="14"/>
  <c r="DV24" i="14"/>
  <c r="EA24" i="14"/>
  <c r="DY24" i="14"/>
  <c r="DW24" i="14"/>
  <c r="FG24" i="14"/>
  <c r="DX24" i="14"/>
  <c r="AS24" i="14"/>
  <c r="EB24" i="14"/>
  <c r="FA24" i="14"/>
  <c r="AM24" i="14" s="1"/>
  <c r="EA40" i="14"/>
  <c r="DY40" i="14"/>
  <c r="DW40" i="14"/>
  <c r="DU40" i="14"/>
  <c r="AS40" i="14"/>
  <c r="EB40" i="14"/>
  <c r="DV40" i="14"/>
  <c r="DX40" i="14"/>
  <c r="FG40" i="14"/>
  <c r="FA40" i="14"/>
  <c r="AM40" i="14" s="1"/>
  <c r="FG22" i="8"/>
  <c r="EB22" i="8"/>
  <c r="AS22" i="8"/>
  <c r="DY22" i="8"/>
  <c r="DW22" i="8"/>
  <c r="EA22" i="8"/>
  <c r="DX22" i="8"/>
  <c r="DV22" i="8"/>
  <c r="DU22" i="8"/>
  <c r="FA22" i="8"/>
  <c r="AM22" i="8" s="1"/>
  <c r="DW45" i="7"/>
  <c r="EA45" i="7"/>
  <c r="DY45" i="7"/>
  <c r="AS45" i="7"/>
  <c r="FG45" i="7"/>
  <c r="DX45" i="7"/>
  <c r="DU45" i="7"/>
  <c r="DV45" i="7"/>
  <c r="EB45" i="7"/>
  <c r="FA45" i="7"/>
  <c r="AM45" i="7" s="1"/>
  <c r="O27" i="39"/>
  <c r="AD51" i="11"/>
  <c r="AS24" i="4"/>
  <c r="DW24" i="4"/>
  <c r="FG24" i="4"/>
  <c r="DU24" i="4"/>
  <c r="DY24" i="4"/>
  <c r="EB24" i="4"/>
  <c r="DX24" i="4"/>
  <c r="DV24" i="4"/>
  <c r="EA24" i="4"/>
  <c r="FA24" i="4"/>
  <c r="AM24" i="4" s="1"/>
  <c r="EB26" i="8"/>
  <c r="DU26" i="8"/>
  <c r="DW26" i="8"/>
  <c r="FG26" i="8"/>
  <c r="DV26" i="8"/>
  <c r="DY26" i="8"/>
  <c r="AS26" i="8"/>
  <c r="EA26" i="8"/>
  <c r="DX26" i="8"/>
  <c r="FA26" i="8"/>
  <c r="AM26" i="8" s="1"/>
  <c r="EI23" i="8"/>
  <c r="AS27" i="5"/>
  <c r="DW27" i="5"/>
  <c r="EA27" i="5"/>
  <c r="DU27" i="5"/>
  <c r="DY27" i="5"/>
  <c r="EB27" i="5"/>
  <c r="FG27" i="5"/>
  <c r="DV27" i="5"/>
  <c r="DX27" i="5"/>
  <c r="FA27" i="5"/>
  <c r="AM27" i="5" s="1"/>
  <c r="AA53" i="44"/>
  <c r="AB53" i="44" s="1"/>
  <c r="AF53" i="44" s="1"/>
  <c r="DV26" i="12"/>
  <c r="FG26" i="12"/>
  <c r="DU26" i="12"/>
  <c r="EA26" i="12"/>
  <c r="DW26" i="12"/>
  <c r="DY26" i="12"/>
  <c r="AS26" i="12"/>
  <c r="DX26" i="12"/>
  <c r="EB26" i="12"/>
  <c r="FA26" i="12"/>
  <c r="AM26" i="12" s="1"/>
  <c r="GF50" i="11" l="1"/>
  <c r="GJ50" i="7"/>
  <c r="GM50" i="7" s="1"/>
  <c r="EA28" i="37"/>
  <c r="EB28" i="37" s="1"/>
  <c r="AM25" i="74"/>
  <c r="GF29" i="11"/>
  <c r="I31" i="74"/>
  <c r="EA26" i="40"/>
  <c r="EB26" i="40" s="1"/>
  <c r="GJ28" i="10"/>
  <c r="GM28" i="10" s="1"/>
  <c r="GF31" i="4"/>
  <c r="EA27" i="41"/>
  <c r="CG27" i="41" s="1"/>
  <c r="EA35" i="45"/>
  <c r="CG35" i="45" s="1"/>
  <c r="AJ17" i="74"/>
  <c r="F20" i="74"/>
  <c r="GJ50" i="11"/>
  <c r="GM50" i="11" s="1"/>
  <c r="F19" i="74"/>
  <c r="GF30" i="7"/>
  <c r="AA17" i="74"/>
  <c r="GF29" i="14"/>
  <c r="O18" i="74"/>
  <c r="HL178" i="34"/>
  <c r="HL79" i="34"/>
  <c r="HL226" i="34"/>
  <c r="HL321" i="34"/>
  <c r="HL228" i="34"/>
  <c r="HL14" i="34"/>
  <c r="HL104" i="34"/>
  <c r="HL112" i="34"/>
  <c r="HL249" i="34"/>
  <c r="HL37" i="34"/>
  <c r="HL80" i="34"/>
  <c r="GF30" i="4"/>
  <c r="GF44" i="12"/>
  <c r="EA42" i="42"/>
  <c r="CG42" i="42" s="1"/>
  <c r="EA29" i="44"/>
  <c r="CG29" i="44" s="1"/>
  <c r="HL329" i="34"/>
  <c r="HL209" i="34"/>
  <c r="HL131" i="34"/>
  <c r="AD32" i="74"/>
  <c r="HL184" i="34"/>
  <c r="HL156" i="34"/>
  <c r="HL210" i="34"/>
  <c r="EA27" i="44"/>
  <c r="HL12" i="34"/>
  <c r="HL31" i="34"/>
  <c r="HL362" i="34"/>
  <c r="HL40" i="34"/>
  <c r="HL123" i="34"/>
  <c r="HL152" i="34"/>
  <c r="HL355" i="34"/>
  <c r="HL16" i="34"/>
  <c r="HL200" i="34"/>
  <c r="HL128" i="34"/>
  <c r="HL310" i="34"/>
  <c r="HL132" i="34"/>
  <c r="HL336" i="34"/>
  <c r="HL265" i="34"/>
  <c r="HL216" i="34"/>
  <c r="HL179" i="34"/>
  <c r="HL54" i="34"/>
  <c r="HL66" i="34"/>
  <c r="HL366" i="34"/>
  <c r="HL160" i="34"/>
  <c r="HL137" i="34"/>
  <c r="HL250" i="34"/>
  <c r="HL47" i="34"/>
  <c r="HL89" i="34"/>
  <c r="HL21" i="34"/>
  <c r="HL158" i="34"/>
  <c r="HL270" i="34"/>
  <c r="HL65" i="34"/>
  <c r="HL61" i="34"/>
  <c r="HL62" i="34"/>
  <c r="HL64" i="34"/>
  <c r="HL63" i="34"/>
  <c r="HL320" i="34"/>
  <c r="HL309" i="34"/>
  <c r="HL323" i="34"/>
  <c r="HL308" i="34"/>
  <c r="HL60" i="34"/>
  <c r="HL154" i="34"/>
  <c r="HL204" i="34"/>
  <c r="HL317" i="34"/>
  <c r="HL196" i="34"/>
  <c r="HL322" i="34"/>
  <c r="HL199" i="34"/>
  <c r="HL352" i="34"/>
  <c r="HL57" i="34"/>
  <c r="HL258" i="34"/>
  <c r="HL225" i="34"/>
  <c r="HL166" i="34"/>
  <c r="HL241" i="34"/>
  <c r="HL149" i="34"/>
  <c r="HL255" i="34"/>
  <c r="HL189" i="34"/>
  <c r="HL187" i="34"/>
  <c r="HL188" i="34"/>
  <c r="HL155" i="34"/>
  <c r="HL318" i="34"/>
  <c r="HL121" i="34"/>
  <c r="HL300" i="34"/>
  <c r="HL109" i="34"/>
  <c r="HL205" i="34"/>
  <c r="HL7" i="34"/>
  <c r="HL106" i="34"/>
  <c r="HL348" i="34"/>
  <c r="HL167" i="34"/>
  <c r="HL207" i="34"/>
  <c r="HL30" i="34"/>
  <c r="HL243" i="34"/>
  <c r="HL234" i="34"/>
  <c r="HL301" i="34"/>
  <c r="HL351" i="34"/>
  <c r="HL264" i="34"/>
  <c r="HL45" i="34"/>
  <c r="HL213" i="34"/>
  <c r="HL122" i="34"/>
  <c r="HL327" i="34"/>
  <c r="HL24" i="34"/>
  <c r="HL42" i="34"/>
  <c r="HL110" i="34"/>
  <c r="HL335" i="34"/>
  <c r="HL334" i="34"/>
  <c r="HL353" i="34"/>
  <c r="HL195" i="34"/>
  <c r="HL43" i="34"/>
  <c r="HL15" i="34"/>
  <c r="HL176" i="34"/>
  <c r="HL151" i="34"/>
  <c r="HL5" i="34"/>
  <c r="HL186" i="34"/>
  <c r="HL214" i="34"/>
  <c r="HL191" i="34"/>
  <c r="HL100" i="34"/>
  <c r="HL315" i="34"/>
  <c r="HL3" i="34"/>
  <c r="HL2" i="34"/>
  <c r="HL97" i="34"/>
  <c r="HL39" i="34"/>
  <c r="HL248" i="34"/>
  <c r="HL86" i="34"/>
  <c r="HL172" i="34"/>
  <c r="HL105" i="34"/>
  <c r="HL23" i="34"/>
  <c r="HL339" i="34"/>
  <c r="HL345" i="34"/>
  <c r="HL136" i="34"/>
  <c r="HL115" i="34"/>
  <c r="HL169" i="34"/>
  <c r="HL93" i="34"/>
  <c r="HL350" i="34"/>
  <c r="HL141" i="34"/>
  <c r="HL260" i="34"/>
  <c r="HL143" i="34"/>
  <c r="HL307" i="34"/>
  <c r="HL13" i="34"/>
  <c r="HL229" i="34"/>
  <c r="HL354" i="34"/>
  <c r="HL299" i="34"/>
  <c r="HL326" i="34"/>
  <c r="HL162" i="34"/>
  <c r="HL108" i="34"/>
  <c r="HL259" i="34"/>
  <c r="HL256" i="34"/>
  <c r="HL103" i="34"/>
  <c r="HL208" i="34"/>
  <c r="HL244" i="34"/>
  <c r="HL316" i="34"/>
  <c r="HL138" i="34"/>
  <c r="HL135" i="34"/>
  <c r="HL175" i="34"/>
  <c r="HL50" i="34"/>
  <c r="HL359" i="34"/>
  <c r="HL147" i="34"/>
  <c r="HL29" i="34"/>
  <c r="HL342" i="34"/>
  <c r="HL344" i="34"/>
  <c r="HL90" i="34"/>
  <c r="HL51" i="34"/>
  <c r="HL75" i="34"/>
  <c r="HL337" i="34"/>
  <c r="HL190" i="34"/>
  <c r="HL232" i="34"/>
  <c r="HL240" i="34"/>
  <c r="HL92" i="34"/>
  <c r="HL314" i="34"/>
  <c r="HL193" i="34"/>
  <c r="HL365" i="34"/>
  <c r="HL233" i="34"/>
  <c r="HL81" i="34"/>
  <c r="HL224" i="34"/>
  <c r="HL165" i="34"/>
  <c r="HL146" i="34"/>
  <c r="HL78" i="34"/>
  <c r="HL257" i="34"/>
  <c r="HL202" i="34"/>
  <c r="HL4" i="34"/>
  <c r="HL306" i="34"/>
  <c r="HL46" i="34"/>
  <c r="HL332" i="34"/>
  <c r="HL119" i="34"/>
  <c r="HL96" i="34"/>
  <c r="HL94" i="34"/>
  <c r="HL85" i="34"/>
  <c r="HL313" i="34"/>
  <c r="HL74" i="34"/>
  <c r="HL192" i="34"/>
  <c r="HL247" i="34"/>
  <c r="HL145" i="34"/>
  <c r="HL221" i="34"/>
  <c r="HL185" i="34"/>
  <c r="HL246" i="34"/>
  <c r="HL170" i="34"/>
  <c r="HL201" i="34"/>
  <c r="HL113" i="34"/>
  <c r="HL328" i="34"/>
  <c r="HL340" i="34"/>
  <c r="HL111" i="34"/>
  <c r="HL41" i="34"/>
  <c r="HL124" i="34"/>
  <c r="HL153" i="34"/>
  <c r="HL358" i="34"/>
  <c r="HL17" i="34"/>
  <c r="HL203" i="34"/>
  <c r="HL20" i="34"/>
  <c r="HL269" i="34"/>
  <c r="HL261" i="34"/>
  <c r="HL325" i="34"/>
  <c r="HL164" i="34"/>
  <c r="HL129" i="34"/>
  <c r="HL304" i="34"/>
  <c r="HL271" i="34"/>
  <c r="HL220" i="34"/>
  <c r="HL219" i="34"/>
  <c r="HL150" i="34"/>
  <c r="HL227" i="34"/>
  <c r="HL238" i="34"/>
  <c r="HL311" i="34"/>
  <c r="HL237" i="34"/>
  <c r="HL134" i="34"/>
  <c r="HL346" i="34"/>
  <c r="HL173" i="34"/>
  <c r="HL177" i="34"/>
  <c r="HL338" i="34"/>
  <c r="HL266" i="34"/>
  <c r="HL305" i="34"/>
  <c r="HL72" i="34"/>
  <c r="HL303" i="34"/>
  <c r="HL101" i="34"/>
  <c r="HL206" i="34"/>
  <c r="HL218" i="34"/>
  <c r="HL183" i="34"/>
  <c r="HL28" i="34"/>
  <c r="HL55" i="34"/>
  <c r="HL67" i="34"/>
  <c r="HL116" i="34"/>
  <c r="HL168" i="34"/>
  <c r="HL347" i="34"/>
  <c r="HL294" i="34"/>
  <c r="HL302" i="34"/>
  <c r="HL69" i="34"/>
  <c r="HL215" i="34"/>
  <c r="HL369" i="34"/>
  <c r="HL211" i="34"/>
  <c r="HL163" i="34"/>
  <c r="HL10" i="34"/>
  <c r="HL144" i="34"/>
  <c r="HL236" i="34"/>
  <c r="HL27" i="34"/>
  <c r="HL99" i="34"/>
  <c r="HL140" i="34"/>
  <c r="HL254" i="34"/>
  <c r="HL48" i="34"/>
  <c r="HL242" i="34"/>
  <c r="HL267" i="34"/>
  <c r="HL88" i="34"/>
  <c r="HL91" i="34"/>
  <c r="HL22" i="34"/>
  <c r="HL19" i="34"/>
  <c r="HL349" i="34"/>
  <c r="HL364" i="34"/>
  <c r="HL38" i="34"/>
  <c r="HL159" i="34"/>
  <c r="HL34" i="34"/>
  <c r="HL33" i="34"/>
  <c r="HL127" i="34"/>
  <c r="HL126" i="34"/>
  <c r="HL125" i="34"/>
  <c r="HL8" i="34"/>
  <c r="HL298" i="34"/>
  <c r="HL235" i="34"/>
  <c r="HL107" i="34"/>
  <c r="HL319" i="34"/>
  <c r="HL133" i="34"/>
  <c r="HL83" i="34"/>
  <c r="HL217" i="34"/>
  <c r="HL6" i="34"/>
  <c r="HL194" i="34"/>
  <c r="HL44" i="34"/>
  <c r="HL25" i="34"/>
  <c r="HL18" i="34"/>
  <c r="HL53" i="34"/>
  <c r="HL102" i="34"/>
  <c r="HL157" i="34"/>
  <c r="HL52" i="34"/>
  <c r="HL71" i="34"/>
  <c r="HL371" i="34"/>
  <c r="HL251" i="34"/>
  <c r="HL268" i="34"/>
  <c r="HL82" i="34"/>
  <c r="HL231" i="34"/>
  <c r="HL117" i="34"/>
  <c r="HL343" i="34"/>
  <c r="HL181" i="34"/>
  <c r="HL263" i="34"/>
  <c r="HL139" i="34"/>
  <c r="HL70" i="34"/>
  <c r="HL59" i="34"/>
  <c r="HL239" i="34"/>
  <c r="HL180" i="34"/>
  <c r="HL174" i="34"/>
  <c r="HL333" i="34"/>
  <c r="HL324" i="34"/>
  <c r="HL331" i="34"/>
  <c r="HL252" i="34"/>
  <c r="HL84" i="34"/>
  <c r="HL245" i="34"/>
  <c r="HL98" i="34"/>
  <c r="HL36" i="34"/>
  <c r="HL357" i="34"/>
  <c r="HL161" i="34"/>
  <c r="HL230" i="34"/>
  <c r="HL68" i="34"/>
  <c r="HL77" i="34"/>
  <c r="HL32" i="34"/>
  <c r="HL76" i="34"/>
  <c r="HL26" i="34"/>
  <c r="HL262" i="34"/>
  <c r="HL142" i="34"/>
  <c r="HL372" i="34"/>
  <c r="HL356" i="34"/>
  <c r="HL212" i="34"/>
  <c r="HL130" i="34"/>
  <c r="HL120" i="34"/>
  <c r="HL49" i="34"/>
  <c r="HL182" i="34"/>
  <c r="HL118" i="34"/>
  <c r="HL95" i="34"/>
  <c r="HL87" i="34"/>
  <c r="HL253" i="34"/>
  <c r="HL58" i="34"/>
  <c r="HL361" i="34"/>
  <c r="HL312" i="34"/>
  <c r="HL223" i="34"/>
  <c r="HL197" i="34"/>
  <c r="HL368" i="34"/>
  <c r="HL222" i="34"/>
  <c r="HL367" i="34"/>
  <c r="HL9" i="34"/>
  <c r="HL148" i="34"/>
  <c r="HL35" i="34"/>
  <c r="HL198" i="34"/>
  <c r="HL341" i="34"/>
  <c r="HL171" i="34"/>
  <c r="HL73" i="34"/>
  <c r="HL11" i="34"/>
  <c r="HL330" i="34"/>
  <c r="HL114" i="34"/>
  <c r="HL276" i="34"/>
  <c r="HL272" i="34"/>
  <c r="HL277" i="34"/>
  <c r="HL273" i="34"/>
  <c r="AG23" i="74"/>
  <c r="HL278" i="34"/>
  <c r="HL274" i="34"/>
  <c r="HL275" i="34"/>
  <c r="HL295" i="34"/>
  <c r="HL296" i="34"/>
  <c r="HL297" i="34"/>
  <c r="HL279" i="34"/>
  <c r="HL281" i="34"/>
  <c r="HL283" i="34"/>
  <c r="HL285" i="34"/>
  <c r="HL287" i="34"/>
  <c r="HL289" i="34"/>
  <c r="HL291" i="34"/>
  <c r="HL293" i="34"/>
  <c r="HL280" i="34"/>
  <c r="HL282" i="34"/>
  <c r="HL284" i="34"/>
  <c r="HL286" i="34"/>
  <c r="HL288" i="34"/>
  <c r="HL290" i="34"/>
  <c r="HL292" i="34"/>
  <c r="GF35" i="13"/>
  <c r="GJ35" i="13"/>
  <c r="GM35" i="13" s="1"/>
  <c r="GF49" i="4"/>
  <c r="EA47" i="18"/>
  <c r="CG47" i="18" s="1"/>
  <c r="E86" i="18" s="1"/>
  <c r="G86" i="18" s="1"/>
  <c r="F37" i="74"/>
  <c r="EA30" i="43"/>
  <c r="CG30" i="43" s="1"/>
  <c r="AG20" i="74"/>
  <c r="AM28" i="74"/>
  <c r="EA38" i="45"/>
  <c r="CG38" i="45" s="1"/>
  <c r="GF40" i="15"/>
  <c r="AM13" i="74"/>
  <c r="EA23" i="45"/>
  <c r="EB23" i="45" s="1"/>
  <c r="DU23" i="45" s="1"/>
  <c r="EA40" i="18"/>
  <c r="F30" i="74"/>
  <c r="O23" i="74"/>
  <c r="GF35" i="7"/>
  <c r="EA25" i="40"/>
  <c r="GF27" i="10"/>
  <c r="X15" i="74"/>
  <c r="EA28" i="35"/>
  <c r="GF30" i="5"/>
  <c r="I18" i="74"/>
  <c r="U27" i="74"/>
  <c r="GF39" i="9"/>
  <c r="R33" i="74"/>
  <c r="GF45" i="8"/>
  <c r="EA23" i="37"/>
  <c r="CG23" i="37" s="1"/>
  <c r="E62" i="37" s="1"/>
  <c r="F62" i="37" s="1"/>
  <c r="O13" i="74"/>
  <c r="EA24" i="35"/>
  <c r="GF26" i="5"/>
  <c r="I14" i="74"/>
  <c r="GF48" i="5"/>
  <c r="EA46" i="35"/>
  <c r="EB46" i="35" s="1"/>
  <c r="EA33" i="40"/>
  <c r="CG33" i="40" s="1"/>
  <c r="GF35" i="10"/>
  <c r="X23" i="74"/>
  <c r="EA37" i="42"/>
  <c r="CG37" i="42" s="1"/>
  <c r="GF39" i="12"/>
  <c r="AD27" i="74"/>
  <c r="AD19" i="74"/>
  <c r="EA29" i="42"/>
  <c r="CG29" i="42" s="1"/>
  <c r="GF31" i="12"/>
  <c r="AJ21" i="74"/>
  <c r="GF33" i="14"/>
  <c r="U28" i="74"/>
  <c r="EA38" i="39"/>
  <c r="CG38" i="39" s="1"/>
  <c r="L16" i="74"/>
  <c r="EA26" i="36"/>
  <c r="CG26" i="36" s="1"/>
  <c r="E65" i="36" s="1"/>
  <c r="F65" i="36" s="1"/>
  <c r="GF28" i="6"/>
  <c r="AG30" i="74"/>
  <c r="EA40" i="43"/>
  <c r="CG40" i="43" s="1"/>
  <c r="GF42" i="13"/>
  <c r="EA24" i="37"/>
  <c r="O14" i="74"/>
  <c r="GF26" i="7"/>
  <c r="EA44" i="39"/>
  <c r="CG44" i="39" s="1"/>
  <c r="U34" i="74"/>
  <c r="GF46" i="9"/>
  <c r="EA23" i="36"/>
  <c r="EB23" i="36" s="1"/>
  <c r="DU23" i="36" s="1"/>
  <c r="L13" i="74"/>
  <c r="GF25" i="6"/>
  <c r="AM34" i="74"/>
  <c r="EA44" i="45"/>
  <c r="CG44" i="45" s="1"/>
  <c r="R26" i="74"/>
  <c r="GF38" i="8"/>
  <c r="O12" i="74"/>
  <c r="EA22" i="37"/>
  <c r="CG22" i="37" s="1"/>
  <c r="E61" i="37" s="1"/>
  <c r="G61" i="37" s="1"/>
  <c r="GF24" i="7"/>
  <c r="GJ35" i="5"/>
  <c r="GM35" i="5" s="1"/>
  <c r="GF35" i="5"/>
  <c r="AA31" i="74"/>
  <c r="EA41" i="41"/>
  <c r="EB41" i="41" s="1"/>
  <c r="DU41" i="41" s="1"/>
  <c r="EA48" i="45"/>
  <c r="CG48" i="45" s="1"/>
  <c r="AM38" i="74"/>
  <c r="EA35" i="18"/>
  <c r="GF37" i="4"/>
  <c r="F25" i="74"/>
  <c r="AM14" i="74"/>
  <c r="GF26" i="15"/>
  <c r="EA24" i="45"/>
  <c r="EB24" i="45" s="1"/>
  <c r="DV24" i="45" s="1"/>
  <c r="EA39" i="45"/>
  <c r="GF41" i="15"/>
  <c r="U10" i="74"/>
  <c r="GF22" i="9"/>
  <c r="EA20" i="39"/>
  <c r="EB20" i="39" s="1"/>
  <c r="GF26" i="4"/>
  <c r="EA24" i="18"/>
  <c r="EB24" i="18" s="1"/>
  <c r="DU24" i="18" s="1"/>
  <c r="F14" i="74"/>
  <c r="U35" i="74"/>
  <c r="CB33" i="6"/>
  <c r="AA25" i="74"/>
  <c r="F28" i="74"/>
  <c r="AD24" i="74"/>
  <c r="R35" i="74"/>
  <c r="EA31" i="44"/>
  <c r="CG31" i="44" s="1"/>
  <c r="CB33" i="7"/>
  <c r="BZ33" i="7" s="1"/>
  <c r="CA33" i="7" s="1"/>
  <c r="X34" i="74"/>
  <c r="R22" i="74"/>
  <c r="EA43" i="38"/>
  <c r="EB43" i="38" s="1"/>
  <c r="DU43" i="38" s="1"/>
  <c r="EA38" i="18"/>
  <c r="CG38" i="18" s="1"/>
  <c r="E77" i="18" s="1"/>
  <c r="F77" i="18" s="1"/>
  <c r="GF32" i="13"/>
  <c r="GF46" i="10"/>
  <c r="GF47" i="8"/>
  <c r="GF40" i="9"/>
  <c r="GF36" i="12"/>
  <c r="GF25" i="15"/>
  <c r="GF34" i="8"/>
  <c r="GF38" i="10"/>
  <c r="EA36" i="38"/>
  <c r="EB36" i="38" s="1"/>
  <c r="I36" i="74"/>
  <c r="X26" i="74"/>
  <c r="EA33" i="37"/>
  <c r="CG33" i="37" s="1"/>
  <c r="E72" i="37" s="1"/>
  <c r="F72" i="37" s="1"/>
  <c r="AM29" i="74"/>
  <c r="GJ38" i="7"/>
  <c r="GM38" i="7" s="1"/>
  <c r="GJ47" i="8"/>
  <c r="GM47" i="8" s="1"/>
  <c r="GJ39" i="12"/>
  <c r="GM39" i="12" s="1"/>
  <c r="GJ33" i="14"/>
  <c r="GM33" i="14" s="1"/>
  <c r="GJ32" i="13"/>
  <c r="GM32" i="13" s="1"/>
  <c r="GJ36" i="12"/>
  <c r="GM36" i="12" s="1"/>
  <c r="GJ28" i="6"/>
  <c r="GM28" i="6" s="1"/>
  <c r="GJ42" i="13"/>
  <c r="GM42" i="13" s="1"/>
  <c r="GJ25" i="15"/>
  <c r="GM25" i="15" s="1"/>
  <c r="GJ46" i="9"/>
  <c r="GM46" i="9" s="1"/>
  <c r="GJ37" i="11"/>
  <c r="GM37" i="11" s="1"/>
  <c r="GJ24" i="7"/>
  <c r="GM24" i="7" s="1"/>
  <c r="GJ35" i="7"/>
  <c r="GM35" i="7" s="1"/>
  <c r="GJ27" i="10"/>
  <c r="GM27" i="10" s="1"/>
  <c r="GJ39" i="9"/>
  <c r="GM39" i="9" s="1"/>
  <c r="GJ37" i="4"/>
  <c r="GM37" i="4" s="1"/>
  <c r="GJ41" i="15"/>
  <c r="GM41" i="15" s="1"/>
  <c r="GJ26" i="5"/>
  <c r="GM26" i="5" s="1"/>
  <c r="GJ46" i="15"/>
  <c r="GM46" i="15" s="1"/>
  <c r="GJ50" i="15"/>
  <c r="GM50" i="15" s="1"/>
  <c r="GJ46" i="10"/>
  <c r="GM46" i="10" s="1"/>
  <c r="GJ26" i="4"/>
  <c r="GM26" i="4" s="1"/>
  <c r="CD33" i="14"/>
  <c r="EA41" i="35"/>
  <c r="CG41" i="35" s="1"/>
  <c r="E80" i="35" s="1"/>
  <c r="F80" i="35" s="1"/>
  <c r="GJ27" i="15"/>
  <c r="GM27" i="15" s="1"/>
  <c r="AM15" i="74"/>
  <c r="GJ35" i="8"/>
  <c r="GM35" i="8" s="1"/>
  <c r="R23" i="74"/>
  <c r="AD34" i="74"/>
  <c r="GF46" i="12"/>
  <c r="EA39" i="39"/>
  <c r="EB39" i="39" s="1"/>
  <c r="EB42" i="42"/>
  <c r="DV42" i="42" s="1"/>
  <c r="P27" i="37"/>
  <c r="P33" i="37" s="1"/>
  <c r="R54" i="37" s="1"/>
  <c r="T26" i="7" s="1"/>
  <c r="CC33" i="15"/>
  <c r="CD33" i="6"/>
  <c r="GJ21" i="13"/>
  <c r="GM21" i="13" s="1"/>
  <c r="CD32" i="12"/>
  <c r="GJ21" i="10"/>
  <c r="GM21" i="10" s="1"/>
  <c r="CD33" i="9"/>
  <c r="CG28" i="15"/>
  <c r="U29" i="74"/>
  <c r="EA44" i="42"/>
  <c r="CG44" i="42" s="1"/>
  <c r="EA45" i="39"/>
  <c r="EB45" i="39" s="1"/>
  <c r="EB35" i="45"/>
  <c r="DU35" i="45" s="1"/>
  <c r="L37" i="74"/>
  <c r="GF47" i="9"/>
  <c r="GF41" i="9"/>
  <c r="AA48" i="40"/>
  <c r="AB48" i="40" s="1"/>
  <c r="AF48" i="40" s="1"/>
  <c r="AA38" i="36"/>
  <c r="AB38" i="36" s="1"/>
  <c r="AF38" i="36" s="1"/>
  <c r="EB33" i="39"/>
  <c r="DV33" i="39" s="1"/>
  <c r="AD18" i="74"/>
  <c r="O27" i="37"/>
  <c r="AA48" i="36"/>
  <c r="AB48" i="36" s="1"/>
  <c r="AF48" i="36" s="1"/>
  <c r="P27" i="18"/>
  <c r="P21" i="18"/>
  <c r="P21" i="37"/>
  <c r="CG28" i="37"/>
  <c r="E67" i="37" s="1"/>
  <c r="F67" i="37" s="1"/>
  <c r="AA39" i="36"/>
  <c r="AB39" i="36" s="1"/>
  <c r="AF39" i="36" s="1"/>
  <c r="AA48" i="35"/>
  <c r="AB48" i="35" s="1"/>
  <c r="AF48" i="35" s="1"/>
  <c r="GF25" i="12"/>
  <c r="AA48" i="41"/>
  <c r="AB48" i="41" s="1"/>
  <c r="AF48" i="41" s="1"/>
  <c r="AA53" i="36"/>
  <c r="AB53" i="36" s="1"/>
  <c r="AF53" i="36" s="1"/>
  <c r="BS28" i="18"/>
  <c r="BT39" i="18" s="1"/>
  <c r="BE53" i="18"/>
  <c r="BE51" i="18"/>
  <c r="BE50" i="18"/>
  <c r="AG35" i="74"/>
  <c r="F86" i="18"/>
  <c r="G65" i="36"/>
  <c r="F61" i="37"/>
  <c r="G72" i="35"/>
  <c r="F72" i="35"/>
  <c r="F81" i="35"/>
  <c r="G81" i="35"/>
  <c r="G72" i="38"/>
  <c r="F72" i="38"/>
  <c r="EB37" i="39"/>
  <c r="DV37" i="39" s="1"/>
  <c r="GQ35" i="15"/>
  <c r="CG31" i="15"/>
  <c r="GQ42" i="15"/>
  <c r="CG32" i="15"/>
  <c r="GQ28" i="15"/>
  <c r="CG30" i="15"/>
  <c r="CG29" i="15"/>
  <c r="GQ49" i="15"/>
  <c r="CG33" i="15"/>
  <c r="L30" i="74"/>
  <c r="AG34" i="74"/>
  <c r="X31" i="74"/>
  <c r="AG36" i="74"/>
  <c r="EA48" i="38"/>
  <c r="CG48" i="38" s="1"/>
  <c r="E87" i="38" s="1"/>
  <c r="EA47" i="41"/>
  <c r="EB47" i="41" s="1"/>
  <c r="EA46" i="43"/>
  <c r="EB46" i="43" s="1"/>
  <c r="GF22" i="15"/>
  <c r="GF49" i="11"/>
  <c r="R38" i="74"/>
  <c r="AA37" i="74"/>
  <c r="GF48" i="13"/>
  <c r="CG29" i="18"/>
  <c r="E68" i="18" s="1"/>
  <c r="GF50" i="8"/>
  <c r="EA43" i="18"/>
  <c r="EB43" i="18" s="1"/>
  <c r="GF35" i="6"/>
  <c r="GF24" i="13"/>
  <c r="EB27" i="41"/>
  <c r="DU27" i="41" s="1"/>
  <c r="CG25" i="45"/>
  <c r="EA45" i="43"/>
  <c r="CG45" i="43" s="1"/>
  <c r="EA44" i="37"/>
  <c r="EB44" i="37" s="1"/>
  <c r="R25" i="74"/>
  <c r="AD29" i="74"/>
  <c r="L23" i="74"/>
  <c r="GF47" i="13"/>
  <c r="EA35" i="38"/>
  <c r="CG35" i="38" s="1"/>
  <c r="E74" i="38" s="1"/>
  <c r="EB29" i="44"/>
  <c r="DU29" i="44" s="1"/>
  <c r="EA33" i="36"/>
  <c r="CG33" i="36" s="1"/>
  <c r="E72" i="36" s="1"/>
  <c r="GF37" i="14"/>
  <c r="GF41" i="12"/>
  <c r="EB26" i="44"/>
  <c r="DU26" i="44" s="1"/>
  <c r="CG28" i="18"/>
  <c r="E67" i="18" s="1"/>
  <c r="EA39" i="42"/>
  <c r="EB39" i="42" s="1"/>
  <c r="AJ25" i="74"/>
  <c r="BC144" i="14"/>
  <c r="EA35" i="44"/>
  <c r="CG35" i="44" s="1"/>
  <c r="BC144" i="8"/>
  <c r="GF37" i="8"/>
  <c r="BC144" i="6"/>
  <c r="EA44" i="43"/>
  <c r="CG44" i="43" s="1"/>
  <c r="AM10" i="74"/>
  <c r="EA23" i="42"/>
  <c r="EB23" i="42" s="1"/>
  <c r="GF46" i="13"/>
  <c r="EA40" i="36"/>
  <c r="CG40" i="36" s="1"/>
  <c r="E79" i="36" s="1"/>
  <c r="EA20" i="45"/>
  <c r="CG20" i="45" s="1"/>
  <c r="I30" i="74"/>
  <c r="AD13" i="74"/>
  <c r="GF42" i="6"/>
  <c r="GJ28" i="11"/>
  <c r="GM28" i="11" s="1"/>
  <c r="AA16" i="74"/>
  <c r="AJ31" i="74"/>
  <c r="BC144" i="7"/>
  <c r="EA30" i="18"/>
  <c r="EB30" i="18" s="1"/>
  <c r="EA47" i="36"/>
  <c r="CG47" i="36" s="1"/>
  <c r="E86" i="36" s="1"/>
  <c r="EA39" i="40"/>
  <c r="CG39" i="40" s="1"/>
  <c r="EA28" i="42"/>
  <c r="CG28" i="42" s="1"/>
  <c r="GF49" i="6"/>
  <c r="BC146" i="4"/>
  <c r="GF41" i="10"/>
  <c r="GF30" i="12"/>
  <c r="X29" i="74"/>
  <c r="GF32" i="4"/>
  <c r="BC143" i="15"/>
  <c r="BC145" i="12"/>
  <c r="CG33" i="43"/>
  <c r="EA24" i="39"/>
  <c r="EB24" i="39" s="1"/>
  <c r="AA30" i="74"/>
  <c r="EA40" i="35"/>
  <c r="EB40" i="35" s="1"/>
  <c r="EA46" i="38"/>
  <c r="EB46" i="38" s="1"/>
  <c r="GF33" i="7"/>
  <c r="GF42" i="5"/>
  <c r="GF50" i="5"/>
  <c r="GF42" i="11"/>
  <c r="GJ28" i="12"/>
  <c r="GM28" i="12" s="1"/>
  <c r="U14" i="74"/>
  <c r="EA40" i="41"/>
  <c r="EB40" i="41" s="1"/>
  <c r="AD25" i="74"/>
  <c r="EA48" i="35"/>
  <c r="CG48" i="35" s="1"/>
  <c r="GF30" i="8"/>
  <c r="GF30" i="14"/>
  <c r="GJ33" i="7"/>
  <c r="GM33" i="7" s="1"/>
  <c r="BC142" i="15"/>
  <c r="BC147" i="4"/>
  <c r="R18" i="74"/>
  <c r="EA35" i="42"/>
  <c r="EB35" i="42" s="1"/>
  <c r="O21" i="74"/>
  <c r="GF32" i="9"/>
  <c r="GF37" i="12"/>
  <c r="AG17" i="74"/>
  <c r="EA27" i="43"/>
  <c r="EB27" i="43" s="1"/>
  <c r="DV27" i="43" s="1"/>
  <c r="GF26" i="9"/>
  <c r="BC146" i="11"/>
  <c r="EB38" i="45"/>
  <c r="DV38" i="45" s="1"/>
  <c r="EB33" i="38"/>
  <c r="DV33" i="38" s="1"/>
  <c r="EA41" i="40"/>
  <c r="EB41" i="40" s="1"/>
  <c r="AJ30" i="74"/>
  <c r="GF41" i="4"/>
  <c r="GF43" i="14"/>
  <c r="GF28" i="11"/>
  <c r="AJ14" i="74"/>
  <c r="CG38" i="37"/>
  <c r="E77" i="37" s="1"/>
  <c r="EA30" i="39"/>
  <c r="EB30" i="39" s="1"/>
  <c r="EA45" i="45"/>
  <c r="EB45" i="45" s="1"/>
  <c r="EA39" i="18"/>
  <c r="CG39" i="18" s="1"/>
  <c r="E78" i="18" s="1"/>
  <c r="EA40" i="44"/>
  <c r="EB40" i="44" s="1"/>
  <c r="GF47" i="15"/>
  <c r="GF42" i="14"/>
  <c r="EA28" i="38"/>
  <c r="EB28" i="38" s="1"/>
  <c r="U20" i="74"/>
  <c r="AM35" i="74"/>
  <c r="EA41" i="44"/>
  <c r="EB41" i="44" s="1"/>
  <c r="GF43" i="10"/>
  <c r="BC144" i="9"/>
  <c r="BC144" i="10"/>
  <c r="BC144" i="5"/>
  <c r="BC145" i="13"/>
  <c r="BC147" i="11"/>
  <c r="AG38" i="74"/>
  <c r="EA28" i="39"/>
  <c r="CG28" i="39" s="1"/>
  <c r="EA32" i="37"/>
  <c r="EB32" i="37" s="1"/>
  <c r="GJ34" i="7"/>
  <c r="GM34" i="7" s="1"/>
  <c r="BC145" i="11"/>
  <c r="BC144" i="13"/>
  <c r="BC142" i="5"/>
  <c r="BC143" i="5"/>
  <c r="BC146" i="15"/>
  <c r="BC147" i="15"/>
  <c r="BC145" i="4"/>
  <c r="BC144" i="12"/>
  <c r="EA28" i="45"/>
  <c r="CG28" i="45" s="1"/>
  <c r="O22" i="74"/>
  <c r="BC144" i="11"/>
  <c r="BC142" i="13"/>
  <c r="BC143" i="13"/>
  <c r="BC146" i="5"/>
  <c r="BC147" i="5"/>
  <c r="BC145" i="15"/>
  <c r="BC144" i="4"/>
  <c r="BC142" i="12"/>
  <c r="BC143" i="12"/>
  <c r="CC33" i="6"/>
  <c r="AM18" i="74"/>
  <c r="EA22" i="42"/>
  <c r="CG22" i="42" s="1"/>
  <c r="EA21" i="45"/>
  <c r="CG21" i="45" s="1"/>
  <c r="EA27" i="45"/>
  <c r="CG27" i="45" s="1"/>
  <c r="BC142" i="11"/>
  <c r="BC146" i="13"/>
  <c r="BC142" i="4"/>
  <c r="BC146" i="12"/>
  <c r="BC142" i="10"/>
  <c r="BC143" i="10"/>
  <c r="BC142" i="9"/>
  <c r="BC143" i="9"/>
  <c r="BC142" i="14"/>
  <c r="BC143" i="14"/>
  <c r="BC142" i="6"/>
  <c r="BC143" i="6"/>
  <c r="BC142" i="8"/>
  <c r="BC143" i="8"/>
  <c r="BC142" i="7"/>
  <c r="BC143" i="7"/>
  <c r="BC146" i="10"/>
  <c r="BC147" i="10"/>
  <c r="BC146" i="9"/>
  <c r="BC147" i="9"/>
  <c r="BC146" i="14"/>
  <c r="BC147" i="14"/>
  <c r="BC146" i="6"/>
  <c r="BC147" i="6"/>
  <c r="BC146" i="8"/>
  <c r="BC147" i="8"/>
  <c r="BC146" i="7"/>
  <c r="BC147" i="7"/>
  <c r="GF47" i="5"/>
  <c r="F29" i="74"/>
  <c r="I17" i="74"/>
  <c r="EB44" i="40"/>
  <c r="DU44" i="40" s="1"/>
  <c r="EA37" i="41"/>
  <c r="EB37" i="41" s="1"/>
  <c r="R36" i="74"/>
  <c r="G90" i="39"/>
  <c r="B94" i="39" s="1"/>
  <c r="G90" i="41"/>
  <c r="B94" i="41" s="1"/>
  <c r="G90" i="45"/>
  <c r="B94" i="45" s="1"/>
  <c r="G90" i="42"/>
  <c r="B94" i="42" s="1"/>
  <c r="CC75" i="8"/>
  <c r="I31" i="51" s="1"/>
  <c r="P27" i="40"/>
  <c r="G90" i="40"/>
  <c r="D11" i="85" s="1"/>
  <c r="O27" i="44"/>
  <c r="G90" i="44"/>
  <c r="B94" i="44" s="1"/>
  <c r="CC75" i="13"/>
  <c r="L31" i="51" s="1"/>
  <c r="G90" i="43"/>
  <c r="B94" i="43" s="1"/>
  <c r="AA38" i="39"/>
  <c r="AB38" i="39" s="1"/>
  <c r="AF38" i="39" s="1"/>
  <c r="CG34" i="40"/>
  <c r="P21" i="38"/>
  <c r="EB36" i="40"/>
  <c r="DU36" i="40" s="1"/>
  <c r="AD34" i="18"/>
  <c r="CP48" i="18" s="1"/>
  <c r="AA52" i="40"/>
  <c r="AB52" i="40" s="1"/>
  <c r="AF52" i="40" s="1"/>
  <c r="GF50" i="14"/>
  <c r="O27" i="38"/>
  <c r="EA47" i="37"/>
  <c r="CG47" i="37" s="1"/>
  <c r="E86" i="37" s="1"/>
  <c r="EB29" i="42"/>
  <c r="DU29" i="42" s="1"/>
  <c r="CG48" i="41"/>
  <c r="CO53" i="41" s="1"/>
  <c r="EA21" i="44"/>
  <c r="CG21" i="44" s="1"/>
  <c r="AA39" i="40"/>
  <c r="AB39" i="40" s="1"/>
  <c r="AF39" i="40" s="1"/>
  <c r="CC75" i="10"/>
  <c r="G31" i="51" s="1"/>
  <c r="F90" i="40"/>
  <c r="C11" i="85" s="1"/>
  <c r="P21" i="44"/>
  <c r="F90" i="44"/>
  <c r="C15" i="85" s="1"/>
  <c r="O27" i="43"/>
  <c r="F90" i="43"/>
  <c r="C14" i="85" s="1"/>
  <c r="O27" i="35"/>
  <c r="P21" i="39"/>
  <c r="F90" i="39"/>
  <c r="C10" i="85" s="1"/>
  <c r="O27" i="41"/>
  <c r="F90" i="41"/>
  <c r="C12" i="85" s="1"/>
  <c r="CC75" i="12"/>
  <c r="M31" i="51" s="1"/>
  <c r="F90" i="42"/>
  <c r="C13" i="85" s="1"/>
  <c r="CC75" i="15"/>
  <c r="D31" i="51" s="1"/>
  <c r="F90" i="45"/>
  <c r="C16" i="85" s="1"/>
  <c r="EI29" i="11"/>
  <c r="EI29" i="10"/>
  <c r="EI29" i="13"/>
  <c r="EI29" i="9"/>
  <c r="EI29" i="5"/>
  <c r="EI29" i="14"/>
  <c r="EI29" i="15"/>
  <c r="EI29" i="6"/>
  <c r="EI29" i="4"/>
  <c r="EI29" i="8"/>
  <c r="EI29" i="12"/>
  <c r="EI29" i="7"/>
  <c r="GJ28" i="8"/>
  <c r="GM28" i="8" s="1"/>
  <c r="AA38" i="44"/>
  <c r="AB38" i="44" s="1"/>
  <c r="AF38" i="44" s="1"/>
  <c r="X9" i="74"/>
  <c r="AG15" i="74"/>
  <c r="CD33" i="8"/>
  <c r="EB44" i="45"/>
  <c r="DV44" i="45" s="1"/>
  <c r="EA30" i="35"/>
  <c r="EB30" i="35" s="1"/>
  <c r="CG46" i="35"/>
  <c r="E85" i="35" s="1"/>
  <c r="GF35" i="14"/>
  <c r="P27" i="42"/>
  <c r="O33" i="42" s="1"/>
  <c r="O25" i="74"/>
  <c r="AA52" i="35"/>
  <c r="AB52" i="35" s="1"/>
  <c r="AF52" i="35" s="1"/>
  <c r="F21" i="74"/>
  <c r="EA48" i="44"/>
  <c r="CG48" i="44" s="1"/>
  <c r="F16" i="74"/>
  <c r="CG32" i="38"/>
  <c r="E71" i="38" s="1"/>
  <c r="CG36" i="37"/>
  <c r="E75" i="37" s="1"/>
  <c r="EA34" i="41"/>
  <c r="CG34" i="41" s="1"/>
  <c r="CB33" i="14"/>
  <c r="BZ33" i="8"/>
  <c r="CA33" i="8" s="1"/>
  <c r="EB31" i="44"/>
  <c r="DU31" i="44" s="1"/>
  <c r="F34" i="74"/>
  <c r="CG29" i="40"/>
  <c r="EA48" i="43"/>
  <c r="CG48" i="43" s="1"/>
  <c r="U18" i="74"/>
  <c r="CG36" i="38"/>
  <c r="E75" i="38" s="1"/>
  <c r="CB33" i="5"/>
  <c r="BZ33" i="5" s="1"/>
  <c r="CA33" i="5" s="1"/>
  <c r="AD12" i="74"/>
  <c r="EA34" i="36"/>
  <c r="CG34" i="36" s="1"/>
  <c r="E73" i="36" s="1"/>
  <c r="AM17" i="74"/>
  <c r="EB48" i="45"/>
  <c r="DV48" i="45" s="1"/>
  <c r="CG26" i="40"/>
  <c r="L24" i="74"/>
  <c r="GF30" i="13"/>
  <c r="GJ50" i="13"/>
  <c r="GM50" i="13" s="1"/>
  <c r="EA44" i="18"/>
  <c r="CG44" i="18" s="1"/>
  <c r="E83" i="18" s="1"/>
  <c r="EA27" i="35"/>
  <c r="EB27" i="35" s="1"/>
  <c r="I20" i="74"/>
  <c r="EA25" i="43"/>
  <c r="EB25" i="43" s="1"/>
  <c r="AA14" i="74"/>
  <c r="EB40" i="43"/>
  <c r="DU40" i="43" s="1"/>
  <c r="GF32" i="5"/>
  <c r="GF35" i="4"/>
  <c r="GJ27" i="13"/>
  <c r="GM27" i="13" s="1"/>
  <c r="EA39" i="37"/>
  <c r="EB39" i="37" s="1"/>
  <c r="EA24" i="41"/>
  <c r="CG24" i="41" s="1"/>
  <c r="EA48" i="39"/>
  <c r="EB48" i="39" s="1"/>
  <c r="EB34" i="42"/>
  <c r="DU34" i="42" s="1"/>
  <c r="GF29" i="5"/>
  <c r="CG45" i="38"/>
  <c r="E84" i="38" s="1"/>
  <c r="EB35" i="41"/>
  <c r="DU35" i="41" s="1"/>
  <c r="O29" i="74"/>
  <c r="EB37" i="42"/>
  <c r="DV37" i="42" s="1"/>
  <c r="CB33" i="9"/>
  <c r="F32" i="74"/>
  <c r="EA42" i="43"/>
  <c r="EB42" i="43" s="1"/>
  <c r="DU42" i="43" s="1"/>
  <c r="CG30" i="42"/>
  <c r="EB30" i="42"/>
  <c r="DU30" i="42" s="1"/>
  <c r="GF36" i="6"/>
  <c r="GF49" i="5"/>
  <c r="GJ30" i="9"/>
  <c r="GM30" i="9" s="1"/>
  <c r="GJ48" i="14"/>
  <c r="GM48" i="14" s="1"/>
  <c r="GJ36" i="9"/>
  <c r="GM36" i="9" s="1"/>
  <c r="GJ32" i="12"/>
  <c r="GM32" i="12" s="1"/>
  <c r="EA47" i="35"/>
  <c r="EB47" i="35" s="1"/>
  <c r="DV47" i="35" s="1"/>
  <c r="GF46" i="4"/>
  <c r="GF30" i="15"/>
  <c r="GF32" i="12"/>
  <c r="AD20" i="74"/>
  <c r="GJ29" i="15"/>
  <c r="GM29" i="15" s="1"/>
  <c r="GF24" i="12"/>
  <c r="AA38" i="40"/>
  <c r="AB38" i="40" s="1"/>
  <c r="AF38" i="40" s="1"/>
  <c r="BD50" i="39"/>
  <c r="BD50" i="18"/>
  <c r="CG31" i="37"/>
  <c r="E70" i="37" s="1"/>
  <c r="EB31" i="37"/>
  <c r="DV31" i="37" s="1"/>
  <c r="P27" i="39"/>
  <c r="P33" i="39" s="1"/>
  <c r="R54" i="39" s="1"/>
  <c r="T26" i="9" s="1"/>
  <c r="CC75" i="9"/>
  <c r="H31" i="51" s="1"/>
  <c r="CC75" i="11"/>
  <c r="B31" i="51" s="1"/>
  <c r="I16" i="74"/>
  <c r="P27" i="45"/>
  <c r="P33" i="45" s="1"/>
  <c r="R54" i="45" s="1"/>
  <c r="T26" i="15" s="1"/>
  <c r="EA32" i="40"/>
  <c r="CG32" i="40" s="1"/>
  <c r="R32" i="74"/>
  <c r="BD50" i="45"/>
  <c r="GJ25" i="8"/>
  <c r="GM25" i="8" s="1"/>
  <c r="P27" i="41"/>
  <c r="P30" i="41" s="1"/>
  <c r="O27" i="45"/>
  <c r="GJ29" i="13"/>
  <c r="GM29" i="13" s="1"/>
  <c r="GJ48" i="8"/>
  <c r="GM48" i="8" s="1"/>
  <c r="AA38" i="18"/>
  <c r="AB38" i="18" s="1"/>
  <c r="AF38" i="18" s="1"/>
  <c r="AA39" i="38"/>
  <c r="AB39" i="38" s="1"/>
  <c r="AF39" i="38" s="1"/>
  <c r="BD50" i="43"/>
  <c r="BD50" i="40"/>
  <c r="BD50" i="36"/>
  <c r="AA38" i="43"/>
  <c r="AB38" i="43" s="1"/>
  <c r="AF38" i="43" s="1"/>
  <c r="R11" i="74"/>
  <c r="U17" i="74"/>
  <c r="EB47" i="39"/>
  <c r="DU47" i="39" s="1"/>
  <c r="AD22" i="74"/>
  <c r="AD30" i="74"/>
  <c r="GF43" i="13"/>
  <c r="EA22" i="43"/>
  <c r="CG22" i="43" s="1"/>
  <c r="X33" i="74"/>
  <c r="EA42" i="44"/>
  <c r="CG42" i="44" s="1"/>
  <c r="CG23" i="39"/>
  <c r="EB23" i="39"/>
  <c r="DU23" i="39" s="1"/>
  <c r="AG12" i="74"/>
  <c r="GF49" i="9"/>
  <c r="EA32" i="44"/>
  <c r="EB32" i="44" s="1"/>
  <c r="DV32" i="44" s="1"/>
  <c r="GF25" i="9"/>
  <c r="GF26" i="11"/>
  <c r="GF44" i="14"/>
  <c r="EA37" i="40"/>
  <c r="CG37" i="40" s="1"/>
  <c r="AJ13" i="74"/>
  <c r="AJ22" i="74"/>
  <c r="AJ32" i="74"/>
  <c r="GJ25" i="4"/>
  <c r="GM25" i="4" s="1"/>
  <c r="GJ25" i="9"/>
  <c r="GM25" i="9" s="1"/>
  <c r="GJ49" i="9"/>
  <c r="GM49" i="9" s="1"/>
  <c r="GF42" i="12"/>
  <c r="X27" i="74"/>
  <c r="EB48" i="37"/>
  <c r="DV48" i="37" s="1"/>
  <c r="EA40" i="42"/>
  <c r="EB40" i="42" s="1"/>
  <c r="EA25" i="42"/>
  <c r="CG25" i="42" s="1"/>
  <c r="EA23" i="44"/>
  <c r="EB23" i="44" s="1"/>
  <c r="U13" i="74"/>
  <c r="GF34" i="14"/>
  <c r="U37" i="74"/>
  <c r="GF25" i="14"/>
  <c r="O24" i="74"/>
  <c r="GF50" i="9"/>
  <c r="AG32" i="74"/>
  <c r="GJ37" i="7"/>
  <c r="GM37" i="7" s="1"/>
  <c r="GJ29" i="7"/>
  <c r="GM29" i="7" s="1"/>
  <c r="GJ50" i="12"/>
  <c r="GM50" i="12" s="1"/>
  <c r="GJ44" i="13"/>
  <c r="GM44" i="13" s="1"/>
  <c r="GJ35" i="14"/>
  <c r="GM35" i="14" s="1"/>
  <c r="GJ50" i="9"/>
  <c r="GM50" i="9" s="1"/>
  <c r="GF39" i="10"/>
  <c r="GF50" i="12"/>
  <c r="GF37" i="7"/>
  <c r="EA33" i="44"/>
  <c r="GF41" i="7"/>
  <c r="AG31" i="74"/>
  <c r="EA41" i="43"/>
  <c r="GJ35" i="11"/>
  <c r="GM35" i="11" s="1"/>
  <c r="AA23" i="74"/>
  <c r="EA33" i="41"/>
  <c r="O17" i="74"/>
  <c r="EA27" i="37"/>
  <c r="EA33" i="18"/>
  <c r="F23" i="74"/>
  <c r="EA48" i="42"/>
  <c r="CD33" i="11"/>
  <c r="BZ33" i="11" s="1"/>
  <c r="CA33" i="11" s="1"/>
  <c r="EA23" i="18"/>
  <c r="F13" i="74"/>
  <c r="GJ40" i="13"/>
  <c r="GM40" i="13" s="1"/>
  <c r="EA38" i="43"/>
  <c r="AG28" i="74"/>
  <c r="GJ21" i="11"/>
  <c r="GM21" i="11" s="1"/>
  <c r="EA19" i="41"/>
  <c r="AA9" i="74"/>
  <c r="EA26" i="38"/>
  <c r="R16" i="74"/>
  <c r="U24" i="74"/>
  <c r="EA34" i="39"/>
  <c r="GJ23" i="6"/>
  <c r="GM23" i="6" s="1"/>
  <c r="EA21" i="36"/>
  <c r="L11" i="74"/>
  <c r="GJ28" i="15"/>
  <c r="GM28" i="15" s="1"/>
  <c r="EA26" i="45"/>
  <c r="AM16" i="74"/>
  <c r="I35" i="74"/>
  <c r="EA45" i="35"/>
  <c r="EA23" i="38"/>
  <c r="R13" i="74"/>
  <c r="EA46" i="44"/>
  <c r="AJ36" i="74"/>
  <c r="EA28" i="44"/>
  <c r="AJ18" i="74"/>
  <c r="EA26" i="42"/>
  <c r="AD16" i="74"/>
  <c r="AG18" i="74"/>
  <c r="EA28" i="43"/>
  <c r="GF27" i="5"/>
  <c r="GJ27" i="5"/>
  <c r="GM27" i="5" s="1"/>
  <c r="GF45" i="7"/>
  <c r="GJ45" i="7"/>
  <c r="GM45" i="7" s="1"/>
  <c r="GF22" i="8"/>
  <c r="GJ22" i="8"/>
  <c r="GM22" i="8" s="1"/>
  <c r="GF40" i="14"/>
  <c r="GJ40" i="14"/>
  <c r="GM40" i="14" s="1"/>
  <c r="GF40" i="5"/>
  <c r="GJ40" i="5"/>
  <c r="GM40" i="5" s="1"/>
  <c r="GF43" i="6"/>
  <c r="GJ43" i="6"/>
  <c r="GM43" i="6" s="1"/>
  <c r="GF29" i="8"/>
  <c r="GJ29" i="8"/>
  <c r="GM29" i="8" s="1"/>
  <c r="GF21" i="9"/>
  <c r="GJ21" i="9"/>
  <c r="GM21" i="9" s="1"/>
  <c r="GF38" i="9"/>
  <c r="GJ38" i="9"/>
  <c r="GM38" i="9" s="1"/>
  <c r="GF48" i="11"/>
  <c r="GJ48" i="11"/>
  <c r="GM48" i="11" s="1"/>
  <c r="GF25" i="13"/>
  <c r="GJ25" i="13"/>
  <c r="GM25" i="13" s="1"/>
  <c r="GF39" i="8"/>
  <c r="GJ39" i="8"/>
  <c r="GM39" i="8" s="1"/>
  <c r="GF22" i="11"/>
  <c r="GJ22" i="11"/>
  <c r="GM22" i="11" s="1"/>
  <c r="GF48" i="9"/>
  <c r="GJ48" i="9"/>
  <c r="GM48" i="9" s="1"/>
  <c r="GF22" i="10"/>
  <c r="GJ22" i="10"/>
  <c r="GM22" i="10" s="1"/>
  <c r="GF49" i="14"/>
  <c r="GJ49" i="14"/>
  <c r="GM49" i="14" s="1"/>
  <c r="GF33" i="11"/>
  <c r="GJ33" i="11"/>
  <c r="GM33" i="11" s="1"/>
  <c r="GF48" i="12"/>
  <c r="GJ48" i="12"/>
  <c r="GM48" i="12" s="1"/>
  <c r="GF41" i="14"/>
  <c r="GJ41" i="14"/>
  <c r="GM41" i="14" s="1"/>
  <c r="GF32" i="14"/>
  <c r="GJ32" i="14"/>
  <c r="GM32" i="14" s="1"/>
  <c r="GF22" i="14"/>
  <c r="GJ22" i="14"/>
  <c r="GM22" i="14" s="1"/>
  <c r="GF33" i="9"/>
  <c r="GJ33" i="9"/>
  <c r="GM33" i="9" s="1"/>
  <c r="GF29" i="6"/>
  <c r="GJ29" i="6"/>
  <c r="GM29" i="6" s="1"/>
  <c r="GF42" i="15"/>
  <c r="GJ42" i="15"/>
  <c r="GM42" i="15" s="1"/>
  <c r="GF23" i="9"/>
  <c r="GJ23" i="9"/>
  <c r="GM23" i="9" s="1"/>
  <c r="GF32" i="10"/>
  <c r="GJ32" i="10"/>
  <c r="GM32" i="10" s="1"/>
  <c r="GF27" i="8"/>
  <c r="GJ27" i="8"/>
  <c r="GM27" i="8" s="1"/>
  <c r="GF44" i="10"/>
  <c r="GJ44" i="10"/>
  <c r="GM44" i="10" s="1"/>
  <c r="GF49" i="10"/>
  <c r="GJ49" i="10"/>
  <c r="GM49" i="10" s="1"/>
  <c r="GF40" i="10"/>
  <c r="GJ40" i="10"/>
  <c r="GM40" i="10" s="1"/>
  <c r="GF38" i="15"/>
  <c r="GJ38" i="15"/>
  <c r="GM38" i="15" s="1"/>
  <c r="GF22" i="13"/>
  <c r="GJ22" i="13"/>
  <c r="GM22" i="13" s="1"/>
  <c r="GF38" i="6"/>
  <c r="GJ38" i="6"/>
  <c r="GM38" i="6" s="1"/>
  <c r="GF32" i="11"/>
  <c r="GJ32" i="11"/>
  <c r="GM32" i="11" s="1"/>
  <c r="GF42" i="7"/>
  <c r="GJ42" i="7"/>
  <c r="GM42" i="7" s="1"/>
  <c r="GF46" i="6"/>
  <c r="GJ46" i="6"/>
  <c r="GM46" i="6" s="1"/>
  <c r="GF38" i="5"/>
  <c r="GJ38" i="5"/>
  <c r="GM38" i="5" s="1"/>
  <c r="GF31" i="6"/>
  <c r="GJ31" i="6"/>
  <c r="GM31" i="6" s="1"/>
  <c r="GF26" i="6"/>
  <c r="GJ26" i="6"/>
  <c r="GM26" i="6" s="1"/>
  <c r="GF28" i="9"/>
  <c r="GJ28" i="9"/>
  <c r="GM28" i="9" s="1"/>
  <c r="GF39" i="4"/>
  <c r="GJ39" i="4"/>
  <c r="GM39" i="4" s="1"/>
  <c r="GF29" i="4"/>
  <c r="GJ29" i="4"/>
  <c r="GM29" i="4" s="1"/>
  <c r="GF38" i="13"/>
  <c r="GJ38" i="13"/>
  <c r="GM38" i="13" s="1"/>
  <c r="GF23" i="13"/>
  <c r="GJ23" i="13"/>
  <c r="GM23" i="13" s="1"/>
  <c r="GF46" i="11"/>
  <c r="GJ46" i="11"/>
  <c r="GM46" i="11" s="1"/>
  <c r="GF39" i="7"/>
  <c r="GJ39" i="7"/>
  <c r="GM39" i="7" s="1"/>
  <c r="GF34" i="15"/>
  <c r="GJ34" i="15"/>
  <c r="GM34" i="15" s="1"/>
  <c r="GF28" i="7"/>
  <c r="GJ28" i="7"/>
  <c r="GM28" i="7" s="1"/>
  <c r="GF33" i="5"/>
  <c r="GJ33" i="5"/>
  <c r="GM33" i="5" s="1"/>
  <c r="GF26" i="10"/>
  <c r="GJ26" i="10"/>
  <c r="GM26" i="10" s="1"/>
  <c r="GF49" i="13"/>
  <c r="GJ49" i="13"/>
  <c r="GM49" i="13" s="1"/>
  <c r="GF31" i="5"/>
  <c r="GJ31" i="5"/>
  <c r="GM31" i="5" s="1"/>
  <c r="GF45" i="9"/>
  <c r="GJ45" i="9"/>
  <c r="GM45" i="9" s="1"/>
  <c r="GF33" i="13"/>
  <c r="GJ33" i="13"/>
  <c r="GM33" i="13" s="1"/>
  <c r="GF32" i="15"/>
  <c r="GJ32" i="15"/>
  <c r="GM32" i="15" s="1"/>
  <c r="GF27" i="7"/>
  <c r="GJ27" i="7"/>
  <c r="GM27" i="7" s="1"/>
  <c r="GF39" i="5"/>
  <c r="GJ39" i="5"/>
  <c r="GM39" i="5" s="1"/>
  <c r="GF45" i="5"/>
  <c r="GJ45" i="5"/>
  <c r="GM45" i="5" s="1"/>
  <c r="GF40" i="12"/>
  <c r="GJ40" i="12"/>
  <c r="GM40" i="12" s="1"/>
  <c r="CB33" i="15"/>
  <c r="GJ49" i="15"/>
  <c r="GM49" i="15" s="1"/>
  <c r="GF41" i="5"/>
  <c r="GJ41" i="5"/>
  <c r="GM41" i="5" s="1"/>
  <c r="GF45" i="13"/>
  <c r="GJ45" i="13"/>
  <c r="GM45" i="13" s="1"/>
  <c r="GF24" i="8"/>
  <c r="GJ24" i="8"/>
  <c r="GM24" i="8" s="1"/>
  <c r="GF36" i="5"/>
  <c r="GJ36" i="5"/>
  <c r="GM36" i="5" s="1"/>
  <c r="GF43" i="4"/>
  <c r="GJ43" i="4"/>
  <c r="GM43" i="4" s="1"/>
  <c r="GF43" i="7"/>
  <c r="GJ43" i="7"/>
  <c r="GM43" i="7" s="1"/>
  <c r="GF32" i="8"/>
  <c r="GJ32" i="8"/>
  <c r="GM32" i="8" s="1"/>
  <c r="GF21" i="7"/>
  <c r="GJ21" i="7"/>
  <c r="GM21" i="7" s="1"/>
  <c r="GF50" i="6"/>
  <c r="GJ50" i="6"/>
  <c r="GM50" i="6" s="1"/>
  <c r="GF39" i="14"/>
  <c r="GJ39" i="14"/>
  <c r="GM39" i="14" s="1"/>
  <c r="GF45" i="12"/>
  <c r="GJ45" i="12"/>
  <c r="GM45" i="12" s="1"/>
  <c r="GF34" i="13"/>
  <c r="GJ34" i="13"/>
  <c r="GM34" i="13" s="1"/>
  <c r="GF33" i="6"/>
  <c r="GJ33" i="6"/>
  <c r="GM33" i="6" s="1"/>
  <c r="GF34" i="11"/>
  <c r="GJ34" i="11"/>
  <c r="GM34" i="11" s="1"/>
  <c r="GF23" i="7"/>
  <c r="GJ23" i="7"/>
  <c r="GM23" i="7" s="1"/>
  <c r="GF34" i="6"/>
  <c r="GJ34" i="6"/>
  <c r="GM34" i="6" s="1"/>
  <c r="EA34" i="38"/>
  <c r="CG34" i="38" s="1"/>
  <c r="E73" i="38" s="1"/>
  <c r="GJ36" i="8"/>
  <c r="GM36" i="8" s="1"/>
  <c r="EA19" i="38"/>
  <c r="CG19" i="38" s="1"/>
  <c r="E58" i="38" s="1"/>
  <c r="GJ21" i="8"/>
  <c r="GM21" i="8" s="1"/>
  <c r="L35" i="74"/>
  <c r="GJ47" i="6"/>
  <c r="GM47" i="6" s="1"/>
  <c r="GF23" i="4"/>
  <c r="GJ23" i="4"/>
  <c r="GM23" i="4" s="1"/>
  <c r="GF48" i="4"/>
  <c r="GJ48" i="4"/>
  <c r="GM48" i="4" s="1"/>
  <c r="EA29" i="39"/>
  <c r="CG29" i="39" s="1"/>
  <c r="GJ31" i="9"/>
  <c r="GM31" i="9" s="1"/>
  <c r="AM12" i="74"/>
  <c r="GJ24" i="15"/>
  <c r="GM24" i="15" s="1"/>
  <c r="GF38" i="4"/>
  <c r="GJ38" i="4"/>
  <c r="GM38" i="4" s="1"/>
  <c r="EA39" i="43"/>
  <c r="EB39" i="43" s="1"/>
  <c r="GJ41" i="13"/>
  <c r="GM41" i="13" s="1"/>
  <c r="GF31" i="15"/>
  <c r="GJ31" i="15"/>
  <c r="GM31" i="15" s="1"/>
  <c r="GF39" i="13"/>
  <c r="GJ39" i="13"/>
  <c r="GM39" i="13" s="1"/>
  <c r="GF45" i="4"/>
  <c r="GJ45" i="4"/>
  <c r="GM45" i="4" s="1"/>
  <c r="GF33" i="4"/>
  <c r="GJ33" i="4"/>
  <c r="GM33" i="4" s="1"/>
  <c r="GF34" i="12"/>
  <c r="GJ34" i="12"/>
  <c r="GM34" i="12" s="1"/>
  <c r="GF37" i="10"/>
  <c r="GJ37" i="10"/>
  <c r="GM37" i="10" s="1"/>
  <c r="GF23" i="15"/>
  <c r="GJ23" i="15"/>
  <c r="GM23" i="15" s="1"/>
  <c r="GF38" i="11"/>
  <c r="GJ38" i="11"/>
  <c r="GM38" i="11" s="1"/>
  <c r="GF39" i="11"/>
  <c r="GJ39" i="11"/>
  <c r="GM39" i="11" s="1"/>
  <c r="GF36" i="13"/>
  <c r="GJ36" i="13"/>
  <c r="GM36" i="13" s="1"/>
  <c r="GF36" i="11"/>
  <c r="GJ36" i="11"/>
  <c r="GM36" i="11" s="1"/>
  <c r="GF35" i="15"/>
  <c r="GJ35" i="15"/>
  <c r="GM35" i="15" s="1"/>
  <c r="GF43" i="8"/>
  <c r="GJ43" i="8"/>
  <c r="GM43" i="8" s="1"/>
  <c r="GF23" i="14"/>
  <c r="GJ23" i="14"/>
  <c r="GM23" i="14" s="1"/>
  <c r="GF27" i="9"/>
  <c r="GJ27" i="9"/>
  <c r="GM27" i="9" s="1"/>
  <c r="GF22" i="7"/>
  <c r="GJ22" i="7"/>
  <c r="GM22" i="7" s="1"/>
  <c r="GF49" i="7"/>
  <c r="GJ49" i="7"/>
  <c r="GM49" i="7" s="1"/>
  <c r="GF26" i="14"/>
  <c r="GJ26" i="14"/>
  <c r="GM26" i="14" s="1"/>
  <c r="GF26" i="12"/>
  <c r="GJ26" i="12"/>
  <c r="GM26" i="12" s="1"/>
  <c r="GF26" i="8"/>
  <c r="GJ26" i="8"/>
  <c r="GM26" i="8" s="1"/>
  <c r="GF24" i="4"/>
  <c r="GJ24" i="4"/>
  <c r="GM24" i="4" s="1"/>
  <c r="GF24" i="14"/>
  <c r="GJ24" i="14"/>
  <c r="GM24" i="14" s="1"/>
  <c r="GF48" i="10"/>
  <c r="GJ48" i="10"/>
  <c r="GM48" i="10" s="1"/>
  <c r="GF27" i="6"/>
  <c r="GJ27" i="6"/>
  <c r="GM27" i="6" s="1"/>
  <c r="GF48" i="15"/>
  <c r="GJ48" i="15"/>
  <c r="GM48" i="15" s="1"/>
  <c r="GF37" i="13"/>
  <c r="GJ37" i="13"/>
  <c r="GM37" i="13" s="1"/>
  <c r="GF38" i="12"/>
  <c r="GJ38" i="12"/>
  <c r="GM38" i="12" s="1"/>
  <c r="GF35" i="12"/>
  <c r="GJ35" i="12"/>
  <c r="GM35" i="12" s="1"/>
  <c r="GF24" i="10"/>
  <c r="GJ24" i="10"/>
  <c r="GM24" i="10" s="1"/>
  <c r="GF31" i="13"/>
  <c r="GJ31" i="13"/>
  <c r="GM31" i="13" s="1"/>
  <c r="GF21" i="15"/>
  <c r="GJ21" i="15"/>
  <c r="GM21" i="15" s="1"/>
  <c r="GF38" i="14"/>
  <c r="GJ38" i="14"/>
  <c r="GM38" i="14" s="1"/>
  <c r="GF25" i="11"/>
  <c r="GJ25" i="11"/>
  <c r="GM25" i="11" s="1"/>
  <c r="GF47" i="12"/>
  <c r="GJ47" i="12"/>
  <c r="GM47" i="12" s="1"/>
  <c r="GF29" i="12"/>
  <c r="GJ29" i="12"/>
  <c r="GM29" i="12" s="1"/>
  <c r="GF33" i="15"/>
  <c r="GJ33" i="15"/>
  <c r="GM33" i="15" s="1"/>
  <c r="GF45" i="11"/>
  <c r="GJ45" i="11"/>
  <c r="GM45" i="11" s="1"/>
  <c r="GF44" i="7"/>
  <c r="GJ44" i="7"/>
  <c r="GM44" i="7" s="1"/>
  <c r="GF23" i="12"/>
  <c r="GJ23" i="12"/>
  <c r="GM23" i="12" s="1"/>
  <c r="GF21" i="12"/>
  <c r="GJ21" i="12"/>
  <c r="GM21" i="12" s="1"/>
  <c r="GF24" i="9"/>
  <c r="GJ24" i="9"/>
  <c r="GM24" i="9" s="1"/>
  <c r="GF31" i="8"/>
  <c r="GJ31" i="8"/>
  <c r="GM31" i="8" s="1"/>
  <c r="GF37" i="9"/>
  <c r="GJ37" i="9"/>
  <c r="GM37" i="9" s="1"/>
  <c r="GF34" i="9"/>
  <c r="GJ34" i="9"/>
  <c r="GM34" i="9" s="1"/>
  <c r="GF25" i="10"/>
  <c r="GJ25" i="10"/>
  <c r="GM25" i="10" s="1"/>
  <c r="GF46" i="8"/>
  <c r="GJ46" i="8"/>
  <c r="GM46" i="8" s="1"/>
  <c r="GF36" i="4"/>
  <c r="GJ36" i="4"/>
  <c r="GM36" i="4" s="1"/>
  <c r="GF37" i="5"/>
  <c r="GJ37" i="5"/>
  <c r="GM37" i="5" s="1"/>
  <c r="GF36" i="15"/>
  <c r="GJ36" i="15"/>
  <c r="GM36" i="15" s="1"/>
  <c r="GF29" i="10"/>
  <c r="GJ29" i="10"/>
  <c r="GM29" i="10" s="1"/>
  <c r="GF45" i="15"/>
  <c r="GJ45" i="15"/>
  <c r="GM45" i="15" s="1"/>
  <c r="GF23" i="11"/>
  <c r="GJ23" i="11"/>
  <c r="GM23" i="11" s="1"/>
  <c r="GF34" i="4"/>
  <c r="GJ34" i="4"/>
  <c r="GM34" i="4" s="1"/>
  <c r="GF44" i="15"/>
  <c r="GJ44" i="15"/>
  <c r="GM44" i="15" s="1"/>
  <c r="GF33" i="12"/>
  <c r="GJ33" i="12"/>
  <c r="GM33" i="12" s="1"/>
  <c r="GF42" i="8"/>
  <c r="GJ42" i="8"/>
  <c r="GM42" i="8" s="1"/>
  <c r="GF22" i="5"/>
  <c r="GJ22" i="5"/>
  <c r="GM22" i="5" s="1"/>
  <c r="GF30" i="10"/>
  <c r="GJ30" i="10"/>
  <c r="GM30" i="10" s="1"/>
  <c r="GF46" i="5"/>
  <c r="GJ46" i="5"/>
  <c r="GM46" i="5" s="1"/>
  <c r="GF43" i="9"/>
  <c r="GJ43" i="9"/>
  <c r="GM43" i="9" s="1"/>
  <c r="GF48" i="6"/>
  <c r="GJ48" i="6"/>
  <c r="GM48" i="6" s="1"/>
  <c r="GF31" i="11"/>
  <c r="GJ31" i="11"/>
  <c r="GM31" i="11" s="1"/>
  <c r="GF24" i="6"/>
  <c r="GJ24" i="6"/>
  <c r="GM24" i="6" s="1"/>
  <c r="GF22" i="12"/>
  <c r="GJ22" i="12"/>
  <c r="GM22" i="12" s="1"/>
  <c r="GF40" i="6"/>
  <c r="GJ40" i="6"/>
  <c r="GM40" i="6" s="1"/>
  <c r="GF33" i="10"/>
  <c r="GJ33" i="10"/>
  <c r="GM33" i="10" s="1"/>
  <c r="GF40" i="8"/>
  <c r="GJ40" i="8"/>
  <c r="GM40" i="8" s="1"/>
  <c r="GF50" i="4"/>
  <c r="GJ50" i="4"/>
  <c r="GM50" i="4" s="1"/>
  <c r="GF37" i="6"/>
  <c r="GJ37" i="6"/>
  <c r="GM37" i="6" s="1"/>
  <c r="GF23" i="5"/>
  <c r="GJ23" i="5"/>
  <c r="GM23" i="5" s="1"/>
  <c r="GF32" i="6"/>
  <c r="GJ32" i="6"/>
  <c r="GM32" i="6" s="1"/>
  <c r="GF39" i="6"/>
  <c r="GJ39" i="6"/>
  <c r="GM39" i="6" s="1"/>
  <c r="GF42" i="9"/>
  <c r="GJ42" i="9"/>
  <c r="GM42" i="9" s="1"/>
  <c r="GF41" i="6"/>
  <c r="GJ41" i="6"/>
  <c r="GM41" i="6" s="1"/>
  <c r="GF43" i="15"/>
  <c r="GJ43" i="15"/>
  <c r="GM43" i="15" s="1"/>
  <c r="GF24" i="11"/>
  <c r="GJ24" i="11"/>
  <c r="GM24" i="11" s="1"/>
  <c r="GF30" i="6"/>
  <c r="GJ30" i="6"/>
  <c r="GM30" i="6" s="1"/>
  <c r="GF22" i="6"/>
  <c r="GJ22" i="6"/>
  <c r="GM22" i="6" s="1"/>
  <c r="GF41" i="8"/>
  <c r="GJ41" i="8"/>
  <c r="GM41" i="8" s="1"/>
  <c r="GF47" i="4"/>
  <c r="GJ47" i="4"/>
  <c r="GM47" i="4" s="1"/>
  <c r="GF44" i="9"/>
  <c r="GJ44" i="9"/>
  <c r="GM44" i="9" s="1"/>
  <c r="GF27" i="4"/>
  <c r="GJ27" i="4"/>
  <c r="GM27" i="4" s="1"/>
  <c r="GF33" i="8"/>
  <c r="GJ33" i="8"/>
  <c r="GM33" i="8" s="1"/>
  <c r="GF45" i="14"/>
  <c r="GJ45" i="14"/>
  <c r="GM45" i="14" s="1"/>
  <c r="GF47" i="11"/>
  <c r="GJ47" i="11"/>
  <c r="GM47" i="11" s="1"/>
  <c r="GF40" i="11"/>
  <c r="GJ40" i="11"/>
  <c r="GM40" i="11" s="1"/>
  <c r="GF34" i="5"/>
  <c r="GJ34" i="5"/>
  <c r="GM34" i="5" s="1"/>
  <c r="GF41" i="11"/>
  <c r="GJ41" i="11"/>
  <c r="GM41" i="11" s="1"/>
  <c r="GF28" i="13"/>
  <c r="GJ28" i="13"/>
  <c r="GM28" i="13" s="1"/>
  <c r="GF45" i="6"/>
  <c r="GJ45" i="6"/>
  <c r="GM45" i="6" s="1"/>
  <c r="GF47" i="7"/>
  <c r="GJ47" i="7"/>
  <c r="GM47" i="7" s="1"/>
  <c r="GF32" i="7"/>
  <c r="GJ32" i="7"/>
  <c r="GM32" i="7" s="1"/>
  <c r="GF27" i="14"/>
  <c r="GJ27" i="14"/>
  <c r="GM27" i="14" s="1"/>
  <c r="GF22" i="4"/>
  <c r="GJ22" i="4"/>
  <c r="GM22" i="4" s="1"/>
  <c r="GF26" i="13"/>
  <c r="GJ26" i="13"/>
  <c r="GM26" i="13" s="1"/>
  <c r="GF25" i="5"/>
  <c r="GJ25" i="5"/>
  <c r="GM25" i="5" s="1"/>
  <c r="GF44" i="6"/>
  <c r="GJ44" i="6"/>
  <c r="GM44" i="6" s="1"/>
  <c r="GF24" i="5"/>
  <c r="GJ24" i="5"/>
  <c r="GM24" i="5" s="1"/>
  <c r="GF47" i="10"/>
  <c r="GJ47" i="10"/>
  <c r="GM47" i="10" s="1"/>
  <c r="GF46" i="14"/>
  <c r="GJ46" i="14"/>
  <c r="GM46" i="14" s="1"/>
  <c r="GF42" i="10"/>
  <c r="GJ42" i="10"/>
  <c r="GM42" i="10" s="1"/>
  <c r="EA42" i="41"/>
  <c r="CG42" i="41" s="1"/>
  <c r="GJ44" i="11"/>
  <c r="GM44" i="11" s="1"/>
  <c r="GF39" i="15"/>
  <c r="GJ39" i="15"/>
  <c r="GM39" i="15" s="1"/>
  <c r="GF31" i="7"/>
  <c r="GJ31" i="7"/>
  <c r="GM31" i="7" s="1"/>
  <c r="GF50" i="10"/>
  <c r="GJ50" i="10"/>
  <c r="GM50" i="10" s="1"/>
  <c r="GF49" i="8"/>
  <c r="GJ49" i="8"/>
  <c r="GM49" i="8" s="1"/>
  <c r="GF27" i="12"/>
  <c r="GJ27" i="12"/>
  <c r="GM27" i="12" s="1"/>
  <c r="GF44" i="8"/>
  <c r="GJ44" i="8"/>
  <c r="GM44" i="8" s="1"/>
  <c r="GF28" i="4"/>
  <c r="GJ28" i="4"/>
  <c r="GM28" i="4" s="1"/>
  <c r="GF29" i="9"/>
  <c r="GJ29" i="9"/>
  <c r="GM29" i="9" s="1"/>
  <c r="GF28" i="5"/>
  <c r="GJ28" i="5"/>
  <c r="GM28" i="5" s="1"/>
  <c r="GF34" i="10"/>
  <c r="GJ34" i="10"/>
  <c r="GM34" i="10" s="1"/>
  <c r="GF46" i="7"/>
  <c r="GJ46" i="7"/>
  <c r="GM46" i="7" s="1"/>
  <c r="GF23" i="8"/>
  <c r="GJ23" i="8"/>
  <c r="GM23" i="8" s="1"/>
  <c r="GF44" i="4"/>
  <c r="GJ44" i="4"/>
  <c r="GM44" i="4" s="1"/>
  <c r="GF36" i="7"/>
  <c r="GJ36" i="7"/>
  <c r="GM36" i="7" s="1"/>
  <c r="EA36" i="41"/>
  <c r="EB36" i="41" s="1"/>
  <c r="CG20" i="39"/>
  <c r="EA29" i="45"/>
  <c r="EB29" i="45" s="1"/>
  <c r="U19" i="74"/>
  <c r="P21" i="42"/>
  <c r="EA35" i="40"/>
  <c r="CG35" i="40" s="1"/>
  <c r="O10" i="74"/>
  <c r="EB33" i="35"/>
  <c r="DU33" i="35" s="1"/>
  <c r="EA25" i="39"/>
  <c r="CG25" i="39" s="1"/>
  <c r="EB42" i="35"/>
  <c r="DU42" i="35" s="1"/>
  <c r="AA26" i="74"/>
  <c r="O27" i="42"/>
  <c r="EA34" i="43"/>
  <c r="CG34" i="43" s="1"/>
  <c r="EB28" i="41"/>
  <c r="DU28" i="41" s="1"/>
  <c r="EA20" i="37"/>
  <c r="EB20" i="37" s="1"/>
  <c r="U15" i="74"/>
  <c r="EA37" i="43"/>
  <c r="CG37" i="43" s="1"/>
  <c r="EA22" i="45"/>
  <c r="CG22" i="45" s="1"/>
  <c r="AM23" i="74"/>
  <c r="AG24" i="74"/>
  <c r="EA41" i="38"/>
  <c r="EB41" i="38" s="1"/>
  <c r="BD50" i="44"/>
  <c r="BD50" i="38"/>
  <c r="AG27" i="74"/>
  <c r="AA38" i="35"/>
  <c r="AB38" i="35" s="1"/>
  <c r="AF38" i="35" s="1"/>
  <c r="BD50" i="35"/>
  <c r="BD50" i="37"/>
  <c r="BD50" i="41"/>
  <c r="BD50" i="42"/>
  <c r="X30" i="74"/>
  <c r="P27" i="44"/>
  <c r="DK40" i="14" s="1"/>
  <c r="BZ74" i="14" s="1"/>
  <c r="BQ15" i="59" s="1"/>
  <c r="AM27" i="74"/>
  <c r="EA24" i="43"/>
  <c r="EB24" i="43" s="1"/>
  <c r="EA45" i="40"/>
  <c r="EB45" i="40" s="1"/>
  <c r="CC75" i="14"/>
  <c r="K31" i="51" s="1"/>
  <c r="EA30" i="37"/>
  <c r="EB30" i="37" s="1"/>
  <c r="O27" i="40"/>
  <c r="EA42" i="36"/>
  <c r="CG42" i="36" s="1"/>
  <c r="E81" i="36" s="1"/>
  <c r="AJ34" i="74"/>
  <c r="P21" i="43"/>
  <c r="EA29" i="37"/>
  <c r="CG29" i="37" s="1"/>
  <c r="E68" i="37" s="1"/>
  <c r="P21" i="40"/>
  <c r="I13" i="74"/>
  <c r="R37" i="74"/>
  <c r="EA22" i="35"/>
  <c r="CG22" i="35" s="1"/>
  <c r="E61" i="35" s="1"/>
  <c r="P27" i="43"/>
  <c r="O33" i="43" s="1"/>
  <c r="EA48" i="40"/>
  <c r="CG48" i="40" s="1"/>
  <c r="EA37" i="45"/>
  <c r="EB37" i="45" s="1"/>
  <c r="O20" i="74"/>
  <c r="EA23" i="35"/>
  <c r="EB23" i="35" s="1"/>
  <c r="L32" i="74"/>
  <c r="X38" i="74"/>
  <c r="R24" i="74"/>
  <c r="CB30" i="7"/>
  <c r="BZ30" i="7" s="1"/>
  <c r="CA30" i="7" s="1"/>
  <c r="AA32" i="74"/>
  <c r="GF48" i="7"/>
  <c r="CC28" i="8"/>
  <c r="CB29" i="15"/>
  <c r="BZ29" i="15" s="1"/>
  <c r="CB29" i="14"/>
  <c r="BZ29" i="14" s="1"/>
  <c r="CA29" i="14" s="1"/>
  <c r="CC28" i="9"/>
  <c r="GF21" i="13"/>
  <c r="CD33" i="12"/>
  <c r="CB28" i="13"/>
  <c r="CD32" i="7"/>
  <c r="CB28" i="10"/>
  <c r="GF21" i="14"/>
  <c r="CD32" i="13"/>
  <c r="GF49" i="15"/>
  <c r="GF21" i="5"/>
  <c r="CD32" i="4"/>
  <c r="GF49" i="12"/>
  <c r="CB33" i="12"/>
  <c r="CC28" i="11"/>
  <c r="CB32" i="8"/>
  <c r="GF21" i="4"/>
  <c r="CB28" i="4"/>
  <c r="BZ28" i="4" s="1"/>
  <c r="CA28" i="4" s="1"/>
  <c r="CD32" i="10"/>
  <c r="EA43" i="40"/>
  <c r="EB43" i="40" s="1"/>
  <c r="GF45" i="10"/>
  <c r="GF31" i="9"/>
  <c r="GF24" i="15"/>
  <c r="X11" i="74"/>
  <c r="GF23" i="10"/>
  <c r="EA41" i="42"/>
  <c r="EB41" i="42" s="1"/>
  <c r="GF43" i="12"/>
  <c r="AJ24" i="74"/>
  <c r="GF36" i="14"/>
  <c r="GF41" i="13"/>
  <c r="R9" i="74"/>
  <c r="GF21" i="8"/>
  <c r="EA45" i="36"/>
  <c r="CG45" i="36" s="1"/>
  <c r="E84" i="36" s="1"/>
  <c r="GF47" i="6"/>
  <c r="CD32" i="9"/>
  <c r="GF21" i="10"/>
  <c r="GF36" i="8"/>
  <c r="GF44" i="11"/>
  <c r="EA36" i="18"/>
  <c r="EB36" i="18" s="1"/>
  <c r="F9" i="74"/>
  <c r="F36" i="74"/>
  <c r="EA19" i="18"/>
  <c r="CG19" i="18" s="1"/>
  <c r="E58" i="18" s="1"/>
  <c r="EA21" i="40"/>
  <c r="CG21" i="40" s="1"/>
  <c r="AD31" i="74"/>
  <c r="EA34" i="44"/>
  <c r="CG34" i="44" s="1"/>
  <c r="CB29" i="11"/>
  <c r="BZ29" i="11" s="1"/>
  <c r="CA29" i="11" s="1"/>
  <c r="EA46" i="18"/>
  <c r="CG46" i="18" s="1"/>
  <c r="EB51" i="4"/>
  <c r="EA19" i="40"/>
  <c r="EB19" i="40" s="1"/>
  <c r="CB28" i="6"/>
  <c r="DW51" i="4"/>
  <c r="CB29" i="7"/>
  <c r="BZ29" i="7" s="1"/>
  <c r="CA29" i="7" s="1"/>
  <c r="DW51" i="11"/>
  <c r="AB54" i="45"/>
  <c r="CB30" i="5"/>
  <c r="BZ30" i="5" s="1"/>
  <c r="CA30" i="5" s="1"/>
  <c r="DY51" i="11"/>
  <c r="EA51" i="4"/>
  <c r="DY51" i="4"/>
  <c r="AL71" i="4"/>
  <c r="E6" i="16" s="1"/>
  <c r="CB31" i="12"/>
  <c r="BZ31" i="12" s="1"/>
  <c r="CA31" i="12" s="1"/>
  <c r="EA51" i="5"/>
  <c r="DV51" i="4"/>
  <c r="BY47" i="4" s="1"/>
  <c r="CA47" i="4" s="1"/>
  <c r="EB51" i="10"/>
  <c r="DV51" i="9"/>
  <c r="BY47" i="9" s="1"/>
  <c r="CA47" i="9" s="1"/>
  <c r="EA51" i="9"/>
  <c r="DU51" i="4"/>
  <c r="DW51" i="5"/>
  <c r="DX51" i="4"/>
  <c r="FG58" i="4" a="1"/>
  <c r="FG58" i="4" s="1"/>
  <c r="FG59" i="4" s="1" a="1"/>
  <c r="FG59" i="4" s="1"/>
  <c r="R64" i="4" s="1"/>
  <c r="T64" i="4" s="1"/>
  <c r="FG58" i="6" a="1"/>
  <c r="FG58" i="6" s="1"/>
  <c r="FG59" i="6" s="1" a="1"/>
  <c r="FG59" i="6" s="1"/>
  <c r="R64" i="6" s="1"/>
  <c r="T64" i="6" s="1"/>
  <c r="CB30" i="9"/>
  <c r="BZ30" i="9" s="1"/>
  <c r="CA30" i="9" s="1"/>
  <c r="DX51" i="9"/>
  <c r="DW51" i="13"/>
  <c r="DY51" i="9"/>
  <c r="DU51" i="13"/>
  <c r="DU51" i="6"/>
  <c r="CD32" i="5"/>
  <c r="AB54" i="42"/>
  <c r="DV51" i="5"/>
  <c r="BY47" i="5" s="1"/>
  <c r="CA47" i="5" s="1"/>
  <c r="EB51" i="5"/>
  <c r="AM51" i="10"/>
  <c r="DX51" i="10"/>
  <c r="DW51" i="15"/>
  <c r="FG58" i="11" a="1"/>
  <c r="FG58" i="11" s="1"/>
  <c r="R63" i="11" s="1"/>
  <c r="T63" i="11" s="1"/>
  <c r="EA19" i="43"/>
  <c r="AG9" i="74"/>
  <c r="EA21" i="18"/>
  <c r="F11" i="74"/>
  <c r="EA45" i="37"/>
  <c r="O35" i="74"/>
  <c r="AJ15" i="74"/>
  <c r="EA25" i="44"/>
  <c r="F10" i="74"/>
  <c r="EA20" i="18"/>
  <c r="AB54" i="43"/>
  <c r="EF19" i="8"/>
  <c r="EA51" i="8"/>
  <c r="EB51" i="8"/>
  <c r="EB51" i="15"/>
  <c r="AL69" i="13"/>
  <c r="O15" i="16" s="1"/>
  <c r="P15" i="16" s="1"/>
  <c r="R15" i="16" s="1"/>
  <c r="H15" i="16" s="1"/>
  <c r="EB51" i="11"/>
  <c r="AM51" i="6"/>
  <c r="EB51" i="6"/>
  <c r="DU51" i="5"/>
  <c r="AB54" i="39"/>
  <c r="FG58" i="8" a="1"/>
  <c r="FG58" i="8" s="1"/>
  <c r="R63" i="8" s="1"/>
  <c r="T63" i="8" s="1"/>
  <c r="AF49" i="43"/>
  <c r="AF54" i="43" s="1"/>
  <c r="DU51" i="9"/>
  <c r="DY51" i="6"/>
  <c r="DV51" i="6"/>
  <c r="BY47" i="6" s="1"/>
  <c r="CA47" i="6" s="1"/>
  <c r="DV51" i="11"/>
  <c r="BY47" i="11" s="1"/>
  <c r="CA47" i="11" s="1"/>
  <c r="EA51" i="11"/>
  <c r="FG58" i="5" a="1"/>
  <c r="FG58" i="5" s="1"/>
  <c r="R63" i="5" s="1"/>
  <c r="T63" i="5" s="1"/>
  <c r="FG58" i="13" a="1"/>
  <c r="FG58" i="13" s="1"/>
  <c r="FG59" i="13" s="1" a="1"/>
  <c r="FG59" i="13" s="1"/>
  <c r="R64" i="13" s="1"/>
  <c r="T64" i="13" s="1"/>
  <c r="AL69" i="11"/>
  <c r="O13" i="16" s="1"/>
  <c r="P13" i="16" s="1"/>
  <c r="R13" i="16" s="1"/>
  <c r="H13" i="16" s="1"/>
  <c r="DY51" i="5"/>
  <c r="FG58" i="9" a="1"/>
  <c r="FG58" i="9" s="1"/>
  <c r="R63" i="9" s="1"/>
  <c r="T63" i="9" s="1"/>
  <c r="AL69" i="6"/>
  <c r="O8" i="16" s="1"/>
  <c r="P8" i="16" s="1"/>
  <c r="R8" i="16" s="1"/>
  <c r="H8" i="16" s="1"/>
  <c r="DY51" i="13"/>
  <c r="DU51" i="11"/>
  <c r="DW51" i="6"/>
  <c r="CB30" i="12"/>
  <c r="BZ30" i="12" s="1"/>
  <c r="CA30" i="12" s="1"/>
  <c r="DU51" i="8"/>
  <c r="DV51" i="8"/>
  <c r="BY47" i="8" s="1"/>
  <c r="CA47" i="8" s="1"/>
  <c r="DY51" i="8"/>
  <c r="DX51" i="11"/>
  <c r="DU51" i="10"/>
  <c r="EB51" i="13"/>
  <c r="DX51" i="13"/>
  <c r="DX51" i="6"/>
  <c r="DW51" i="8"/>
  <c r="DX51" i="8"/>
  <c r="AL69" i="8"/>
  <c r="O10" i="16" s="1"/>
  <c r="P10" i="16" s="1"/>
  <c r="R10" i="16" s="1"/>
  <c r="H10" i="16" s="1"/>
  <c r="AL70" i="10"/>
  <c r="D12" i="16" s="1"/>
  <c r="DW51" i="10"/>
  <c r="DV51" i="13"/>
  <c r="BY47" i="13" s="1"/>
  <c r="CA47" i="13" s="1"/>
  <c r="FG58" i="10" a="1"/>
  <c r="FG58" i="10" s="1"/>
  <c r="R63" i="10" s="1"/>
  <c r="T63" i="10" s="1"/>
  <c r="EA51" i="10"/>
  <c r="DY51" i="10"/>
  <c r="EA51" i="13"/>
  <c r="DV51" i="10"/>
  <c r="BY47" i="10" s="1"/>
  <c r="CA47" i="10" s="1"/>
  <c r="AL70" i="13"/>
  <c r="D15" i="16" s="1"/>
  <c r="AB54" i="37"/>
  <c r="EA51" i="6"/>
  <c r="EA19" i="35"/>
  <c r="I9" i="74"/>
  <c r="AF54" i="44"/>
  <c r="EA25" i="35"/>
  <c r="I15" i="74"/>
  <c r="CG24" i="44"/>
  <c r="EB24" i="44"/>
  <c r="DU28" i="18"/>
  <c r="DV28" i="18"/>
  <c r="AF49" i="42"/>
  <c r="AF54" i="42" s="1"/>
  <c r="O33" i="74"/>
  <c r="EA43" i="37"/>
  <c r="EA38" i="44"/>
  <c r="AJ28" i="74"/>
  <c r="AB36" i="40"/>
  <c r="AF36" i="40" s="1"/>
  <c r="V35" i="40"/>
  <c r="T35" i="40" s="1"/>
  <c r="AA35" i="40" s="1"/>
  <c r="L31" i="74"/>
  <c r="EA41" i="36"/>
  <c r="AL70" i="8"/>
  <c r="D10" i="16" s="1"/>
  <c r="AL69" i="9"/>
  <c r="O11" i="16" s="1"/>
  <c r="P11" i="16" s="1"/>
  <c r="R11" i="16" s="1"/>
  <c r="H11" i="16" s="1"/>
  <c r="AL70" i="9"/>
  <c r="D11" i="16" s="1"/>
  <c r="AL71" i="9"/>
  <c r="E11" i="16" s="1"/>
  <c r="EB51" i="9"/>
  <c r="EA36" i="39"/>
  <c r="U26" i="74"/>
  <c r="CB31" i="9"/>
  <c r="BZ31" i="9" s="1"/>
  <c r="CA31" i="9" s="1"/>
  <c r="DV20" i="39"/>
  <c r="DU20" i="39"/>
  <c r="DK40" i="5"/>
  <c r="BZ74" i="5" s="1"/>
  <c r="BQ6" i="59" s="1"/>
  <c r="O30" i="35"/>
  <c r="P33" i="35"/>
  <c r="R54" i="35" s="1"/>
  <c r="T26" i="5" s="1"/>
  <c r="O33" i="35"/>
  <c r="P30" i="35"/>
  <c r="DU24" i="45"/>
  <c r="DX51" i="15"/>
  <c r="DV51" i="15"/>
  <c r="BY47" i="15" s="1"/>
  <c r="CA47" i="15" s="1"/>
  <c r="DU51" i="15"/>
  <c r="AG13" i="74"/>
  <c r="EA23" i="43"/>
  <c r="AA10" i="74"/>
  <c r="EA20" i="41"/>
  <c r="AM51" i="11"/>
  <c r="CB28" i="11"/>
  <c r="EF19" i="11"/>
  <c r="CD33" i="10"/>
  <c r="BZ33" i="10" s="1"/>
  <c r="CA33" i="10" s="1"/>
  <c r="O36" i="74"/>
  <c r="EA46" i="37"/>
  <c r="EA47" i="44"/>
  <c r="AJ37" i="74"/>
  <c r="EA46" i="42"/>
  <c r="AD36" i="74"/>
  <c r="AF50" i="41"/>
  <c r="EA40" i="45"/>
  <c r="AM30" i="74"/>
  <c r="AJ26" i="74"/>
  <c r="EA36" i="44"/>
  <c r="EA45" i="42"/>
  <c r="AD35" i="74"/>
  <c r="DV26" i="40"/>
  <c r="DU26" i="40"/>
  <c r="DU32" i="38"/>
  <c r="DV32" i="38"/>
  <c r="AB36" i="45"/>
  <c r="AF36" i="45" s="1"/>
  <c r="V35" i="45"/>
  <c r="T35" i="45" s="1"/>
  <c r="AA35" i="45" s="1"/>
  <c r="AL69" i="10"/>
  <c r="O12" i="16" s="1"/>
  <c r="P12" i="16" s="1"/>
  <c r="R12" i="16" s="1"/>
  <c r="H12" i="16" s="1"/>
  <c r="DV24" i="18"/>
  <c r="EB19" i="36"/>
  <c r="CG19" i="36"/>
  <c r="E58" i="36" s="1"/>
  <c r="AL71" i="13"/>
  <c r="E15" i="16" s="1"/>
  <c r="DW51" i="14"/>
  <c r="DU51" i="14"/>
  <c r="AL70" i="12"/>
  <c r="D14" i="16" s="1"/>
  <c r="AL71" i="12"/>
  <c r="E14" i="16" s="1"/>
  <c r="AL69" i="12"/>
  <c r="O14" i="16" s="1"/>
  <c r="P14" i="16" s="1"/>
  <c r="R14" i="16" s="1"/>
  <c r="H14" i="16" s="1"/>
  <c r="DW51" i="12"/>
  <c r="EB51" i="12"/>
  <c r="EA37" i="37"/>
  <c r="O27" i="74"/>
  <c r="EA31" i="35"/>
  <c r="I21" i="74"/>
  <c r="CC28" i="14"/>
  <c r="EA47" i="43"/>
  <c r="AG37" i="74"/>
  <c r="CB33" i="13"/>
  <c r="DU36" i="37"/>
  <c r="DV36" i="37"/>
  <c r="AF50" i="36"/>
  <c r="DV43" i="38"/>
  <c r="DX51" i="5"/>
  <c r="AD10" i="74"/>
  <c r="EA20" i="42"/>
  <c r="EA38" i="36"/>
  <c r="L28" i="74"/>
  <c r="CB32" i="14"/>
  <c r="I29" i="74"/>
  <c r="EA39" i="35"/>
  <c r="CG21" i="38"/>
  <c r="E60" i="38" s="1"/>
  <c r="EB21" i="38"/>
  <c r="CB31" i="6"/>
  <c r="BZ31" i="6" s="1"/>
  <c r="CA31" i="6" s="1"/>
  <c r="EA37" i="36"/>
  <c r="L27" i="74"/>
  <c r="R12" i="74"/>
  <c r="EA22" i="38"/>
  <c r="CG27" i="39"/>
  <c r="EB27" i="39"/>
  <c r="CG26" i="41"/>
  <c r="EB26" i="41"/>
  <c r="AL69" i="4"/>
  <c r="O6" i="16" s="1"/>
  <c r="P6" i="16" s="1"/>
  <c r="R6" i="16" s="1"/>
  <c r="DX51" i="7"/>
  <c r="DU51" i="7"/>
  <c r="CG42" i="18"/>
  <c r="E81" i="18" s="1"/>
  <c r="EB42" i="18"/>
  <c r="DK40" i="6"/>
  <c r="BZ74" i="6" s="1"/>
  <c r="BQ7" i="59" s="1"/>
  <c r="O30" i="36"/>
  <c r="O33" i="36"/>
  <c r="P33" i="36"/>
  <c r="R54" i="36" s="1"/>
  <c r="T26" i="6" s="1"/>
  <c r="P26" i="6" s="1"/>
  <c r="P30" i="36"/>
  <c r="V35" i="44"/>
  <c r="T35" i="44" s="1"/>
  <c r="AA35" i="44" s="1"/>
  <c r="AB36" i="44"/>
  <c r="AF36" i="44" s="1"/>
  <c r="EA37" i="44"/>
  <c r="CB31" i="14"/>
  <c r="BZ31" i="14" s="1"/>
  <c r="CA31" i="14" s="1"/>
  <c r="AJ27" i="74"/>
  <c r="AG22" i="74"/>
  <c r="EA32" i="43"/>
  <c r="L21" i="74"/>
  <c r="EA31" i="36"/>
  <c r="DU33" i="43"/>
  <c r="DV33" i="43"/>
  <c r="F12" i="74"/>
  <c r="EA22" i="18"/>
  <c r="O33" i="39"/>
  <c r="EA46" i="40"/>
  <c r="X36" i="74"/>
  <c r="EA25" i="36"/>
  <c r="L15" i="74"/>
  <c r="AG25" i="74"/>
  <c r="EA35" i="43"/>
  <c r="AD23" i="74"/>
  <c r="EA33" i="42"/>
  <c r="AG19" i="74"/>
  <c r="EA29" i="43"/>
  <c r="AL70" i="15"/>
  <c r="D17" i="16" s="1"/>
  <c r="AL69" i="15"/>
  <c r="O17" i="16" s="1"/>
  <c r="P17" i="16" s="1"/>
  <c r="R17" i="16" s="1"/>
  <c r="H17" i="16" s="1"/>
  <c r="AL71" i="15"/>
  <c r="E17" i="16" s="1"/>
  <c r="CB30" i="14"/>
  <c r="BZ30" i="14" s="1"/>
  <c r="CA30" i="14" s="1"/>
  <c r="AJ20" i="74"/>
  <c r="EA30" i="44"/>
  <c r="EA27" i="36"/>
  <c r="L17" i="74"/>
  <c r="V35" i="37"/>
  <c r="T35" i="37" s="1"/>
  <c r="AA35" i="37" s="1"/>
  <c r="AB36" i="37"/>
  <c r="AF36" i="37" s="1"/>
  <c r="DU29" i="18"/>
  <c r="DV29" i="18"/>
  <c r="X32" i="74"/>
  <c r="EA42" i="40"/>
  <c r="X37" i="74"/>
  <c r="EA47" i="40"/>
  <c r="AL70" i="11"/>
  <c r="D13" i="16" s="1"/>
  <c r="EA38" i="40"/>
  <c r="X28" i="74"/>
  <c r="EF19" i="4"/>
  <c r="O32" i="74"/>
  <c r="EA42" i="37"/>
  <c r="AL71" i="10"/>
  <c r="E12" i="16" s="1"/>
  <c r="AL71" i="6"/>
  <c r="E8" i="16" s="1"/>
  <c r="CG26" i="35"/>
  <c r="E65" i="35" s="1"/>
  <c r="EB26" i="35"/>
  <c r="DV36" i="38"/>
  <c r="DU36" i="38"/>
  <c r="DV34" i="40"/>
  <c r="DU34" i="40"/>
  <c r="AL71" i="14"/>
  <c r="E16" i="16" s="1"/>
  <c r="AL70" i="14"/>
  <c r="D16" i="16" s="1"/>
  <c r="AL69" i="14"/>
  <c r="O16" i="16" s="1"/>
  <c r="P16" i="16" s="1"/>
  <c r="R16" i="16" s="1"/>
  <c r="H16" i="16" s="1"/>
  <c r="DV51" i="14"/>
  <c r="BY47" i="14" s="1"/>
  <c r="CA47" i="14" s="1"/>
  <c r="EB51" i="14"/>
  <c r="DX51" i="12"/>
  <c r="DV51" i="12"/>
  <c r="BY47" i="12" s="1"/>
  <c r="CA47" i="12" s="1"/>
  <c r="EA51" i="12"/>
  <c r="EA36" i="36"/>
  <c r="L26" i="74"/>
  <c r="O30" i="74"/>
  <c r="EA40" i="37"/>
  <c r="EA47" i="42"/>
  <c r="AD37" i="74"/>
  <c r="EA29" i="36"/>
  <c r="L19" i="74"/>
  <c r="R19" i="74"/>
  <c r="EA29" i="38"/>
  <c r="U25" i="74"/>
  <c r="EA35" i="39"/>
  <c r="DV25" i="45"/>
  <c r="DU25" i="45"/>
  <c r="EA23" i="40"/>
  <c r="X13" i="74"/>
  <c r="F17" i="74"/>
  <c r="EA27" i="18"/>
  <c r="EA21" i="43"/>
  <c r="AG11" i="74"/>
  <c r="V35" i="39"/>
  <c r="T35" i="39" s="1"/>
  <c r="AA35" i="39" s="1"/>
  <c r="AB36" i="39"/>
  <c r="AF36" i="39" s="1"/>
  <c r="CB31" i="13"/>
  <c r="BZ31" i="13" s="1"/>
  <c r="CA31" i="13" s="1"/>
  <c r="CB32" i="9"/>
  <c r="U33" i="74"/>
  <c r="EA43" i="39"/>
  <c r="CC28" i="10"/>
  <c r="AM20" i="74"/>
  <c r="EA30" i="45"/>
  <c r="EA43" i="35"/>
  <c r="I33" i="74"/>
  <c r="CB32" i="10"/>
  <c r="EA35" i="35"/>
  <c r="I25" i="74"/>
  <c r="X17" i="74"/>
  <c r="EA27" i="40"/>
  <c r="CB30" i="10"/>
  <c r="BZ30" i="10" s="1"/>
  <c r="CA30" i="10" s="1"/>
  <c r="AA11" i="74"/>
  <c r="EA21" i="41"/>
  <c r="EA42" i="45"/>
  <c r="AM32" i="74"/>
  <c r="CB32" i="15"/>
  <c r="BZ32" i="15" s="1"/>
  <c r="EA40" i="38"/>
  <c r="R30" i="74"/>
  <c r="EA28" i="40"/>
  <c r="X18" i="74"/>
  <c r="L36" i="74"/>
  <c r="EA46" i="36"/>
  <c r="EB44" i="44"/>
  <c r="CG44" i="44"/>
  <c r="R28" i="74"/>
  <c r="EA38" i="38"/>
  <c r="EA35" i="36"/>
  <c r="L25" i="74"/>
  <c r="L20" i="74"/>
  <c r="EA30" i="36"/>
  <c r="CB30" i="6"/>
  <c r="BZ30" i="6" s="1"/>
  <c r="CA30" i="6" s="1"/>
  <c r="EA47" i="45"/>
  <c r="AM37" i="74"/>
  <c r="AF54" i="39"/>
  <c r="AL70" i="4"/>
  <c r="D6" i="16" s="1"/>
  <c r="CB30" i="4"/>
  <c r="BZ30" i="4" s="1"/>
  <c r="CA30" i="4" s="1"/>
  <c r="F31" i="74"/>
  <c r="EA41" i="18"/>
  <c r="CB32" i="4"/>
  <c r="EA41" i="37"/>
  <c r="CB32" i="7"/>
  <c r="O31" i="74"/>
  <c r="DV51" i="7"/>
  <c r="BY47" i="7" s="1"/>
  <c r="CA47" i="7" s="1"/>
  <c r="FG58" i="7" a="1"/>
  <c r="FG58" i="7" s="1"/>
  <c r="EB51" i="7"/>
  <c r="CG45" i="44"/>
  <c r="EB45" i="44"/>
  <c r="EA41" i="45"/>
  <c r="AM31" i="74"/>
  <c r="EA28" i="36"/>
  <c r="L18" i="74"/>
  <c r="EA39" i="38"/>
  <c r="CB31" i="8"/>
  <c r="BZ31" i="8" s="1"/>
  <c r="CA31" i="8" s="1"/>
  <c r="R29" i="74"/>
  <c r="U32" i="74"/>
  <c r="EA42" i="39"/>
  <c r="O30" i="37"/>
  <c r="EA31" i="38"/>
  <c r="R21" i="74"/>
  <c r="CB32" i="11"/>
  <c r="AA35" i="74"/>
  <c r="EA45" i="41"/>
  <c r="CC28" i="12"/>
  <c r="EA32" i="35"/>
  <c r="I22" i="74"/>
  <c r="EA26" i="43"/>
  <c r="CB30" i="13"/>
  <c r="BZ30" i="13" s="1"/>
  <c r="CA30" i="13" s="1"/>
  <c r="AG16" i="74"/>
  <c r="AF54" i="45"/>
  <c r="DU28" i="37"/>
  <c r="DV28" i="37"/>
  <c r="CB31" i="7"/>
  <c r="BZ31" i="7" s="1"/>
  <c r="CA31" i="7" s="1"/>
  <c r="EB35" i="37"/>
  <c r="CG35" i="37"/>
  <c r="E74" i="37" s="1"/>
  <c r="EA21" i="37"/>
  <c r="O11" i="74"/>
  <c r="EA32" i="36"/>
  <c r="L22" i="74"/>
  <c r="AB54" i="38"/>
  <c r="AD14" i="74"/>
  <c r="EA24" i="42"/>
  <c r="R10" i="74"/>
  <c r="EA20" i="38"/>
  <c r="AJ12" i="74"/>
  <c r="EA22" i="44"/>
  <c r="AL71" i="8"/>
  <c r="E10" i="16" s="1"/>
  <c r="DW51" i="9"/>
  <c r="DU42" i="42"/>
  <c r="FG58" i="15" a="1"/>
  <c r="FG58" i="15" s="1"/>
  <c r="EA51" i="15"/>
  <c r="AA36" i="74"/>
  <c r="EA46" i="41"/>
  <c r="R27" i="74"/>
  <c r="EA37" i="38"/>
  <c r="CB30" i="8"/>
  <c r="BZ30" i="8" s="1"/>
  <c r="CA30" i="8" s="1"/>
  <c r="EA46" i="39"/>
  <c r="U36" i="74"/>
  <c r="X10" i="74"/>
  <c r="CB29" i="10"/>
  <c r="BZ29" i="10" s="1"/>
  <c r="CA29" i="10" s="1"/>
  <c r="EA20" i="40"/>
  <c r="CB30" i="11"/>
  <c r="BZ30" i="11" s="1"/>
  <c r="CA30" i="11" s="1"/>
  <c r="AA21" i="74"/>
  <c r="EA31" i="41"/>
  <c r="AJ29" i="74"/>
  <c r="EA39" i="44"/>
  <c r="AF54" i="37"/>
  <c r="EA21" i="39"/>
  <c r="U11" i="74"/>
  <c r="CG31" i="18"/>
  <c r="E70" i="18" s="1"/>
  <c r="EB31" i="18"/>
  <c r="AA13" i="74"/>
  <c r="EA23" i="41"/>
  <c r="X20" i="74"/>
  <c r="EA30" i="40"/>
  <c r="AD17" i="74"/>
  <c r="EA27" i="42"/>
  <c r="CB29" i="8"/>
  <c r="BZ29" i="8" s="1"/>
  <c r="CA29" i="8" s="1"/>
  <c r="EA25" i="38"/>
  <c r="R15" i="74"/>
  <c r="AM21" i="74"/>
  <c r="EA31" i="45"/>
  <c r="AL71" i="11"/>
  <c r="E13" i="16" s="1"/>
  <c r="AM51" i="4"/>
  <c r="DV29" i="40"/>
  <c r="DU29" i="40"/>
  <c r="AL70" i="6"/>
  <c r="D8" i="16" s="1"/>
  <c r="CB28" i="8"/>
  <c r="V35" i="35"/>
  <c r="T35" i="35" s="1"/>
  <c r="AA35" i="35" s="1"/>
  <c r="AB36" i="35"/>
  <c r="AF36" i="35" s="1"/>
  <c r="CB29" i="12"/>
  <c r="BZ29" i="12" s="1"/>
  <c r="CA29" i="12" s="1"/>
  <c r="AD11" i="74"/>
  <c r="EA21" i="42"/>
  <c r="EF19" i="6"/>
  <c r="AF53" i="35"/>
  <c r="V35" i="42"/>
  <c r="T35" i="42" s="1"/>
  <c r="AA35" i="42" s="1"/>
  <c r="AB36" i="42"/>
  <c r="AF36" i="42" s="1"/>
  <c r="FG58" i="14" a="1"/>
  <c r="FG58" i="14" s="1"/>
  <c r="DX51" i="14"/>
  <c r="DY51" i="14"/>
  <c r="AD9" i="74"/>
  <c r="CD32" i="11"/>
  <c r="EA19" i="42"/>
  <c r="EF19" i="12"/>
  <c r="AM51" i="12"/>
  <c r="CB28" i="12"/>
  <c r="DY51" i="12"/>
  <c r="U16" i="74"/>
  <c r="EA26" i="39"/>
  <c r="CG33" i="45"/>
  <c r="EB33" i="45"/>
  <c r="AM22" i="74"/>
  <c r="EA32" i="45"/>
  <c r="CB29" i="5"/>
  <c r="BZ29" i="5" s="1"/>
  <c r="CA29" i="5" s="1"/>
  <c r="O30" i="38"/>
  <c r="DK40" i="8"/>
  <c r="BZ74" i="8" s="1"/>
  <c r="BQ9" i="59" s="1"/>
  <c r="O33" i="38"/>
  <c r="P30" i="38"/>
  <c r="P33" i="38"/>
  <c r="R54" i="38" s="1"/>
  <c r="T26" i="8" s="1"/>
  <c r="O16" i="74"/>
  <c r="EA26" i="37"/>
  <c r="T5" i="59"/>
  <c r="AH93" i="5"/>
  <c r="X14" i="74"/>
  <c r="EA24" i="40"/>
  <c r="I19" i="74"/>
  <c r="EA29" i="35"/>
  <c r="CP53" i="38"/>
  <c r="CO53" i="37"/>
  <c r="AG21" i="74"/>
  <c r="EA31" i="43"/>
  <c r="CG32" i="42"/>
  <c r="EB32" i="42"/>
  <c r="AB36" i="43"/>
  <c r="AF36" i="43" s="1"/>
  <c r="V35" i="43"/>
  <c r="T35" i="43" s="1"/>
  <c r="AA35" i="43" s="1"/>
  <c r="EA22" i="36"/>
  <c r="L12" i="74"/>
  <c r="CC28" i="15"/>
  <c r="AD28" i="74"/>
  <c r="EA38" i="42"/>
  <c r="X21" i="74"/>
  <c r="EA31" i="40"/>
  <c r="CG47" i="38"/>
  <c r="E86" i="38" s="1"/>
  <c r="EB47" i="38"/>
  <c r="DS48" i="41"/>
  <c r="DU48" i="41"/>
  <c r="DV48" i="41"/>
  <c r="AG33" i="74"/>
  <c r="EA43" i="43"/>
  <c r="CB32" i="13"/>
  <c r="CG42" i="38"/>
  <c r="E81" i="38" s="1"/>
  <c r="EB42" i="38"/>
  <c r="CG26" i="18"/>
  <c r="E65" i="18" s="1"/>
  <c r="EB26" i="18"/>
  <c r="AL69" i="7"/>
  <c r="O9" i="16" s="1"/>
  <c r="P9" i="16" s="1"/>
  <c r="R9" i="16" s="1"/>
  <c r="H9" i="16" s="1"/>
  <c r="AL70" i="7"/>
  <c r="D9" i="16" s="1"/>
  <c r="AL71" i="7"/>
  <c r="E9" i="16" s="1"/>
  <c r="DW51" i="7"/>
  <c r="EA51" i="7"/>
  <c r="V35" i="38"/>
  <c r="T35" i="38" s="1"/>
  <c r="AA35" i="38" s="1"/>
  <c r="AB36" i="38"/>
  <c r="AF36" i="38" s="1"/>
  <c r="AD33" i="74"/>
  <c r="EA43" i="42"/>
  <c r="CB32" i="12"/>
  <c r="CC28" i="13"/>
  <c r="EB34" i="37"/>
  <c r="CG34" i="37"/>
  <c r="E73" i="37" s="1"/>
  <c r="AF48" i="38"/>
  <c r="AF54" i="38" s="1"/>
  <c r="CG40" i="40"/>
  <c r="EB40" i="40"/>
  <c r="EA24" i="38"/>
  <c r="R14" i="74"/>
  <c r="I28" i="74"/>
  <c r="EA38" i="35"/>
  <c r="EF19" i="10"/>
  <c r="EA27" i="38"/>
  <c r="R17" i="74"/>
  <c r="DU45" i="38"/>
  <c r="DV45" i="38"/>
  <c r="U9" i="74"/>
  <c r="CD32" i="8"/>
  <c r="CB28" i="9"/>
  <c r="AM51" i="9"/>
  <c r="EF19" i="9"/>
  <c r="EA19" i="39"/>
  <c r="DK40" i="4"/>
  <c r="BZ74" i="4" s="1"/>
  <c r="BQ5" i="59" s="1"/>
  <c r="O33" i="18"/>
  <c r="O30" i="18"/>
  <c r="P33" i="18"/>
  <c r="R54" i="18" s="1"/>
  <c r="T26" i="4" s="1"/>
  <c r="P30" i="18"/>
  <c r="EB25" i="41"/>
  <c r="CG25" i="41"/>
  <c r="AM36" i="74"/>
  <c r="EA46" i="45"/>
  <c r="AD26" i="74"/>
  <c r="EA36" i="42"/>
  <c r="X12" i="74"/>
  <c r="EA22" i="40"/>
  <c r="AM9" i="74"/>
  <c r="EF19" i="15"/>
  <c r="AM51" i="15"/>
  <c r="CD32" i="14"/>
  <c r="CB28" i="15"/>
  <c r="EA19" i="45"/>
  <c r="DY51" i="15"/>
  <c r="AJ10" i="74"/>
  <c r="EA20" i="44"/>
  <c r="EA31" i="39"/>
  <c r="U21" i="74"/>
  <c r="DK40" i="10"/>
  <c r="BZ74" i="10" s="1"/>
  <c r="BQ11" i="59" s="1"/>
  <c r="O33" i="40"/>
  <c r="O30" i="40"/>
  <c r="P33" i="40"/>
  <c r="R54" i="40" s="1"/>
  <c r="T26" i="10" s="1"/>
  <c r="P30" i="40"/>
  <c r="AB36" i="18"/>
  <c r="AF36" i="18" s="1"/>
  <c r="V35" i="18"/>
  <c r="T35" i="18" s="1"/>
  <c r="AA35" i="18" s="1"/>
  <c r="CB29" i="4"/>
  <c r="BZ29" i="4" s="1"/>
  <c r="CA29" i="4" s="1"/>
  <c r="EA43" i="41"/>
  <c r="AA33" i="74"/>
  <c r="DV41" i="41"/>
  <c r="P30" i="42"/>
  <c r="AM51" i="8"/>
  <c r="DU38" i="37"/>
  <c r="DV38" i="37"/>
  <c r="AM26" i="74"/>
  <c r="EA36" i="45"/>
  <c r="CB31" i="15"/>
  <c r="BZ31" i="15" s="1"/>
  <c r="AJ9" i="74"/>
  <c r="AM51" i="14"/>
  <c r="CB28" i="14"/>
  <c r="CD33" i="13"/>
  <c r="EF19" i="14"/>
  <c r="EA19" i="44"/>
  <c r="EA51" i="14"/>
  <c r="FG58" i="12" a="1"/>
  <c r="FG58" i="12" s="1"/>
  <c r="DU51" i="12"/>
  <c r="AG10" i="74"/>
  <c r="EA20" i="43"/>
  <c r="AM51" i="13"/>
  <c r="EF19" i="13"/>
  <c r="CB29" i="13"/>
  <c r="BZ29" i="13" s="1"/>
  <c r="CA29" i="13" s="1"/>
  <c r="AA20" i="74"/>
  <c r="EA30" i="41"/>
  <c r="CC28" i="7"/>
  <c r="EA44" i="36"/>
  <c r="L34" i="74"/>
  <c r="CB32" i="6"/>
  <c r="I26" i="74"/>
  <c r="EA36" i="35"/>
  <c r="L14" i="74"/>
  <c r="EA24" i="36"/>
  <c r="CB29" i="6"/>
  <c r="BZ29" i="6" s="1"/>
  <c r="CA29" i="6" s="1"/>
  <c r="EA22" i="39"/>
  <c r="U12" i="74"/>
  <c r="CB29" i="9"/>
  <c r="BZ29" i="9" s="1"/>
  <c r="CA29" i="9" s="1"/>
  <c r="EA32" i="39"/>
  <c r="U22" i="74"/>
  <c r="R34" i="74"/>
  <c r="EA44" i="38"/>
  <c r="EA37" i="18"/>
  <c r="F27" i="74"/>
  <c r="EA36" i="43"/>
  <c r="AG26" i="74"/>
  <c r="AA34" i="74"/>
  <c r="EA44" i="41"/>
  <c r="CB30" i="15"/>
  <c r="BZ30" i="15" s="1"/>
  <c r="F24" i="74"/>
  <c r="EA34" i="18"/>
  <c r="CB31" i="4"/>
  <c r="BZ31" i="4" s="1"/>
  <c r="CA31" i="4" s="1"/>
  <c r="AB54" i="44"/>
  <c r="O15" i="74"/>
  <c r="EA25" i="37"/>
  <c r="CB31" i="5"/>
  <c r="BZ31" i="5" s="1"/>
  <c r="CA31" i="5" s="1"/>
  <c r="I27" i="74"/>
  <c r="EA37" i="35"/>
  <c r="AM24" i="74"/>
  <c r="EA34" i="45"/>
  <c r="EA43" i="45"/>
  <c r="AM33" i="74"/>
  <c r="F22" i="74"/>
  <c r="EA32" i="18"/>
  <c r="AD21" i="74"/>
  <c r="EA31" i="42"/>
  <c r="I10" i="74"/>
  <c r="EA20" i="35"/>
  <c r="CB28" i="5"/>
  <c r="CD33" i="4"/>
  <c r="EF19" i="5"/>
  <c r="AM51" i="5"/>
  <c r="AL70" i="5"/>
  <c r="D7" i="16" s="1"/>
  <c r="AL69" i="5"/>
  <c r="O7" i="16" s="1"/>
  <c r="P7" i="16" s="1"/>
  <c r="R7" i="16" s="1"/>
  <c r="H7" i="16" s="1"/>
  <c r="AL71" i="5"/>
  <c r="E7" i="16" s="1"/>
  <c r="I34" i="74"/>
  <c r="EA44" i="35"/>
  <c r="CC28" i="6"/>
  <c r="CB32" i="5"/>
  <c r="EA41" i="39"/>
  <c r="U31" i="74"/>
  <c r="EA29" i="41"/>
  <c r="AA19" i="74"/>
  <c r="F38" i="74"/>
  <c r="EA48" i="18"/>
  <c r="CB33" i="4"/>
  <c r="CC28" i="5"/>
  <c r="I11" i="74"/>
  <c r="EA21" i="35"/>
  <c r="V35" i="36"/>
  <c r="T35" i="36" s="1"/>
  <c r="AA35" i="36" s="1"/>
  <c r="AB36" i="36"/>
  <c r="AF36" i="36" s="1"/>
  <c r="DU46" i="35"/>
  <c r="DV46" i="35"/>
  <c r="EA34" i="35"/>
  <c r="I24" i="74"/>
  <c r="EA30" i="38"/>
  <c r="R20" i="74"/>
  <c r="O9" i="74"/>
  <c r="EA19" i="37"/>
  <c r="CB28" i="7"/>
  <c r="CD32" i="6"/>
  <c r="EF19" i="7"/>
  <c r="AM51" i="7"/>
  <c r="DY51" i="7"/>
  <c r="EA48" i="36"/>
  <c r="L38" i="74"/>
  <c r="EA40" i="39"/>
  <c r="U30" i="74"/>
  <c r="L29" i="74"/>
  <c r="EA39" i="36"/>
  <c r="AA12" i="74"/>
  <c r="EA22" i="41"/>
  <c r="EA20" i="36"/>
  <c r="L10" i="74"/>
  <c r="F35" i="74"/>
  <c r="EA45" i="18"/>
  <c r="F15" i="74"/>
  <c r="EA25" i="18"/>
  <c r="AJ33" i="74"/>
  <c r="EA43" i="44"/>
  <c r="AA28" i="74"/>
  <c r="CB31" i="11"/>
  <c r="BZ31" i="11" s="1"/>
  <c r="CA31" i="11" s="1"/>
  <c r="EA38" i="41"/>
  <c r="AA29" i="74"/>
  <c r="EA39" i="41"/>
  <c r="EA43" i="36"/>
  <c r="L33" i="74"/>
  <c r="V35" i="41"/>
  <c r="T35" i="41" s="1"/>
  <c r="AA35" i="41" s="1"/>
  <c r="AB36" i="41"/>
  <c r="AF36" i="41" s="1"/>
  <c r="AA22" i="74"/>
  <c r="EA32" i="41"/>
  <c r="CB31" i="10"/>
  <c r="BZ31" i="10" s="1"/>
  <c r="CA31" i="10" s="1"/>
  <c r="G62" i="37" l="1"/>
  <c r="CG24" i="18"/>
  <c r="E63" i="18" s="1"/>
  <c r="CG23" i="36"/>
  <c r="E62" i="36" s="1"/>
  <c r="EB23" i="37"/>
  <c r="DV23" i="37" s="1"/>
  <c r="DV23" i="36"/>
  <c r="CG43" i="38"/>
  <c r="E82" i="38" s="1"/>
  <c r="EB22" i="37"/>
  <c r="DV22" i="37" s="1"/>
  <c r="G80" i="35"/>
  <c r="EB30" i="43"/>
  <c r="DU30" i="43" s="1"/>
  <c r="CG27" i="44"/>
  <c r="EB27" i="44"/>
  <c r="G72" i="37"/>
  <c r="EB41" i="35"/>
  <c r="DU41" i="35" s="1"/>
  <c r="DV23" i="45"/>
  <c r="CG39" i="39"/>
  <c r="EB47" i="18"/>
  <c r="DV47" i="18" s="1"/>
  <c r="CG23" i="45"/>
  <c r="CG24" i="45"/>
  <c r="BZ33" i="14"/>
  <c r="CA33" i="14" s="1"/>
  <c r="EB33" i="37"/>
  <c r="DU33" i="37" s="1"/>
  <c r="EB33" i="40"/>
  <c r="DV33" i="40" s="1"/>
  <c r="H77" i="18"/>
  <c r="H86" i="18"/>
  <c r="EB28" i="35"/>
  <c r="CG28" i="35"/>
  <c r="E67" i="35" s="1"/>
  <c r="DV35" i="45"/>
  <c r="CG41" i="41"/>
  <c r="EB38" i="18"/>
  <c r="DU38" i="18" s="1"/>
  <c r="EB44" i="39"/>
  <c r="DU44" i="39" s="1"/>
  <c r="EB26" i="36"/>
  <c r="DV26" i="36" s="1"/>
  <c r="EB38" i="39"/>
  <c r="DV38" i="39" s="1"/>
  <c r="G77" i="18"/>
  <c r="CG39" i="45"/>
  <c r="EB39" i="45"/>
  <c r="EB35" i="18"/>
  <c r="CG35" i="18"/>
  <c r="E74" i="18" s="1"/>
  <c r="EB24" i="37"/>
  <c r="CG24" i="37"/>
  <c r="E63" i="37" s="1"/>
  <c r="EB24" i="35"/>
  <c r="CG24" i="35"/>
  <c r="E63" i="35" s="1"/>
  <c r="CG25" i="40"/>
  <c r="EB25" i="40"/>
  <c r="CG40" i="18"/>
  <c r="E79" i="18" s="1"/>
  <c r="EB40" i="18"/>
  <c r="EG33" i="14"/>
  <c r="AL99" i="14" s="1"/>
  <c r="E11" i="85"/>
  <c r="BY44" i="11"/>
  <c r="B65" i="11" s="1"/>
  <c r="DU33" i="38"/>
  <c r="EB44" i="42"/>
  <c r="DV44" i="42" s="1"/>
  <c r="BZ33" i="15"/>
  <c r="CA33" i="15" s="1"/>
  <c r="DU33" i="39"/>
  <c r="CG45" i="39"/>
  <c r="DK40" i="11"/>
  <c r="BZ74" i="11" s="1"/>
  <c r="BQ12" i="59" s="1"/>
  <c r="P30" i="37"/>
  <c r="P23" i="37" s="1"/>
  <c r="O33" i="37"/>
  <c r="CG47" i="41"/>
  <c r="AF54" i="41"/>
  <c r="AB54" i="36"/>
  <c r="AB54" i="35"/>
  <c r="BZ32" i="12"/>
  <c r="CA32" i="12" s="1"/>
  <c r="O30" i="41"/>
  <c r="O33" i="41"/>
  <c r="DK40" i="7"/>
  <c r="BZ74" i="7" s="1"/>
  <c r="BQ8" i="59" s="1"/>
  <c r="AF54" i="36"/>
  <c r="AB54" i="41"/>
  <c r="BZ33" i="9"/>
  <c r="CA33" i="9" s="1"/>
  <c r="BZ33" i="6"/>
  <c r="CA33" i="6" s="1"/>
  <c r="AF54" i="40"/>
  <c r="CJ28" i="15"/>
  <c r="CI28" i="15"/>
  <c r="G67" i="37"/>
  <c r="CG24" i="39"/>
  <c r="EB27" i="45"/>
  <c r="DU27" i="45" s="1"/>
  <c r="DV44" i="40"/>
  <c r="DW44" i="40" s="1"/>
  <c r="CG30" i="39"/>
  <c r="DU37" i="39"/>
  <c r="DW37" i="39" s="1"/>
  <c r="EB47" i="36"/>
  <c r="DU47" i="36" s="1"/>
  <c r="EB48" i="35"/>
  <c r="DS48" i="35" s="1"/>
  <c r="DS47" i="35" s="1"/>
  <c r="DS46" i="35" s="1"/>
  <c r="DV29" i="44"/>
  <c r="CG43" i="18"/>
  <c r="E82" i="18" s="1"/>
  <c r="F82" i="18" s="1"/>
  <c r="CG46" i="43"/>
  <c r="DU27" i="43"/>
  <c r="DW27" i="43" s="1"/>
  <c r="DV26" i="44"/>
  <c r="DW26" i="44" s="1"/>
  <c r="E85" i="18"/>
  <c r="G85" i="18" s="1"/>
  <c r="AF54" i="35"/>
  <c r="BT28" i="18"/>
  <c r="BT41" i="18" s="1"/>
  <c r="BR46" i="18"/>
  <c r="BQ46" i="18"/>
  <c r="EB48" i="38"/>
  <c r="DS48" i="38" s="1"/>
  <c r="DS47" i="38" s="1"/>
  <c r="DS46" i="38" s="1"/>
  <c r="DS45" i="38" s="1"/>
  <c r="CG44" i="37"/>
  <c r="E83" i="37" s="1"/>
  <c r="G83" i="37" s="1"/>
  <c r="CG39" i="42"/>
  <c r="AB54" i="40"/>
  <c r="G87" i="38"/>
  <c r="F87" i="38"/>
  <c r="G73" i="37"/>
  <c r="F73" i="37"/>
  <c r="F65" i="18"/>
  <c r="G65" i="18"/>
  <c r="H65" i="18"/>
  <c r="F81" i="38"/>
  <c r="G81" i="38"/>
  <c r="F86" i="38"/>
  <c r="G86" i="38"/>
  <c r="F74" i="37"/>
  <c r="G74" i="37"/>
  <c r="F81" i="18"/>
  <c r="G81" i="18"/>
  <c r="H81" i="18"/>
  <c r="F58" i="36"/>
  <c r="G58" i="36"/>
  <c r="F61" i="35"/>
  <c r="G61" i="35"/>
  <c r="G68" i="37"/>
  <c r="F68" i="37"/>
  <c r="F70" i="37"/>
  <c r="G70" i="37"/>
  <c r="G73" i="36"/>
  <c r="F73" i="36"/>
  <c r="F75" i="37"/>
  <c r="G75" i="37"/>
  <c r="G85" i="35"/>
  <c r="F85" i="35"/>
  <c r="G86" i="37"/>
  <c r="F86" i="37"/>
  <c r="F77" i="37"/>
  <c r="G77" i="37"/>
  <c r="G79" i="36"/>
  <c r="F79" i="36"/>
  <c r="F67" i="18"/>
  <c r="H67" i="18"/>
  <c r="G67" i="18"/>
  <c r="G72" i="36"/>
  <c r="F72" i="36"/>
  <c r="G74" i="38"/>
  <c r="F74" i="38"/>
  <c r="G82" i="18"/>
  <c r="F70" i="18"/>
  <c r="G70" i="18"/>
  <c r="H70" i="18"/>
  <c r="F65" i="35"/>
  <c r="G65" i="35"/>
  <c r="F60" i="38"/>
  <c r="G60" i="38"/>
  <c r="G86" i="36"/>
  <c r="F86" i="36"/>
  <c r="G58" i="18"/>
  <c r="H58" i="18"/>
  <c r="F58" i="18"/>
  <c r="F58" i="38"/>
  <c r="G58" i="38"/>
  <c r="F73" i="38"/>
  <c r="G73" i="38"/>
  <c r="F82" i="38"/>
  <c r="G82" i="38"/>
  <c r="F63" i="18"/>
  <c r="G63" i="18"/>
  <c r="H63" i="18"/>
  <c r="F84" i="38"/>
  <c r="G84" i="38"/>
  <c r="F83" i="18"/>
  <c r="G83" i="18"/>
  <c r="H83" i="18"/>
  <c r="F75" i="38"/>
  <c r="G75" i="38"/>
  <c r="G71" i="38"/>
  <c r="F71" i="38"/>
  <c r="G78" i="18"/>
  <c r="H78" i="18"/>
  <c r="F78" i="18"/>
  <c r="F68" i="18"/>
  <c r="H68" i="18"/>
  <c r="G68" i="18"/>
  <c r="CJ32" i="15"/>
  <c r="CI32" i="15"/>
  <c r="CJ29" i="15"/>
  <c r="CI29" i="15"/>
  <c r="CJ30" i="15"/>
  <c r="CI30" i="15"/>
  <c r="CJ31" i="15"/>
  <c r="CI31" i="15"/>
  <c r="O30" i="45"/>
  <c r="CJ33" i="15"/>
  <c r="CI33" i="15"/>
  <c r="AL73" i="13"/>
  <c r="Z73" i="13"/>
  <c r="AL73" i="15"/>
  <c r="Z73" i="15"/>
  <c r="AL73" i="9"/>
  <c r="Z73" i="9"/>
  <c r="AL73" i="11"/>
  <c r="Z73" i="11"/>
  <c r="Z73" i="6"/>
  <c r="AL73" i="6"/>
  <c r="Z73" i="8"/>
  <c r="AL73" i="8"/>
  <c r="Z73" i="12"/>
  <c r="AL73" i="12"/>
  <c r="Z73" i="4"/>
  <c r="AL73" i="4"/>
  <c r="AL73" i="7"/>
  <c r="Z73" i="7"/>
  <c r="Z73" i="5"/>
  <c r="AL73" i="5"/>
  <c r="Z73" i="14"/>
  <c r="AL73" i="14"/>
  <c r="Z73" i="10"/>
  <c r="AL73" i="10"/>
  <c r="EB45" i="43"/>
  <c r="DU45" i="43" s="1"/>
  <c r="EB37" i="43"/>
  <c r="DU37" i="43" s="1"/>
  <c r="EB33" i="36"/>
  <c r="DU33" i="36" s="1"/>
  <c r="EB35" i="44"/>
  <c r="DU35" i="44" s="1"/>
  <c r="DK40" i="12"/>
  <c r="BZ74" i="12" s="1"/>
  <c r="BQ13" i="59" s="1"/>
  <c r="EB44" i="43"/>
  <c r="DV44" i="43" s="1"/>
  <c r="O30" i="42"/>
  <c r="P33" i="42"/>
  <c r="R54" i="42" s="1"/>
  <c r="T26" i="12" s="1"/>
  <c r="DP24" i="12" s="1"/>
  <c r="AD75" i="74" s="1"/>
  <c r="AW13" i="59" s="1"/>
  <c r="CG42" i="43"/>
  <c r="R63" i="4"/>
  <c r="T63" i="4" s="1"/>
  <c r="CG30" i="18"/>
  <c r="E69" i="18" s="1"/>
  <c r="DV27" i="41"/>
  <c r="DW27" i="41" s="1"/>
  <c r="CG23" i="42"/>
  <c r="EB35" i="38"/>
  <c r="DV35" i="38" s="1"/>
  <c r="CG40" i="44"/>
  <c r="CG35" i="42"/>
  <c r="CG27" i="43"/>
  <c r="CG40" i="35"/>
  <c r="E79" i="35" s="1"/>
  <c r="EB28" i="42"/>
  <c r="DV28" i="42" s="1"/>
  <c r="DU33" i="40"/>
  <c r="DW33" i="40" s="1"/>
  <c r="EB20" i="45"/>
  <c r="DV20" i="45" s="1"/>
  <c r="EB22" i="42"/>
  <c r="DV22" i="42" s="1"/>
  <c r="CG28" i="38"/>
  <c r="E67" i="38" s="1"/>
  <c r="EB21" i="44"/>
  <c r="DU21" i="44" s="1"/>
  <c r="CG41" i="40"/>
  <c r="EB28" i="39"/>
  <c r="DV28" i="39" s="1"/>
  <c r="CG25" i="43"/>
  <c r="CG45" i="45"/>
  <c r="EB40" i="36"/>
  <c r="DU40" i="36" s="1"/>
  <c r="EB39" i="40"/>
  <c r="DV39" i="40" s="1"/>
  <c r="EB48" i="44"/>
  <c r="DS48" i="44" s="1"/>
  <c r="DV42" i="43"/>
  <c r="DW42" i="43" s="1"/>
  <c r="CG41" i="44"/>
  <c r="DU22" i="37"/>
  <c r="DW22" i="37" s="1"/>
  <c r="EB28" i="45"/>
  <c r="DV28" i="45" s="1"/>
  <c r="DU44" i="45"/>
  <c r="DW44" i="45" s="1"/>
  <c r="DV31" i="44"/>
  <c r="DW31" i="44" s="1"/>
  <c r="DU37" i="42"/>
  <c r="DW37" i="42" s="1"/>
  <c r="EB34" i="36"/>
  <c r="DV34" i="36" s="1"/>
  <c r="EB34" i="41"/>
  <c r="DV34" i="41" s="1"/>
  <c r="EB39" i="18"/>
  <c r="DV39" i="18" s="1"/>
  <c r="CG32" i="37"/>
  <c r="E71" i="37" s="1"/>
  <c r="CG40" i="41"/>
  <c r="CG46" i="38"/>
  <c r="E85" i="38" s="1"/>
  <c r="DU38" i="45"/>
  <c r="DW38" i="45" s="1"/>
  <c r="EB25" i="39"/>
  <c r="DU25" i="39" s="1"/>
  <c r="D12" i="85"/>
  <c r="EB47" i="37"/>
  <c r="DV47" i="37" s="1"/>
  <c r="EB35" i="40"/>
  <c r="DV35" i="40" s="1"/>
  <c r="EB21" i="45"/>
  <c r="DV21" i="45" s="1"/>
  <c r="EB44" i="18"/>
  <c r="DU44" i="18" s="1"/>
  <c r="CG23" i="44"/>
  <c r="D15" i="85"/>
  <c r="EB22" i="43"/>
  <c r="DU22" i="43" s="1"/>
  <c r="DV36" i="40"/>
  <c r="DW36" i="40" s="1"/>
  <c r="CG37" i="41"/>
  <c r="CG41" i="38"/>
  <c r="E80" i="38" s="1"/>
  <c r="D13" i="85"/>
  <c r="D14" i="85"/>
  <c r="B94" i="40"/>
  <c r="D16" i="85"/>
  <c r="D10" i="85"/>
  <c r="B93" i="41"/>
  <c r="F84" i="36"/>
  <c r="G84" i="36"/>
  <c r="F81" i="36"/>
  <c r="G81" i="36"/>
  <c r="AD48" i="18"/>
  <c r="AA48" i="18" s="1"/>
  <c r="AB48" i="18" s="1"/>
  <c r="F62" i="36"/>
  <c r="G62" i="36"/>
  <c r="CV11" i="59"/>
  <c r="CG48" i="39"/>
  <c r="CP53" i="40" s="1"/>
  <c r="DV29" i="42"/>
  <c r="DW29" i="42" s="1"/>
  <c r="DV35" i="41"/>
  <c r="DW35" i="41" s="1"/>
  <c r="CG47" i="35"/>
  <c r="CO53" i="35" s="1"/>
  <c r="CM53" i="35" s="1"/>
  <c r="CN53" i="35" s="1"/>
  <c r="CR53" i="35" s="1"/>
  <c r="DU47" i="35"/>
  <c r="DW47" i="35" s="1"/>
  <c r="CG30" i="35"/>
  <c r="E69" i="35" s="1"/>
  <c r="B93" i="43"/>
  <c r="DV47" i="39"/>
  <c r="DW47" i="39" s="1"/>
  <c r="DU38" i="39"/>
  <c r="DW38" i="39" s="1"/>
  <c r="DU23" i="37"/>
  <c r="DW23" i="37" s="1"/>
  <c r="B93" i="42"/>
  <c r="B93" i="44"/>
  <c r="B93" i="45"/>
  <c r="B93" i="40"/>
  <c r="B93" i="39"/>
  <c r="FG59" i="9" a="1"/>
  <c r="FG59" i="9" s="1"/>
  <c r="R64" i="9" s="1"/>
  <c r="T64" i="9" s="1"/>
  <c r="BE145" i="6"/>
  <c r="BE143" i="11"/>
  <c r="BE144" i="5"/>
  <c r="BE145" i="5"/>
  <c r="BE147" i="5"/>
  <c r="BE143" i="5"/>
  <c r="BE146" i="5"/>
  <c r="BE142" i="5"/>
  <c r="BE145" i="13"/>
  <c r="BE144" i="13"/>
  <c r="BE146" i="13"/>
  <c r="BE147" i="13"/>
  <c r="BE143" i="13"/>
  <c r="BE142" i="13"/>
  <c r="BE147" i="12"/>
  <c r="BE145" i="12"/>
  <c r="BE142" i="12"/>
  <c r="BE146" i="12"/>
  <c r="BE143" i="12"/>
  <c r="BE144" i="12"/>
  <c r="BE145" i="11"/>
  <c r="BE147" i="11"/>
  <c r="BE142" i="6"/>
  <c r="BE142" i="11"/>
  <c r="BE144" i="11"/>
  <c r="BE147" i="6"/>
  <c r="BE143" i="4"/>
  <c r="BE142" i="4"/>
  <c r="BE145" i="4"/>
  <c r="BE146" i="4"/>
  <c r="BE147" i="4"/>
  <c r="BE144" i="4"/>
  <c r="BE143" i="15"/>
  <c r="BE142" i="15"/>
  <c r="BE145" i="15"/>
  <c r="BE146" i="15"/>
  <c r="BE144" i="15"/>
  <c r="BE147" i="15"/>
  <c r="BE143" i="7"/>
  <c r="BE146" i="7"/>
  <c r="BE147" i="7"/>
  <c r="BE144" i="7"/>
  <c r="BE142" i="7"/>
  <c r="BE145" i="7"/>
  <c r="BE142" i="9"/>
  <c r="BE144" i="9"/>
  <c r="BE147" i="9"/>
  <c r="BE146" i="9"/>
  <c r="BE143" i="9"/>
  <c r="BE145" i="9"/>
  <c r="BE146" i="11"/>
  <c r="BE144" i="6"/>
  <c r="BE146" i="6"/>
  <c r="BE144" i="10"/>
  <c r="BE142" i="10"/>
  <c r="BE147" i="10"/>
  <c r="BE145" i="10"/>
  <c r="BE143" i="10"/>
  <c r="BE146" i="10"/>
  <c r="BE147" i="8"/>
  <c r="BE146" i="8"/>
  <c r="BE144" i="8"/>
  <c r="BE145" i="8"/>
  <c r="BE143" i="8"/>
  <c r="BE142" i="8"/>
  <c r="BE142" i="14"/>
  <c r="BE146" i="14"/>
  <c r="BE147" i="14"/>
  <c r="BE144" i="14"/>
  <c r="BE143" i="14"/>
  <c r="BE145" i="14"/>
  <c r="BE143" i="6"/>
  <c r="P33" i="41"/>
  <c r="R54" i="41" s="1"/>
  <c r="T26" i="11" s="1"/>
  <c r="DP24" i="11" s="1"/>
  <c r="AA75" i="74" s="1"/>
  <c r="AW12" i="59" s="1"/>
  <c r="P30" i="43"/>
  <c r="EB19" i="38"/>
  <c r="DR19" i="38" s="1"/>
  <c r="DK40" i="9"/>
  <c r="BZ74" i="9" s="1"/>
  <c r="BQ10" i="59" s="1"/>
  <c r="DS48" i="45"/>
  <c r="DK40" i="13"/>
  <c r="BZ74" i="13" s="1"/>
  <c r="BQ14" i="59" s="1"/>
  <c r="O33" i="45"/>
  <c r="CG27" i="35"/>
  <c r="E66" i="35" s="1"/>
  <c r="P30" i="39"/>
  <c r="P23" i="39" s="1"/>
  <c r="O30" i="39"/>
  <c r="DU48" i="45"/>
  <c r="DW48" i="45" s="1"/>
  <c r="DV30" i="42"/>
  <c r="DW30" i="42" s="1"/>
  <c r="O30" i="43"/>
  <c r="P33" i="43"/>
  <c r="R54" i="43" s="1"/>
  <c r="T26" i="13" s="1"/>
  <c r="DP24" i="13" s="1"/>
  <c r="AG75" i="74" s="1"/>
  <c r="AW14" i="59" s="1"/>
  <c r="P30" i="45"/>
  <c r="R52" i="45" s="1"/>
  <c r="T25" i="15" s="1"/>
  <c r="Z74" i="15" s="1"/>
  <c r="DK40" i="15"/>
  <c r="BZ74" i="15" s="1"/>
  <c r="BQ16" i="59" s="1"/>
  <c r="CG20" i="37"/>
  <c r="E59" i="37" s="1"/>
  <c r="BZ28" i="9"/>
  <c r="CA28" i="9" s="1"/>
  <c r="DV34" i="42"/>
  <c r="DW34" i="42" s="1"/>
  <c r="DU26" i="36"/>
  <c r="DW26" i="36" s="1"/>
  <c r="EB24" i="41"/>
  <c r="DV24" i="41" s="1"/>
  <c r="CG39" i="37"/>
  <c r="E78" i="37" s="1"/>
  <c r="DV40" i="43"/>
  <c r="DW40" i="43" s="1"/>
  <c r="EB48" i="43"/>
  <c r="DV48" i="43" s="1"/>
  <c r="EB32" i="40"/>
  <c r="DV32" i="40" s="1"/>
  <c r="DU48" i="37"/>
  <c r="DW48" i="37" s="1"/>
  <c r="DV44" i="39"/>
  <c r="DW44" i="39" s="1"/>
  <c r="DS48" i="37"/>
  <c r="DU31" i="37"/>
  <c r="DW31" i="37" s="1"/>
  <c r="DV38" i="18"/>
  <c r="DW38" i="18" s="1"/>
  <c r="EB37" i="40"/>
  <c r="DV37" i="40" s="1"/>
  <c r="EB42" i="44"/>
  <c r="BZ32" i="13"/>
  <c r="CA32" i="13" s="1"/>
  <c r="DU32" i="44"/>
  <c r="DW32" i="44" s="1"/>
  <c r="EB46" i="18"/>
  <c r="DU46" i="18" s="1"/>
  <c r="EB34" i="38"/>
  <c r="DU34" i="38" s="1"/>
  <c r="EB34" i="43"/>
  <c r="DU34" i="43" s="1"/>
  <c r="P30" i="44"/>
  <c r="CG32" i="44"/>
  <c r="EB45" i="36"/>
  <c r="DV45" i="36" s="1"/>
  <c r="O33" i="44"/>
  <c r="CG24" i="43"/>
  <c r="DV30" i="43"/>
  <c r="DW30" i="43" s="1"/>
  <c r="DV23" i="39"/>
  <c r="DW23" i="39" s="1"/>
  <c r="CG19" i="40"/>
  <c r="CG40" i="42"/>
  <c r="CG29" i="45"/>
  <c r="DU47" i="18"/>
  <c r="DW47" i="18" s="1"/>
  <c r="CG45" i="40"/>
  <c r="EB25" i="42"/>
  <c r="DU25" i="42" s="1"/>
  <c r="CA29" i="15"/>
  <c r="BZ32" i="5"/>
  <c r="CA32" i="5" s="1"/>
  <c r="BZ32" i="8"/>
  <c r="CA32" i="8" s="1"/>
  <c r="BZ28" i="13"/>
  <c r="CA28" i="13" s="1"/>
  <c r="CG39" i="43"/>
  <c r="CG36" i="41"/>
  <c r="DV33" i="35"/>
  <c r="DW33" i="35" s="1"/>
  <c r="EB42" i="41"/>
  <c r="DU42" i="41" s="1"/>
  <c r="EB48" i="40"/>
  <c r="DU48" i="40" s="1"/>
  <c r="EB21" i="40"/>
  <c r="DU21" i="40" s="1"/>
  <c r="CG23" i="35"/>
  <c r="E62" i="35" s="1"/>
  <c r="EB33" i="44"/>
  <c r="CG33" i="44"/>
  <c r="CG36" i="18"/>
  <c r="E75" i="18" s="1"/>
  <c r="CA51" i="11"/>
  <c r="BC62" i="11" s="1"/>
  <c r="EB29" i="39"/>
  <c r="DU29" i="39" s="1"/>
  <c r="BZ32" i="10"/>
  <c r="CA32" i="10" s="1"/>
  <c r="DV28" i="41"/>
  <c r="DW28" i="41" s="1"/>
  <c r="BZ32" i="9"/>
  <c r="CA32" i="9" s="1"/>
  <c r="EB34" i="44"/>
  <c r="DV34" i="44" s="1"/>
  <c r="BZ28" i="11"/>
  <c r="CA28" i="11" s="1"/>
  <c r="BZ28" i="10"/>
  <c r="CA28" i="10" s="1"/>
  <c r="I12" i="16"/>
  <c r="B10" i="52" s="1"/>
  <c r="BY44" i="7"/>
  <c r="CA44" i="7" s="1"/>
  <c r="CA49" i="7" s="1"/>
  <c r="CG43" i="40"/>
  <c r="CG30" i="37"/>
  <c r="E69" i="37" s="1"/>
  <c r="CG37" i="45"/>
  <c r="EB42" i="36"/>
  <c r="DV42" i="36" s="1"/>
  <c r="CG26" i="42"/>
  <c r="EB26" i="42"/>
  <c r="CG28" i="44"/>
  <c r="EB28" i="44"/>
  <c r="EB46" i="44"/>
  <c r="CG46" i="44"/>
  <c r="CG23" i="38"/>
  <c r="E62" i="38" s="1"/>
  <c r="EB23" i="38"/>
  <c r="EB26" i="45"/>
  <c r="CG26" i="45"/>
  <c r="CG26" i="38"/>
  <c r="E65" i="38" s="1"/>
  <c r="EB26" i="38"/>
  <c r="EB19" i="41"/>
  <c r="CG19" i="41"/>
  <c r="CG23" i="18"/>
  <c r="E62" i="18" s="1"/>
  <c r="EB23" i="18"/>
  <c r="CG48" i="42"/>
  <c r="EB48" i="42"/>
  <c r="CG33" i="18"/>
  <c r="E72" i="18" s="1"/>
  <c r="EB33" i="18"/>
  <c r="EB41" i="43"/>
  <c r="CG41" i="43"/>
  <c r="EB28" i="43"/>
  <c r="CG28" i="43"/>
  <c r="CG45" i="35"/>
  <c r="E84" i="35" s="1"/>
  <c r="EB45" i="35"/>
  <c r="CG21" i="36"/>
  <c r="E60" i="36" s="1"/>
  <c r="EB21" i="36"/>
  <c r="EB34" i="39"/>
  <c r="CG34" i="39"/>
  <c r="CG38" i="43"/>
  <c r="EB38" i="43"/>
  <c r="CG27" i="37"/>
  <c r="E66" i="37" s="1"/>
  <c r="EB27" i="37"/>
  <c r="EB33" i="41"/>
  <c r="CG33" i="41"/>
  <c r="BC110" i="6"/>
  <c r="BE110" i="6" s="1"/>
  <c r="BC109" i="9"/>
  <c r="BE109" i="9" s="1"/>
  <c r="BC112" i="7"/>
  <c r="BE112" i="7" s="1"/>
  <c r="GM52" i="4"/>
  <c r="GM52" i="5"/>
  <c r="GM52" i="10"/>
  <c r="GM52" i="14"/>
  <c r="GM52" i="6"/>
  <c r="GM52" i="12"/>
  <c r="GM52" i="15"/>
  <c r="GM52" i="11"/>
  <c r="GM52" i="9"/>
  <c r="GM52" i="8"/>
  <c r="GM52" i="7"/>
  <c r="GM52" i="13"/>
  <c r="BC108" i="7"/>
  <c r="BE108" i="7" s="1"/>
  <c r="CG41" i="42"/>
  <c r="DV42" i="35"/>
  <c r="DW42" i="35" s="1"/>
  <c r="EB22" i="45"/>
  <c r="DV22" i="45" s="1"/>
  <c r="BZ32" i="7"/>
  <c r="CA32" i="7" s="1"/>
  <c r="EB29" i="37"/>
  <c r="DU29" i="37" s="1"/>
  <c r="BY44" i="15"/>
  <c r="CA44" i="15" s="1"/>
  <c r="CA49" i="15" s="1"/>
  <c r="BC110" i="7"/>
  <c r="BE110" i="7" s="1"/>
  <c r="BC111" i="7"/>
  <c r="BE111" i="7" s="1"/>
  <c r="P33" i="44"/>
  <c r="R54" i="44" s="1"/>
  <c r="T26" i="14" s="1"/>
  <c r="DP24" i="14" s="1"/>
  <c r="AJ75" i="74" s="1"/>
  <c r="AW15" i="59" s="1"/>
  <c r="O30" i="44"/>
  <c r="BY44" i="5"/>
  <c r="B65" i="5" s="1"/>
  <c r="BC111" i="15"/>
  <c r="BE111" i="15" s="1"/>
  <c r="BZ28" i="6"/>
  <c r="CA28" i="6" s="1"/>
  <c r="BZ28" i="8"/>
  <c r="CA28" i="8" s="1"/>
  <c r="EB22" i="35"/>
  <c r="DV22" i="35" s="1"/>
  <c r="BZ32" i="4"/>
  <c r="CA32" i="4" s="1"/>
  <c r="EB19" i="18"/>
  <c r="DU19" i="18" s="1"/>
  <c r="BC107" i="12"/>
  <c r="BE107" i="12" s="1"/>
  <c r="BC109" i="7"/>
  <c r="BE109" i="7" s="1"/>
  <c r="BC107" i="7"/>
  <c r="BE107" i="7" s="1"/>
  <c r="BZ33" i="12"/>
  <c r="CA33" i="12" s="1"/>
  <c r="BC107" i="10"/>
  <c r="BE107" i="10" s="1"/>
  <c r="BC111" i="10"/>
  <c r="BE111" i="10" s="1"/>
  <c r="BC108" i="10"/>
  <c r="BE108" i="10" s="1"/>
  <c r="BC112" i="10"/>
  <c r="BE112" i="10" s="1"/>
  <c r="BC109" i="10"/>
  <c r="BE109" i="10" s="1"/>
  <c r="BC110" i="10"/>
  <c r="BE110" i="10" s="1"/>
  <c r="BC107" i="8"/>
  <c r="BE107" i="8" s="1"/>
  <c r="BC111" i="8"/>
  <c r="BE111" i="8" s="1"/>
  <c r="BC108" i="8"/>
  <c r="BE108" i="8" s="1"/>
  <c r="BC112" i="8"/>
  <c r="BE112" i="8" s="1"/>
  <c r="BC109" i="8"/>
  <c r="BE109" i="8" s="1"/>
  <c r="BC110" i="8"/>
  <c r="BE110" i="8" s="1"/>
  <c r="BC109" i="15"/>
  <c r="BE109" i="15" s="1"/>
  <c r="BC107" i="15"/>
  <c r="BE107" i="15" s="1"/>
  <c r="BC111" i="9"/>
  <c r="BE111" i="9" s="1"/>
  <c r="BC107" i="11"/>
  <c r="BE107" i="11" s="1"/>
  <c r="BC108" i="11"/>
  <c r="BE108" i="11" s="1"/>
  <c r="BC107" i="6"/>
  <c r="BE107" i="6" s="1"/>
  <c r="BC112" i="12"/>
  <c r="BE112" i="12" s="1"/>
  <c r="BC110" i="12"/>
  <c r="BE110" i="12" s="1"/>
  <c r="BC112" i="15"/>
  <c r="BE112" i="15" s="1"/>
  <c r="BC110" i="15"/>
  <c r="BE110" i="15" s="1"/>
  <c r="BC107" i="9"/>
  <c r="BE107" i="9" s="1"/>
  <c r="BC107" i="5"/>
  <c r="BE107" i="5" s="1"/>
  <c r="BC111" i="5"/>
  <c r="BE111" i="5" s="1"/>
  <c r="BC108" i="5"/>
  <c r="BE108" i="5" s="1"/>
  <c r="BC112" i="5"/>
  <c r="BE112" i="5" s="1"/>
  <c r="BC109" i="5"/>
  <c r="BE109" i="5" s="1"/>
  <c r="BC110" i="5"/>
  <c r="BE110" i="5" s="1"/>
  <c r="BC110" i="14"/>
  <c r="BE110" i="14" s="1"/>
  <c r="BC107" i="14"/>
  <c r="BE107" i="14" s="1"/>
  <c r="BC111" i="14"/>
  <c r="BE111" i="14" s="1"/>
  <c r="BC108" i="14"/>
  <c r="BE108" i="14" s="1"/>
  <c r="BC112" i="14"/>
  <c r="BE112" i="14" s="1"/>
  <c r="BC109" i="14"/>
  <c r="BE109" i="14" s="1"/>
  <c r="BC110" i="11"/>
  <c r="BE110" i="11" s="1"/>
  <c r="BC112" i="6"/>
  <c r="BE112" i="6" s="1"/>
  <c r="BC108" i="12"/>
  <c r="BE108" i="12" s="1"/>
  <c r="BC109" i="12"/>
  <c r="BE109" i="12" s="1"/>
  <c r="BC108" i="15"/>
  <c r="BE108" i="15" s="1"/>
  <c r="BC112" i="9"/>
  <c r="BE112" i="9" s="1"/>
  <c r="BC110" i="9"/>
  <c r="BE110" i="9" s="1"/>
  <c r="BC109" i="11"/>
  <c r="BE109" i="11" s="1"/>
  <c r="BC108" i="6"/>
  <c r="BE108" i="6" s="1"/>
  <c r="BC109" i="6"/>
  <c r="BE109" i="6" s="1"/>
  <c r="BC109" i="13"/>
  <c r="BE109" i="13" s="1"/>
  <c r="BC110" i="13"/>
  <c r="BE110" i="13" s="1"/>
  <c r="BC107" i="13"/>
  <c r="BE107" i="13" s="1"/>
  <c r="BC111" i="13"/>
  <c r="BE111" i="13" s="1"/>
  <c r="BC108" i="13"/>
  <c r="BE108" i="13" s="1"/>
  <c r="BC112" i="13"/>
  <c r="BE112" i="13" s="1"/>
  <c r="BC111" i="12"/>
  <c r="BE111" i="12" s="1"/>
  <c r="BC110" i="4"/>
  <c r="BE110" i="4" s="1"/>
  <c r="BC107" i="4"/>
  <c r="BE107" i="4" s="1"/>
  <c r="BC111" i="4"/>
  <c r="BE111" i="4" s="1"/>
  <c r="BC108" i="4"/>
  <c r="BE108" i="4" s="1"/>
  <c r="BC112" i="4"/>
  <c r="BE112" i="4" s="1"/>
  <c r="BC109" i="4"/>
  <c r="BE109" i="4" s="1"/>
  <c r="BC108" i="9"/>
  <c r="BE108" i="9" s="1"/>
  <c r="BC111" i="11"/>
  <c r="BE111" i="11" s="1"/>
  <c r="BC112" i="11"/>
  <c r="BE112" i="11" s="1"/>
  <c r="BC111" i="6"/>
  <c r="BE111" i="6" s="1"/>
  <c r="CA51" i="10"/>
  <c r="BC62" i="10" s="1"/>
  <c r="CA51" i="13"/>
  <c r="BC62" i="13" s="1"/>
  <c r="FG59" i="11" a="1"/>
  <c r="FG59" i="11" s="1"/>
  <c r="R64" i="11" s="1"/>
  <c r="T64" i="11" s="1"/>
  <c r="BY44" i="4"/>
  <c r="CA44" i="4" s="1"/>
  <c r="CA49" i="4" s="1"/>
  <c r="R63" i="6"/>
  <c r="T63" i="6" s="1"/>
  <c r="CA51" i="6"/>
  <c r="BC62" i="6" s="1"/>
  <c r="FG59" i="5" a="1"/>
  <c r="FG59" i="5" s="1"/>
  <c r="R64" i="5" s="1"/>
  <c r="T64" i="5" s="1"/>
  <c r="CA51" i="4"/>
  <c r="BC62" i="4" s="1"/>
  <c r="BY44" i="13"/>
  <c r="CA44" i="13" s="1"/>
  <c r="CA49" i="13" s="1"/>
  <c r="BY44" i="8"/>
  <c r="B65" i="8" s="1"/>
  <c r="R63" i="13"/>
  <c r="T63" i="13" s="1"/>
  <c r="FG59" i="8" a="1"/>
  <c r="FG59" i="8" s="1"/>
  <c r="R64" i="8" s="1"/>
  <c r="T64" i="8" s="1"/>
  <c r="EH17" i="5"/>
  <c r="K6" i="59" s="1"/>
  <c r="EH17" i="9"/>
  <c r="EH18" i="9" s="1"/>
  <c r="EH17" i="6"/>
  <c r="K7" i="59" s="1"/>
  <c r="EH17" i="4"/>
  <c r="EH18" i="4" s="1"/>
  <c r="EH17" i="8"/>
  <c r="K9" i="59" s="1"/>
  <c r="EH17" i="7"/>
  <c r="K8" i="59" s="1"/>
  <c r="EH17" i="12"/>
  <c r="EH17" i="13"/>
  <c r="EH17" i="14"/>
  <c r="EH17" i="15"/>
  <c r="EH17" i="10"/>
  <c r="EH17" i="11"/>
  <c r="BY44" i="10"/>
  <c r="CA44" i="10" s="1"/>
  <c r="CA49" i="10" s="1"/>
  <c r="E18" i="16"/>
  <c r="BY44" i="6"/>
  <c r="B65" i="6" s="1"/>
  <c r="CA51" i="9"/>
  <c r="BC62" i="9" s="1"/>
  <c r="CA51" i="8"/>
  <c r="BC62" i="8" s="1"/>
  <c r="DW35" i="45"/>
  <c r="DW26" i="40"/>
  <c r="BZ33" i="4"/>
  <c r="CA33" i="4" s="1"/>
  <c r="CG45" i="37"/>
  <c r="E84" i="37" s="1"/>
  <c r="EB45" i="37"/>
  <c r="CG21" i="18"/>
  <c r="E60" i="18" s="1"/>
  <c r="EB21" i="18"/>
  <c r="CG19" i="43"/>
  <c r="EB19" i="43"/>
  <c r="I8" i="16"/>
  <c r="F31" i="83" s="1"/>
  <c r="BY44" i="9"/>
  <c r="B65" i="9" s="1"/>
  <c r="CA51" i="5"/>
  <c r="BC62" i="5" s="1"/>
  <c r="I15" i="16"/>
  <c r="F38" i="83" s="1"/>
  <c r="EB20" i="18"/>
  <c r="CG20" i="18"/>
  <c r="E59" i="18" s="1"/>
  <c r="EB25" i="44"/>
  <c r="CG25" i="44"/>
  <c r="I14" i="16"/>
  <c r="F37" i="83" s="1"/>
  <c r="DW36" i="37"/>
  <c r="R40" i="74"/>
  <c r="L40" i="74"/>
  <c r="F40" i="74"/>
  <c r="DW42" i="42"/>
  <c r="O40" i="74"/>
  <c r="BZ28" i="5"/>
  <c r="CA28" i="5" s="1"/>
  <c r="I9" i="16"/>
  <c r="F32" i="83" s="1"/>
  <c r="DW29" i="44"/>
  <c r="DW29" i="18"/>
  <c r="DW33" i="43"/>
  <c r="DW32" i="38"/>
  <c r="FG59" i="10" a="1"/>
  <c r="FG59" i="10" s="1"/>
  <c r="I17" i="16"/>
  <c r="B15" i="52" s="1"/>
  <c r="FG60" i="6" a="1"/>
  <c r="FG60" i="6" s="1"/>
  <c r="R65" i="6" s="1"/>
  <c r="T65" i="6" s="1"/>
  <c r="DW23" i="45"/>
  <c r="X40" i="74"/>
  <c r="I16" i="16"/>
  <c r="B14" i="52" s="1"/>
  <c r="FG60" i="13" a="1"/>
  <c r="FG60" i="13" s="1"/>
  <c r="R65" i="13" s="1"/>
  <c r="T65" i="13" s="1"/>
  <c r="CG19" i="35"/>
  <c r="E58" i="35" s="1"/>
  <c r="EB19" i="35"/>
  <c r="CG32" i="41"/>
  <c r="EB32" i="41"/>
  <c r="DV43" i="18"/>
  <c r="DU43" i="18"/>
  <c r="CG45" i="18"/>
  <c r="E84" i="18" s="1"/>
  <c r="EB45" i="18"/>
  <c r="CG43" i="36"/>
  <c r="E82" i="36" s="1"/>
  <c r="EB43" i="36"/>
  <c r="CG25" i="18"/>
  <c r="E64" i="18" s="1"/>
  <c r="EB25" i="18"/>
  <c r="CG39" i="36"/>
  <c r="E78" i="36" s="1"/>
  <c r="EB39" i="36"/>
  <c r="DW23" i="36"/>
  <c r="CG40" i="39"/>
  <c r="EB40" i="39"/>
  <c r="CG48" i="36"/>
  <c r="EB48" i="36"/>
  <c r="EB30" i="38"/>
  <c r="CG30" i="38"/>
  <c r="E69" i="38" s="1"/>
  <c r="CG34" i="35"/>
  <c r="E73" i="35" s="1"/>
  <c r="EB34" i="35"/>
  <c r="EB29" i="41"/>
  <c r="CG29" i="41"/>
  <c r="CG31" i="42"/>
  <c r="EB31" i="42"/>
  <c r="DV41" i="40"/>
  <c r="DU41" i="40"/>
  <c r="EB37" i="35"/>
  <c r="CG37" i="35"/>
  <c r="E76" i="35" s="1"/>
  <c r="EB25" i="37"/>
  <c r="CG25" i="37"/>
  <c r="E64" i="37" s="1"/>
  <c r="CG34" i="18"/>
  <c r="E73" i="18" s="1"/>
  <c r="EB34" i="18"/>
  <c r="CA30" i="15"/>
  <c r="CG36" i="43"/>
  <c r="EB36" i="43"/>
  <c r="CG20" i="43"/>
  <c r="EB20" i="43"/>
  <c r="CG36" i="45"/>
  <c r="EB36" i="45"/>
  <c r="DU48" i="39"/>
  <c r="DV48" i="39"/>
  <c r="DS48" i="39"/>
  <c r="DS47" i="39" s="1"/>
  <c r="EB43" i="41"/>
  <c r="CG43" i="41"/>
  <c r="DP24" i="10"/>
  <c r="X75" i="74" s="1"/>
  <c r="AW11" i="59" s="1"/>
  <c r="CG31" i="39"/>
  <c r="EB31" i="39"/>
  <c r="EB19" i="45"/>
  <c r="CG19" i="45"/>
  <c r="CQ53" i="44" s="1"/>
  <c r="CG19" i="39"/>
  <c r="EB19" i="39"/>
  <c r="DW45" i="38"/>
  <c r="CG38" i="35"/>
  <c r="E77" i="35" s="1"/>
  <c r="EB38" i="35"/>
  <c r="AB35" i="38"/>
  <c r="AF35" i="38" s="1"/>
  <c r="V34" i="38"/>
  <c r="T34" i="38" s="1"/>
  <c r="AA34" i="38" s="1"/>
  <c r="AB34" i="38" s="1"/>
  <c r="DU35" i="42"/>
  <c r="DV35" i="42"/>
  <c r="CG38" i="42"/>
  <c r="EB38" i="42"/>
  <c r="CG22" i="36"/>
  <c r="E61" i="36" s="1"/>
  <c r="EB22" i="36"/>
  <c r="DP24" i="8"/>
  <c r="R75" i="74" s="1"/>
  <c r="AW9" i="59" s="1"/>
  <c r="R63" i="14"/>
  <c r="T63" i="14" s="1"/>
  <c r="FG59" i="14" a="1"/>
  <c r="FG59" i="14" s="1"/>
  <c r="R64" i="14" s="1"/>
  <c r="T64" i="14" s="1"/>
  <c r="CG21" i="42"/>
  <c r="EB21" i="42"/>
  <c r="AB35" i="35"/>
  <c r="AF35" i="35" s="1"/>
  <c r="V34" i="35"/>
  <c r="T34" i="35" s="1"/>
  <c r="AA34" i="35" s="1"/>
  <c r="AB34" i="35" s="1"/>
  <c r="DW29" i="40"/>
  <c r="EB25" i="38"/>
  <c r="CG25" i="38"/>
  <c r="E64" i="38" s="1"/>
  <c r="EB30" i="40"/>
  <c r="CG30" i="40"/>
  <c r="DV31" i="18"/>
  <c r="DU31" i="18"/>
  <c r="EB37" i="38"/>
  <c r="CG37" i="38"/>
  <c r="E76" i="38" s="1"/>
  <c r="DV24" i="39"/>
  <c r="DU24" i="39"/>
  <c r="CG22" i="44"/>
  <c r="EB22" i="44"/>
  <c r="CG24" i="42"/>
  <c r="EB24" i="42"/>
  <c r="CG32" i="36"/>
  <c r="E71" i="36" s="1"/>
  <c r="EB32" i="36"/>
  <c r="DU35" i="37"/>
  <c r="DV35" i="37"/>
  <c r="BZ28" i="12"/>
  <c r="CA28" i="12" s="1"/>
  <c r="DU45" i="44"/>
  <c r="DV45" i="44"/>
  <c r="D18" i="16"/>
  <c r="I6" i="16"/>
  <c r="CG35" i="36"/>
  <c r="E74" i="36" s="1"/>
  <c r="EB35" i="36"/>
  <c r="DV44" i="44"/>
  <c r="DU44" i="44"/>
  <c r="CG28" i="40"/>
  <c r="EB28" i="40"/>
  <c r="CG35" i="35"/>
  <c r="E74" i="35" s="1"/>
  <c r="EB35" i="35"/>
  <c r="CG30" i="45"/>
  <c r="EB30" i="45"/>
  <c r="AB35" i="39"/>
  <c r="AF35" i="39" s="1"/>
  <c r="V34" i="39"/>
  <c r="T34" i="39" s="1"/>
  <c r="AA34" i="39" s="1"/>
  <c r="AB34" i="39" s="1"/>
  <c r="EB21" i="43"/>
  <c r="CG21" i="43"/>
  <c r="EB23" i="40"/>
  <c r="CG23" i="40"/>
  <c r="EB47" i="42"/>
  <c r="CG47" i="42"/>
  <c r="EB36" i="36"/>
  <c r="CG36" i="36"/>
  <c r="E75" i="36" s="1"/>
  <c r="DU30" i="37"/>
  <c r="DV30" i="37"/>
  <c r="CG27" i="36"/>
  <c r="E66" i="36" s="1"/>
  <c r="EB27" i="36"/>
  <c r="CG22" i="18"/>
  <c r="E61" i="18" s="1"/>
  <c r="EB22" i="18"/>
  <c r="DU37" i="45"/>
  <c r="DV37" i="45"/>
  <c r="CG31" i="36"/>
  <c r="E70" i="36" s="1"/>
  <c r="EB31" i="36"/>
  <c r="DU46" i="38"/>
  <c r="DV46" i="38"/>
  <c r="EB37" i="44"/>
  <c r="CG37" i="44"/>
  <c r="DU26" i="41"/>
  <c r="DV26" i="41"/>
  <c r="CG22" i="38"/>
  <c r="E61" i="38" s="1"/>
  <c r="EB22" i="38"/>
  <c r="EB20" i="42"/>
  <c r="CG20" i="42"/>
  <c r="DW43" i="38"/>
  <c r="EB47" i="43"/>
  <c r="CG47" i="43"/>
  <c r="DV23" i="35"/>
  <c r="DU23" i="35"/>
  <c r="BY44" i="14"/>
  <c r="DR19" i="36"/>
  <c r="DU19" i="36"/>
  <c r="DV19" i="36"/>
  <c r="EB46" i="42"/>
  <c r="CG46" i="42"/>
  <c r="P23" i="35"/>
  <c r="R52" i="35"/>
  <c r="T25" i="5" s="1"/>
  <c r="CG36" i="39"/>
  <c r="EB36" i="39"/>
  <c r="I11" i="16"/>
  <c r="AB35" i="40"/>
  <c r="AF35" i="40" s="1"/>
  <c r="V34" i="40"/>
  <c r="T34" i="40" s="1"/>
  <c r="AA34" i="40" s="1"/>
  <c r="AB34" i="40" s="1"/>
  <c r="CG43" i="37"/>
  <c r="E82" i="37" s="1"/>
  <c r="EB43" i="37"/>
  <c r="DW28" i="18"/>
  <c r="EB38" i="41"/>
  <c r="CG38" i="41"/>
  <c r="CG39" i="41"/>
  <c r="EB39" i="41"/>
  <c r="EB20" i="36"/>
  <c r="CG20" i="36"/>
  <c r="CO53" i="40"/>
  <c r="CG19" i="37"/>
  <c r="EB19" i="37"/>
  <c r="DW46" i="35"/>
  <c r="CG44" i="35"/>
  <c r="E83" i="35" s="1"/>
  <c r="EB44" i="35"/>
  <c r="I7" i="16"/>
  <c r="CG43" i="45"/>
  <c r="EB43" i="45"/>
  <c r="EB44" i="41"/>
  <c r="CG44" i="41"/>
  <c r="CG22" i="39"/>
  <c r="EB22" i="39"/>
  <c r="EB36" i="35"/>
  <c r="CG36" i="35"/>
  <c r="E75" i="35" s="1"/>
  <c r="CG44" i="36"/>
  <c r="E83" i="36" s="1"/>
  <c r="EB44" i="36"/>
  <c r="AG40" i="74"/>
  <c r="CG19" i="44"/>
  <c r="EB19" i="44"/>
  <c r="DW41" i="41"/>
  <c r="DU29" i="45"/>
  <c r="DV29" i="45"/>
  <c r="CG20" i="44"/>
  <c r="EB20" i="44"/>
  <c r="AM40" i="74"/>
  <c r="CG36" i="42"/>
  <c r="EB36" i="42"/>
  <c r="P23" i="18"/>
  <c r="R52" i="18"/>
  <c r="T25" i="4" s="1"/>
  <c r="Z74" i="4" s="1"/>
  <c r="U40" i="74"/>
  <c r="CG24" i="38"/>
  <c r="E63" i="38" s="1"/>
  <c r="EB24" i="38"/>
  <c r="DW48" i="41"/>
  <c r="AB35" i="43"/>
  <c r="AF35" i="43" s="1"/>
  <c r="V34" i="43"/>
  <c r="T34" i="43" s="1"/>
  <c r="AA34" i="43" s="1"/>
  <c r="AB34" i="43" s="1"/>
  <c r="DV23" i="42"/>
  <c r="DU23" i="42"/>
  <c r="DV43" i="40"/>
  <c r="DU43" i="40"/>
  <c r="CP53" i="45"/>
  <c r="CG24" i="40"/>
  <c r="EB24" i="40"/>
  <c r="R52" i="38"/>
  <c r="T25" i="8" s="1"/>
  <c r="P23" i="38"/>
  <c r="DV33" i="45"/>
  <c r="DU33" i="45"/>
  <c r="EB26" i="39"/>
  <c r="CG26" i="39"/>
  <c r="AD40" i="74"/>
  <c r="DV30" i="39"/>
  <c r="DU30" i="39"/>
  <c r="EB31" i="45"/>
  <c r="CG31" i="45"/>
  <c r="CG21" i="39"/>
  <c r="EB21" i="39"/>
  <c r="EB39" i="44"/>
  <c r="CG39" i="44"/>
  <c r="FG59" i="15" a="1"/>
  <c r="FG59" i="15" s="1"/>
  <c r="R64" i="15" s="1"/>
  <c r="T64" i="15" s="1"/>
  <c r="R63" i="15"/>
  <c r="T63" i="15" s="1"/>
  <c r="DV45" i="40"/>
  <c r="DU45" i="40"/>
  <c r="CG26" i="43"/>
  <c r="EB26" i="43"/>
  <c r="EB45" i="41"/>
  <c r="CG45" i="41"/>
  <c r="EB31" i="38"/>
  <c r="CG31" i="38"/>
  <c r="E70" i="38" s="1"/>
  <c r="DP24" i="7"/>
  <c r="O75" i="74" s="1"/>
  <c r="AW8" i="59" s="1"/>
  <c r="EB28" i="36"/>
  <c r="CG28" i="36"/>
  <c r="E67" i="36" s="1"/>
  <c r="CG41" i="18"/>
  <c r="E80" i="18" s="1"/>
  <c r="EB41" i="18"/>
  <c r="EB30" i="36"/>
  <c r="CG30" i="36"/>
  <c r="E69" i="36" s="1"/>
  <c r="CG38" i="38"/>
  <c r="E77" i="38" s="1"/>
  <c r="EB38" i="38"/>
  <c r="CG46" i="36"/>
  <c r="E85" i="36" s="1"/>
  <c r="EB46" i="36"/>
  <c r="CG42" i="45"/>
  <c r="EB42" i="45"/>
  <c r="EB27" i="40"/>
  <c r="CG27" i="40"/>
  <c r="CG43" i="35"/>
  <c r="E82" i="35" s="1"/>
  <c r="EB43" i="35"/>
  <c r="EB27" i="18"/>
  <c r="CG27" i="18"/>
  <c r="E66" i="18" s="1"/>
  <c r="DW25" i="45"/>
  <c r="CG35" i="39"/>
  <c r="EB35" i="39"/>
  <c r="CG40" i="37"/>
  <c r="E79" i="37" s="1"/>
  <c r="EB40" i="37"/>
  <c r="DW34" i="40"/>
  <c r="DW36" i="38"/>
  <c r="EB38" i="40"/>
  <c r="CG38" i="40"/>
  <c r="EB42" i="40"/>
  <c r="CG42" i="40"/>
  <c r="CG30" i="44"/>
  <c r="EB30" i="44"/>
  <c r="CG33" i="42"/>
  <c r="EB33" i="42"/>
  <c r="CG46" i="40"/>
  <c r="EB46" i="40"/>
  <c r="DU23" i="44"/>
  <c r="DV23" i="44"/>
  <c r="P23" i="36"/>
  <c r="R52" i="36"/>
  <c r="T25" i="6" s="1"/>
  <c r="DU42" i="18"/>
  <c r="DV42" i="18"/>
  <c r="CA51" i="7"/>
  <c r="BC62" i="7" s="1"/>
  <c r="H6" i="16"/>
  <c r="H18" i="16" s="1"/>
  <c r="R18" i="16"/>
  <c r="CG37" i="36"/>
  <c r="E76" i="36" s="1"/>
  <c r="EB37" i="36"/>
  <c r="DU21" i="38"/>
  <c r="DV21" i="38"/>
  <c r="BZ32" i="14"/>
  <c r="CA32" i="14" s="1"/>
  <c r="DV47" i="41"/>
  <c r="DS47" i="41"/>
  <c r="DU47" i="41"/>
  <c r="BZ28" i="14"/>
  <c r="CA28" i="14" s="1"/>
  <c r="CG31" i="35"/>
  <c r="E70" i="35" s="1"/>
  <c r="EB31" i="35"/>
  <c r="CG37" i="37"/>
  <c r="E76" i="37" s="1"/>
  <c r="EB37" i="37"/>
  <c r="DW24" i="18"/>
  <c r="DU40" i="41"/>
  <c r="DV40" i="41"/>
  <c r="CG40" i="45"/>
  <c r="EB40" i="45"/>
  <c r="CG20" i="41"/>
  <c r="EB20" i="41"/>
  <c r="DW24" i="45"/>
  <c r="DW20" i="39"/>
  <c r="DU27" i="35"/>
  <c r="DV27" i="35"/>
  <c r="DV40" i="44"/>
  <c r="DU40" i="44"/>
  <c r="DU39" i="42"/>
  <c r="DV39" i="42"/>
  <c r="V34" i="36"/>
  <c r="T34" i="36" s="1"/>
  <c r="AA34" i="36" s="1"/>
  <c r="AB34" i="36" s="1"/>
  <c r="AB35" i="36"/>
  <c r="AF35" i="36" s="1"/>
  <c r="CG41" i="39"/>
  <c r="EB41" i="39"/>
  <c r="CG20" i="35"/>
  <c r="E59" i="35" s="1"/>
  <c r="EB20" i="35"/>
  <c r="CG32" i="18"/>
  <c r="E71" i="18" s="1"/>
  <c r="EB32" i="18"/>
  <c r="CG34" i="45"/>
  <c r="EB34" i="45"/>
  <c r="DU20" i="37"/>
  <c r="DV20" i="37"/>
  <c r="CG37" i="18"/>
  <c r="E76" i="18" s="1"/>
  <c r="EB37" i="18"/>
  <c r="EB32" i="39"/>
  <c r="CG32" i="39"/>
  <c r="BZ28" i="7"/>
  <c r="CA28" i="7" s="1"/>
  <c r="AJ40" i="74"/>
  <c r="V34" i="18"/>
  <c r="T34" i="18" s="1"/>
  <c r="AA34" i="18" s="1"/>
  <c r="AB35" i="18"/>
  <c r="AF35" i="18" s="1"/>
  <c r="DV30" i="35"/>
  <c r="DU30" i="35"/>
  <c r="DV25" i="41"/>
  <c r="DU25" i="41"/>
  <c r="DP24" i="4"/>
  <c r="F75" i="74" s="1"/>
  <c r="AW5" i="59" s="1"/>
  <c r="DV24" i="43"/>
  <c r="DU24" i="43"/>
  <c r="DU40" i="40"/>
  <c r="DV40" i="40"/>
  <c r="DV34" i="37"/>
  <c r="DU34" i="37"/>
  <c r="CG43" i="42"/>
  <c r="EB43" i="42"/>
  <c r="DU41" i="38"/>
  <c r="DV41" i="38"/>
  <c r="CG43" i="43"/>
  <c r="EB43" i="43"/>
  <c r="DU47" i="38"/>
  <c r="DV47" i="38"/>
  <c r="CG31" i="40"/>
  <c r="EB31" i="40"/>
  <c r="BZ28" i="15"/>
  <c r="CM53" i="37"/>
  <c r="CN53" i="37" s="1"/>
  <c r="CR53" i="37" s="1"/>
  <c r="CG26" i="37"/>
  <c r="E65" i="37" s="1"/>
  <c r="EB26" i="37"/>
  <c r="AB35" i="42"/>
  <c r="AF35" i="42" s="1"/>
  <c r="V34" i="42"/>
  <c r="T34" i="42" s="1"/>
  <c r="AA34" i="42" s="1"/>
  <c r="AB34" i="42" s="1"/>
  <c r="R52" i="41"/>
  <c r="T25" i="11" s="1"/>
  <c r="DV45" i="39"/>
  <c r="DU45" i="39"/>
  <c r="EB27" i="42"/>
  <c r="CG27" i="42"/>
  <c r="EB23" i="41"/>
  <c r="CG23" i="41"/>
  <c r="DU39" i="37"/>
  <c r="DV39" i="37"/>
  <c r="CG20" i="40"/>
  <c r="EB20" i="40"/>
  <c r="EB46" i="39"/>
  <c r="CG46" i="39"/>
  <c r="EB46" i="41"/>
  <c r="CG46" i="41"/>
  <c r="CG21" i="37"/>
  <c r="E60" i="37" s="1"/>
  <c r="EB21" i="37"/>
  <c r="EB40" i="38"/>
  <c r="CG40" i="38"/>
  <c r="E79" i="38" s="1"/>
  <c r="EB21" i="41"/>
  <c r="CG21" i="41"/>
  <c r="DU45" i="45"/>
  <c r="DV45" i="45"/>
  <c r="DV40" i="35"/>
  <c r="DU40" i="35"/>
  <c r="CG29" i="36"/>
  <c r="E68" i="36" s="1"/>
  <c r="EB29" i="36"/>
  <c r="CG42" i="37"/>
  <c r="E81" i="37" s="1"/>
  <c r="EB42" i="37"/>
  <c r="I13" i="16"/>
  <c r="V34" i="37"/>
  <c r="T34" i="37" s="1"/>
  <c r="AA34" i="37" s="1"/>
  <c r="AB34" i="37" s="1"/>
  <c r="AB35" i="37"/>
  <c r="AF35" i="37" s="1"/>
  <c r="CG25" i="36"/>
  <c r="E64" i="36" s="1"/>
  <c r="EB25" i="36"/>
  <c r="CG32" i="43"/>
  <c r="EB32" i="43"/>
  <c r="V34" i="44"/>
  <c r="T34" i="44" s="1"/>
  <c r="AA34" i="44" s="1"/>
  <c r="AB34" i="44" s="1"/>
  <c r="AB35" i="44"/>
  <c r="AF35" i="44" s="1"/>
  <c r="DP24" i="6"/>
  <c r="L75" i="74" s="1"/>
  <c r="AW7" i="59" s="1"/>
  <c r="DU46" i="43"/>
  <c r="DV46" i="43"/>
  <c r="DV27" i="39"/>
  <c r="DU27" i="39"/>
  <c r="BZ33" i="13"/>
  <c r="CA33" i="13" s="1"/>
  <c r="DP24" i="15"/>
  <c r="AM75" i="74" s="1"/>
  <c r="AW16" i="59" s="1"/>
  <c r="CG36" i="44"/>
  <c r="EB36" i="44"/>
  <c r="CG47" i="44"/>
  <c r="CO53" i="44" s="1"/>
  <c r="EB47" i="44"/>
  <c r="AA40" i="74"/>
  <c r="DP24" i="5"/>
  <c r="I75" i="74" s="1"/>
  <c r="AW6" i="59" s="1"/>
  <c r="I10" i="16"/>
  <c r="DU30" i="18"/>
  <c r="DV30" i="18"/>
  <c r="EB25" i="35"/>
  <c r="CG25" i="35"/>
  <c r="E64" i="35" s="1"/>
  <c r="FG60" i="4" a="1"/>
  <c r="FG60" i="4" s="1"/>
  <c r="AB35" i="41"/>
  <c r="AF35" i="41" s="1"/>
  <c r="V34" i="41"/>
  <c r="T34" i="41" s="1"/>
  <c r="AA34" i="41" s="1"/>
  <c r="AB34" i="41" s="1"/>
  <c r="CG43" i="44"/>
  <c r="EB43" i="44"/>
  <c r="CG22" i="41"/>
  <c r="EB22" i="41"/>
  <c r="EB21" i="35"/>
  <c r="CG21" i="35"/>
  <c r="E60" i="35" s="1"/>
  <c r="EB48" i="18"/>
  <c r="CG48" i="18"/>
  <c r="E87" i="18" s="1"/>
  <c r="I40" i="74"/>
  <c r="CG44" i="38"/>
  <c r="E83" i="38" s="1"/>
  <c r="EB44" i="38"/>
  <c r="EB24" i="36"/>
  <c r="CG24" i="36"/>
  <c r="E63" i="36" s="1"/>
  <c r="BZ32" i="6"/>
  <c r="CA32" i="6" s="1"/>
  <c r="EB30" i="41"/>
  <c r="CG30" i="41"/>
  <c r="R63" i="12"/>
  <c r="T63" i="12" s="1"/>
  <c r="FG59" i="12" a="1"/>
  <c r="FG59" i="12" s="1"/>
  <c r="R64" i="12" s="1"/>
  <c r="T64" i="12" s="1"/>
  <c r="CA31" i="15"/>
  <c r="DW33" i="38"/>
  <c r="DW38" i="37"/>
  <c r="R52" i="42"/>
  <c r="T25" i="12" s="1"/>
  <c r="Z74" i="12" s="1"/>
  <c r="P23" i="40"/>
  <c r="R52" i="40"/>
  <c r="T25" i="10" s="1"/>
  <c r="Z74" i="10" s="1"/>
  <c r="DV25" i="43"/>
  <c r="DU25" i="43"/>
  <c r="DW33" i="39"/>
  <c r="EB22" i="40"/>
  <c r="CG22" i="40"/>
  <c r="CG46" i="45"/>
  <c r="EB46" i="45"/>
  <c r="DV48" i="38"/>
  <c r="CG27" i="38"/>
  <c r="E66" i="38" s="1"/>
  <c r="EB27" i="38"/>
  <c r="DR19" i="40"/>
  <c r="DU19" i="40"/>
  <c r="DV19" i="40"/>
  <c r="DV26" i="18"/>
  <c r="DU26" i="18"/>
  <c r="DV42" i="38"/>
  <c r="DU42" i="38"/>
  <c r="DV40" i="42"/>
  <c r="DU40" i="42"/>
  <c r="DU32" i="42"/>
  <c r="DV32" i="42"/>
  <c r="EB31" i="43"/>
  <c r="CG31" i="43"/>
  <c r="EB29" i="35"/>
  <c r="CG29" i="35"/>
  <c r="E68" i="35" s="1"/>
  <c r="T6" i="59"/>
  <c r="AH93" i="6"/>
  <c r="CG32" i="45"/>
  <c r="EB32" i="45"/>
  <c r="EB19" i="42"/>
  <c r="CG19" i="42"/>
  <c r="CA51" i="14"/>
  <c r="BC62" i="14" s="1"/>
  <c r="EB31" i="41"/>
  <c r="CG31" i="41"/>
  <c r="DU39" i="43"/>
  <c r="DV39" i="43"/>
  <c r="CG20" i="38"/>
  <c r="E59" i="38" s="1"/>
  <c r="EB20" i="38"/>
  <c r="DW28" i="37"/>
  <c r="CG32" i="35"/>
  <c r="E71" i="35" s="1"/>
  <c r="EB32" i="35"/>
  <c r="BZ32" i="11"/>
  <c r="CA32" i="11" s="1"/>
  <c r="CG42" i="39"/>
  <c r="EB42" i="39"/>
  <c r="EB39" i="38"/>
  <c r="CG39" i="38"/>
  <c r="E78" i="38" s="1"/>
  <c r="CG41" i="45"/>
  <c r="EB41" i="45"/>
  <c r="DV32" i="37"/>
  <c r="DU32" i="37"/>
  <c r="FG59" i="7" a="1"/>
  <c r="FG59" i="7" s="1"/>
  <c r="R64" i="7" s="1"/>
  <c r="T64" i="7" s="1"/>
  <c r="R63" i="7"/>
  <c r="T63" i="7" s="1"/>
  <c r="EB41" i="37"/>
  <c r="CG41" i="37"/>
  <c r="E80" i="37" s="1"/>
  <c r="CG47" i="45"/>
  <c r="CO53" i="45" s="1"/>
  <c r="EB47" i="45"/>
  <c r="CA32" i="15"/>
  <c r="DU36" i="18"/>
  <c r="DV36" i="18"/>
  <c r="EB43" i="39"/>
  <c r="CG43" i="39"/>
  <c r="CG29" i="38"/>
  <c r="E68" i="38" s="1"/>
  <c r="EB29" i="38"/>
  <c r="CA51" i="12"/>
  <c r="BC62" i="12" s="1"/>
  <c r="DV26" i="35"/>
  <c r="DU26" i="35"/>
  <c r="CG47" i="40"/>
  <c r="EB47" i="40"/>
  <c r="DU41" i="42"/>
  <c r="DV41" i="42"/>
  <c r="CG29" i="43"/>
  <c r="EB29" i="43"/>
  <c r="CG35" i="43"/>
  <c r="EB35" i="43"/>
  <c r="DP24" i="9"/>
  <c r="U75" i="74" s="1"/>
  <c r="AW10" i="59" s="1"/>
  <c r="DV36" i="41"/>
  <c r="DU36" i="41"/>
  <c r="DU41" i="44"/>
  <c r="DV41" i="44"/>
  <c r="DU44" i="37"/>
  <c r="DV44" i="37"/>
  <c r="CG39" i="35"/>
  <c r="E78" i="35" s="1"/>
  <c r="EB39" i="35"/>
  <c r="EB38" i="36"/>
  <c r="CG38" i="36"/>
  <c r="E77" i="36" s="1"/>
  <c r="DV37" i="41"/>
  <c r="DU37" i="41"/>
  <c r="BY44" i="12"/>
  <c r="AB35" i="45"/>
  <c r="AF35" i="45" s="1"/>
  <c r="V34" i="45"/>
  <c r="T34" i="45" s="1"/>
  <c r="AA34" i="45" s="1"/>
  <c r="AB34" i="45" s="1"/>
  <c r="EB45" i="42"/>
  <c r="CG45" i="42"/>
  <c r="CG46" i="37"/>
  <c r="EB46" i="37"/>
  <c r="CG23" i="43"/>
  <c r="EB23" i="43"/>
  <c r="CA51" i="15"/>
  <c r="BC62" i="15" s="1"/>
  <c r="CG41" i="36"/>
  <c r="E80" i="36" s="1"/>
  <c r="EB41" i="36"/>
  <c r="CG38" i="44"/>
  <c r="EB38" i="44"/>
  <c r="DU28" i="38"/>
  <c r="DV28" i="38"/>
  <c r="DU39" i="39"/>
  <c r="DV39" i="39"/>
  <c r="DU24" i="44"/>
  <c r="DV24" i="44"/>
  <c r="DV33" i="37" l="1"/>
  <c r="DW33" i="37" s="1"/>
  <c r="CA44" i="11"/>
  <c r="CA49" i="11" s="1"/>
  <c r="DV27" i="44"/>
  <c r="DU27" i="44"/>
  <c r="DV41" i="35"/>
  <c r="DW41" i="35" s="1"/>
  <c r="G79" i="18"/>
  <c r="F79" i="18"/>
  <c r="H79" i="18"/>
  <c r="DV24" i="35"/>
  <c r="DU24" i="35"/>
  <c r="DU24" i="37"/>
  <c r="DV24" i="37"/>
  <c r="DV35" i="18"/>
  <c r="DU35" i="18"/>
  <c r="G67" i="35"/>
  <c r="F67" i="35"/>
  <c r="DV40" i="18"/>
  <c r="DU40" i="18"/>
  <c r="DV25" i="40"/>
  <c r="DU25" i="40"/>
  <c r="G63" i="35"/>
  <c r="F63" i="35"/>
  <c r="F63" i="37"/>
  <c r="G63" i="37"/>
  <c r="G74" i="18"/>
  <c r="H74" i="18"/>
  <c r="F74" i="18"/>
  <c r="DV39" i="45"/>
  <c r="DU39" i="45"/>
  <c r="DV28" i="35"/>
  <c r="DU28" i="35"/>
  <c r="DU44" i="42"/>
  <c r="CQ52" i="39"/>
  <c r="K126" i="76"/>
  <c r="K138" i="76"/>
  <c r="K132" i="76"/>
  <c r="K144" i="76"/>
  <c r="K124" i="76"/>
  <c r="K136" i="76"/>
  <c r="K125" i="76"/>
  <c r="K137" i="76"/>
  <c r="Z74" i="6"/>
  <c r="Z74" i="8"/>
  <c r="Z74" i="5"/>
  <c r="K129" i="76"/>
  <c r="K141" i="76"/>
  <c r="K130" i="76"/>
  <c r="K142" i="76"/>
  <c r="K131" i="76"/>
  <c r="K143" i="76"/>
  <c r="K128" i="76"/>
  <c r="K140" i="76"/>
  <c r="K134" i="76"/>
  <c r="K146" i="76"/>
  <c r="K123" i="76"/>
  <c r="K135" i="76"/>
  <c r="K127" i="76"/>
  <c r="K139" i="76"/>
  <c r="K133" i="76"/>
  <c r="K145" i="76"/>
  <c r="DV33" i="36"/>
  <c r="E16" i="85"/>
  <c r="CV16" i="59" s="1"/>
  <c r="E15" i="85"/>
  <c r="CV15" i="59" s="1"/>
  <c r="E14" i="85"/>
  <c r="CV14" i="59" s="1"/>
  <c r="E12" i="85"/>
  <c r="CV12" i="59" s="1"/>
  <c r="E10" i="85"/>
  <c r="CV10" i="59" s="1"/>
  <c r="E13" i="85"/>
  <c r="CV13" i="59" s="1"/>
  <c r="R52" i="37"/>
  <c r="T25" i="7" s="1"/>
  <c r="DV27" i="45"/>
  <c r="DU48" i="44"/>
  <c r="DU28" i="45"/>
  <c r="DW28" i="45" s="1"/>
  <c r="CO53" i="42"/>
  <c r="DU48" i="35"/>
  <c r="H82" i="18"/>
  <c r="F85" i="18"/>
  <c r="CO49" i="45"/>
  <c r="CM49" i="45" s="1"/>
  <c r="CN49" i="45" s="1"/>
  <c r="CR49" i="45" s="1"/>
  <c r="E58" i="37"/>
  <c r="G58" i="37" s="1"/>
  <c r="CQ53" i="36"/>
  <c r="CQ52" i="42"/>
  <c r="E87" i="36"/>
  <c r="F87" i="36" s="1"/>
  <c r="CO53" i="36"/>
  <c r="CQ53" i="39"/>
  <c r="DU48" i="38"/>
  <c r="DW48" i="38" s="1"/>
  <c r="H85" i="18"/>
  <c r="DV47" i="36"/>
  <c r="DV48" i="35"/>
  <c r="F83" i="37"/>
  <c r="Z74" i="11"/>
  <c r="CP48" i="35"/>
  <c r="BQ49" i="18"/>
  <c r="BR49" i="18"/>
  <c r="BW52" i="18" s="1"/>
  <c r="G59" i="38"/>
  <c r="F59" i="38"/>
  <c r="F68" i="35"/>
  <c r="G68" i="35"/>
  <c r="F66" i="38"/>
  <c r="G66" i="38"/>
  <c r="G83" i="38"/>
  <c r="F83" i="38"/>
  <c r="G87" i="18"/>
  <c r="H87" i="18"/>
  <c r="F87" i="18"/>
  <c r="F60" i="35"/>
  <c r="G60" i="35"/>
  <c r="F79" i="38"/>
  <c r="G79" i="38"/>
  <c r="F65" i="37"/>
  <c r="G65" i="37"/>
  <c r="F76" i="37"/>
  <c r="G76" i="37"/>
  <c r="G70" i="35"/>
  <c r="F70" i="35"/>
  <c r="F79" i="37"/>
  <c r="G79" i="37"/>
  <c r="F66" i="18"/>
  <c r="G66" i="18"/>
  <c r="H66" i="18"/>
  <c r="F82" i="35"/>
  <c r="G82" i="35"/>
  <c r="G77" i="38"/>
  <c r="F77" i="38"/>
  <c r="F80" i="18"/>
  <c r="H80" i="18"/>
  <c r="G80" i="18"/>
  <c r="F70" i="38"/>
  <c r="G70" i="38"/>
  <c r="F63" i="38"/>
  <c r="G63" i="38"/>
  <c r="F58" i="37"/>
  <c r="CO48" i="36"/>
  <c r="E59" i="36"/>
  <c r="F61" i="38"/>
  <c r="G61" i="38"/>
  <c r="F61" i="18"/>
  <c r="G61" i="18"/>
  <c r="H61" i="18"/>
  <c r="G76" i="38"/>
  <c r="F76" i="38"/>
  <c r="F64" i="38"/>
  <c r="G64" i="38"/>
  <c r="G64" i="37"/>
  <c r="F64" i="37"/>
  <c r="G76" i="35"/>
  <c r="F76" i="35"/>
  <c r="G69" i="38"/>
  <c r="F69" i="38"/>
  <c r="G64" i="18"/>
  <c r="H64" i="18"/>
  <c r="F64" i="18"/>
  <c r="F84" i="18"/>
  <c r="G84" i="18"/>
  <c r="H84" i="18"/>
  <c r="G58" i="35"/>
  <c r="F58" i="35"/>
  <c r="G66" i="37"/>
  <c r="F66" i="37"/>
  <c r="F84" i="35"/>
  <c r="G84" i="35"/>
  <c r="G72" i="18"/>
  <c r="H72" i="18"/>
  <c r="F72" i="18"/>
  <c r="F62" i="18"/>
  <c r="G62" i="18"/>
  <c r="H62" i="18"/>
  <c r="G65" i="38"/>
  <c r="F65" i="38"/>
  <c r="F62" i="38"/>
  <c r="G62" i="38"/>
  <c r="G62" i="35"/>
  <c r="F62" i="35"/>
  <c r="G59" i="37"/>
  <c r="F59" i="37"/>
  <c r="F69" i="35"/>
  <c r="G69" i="35"/>
  <c r="G85" i="38"/>
  <c r="F85" i="38"/>
  <c r="G71" i="37"/>
  <c r="F71" i="37"/>
  <c r="G79" i="35"/>
  <c r="F79" i="35"/>
  <c r="F80" i="36"/>
  <c r="G80" i="36"/>
  <c r="CP48" i="38"/>
  <c r="E85" i="37"/>
  <c r="G78" i="35"/>
  <c r="F78" i="35"/>
  <c r="F68" i="38"/>
  <c r="G68" i="38"/>
  <c r="F80" i="37"/>
  <c r="G80" i="37"/>
  <c r="G78" i="38"/>
  <c r="F78" i="38"/>
  <c r="F71" i="35"/>
  <c r="G71" i="35"/>
  <c r="F64" i="35"/>
  <c r="G64" i="35"/>
  <c r="G81" i="37"/>
  <c r="F81" i="37"/>
  <c r="G60" i="37"/>
  <c r="F60" i="37"/>
  <c r="F76" i="18"/>
  <c r="H76" i="18"/>
  <c r="G76" i="18"/>
  <c r="F71" i="18"/>
  <c r="H71" i="18"/>
  <c r="G71" i="18"/>
  <c r="G59" i="35"/>
  <c r="F59" i="35"/>
  <c r="F75" i="35"/>
  <c r="G75" i="35"/>
  <c r="G83" i="35"/>
  <c r="F83" i="35"/>
  <c r="G82" i="37"/>
  <c r="F82" i="37"/>
  <c r="G66" i="36"/>
  <c r="F66" i="36"/>
  <c r="G74" i="35"/>
  <c r="F74" i="35"/>
  <c r="G77" i="35"/>
  <c r="F77" i="35"/>
  <c r="F73" i="18"/>
  <c r="G73" i="18"/>
  <c r="H73" i="18"/>
  <c r="F73" i="35"/>
  <c r="G73" i="35"/>
  <c r="G59" i="18"/>
  <c r="F59" i="18"/>
  <c r="H59" i="18"/>
  <c r="G60" i="18"/>
  <c r="H60" i="18"/>
  <c r="F60" i="18"/>
  <c r="G84" i="37"/>
  <c r="F84" i="37"/>
  <c r="F69" i="37"/>
  <c r="G69" i="37"/>
  <c r="G75" i="18"/>
  <c r="F75" i="18"/>
  <c r="H75" i="18"/>
  <c r="F78" i="37"/>
  <c r="G78" i="37"/>
  <c r="F66" i="35"/>
  <c r="G66" i="35"/>
  <c r="F80" i="38"/>
  <c r="G80" i="38"/>
  <c r="G67" i="38"/>
  <c r="F67" i="38"/>
  <c r="F69" i="18"/>
  <c r="H69" i="18"/>
  <c r="G69" i="18"/>
  <c r="CB35" i="15"/>
  <c r="CB34" i="15" s="1"/>
  <c r="DV45" i="43"/>
  <c r="DW45" i="43" s="1"/>
  <c r="DK27" i="11"/>
  <c r="AL74" i="11"/>
  <c r="AA50" i="74" s="1"/>
  <c r="DK27" i="15"/>
  <c r="AL74" i="15"/>
  <c r="AM50" i="74" s="1"/>
  <c r="DK27" i="10"/>
  <c r="AL74" i="10"/>
  <c r="X50" i="74" s="1"/>
  <c r="AL74" i="6"/>
  <c r="L50" i="74" s="1"/>
  <c r="DK27" i="12"/>
  <c r="AL74" i="12"/>
  <c r="AD50" i="74" s="1"/>
  <c r="DK27" i="7"/>
  <c r="AL74" i="7"/>
  <c r="O50" i="74" s="1"/>
  <c r="AL74" i="8"/>
  <c r="R50" i="74" s="1"/>
  <c r="AL74" i="4"/>
  <c r="AL75" i="4" s="1"/>
  <c r="DK27" i="5"/>
  <c r="AL74" i="5"/>
  <c r="I50" i="74" s="1"/>
  <c r="DV37" i="43"/>
  <c r="DW37" i="43" s="1"/>
  <c r="DU44" i="43"/>
  <c r="DW44" i="43" s="1"/>
  <c r="DU35" i="38"/>
  <c r="DW35" i="38" s="1"/>
  <c r="DU22" i="42"/>
  <c r="DW22" i="42" s="1"/>
  <c r="DU28" i="39"/>
  <c r="DW28" i="39" s="1"/>
  <c r="DU39" i="40"/>
  <c r="DW39" i="40" s="1"/>
  <c r="DU47" i="37"/>
  <c r="DW47" i="37" s="1"/>
  <c r="DV25" i="39"/>
  <c r="DW25" i="39" s="1"/>
  <c r="DV35" i="44"/>
  <c r="DW35" i="44" s="1"/>
  <c r="DS48" i="40"/>
  <c r="DS47" i="40" s="1"/>
  <c r="DS46" i="40" s="1"/>
  <c r="DS45" i="40" s="1"/>
  <c r="DS44" i="40" s="1"/>
  <c r="DS43" i="40" s="1"/>
  <c r="DS42" i="40" s="1"/>
  <c r="DS41" i="40" s="1"/>
  <c r="DS40" i="40" s="1"/>
  <c r="DS39" i="40" s="1"/>
  <c r="DS38" i="40" s="1"/>
  <c r="DS37" i="40" s="1"/>
  <c r="DS36" i="40" s="1"/>
  <c r="DS35" i="40" s="1"/>
  <c r="DS34" i="40" s="1"/>
  <c r="DS33" i="40" s="1"/>
  <c r="DS32" i="40" s="1"/>
  <c r="DS31" i="40" s="1"/>
  <c r="DS30" i="40" s="1"/>
  <c r="DS29" i="40" s="1"/>
  <c r="DS28" i="40" s="1"/>
  <c r="DS27" i="40" s="1"/>
  <c r="DS26" i="40" s="1"/>
  <c r="DS25" i="40" s="1"/>
  <c r="DS24" i="40" s="1"/>
  <c r="DS23" i="40" s="1"/>
  <c r="DS22" i="40" s="1"/>
  <c r="DS21" i="40" s="1"/>
  <c r="DS20" i="40" s="1"/>
  <c r="DS19" i="40" s="1"/>
  <c r="DU34" i="41"/>
  <c r="DW34" i="41" s="1"/>
  <c r="P23" i="42"/>
  <c r="DV48" i="40"/>
  <c r="DW48" i="40" s="1"/>
  <c r="DV19" i="38"/>
  <c r="DV22" i="43"/>
  <c r="DW22" i="43" s="1"/>
  <c r="DV21" i="44"/>
  <c r="DW21" i="44" s="1"/>
  <c r="P23" i="45"/>
  <c r="DU21" i="45"/>
  <c r="DW21" i="45" s="1"/>
  <c r="DV46" i="18"/>
  <c r="DW46" i="18" s="1"/>
  <c r="CP48" i="39"/>
  <c r="DU19" i="38"/>
  <c r="DV40" i="36"/>
  <c r="DW40" i="36" s="1"/>
  <c r="DU48" i="43"/>
  <c r="DW48" i="43" s="1"/>
  <c r="DV48" i="44"/>
  <c r="DW48" i="44" s="1"/>
  <c r="DU28" i="42"/>
  <c r="DW28" i="42" s="1"/>
  <c r="DU34" i="36"/>
  <c r="DW34" i="36" s="1"/>
  <c r="DU39" i="18"/>
  <c r="DW39" i="18" s="1"/>
  <c r="DU20" i="45"/>
  <c r="DW20" i="45" s="1"/>
  <c r="DV21" i="40"/>
  <c r="DW21" i="40" s="1"/>
  <c r="DS47" i="37"/>
  <c r="DS46" i="37" s="1"/>
  <c r="DS45" i="37" s="1"/>
  <c r="DS44" i="37" s="1"/>
  <c r="DS43" i="37" s="1"/>
  <c r="DS42" i="37" s="1"/>
  <c r="DS41" i="37" s="1"/>
  <c r="DS40" i="37" s="1"/>
  <c r="DS39" i="37" s="1"/>
  <c r="DS38" i="37" s="1"/>
  <c r="DS37" i="37" s="1"/>
  <c r="DS36" i="37" s="1"/>
  <c r="DS35" i="37" s="1"/>
  <c r="DS34" i="37" s="1"/>
  <c r="DS33" i="37" s="1"/>
  <c r="DS32" i="37" s="1"/>
  <c r="DS31" i="37" s="1"/>
  <c r="DS30" i="37" s="1"/>
  <c r="DS29" i="37" s="1"/>
  <c r="DS28" i="37" s="1"/>
  <c r="DS27" i="37" s="1"/>
  <c r="DS26" i="37" s="1"/>
  <c r="DS25" i="37" s="1"/>
  <c r="DS24" i="37" s="1"/>
  <c r="DS23" i="37" s="1"/>
  <c r="DS22" i="37" s="1"/>
  <c r="DS21" i="37" s="1"/>
  <c r="DS20" i="37" s="1"/>
  <c r="DS19" i="37" s="1"/>
  <c r="DS18" i="37" s="1"/>
  <c r="DT18" i="37" s="1"/>
  <c r="F40" i="83"/>
  <c r="P23" i="41"/>
  <c r="DU24" i="41"/>
  <c r="DW24" i="41" s="1"/>
  <c r="R52" i="39"/>
  <c r="T25" i="9" s="1"/>
  <c r="Z74" i="9" s="1"/>
  <c r="DU35" i="40"/>
  <c r="DW35" i="40" s="1"/>
  <c r="DU32" i="40"/>
  <c r="DW32" i="40" s="1"/>
  <c r="DV44" i="18"/>
  <c r="DW44" i="18" s="1"/>
  <c r="DV42" i="41"/>
  <c r="DW42" i="41" s="1"/>
  <c r="DU22" i="35"/>
  <c r="DW22" i="35" s="1"/>
  <c r="CA34" i="9"/>
  <c r="L20" i="9" s="1"/>
  <c r="T20" i="9" s="1"/>
  <c r="B65" i="7"/>
  <c r="DU22" i="45"/>
  <c r="DW22" i="45" s="1"/>
  <c r="DS48" i="43"/>
  <c r="DS47" i="43" s="1"/>
  <c r="DS46" i="43" s="1"/>
  <c r="DS45" i="43" s="1"/>
  <c r="DS44" i="43" s="1"/>
  <c r="DS43" i="43" s="1"/>
  <c r="DS42" i="43" s="1"/>
  <c r="DS41" i="43" s="1"/>
  <c r="DS40" i="43" s="1"/>
  <c r="DS39" i="43" s="1"/>
  <c r="DS38" i="43" s="1"/>
  <c r="DS37" i="43" s="1"/>
  <c r="DS36" i="43" s="1"/>
  <c r="DS35" i="43" s="1"/>
  <c r="DS34" i="43" s="1"/>
  <c r="DS33" i="43" s="1"/>
  <c r="DS32" i="43" s="1"/>
  <c r="DS31" i="43" s="1"/>
  <c r="DS30" i="43" s="1"/>
  <c r="DS29" i="43" s="1"/>
  <c r="DS28" i="43" s="1"/>
  <c r="DS27" i="43" s="1"/>
  <c r="DS26" i="43" s="1"/>
  <c r="DS25" i="43" s="1"/>
  <c r="DS24" i="43" s="1"/>
  <c r="DS23" i="43" s="1"/>
  <c r="DS22" i="43" s="1"/>
  <c r="DS21" i="43" s="1"/>
  <c r="DS20" i="43" s="1"/>
  <c r="DS19" i="43" s="1"/>
  <c r="DV34" i="38"/>
  <c r="DW34" i="38" s="1"/>
  <c r="CP53" i="36"/>
  <c r="FG60" i="9" a="1"/>
  <c r="FG60" i="9" s="1"/>
  <c r="R65" i="9" s="1"/>
  <c r="T65" i="9" s="1"/>
  <c r="CQ53" i="38"/>
  <c r="CM53" i="38" s="1"/>
  <c r="CN53" i="38" s="1"/>
  <c r="CR53" i="38" s="1"/>
  <c r="DU45" i="36"/>
  <c r="DW45" i="36" s="1"/>
  <c r="CA44" i="5"/>
  <c r="CA49" i="5" s="1"/>
  <c r="CO53" i="39"/>
  <c r="CM53" i="39" s="1"/>
  <c r="CN53" i="39" s="1"/>
  <c r="CR53" i="39" s="1"/>
  <c r="B65" i="15"/>
  <c r="DV29" i="39"/>
  <c r="DW29" i="39" s="1"/>
  <c r="AB34" i="18"/>
  <c r="AF34" i="18" s="1"/>
  <c r="AF40" i="18" s="1"/>
  <c r="F77" i="36"/>
  <c r="G77" i="36"/>
  <c r="F71" i="36"/>
  <c r="G71" i="36"/>
  <c r="F64" i="36"/>
  <c r="G64" i="36"/>
  <c r="G76" i="36"/>
  <c r="F76" i="36"/>
  <c r="F63" i="36"/>
  <c r="G63" i="36"/>
  <c r="F69" i="36"/>
  <c r="G69" i="36"/>
  <c r="F67" i="36"/>
  <c r="G67" i="36"/>
  <c r="G83" i="36"/>
  <c r="F83" i="36"/>
  <c r="G75" i="36"/>
  <c r="F75" i="36"/>
  <c r="F78" i="36"/>
  <c r="G78" i="36"/>
  <c r="G82" i="36"/>
  <c r="F82" i="36"/>
  <c r="F74" i="36"/>
  <c r="G74" i="36"/>
  <c r="DU42" i="36"/>
  <c r="DW42" i="36" s="1"/>
  <c r="F68" i="36"/>
  <c r="G68" i="36"/>
  <c r="G85" i="36"/>
  <c r="F85" i="36"/>
  <c r="G70" i="36"/>
  <c r="F70" i="36"/>
  <c r="F61" i="36"/>
  <c r="G61" i="36"/>
  <c r="F60" i="36"/>
  <c r="G60" i="36"/>
  <c r="P23" i="43"/>
  <c r="R52" i="43"/>
  <c r="T25" i="13" s="1"/>
  <c r="Z74" i="13" s="1"/>
  <c r="DV29" i="37"/>
  <c r="DW29" i="37" s="1"/>
  <c r="DV25" i="42"/>
  <c r="DW25" i="42" s="1"/>
  <c r="DU37" i="40"/>
  <c r="DW37" i="40" s="1"/>
  <c r="BE149" i="6"/>
  <c r="EI25" i="6" s="1"/>
  <c r="DK27" i="8"/>
  <c r="P25" i="8"/>
  <c r="P25" i="9"/>
  <c r="DK27" i="6"/>
  <c r="P25" i="6"/>
  <c r="CA34" i="5"/>
  <c r="L20" i="5" s="1"/>
  <c r="T20" i="5" s="1"/>
  <c r="BZ81" i="5" s="1"/>
  <c r="BE149" i="15"/>
  <c r="EI25" i="15" s="1"/>
  <c r="BE149" i="10"/>
  <c r="EI25" i="10" s="1"/>
  <c r="BE149" i="9"/>
  <c r="BE149" i="7"/>
  <c r="EI25" i="7" s="1"/>
  <c r="BE149" i="13"/>
  <c r="EI25" i="13" s="1"/>
  <c r="BE149" i="14"/>
  <c r="EI25" i="14" s="1"/>
  <c r="BE149" i="11"/>
  <c r="EI25" i="11" s="1"/>
  <c r="BE149" i="8"/>
  <c r="EI25" i="8" s="1"/>
  <c r="BE149" i="4"/>
  <c r="EI25" i="4" s="1"/>
  <c r="AL86" i="4" s="1"/>
  <c r="BE149" i="12"/>
  <c r="EI25" i="12" s="1"/>
  <c r="BE149" i="5"/>
  <c r="EI25" i="5" s="1"/>
  <c r="P23" i="44"/>
  <c r="F35" i="83"/>
  <c r="DR19" i="18"/>
  <c r="DR20" i="18" s="1"/>
  <c r="R52" i="44"/>
  <c r="T25" i="14" s="1"/>
  <c r="Z74" i="14" s="1"/>
  <c r="DV19" i="18"/>
  <c r="DW19" i="18" s="1"/>
  <c r="DV34" i="43"/>
  <c r="DW34" i="43" s="1"/>
  <c r="CO52" i="43"/>
  <c r="CA34" i="4"/>
  <c r="L20" i="4" s="1"/>
  <c r="T20" i="4" s="1"/>
  <c r="DU34" i="44"/>
  <c r="DW34" i="44" s="1"/>
  <c r="CA44" i="6"/>
  <c r="CA49" i="6" s="1"/>
  <c r="CQ52" i="37"/>
  <c r="FG60" i="5" a="1"/>
  <c r="FG60" i="5" s="1"/>
  <c r="R65" i="5" s="1"/>
  <c r="T65" i="5" s="1"/>
  <c r="FG61" i="13" a="1"/>
  <c r="FG61" i="13" s="1"/>
  <c r="R66" i="13" s="1"/>
  <c r="T66" i="13" s="1"/>
  <c r="DS45" i="35"/>
  <c r="DS44" i="35" s="1"/>
  <c r="DS43" i="35" s="1"/>
  <c r="DS42" i="35" s="1"/>
  <c r="DS41" i="35" s="1"/>
  <c r="DS40" i="35" s="1"/>
  <c r="DS39" i="35" s="1"/>
  <c r="DS38" i="35" s="1"/>
  <c r="DS37" i="35" s="1"/>
  <c r="DS36" i="35" s="1"/>
  <c r="DS35" i="35" s="1"/>
  <c r="DS34" i="35" s="1"/>
  <c r="DS33" i="35" s="1"/>
  <c r="DS32" i="35" s="1"/>
  <c r="DS31" i="35" s="1"/>
  <c r="DS30" i="35" s="1"/>
  <c r="DS29" i="35" s="1"/>
  <c r="DS28" i="35" s="1"/>
  <c r="DS27" i="35" s="1"/>
  <c r="DS26" i="35" s="1"/>
  <c r="DS25" i="35" s="1"/>
  <c r="DS24" i="35" s="1"/>
  <c r="DS23" i="35" s="1"/>
  <c r="DS22" i="35" s="1"/>
  <c r="DS21" i="35" s="1"/>
  <c r="DS20" i="35" s="1"/>
  <c r="DS19" i="35" s="1"/>
  <c r="CA34" i="8"/>
  <c r="L20" i="8" s="1"/>
  <c r="T20" i="8" s="1"/>
  <c r="BZ81" i="8" s="1"/>
  <c r="CA34" i="7"/>
  <c r="L20" i="7" s="1"/>
  <c r="T20" i="7" s="1"/>
  <c r="BZ81" i="7" s="1"/>
  <c r="CA34" i="6"/>
  <c r="L20" i="6" s="1"/>
  <c r="T20" i="6" s="1"/>
  <c r="BZ81" i="6" s="1"/>
  <c r="CA34" i="13"/>
  <c r="L20" i="13" s="1"/>
  <c r="T20" i="13" s="1"/>
  <c r="CA34" i="10"/>
  <c r="L20" i="10" s="1"/>
  <c r="T20" i="10" s="1"/>
  <c r="CA34" i="14"/>
  <c r="L20" i="14" s="1"/>
  <c r="T20" i="14" s="1"/>
  <c r="CA34" i="11"/>
  <c r="L20" i="11" s="1"/>
  <c r="T20" i="11" s="1"/>
  <c r="CA34" i="12"/>
  <c r="L20" i="12" s="1"/>
  <c r="T20" i="12" s="1"/>
  <c r="DV42" i="44"/>
  <c r="DU42" i="44"/>
  <c r="DU33" i="44"/>
  <c r="DV33" i="44"/>
  <c r="DU27" i="37"/>
  <c r="DV27" i="37"/>
  <c r="DU38" i="43"/>
  <c r="DV38" i="43"/>
  <c r="DV21" i="36"/>
  <c r="DU21" i="36"/>
  <c r="DV45" i="35"/>
  <c r="DU45" i="35"/>
  <c r="DV33" i="18"/>
  <c r="DU33" i="18"/>
  <c r="DV48" i="42"/>
  <c r="DU48" i="42"/>
  <c r="DS48" i="42"/>
  <c r="DS47" i="42" s="1"/>
  <c r="DS46" i="42" s="1"/>
  <c r="DS45" i="42" s="1"/>
  <c r="DS44" i="42" s="1"/>
  <c r="DS43" i="42" s="1"/>
  <c r="DS42" i="42" s="1"/>
  <c r="DS41" i="42" s="1"/>
  <c r="DS40" i="42" s="1"/>
  <c r="DS39" i="42" s="1"/>
  <c r="DS38" i="42" s="1"/>
  <c r="DS37" i="42" s="1"/>
  <c r="DS36" i="42" s="1"/>
  <c r="DS35" i="42" s="1"/>
  <c r="DS34" i="42" s="1"/>
  <c r="DS33" i="42" s="1"/>
  <c r="DS32" i="42" s="1"/>
  <c r="DS31" i="42" s="1"/>
  <c r="DS30" i="42" s="1"/>
  <c r="DS29" i="42" s="1"/>
  <c r="DS28" i="42" s="1"/>
  <c r="DS27" i="42" s="1"/>
  <c r="DS26" i="42" s="1"/>
  <c r="DS25" i="42" s="1"/>
  <c r="DS24" i="42" s="1"/>
  <c r="DS23" i="42" s="1"/>
  <c r="DS22" i="42" s="1"/>
  <c r="DS21" i="42" s="1"/>
  <c r="DS20" i="42" s="1"/>
  <c r="DS19" i="42" s="1"/>
  <c r="DS18" i="42" s="1"/>
  <c r="DT18" i="42" s="1"/>
  <c r="DU23" i="18"/>
  <c r="DV23" i="18"/>
  <c r="DU26" i="38"/>
  <c r="DV26" i="38"/>
  <c r="DV23" i="38"/>
  <c r="DU23" i="38"/>
  <c r="DU28" i="44"/>
  <c r="DV28" i="44"/>
  <c r="DV26" i="42"/>
  <c r="DU26" i="42"/>
  <c r="DU33" i="41"/>
  <c r="DV33" i="41"/>
  <c r="DU34" i="39"/>
  <c r="DV34" i="39"/>
  <c r="DU28" i="43"/>
  <c r="DV28" i="43"/>
  <c r="DV41" i="43"/>
  <c r="DU41" i="43"/>
  <c r="CP53" i="43"/>
  <c r="CQ53" i="41"/>
  <c r="CM53" i="41" s="1"/>
  <c r="CN53" i="41" s="1"/>
  <c r="CR53" i="41" s="1"/>
  <c r="DR19" i="41"/>
  <c r="DR20" i="41" s="1"/>
  <c r="DR21" i="41" s="1"/>
  <c r="DR22" i="41" s="1"/>
  <c r="DU19" i="41"/>
  <c r="DV19" i="41"/>
  <c r="DU26" i="45"/>
  <c r="DV26" i="45"/>
  <c r="DV46" i="44"/>
  <c r="DU46" i="44"/>
  <c r="CA44" i="8"/>
  <c r="CA49" i="8" s="1"/>
  <c r="FG60" i="8" a="1"/>
  <c r="FG60" i="8" s="1"/>
  <c r="R65" i="8" s="1"/>
  <c r="T65" i="8" s="1"/>
  <c r="F39" i="83"/>
  <c r="FG60" i="11" a="1"/>
  <c r="FG60" i="11" s="1"/>
  <c r="R65" i="11" s="1"/>
  <c r="T65" i="11" s="1"/>
  <c r="B12" i="52"/>
  <c r="CA44" i="9"/>
  <c r="CA49" i="9" s="1"/>
  <c r="BE114" i="15"/>
  <c r="EI17" i="15" s="1"/>
  <c r="BE114" i="12"/>
  <c r="EI17" i="12" s="1"/>
  <c r="L13" i="59" s="1"/>
  <c r="CO48" i="40"/>
  <c r="CP48" i="41"/>
  <c r="CQ52" i="43"/>
  <c r="CO52" i="44"/>
  <c r="CO48" i="18"/>
  <c r="CM48" i="18" s="1"/>
  <c r="CN48" i="18" s="1"/>
  <c r="CR48" i="18" s="1"/>
  <c r="K100" i="76"/>
  <c r="K112" i="76"/>
  <c r="K101" i="76"/>
  <c r="K113" i="76"/>
  <c r="K99" i="76"/>
  <c r="K111" i="76"/>
  <c r="CO51" i="40"/>
  <c r="CM51" i="40" s="1"/>
  <c r="CN51" i="40" s="1"/>
  <c r="CR51" i="40" s="1"/>
  <c r="K106" i="76"/>
  <c r="K118" i="76"/>
  <c r="K105" i="76"/>
  <c r="K117" i="76"/>
  <c r="K108" i="76"/>
  <c r="K120" i="76"/>
  <c r="K107" i="76"/>
  <c r="K119" i="76"/>
  <c r="CO51" i="37"/>
  <c r="CM51" i="37" s="1"/>
  <c r="CN51" i="37" s="1"/>
  <c r="CR51" i="37" s="1"/>
  <c r="CM53" i="45"/>
  <c r="CN53" i="45" s="1"/>
  <c r="CR53" i="45" s="1"/>
  <c r="CQ53" i="42"/>
  <c r="CM53" i="42" s="1"/>
  <c r="CN53" i="42" s="1"/>
  <c r="CR53" i="42" s="1"/>
  <c r="CO48" i="43"/>
  <c r="BE114" i="5"/>
  <c r="BE114" i="11"/>
  <c r="EI17" i="11" s="1"/>
  <c r="K104" i="76"/>
  <c r="K116" i="76"/>
  <c r="CO52" i="38"/>
  <c r="K102" i="76"/>
  <c r="K114" i="76"/>
  <c r="K109" i="76"/>
  <c r="K121" i="76"/>
  <c r="K110" i="76"/>
  <c r="K122" i="76"/>
  <c r="CQ52" i="40"/>
  <c r="K103" i="76"/>
  <c r="K115" i="76"/>
  <c r="CO49" i="44"/>
  <c r="CM49" i="44" s="1"/>
  <c r="CN49" i="44" s="1"/>
  <c r="CR49" i="44" s="1"/>
  <c r="CO50" i="37"/>
  <c r="CM50" i="37" s="1"/>
  <c r="CN50" i="37" s="1"/>
  <c r="CR50" i="37" s="1"/>
  <c r="BE114" i="14"/>
  <c r="BE115" i="14" s="1"/>
  <c r="BE114" i="6"/>
  <c r="BE114" i="9"/>
  <c r="BE115" i="9" s="1"/>
  <c r="BE114" i="4"/>
  <c r="EI17" i="4" s="1"/>
  <c r="AL84" i="4" s="1"/>
  <c r="BE114" i="7"/>
  <c r="BE114" i="13"/>
  <c r="EI17" i="13" s="1"/>
  <c r="L14" i="59" s="1"/>
  <c r="BE114" i="8"/>
  <c r="BE114" i="10"/>
  <c r="EI17" i="10" s="1"/>
  <c r="B65" i="13"/>
  <c r="K12" i="59"/>
  <c r="K14" i="59"/>
  <c r="K11" i="59"/>
  <c r="K13" i="59"/>
  <c r="K16" i="59"/>
  <c r="K15" i="59"/>
  <c r="DK27" i="4"/>
  <c r="P25" i="4"/>
  <c r="B65" i="4"/>
  <c r="CQ52" i="35"/>
  <c r="CO50" i="42"/>
  <c r="CM50" i="42" s="1"/>
  <c r="CN50" i="42" s="1"/>
  <c r="CR50" i="42" s="1"/>
  <c r="B6" i="52"/>
  <c r="CO48" i="38"/>
  <c r="CO49" i="41"/>
  <c r="CM49" i="41" s="1"/>
  <c r="CN49" i="41" s="1"/>
  <c r="CR49" i="41" s="1"/>
  <c r="B65" i="10"/>
  <c r="CP48" i="45"/>
  <c r="CO50" i="39"/>
  <c r="CM50" i="39" s="1"/>
  <c r="CN50" i="39" s="1"/>
  <c r="CR50" i="39" s="1"/>
  <c r="CG50" i="18"/>
  <c r="EH16" i="10"/>
  <c r="EH18" i="10" s="1"/>
  <c r="K10" i="59"/>
  <c r="EH15" i="9"/>
  <c r="AA10" i="59" s="1"/>
  <c r="EH16" i="5"/>
  <c r="EH18" i="5" s="1"/>
  <c r="EH15" i="4"/>
  <c r="AA5" i="59" s="1"/>
  <c r="K5" i="59"/>
  <c r="CO49" i="36"/>
  <c r="CM49" i="36" s="1"/>
  <c r="CN49" i="36" s="1"/>
  <c r="CR49" i="36" s="1"/>
  <c r="DW26" i="35"/>
  <c r="CO49" i="18"/>
  <c r="CM49" i="18" s="1"/>
  <c r="CN49" i="18" s="1"/>
  <c r="CR49" i="18" s="1"/>
  <c r="CO51" i="43"/>
  <c r="CM51" i="43" s="1"/>
  <c r="CN51" i="43" s="1"/>
  <c r="CR51" i="43" s="1"/>
  <c r="CO50" i="36"/>
  <c r="CM50" i="36" s="1"/>
  <c r="CN50" i="36" s="1"/>
  <c r="CR50" i="36" s="1"/>
  <c r="CO52" i="18"/>
  <c r="CM52" i="18" s="1"/>
  <c r="CN52" i="18" s="1"/>
  <c r="CR52" i="18" s="1"/>
  <c r="B7" i="52"/>
  <c r="CO51" i="42"/>
  <c r="CM51" i="42" s="1"/>
  <c r="CN51" i="42" s="1"/>
  <c r="CR51" i="42" s="1"/>
  <c r="CO50" i="41"/>
  <c r="CM50" i="41" s="1"/>
  <c r="CN50" i="41" s="1"/>
  <c r="CR50" i="41" s="1"/>
  <c r="CO50" i="45"/>
  <c r="CM50" i="45" s="1"/>
  <c r="CN50" i="45" s="1"/>
  <c r="CR50" i="45" s="1"/>
  <c r="B13" i="52"/>
  <c r="CO51" i="38"/>
  <c r="CM51" i="38" s="1"/>
  <c r="CN51" i="38" s="1"/>
  <c r="CR51" i="38" s="1"/>
  <c r="DW29" i="45"/>
  <c r="CG50" i="38"/>
  <c r="DW36" i="18"/>
  <c r="DW39" i="43"/>
  <c r="CO51" i="41"/>
  <c r="CM51" i="41" s="1"/>
  <c r="CN51" i="41" s="1"/>
  <c r="CR51" i="41" s="1"/>
  <c r="CO49" i="37"/>
  <c r="CM49" i="37" s="1"/>
  <c r="CN49" i="37" s="1"/>
  <c r="CR49" i="37" s="1"/>
  <c r="DW36" i="41"/>
  <c r="DW27" i="39"/>
  <c r="DW26" i="41"/>
  <c r="DW45" i="44"/>
  <c r="DU25" i="44"/>
  <c r="DV25" i="44"/>
  <c r="DV20" i="18"/>
  <c r="DU20" i="18"/>
  <c r="DU19" i="43"/>
  <c r="DR19" i="43"/>
  <c r="DR20" i="43" s="1"/>
  <c r="DR21" i="43" s="1"/>
  <c r="DV19" i="43"/>
  <c r="DV21" i="18"/>
  <c r="DU21" i="18"/>
  <c r="DV45" i="37"/>
  <c r="DU45" i="37"/>
  <c r="DW47" i="38"/>
  <c r="DW40" i="40"/>
  <c r="DW25" i="41"/>
  <c r="DW27" i="35"/>
  <c r="DW40" i="41"/>
  <c r="DW42" i="18"/>
  <c r="DW23" i="35"/>
  <c r="DW32" i="37"/>
  <c r="DW40" i="44"/>
  <c r="DW47" i="36"/>
  <c r="CO49" i="35"/>
  <c r="CM49" i="35" s="1"/>
  <c r="CN49" i="35" s="1"/>
  <c r="CR49" i="35" s="1"/>
  <c r="CO50" i="18"/>
  <c r="CM50" i="18" s="1"/>
  <c r="CN50" i="18" s="1"/>
  <c r="CR50" i="18" s="1"/>
  <c r="DW35" i="37"/>
  <c r="DW39" i="37"/>
  <c r="CO52" i="40"/>
  <c r="DW43" i="40"/>
  <c r="DW46" i="38"/>
  <c r="CG50" i="36"/>
  <c r="DW32" i="42"/>
  <c r="CO50" i="35"/>
  <c r="CM50" i="35" s="1"/>
  <c r="CN50" i="35" s="1"/>
  <c r="CR50" i="35" s="1"/>
  <c r="DW33" i="45"/>
  <c r="DW43" i="18"/>
  <c r="DW30" i="18"/>
  <c r="DW27" i="45"/>
  <c r="DW40" i="35"/>
  <c r="DW45" i="45"/>
  <c r="DW35" i="42"/>
  <c r="DW21" i="38"/>
  <c r="FG60" i="15" a="1"/>
  <c r="FG60" i="15" s="1"/>
  <c r="R65" i="15" s="1"/>
  <c r="T65" i="15" s="1"/>
  <c r="R64" i="10"/>
  <c r="T64" i="10" s="1"/>
  <c r="FG60" i="10" a="1"/>
  <c r="FG60" i="10" s="1"/>
  <c r="DW19" i="36"/>
  <c r="FG60" i="12" a="1"/>
  <c r="FG60" i="12" s="1"/>
  <c r="R65" i="12" s="1"/>
  <c r="T65" i="12" s="1"/>
  <c r="DW23" i="44"/>
  <c r="FG61" i="6" a="1"/>
  <c r="FG61" i="6" s="1"/>
  <c r="R66" i="6" s="1"/>
  <c r="T66" i="6" s="1"/>
  <c r="DV19" i="35"/>
  <c r="DR19" i="35"/>
  <c r="DR20" i="35" s="1"/>
  <c r="DR21" i="35" s="1"/>
  <c r="DU19" i="35"/>
  <c r="DV41" i="36"/>
  <c r="DU41" i="36"/>
  <c r="DV45" i="42"/>
  <c r="DU45" i="42"/>
  <c r="AB40" i="45"/>
  <c r="AF34" i="45"/>
  <c r="AF40" i="45" s="1"/>
  <c r="DU39" i="35"/>
  <c r="DV39" i="35"/>
  <c r="DW44" i="37"/>
  <c r="DV29" i="43"/>
  <c r="DU29" i="43"/>
  <c r="DV43" i="39"/>
  <c r="DU43" i="39"/>
  <c r="DU41" i="37"/>
  <c r="DV41" i="37"/>
  <c r="FG60" i="7" a="1"/>
  <c r="FG60" i="7" s="1"/>
  <c r="DV20" i="38"/>
  <c r="DR20" i="38"/>
  <c r="DU20" i="38"/>
  <c r="DV32" i="45"/>
  <c r="DU32" i="45"/>
  <c r="DW42" i="38"/>
  <c r="DV46" i="45"/>
  <c r="DU46" i="45"/>
  <c r="DU30" i="41"/>
  <c r="DV30" i="41"/>
  <c r="DV44" i="38"/>
  <c r="DU44" i="38"/>
  <c r="DS44" i="38"/>
  <c r="DS43" i="38" s="1"/>
  <c r="DS42" i="38" s="1"/>
  <c r="DS41" i="38" s="1"/>
  <c r="DS40" i="38" s="1"/>
  <c r="DS39" i="38" s="1"/>
  <c r="DS38" i="38" s="1"/>
  <c r="DS37" i="38" s="1"/>
  <c r="DS36" i="38" s="1"/>
  <c r="DS35" i="38" s="1"/>
  <c r="DS34" i="38" s="1"/>
  <c r="DS33" i="38" s="1"/>
  <c r="DS32" i="38" s="1"/>
  <c r="DS31" i="38" s="1"/>
  <c r="DS30" i="38" s="1"/>
  <c r="DS29" i="38" s="1"/>
  <c r="DS28" i="38" s="1"/>
  <c r="DS27" i="38" s="1"/>
  <c r="DS26" i="38" s="1"/>
  <c r="DS25" i="38" s="1"/>
  <c r="DS24" i="38" s="1"/>
  <c r="DS23" i="38" s="1"/>
  <c r="DS22" i="38" s="1"/>
  <c r="DS21" i="38" s="1"/>
  <c r="DS20" i="38" s="1"/>
  <c r="DS19" i="38" s="1"/>
  <c r="DV21" i="35"/>
  <c r="DU21" i="35"/>
  <c r="R65" i="4"/>
  <c r="T65" i="4" s="1"/>
  <c r="DV36" i="44"/>
  <c r="DU36" i="44"/>
  <c r="DW46" i="43"/>
  <c r="AB40" i="37"/>
  <c r="AF34" i="37"/>
  <c r="AF40" i="37" s="1"/>
  <c r="DU40" i="38"/>
  <c r="DV40" i="38"/>
  <c r="DV46" i="41"/>
  <c r="DU46" i="41"/>
  <c r="DS46" i="41"/>
  <c r="DS45" i="41" s="1"/>
  <c r="DS44" i="41" s="1"/>
  <c r="DS43" i="41" s="1"/>
  <c r="DS42" i="41" s="1"/>
  <c r="DS41" i="41" s="1"/>
  <c r="DS40" i="41" s="1"/>
  <c r="DS39" i="41" s="1"/>
  <c r="DS38" i="41" s="1"/>
  <c r="DS37" i="41" s="1"/>
  <c r="DS36" i="41" s="1"/>
  <c r="DS35" i="41" s="1"/>
  <c r="DS34" i="41" s="1"/>
  <c r="DS33" i="41" s="1"/>
  <c r="DS32" i="41" s="1"/>
  <c r="DS31" i="41" s="1"/>
  <c r="DS30" i="41" s="1"/>
  <c r="DS29" i="41" s="1"/>
  <c r="DS28" i="41" s="1"/>
  <c r="DS27" i="41" s="1"/>
  <c r="DS26" i="41" s="1"/>
  <c r="DS25" i="41" s="1"/>
  <c r="DS24" i="41" s="1"/>
  <c r="DS23" i="41" s="1"/>
  <c r="DS22" i="41" s="1"/>
  <c r="DS21" i="41" s="1"/>
  <c r="DS20" i="41" s="1"/>
  <c r="DS19" i="41" s="1"/>
  <c r="CO49" i="40"/>
  <c r="DU27" i="42"/>
  <c r="DV27" i="42"/>
  <c r="DV43" i="43"/>
  <c r="DU43" i="43"/>
  <c r="DW41" i="38"/>
  <c r="DW34" i="37"/>
  <c r="DW24" i="43"/>
  <c r="DW30" i="35"/>
  <c r="DV34" i="45"/>
  <c r="DU34" i="45"/>
  <c r="DV20" i="35"/>
  <c r="DU20" i="35"/>
  <c r="DW39" i="42"/>
  <c r="DV20" i="41"/>
  <c r="DU20" i="41"/>
  <c r="DU31" i="35"/>
  <c r="DV31" i="35"/>
  <c r="DV37" i="36"/>
  <c r="DU37" i="36"/>
  <c r="DV42" i="40"/>
  <c r="DU42" i="40"/>
  <c r="DV35" i="39"/>
  <c r="DU35" i="39"/>
  <c r="DU27" i="18"/>
  <c r="DV27" i="18"/>
  <c r="DU27" i="40"/>
  <c r="DV27" i="40"/>
  <c r="DV30" i="36"/>
  <c r="DU30" i="36"/>
  <c r="CP48" i="42"/>
  <c r="CO52" i="41"/>
  <c r="DU21" i="39"/>
  <c r="DV21" i="39"/>
  <c r="EG7" i="8"/>
  <c r="DP21" i="8"/>
  <c r="R74" i="74" s="1"/>
  <c r="CM53" i="44"/>
  <c r="CN53" i="44" s="1"/>
  <c r="CR53" i="44" s="1"/>
  <c r="DU24" i="38"/>
  <c r="DV24" i="38"/>
  <c r="DV20" i="44"/>
  <c r="DU20" i="44"/>
  <c r="DU36" i="35"/>
  <c r="DV36" i="35"/>
  <c r="DU44" i="41"/>
  <c r="DV44" i="41"/>
  <c r="DV43" i="45"/>
  <c r="DU43" i="45"/>
  <c r="CO52" i="35"/>
  <c r="CP48" i="36"/>
  <c r="DR19" i="37"/>
  <c r="DU19" i="37"/>
  <c r="DV19" i="37"/>
  <c r="DU39" i="41"/>
  <c r="DV39" i="41"/>
  <c r="CO51" i="39"/>
  <c r="DV46" i="42"/>
  <c r="DU46" i="42"/>
  <c r="CA44" i="14"/>
  <c r="CA49" i="14" s="1"/>
  <c r="B65" i="14"/>
  <c r="CO53" i="43"/>
  <c r="CP48" i="44"/>
  <c r="DU20" i="42"/>
  <c r="DV20" i="42"/>
  <c r="DU27" i="36"/>
  <c r="DV27" i="36"/>
  <c r="DU37" i="38"/>
  <c r="DV37" i="38"/>
  <c r="CO49" i="38"/>
  <c r="DU21" i="42"/>
  <c r="DV21" i="42"/>
  <c r="AB40" i="38"/>
  <c r="AF34" i="38"/>
  <c r="AF40" i="38" s="1"/>
  <c r="DR19" i="39"/>
  <c r="DU19" i="39"/>
  <c r="DV19" i="39"/>
  <c r="DU31" i="39"/>
  <c r="DV31" i="39"/>
  <c r="DU36" i="45"/>
  <c r="DV36" i="45"/>
  <c r="DU36" i="43"/>
  <c r="DV36" i="43"/>
  <c r="DV25" i="37"/>
  <c r="DU25" i="37"/>
  <c r="DW41" i="40"/>
  <c r="DV34" i="35"/>
  <c r="DU34" i="35"/>
  <c r="DV48" i="36"/>
  <c r="DS48" i="36"/>
  <c r="DS47" i="36" s="1"/>
  <c r="DS46" i="36" s="1"/>
  <c r="DS45" i="36" s="1"/>
  <c r="DS44" i="36" s="1"/>
  <c r="DS43" i="36" s="1"/>
  <c r="DS42" i="36" s="1"/>
  <c r="DS41" i="36" s="1"/>
  <c r="DS40" i="36" s="1"/>
  <c r="DS39" i="36" s="1"/>
  <c r="DS38" i="36" s="1"/>
  <c r="DS37" i="36" s="1"/>
  <c r="DS36" i="36" s="1"/>
  <c r="DS35" i="36" s="1"/>
  <c r="DS34" i="36" s="1"/>
  <c r="DS33" i="36" s="1"/>
  <c r="DS32" i="36" s="1"/>
  <c r="DS31" i="36" s="1"/>
  <c r="DS30" i="36" s="1"/>
  <c r="DS29" i="36" s="1"/>
  <c r="DS28" i="36" s="1"/>
  <c r="DS27" i="36" s="1"/>
  <c r="DS26" i="36" s="1"/>
  <c r="DS25" i="36" s="1"/>
  <c r="DS24" i="36" s="1"/>
  <c r="DS23" i="36" s="1"/>
  <c r="DS22" i="36" s="1"/>
  <c r="DS21" i="36" s="1"/>
  <c r="DS20" i="36" s="1"/>
  <c r="DS19" i="36" s="1"/>
  <c r="DU48" i="36"/>
  <c r="DV32" i="41"/>
  <c r="DU32" i="41"/>
  <c r="DV38" i="44"/>
  <c r="DU38" i="44"/>
  <c r="DW24" i="44"/>
  <c r="DW28" i="38"/>
  <c r="DV46" i="37"/>
  <c r="DU46" i="37"/>
  <c r="B65" i="12"/>
  <c r="CA44" i="12"/>
  <c r="CA49" i="12" s="1"/>
  <c r="DW41" i="44"/>
  <c r="DV29" i="38"/>
  <c r="DU29" i="38"/>
  <c r="DV47" i="45"/>
  <c r="DS47" i="45"/>
  <c r="DS46" i="45" s="1"/>
  <c r="DS45" i="45" s="1"/>
  <c r="DS44" i="45" s="1"/>
  <c r="DS43" i="45" s="1"/>
  <c r="DS42" i="45" s="1"/>
  <c r="DS41" i="45" s="1"/>
  <c r="DS40" i="45" s="1"/>
  <c r="DS39" i="45" s="1"/>
  <c r="DS38" i="45" s="1"/>
  <c r="DS37" i="45" s="1"/>
  <c r="DS36" i="45" s="1"/>
  <c r="DS35" i="45" s="1"/>
  <c r="DS34" i="45" s="1"/>
  <c r="DS33" i="45" s="1"/>
  <c r="DS32" i="45" s="1"/>
  <c r="DS31" i="45" s="1"/>
  <c r="DS30" i="45" s="1"/>
  <c r="DS29" i="45" s="1"/>
  <c r="DS28" i="45" s="1"/>
  <c r="DS27" i="45" s="1"/>
  <c r="DS26" i="45" s="1"/>
  <c r="DS25" i="45" s="1"/>
  <c r="DS24" i="45" s="1"/>
  <c r="DS23" i="45" s="1"/>
  <c r="DS22" i="45" s="1"/>
  <c r="DS21" i="45" s="1"/>
  <c r="DS20" i="45" s="1"/>
  <c r="DS19" i="45" s="1"/>
  <c r="DS18" i="45" s="1"/>
  <c r="DT18" i="45" s="1"/>
  <c r="DU47" i="45"/>
  <c r="DU39" i="38"/>
  <c r="DV39" i="38"/>
  <c r="DV32" i="35"/>
  <c r="DU32" i="35"/>
  <c r="DV29" i="35"/>
  <c r="DU29" i="35"/>
  <c r="DW40" i="42"/>
  <c r="DW26" i="18"/>
  <c r="DW25" i="43"/>
  <c r="EG7" i="10"/>
  <c r="DP21" i="10"/>
  <c r="X74" i="74" s="1"/>
  <c r="CO53" i="18"/>
  <c r="DV43" i="44"/>
  <c r="DU43" i="44"/>
  <c r="B11" i="52"/>
  <c r="F36" i="83"/>
  <c r="DV29" i="36"/>
  <c r="DU29" i="36"/>
  <c r="DU21" i="37"/>
  <c r="DV21" i="37"/>
  <c r="DW45" i="39"/>
  <c r="DU26" i="37"/>
  <c r="DV26" i="37"/>
  <c r="CA28" i="15"/>
  <c r="CA34" i="15" s="1"/>
  <c r="L20" i="15" s="1"/>
  <c r="T20" i="15" s="1"/>
  <c r="BZ81" i="15" s="1"/>
  <c r="CG50" i="40"/>
  <c r="DV32" i="39"/>
  <c r="DU32" i="39"/>
  <c r="CG50" i="35"/>
  <c r="CO48" i="35"/>
  <c r="AB40" i="36"/>
  <c r="AF34" i="36"/>
  <c r="AF40" i="36" s="1"/>
  <c r="CO48" i="41"/>
  <c r="CG50" i="41"/>
  <c r="CQ53" i="40"/>
  <c r="CM53" i="40" s="1"/>
  <c r="CN53" i="40" s="1"/>
  <c r="CR53" i="40" s="1"/>
  <c r="AB54" i="18"/>
  <c r="AF48" i="18"/>
  <c r="AF54" i="18" s="1"/>
  <c r="DV37" i="37"/>
  <c r="DU37" i="37"/>
  <c r="CO51" i="36"/>
  <c r="EG7" i="6"/>
  <c r="DP21" i="6"/>
  <c r="L74" i="74" s="1"/>
  <c r="DV46" i="40"/>
  <c r="DU46" i="40"/>
  <c r="DV30" i="44"/>
  <c r="DU30" i="44"/>
  <c r="DU43" i="35"/>
  <c r="DV43" i="35"/>
  <c r="DV42" i="45"/>
  <c r="DU42" i="45"/>
  <c r="DV38" i="38"/>
  <c r="DU38" i="38"/>
  <c r="DU45" i="41"/>
  <c r="DV45" i="41"/>
  <c r="DW45" i="40"/>
  <c r="DW30" i="39"/>
  <c r="DU24" i="40"/>
  <c r="DV24" i="40"/>
  <c r="DV36" i="42"/>
  <c r="DU36" i="42"/>
  <c r="DU44" i="36"/>
  <c r="DV44" i="36"/>
  <c r="DU22" i="39"/>
  <c r="DV22" i="39"/>
  <c r="CQ52" i="36"/>
  <c r="CG50" i="37"/>
  <c r="CO48" i="37"/>
  <c r="FG61" i="4" a="1"/>
  <c r="FG61" i="4" s="1"/>
  <c r="R66" i="4" s="1"/>
  <c r="T66" i="4" s="1"/>
  <c r="DU43" i="37"/>
  <c r="DV43" i="37"/>
  <c r="F34" i="83"/>
  <c r="B9" i="52"/>
  <c r="EG7" i="5"/>
  <c r="DP21" i="5"/>
  <c r="I74" i="74" s="1"/>
  <c r="DV47" i="43"/>
  <c r="DU47" i="43"/>
  <c r="CO51" i="44"/>
  <c r="DU22" i="18"/>
  <c r="DV22" i="18"/>
  <c r="DU47" i="42"/>
  <c r="DV47" i="42"/>
  <c r="DV21" i="43"/>
  <c r="DU21" i="43"/>
  <c r="DV30" i="45"/>
  <c r="DU30" i="45"/>
  <c r="DV28" i="40"/>
  <c r="DU28" i="40"/>
  <c r="F29" i="83"/>
  <c r="B4" i="52"/>
  <c r="I18" i="16"/>
  <c r="DV24" i="42"/>
  <c r="DU24" i="42"/>
  <c r="DW44" i="42"/>
  <c r="DW24" i="39"/>
  <c r="DW31" i="18"/>
  <c r="DU25" i="38"/>
  <c r="DV25" i="38"/>
  <c r="CO49" i="42"/>
  <c r="DU38" i="42"/>
  <c r="DV38" i="42"/>
  <c r="CG50" i="39"/>
  <c r="CQ52" i="38"/>
  <c r="CO48" i="39"/>
  <c r="CO51" i="45"/>
  <c r="DV34" i="18"/>
  <c r="DU34" i="18"/>
  <c r="CO51" i="35"/>
  <c r="DU39" i="36"/>
  <c r="DV39" i="36"/>
  <c r="DV43" i="36"/>
  <c r="DU43" i="36"/>
  <c r="DV41" i="45"/>
  <c r="DU41" i="45"/>
  <c r="DV42" i="39"/>
  <c r="DU42" i="39"/>
  <c r="CQ52" i="41"/>
  <c r="CG50" i="42"/>
  <c r="CO48" i="42"/>
  <c r="T7" i="59"/>
  <c r="AH93" i="7"/>
  <c r="T8" i="59" s="1"/>
  <c r="DU27" i="38"/>
  <c r="DV27" i="38"/>
  <c r="DP21" i="12"/>
  <c r="AD74" i="74" s="1"/>
  <c r="EG7" i="12"/>
  <c r="DV48" i="18"/>
  <c r="DS48" i="18"/>
  <c r="DS47" i="18" s="1"/>
  <c r="DS46" i="18" s="1"/>
  <c r="DS45" i="18" s="1"/>
  <c r="DS44" i="18" s="1"/>
  <c r="DS43" i="18" s="1"/>
  <c r="DS42" i="18" s="1"/>
  <c r="DS41" i="18" s="1"/>
  <c r="DS40" i="18" s="1"/>
  <c r="DS39" i="18" s="1"/>
  <c r="DS38" i="18" s="1"/>
  <c r="DS37" i="18" s="1"/>
  <c r="DS36" i="18" s="1"/>
  <c r="DS35" i="18" s="1"/>
  <c r="DS34" i="18" s="1"/>
  <c r="DS33" i="18" s="1"/>
  <c r="DS32" i="18" s="1"/>
  <c r="DS31" i="18" s="1"/>
  <c r="DS30" i="18" s="1"/>
  <c r="DS29" i="18" s="1"/>
  <c r="DS28" i="18" s="1"/>
  <c r="DS27" i="18" s="1"/>
  <c r="DS26" i="18" s="1"/>
  <c r="DS25" i="18" s="1"/>
  <c r="DS24" i="18" s="1"/>
  <c r="DS23" i="18" s="1"/>
  <c r="DS22" i="18" s="1"/>
  <c r="DS21" i="18" s="1"/>
  <c r="DS20" i="18" s="1"/>
  <c r="DS19" i="18" s="1"/>
  <c r="DU48" i="18"/>
  <c r="DV25" i="35"/>
  <c r="DU25" i="35"/>
  <c r="DS47" i="44"/>
  <c r="DS46" i="44" s="1"/>
  <c r="DS45" i="44" s="1"/>
  <c r="DS44" i="44" s="1"/>
  <c r="DS43" i="44" s="1"/>
  <c r="DS42" i="44" s="1"/>
  <c r="DS41" i="44" s="1"/>
  <c r="DS40" i="44" s="1"/>
  <c r="DS39" i="44" s="1"/>
  <c r="DS38" i="44" s="1"/>
  <c r="DS37" i="44" s="1"/>
  <c r="DS36" i="44" s="1"/>
  <c r="DS35" i="44" s="1"/>
  <c r="DS34" i="44" s="1"/>
  <c r="DS33" i="44" s="1"/>
  <c r="DS32" i="44" s="1"/>
  <c r="DS31" i="44" s="1"/>
  <c r="DS30" i="44" s="1"/>
  <c r="DS29" i="44" s="1"/>
  <c r="DS28" i="44" s="1"/>
  <c r="DS27" i="44" s="1"/>
  <c r="DS26" i="44" s="1"/>
  <c r="DS25" i="44" s="1"/>
  <c r="DS24" i="44" s="1"/>
  <c r="DS23" i="44" s="1"/>
  <c r="DS22" i="44" s="1"/>
  <c r="DS21" i="44" s="1"/>
  <c r="DS20" i="44" s="1"/>
  <c r="DS19" i="44" s="1"/>
  <c r="DS18" i="44" s="1"/>
  <c r="DT18" i="44" s="1"/>
  <c r="DV47" i="44"/>
  <c r="DU47" i="44"/>
  <c r="AB40" i="44"/>
  <c r="AF34" i="44"/>
  <c r="AF40" i="44" s="1"/>
  <c r="DU42" i="37"/>
  <c r="DV42" i="37"/>
  <c r="DU21" i="41"/>
  <c r="DV21" i="41"/>
  <c r="DV46" i="39"/>
  <c r="DS46" i="39"/>
  <c r="DS45" i="39" s="1"/>
  <c r="DS44" i="39" s="1"/>
  <c r="DS43" i="39" s="1"/>
  <c r="DS42" i="39" s="1"/>
  <c r="DS41" i="39" s="1"/>
  <c r="DS40" i="39" s="1"/>
  <c r="DS39" i="39" s="1"/>
  <c r="DS38" i="39" s="1"/>
  <c r="DS37" i="39" s="1"/>
  <c r="DS36" i="39" s="1"/>
  <c r="DS35" i="39" s="1"/>
  <c r="DS34" i="39" s="1"/>
  <c r="DS33" i="39" s="1"/>
  <c r="DS32" i="39" s="1"/>
  <c r="DS31" i="39" s="1"/>
  <c r="DS30" i="39" s="1"/>
  <c r="DS29" i="39" s="1"/>
  <c r="DS28" i="39" s="1"/>
  <c r="DS27" i="39" s="1"/>
  <c r="DS26" i="39" s="1"/>
  <c r="DS25" i="39" s="1"/>
  <c r="DS24" i="39" s="1"/>
  <c r="DS23" i="39" s="1"/>
  <c r="DS22" i="39" s="1"/>
  <c r="DS21" i="39" s="1"/>
  <c r="DS20" i="39" s="1"/>
  <c r="DS19" i="39" s="1"/>
  <c r="DS18" i="39" s="1"/>
  <c r="DT18" i="39" s="1"/>
  <c r="DU46" i="39"/>
  <c r="DV23" i="41"/>
  <c r="DU23" i="41"/>
  <c r="EG7" i="11"/>
  <c r="DP21" i="11"/>
  <c r="AA74" i="74" s="1"/>
  <c r="DU31" i="40"/>
  <c r="DV31" i="40"/>
  <c r="DU43" i="42"/>
  <c r="DV43" i="42"/>
  <c r="DV37" i="18"/>
  <c r="DU37" i="18"/>
  <c r="DV32" i="18"/>
  <c r="DU32" i="18"/>
  <c r="DV41" i="39"/>
  <c r="DU41" i="39"/>
  <c r="DV40" i="45"/>
  <c r="DU40" i="45"/>
  <c r="CO50" i="44"/>
  <c r="DU38" i="40"/>
  <c r="DV38" i="40"/>
  <c r="DU40" i="37"/>
  <c r="DV40" i="37"/>
  <c r="CO52" i="45"/>
  <c r="DU41" i="18"/>
  <c r="DV41" i="18"/>
  <c r="DV28" i="36"/>
  <c r="DU28" i="36"/>
  <c r="DU26" i="43"/>
  <c r="DV26" i="43"/>
  <c r="DU26" i="39"/>
  <c r="DV26" i="39"/>
  <c r="DU19" i="44"/>
  <c r="DR19" i="44"/>
  <c r="DR20" i="44" s="1"/>
  <c r="DV19" i="44"/>
  <c r="CP48" i="37"/>
  <c r="CO52" i="36"/>
  <c r="CO49" i="39"/>
  <c r="F30" i="83"/>
  <c r="B5" i="52"/>
  <c r="DV22" i="38"/>
  <c r="DU22" i="38"/>
  <c r="DU37" i="44"/>
  <c r="DV37" i="44"/>
  <c r="AB40" i="39"/>
  <c r="AF34" i="39"/>
  <c r="AF40" i="39" s="1"/>
  <c r="DU30" i="40"/>
  <c r="DV30" i="40"/>
  <c r="AB40" i="35"/>
  <c r="AF34" i="35"/>
  <c r="AF40" i="35" s="1"/>
  <c r="CG50" i="45"/>
  <c r="CQ52" i="44"/>
  <c r="CO48" i="45"/>
  <c r="DW48" i="39"/>
  <c r="DV20" i="43"/>
  <c r="DU20" i="43"/>
  <c r="CO51" i="18"/>
  <c r="DV37" i="35"/>
  <c r="DU37" i="35"/>
  <c r="DV40" i="39"/>
  <c r="DU40" i="39"/>
  <c r="DW33" i="36"/>
  <c r="DU45" i="18"/>
  <c r="DV45" i="18"/>
  <c r="DU35" i="43"/>
  <c r="DV35" i="43"/>
  <c r="DV47" i="40"/>
  <c r="DU47" i="40"/>
  <c r="DW39" i="39"/>
  <c r="DV23" i="43"/>
  <c r="DU23" i="43"/>
  <c r="DW37" i="41"/>
  <c r="DU38" i="36"/>
  <c r="DV38" i="36"/>
  <c r="DW41" i="42"/>
  <c r="CP48" i="40"/>
  <c r="CO52" i="39"/>
  <c r="CO52" i="37"/>
  <c r="DU31" i="41"/>
  <c r="DV31" i="41"/>
  <c r="DR19" i="42"/>
  <c r="DU19" i="42"/>
  <c r="DV19" i="42"/>
  <c r="DV31" i="43"/>
  <c r="DU31" i="43"/>
  <c r="DW19" i="40"/>
  <c r="DV22" i="40"/>
  <c r="DU22" i="40"/>
  <c r="DV24" i="36"/>
  <c r="DU24" i="36"/>
  <c r="DV22" i="41"/>
  <c r="DU22" i="41"/>
  <c r="AB40" i="41"/>
  <c r="AF34" i="41"/>
  <c r="AF40" i="41" s="1"/>
  <c r="F33" i="83"/>
  <c r="B8" i="52"/>
  <c r="DU32" i="43"/>
  <c r="DV32" i="43"/>
  <c r="DV25" i="36"/>
  <c r="DU25" i="36"/>
  <c r="DP21" i="7"/>
  <c r="O74" i="74" s="1"/>
  <c r="EG7" i="7"/>
  <c r="DR20" i="40"/>
  <c r="DU20" i="40"/>
  <c r="DV20" i="40"/>
  <c r="AB40" i="42"/>
  <c r="AF34" i="42"/>
  <c r="AF40" i="42" s="1"/>
  <c r="CO52" i="42"/>
  <c r="CP48" i="43"/>
  <c r="DW20" i="37"/>
  <c r="DP21" i="15"/>
  <c r="AM74" i="74" s="1"/>
  <c r="EG7" i="15"/>
  <c r="DW47" i="41"/>
  <c r="DU33" i="42"/>
  <c r="DV33" i="42"/>
  <c r="CO50" i="40"/>
  <c r="DU46" i="36"/>
  <c r="DV46" i="36"/>
  <c r="DU31" i="38"/>
  <c r="DV31" i="38"/>
  <c r="CO50" i="43"/>
  <c r="DU39" i="44"/>
  <c r="DV39" i="44"/>
  <c r="DV31" i="45"/>
  <c r="DU31" i="45"/>
  <c r="DW23" i="42"/>
  <c r="AF34" i="43"/>
  <c r="AF40" i="43" s="1"/>
  <c r="AB40" i="43"/>
  <c r="EG7" i="4"/>
  <c r="DP21" i="4"/>
  <c r="F74" i="74" s="1"/>
  <c r="CG50" i="44"/>
  <c r="CQ53" i="43"/>
  <c r="CO48" i="44"/>
  <c r="DV44" i="35"/>
  <c r="DU44" i="35"/>
  <c r="DR20" i="36"/>
  <c r="DV20" i="36"/>
  <c r="DU20" i="36"/>
  <c r="DV38" i="41"/>
  <c r="DU38" i="41"/>
  <c r="AB40" i="40"/>
  <c r="AF34" i="40"/>
  <c r="AF40" i="40" s="1"/>
  <c r="DV36" i="39"/>
  <c r="DU36" i="39"/>
  <c r="DU31" i="36"/>
  <c r="DV31" i="36"/>
  <c r="DW37" i="45"/>
  <c r="DW30" i="37"/>
  <c r="DV36" i="36"/>
  <c r="DU36" i="36"/>
  <c r="DU23" i="40"/>
  <c r="DV23" i="40"/>
  <c r="DU35" i="35"/>
  <c r="DV35" i="35"/>
  <c r="DW44" i="44"/>
  <c r="DV35" i="36"/>
  <c r="DU35" i="36"/>
  <c r="DV32" i="36"/>
  <c r="DU32" i="36"/>
  <c r="DV22" i="44"/>
  <c r="DU22" i="44"/>
  <c r="CO50" i="38"/>
  <c r="FG60" i="14" a="1"/>
  <c r="FG60" i="14" s="1"/>
  <c r="R65" i="14" s="1"/>
  <c r="T65" i="14" s="1"/>
  <c r="DV22" i="36"/>
  <c r="DU22" i="36"/>
  <c r="DU38" i="35"/>
  <c r="DV38" i="35"/>
  <c r="DU19" i="45"/>
  <c r="DV19" i="45"/>
  <c r="DR19" i="45"/>
  <c r="DU43" i="41"/>
  <c r="DV43" i="41"/>
  <c r="CO49" i="43"/>
  <c r="CG50" i="43"/>
  <c r="DU31" i="42"/>
  <c r="DV31" i="42"/>
  <c r="DV29" i="41"/>
  <c r="DU29" i="41"/>
  <c r="DV30" i="38"/>
  <c r="DU30" i="38"/>
  <c r="DU25" i="18"/>
  <c r="DV25" i="18"/>
  <c r="DW27" i="44" l="1"/>
  <c r="EI17" i="14"/>
  <c r="L15" i="59" s="1"/>
  <c r="BZ81" i="4"/>
  <c r="K29" i="83" s="1"/>
  <c r="Z71" i="4"/>
  <c r="DW28" i="35"/>
  <c r="BQ82" i="10"/>
  <c r="BZ81" i="10"/>
  <c r="DW25" i="40"/>
  <c r="BQ82" i="12"/>
  <c r="BZ81" i="12"/>
  <c r="K37" i="83" s="1"/>
  <c r="BQ82" i="13"/>
  <c r="BZ81" i="13"/>
  <c r="BQ82" i="11"/>
  <c r="BZ81" i="11"/>
  <c r="BQ82" i="9"/>
  <c r="BZ81" i="9"/>
  <c r="DW40" i="18"/>
  <c r="DW35" i="18"/>
  <c r="BZ81" i="14"/>
  <c r="DW24" i="35"/>
  <c r="DW39" i="45"/>
  <c r="DW24" i="37"/>
  <c r="AL75" i="10"/>
  <c r="AL75" i="15"/>
  <c r="AL75" i="8"/>
  <c r="Z74" i="7"/>
  <c r="AL75" i="6"/>
  <c r="AL75" i="11"/>
  <c r="AL75" i="12"/>
  <c r="AL75" i="5"/>
  <c r="AL75" i="7"/>
  <c r="G87" i="36"/>
  <c r="E10" i="51"/>
  <c r="BQ82" i="4"/>
  <c r="CM48" i="38"/>
  <c r="CN48" i="38" s="1"/>
  <c r="CR48" i="38" s="1"/>
  <c r="DW48" i="35"/>
  <c r="CM53" i="36"/>
  <c r="CN53" i="36" s="1"/>
  <c r="CR53" i="36" s="1"/>
  <c r="BW54" i="18"/>
  <c r="CM48" i="36"/>
  <c r="CN48" i="36" s="1"/>
  <c r="CR48" i="36" s="1"/>
  <c r="F88" i="38"/>
  <c r="F90" i="38" s="1"/>
  <c r="C9" i="85" s="1"/>
  <c r="G88" i="38"/>
  <c r="G90" i="38" s="1"/>
  <c r="D9" i="85" s="1"/>
  <c r="H88" i="18"/>
  <c r="H90" i="18" s="1"/>
  <c r="G85" i="37"/>
  <c r="G88" i="37" s="1"/>
  <c r="G90" i="37" s="1"/>
  <c r="F85" i="37"/>
  <c r="F88" i="37" s="1"/>
  <c r="F88" i="35"/>
  <c r="F88" i="18"/>
  <c r="G88" i="18"/>
  <c r="G90" i="18" s="1"/>
  <c r="G88" i="35"/>
  <c r="G90" i="35" s="1"/>
  <c r="F59" i="36"/>
  <c r="F88" i="36" s="1"/>
  <c r="F90" i="36" s="1"/>
  <c r="C7" i="85" s="1"/>
  <c r="G59" i="36"/>
  <c r="DK27" i="14"/>
  <c r="BG15" i="59" s="1"/>
  <c r="AL74" i="14"/>
  <c r="AL75" i="14" s="1"/>
  <c r="AL86" i="5"/>
  <c r="AL86" i="6" s="1"/>
  <c r="AL86" i="7" s="1"/>
  <c r="AL86" i="8" s="1"/>
  <c r="DK27" i="13"/>
  <c r="BG14" i="59" s="1"/>
  <c r="AL74" i="13"/>
  <c r="AL75" i="13" s="1"/>
  <c r="EG7" i="9"/>
  <c r="U51" i="74" s="1"/>
  <c r="AL74" i="9"/>
  <c r="AL75" i="9" s="1"/>
  <c r="F50" i="74"/>
  <c r="CM48" i="40"/>
  <c r="CN48" i="40" s="1"/>
  <c r="CR48" i="40" s="1"/>
  <c r="DW19" i="38"/>
  <c r="Z71" i="9"/>
  <c r="CM52" i="38"/>
  <c r="CN52" i="38" s="1"/>
  <c r="CR52" i="38" s="1"/>
  <c r="E77" i="9"/>
  <c r="G11" i="16" s="1"/>
  <c r="D9" i="52" s="1"/>
  <c r="DK27" i="9"/>
  <c r="BG10" i="59" s="1"/>
  <c r="DP21" i="9"/>
  <c r="U74" i="74" s="1"/>
  <c r="U76" i="74" s="1"/>
  <c r="AX10" i="59" s="1"/>
  <c r="FG61" i="9" a="1"/>
  <c r="FG61" i="9" s="1"/>
  <c r="R66" i="9" s="1"/>
  <c r="T66" i="9" s="1"/>
  <c r="DP22" i="10"/>
  <c r="Z71" i="8"/>
  <c r="E77" i="10"/>
  <c r="G12" i="16" s="1"/>
  <c r="I10" i="51"/>
  <c r="E77" i="8"/>
  <c r="G10" i="16" s="1"/>
  <c r="BQ82" i="8"/>
  <c r="DP22" i="8"/>
  <c r="Z71" i="10"/>
  <c r="CM52" i="43"/>
  <c r="CN52" i="43" s="1"/>
  <c r="CR52" i="43" s="1"/>
  <c r="DP22" i="9"/>
  <c r="K34" i="83"/>
  <c r="DP21" i="13"/>
  <c r="AG74" i="74" s="1"/>
  <c r="AV14" i="59" s="1"/>
  <c r="EG7" i="13"/>
  <c r="AG51" i="74" s="1"/>
  <c r="AB40" i="18"/>
  <c r="AC21" i="18" s="1"/>
  <c r="E77" i="5"/>
  <c r="G7" i="16" s="1"/>
  <c r="Z71" i="5"/>
  <c r="DP21" i="14"/>
  <c r="AJ74" i="74" s="1"/>
  <c r="AJ76" i="74" s="1"/>
  <c r="AX15" i="59" s="1"/>
  <c r="FG61" i="5" a="1"/>
  <c r="FG61" i="5" s="1"/>
  <c r="FG62" i="5" s="1" a="1"/>
  <c r="FG62" i="5" s="1"/>
  <c r="R67" i="5" s="1"/>
  <c r="T67" i="5" s="1"/>
  <c r="DP22" i="5"/>
  <c r="BQ82" i="5"/>
  <c r="CM48" i="45"/>
  <c r="CN48" i="45" s="1"/>
  <c r="CR48" i="45" s="1"/>
  <c r="EG7" i="14"/>
  <c r="AJ51" i="74" s="1"/>
  <c r="K35" i="83"/>
  <c r="BQ82" i="7"/>
  <c r="EI25" i="9"/>
  <c r="AL86" i="9" s="1"/>
  <c r="AL86" i="10" s="1"/>
  <c r="AL86" i="11" s="1"/>
  <c r="AL86" i="12" s="1"/>
  <c r="AL86" i="13" s="1"/>
  <c r="AL86" i="14" s="1"/>
  <c r="AL86" i="15" s="1"/>
  <c r="E77" i="12"/>
  <c r="G14" i="16" s="1"/>
  <c r="FG62" i="13" a="1"/>
  <c r="FG62" i="13" s="1"/>
  <c r="R67" i="13" s="1"/>
  <c r="T67" i="13" s="1"/>
  <c r="E77" i="7"/>
  <c r="G9" i="16" s="1"/>
  <c r="C10" i="51"/>
  <c r="FG61" i="12" a="1"/>
  <c r="FG61" i="12" s="1"/>
  <c r="R66" i="12" s="1"/>
  <c r="T66" i="12" s="1"/>
  <c r="DP22" i="12"/>
  <c r="Z71" i="12"/>
  <c r="DP22" i="7"/>
  <c r="Z71" i="7"/>
  <c r="CM48" i="41"/>
  <c r="CN48" i="41" s="1"/>
  <c r="CR48" i="41" s="1"/>
  <c r="DW26" i="45"/>
  <c r="DP22" i="14"/>
  <c r="K10" i="51"/>
  <c r="BQ82" i="14"/>
  <c r="E77" i="14"/>
  <c r="G16" i="16" s="1"/>
  <c r="DW41" i="43"/>
  <c r="DW42" i="44"/>
  <c r="DW26" i="42"/>
  <c r="DW23" i="38"/>
  <c r="DW38" i="43"/>
  <c r="DW33" i="44"/>
  <c r="DW27" i="37"/>
  <c r="FG61" i="8" a="1"/>
  <c r="FG61" i="8" s="1"/>
  <c r="R66" i="8" s="1"/>
  <c r="T66" i="8" s="1"/>
  <c r="DW48" i="42"/>
  <c r="DW33" i="18"/>
  <c r="DW45" i="35"/>
  <c r="DW46" i="44"/>
  <c r="DW28" i="43"/>
  <c r="DW34" i="39"/>
  <c r="DW33" i="41"/>
  <c r="DW28" i="44"/>
  <c r="DW26" i="38"/>
  <c r="DW23" i="18"/>
  <c r="DW21" i="36"/>
  <c r="DW19" i="41"/>
  <c r="FG61" i="11" a="1"/>
  <c r="FG61" i="11" s="1"/>
  <c r="R66" i="11" s="1"/>
  <c r="T66" i="11" s="1"/>
  <c r="DP22" i="4"/>
  <c r="E77" i="4"/>
  <c r="G6" i="16" s="1"/>
  <c r="CM52" i="44"/>
  <c r="CN52" i="44" s="1"/>
  <c r="CR52" i="44" s="1"/>
  <c r="CM52" i="40"/>
  <c r="CN52" i="40" s="1"/>
  <c r="CR52" i="40" s="1"/>
  <c r="CM48" i="43"/>
  <c r="CN48" i="43" s="1"/>
  <c r="CR48" i="43" s="1"/>
  <c r="BQ82" i="6"/>
  <c r="BE115" i="15"/>
  <c r="BE115" i="10"/>
  <c r="AL84" i="10"/>
  <c r="L11" i="59"/>
  <c r="BE115" i="12"/>
  <c r="AL84" i="12"/>
  <c r="AL84" i="13"/>
  <c r="L16" i="59"/>
  <c r="AL84" i="15"/>
  <c r="EI17" i="9"/>
  <c r="EI16" i="10" s="1"/>
  <c r="BE115" i="13"/>
  <c r="BE115" i="11"/>
  <c r="AL84" i="14"/>
  <c r="AL84" i="11"/>
  <c r="L12" i="59"/>
  <c r="EI17" i="5"/>
  <c r="BE115" i="5"/>
  <c r="BE115" i="6"/>
  <c r="EI17" i="6"/>
  <c r="EI17" i="8"/>
  <c r="BE115" i="8"/>
  <c r="EI17" i="7"/>
  <c r="BE115" i="7"/>
  <c r="BE115" i="4"/>
  <c r="FG62" i="6" a="1"/>
  <c r="FG62" i="6" s="1"/>
  <c r="R67" i="6" s="1"/>
  <c r="T67" i="6" s="1"/>
  <c r="H10" i="51"/>
  <c r="L10" i="51"/>
  <c r="K36" i="83"/>
  <c r="K31" i="83"/>
  <c r="EH15" i="5"/>
  <c r="AA6" i="59" s="1"/>
  <c r="I6" i="59"/>
  <c r="EH16" i="6"/>
  <c r="EH18" i="6" s="1"/>
  <c r="EH15" i="10"/>
  <c r="AA11" i="59" s="1"/>
  <c r="EH16" i="11"/>
  <c r="EH18" i="11" s="1"/>
  <c r="I11" i="59"/>
  <c r="DW31" i="40"/>
  <c r="DW26" i="39"/>
  <c r="DW21" i="41"/>
  <c r="DW44" i="35"/>
  <c r="DW20" i="36"/>
  <c r="DW41" i="45"/>
  <c r="DW28" i="40"/>
  <c r="DW39" i="36"/>
  <c r="DW44" i="36"/>
  <c r="FG61" i="15" a="1"/>
  <c r="FG61" i="15" s="1"/>
  <c r="FG62" i="15" s="1" a="1"/>
  <c r="FG62" i="15" s="1"/>
  <c r="R67" i="15" s="1"/>
  <c r="T67" i="15" s="1"/>
  <c r="DW21" i="18"/>
  <c r="DW35" i="43"/>
  <c r="DW46" i="39"/>
  <c r="DW48" i="18"/>
  <c r="DW20" i="35"/>
  <c r="DW25" i="44"/>
  <c r="DW45" i="37"/>
  <c r="DW45" i="42"/>
  <c r="DW27" i="40"/>
  <c r="DW40" i="38"/>
  <c r="DW38" i="44"/>
  <c r="DW25" i="37"/>
  <c r="DW42" i="40"/>
  <c r="DW46" i="41"/>
  <c r="DW41" i="37"/>
  <c r="DW19" i="43"/>
  <c r="DW36" i="39"/>
  <c r="DW38" i="41"/>
  <c r="DW31" i="38"/>
  <c r="DW31" i="43"/>
  <c r="DW27" i="38"/>
  <c r="DW38" i="42"/>
  <c r="DW47" i="42"/>
  <c r="DW29" i="36"/>
  <c r="DW43" i="44"/>
  <c r="DW29" i="35"/>
  <c r="DW32" i="35"/>
  <c r="DW20" i="18"/>
  <c r="DW31" i="39"/>
  <c r="DW20" i="42"/>
  <c r="DW40" i="37"/>
  <c r="DW43" i="35"/>
  <c r="DW47" i="45"/>
  <c r="DW30" i="41"/>
  <c r="DW19" i="35"/>
  <c r="DW31" i="36"/>
  <c r="DW33" i="42"/>
  <c r="DW32" i="41"/>
  <c r="DW19" i="39"/>
  <c r="DW43" i="45"/>
  <c r="DW21" i="35"/>
  <c r="DW43" i="39"/>
  <c r="DW43" i="37"/>
  <c r="DW19" i="37"/>
  <c r="DW27" i="42"/>
  <c r="DW41" i="36"/>
  <c r="DW26" i="43"/>
  <c r="DW41" i="18"/>
  <c r="DW43" i="42"/>
  <c r="DW23" i="41"/>
  <c r="DW47" i="43"/>
  <c r="DW26" i="37"/>
  <c r="DW46" i="37"/>
  <c r="DW36" i="43"/>
  <c r="DW36" i="35"/>
  <c r="DW37" i="36"/>
  <c r="DW25" i="18"/>
  <c r="DW25" i="35"/>
  <c r="DW42" i="39"/>
  <c r="DW20" i="41"/>
  <c r="DW30" i="38"/>
  <c r="DW22" i="44"/>
  <c r="DW22" i="41"/>
  <c r="DW47" i="40"/>
  <c r="DW24" i="42"/>
  <c r="DW36" i="45"/>
  <c r="R65" i="10"/>
  <c r="T65" i="10" s="1"/>
  <c r="FG61" i="10" a="1"/>
  <c r="FG61" i="10" s="1"/>
  <c r="R66" i="10" s="1"/>
  <c r="T66" i="10" s="1"/>
  <c r="DW21" i="37"/>
  <c r="DW21" i="42"/>
  <c r="CM48" i="37"/>
  <c r="CN48" i="37" s="1"/>
  <c r="CR48" i="37" s="1"/>
  <c r="DW22" i="18"/>
  <c r="DW22" i="39"/>
  <c r="DW23" i="43"/>
  <c r="DW24" i="40"/>
  <c r="DW24" i="38"/>
  <c r="DW20" i="38"/>
  <c r="DW23" i="40"/>
  <c r="DW19" i="44"/>
  <c r="ED18" i="39"/>
  <c r="DS18" i="43"/>
  <c r="DT18" i="43" s="1"/>
  <c r="DT19" i="43"/>
  <c r="ED19" i="43" s="1"/>
  <c r="DS18" i="41"/>
  <c r="DT18" i="41" s="1"/>
  <c r="DT19" i="41"/>
  <c r="ED19" i="41" s="1"/>
  <c r="DS18" i="35"/>
  <c r="DT18" i="35" s="1"/>
  <c r="DT19" i="35"/>
  <c r="ED19" i="35" s="1"/>
  <c r="DT21" i="43"/>
  <c r="ED21" i="43" s="1"/>
  <c r="DR22" i="43"/>
  <c r="ED18" i="44"/>
  <c r="DS18" i="18"/>
  <c r="DT18" i="18" s="1"/>
  <c r="DT19" i="18"/>
  <c r="ED19" i="18" s="1"/>
  <c r="DS18" i="36"/>
  <c r="DT18" i="36" s="1"/>
  <c r="DT19" i="36"/>
  <c r="DT20" i="44"/>
  <c r="ED20" i="44" s="1"/>
  <c r="DR21" i="44"/>
  <c r="ED18" i="42"/>
  <c r="DS18" i="38"/>
  <c r="DT18" i="38" s="1"/>
  <c r="DT19" i="38"/>
  <c r="ED19" i="38" s="1"/>
  <c r="DS18" i="40"/>
  <c r="DT18" i="40" s="1"/>
  <c r="DT19" i="40"/>
  <c r="ED19" i="40" s="1"/>
  <c r="ED18" i="37"/>
  <c r="ED18" i="45"/>
  <c r="DT21" i="35"/>
  <c r="ED21" i="35" s="1"/>
  <c r="DR22" i="35"/>
  <c r="CM49" i="43"/>
  <c r="CN49" i="43" s="1"/>
  <c r="CR49" i="43" s="1"/>
  <c r="DW35" i="36"/>
  <c r="DT20" i="36"/>
  <c r="DR21" i="36"/>
  <c r="W19" i="43"/>
  <c r="W21" i="43"/>
  <c r="CM50" i="40"/>
  <c r="CN50" i="40" s="1"/>
  <c r="CR50" i="40" s="1"/>
  <c r="AV16" i="59"/>
  <c r="AM76" i="74"/>
  <c r="AX16" i="59" s="1"/>
  <c r="AC21" i="42"/>
  <c r="AC19" i="42"/>
  <c r="DT20" i="40"/>
  <c r="ED20" i="40" s="1"/>
  <c r="DR21" i="40"/>
  <c r="BG8" i="59"/>
  <c r="AC19" i="41"/>
  <c r="AC21" i="41"/>
  <c r="DT22" i="41"/>
  <c r="ED22" i="41" s="1"/>
  <c r="CM52" i="39"/>
  <c r="CN52" i="39" s="1"/>
  <c r="CR52" i="39" s="1"/>
  <c r="DW40" i="39"/>
  <c r="DW37" i="35"/>
  <c r="DW20" i="43"/>
  <c r="AC21" i="35"/>
  <c r="AC19" i="35"/>
  <c r="AC21" i="39"/>
  <c r="AC19" i="39"/>
  <c r="W21" i="18"/>
  <c r="W19" i="18"/>
  <c r="EG3" i="11"/>
  <c r="BF12" i="59" s="1"/>
  <c r="AA51" i="74"/>
  <c r="AA52" i="74" s="1"/>
  <c r="W21" i="44"/>
  <c r="W19" i="44"/>
  <c r="BG13" i="59"/>
  <c r="CM49" i="42"/>
  <c r="CN49" i="42" s="1"/>
  <c r="CR49" i="42" s="1"/>
  <c r="CM51" i="36"/>
  <c r="CN51" i="36" s="1"/>
  <c r="CR51" i="36" s="1"/>
  <c r="B36" i="54"/>
  <c r="B35" i="54"/>
  <c r="AC21" i="38"/>
  <c r="AC19" i="38"/>
  <c r="CM52" i="35"/>
  <c r="CN52" i="35" s="1"/>
  <c r="CR52" i="35" s="1"/>
  <c r="DT20" i="41"/>
  <c r="ED20" i="41" s="1"/>
  <c r="DW34" i="45"/>
  <c r="FG62" i="4" a="1"/>
  <c r="FG62" i="4" s="1"/>
  <c r="R67" i="4" s="1"/>
  <c r="T67" i="4" s="1"/>
  <c r="DW44" i="38"/>
  <c r="DW32" i="45"/>
  <c r="DW39" i="35"/>
  <c r="AC21" i="45"/>
  <c r="AC19" i="45"/>
  <c r="DP22" i="6"/>
  <c r="E77" i="6"/>
  <c r="DW31" i="42"/>
  <c r="DT19" i="45"/>
  <c r="ED19" i="45" s="1"/>
  <c r="DR20" i="45"/>
  <c r="DW32" i="36"/>
  <c r="DW36" i="36"/>
  <c r="BG5" i="59"/>
  <c r="DW46" i="36"/>
  <c r="CM52" i="42"/>
  <c r="CN52" i="42" s="1"/>
  <c r="CR52" i="42" s="1"/>
  <c r="O51" i="74"/>
  <c r="O52" i="74" s="1"/>
  <c r="EG3" i="7"/>
  <c r="BF8" i="59" s="1"/>
  <c r="DW32" i="43"/>
  <c r="DW19" i="42"/>
  <c r="CM52" i="37"/>
  <c r="CN52" i="37" s="1"/>
  <c r="DW38" i="40"/>
  <c r="DR23" i="41"/>
  <c r="DT21" i="41"/>
  <c r="ED21" i="41" s="1"/>
  <c r="DW42" i="37"/>
  <c r="AC19" i="44"/>
  <c r="AC21" i="44"/>
  <c r="DW43" i="36"/>
  <c r="CM51" i="35"/>
  <c r="CN51" i="35" s="1"/>
  <c r="CR51" i="35" s="1"/>
  <c r="AV6" i="59"/>
  <c r="I76" i="74"/>
  <c r="AX6" i="59" s="1"/>
  <c r="DW45" i="41"/>
  <c r="BG7" i="59"/>
  <c r="DW37" i="37"/>
  <c r="DW39" i="38"/>
  <c r="DW48" i="36"/>
  <c r="DW34" i="35"/>
  <c r="DT19" i="39"/>
  <c r="ED19" i="39" s="1"/>
  <c r="DR20" i="39"/>
  <c r="DW37" i="38"/>
  <c r="DW27" i="36"/>
  <c r="DT19" i="37"/>
  <c r="ED19" i="37" s="1"/>
  <c r="DR20" i="37"/>
  <c r="BG9" i="59"/>
  <c r="DW21" i="39"/>
  <c r="CM52" i="41"/>
  <c r="CN52" i="41" s="1"/>
  <c r="CR52" i="41" s="1"/>
  <c r="DW27" i="18"/>
  <c r="DW31" i="35"/>
  <c r="DT20" i="38"/>
  <c r="ED20" i="38" s="1"/>
  <c r="DR21" i="38"/>
  <c r="R65" i="7"/>
  <c r="T65" i="7" s="1"/>
  <c r="FG61" i="7" a="1"/>
  <c r="FG61" i="7" s="1"/>
  <c r="E77" i="13"/>
  <c r="DP22" i="13"/>
  <c r="E77" i="11"/>
  <c r="DP22" i="11"/>
  <c r="DW43" i="41"/>
  <c r="W19" i="40"/>
  <c r="W21" i="40"/>
  <c r="AV5" i="59"/>
  <c r="F76" i="74"/>
  <c r="AX5" i="59" s="1"/>
  <c r="CM50" i="43"/>
  <c r="CN50" i="43" s="1"/>
  <c r="CR50" i="43" s="1"/>
  <c r="AV8" i="59"/>
  <c r="O76" i="74"/>
  <c r="AX8" i="59" s="1"/>
  <c r="DW24" i="36"/>
  <c r="DT19" i="42"/>
  <c r="ED19" i="42" s="1"/>
  <c r="DW31" i="41"/>
  <c r="DW38" i="36"/>
  <c r="DW45" i="18"/>
  <c r="FG61" i="14" a="1"/>
  <c r="FG61" i="14" s="1"/>
  <c r="R66" i="14" s="1"/>
  <c r="T66" i="14" s="1"/>
  <c r="DW37" i="44"/>
  <c r="DW22" i="38"/>
  <c r="CM49" i="39"/>
  <c r="CN49" i="39" s="1"/>
  <c r="CR49" i="39" s="1"/>
  <c r="DT19" i="44"/>
  <c r="ED19" i="44" s="1"/>
  <c r="DW28" i="36"/>
  <c r="CM52" i="45"/>
  <c r="CN52" i="45" s="1"/>
  <c r="CR52" i="45" s="1"/>
  <c r="Z71" i="14"/>
  <c r="DW41" i="39"/>
  <c r="DW32" i="18"/>
  <c r="AV12" i="59"/>
  <c r="AA76" i="74"/>
  <c r="AX12" i="59" s="1"/>
  <c r="AD76" i="74"/>
  <c r="AX13" i="59" s="1"/>
  <c r="AV13" i="59"/>
  <c r="DW34" i="18"/>
  <c r="CM51" i="45"/>
  <c r="CN51" i="45" s="1"/>
  <c r="CR51" i="45" s="1"/>
  <c r="K33" i="83"/>
  <c r="DW25" i="38"/>
  <c r="F42" i="83"/>
  <c r="G29" i="83"/>
  <c r="G30" i="83" s="1"/>
  <c r="G31" i="83" s="1"/>
  <c r="G32" i="83" s="1"/>
  <c r="G33" i="83" s="1"/>
  <c r="G34" i="83" s="1"/>
  <c r="G35" i="83" s="1"/>
  <c r="G36" i="83" s="1"/>
  <c r="G37" i="83" s="1"/>
  <c r="G38" i="83" s="1"/>
  <c r="G39" i="83" s="1"/>
  <c r="G40" i="83" s="1"/>
  <c r="BG6" i="59"/>
  <c r="DW36" i="42"/>
  <c r="DW42" i="45"/>
  <c r="DW30" i="44"/>
  <c r="DW46" i="40"/>
  <c r="AV7" i="59"/>
  <c r="L76" i="74"/>
  <c r="AX7" i="59" s="1"/>
  <c r="W21" i="36"/>
  <c r="W19" i="36"/>
  <c r="DW32" i="39"/>
  <c r="CM53" i="18"/>
  <c r="CN53" i="18" s="1"/>
  <c r="CR53" i="18" s="1"/>
  <c r="X76" i="74"/>
  <c r="AX11" i="59" s="1"/>
  <c r="AV11" i="59"/>
  <c r="BG11" i="59"/>
  <c r="CM49" i="38"/>
  <c r="CN49" i="38" s="1"/>
  <c r="CR49" i="38" s="1"/>
  <c r="CM48" i="44"/>
  <c r="CN48" i="44" s="1"/>
  <c r="CR48" i="44" s="1"/>
  <c r="DW46" i="42"/>
  <c r="CM51" i="39"/>
  <c r="CN51" i="39" s="1"/>
  <c r="CR51" i="39" s="1"/>
  <c r="DW39" i="41"/>
  <c r="DW44" i="41"/>
  <c r="DW20" i="44"/>
  <c r="R76" i="74"/>
  <c r="AX9" i="59" s="1"/>
  <c r="AV9" i="59"/>
  <c r="CM48" i="42"/>
  <c r="CN48" i="42" s="1"/>
  <c r="DT20" i="35"/>
  <c r="ED20" i="35" s="1"/>
  <c r="DW43" i="43"/>
  <c r="W19" i="37"/>
  <c r="W21" i="37"/>
  <c r="DW36" i="44"/>
  <c r="DW29" i="43"/>
  <c r="DW29" i="41"/>
  <c r="DW19" i="45"/>
  <c r="DW38" i="35"/>
  <c r="DW22" i="36"/>
  <c r="CM50" i="38"/>
  <c r="CN50" i="38" s="1"/>
  <c r="CR50" i="38" s="1"/>
  <c r="DW35" i="35"/>
  <c r="AC19" i="40"/>
  <c r="AC21" i="40"/>
  <c r="F51" i="74"/>
  <c r="EG3" i="4"/>
  <c r="BF5" i="59" s="1"/>
  <c r="AC21" i="43"/>
  <c r="AC19" i="43"/>
  <c r="DW31" i="45"/>
  <c r="DW39" i="44"/>
  <c r="AM51" i="74"/>
  <c r="AM52" i="74" s="1"/>
  <c r="EG3" i="15"/>
  <c r="BF16" i="59" s="1"/>
  <c r="BG16" i="59"/>
  <c r="W21" i="42"/>
  <c r="W19" i="42"/>
  <c r="DW20" i="40"/>
  <c r="DW25" i="36"/>
  <c r="DT20" i="18"/>
  <c r="ED20" i="18" s="1"/>
  <c r="DR21" i="18"/>
  <c r="W19" i="41"/>
  <c r="W21" i="41"/>
  <c r="DW22" i="40"/>
  <c r="CM51" i="18"/>
  <c r="CN51" i="18" s="1"/>
  <c r="DT20" i="43"/>
  <c r="ED20" i="43" s="1"/>
  <c r="W19" i="35"/>
  <c r="W21" i="35"/>
  <c r="DW30" i="40"/>
  <c r="W21" i="39"/>
  <c r="W19" i="39"/>
  <c r="CM52" i="36"/>
  <c r="CN52" i="36" s="1"/>
  <c r="CR52" i="36" s="1"/>
  <c r="CM50" i="44"/>
  <c r="CN50" i="44" s="1"/>
  <c r="CR50" i="44" s="1"/>
  <c r="DW40" i="45"/>
  <c r="DW37" i="18"/>
  <c r="BG12" i="59"/>
  <c r="DW47" i="44"/>
  <c r="EG3" i="12"/>
  <c r="BF13" i="59" s="1"/>
  <c r="AD51" i="74"/>
  <c r="AD52" i="74" s="1"/>
  <c r="DW30" i="45"/>
  <c r="DW21" i="43"/>
  <c r="CM51" i="44"/>
  <c r="CN51" i="44" s="1"/>
  <c r="CR51" i="44" s="1"/>
  <c r="EG3" i="5"/>
  <c r="BF6" i="59" s="1"/>
  <c r="I51" i="74"/>
  <c r="I52" i="74" s="1"/>
  <c r="DW38" i="38"/>
  <c r="L51" i="74"/>
  <c r="L52" i="74" s="1"/>
  <c r="EG3" i="6"/>
  <c r="BF7" i="59" s="1"/>
  <c r="AC21" i="36"/>
  <c r="AC19" i="36"/>
  <c r="BQ82" i="15"/>
  <c r="CM48" i="35"/>
  <c r="CN48" i="35" s="1"/>
  <c r="EG3" i="10"/>
  <c r="BF11" i="59" s="1"/>
  <c r="X51" i="74"/>
  <c r="X52" i="74" s="1"/>
  <c r="DW29" i="38"/>
  <c r="W19" i="38"/>
  <c r="W21" i="38"/>
  <c r="DR20" i="42"/>
  <c r="CM53" i="43"/>
  <c r="CN53" i="43" s="1"/>
  <c r="CR53" i="43" s="1"/>
  <c r="EG3" i="8"/>
  <c r="BF9" i="59" s="1"/>
  <c r="R51" i="74"/>
  <c r="R52" i="74" s="1"/>
  <c r="DW30" i="36"/>
  <c r="DW35" i="39"/>
  <c r="CM48" i="39"/>
  <c r="CN48" i="39" s="1"/>
  <c r="CM49" i="40"/>
  <c r="CN49" i="40" s="1"/>
  <c r="CR49" i="40" s="1"/>
  <c r="AC21" i="37"/>
  <c r="AC19" i="37"/>
  <c r="DW46" i="45"/>
  <c r="W19" i="45"/>
  <c r="W21" i="45"/>
  <c r="G88" i="36" l="1"/>
  <c r="G90" i="36" s="1"/>
  <c r="D7" i="85" s="1"/>
  <c r="K30" i="83"/>
  <c r="L127" i="76"/>
  <c r="L139" i="76"/>
  <c r="J125" i="76"/>
  <c r="J137" i="76"/>
  <c r="J131" i="76"/>
  <c r="J143" i="76"/>
  <c r="J126" i="76"/>
  <c r="J138" i="76"/>
  <c r="L124" i="76"/>
  <c r="L136" i="76"/>
  <c r="J134" i="76"/>
  <c r="J146" i="76"/>
  <c r="J132" i="76"/>
  <c r="J144" i="76"/>
  <c r="J129" i="76"/>
  <c r="J141" i="76"/>
  <c r="L131" i="76"/>
  <c r="L143" i="76"/>
  <c r="J124" i="76"/>
  <c r="J136" i="76"/>
  <c r="L129" i="76"/>
  <c r="L141" i="76"/>
  <c r="L130" i="76"/>
  <c r="L142" i="76"/>
  <c r="L123" i="76"/>
  <c r="L135" i="76"/>
  <c r="L133" i="76"/>
  <c r="L145" i="76"/>
  <c r="L128" i="76"/>
  <c r="L140" i="76"/>
  <c r="J127" i="76"/>
  <c r="J139" i="76"/>
  <c r="L125" i="76"/>
  <c r="L137" i="76"/>
  <c r="J130" i="76"/>
  <c r="J142" i="76"/>
  <c r="L126" i="76"/>
  <c r="L138" i="76"/>
  <c r="J123" i="76"/>
  <c r="J135" i="76"/>
  <c r="L134" i="76"/>
  <c r="L146" i="76"/>
  <c r="E9" i="85"/>
  <c r="CV9" i="59" s="1"/>
  <c r="EG3" i="9"/>
  <c r="BF10" i="59" s="1"/>
  <c r="B94" i="38"/>
  <c r="B94" i="37"/>
  <c r="D8" i="85"/>
  <c r="B94" i="18"/>
  <c r="D5" i="85"/>
  <c r="F90" i="37"/>
  <c r="C8" i="85" s="1"/>
  <c r="B93" i="38"/>
  <c r="B94" i="35"/>
  <c r="D6" i="85"/>
  <c r="F90" i="18"/>
  <c r="C5" i="85" s="1"/>
  <c r="F90" i="35"/>
  <c r="C6" i="85" s="1"/>
  <c r="M10" i="51"/>
  <c r="K39" i="83"/>
  <c r="R66" i="5"/>
  <c r="T66" i="5" s="1"/>
  <c r="H34" i="83"/>
  <c r="AG76" i="74"/>
  <c r="AX14" i="59" s="1"/>
  <c r="EG3" i="13"/>
  <c r="BF14" i="59" s="1"/>
  <c r="F52" i="74"/>
  <c r="F55" i="74" s="1"/>
  <c r="AR5" i="59" s="1"/>
  <c r="AV10" i="59"/>
  <c r="J140" i="76" s="1"/>
  <c r="AG50" i="74"/>
  <c r="AG52" i="74" s="1"/>
  <c r="U50" i="74"/>
  <c r="U52" i="74" s="1"/>
  <c r="AJ50" i="74"/>
  <c r="AJ52" i="74" s="1"/>
  <c r="AC19" i="18"/>
  <c r="AB24" i="18" s="1"/>
  <c r="FG62" i="11" a="1"/>
  <c r="FG62" i="11" s="1"/>
  <c r="R67" i="11" s="1"/>
  <c r="T67" i="11" s="1"/>
  <c r="FG62" i="9" a="1"/>
  <c r="FG62" i="9" s="1"/>
  <c r="R67" i="9" s="1"/>
  <c r="T67" i="9" s="1"/>
  <c r="G10" i="51"/>
  <c r="EG3" i="14"/>
  <c r="BF15" i="59" s="1"/>
  <c r="K38" i="83"/>
  <c r="AV15" i="59"/>
  <c r="J145" i="76" s="1"/>
  <c r="B93" i="36"/>
  <c r="CU10" i="59"/>
  <c r="CU11" i="59"/>
  <c r="FG62" i="12" a="1"/>
  <c r="FG62" i="12" s="1"/>
  <c r="R67" i="12" s="1"/>
  <c r="T67" i="12" s="1"/>
  <c r="K32" i="83"/>
  <c r="B10" i="51"/>
  <c r="J10" i="51"/>
  <c r="H77" i="4"/>
  <c r="H77" i="5" s="1"/>
  <c r="H77" i="6" s="1"/>
  <c r="H77" i="7" s="1"/>
  <c r="H77" i="8" s="1"/>
  <c r="H77" i="9" s="1"/>
  <c r="H77" i="10" s="1"/>
  <c r="H77" i="11" s="1"/>
  <c r="H77" i="12" s="1"/>
  <c r="H77" i="13" s="1"/>
  <c r="H77" i="14" s="1"/>
  <c r="FG62" i="8" a="1"/>
  <c r="FG62" i="8" s="1"/>
  <c r="R67" i="8" s="1"/>
  <c r="T67" i="8" s="1"/>
  <c r="F10" i="51"/>
  <c r="B17" i="50" s="1"/>
  <c r="B15" i="50" s="1"/>
  <c r="R66" i="15"/>
  <c r="T66" i="15" s="1"/>
  <c r="L109" i="76"/>
  <c r="L121" i="76"/>
  <c r="L108" i="76"/>
  <c r="L120" i="76"/>
  <c r="E42" i="75" s="1"/>
  <c r="J104" i="76"/>
  <c r="J103" i="76"/>
  <c r="J115" i="76"/>
  <c r="L107" i="76"/>
  <c r="L119" i="76"/>
  <c r="E41" i="75" s="1"/>
  <c r="J106" i="76"/>
  <c r="J118" i="76"/>
  <c r="L102" i="76"/>
  <c r="L114" i="76"/>
  <c r="E36" i="75" s="1"/>
  <c r="J99" i="76"/>
  <c r="J111" i="76"/>
  <c r="L100" i="76"/>
  <c r="L112" i="76"/>
  <c r="E34" i="75" s="1"/>
  <c r="J105" i="76"/>
  <c r="J117" i="76"/>
  <c r="J101" i="76"/>
  <c r="J113" i="76"/>
  <c r="J108" i="76"/>
  <c r="J120" i="76"/>
  <c r="L104" i="76"/>
  <c r="L116" i="76"/>
  <c r="E38" i="75" s="1"/>
  <c r="L103" i="76"/>
  <c r="L115" i="76"/>
  <c r="E37" i="75" s="1"/>
  <c r="L101" i="76"/>
  <c r="L113" i="76"/>
  <c r="E35" i="75" s="1"/>
  <c r="J102" i="76"/>
  <c r="J114" i="76"/>
  <c r="J100" i="76"/>
  <c r="J112" i="76"/>
  <c r="L110" i="76"/>
  <c r="L122" i="76"/>
  <c r="E44" i="75" s="1"/>
  <c r="J110" i="76"/>
  <c r="J122" i="76"/>
  <c r="J109" i="76"/>
  <c r="L105" i="76"/>
  <c r="L117" i="76"/>
  <c r="E39" i="75" s="1"/>
  <c r="J107" i="76"/>
  <c r="J119" i="76"/>
  <c r="L106" i="76"/>
  <c r="L118" i="76"/>
  <c r="L99" i="76"/>
  <c r="L111" i="76"/>
  <c r="E33" i="75" s="1"/>
  <c r="EI18" i="10"/>
  <c r="AL85" i="10" s="1"/>
  <c r="AL88" i="10" s="1"/>
  <c r="J11" i="59"/>
  <c r="EI15" i="10"/>
  <c r="AL83" i="10"/>
  <c r="EI16" i="11"/>
  <c r="EI18" i="11" s="1"/>
  <c r="AL85" i="11" s="1"/>
  <c r="AL88" i="11" s="1"/>
  <c r="EI18" i="9"/>
  <c r="AL85" i="9" s="1"/>
  <c r="AL88" i="9" s="1"/>
  <c r="L10" i="59"/>
  <c r="AL84" i="9"/>
  <c r="EI15" i="9"/>
  <c r="CN54" i="37"/>
  <c r="O45" i="74" s="1"/>
  <c r="AP8" i="59" s="1"/>
  <c r="L9" i="59"/>
  <c r="AL84" i="8"/>
  <c r="L6" i="59"/>
  <c r="AL84" i="5"/>
  <c r="L7" i="59"/>
  <c r="AL84" i="6"/>
  <c r="L8" i="59"/>
  <c r="AL84" i="7"/>
  <c r="EI18" i="4"/>
  <c r="AL85" i="4" s="1"/>
  <c r="AL88" i="4" s="1"/>
  <c r="EI16" i="5"/>
  <c r="AL83" i="5" s="1"/>
  <c r="L5" i="59"/>
  <c r="EI15" i="4"/>
  <c r="E40" i="75"/>
  <c r="CN54" i="41"/>
  <c r="AA45" i="74" s="1"/>
  <c r="AA70" i="74" s="1"/>
  <c r="AT12" i="59" s="1"/>
  <c r="K40" i="83"/>
  <c r="EH16" i="12"/>
  <c r="EH18" i="12" s="1"/>
  <c r="I12" i="59"/>
  <c r="EH15" i="11"/>
  <c r="AA12" i="59" s="1"/>
  <c r="EH15" i="6"/>
  <c r="AA7" i="59" s="1"/>
  <c r="EH16" i="7"/>
  <c r="EH18" i="7" s="1"/>
  <c r="I7" i="59"/>
  <c r="CN54" i="35"/>
  <c r="I45" i="74" s="1"/>
  <c r="AP6" i="59" s="1"/>
  <c r="CN54" i="42"/>
  <c r="AD45" i="74" s="1"/>
  <c r="AP13" i="59" s="1"/>
  <c r="CN54" i="39"/>
  <c r="U45" i="74" s="1"/>
  <c r="AP10" i="59" s="1"/>
  <c r="DW49" i="37"/>
  <c r="E52" i="37" s="1"/>
  <c r="AM56" i="7" s="1"/>
  <c r="DW49" i="36"/>
  <c r="E52" i="36" s="1"/>
  <c r="E51" i="36" s="1"/>
  <c r="CN54" i="18"/>
  <c r="F45" i="74" s="1"/>
  <c r="F70" i="74" s="1"/>
  <c r="AT5" i="59" s="1"/>
  <c r="DW49" i="18"/>
  <c r="E52" i="18" s="1"/>
  <c r="E51" i="18" s="1"/>
  <c r="DW49" i="35"/>
  <c r="E52" i="35" s="1"/>
  <c r="E51" i="35" s="1"/>
  <c r="DW49" i="39"/>
  <c r="E52" i="39" s="1"/>
  <c r="E51" i="39" s="1"/>
  <c r="DW49" i="41"/>
  <c r="E52" i="41" s="1"/>
  <c r="AM56" i="11" s="1"/>
  <c r="FG62" i="10" a="1"/>
  <c r="FG62" i="10" s="1"/>
  <c r="R67" i="10" s="1"/>
  <c r="T67" i="10" s="1"/>
  <c r="FG62" i="14" a="1"/>
  <c r="FG62" i="14" s="1"/>
  <c r="R67" i="14" s="1"/>
  <c r="T67" i="14" s="1"/>
  <c r="CN54" i="36"/>
  <c r="L45" i="74" s="1"/>
  <c r="AP7" i="59" s="1"/>
  <c r="CR48" i="42"/>
  <c r="CR54" i="42" s="1"/>
  <c r="AD44" i="74" s="1"/>
  <c r="CR54" i="36"/>
  <c r="L44" i="74" s="1"/>
  <c r="AO7" i="59" s="1"/>
  <c r="CR52" i="37"/>
  <c r="CR54" i="37" s="1"/>
  <c r="O44" i="74" s="1"/>
  <c r="DW49" i="40"/>
  <c r="E52" i="40" s="1"/>
  <c r="AM56" i="10" s="1"/>
  <c r="DW49" i="44"/>
  <c r="E52" i="44" s="1"/>
  <c r="BR15" i="59" s="1"/>
  <c r="CN54" i="45"/>
  <c r="AM45" i="74" s="1"/>
  <c r="AP16" i="59" s="1"/>
  <c r="CR54" i="38"/>
  <c r="R44" i="74" s="1"/>
  <c r="CR54" i="44"/>
  <c r="AJ44" i="74" s="1"/>
  <c r="CR48" i="39"/>
  <c r="CR54" i="39" s="1"/>
  <c r="U44" i="74" s="1"/>
  <c r="W24" i="39"/>
  <c r="V24" i="39"/>
  <c r="W24" i="35"/>
  <c r="V24" i="35"/>
  <c r="CR51" i="18"/>
  <c r="CR54" i="18" s="1"/>
  <c r="F44" i="74" s="1"/>
  <c r="DT21" i="18"/>
  <c r="ED21" i="18" s="1"/>
  <c r="DR22" i="18"/>
  <c r="AC24" i="43"/>
  <c r="AB24" i="43"/>
  <c r="EE20" i="35"/>
  <c r="EH20" i="35"/>
  <c r="W24" i="36"/>
  <c r="V24" i="36"/>
  <c r="EE19" i="44"/>
  <c r="EH19" i="44"/>
  <c r="DW49" i="38"/>
  <c r="E52" i="38" s="1"/>
  <c r="V24" i="40"/>
  <c r="W24" i="40"/>
  <c r="Z71" i="13"/>
  <c r="R66" i="7"/>
  <c r="T66" i="7" s="1"/>
  <c r="FG62" i="7" a="1"/>
  <c r="FG62" i="7" s="1"/>
  <c r="R67" i="7" s="1"/>
  <c r="T67" i="7" s="1"/>
  <c r="CN54" i="40"/>
  <c r="X45" i="74" s="1"/>
  <c r="H29" i="83"/>
  <c r="D4" i="52"/>
  <c r="EE19" i="45"/>
  <c r="EH19" i="45"/>
  <c r="CN54" i="38"/>
  <c r="R45" i="74" s="1"/>
  <c r="CR48" i="35"/>
  <c r="CR54" i="35" s="1"/>
  <c r="I44" i="74" s="1"/>
  <c r="V24" i="44"/>
  <c r="W24" i="44"/>
  <c r="V24" i="18"/>
  <c r="W24" i="18"/>
  <c r="AC24" i="41"/>
  <c r="AB24" i="41"/>
  <c r="AB24" i="42"/>
  <c r="AC24" i="42"/>
  <c r="DT22" i="35"/>
  <c r="ED22" i="35" s="1"/>
  <c r="DR23" i="35"/>
  <c r="EH18" i="37"/>
  <c r="EE18" i="37"/>
  <c r="ED18" i="36"/>
  <c r="ED18" i="35"/>
  <c r="EE19" i="35" s="1"/>
  <c r="ED18" i="43"/>
  <c r="EE19" i="43" s="1"/>
  <c r="EE20" i="18"/>
  <c r="EH20" i="18"/>
  <c r="V24" i="42"/>
  <c r="W24" i="42"/>
  <c r="CR54" i="45"/>
  <c r="AM44" i="74" s="1"/>
  <c r="Z71" i="11"/>
  <c r="G15" i="16"/>
  <c r="DT20" i="37"/>
  <c r="ED20" i="37" s="1"/>
  <c r="DR21" i="37"/>
  <c r="AA55" i="74"/>
  <c r="AR12" i="59" s="1"/>
  <c r="AA57" i="74"/>
  <c r="AC24" i="35"/>
  <c r="AB24" i="35"/>
  <c r="DT21" i="40"/>
  <c r="ED21" i="40" s="1"/>
  <c r="DR22" i="40"/>
  <c r="CR54" i="43"/>
  <c r="AG44" i="74" s="1"/>
  <c r="EE21" i="35"/>
  <c r="EH21" i="35"/>
  <c r="EH19" i="38"/>
  <c r="DT21" i="44"/>
  <c r="ED21" i="44" s="1"/>
  <c r="DR22" i="44"/>
  <c r="EH19" i="18"/>
  <c r="DT22" i="43"/>
  <c r="ED22" i="43" s="1"/>
  <c r="DR23" i="43"/>
  <c r="EH19" i="41"/>
  <c r="EH18" i="39"/>
  <c r="EE18" i="39"/>
  <c r="DT20" i="42"/>
  <c r="ED20" i="42" s="1"/>
  <c r="DR21" i="42"/>
  <c r="AB24" i="36"/>
  <c r="AC24" i="36"/>
  <c r="EH20" i="43"/>
  <c r="EE20" i="43"/>
  <c r="X55" i="74"/>
  <c r="AR11" i="59" s="1"/>
  <c r="X57" i="74"/>
  <c r="DP22" i="15"/>
  <c r="E77" i="15"/>
  <c r="L55" i="74"/>
  <c r="AR7" i="59" s="1"/>
  <c r="L57" i="74"/>
  <c r="I55" i="74"/>
  <c r="AR6" i="59" s="1"/>
  <c r="I57" i="74"/>
  <c r="H37" i="83"/>
  <c r="D12" i="52"/>
  <c r="V24" i="45"/>
  <c r="W24" i="45"/>
  <c r="AB24" i="37"/>
  <c r="AC24" i="37"/>
  <c r="R55" i="74"/>
  <c r="AR9" i="59" s="1"/>
  <c r="R57" i="74"/>
  <c r="V24" i="38"/>
  <c r="W24" i="38"/>
  <c r="AD55" i="74"/>
  <c r="AR13" i="59" s="1"/>
  <c r="AD57" i="74"/>
  <c r="W24" i="41"/>
  <c r="V24" i="41"/>
  <c r="D7" i="52"/>
  <c r="H32" i="83"/>
  <c r="AM55" i="74"/>
  <c r="AR16" i="59" s="1"/>
  <c r="AM57" i="74"/>
  <c r="DW49" i="45"/>
  <c r="E52" i="45" s="1"/>
  <c r="CR54" i="40"/>
  <c r="X44" i="74" s="1"/>
  <c r="DT21" i="38"/>
  <c r="ED21" i="38" s="1"/>
  <c r="DR22" i="38"/>
  <c r="H33" i="83"/>
  <c r="D8" i="52"/>
  <c r="D10" i="52"/>
  <c r="H35" i="83"/>
  <c r="EE19" i="37"/>
  <c r="EH19" i="37"/>
  <c r="DT20" i="39"/>
  <c r="ED20" i="39" s="1"/>
  <c r="DR21" i="39"/>
  <c r="CR54" i="41"/>
  <c r="AA44" i="74" s="1"/>
  <c r="EE21" i="41"/>
  <c r="EH21" i="41"/>
  <c r="D14" i="52"/>
  <c r="H39" i="83"/>
  <c r="O55" i="74"/>
  <c r="AR8" i="59" s="1"/>
  <c r="O57" i="74"/>
  <c r="Z71" i="6"/>
  <c r="AC24" i="45"/>
  <c r="AB24" i="45"/>
  <c r="EH20" i="41"/>
  <c r="EE20" i="41"/>
  <c r="AC24" i="38"/>
  <c r="AB24" i="38"/>
  <c r="DW49" i="43"/>
  <c r="E52" i="43" s="1"/>
  <c r="EE20" i="40"/>
  <c r="EH20" i="40"/>
  <c r="CN54" i="43"/>
  <c r="AG45" i="74" s="1"/>
  <c r="EH18" i="45"/>
  <c r="EE18" i="45"/>
  <c r="EH19" i="40"/>
  <c r="ED18" i="38"/>
  <c r="EH20" i="44"/>
  <c r="EE20" i="44"/>
  <c r="ED18" i="18"/>
  <c r="EE21" i="43"/>
  <c r="EH21" i="43"/>
  <c r="ED18" i="41"/>
  <c r="AB24" i="40"/>
  <c r="AC24" i="40"/>
  <c r="W24" i="37"/>
  <c r="V24" i="37"/>
  <c r="CN54" i="44"/>
  <c r="AJ45" i="74" s="1"/>
  <c r="EH19" i="42"/>
  <c r="EE19" i="42"/>
  <c r="G13" i="16"/>
  <c r="EH20" i="38"/>
  <c r="EE20" i="38"/>
  <c r="EE19" i="39"/>
  <c r="EH19" i="39"/>
  <c r="AC24" i="44"/>
  <c r="AB24" i="44"/>
  <c r="DT23" i="41"/>
  <c r="ED23" i="41" s="1"/>
  <c r="DR24" i="41"/>
  <c r="DW49" i="42"/>
  <c r="E52" i="42" s="1"/>
  <c r="DT20" i="45"/>
  <c r="ED20" i="45" s="1"/>
  <c r="DR21" i="45"/>
  <c r="G8" i="16"/>
  <c r="AC42" i="45"/>
  <c r="B37" i="54" s="1"/>
  <c r="AC56" i="45"/>
  <c r="B38" i="54" s="1"/>
  <c r="H30" i="83"/>
  <c r="D5" i="52"/>
  <c r="AB24" i="39"/>
  <c r="AC24" i="39"/>
  <c r="EH22" i="41"/>
  <c r="EE22" i="41"/>
  <c r="V24" i="43"/>
  <c r="W24" i="43"/>
  <c r="DT21" i="36"/>
  <c r="ED21" i="36" s="1"/>
  <c r="DR22" i="36"/>
  <c r="ED18" i="40"/>
  <c r="EH18" i="42"/>
  <c r="EE18" i="42"/>
  <c r="EH18" i="44"/>
  <c r="EE18" i="44"/>
  <c r="EH19" i="35"/>
  <c r="EH19" i="43"/>
  <c r="L132" i="76" l="1"/>
  <c r="L144" i="76"/>
  <c r="E30" i="75" s="1"/>
  <c r="F134" i="76"/>
  <c r="F146" i="76"/>
  <c r="F125" i="76"/>
  <c r="F137" i="76"/>
  <c r="F129" i="76"/>
  <c r="F141" i="76"/>
  <c r="F130" i="76"/>
  <c r="F142" i="76"/>
  <c r="D134" i="76"/>
  <c r="D146" i="76"/>
  <c r="C125" i="76"/>
  <c r="C137" i="76"/>
  <c r="D128" i="76"/>
  <c r="D140" i="76"/>
  <c r="H130" i="76"/>
  <c r="H142" i="76"/>
  <c r="F126" i="76"/>
  <c r="F138" i="76"/>
  <c r="H123" i="76"/>
  <c r="H135" i="76"/>
  <c r="D131" i="76"/>
  <c r="D143" i="76"/>
  <c r="F123" i="76"/>
  <c r="F135" i="76"/>
  <c r="F131" i="76"/>
  <c r="F143" i="76"/>
  <c r="F127" i="76"/>
  <c r="F139" i="76"/>
  <c r="F124" i="76"/>
  <c r="F136" i="76"/>
  <c r="D125" i="76"/>
  <c r="D137" i="76"/>
  <c r="D124" i="76"/>
  <c r="D136" i="76"/>
  <c r="D126" i="76"/>
  <c r="D138" i="76"/>
  <c r="E5" i="85"/>
  <c r="CV5" i="59" s="1"/>
  <c r="E7" i="85"/>
  <c r="CV7" i="59" s="1"/>
  <c r="E6" i="85"/>
  <c r="CV6" i="59" s="1"/>
  <c r="E8" i="85"/>
  <c r="J121" i="76"/>
  <c r="J133" i="76"/>
  <c r="J116" i="76"/>
  <c r="J128" i="76"/>
  <c r="E28" i="75"/>
  <c r="E31" i="75"/>
  <c r="F57" i="74"/>
  <c r="F60" i="74" s="1"/>
  <c r="F59" i="74" s="1"/>
  <c r="E43" i="75"/>
  <c r="E21" i="75"/>
  <c r="E26" i="75"/>
  <c r="E29" i="75"/>
  <c r="E32" i="75"/>
  <c r="E25" i="75"/>
  <c r="E24" i="75"/>
  <c r="B93" i="35"/>
  <c r="B93" i="18"/>
  <c r="E27" i="75"/>
  <c r="B93" i="37"/>
  <c r="CV8" i="59"/>
  <c r="E23" i="75"/>
  <c r="E22" i="75"/>
  <c r="U55" i="74"/>
  <c r="AR10" i="59" s="1"/>
  <c r="F140" i="76" s="1"/>
  <c r="U57" i="74"/>
  <c r="U60" i="74" s="1"/>
  <c r="U59" i="74" s="1"/>
  <c r="AJ55" i="74"/>
  <c r="AR15" i="59" s="1"/>
  <c r="AJ57" i="74"/>
  <c r="AJ60" i="74" s="1"/>
  <c r="AJ59" i="74" s="1"/>
  <c r="AG57" i="74"/>
  <c r="AG60" i="74" s="1"/>
  <c r="AG59" i="74" s="1"/>
  <c r="AG55" i="74"/>
  <c r="AR14" i="59" s="1"/>
  <c r="F144" i="76" s="1"/>
  <c r="AC24" i="18"/>
  <c r="BR5" i="59"/>
  <c r="AM56" i="9"/>
  <c r="AM56" i="5"/>
  <c r="B94" i="36"/>
  <c r="ED19" i="36"/>
  <c r="AL92" i="9"/>
  <c r="AL92" i="10"/>
  <c r="CU12" i="59"/>
  <c r="AM70" i="74"/>
  <c r="AT16" i="59" s="1"/>
  <c r="H146" i="76" s="1"/>
  <c r="U70" i="74"/>
  <c r="AT10" i="59" s="1"/>
  <c r="H140" i="76" s="1"/>
  <c r="L70" i="74"/>
  <c r="AT7" i="59" s="1"/>
  <c r="H137" i="76" s="1"/>
  <c r="I70" i="74"/>
  <c r="AT6" i="59" s="1"/>
  <c r="H136" i="76" s="1"/>
  <c r="BR7" i="59"/>
  <c r="D10" i="51"/>
  <c r="H110" i="76"/>
  <c r="F102" i="76"/>
  <c r="F114" i="76"/>
  <c r="F106" i="76"/>
  <c r="F118" i="76"/>
  <c r="D100" i="76"/>
  <c r="D112" i="76"/>
  <c r="F104" i="76"/>
  <c r="H99" i="76"/>
  <c r="H111" i="76"/>
  <c r="D107" i="76"/>
  <c r="D119" i="76"/>
  <c r="F99" i="76"/>
  <c r="F111" i="76"/>
  <c r="F107" i="76"/>
  <c r="F119" i="76"/>
  <c r="F101" i="76"/>
  <c r="F113" i="76"/>
  <c r="F105" i="76"/>
  <c r="F117" i="76"/>
  <c r="H101" i="76"/>
  <c r="H104" i="76"/>
  <c r="F109" i="76"/>
  <c r="F121" i="76"/>
  <c r="D102" i="76"/>
  <c r="D114" i="76"/>
  <c r="F110" i="76"/>
  <c r="F122" i="76"/>
  <c r="F103" i="76"/>
  <c r="F115" i="76"/>
  <c r="F100" i="76"/>
  <c r="F112" i="76"/>
  <c r="D101" i="76"/>
  <c r="D113" i="76"/>
  <c r="H100" i="76"/>
  <c r="F108" i="76"/>
  <c r="D110" i="76"/>
  <c r="D122" i="76"/>
  <c r="C101" i="76"/>
  <c r="C113" i="76"/>
  <c r="D104" i="76"/>
  <c r="D116" i="76"/>
  <c r="H106" i="76"/>
  <c r="H118" i="76"/>
  <c r="J12" i="59"/>
  <c r="EI16" i="12"/>
  <c r="EI18" i="12" s="1"/>
  <c r="AL85" i="12" s="1"/>
  <c r="AL88" i="12" s="1"/>
  <c r="AL83" i="11"/>
  <c r="EI15" i="11"/>
  <c r="O70" i="74"/>
  <c r="AT8" i="59" s="1"/>
  <c r="AP12" i="59"/>
  <c r="EI18" i="5"/>
  <c r="AL85" i="5" s="1"/>
  <c r="EI15" i="5"/>
  <c r="J6" i="59"/>
  <c r="EI16" i="6"/>
  <c r="AL83" i="6" s="1"/>
  <c r="AM56" i="4"/>
  <c r="B35" i="75"/>
  <c r="BR8" i="59"/>
  <c r="AD70" i="74"/>
  <c r="AT13" i="59" s="1"/>
  <c r="E51" i="37"/>
  <c r="BR10" i="59"/>
  <c r="EH15" i="7"/>
  <c r="AA8" i="59" s="1"/>
  <c r="EH16" i="8"/>
  <c r="EH18" i="8" s="1"/>
  <c r="I8" i="59"/>
  <c r="EH16" i="13"/>
  <c r="EH18" i="13" s="1"/>
  <c r="I13" i="59"/>
  <c r="EH15" i="12"/>
  <c r="AA13" i="59" s="1"/>
  <c r="BR6" i="59"/>
  <c r="AO13" i="59"/>
  <c r="AD69" i="74"/>
  <c r="AM56" i="6"/>
  <c r="BR12" i="59"/>
  <c r="E51" i="41"/>
  <c r="O69" i="74"/>
  <c r="AO8" i="59"/>
  <c r="E51" i="40"/>
  <c r="AM56" i="14"/>
  <c r="AP5" i="59"/>
  <c r="L69" i="74"/>
  <c r="AS7" i="59" s="1"/>
  <c r="BR11" i="59"/>
  <c r="R54" i="74"/>
  <c r="AQ9" i="59" s="1"/>
  <c r="E51" i="44"/>
  <c r="O54" i="74"/>
  <c r="AQ8" i="59" s="1"/>
  <c r="AA54" i="74"/>
  <c r="AQ12" i="59" s="1"/>
  <c r="AP15" i="59"/>
  <c r="AJ70" i="74"/>
  <c r="AT15" i="59" s="1"/>
  <c r="EH18" i="41"/>
  <c r="EE18" i="41"/>
  <c r="EH18" i="18"/>
  <c r="EE18" i="18"/>
  <c r="EG18" i="45"/>
  <c r="EF18" i="45"/>
  <c r="AG70" i="74"/>
  <c r="AT14" i="59" s="1"/>
  <c r="AP14" i="59"/>
  <c r="EG20" i="41"/>
  <c r="EF20" i="41"/>
  <c r="DT21" i="39"/>
  <c r="DR22" i="39"/>
  <c r="DT22" i="38"/>
  <c r="DR23" i="38"/>
  <c r="R60" i="74"/>
  <c r="R59" i="74" s="1"/>
  <c r="EG20" i="43"/>
  <c r="EF20" i="43"/>
  <c r="DT21" i="42"/>
  <c r="ED21" i="42" s="1"/>
  <c r="DR22" i="42"/>
  <c r="EF18" i="39"/>
  <c r="EG18" i="39"/>
  <c r="DT23" i="43"/>
  <c r="ED23" i="43" s="1"/>
  <c r="DR24" i="43"/>
  <c r="DT22" i="44"/>
  <c r="ED22" i="44" s="1"/>
  <c r="DR23" i="44"/>
  <c r="DT21" i="37"/>
  <c r="ED21" i="37" s="1"/>
  <c r="DR22" i="37"/>
  <c r="AM69" i="74"/>
  <c r="AO16" i="59"/>
  <c r="EF20" i="18"/>
  <c r="EG18" i="37"/>
  <c r="EF18" i="37"/>
  <c r="DT22" i="18"/>
  <c r="DR23" i="18"/>
  <c r="AO10" i="59"/>
  <c r="U69" i="74"/>
  <c r="EF19" i="43"/>
  <c r="EG19" i="43"/>
  <c r="EG19" i="35"/>
  <c r="EF19" i="35"/>
  <c r="EF20" i="38"/>
  <c r="D11" i="52"/>
  <c r="H36" i="83"/>
  <c r="EF19" i="42"/>
  <c r="EH18" i="38"/>
  <c r="EE18" i="38"/>
  <c r="O60" i="74"/>
  <c r="O59" i="74" s="1"/>
  <c r="EH20" i="39"/>
  <c r="EE20" i="39"/>
  <c r="EG19" i="39" s="1"/>
  <c r="AM54" i="74"/>
  <c r="AQ16" i="59" s="1"/>
  <c r="AD60" i="74"/>
  <c r="AD59" i="74" s="1"/>
  <c r="I54" i="74"/>
  <c r="AQ6" i="59" s="1"/>
  <c r="Z71" i="15"/>
  <c r="X54" i="74"/>
  <c r="AQ11" i="59" s="1"/>
  <c r="EH20" i="42"/>
  <c r="EE20" i="42"/>
  <c r="EH22" i="43"/>
  <c r="EE22" i="43"/>
  <c r="EG21" i="43" s="1"/>
  <c r="EH21" i="44"/>
  <c r="EE21" i="44"/>
  <c r="EG20" i="44" s="1"/>
  <c r="AO14" i="59"/>
  <c r="AG69" i="74"/>
  <c r="EE20" i="37"/>
  <c r="EG19" i="37" s="1"/>
  <c r="EH20" i="37"/>
  <c r="EH18" i="43"/>
  <c r="EE18" i="43"/>
  <c r="EH18" i="36"/>
  <c r="EE18" i="36"/>
  <c r="E51" i="38"/>
  <c r="BR9" i="59"/>
  <c r="AM56" i="8"/>
  <c r="EF20" i="35"/>
  <c r="EG20" i="35"/>
  <c r="EE21" i="18"/>
  <c r="EH21" i="18"/>
  <c r="R69" i="74"/>
  <c r="AO9" i="59"/>
  <c r="DT22" i="36"/>
  <c r="ED22" i="36" s="1"/>
  <c r="DR23" i="36"/>
  <c r="H31" i="83"/>
  <c r="D6" i="52"/>
  <c r="EH18" i="40"/>
  <c r="EE18" i="40"/>
  <c r="EF22" i="41"/>
  <c r="EH21" i="36"/>
  <c r="DT21" i="45"/>
  <c r="DR22" i="45"/>
  <c r="DT24" i="41"/>
  <c r="ED24" i="41" s="1"/>
  <c r="DR25" i="41"/>
  <c r="EF20" i="44"/>
  <c r="EF20" i="40"/>
  <c r="AM56" i="13"/>
  <c r="E51" i="43"/>
  <c r="BR14" i="59"/>
  <c r="EH21" i="38"/>
  <c r="EE21" i="38"/>
  <c r="X69" i="74"/>
  <c r="AO11" i="59"/>
  <c r="F54" i="74"/>
  <c r="AQ5" i="59" s="1"/>
  <c r="AD54" i="74"/>
  <c r="AQ13" i="59" s="1"/>
  <c r="L60" i="74"/>
  <c r="L59" i="74" s="1"/>
  <c r="H77" i="15"/>
  <c r="G17" i="16"/>
  <c r="EF21" i="35"/>
  <c r="DT22" i="40"/>
  <c r="DR23" i="40"/>
  <c r="AA60" i="74"/>
  <c r="AA59" i="74" s="1"/>
  <c r="EH18" i="35"/>
  <c r="EE18" i="35"/>
  <c r="DT23" i="35"/>
  <c r="DR24" i="35"/>
  <c r="I69" i="74"/>
  <c r="AO6" i="59"/>
  <c r="AP9" i="59"/>
  <c r="R70" i="74"/>
  <c r="AT9" i="59" s="1"/>
  <c r="EF19" i="45"/>
  <c r="I29" i="83"/>
  <c r="I30" i="83" s="1"/>
  <c r="AP11" i="59"/>
  <c r="X70" i="74"/>
  <c r="AT11" i="59" s="1"/>
  <c r="AO5" i="59"/>
  <c r="F69" i="74"/>
  <c r="EG18" i="44"/>
  <c r="EF18" i="44"/>
  <c r="EG18" i="42"/>
  <c r="EF18" i="42"/>
  <c r="EH20" i="45"/>
  <c r="EE20" i="45"/>
  <c r="EG19" i="45" s="1"/>
  <c r="BR13" i="59"/>
  <c r="AM56" i="12"/>
  <c r="E51" i="42"/>
  <c r="EE23" i="41"/>
  <c r="EH23" i="41"/>
  <c r="EF19" i="39"/>
  <c r="EF21" i="43"/>
  <c r="EE19" i="40"/>
  <c r="EG21" i="41"/>
  <c r="EF21" i="41"/>
  <c r="AO12" i="59"/>
  <c r="AA69" i="74"/>
  <c r="EF19" i="37"/>
  <c r="BR16" i="59"/>
  <c r="AM56" i="15"/>
  <c r="E51" i="45"/>
  <c r="AM60" i="74"/>
  <c r="AM59" i="74" s="1"/>
  <c r="I60" i="74"/>
  <c r="I59" i="74" s="1"/>
  <c r="L54" i="74"/>
  <c r="AQ7" i="59" s="1"/>
  <c r="X60" i="74"/>
  <c r="X59" i="74" s="1"/>
  <c r="EE19" i="41"/>
  <c r="EE19" i="18"/>
  <c r="EE19" i="38"/>
  <c r="EE21" i="40"/>
  <c r="EG20" i="40" s="1"/>
  <c r="EH21" i="40"/>
  <c r="D13" i="52"/>
  <c r="H38" i="83"/>
  <c r="EE22" i="35"/>
  <c r="EG21" i="35" s="1"/>
  <c r="EH22" i="35"/>
  <c r="EF19" i="44"/>
  <c r="EG19" i="44"/>
  <c r="AJ69" i="74"/>
  <c r="AO15" i="59"/>
  <c r="C124" i="76" l="1"/>
  <c r="C136" i="76"/>
  <c r="C127" i="76"/>
  <c r="C139" i="76"/>
  <c r="E129" i="76"/>
  <c r="E141" i="76"/>
  <c r="E134" i="76"/>
  <c r="E146" i="76"/>
  <c r="E130" i="76"/>
  <c r="E142" i="76"/>
  <c r="C133" i="76"/>
  <c r="C145" i="76"/>
  <c r="C123" i="76"/>
  <c r="C135" i="76"/>
  <c r="E131" i="76"/>
  <c r="E143" i="76"/>
  <c r="C132" i="76"/>
  <c r="C144" i="76"/>
  <c r="C134" i="76"/>
  <c r="C146" i="76"/>
  <c r="E126" i="76"/>
  <c r="E138" i="76"/>
  <c r="G125" i="76"/>
  <c r="G137" i="76"/>
  <c r="C126" i="76"/>
  <c r="C138" i="76"/>
  <c r="H131" i="76"/>
  <c r="H143" i="76"/>
  <c r="D130" i="76"/>
  <c r="D142" i="76"/>
  <c r="F133" i="76"/>
  <c r="F145" i="76"/>
  <c r="H129" i="76"/>
  <c r="H141" i="76"/>
  <c r="H127" i="76"/>
  <c r="H139" i="76"/>
  <c r="E123" i="76"/>
  <c r="E135" i="76"/>
  <c r="E124" i="76"/>
  <c r="E136" i="76"/>
  <c r="D132" i="76"/>
  <c r="D144" i="76"/>
  <c r="H133" i="76"/>
  <c r="H145" i="76"/>
  <c r="D123" i="76"/>
  <c r="D135" i="76"/>
  <c r="H126" i="76"/>
  <c r="H138" i="76"/>
  <c r="E125" i="76"/>
  <c r="E137" i="76"/>
  <c r="C130" i="76"/>
  <c r="C142" i="76"/>
  <c r="D129" i="76"/>
  <c r="D141" i="76"/>
  <c r="D127" i="76"/>
  <c r="D139" i="76"/>
  <c r="C129" i="76"/>
  <c r="C141" i="76"/>
  <c r="C128" i="76"/>
  <c r="C140" i="76"/>
  <c r="H132" i="76"/>
  <c r="H144" i="76"/>
  <c r="D133" i="76"/>
  <c r="D145" i="76"/>
  <c r="E127" i="76"/>
  <c r="E139" i="76"/>
  <c r="C131" i="76"/>
  <c r="C143" i="76"/>
  <c r="U54" i="74"/>
  <c r="AQ10" i="59" s="1"/>
  <c r="H113" i="76"/>
  <c r="H125" i="76"/>
  <c r="H122" i="76"/>
  <c r="H134" i="76"/>
  <c r="F120" i="76"/>
  <c r="F132" i="76"/>
  <c r="H112" i="76"/>
  <c r="H124" i="76"/>
  <c r="H116" i="76"/>
  <c r="H128" i="76"/>
  <c r="F116" i="76"/>
  <c r="F128" i="76"/>
  <c r="AJ54" i="74"/>
  <c r="AQ15" i="59" s="1"/>
  <c r="AG54" i="74"/>
  <c r="AQ14" i="59" s="1"/>
  <c r="G15" i="75"/>
  <c r="R11" i="59"/>
  <c r="AQ17" i="10"/>
  <c r="AQ52" i="10" s="1"/>
  <c r="R10" i="59"/>
  <c r="AQ17" i="9"/>
  <c r="AQ52" i="9" s="1"/>
  <c r="AD71" i="74"/>
  <c r="AU13" i="59" s="1"/>
  <c r="EH19" i="36"/>
  <c r="ED20" i="36"/>
  <c r="L71" i="74"/>
  <c r="AU7" i="59" s="1"/>
  <c r="EE19" i="36"/>
  <c r="I31" i="83"/>
  <c r="I32" i="83" s="1"/>
  <c r="I33" i="83" s="1"/>
  <c r="I34" i="83" s="1"/>
  <c r="I35" i="83" s="1"/>
  <c r="I36" i="83" s="1"/>
  <c r="I37" i="83" s="1"/>
  <c r="I38" i="83" s="1"/>
  <c r="I39" i="83" s="1"/>
  <c r="AL92" i="11"/>
  <c r="EI15" i="12"/>
  <c r="J13" i="59"/>
  <c r="O71" i="74"/>
  <c r="O78" i="74" s="1"/>
  <c r="C100" i="76"/>
  <c r="C112" i="76"/>
  <c r="B34" i="75" s="1"/>
  <c r="E107" i="76"/>
  <c r="E119" i="76"/>
  <c r="C108" i="76"/>
  <c r="C120" i="76"/>
  <c r="E110" i="76"/>
  <c r="E122" i="76"/>
  <c r="E106" i="76"/>
  <c r="E118" i="76"/>
  <c r="D99" i="76"/>
  <c r="D111" i="76"/>
  <c r="D106" i="76"/>
  <c r="D118" i="76"/>
  <c r="C99" i="76"/>
  <c r="C111" i="76"/>
  <c r="B33" i="75" s="1"/>
  <c r="E99" i="76"/>
  <c r="E111" i="76"/>
  <c r="C110" i="76"/>
  <c r="C122" i="76"/>
  <c r="B44" i="75" s="1"/>
  <c r="E102" i="76"/>
  <c r="E114" i="76"/>
  <c r="G101" i="76"/>
  <c r="G113" i="76"/>
  <c r="C107" i="76"/>
  <c r="C119" i="76"/>
  <c r="B41" i="75" s="1"/>
  <c r="H102" i="76"/>
  <c r="H114" i="76"/>
  <c r="H105" i="76"/>
  <c r="H117" i="76"/>
  <c r="H103" i="76"/>
  <c r="H115" i="76"/>
  <c r="C105" i="76"/>
  <c r="C117" i="76"/>
  <c r="C103" i="76"/>
  <c r="C115" i="76"/>
  <c r="E100" i="76"/>
  <c r="E112" i="76"/>
  <c r="D108" i="76"/>
  <c r="D120" i="76"/>
  <c r="B42" i="75" s="1"/>
  <c r="H109" i="76"/>
  <c r="H121" i="76"/>
  <c r="E104" i="76"/>
  <c r="E116" i="76"/>
  <c r="H107" i="76"/>
  <c r="H119" i="76"/>
  <c r="C109" i="76"/>
  <c r="C121" i="76"/>
  <c r="E101" i="76"/>
  <c r="E113" i="76"/>
  <c r="C106" i="76"/>
  <c r="C118" i="76"/>
  <c r="D105" i="76"/>
  <c r="D117" i="76"/>
  <c r="D103" i="76"/>
  <c r="D115" i="76"/>
  <c r="E105" i="76"/>
  <c r="E117" i="76"/>
  <c r="C104" i="76"/>
  <c r="C116" i="76"/>
  <c r="B38" i="75" s="1"/>
  <c r="E109" i="76"/>
  <c r="E121" i="76"/>
  <c r="H108" i="76"/>
  <c r="H120" i="76"/>
  <c r="D109" i="76"/>
  <c r="D121" i="76"/>
  <c r="E103" i="76"/>
  <c r="E115" i="76"/>
  <c r="E108" i="76"/>
  <c r="E120" i="76"/>
  <c r="C102" i="76"/>
  <c r="C114" i="76"/>
  <c r="EI16" i="13"/>
  <c r="EI18" i="13" s="1"/>
  <c r="AL85" i="13" s="1"/>
  <c r="AL88" i="13" s="1"/>
  <c r="AL83" i="12"/>
  <c r="AS8" i="59"/>
  <c r="AS13" i="59"/>
  <c r="EI18" i="6"/>
  <c r="AL85" i="6" s="1"/>
  <c r="EI15" i="6"/>
  <c r="J7" i="59"/>
  <c r="EI16" i="7"/>
  <c r="AL83" i="7" s="1"/>
  <c r="EH15" i="13"/>
  <c r="AA14" i="59" s="1"/>
  <c r="I14" i="59"/>
  <c r="EH16" i="14"/>
  <c r="EH18" i="14" s="1"/>
  <c r="I9" i="59"/>
  <c r="EH15" i="8"/>
  <c r="AA9" i="59" s="1"/>
  <c r="F19" i="63" s="1"/>
  <c r="F23" i="63" s="1"/>
  <c r="EF19" i="41"/>
  <c r="EG19" i="41"/>
  <c r="EF23" i="41"/>
  <c r="AS5" i="59"/>
  <c r="F71" i="74"/>
  <c r="AS15" i="59"/>
  <c r="AJ71" i="74"/>
  <c r="AS6" i="59"/>
  <c r="I71" i="74"/>
  <c r="ED22" i="40"/>
  <c r="DT25" i="41"/>
  <c r="ED25" i="41" s="1"/>
  <c r="DR26" i="41"/>
  <c r="DT23" i="36"/>
  <c r="DR24" i="36"/>
  <c r="AS9" i="59"/>
  <c r="R71" i="74"/>
  <c r="EF21" i="18"/>
  <c r="EF21" i="44"/>
  <c r="EF20" i="42"/>
  <c r="EG19" i="42"/>
  <c r="ED22" i="18"/>
  <c r="EE21" i="37"/>
  <c r="EG20" i="37" s="1"/>
  <c r="EH21" i="37"/>
  <c r="EH22" i="44"/>
  <c r="EE22" i="44"/>
  <c r="ED22" i="38"/>
  <c r="EF18" i="41"/>
  <c r="EG18" i="41"/>
  <c r="EF19" i="38"/>
  <c r="EG19" i="38"/>
  <c r="EG19" i="40"/>
  <c r="EF19" i="40"/>
  <c r="EF18" i="35"/>
  <c r="EG18" i="35"/>
  <c r="X71" i="74"/>
  <c r="AS11" i="59"/>
  <c r="EH24" i="41"/>
  <c r="EE24" i="41"/>
  <c r="EG23" i="41" s="1"/>
  <c r="EG22" i="41"/>
  <c r="EH22" i="36"/>
  <c r="EF18" i="36"/>
  <c r="EF18" i="38"/>
  <c r="EG18" i="38"/>
  <c r="AS10" i="59"/>
  <c r="U71" i="74"/>
  <c r="AS16" i="59"/>
  <c r="AM71" i="74"/>
  <c r="DT22" i="39"/>
  <c r="ED22" i="39" s="1"/>
  <c r="DR23" i="39"/>
  <c r="EF22" i="35"/>
  <c r="EF21" i="40"/>
  <c r="EF19" i="18"/>
  <c r="EG19" i="18"/>
  <c r="AA71" i="74"/>
  <c r="AS12" i="59"/>
  <c r="DT24" i="35"/>
  <c r="ED24" i="35" s="1"/>
  <c r="DR25" i="35"/>
  <c r="DT22" i="45"/>
  <c r="ED22" i="45" s="1"/>
  <c r="DR23" i="45"/>
  <c r="EG18" i="40"/>
  <c r="EF18" i="40"/>
  <c r="EF20" i="37"/>
  <c r="AG71" i="74"/>
  <c r="AS14" i="59"/>
  <c r="EF22" i="43"/>
  <c r="EF20" i="39"/>
  <c r="DT24" i="43"/>
  <c r="ED24" i="43" s="1"/>
  <c r="DR25" i="43"/>
  <c r="DT22" i="42"/>
  <c r="DR23" i="42"/>
  <c r="ED21" i="39"/>
  <c r="EG18" i="18"/>
  <c r="EF18" i="18"/>
  <c r="EF20" i="45"/>
  <c r="ED23" i="35"/>
  <c r="DT23" i="40"/>
  <c r="ED23" i="40" s="1"/>
  <c r="DR24" i="40"/>
  <c r="H40" i="83"/>
  <c r="D15" i="52"/>
  <c r="EF21" i="38"/>
  <c r="ED21" i="45"/>
  <c r="EF18" i="43"/>
  <c r="EG18" i="43"/>
  <c r="EG20" i="38"/>
  <c r="DT23" i="18"/>
  <c r="ED23" i="18" s="1"/>
  <c r="DR24" i="18"/>
  <c r="EG20" i="18"/>
  <c r="DT22" i="37"/>
  <c r="DR23" i="37"/>
  <c r="DT23" i="44"/>
  <c r="DR24" i="44"/>
  <c r="EH23" i="43"/>
  <c r="EE23" i="43"/>
  <c r="EG22" i="43" s="1"/>
  <c r="EE21" i="42"/>
  <c r="EH21" i="42"/>
  <c r="DT23" i="38"/>
  <c r="ED23" i="38" s="1"/>
  <c r="DR24" i="38"/>
  <c r="G18" i="16"/>
  <c r="B29" i="75" l="1"/>
  <c r="I125" i="76"/>
  <c r="I137" i="76"/>
  <c r="G132" i="76"/>
  <c r="G144" i="76"/>
  <c r="G128" i="76"/>
  <c r="G140" i="76"/>
  <c r="G129" i="76"/>
  <c r="G141" i="76"/>
  <c r="G124" i="76"/>
  <c r="G136" i="76"/>
  <c r="G123" i="76"/>
  <c r="G135" i="76"/>
  <c r="E132" i="76"/>
  <c r="E144" i="76"/>
  <c r="G130" i="76"/>
  <c r="G142" i="76"/>
  <c r="G127" i="76"/>
  <c r="G139" i="76"/>
  <c r="G131" i="76"/>
  <c r="G143" i="76"/>
  <c r="E133" i="76"/>
  <c r="E145" i="76"/>
  <c r="G134" i="76"/>
  <c r="G146" i="76"/>
  <c r="G133" i="76"/>
  <c r="G145" i="76"/>
  <c r="G126" i="76"/>
  <c r="G138" i="76"/>
  <c r="I131" i="76"/>
  <c r="I143" i="76"/>
  <c r="E128" i="76"/>
  <c r="E140" i="76"/>
  <c r="B43" i="75"/>
  <c r="B40" i="75"/>
  <c r="B37" i="75"/>
  <c r="B30" i="75"/>
  <c r="B39" i="75"/>
  <c r="B24" i="75"/>
  <c r="B32" i="75"/>
  <c r="B36" i="75"/>
  <c r="B23" i="75"/>
  <c r="B26" i="75"/>
  <c r="B22" i="75"/>
  <c r="B21" i="75"/>
  <c r="B45" i="75"/>
  <c r="R12" i="59"/>
  <c r="AQ17" i="11"/>
  <c r="AQ52" i="11" s="1"/>
  <c r="AD78" i="74"/>
  <c r="AY13" i="59" s="1"/>
  <c r="L78" i="74"/>
  <c r="AY7" i="59" s="1"/>
  <c r="B27" i="75"/>
  <c r="EF19" i="36"/>
  <c r="EH20" i="36"/>
  <c r="EE20" i="36"/>
  <c r="EF20" i="36" s="1"/>
  <c r="EE21" i="36"/>
  <c r="EG18" i="36"/>
  <c r="B28" i="75"/>
  <c r="B31" i="75"/>
  <c r="I40" i="83"/>
  <c r="B25" i="75"/>
  <c r="AL92" i="12"/>
  <c r="AL92" i="13"/>
  <c r="AU8" i="59"/>
  <c r="I138" i="76" s="1"/>
  <c r="CU13" i="59"/>
  <c r="AL83" i="13"/>
  <c r="G106" i="76"/>
  <c r="G118" i="76"/>
  <c r="G108" i="76"/>
  <c r="G120" i="76"/>
  <c r="G104" i="76"/>
  <c r="G116" i="76"/>
  <c r="G105" i="76"/>
  <c r="G117" i="76"/>
  <c r="G107" i="76"/>
  <c r="G119" i="76"/>
  <c r="I101" i="76"/>
  <c r="I113" i="76"/>
  <c r="D35" i="75" s="1"/>
  <c r="G109" i="76"/>
  <c r="G121" i="76"/>
  <c r="G102" i="76"/>
  <c r="G114" i="76"/>
  <c r="G110" i="76"/>
  <c r="G122" i="76"/>
  <c r="I102" i="76"/>
  <c r="I107" i="76"/>
  <c r="I119" i="76"/>
  <c r="G103" i="76"/>
  <c r="G115" i="76"/>
  <c r="G100" i="76"/>
  <c r="G112" i="76"/>
  <c r="G99" i="76"/>
  <c r="G111" i="76"/>
  <c r="EI15" i="13"/>
  <c r="EI16" i="14"/>
  <c r="EI18" i="14" s="1"/>
  <c r="AL85" i="14" s="1"/>
  <c r="AL88" i="14" s="1"/>
  <c r="J14" i="59"/>
  <c r="EI18" i="7"/>
  <c r="AL85" i="7" s="1"/>
  <c r="EI16" i="8"/>
  <c r="AL83" i="8" s="1"/>
  <c r="EI15" i="7"/>
  <c r="J8" i="59"/>
  <c r="EF16" i="9"/>
  <c r="EF18" i="9" s="1"/>
  <c r="H22" i="63"/>
  <c r="EH15" i="14"/>
  <c r="AA15" i="59" s="1"/>
  <c r="I15" i="59"/>
  <c r="EH16" i="15"/>
  <c r="EH18" i="15" s="1"/>
  <c r="EF21" i="42"/>
  <c r="EH21" i="45"/>
  <c r="EE21" i="45"/>
  <c r="EE23" i="35"/>
  <c r="EH23" i="35"/>
  <c r="ED22" i="42"/>
  <c r="DT24" i="38"/>
  <c r="ED24" i="38" s="1"/>
  <c r="DR25" i="38"/>
  <c r="EF23" i="43"/>
  <c r="DT24" i="40"/>
  <c r="ED24" i="40" s="1"/>
  <c r="DR25" i="40"/>
  <c r="DT25" i="43"/>
  <c r="ED25" i="43" s="1"/>
  <c r="DR26" i="43"/>
  <c r="AG78" i="74"/>
  <c r="AU14" i="59"/>
  <c r="AY8" i="59"/>
  <c r="EH22" i="45"/>
  <c r="EE22" i="45"/>
  <c r="H42" i="83"/>
  <c r="DT23" i="39"/>
  <c r="DR24" i="39"/>
  <c r="EH22" i="38"/>
  <c r="EE22" i="38"/>
  <c r="EF22" i="44"/>
  <c r="EG21" i="44"/>
  <c r="AU9" i="59"/>
  <c r="R78" i="74"/>
  <c r="AU15" i="59"/>
  <c r="AJ78" i="74"/>
  <c r="DT24" i="18"/>
  <c r="ED24" i="18" s="1"/>
  <c r="DR25" i="18"/>
  <c r="EH24" i="43"/>
  <c r="EE24" i="43"/>
  <c r="EH22" i="39"/>
  <c r="EE22" i="39"/>
  <c r="AU10" i="59"/>
  <c r="U78" i="74"/>
  <c r="AU11" i="59"/>
  <c r="X78" i="74"/>
  <c r="EE22" i="18"/>
  <c r="EH22" i="18"/>
  <c r="EG20" i="42"/>
  <c r="EE22" i="40"/>
  <c r="EH22" i="40"/>
  <c r="EH23" i="38"/>
  <c r="EE23" i="38"/>
  <c r="DT23" i="37"/>
  <c r="ED23" i="37" s="1"/>
  <c r="DR24" i="37"/>
  <c r="EE23" i="40"/>
  <c r="EH23" i="40"/>
  <c r="DT24" i="44"/>
  <c r="ED24" i="44" s="1"/>
  <c r="DR25" i="44"/>
  <c r="ED22" i="37"/>
  <c r="EE23" i="18"/>
  <c r="EH23" i="18"/>
  <c r="EE21" i="39"/>
  <c r="EH21" i="39"/>
  <c r="DT23" i="42"/>
  <c r="ED23" i="42" s="1"/>
  <c r="DR24" i="42"/>
  <c r="DT25" i="35"/>
  <c r="ED25" i="35" s="1"/>
  <c r="DR26" i="35"/>
  <c r="AA78" i="74"/>
  <c r="AU12" i="59"/>
  <c r="AM78" i="74"/>
  <c r="AU16" i="59"/>
  <c r="EF24" i="41"/>
  <c r="DT24" i="36"/>
  <c r="ED24" i="36" s="1"/>
  <c r="DR25" i="36"/>
  <c r="DT26" i="41"/>
  <c r="DR27" i="41"/>
  <c r="I78" i="74"/>
  <c r="AU6" i="59"/>
  <c r="AU5" i="59"/>
  <c r="F78" i="74"/>
  <c r="ED23" i="44"/>
  <c r="DT23" i="45"/>
  <c r="DR24" i="45"/>
  <c r="EE24" i="35"/>
  <c r="EH24" i="35"/>
  <c r="EF21" i="37"/>
  <c r="ED23" i="36"/>
  <c r="EE25" i="41"/>
  <c r="EG24" i="41" s="1"/>
  <c r="EH25" i="41"/>
  <c r="I123" i="76" l="1"/>
  <c r="I135" i="76"/>
  <c r="I134" i="76"/>
  <c r="I146" i="76"/>
  <c r="M131" i="76"/>
  <c r="M143" i="76"/>
  <c r="I130" i="76"/>
  <c r="I142" i="76"/>
  <c r="I124" i="76"/>
  <c r="I136" i="76"/>
  <c r="I128" i="76"/>
  <c r="I140" i="76"/>
  <c r="I133" i="76"/>
  <c r="I145" i="76"/>
  <c r="M126" i="76"/>
  <c r="M138" i="76"/>
  <c r="I132" i="76"/>
  <c r="I144" i="76"/>
  <c r="I129" i="76"/>
  <c r="I141" i="76"/>
  <c r="I127" i="76"/>
  <c r="I139" i="76"/>
  <c r="M125" i="76"/>
  <c r="M137" i="76"/>
  <c r="I114" i="76"/>
  <c r="D36" i="75" s="1"/>
  <c r="I126" i="76"/>
  <c r="D29" i="75"/>
  <c r="D41" i="75"/>
  <c r="R14" i="59"/>
  <c r="AQ17" i="13"/>
  <c r="AQ52" i="13" s="1"/>
  <c r="R13" i="59"/>
  <c r="AQ17" i="12"/>
  <c r="AQ52" i="12" s="1"/>
  <c r="EG19" i="36"/>
  <c r="EG20" i="36"/>
  <c r="EF21" i="36"/>
  <c r="EE22" i="36"/>
  <c r="CU14" i="59"/>
  <c r="EI16" i="15"/>
  <c r="EI18" i="15" s="1"/>
  <c r="AL85" i="15" s="1"/>
  <c r="AL88" i="15" s="1"/>
  <c r="EI15" i="14"/>
  <c r="AL83" i="14"/>
  <c r="J15" i="59"/>
  <c r="I104" i="76"/>
  <c r="I116" i="76"/>
  <c r="D38" i="75" s="1"/>
  <c r="I109" i="76"/>
  <c r="I121" i="76"/>
  <c r="I106" i="76"/>
  <c r="I118" i="76"/>
  <c r="D24" i="75" s="1"/>
  <c r="I99" i="76"/>
  <c r="I111" i="76"/>
  <c r="D33" i="75" s="1"/>
  <c r="M107" i="76"/>
  <c r="M119" i="76"/>
  <c r="I105" i="76"/>
  <c r="I117" i="76"/>
  <c r="M102" i="76"/>
  <c r="M114" i="76"/>
  <c r="F36" i="75" s="1"/>
  <c r="M101" i="76"/>
  <c r="M113" i="76"/>
  <c r="F35" i="75" s="1"/>
  <c r="I100" i="76"/>
  <c r="I112" i="76"/>
  <c r="I110" i="76"/>
  <c r="I122" i="76"/>
  <c r="D44" i="75" s="1"/>
  <c r="I103" i="76"/>
  <c r="I115" i="76"/>
  <c r="D37" i="75" s="1"/>
  <c r="I108" i="76"/>
  <c r="I120" i="76"/>
  <c r="D42" i="75" s="1"/>
  <c r="EI18" i="8"/>
  <c r="AL85" i="8" s="1"/>
  <c r="J9" i="59"/>
  <c r="F24" i="60" s="1"/>
  <c r="H26" i="60" s="1"/>
  <c r="EI15" i="8"/>
  <c r="D43" i="75"/>
  <c r="EI15" i="15"/>
  <c r="EH15" i="15"/>
  <c r="AA16" i="59" s="1"/>
  <c r="I16" i="59"/>
  <c r="E10" i="59"/>
  <c r="EF16" i="10"/>
  <c r="EF18" i="10" s="1"/>
  <c r="EF24" i="35"/>
  <c r="DT25" i="36"/>
  <c r="ED25" i="36" s="1"/>
  <c r="DR26" i="36"/>
  <c r="AY16" i="59"/>
  <c r="DT26" i="35"/>
  <c r="ED26" i="35" s="1"/>
  <c r="DR27" i="35"/>
  <c r="EH23" i="42"/>
  <c r="EE23" i="42"/>
  <c r="EH22" i="37"/>
  <c r="EE22" i="37"/>
  <c r="EF23" i="38"/>
  <c r="EF24" i="43"/>
  <c r="AY15" i="59"/>
  <c r="AY9" i="59"/>
  <c r="ED23" i="39"/>
  <c r="EF22" i="45"/>
  <c r="DT26" i="43"/>
  <c r="ED26" i="43" s="1"/>
  <c r="DR27" i="43"/>
  <c r="EE24" i="38"/>
  <c r="EH24" i="38"/>
  <c r="DT24" i="45"/>
  <c r="ED24" i="45" s="1"/>
  <c r="DR25" i="45"/>
  <c r="EE25" i="35"/>
  <c r="EG24" i="35" s="1"/>
  <c r="EH25" i="35"/>
  <c r="DT25" i="44"/>
  <c r="DR26" i="44"/>
  <c r="EF23" i="40"/>
  <c r="AY10" i="59"/>
  <c r="AY14" i="59"/>
  <c r="EE25" i="43"/>
  <c r="EH25" i="43"/>
  <c r="EG23" i="43"/>
  <c r="EF25" i="41"/>
  <c r="AY6" i="59"/>
  <c r="EH24" i="36"/>
  <c r="ED23" i="45"/>
  <c r="EE23" i="44"/>
  <c r="EH23" i="44"/>
  <c r="AY5" i="59"/>
  <c r="F82" i="74"/>
  <c r="F87" i="74" s="1"/>
  <c r="DT27" i="41"/>
  <c r="ED27" i="41" s="1"/>
  <c r="DR28" i="41"/>
  <c r="AY12" i="59"/>
  <c r="EF21" i="39"/>
  <c r="EG21" i="39"/>
  <c r="EG20" i="39"/>
  <c r="EF23" i="18"/>
  <c r="EE24" i="44"/>
  <c r="EH24" i="44"/>
  <c r="DT24" i="37"/>
  <c r="DR25" i="37"/>
  <c r="EG22" i="18"/>
  <c r="EF22" i="18"/>
  <c r="EG21" i="18"/>
  <c r="DT25" i="18"/>
  <c r="ED25" i="18" s="1"/>
  <c r="DR26" i="18"/>
  <c r="EG22" i="38"/>
  <c r="EF22" i="38"/>
  <c r="EG21" i="38"/>
  <c r="DT25" i="40"/>
  <c r="ED25" i="40" s="1"/>
  <c r="DR26" i="40"/>
  <c r="EH22" i="42"/>
  <c r="EE22" i="42"/>
  <c r="EG23" i="35"/>
  <c r="EF23" i="35"/>
  <c r="EG22" i="35"/>
  <c r="EH23" i="36"/>
  <c r="ED26" i="41"/>
  <c r="DT24" i="42"/>
  <c r="ED24" i="42" s="1"/>
  <c r="DR25" i="42"/>
  <c r="EE23" i="37"/>
  <c r="EH23" i="37"/>
  <c r="EF22" i="40"/>
  <c r="EG22" i="40"/>
  <c r="EG21" i="40"/>
  <c r="AY11" i="59"/>
  <c r="EF22" i="39"/>
  <c r="EE24" i="18"/>
  <c r="EG23" i="18" s="1"/>
  <c r="EH24" i="18"/>
  <c r="DT24" i="39"/>
  <c r="ED24" i="39" s="1"/>
  <c r="DR25" i="39"/>
  <c r="EH24" i="40"/>
  <c r="EE24" i="40"/>
  <c r="EG23" i="40" s="1"/>
  <c r="DT25" i="38"/>
  <c r="DR26" i="38"/>
  <c r="EF21" i="45"/>
  <c r="EG21" i="45"/>
  <c r="EG20" i="45"/>
  <c r="M124" i="76" l="1"/>
  <c r="M136" i="76"/>
  <c r="M127" i="76"/>
  <c r="M139" i="76"/>
  <c r="M132" i="76"/>
  <c r="M144" i="76"/>
  <c r="M133" i="76"/>
  <c r="M145" i="76"/>
  <c r="M129" i="76"/>
  <c r="M141" i="76"/>
  <c r="M128" i="76"/>
  <c r="M140" i="76"/>
  <c r="M134" i="76"/>
  <c r="M146" i="76"/>
  <c r="M130" i="76"/>
  <c r="M142" i="76"/>
  <c r="M123" i="76"/>
  <c r="M135" i="76"/>
  <c r="H30" i="60"/>
  <c r="AL83" i="15"/>
  <c r="B25" i="54" s="1"/>
  <c r="D22" i="75"/>
  <c r="F29" i="75"/>
  <c r="D40" i="75"/>
  <c r="F41" i="75"/>
  <c r="D30" i="75"/>
  <c r="D32" i="75"/>
  <c r="D34" i="75"/>
  <c r="D39" i="75"/>
  <c r="D31" i="75"/>
  <c r="D25" i="75"/>
  <c r="D27" i="75"/>
  <c r="D28" i="75"/>
  <c r="D23" i="75"/>
  <c r="D26" i="75"/>
  <c r="D21" i="75"/>
  <c r="D45" i="75"/>
  <c r="EF22" i="36"/>
  <c r="EG21" i="36"/>
  <c r="EE23" i="36"/>
  <c r="EE24" i="36" s="1"/>
  <c r="EF24" i="36" s="1"/>
  <c r="AL92" i="14"/>
  <c r="AL92" i="15"/>
  <c r="CU15" i="59"/>
  <c r="J16" i="59"/>
  <c r="M108" i="76"/>
  <c r="F30" i="75" s="1"/>
  <c r="M120" i="76"/>
  <c r="F42" i="75" s="1"/>
  <c r="M109" i="76"/>
  <c r="M121" i="76"/>
  <c r="M106" i="76"/>
  <c r="F28" i="75" s="1"/>
  <c r="M118" i="76"/>
  <c r="F40" i="75" s="1"/>
  <c r="M99" i="76"/>
  <c r="M111" i="76"/>
  <c r="F33" i="75" s="1"/>
  <c r="M104" i="76"/>
  <c r="F26" i="75" s="1"/>
  <c r="M116" i="76"/>
  <c r="F38" i="75" s="1"/>
  <c r="M110" i="76"/>
  <c r="M122" i="76"/>
  <c r="F44" i="75" s="1"/>
  <c r="M105" i="76"/>
  <c r="M117" i="76"/>
  <c r="F39" i="75" s="1"/>
  <c r="M100" i="76"/>
  <c r="M112" i="76"/>
  <c r="M103" i="76"/>
  <c r="F25" i="75" s="1"/>
  <c r="M115" i="76"/>
  <c r="F37" i="75" s="1"/>
  <c r="H25" i="60"/>
  <c r="D34" i="60"/>
  <c r="EG16" i="9"/>
  <c r="EF16" i="11"/>
  <c r="EF18" i="11" s="1"/>
  <c r="E11" i="59"/>
  <c r="F95" i="74"/>
  <c r="EE24" i="42"/>
  <c r="EG23" i="42" s="1"/>
  <c r="EH24" i="42"/>
  <c r="EH25" i="40"/>
  <c r="EE25" i="40"/>
  <c r="EG24" i="40" s="1"/>
  <c r="DT25" i="37"/>
  <c r="ED25" i="37" s="1"/>
  <c r="DR26" i="37"/>
  <c r="DT26" i="38"/>
  <c r="ED26" i="38" s="1"/>
  <c r="DR27" i="38"/>
  <c r="DT25" i="39"/>
  <c r="ED25" i="39" s="1"/>
  <c r="DR26" i="39"/>
  <c r="EF23" i="37"/>
  <c r="EF22" i="42"/>
  <c r="EG22" i="42"/>
  <c r="EG21" i="42"/>
  <c r="ED24" i="37"/>
  <c r="DT26" i="44"/>
  <c r="ED26" i="44" s="1"/>
  <c r="DR27" i="44"/>
  <c r="EF23" i="42"/>
  <c r="EH25" i="36"/>
  <c r="EE25" i="36"/>
  <c r="EE24" i="39"/>
  <c r="EH24" i="39"/>
  <c r="EF25" i="43"/>
  <c r="ED25" i="44"/>
  <c r="DT25" i="45"/>
  <c r="DR26" i="45"/>
  <c r="EF24" i="38"/>
  <c r="EF22" i="37"/>
  <c r="EG22" i="37"/>
  <c r="EG21" i="37"/>
  <c r="ED25" i="38"/>
  <c r="EE26" i="41"/>
  <c r="EH26" i="41"/>
  <c r="EH23" i="45"/>
  <c r="EE23" i="45"/>
  <c r="EF24" i="40"/>
  <c r="EF24" i="18"/>
  <c r="DT25" i="42"/>
  <c r="ED25" i="42" s="1"/>
  <c r="DR26" i="42"/>
  <c r="DT26" i="40"/>
  <c r="DR27" i="40"/>
  <c r="DT26" i="18"/>
  <c r="ED26" i="18" s="1"/>
  <c r="DR27" i="18"/>
  <c r="EF24" i="44"/>
  <c r="DT28" i="41"/>
  <c r="ED28" i="41" s="1"/>
  <c r="DR29" i="41"/>
  <c r="EH24" i="45"/>
  <c r="EE24" i="45"/>
  <c r="DT27" i="43"/>
  <c r="ED27" i="43" s="1"/>
  <c r="DR28" i="43"/>
  <c r="DT27" i="35"/>
  <c r="DR28" i="35"/>
  <c r="EH25" i="18"/>
  <c r="EE25" i="18"/>
  <c r="EE27" i="41"/>
  <c r="EH27" i="41"/>
  <c r="EG23" i="44"/>
  <c r="EF23" i="44"/>
  <c r="EG22" i="44"/>
  <c r="EF25" i="35"/>
  <c r="EE26" i="43"/>
  <c r="EH26" i="43"/>
  <c r="EE23" i="39"/>
  <c r="EH23" i="39"/>
  <c r="EG24" i="43"/>
  <c r="EG23" i="38"/>
  <c r="EH26" i="35"/>
  <c r="EE26" i="35"/>
  <c r="EG25" i="35" s="1"/>
  <c r="DT26" i="36"/>
  <c r="DR27" i="36"/>
  <c r="F96" i="74" l="1"/>
  <c r="GH3" i="34"/>
  <c r="F22" i="75"/>
  <c r="F32" i="75"/>
  <c r="F34" i="75"/>
  <c r="F31" i="75"/>
  <c r="F43" i="75"/>
  <c r="F27" i="75"/>
  <c r="F23" i="75"/>
  <c r="F24" i="75"/>
  <c r="D15" i="75"/>
  <c r="F21" i="75"/>
  <c r="F45" i="75"/>
  <c r="R15" i="59"/>
  <c r="AQ17" i="14"/>
  <c r="AQ52" i="14" s="1"/>
  <c r="R16" i="59"/>
  <c r="AQ17" i="15"/>
  <c r="AQ52" i="15" s="1"/>
  <c r="EG22" i="36"/>
  <c r="EF23" i="36"/>
  <c r="EG24" i="36"/>
  <c r="EG23" i="36"/>
  <c r="B45" i="54"/>
  <c r="CU16" i="59"/>
  <c r="AH83" i="9"/>
  <c r="EG18" i="9"/>
  <c r="AH85" i="9" s="1"/>
  <c r="F10" i="59"/>
  <c r="EG16" i="10"/>
  <c r="F34" i="60"/>
  <c r="D36" i="60"/>
  <c r="E12" i="59"/>
  <c r="EF16" i="12"/>
  <c r="EF18" i="12" s="1"/>
  <c r="F89" i="74"/>
  <c r="I80" i="74" s="1"/>
  <c r="I82" i="74" s="1"/>
  <c r="I95" i="74" s="1"/>
  <c r="EG23" i="39"/>
  <c r="EF23" i="39"/>
  <c r="EG22" i="39"/>
  <c r="EF26" i="43"/>
  <c r="DT28" i="43"/>
  <c r="ED28" i="43" s="1"/>
  <c r="DR29" i="43"/>
  <c r="DT27" i="40"/>
  <c r="ED27" i="40" s="1"/>
  <c r="DR28" i="40"/>
  <c r="ED26" i="36"/>
  <c r="EF27" i="41"/>
  <c r="ED27" i="35"/>
  <c r="EH27" i="43"/>
  <c r="EE27" i="43"/>
  <c r="EG26" i="43" s="1"/>
  <c r="ED26" i="40"/>
  <c r="EG23" i="45"/>
  <c r="EF23" i="45"/>
  <c r="EG22" i="45"/>
  <c r="EF26" i="41"/>
  <c r="EG26" i="41"/>
  <c r="EG25" i="41"/>
  <c r="DT26" i="45"/>
  <c r="ED26" i="45" s="1"/>
  <c r="DR27" i="45"/>
  <c r="EF24" i="39"/>
  <c r="EE26" i="38"/>
  <c r="EH26" i="38"/>
  <c r="EF26" i="35"/>
  <c r="EF25" i="18"/>
  <c r="EF24" i="45"/>
  <c r="DT29" i="41"/>
  <c r="ED29" i="41" s="1"/>
  <c r="DR30" i="41"/>
  <c r="DT26" i="42"/>
  <c r="ED26" i="42" s="1"/>
  <c r="DR27" i="42"/>
  <c r="DT27" i="44"/>
  <c r="ED27" i="44" s="1"/>
  <c r="DR28" i="44"/>
  <c r="DT26" i="39"/>
  <c r="ED26" i="39" s="1"/>
  <c r="DR27" i="39"/>
  <c r="DT26" i="37"/>
  <c r="ED26" i="37" s="1"/>
  <c r="DR27" i="37"/>
  <c r="DT27" i="18"/>
  <c r="ED27" i="18" s="1"/>
  <c r="DR28" i="18"/>
  <c r="ED25" i="45"/>
  <c r="EG25" i="43"/>
  <c r="EE28" i="41"/>
  <c r="EG27" i="41" s="1"/>
  <c r="EH28" i="41"/>
  <c r="EH26" i="18"/>
  <c r="EE26" i="18"/>
  <c r="EG25" i="18" s="1"/>
  <c r="EE25" i="42"/>
  <c r="EH25" i="42"/>
  <c r="EH25" i="38"/>
  <c r="EE25" i="38"/>
  <c r="EE26" i="44"/>
  <c r="EH26" i="44"/>
  <c r="EE25" i="39"/>
  <c r="EG24" i="39" s="1"/>
  <c r="EH25" i="39"/>
  <c r="EE25" i="37"/>
  <c r="EH25" i="37"/>
  <c r="EF24" i="42"/>
  <c r="DT27" i="36"/>
  <c r="ED27" i="36" s="1"/>
  <c r="DR28" i="36"/>
  <c r="DT28" i="35"/>
  <c r="ED28" i="35" s="1"/>
  <c r="DR29" i="35"/>
  <c r="EG24" i="18"/>
  <c r="EH25" i="44"/>
  <c r="EE25" i="44"/>
  <c r="EF25" i="36"/>
  <c r="EE24" i="37"/>
  <c r="EH24" i="37"/>
  <c r="DT27" i="38"/>
  <c r="DR28" i="38"/>
  <c r="EF25" i="40"/>
  <c r="I96" i="74" l="1"/>
  <c r="GH4" i="34"/>
  <c r="AD137" i="5" s="1"/>
  <c r="AD137" i="4"/>
  <c r="H34" i="60"/>
  <c r="H31" i="60"/>
  <c r="AL88" i="5"/>
  <c r="CU5" i="59"/>
  <c r="AH83" i="10"/>
  <c r="EG18" i="10"/>
  <c r="AH85" i="10" s="1"/>
  <c r="F11" i="59"/>
  <c r="EG16" i="11"/>
  <c r="EF16" i="13"/>
  <c r="EF18" i="13" s="1"/>
  <c r="E13" i="59"/>
  <c r="I89" i="74"/>
  <c r="L80" i="74" s="1"/>
  <c r="L82" i="74" s="1"/>
  <c r="L95" i="74"/>
  <c r="EF25" i="44"/>
  <c r="EG25" i="44"/>
  <c r="EG24" i="44"/>
  <c r="DT29" i="35"/>
  <c r="ED29" i="35" s="1"/>
  <c r="DR30" i="35"/>
  <c r="EG24" i="37"/>
  <c r="EF24" i="37"/>
  <c r="EG23" i="37"/>
  <c r="EE28" i="35"/>
  <c r="EH28" i="35"/>
  <c r="EF25" i="37"/>
  <c r="EF26" i="18"/>
  <c r="EE26" i="37"/>
  <c r="EH26" i="37"/>
  <c r="DT28" i="44"/>
  <c r="ED28" i="44" s="1"/>
  <c r="DR29" i="44"/>
  <c r="DT27" i="42"/>
  <c r="ED27" i="42" s="1"/>
  <c r="DR28" i="42"/>
  <c r="EE29" i="41"/>
  <c r="EG28" i="41" s="1"/>
  <c r="EH29" i="41"/>
  <c r="EH26" i="45"/>
  <c r="EE26" i="45"/>
  <c r="EF27" i="43"/>
  <c r="DT29" i="43"/>
  <c r="ED29" i="43" s="1"/>
  <c r="DR30" i="43"/>
  <c r="EF25" i="42"/>
  <c r="DT28" i="18"/>
  <c r="ED28" i="18" s="1"/>
  <c r="DR29" i="18"/>
  <c r="DT27" i="39"/>
  <c r="ED27" i="39" s="1"/>
  <c r="DR28" i="39"/>
  <c r="EE27" i="44"/>
  <c r="EG26" i="44" s="1"/>
  <c r="EH27" i="44"/>
  <c r="EH26" i="42"/>
  <c r="EE26" i="42"/>
  <c r="EF26" i="38"/>
  <c r="EH26" i="36"/>
  <c r="EE26" i="36"/>
  <c r="EE27" i="36" s="1"/>
  <c r="EE28" i="43"/>
  <c r="EG27" i="43" s="1"/>
  <c r="EH28" i="43"/>
  <c r="DT28" i="38"/>
  <c r="ED28" i="38" s="1"/>
  <c r="DR29" i="38"/>
  <c r="DT28" i="36"/>
  <c r="ED28" i="36" s="1"/>
  <c r="DR29" i="36"/>
  <c r="EF26" i="44"/>
  <c r="ED27" i="38"/>
  <c r="EH27" i="36"/>
  <c r="EG24" i="42"/>
  <c r="EF25" i="39"/>
  <c r="EF25" i="38"/>
  <c r="EG25" i="38"/>
  <c r="EG24" i="38"/>
  <c r="EE27" i="18"/>
  <c r="EH27" i="18"/>
  <c r="EE26" i="39"/>
  <c r="EG25" i="39" s="1"/>
  <c r="EH26" i="39"/>
  <c r="EE26" i="40"/>
  <c r="EH26" i="40"/>
  <c r="DT28" i="40"/>
  <c r="ED28" i="40" s="1"/>
  <c r="DR29" i="40"/>
  <c r="EF28" i="41"/>
  <c r="EH25" i="45"/>
  <c r="EE25" i="45"/>
  <c r="DT27" i="37"/>
  <c r="ED27" i="37" s="1"/>
  <c r="DR28" i="37"/>
  <c r="DT30" i="41"/>
  <c r="ED30" i="41" s="1"/>
  <c r="DR31" i="41"/>
  <c r="DT27" i="45"/>
  <c r="ED27" i="45" s="1"/>
  <c r="DR28" i="45"/>
  <c r="EE27" i="35"/>
  <c r="EH27" i="35"/>
  <c r="EH27" i="40"/>
  <c r="EE27" i="40"/>
  <c r="L96" i="74" l="1"/>
  <c r="GH5" i="34"/>
  <c r="AD137" i="6" s="1"/>
  <c r="CW6" i="59"/>
  <c r="O136" i="76" s="1"/>
  <c r="T31" i="5"/>
  <c r="CA68" i="5" s="1"/>
  <c r="T31" i="4"/>
  <c r="DP20" i="4" s="1"/>
  <c r="B5" i="59" s="1"/>
  <c r="B47" i="63" s="1"/>
  <c r="T9" i="63" s="1"/>
  <c r="CW5" i="59"/>
  <c r="O135" i="76" s="1"/>
  <c r="CC71" i="5"/>
  <c r="BZ73" i="5" s="1"/>
  <c r="BZ75" i="5" s="1"/>
  <c r="E7" i="51" s="1"/>
  <c r="O111" i="76"/>
  <c r="G33" i="75" s="1"/>
  <c r="O123" i="76"/>
  <c r="DK28" i="5"/>
  <c r="DK29" i="5" s="1"/>
  <c r="BZ68" i="5" s="1"/>
  <c r="CU6" i="59"/>
  <c r="AH83" i="11"/>
  <c r="EG18" i="11"/>
  <c r="AH85" i="11" s="1"/>
  <c r="EG16" i="12"/>
  <c r="F12" i="59"/>
  <c r="E14" i="59"/>
  <c r="EF16" i="14"/>
  <c r="EF18" i="14" s="1"/>
  <c r="L89" i="74"/>
  <c r="O80" i="74" s="1"/>
  <c r="O82" i="74" s="1"/>
  <c r="O95" i="74"/>
  <c r="EF26" i="40"/>
  <c r="EG26" i="40"/>
  <c r="EG25" i="40"/>
  <c r="DT28" i="45"/>
  <c r="ED28" i="45" s="1"/>
  <c r="DR29" i="45"/>
  <c r="DT28" i="37"/>
  <c r="ED28" i="37" s="1"/>
  <c r="DR29" i="37"/>
  <c r="DT29" i="40"/>
  <c r="ED29" i="40" s="1"/>
  <c r="DR30" i="40"/>
  <c r="EE27" i="38"/>
  <c r="EH27" i="38"/>
  <c r="DT29" i="38"/>
  <c r="ED29" i="38" s="1"/>
  <c r="DR30" i="38"/>
  <c r="EF26" i="42"/>
  <c r="DT28" i="39"/>
  <c r="ED28" i="39" s="1"/>
  <c r="DR29" i="39"/>
  <c r="EF29" i="41"/>
  <c r="EE28" i="44"/>
  <c r="EH28" i="44"/>
  <c r="EF28" i="35"/>
  <c r="DT30" i="35"/>
  <c r="ED30" i="35" s="1"/>
  <c r="DR31" i="35"/>
  <c r="EE27" i="37"/>
  <c r="EG26" i="37" s="1"/>
  <c r="EH27" i="37"/>
  <c r="EE28" i="40"/>
  <c r="EG27" i="40" s="1"/>
  <c r="EH28" i="40"/>
  <c r="EF27" i="18"/>
  <c r="EE28" i="38"/>
  <c r="EH28" i="38"/>
  <c r="EE27" i="39"/>
  <c r="EG26" i="39" s="1"/>
  <c r="EH27" i="39"/>
  <c r="DT28" i="42"/>
  <c r="ED28" i="42" s="1"/>
  <c r="DR29" i="42"/>
  <c r="EH29" i="35"/>
  <c r="EE29" i="35"/>
  <c r="EE27" i="45"/>
  <c r="EG26" i="45" s="1"/>
  <c r="EH27" i="45"/>
  <c r="EF27" i="40"/>
  <c r="EF27" i="35"/>
  <c r="EG27" i="35"/>
  <c r="EG26" i="35"/>
  <c r="DT31" i="41"/>
  <c r="ED31" i="41" s="1"/>
  <c r="DR32" i="41"/>
  <c r="EG25" i="45"/>
  <c r="EF25" i="45"/>
  <c r="EG24" i="45"/>
  <c r="EF27" i="36"/>
  <c r="DT29" i="36"/>
  <c r="ED29" i="36" s="1"/>
  <c r="DR30" i="36"/>
  <c r="EF28" i="43"/>
  <c r="DT29" i="18"/>
  <c r="ED29" i="18" s="1"/>
  <c r="DR30" i="18"/>
  <c r="EG25" i="42"/>
  <c r="DT30" i="43"/>
  <c r="ED30" i="43" s="1"/>
  <c r="DR31" i="43"/>
  <c r="EF26" i="45"/>
  <c r="EE27" i="42"/>
  <c r="EH27" i="42"/>
  <c r="EF26" i="37"/>
  <c r="EG26" i="18"/>
  <c r="EG25" i="37"/>
  <c r="EE30" i="41"/>
  <c r="EH30" i="41"/>
  <c r="EF26" i="39"/>
  <c r="EE28" i="36"/>
  <c r="EH28" i="36"/>
  <c r="EG26" i="36"/>
  <c r="EF26" i="36"/>
  <c r="EG25" i="36"/>
  <c r="EG27" i="44"/>
  <c r="EF27" i="44"/>
  <c r="EH28" i="18"/>
  <c r="EE28" i="18"/>
  <c r="EG27" i="18" s="1"/>
  <c r="EE29" i="43"/>
  <c r="EG28" i="43" s="1"/>
  <c r="EH29" i="43"/>
  <c r="DT29" i="44"/>
  <c r="ED29" i="44" s="1"/>
  <c r="DR30" i="44"/>
  <c r="CC71" i="4" l="1"/>
  <c r="BZ73" i="4" s="1"/>
  <c r="BZ75" i="4" s="1"/>
  <c r="F7" i="51" s="1"/>
  <c r="B25" i="50" s="1"/>
  <c r="DK28" i="4"/>
  <c r="O96" i="74"/>
  <c r="GH6" i="34"/>
  <c r="AD137" i="7" s="1"/>
  <c r="T31" i="6"/>
  <c r="CA68" i="6" s="1"/>
  <c r="CW7" i="59"/>
  <c r="O137" i="76" s="1"/>
  <c r="B5" i="85"/>
  <c r="F5" i="85" s="1"/>
  <c r="D47" i="63"/>
  <c r="B55" i="60"/>
  <c r="S9" i="60" s="1"/>
  <c r="CA68" i="4"/>
  <c r="F30" i="51" s="1"/>
  <c r="A29" i="50" s="1"/>
  <c r="CN5" i="59"/>
  <c r="CN6" i="59"/>
  <c r="DP20" i="5"/>
  <c r="B6" i="59" s="1"/>
  <c r="B48" i="63" s="1"/>
  <c r="S10" i="63" s="1"/>
  <c r="O124" i="76"/>
  <c r="E30" i="51"/>
  <c r="CC71" i="6"/>
  <c r="BZ73" i="6" s="1"/>
  <c r="BZ75" i="6" s="1"/>
  <c r="O112" i="76"/>
  <c r="G34" i="75" s="1"/>
  <c r="DK28" i="6"/>
  <c r="DK29" i="6" s="1"/>
  <c r="BZ68" i="6" s="1"/>
  <c r="AL88" i="6"/>
  <c r="AL92" i="6" s="1"/>
  <c r="BH6" i="59"/>
  <c r="AL88" i="7"/>
  <c r="CU7" i="59"/>
  <c r="AH83" i="12"/>
  <c r="EG18" i="12"/>
  <c r="AH85" i="12" s="1"/>
  <c r="EG16" i="13"/>
  <c r="F13" i="59"/>
  <c r="E6" i="51"/>
  <c r="J30" i="83"/>
  <c r="EG2" i="5"/>
  <c r="AM55" i="5" s="1"/>
  <c r="E15" i="59"/>
  <c r="EF16" i="15"/>
  <c r="EF18" i="15" s="1"/>
  <c r="O89" i="74"/>
  <c r="R80" i="74" s="1"/>
  <c r="R82" i="74" s="1"/>
  <c r="EF29" i="43"/>
  <c r="DT30" i="18"/>
  <c r="ED30" i="18" s="1"/>
  <c r="DR31" i="18"/>
  <c r="DT30" i="36"/>
  <c r="ED30" i="36" s="1"/>
  <c r="DR31" i="36"/>
  <c r="DT32" i="41"/>
  <c r="ED32" i="41" s="1"/>
  <c r="DR33" i="41"/>
  <c r="EF27" i="45"/>
  <c r="EE28" i="42"/>
  <c r="EG27" i="42" s="1"/>
  <c r="EH28" i="42"/>
  <c r="EF27" i="39"/>
  <c r="DT29" i="39"/>
  <c r="ED29" i="39" s="1"/>
  <c r="DR30" i="39"/>
  <c r="DT29" i="37"/>
  <c r="ED29" i="37" s="1"/>
  <c r="DR30" i="37"/>
  <c r="DT30" i="44"/>
  <c r="ED30" i="44" s="1"/>
  <c r="DR31" i="44"/>
  <c r="EF28" i="36"/>
  <c r="DT31" i="43"/>
  <c r="ED31" i="43" s="1"/>
  <c r="DR32" i="43"/>
  <c r="EE29" i="36"/>
  <c r="EG28" i="36" s="1"/>
  <c r="EH29" i="36"/>
  <c r="EE31" i="41"/>
  <c r="EG30" i="41" s="1"/>
  <c r="EH31" i="41"/>
  <c r="EF29" i="35"/>
  <c r="EF27" i="37"/>
  <c r="DT31" i="35"/>
  <c r="ED31" i="35" s="1"/>
  <c r="DR32" i="35"/>
  <c r="EE28" i="39"/>
  <c r="EH28" i="39"/>
  <c r="EG27" i="38"/>
  <c r="EF27" i="38"/>
  <c r="EG26" i="38"/>
  <c r="EE28" i="37"/>
  <c r="EG27" i="37" s="1"/>
  <c r="EH28" i="37"/>
  <c r="EF28" i="18"/>
  <c r="EF30" i="41"/>
  <c r="EE29" i="18"/>
  <c r="EG28" i="18" s="1"/>
  <c r="EH29" i="18"/>
  <c r="EG27" i="36"/>
  <c r="EE29" i="44"/>
  <c r="EH29" i="44"/>
  <c r="EF27" i="42"/>
  <c r="EE30" i="43"/>
  <c r="EG29" i="43" s="1"/>
  <c r="EH30" i="43"/>
  <c r="EE30" i="35"/>
  <c r="EH30" i="35"/>
  <c r="EF28" i="44"/>
  <c r="EG26" i="42"/>
  <c r="DT30" i="38"/>
  <c r="ED30" i="38" s="1"/>
  <c r="DR31" i="38"/>
  <c r="DT30" i="40"/>
  <c r="ED30" i="40" s="1"/>
  <c r="DR31" i="40"/>
  <c r="DT29" i="45"/>
  <c r="ED29" i="45" s="1"/>
  <c r="DR30" i="45"/>
  <c r="DT29" i="42"/>
  <c r="ED29" i="42" s="1"/>
  <c r="DR30" i="42"/>
  <c r="EF28" i="38"/>
  <c r="EF28" i="40"/>
  <c r="EG28" i="35"/>
  <c r="EG29" i="41"/>
  <c r="EH29" i="38"/>
  <c r="EE29" i="38"/>
  <c r="EG28" i="38" s="1"/>
  <c r="EE29" i="40"/>
  <c r="EH29" i="40"/>
  <c r="EE28" i="45"/>
  <c r="EG27" i="45" s="1"/>
  <c r="EH28" i="45"/>
  <c r="DK29" i="4" l="1"/>
  <c r="BZ68" i="4" s="1"/>
  <c r="BH5" i="59"/>
  <c r="T31" i="7"/>
  <c r="CN8" i="59" s="1"/>
  <c r="CW8" i="59"/>
  <c r="O138" i="76" s="1"/>
  <c r="D55" i="60"/>
  <c r="DP20" i="6"/>
  <c r="B7" i="59" s="1"/>
  <c r="B7" i="85" s="1"/>
  <c r="F7" i="85" s="1"/>
  <c r="D48" i="63"/>
  <c r="B6" i="85"/>
  <c r="F6" i="85" s="1"/>
  <c r="B56" i="60"/>
  <c r="S10" i="60" s="1"/>
  <c r="CN7" i="59"/>
  <c r="J30" i="51"/>
  <c r="O113" i="76"/>
  <c r="G35" i="75" s="1"/>
  <c r="O125" i="76"/>
  <c r="T35" i="6"/>
  <c r="BH7" i="59"/>
  <c r="R7" i="59"/>
  <c r="AQ17" i="6"/>
  <c r="AQ52" i="6" s="1"/>
  <c r="CC71" i="7"/>
  <c r="BZ73" i="7" s="1"/>
  <c r="BZ75" i="7" s="1"/>
  <c r="C7" i="51" s="1"/>
  <c r="DK28" i="7"/>
  <c r="DK29" i="7" s="1"/>
  <c r="BZ68" i="7" s="1"/>
  <c r="AL88" i="8"/>
  <c r="CU8" i="59"/>
  <c r="J7" i="51"/>
  <c r="AH83" i="13"/>
  <c r="EG18" i="13"/>
  <c r="AH85" i="13" s="1"/>
  <c r="F14" i="59"/>
  <c r="EG16" i="14"/>
  <c r="J6" i="51"/>
  <c r="EG2" i="6"/>
  <c r="AM55" i="6" s="1"/>
  <c r="J31" i="83"/>
  <c r="BE6" i="59"/>
  <c r="BC6" i="59"/>
  <c r="E16" i="59"/>
  <c r="R95" i="74"/>
  <c r="DT31" i="38"/>
  <c r="ED31" i="38" s="1"/>
  <c r="DR32" i="38"/>
  <c r="EF29" i="40"/>
  <c r="EG28" i="40"/>
  <c r="EE29" i="42"/>
  <c r="EG28" i="42" s="1"/>
  <c r="EH29" i="42"/>
  <c r="DT31" i="40"/>
  <c r="ED31" i="40" s="1"/>
  <c r="DR32" i="40"/>
  <c r="EE30" i="38"/>
  <c r="EG29" i="38" s="1"/>
  <c r="EH30" i="38"/>
  <c r="EF29" i="18"/>
  <c r="EF31" i="41"/>
  <c r="EH31" i="43"/>
  <c r="EE31" i="43"/>
  <c r="EG30" i="43" s="1"/>
  <c r="EE30" i="44"/>
  <c r="EG29" i="44" s="1"/>
  <c r="EH30" i="44"/>
  <c r="DT33" i="41"/>
  <c r="ED33" i="41" s="1"/>
  <c r="DR34" i="41"/>
  <c r="DT31" i="18"/>
  <c r="ED31" i="18" s="1"/>
  <c r="DR32" i="18"/>
  <c r="EF30" i="35"/>
  <c r="EF30" i="43"/>
  <c r="EF29" i="44"/>
  <c r="EG29" i="35"/>
  <c r="DT30" i="39"/>
  <c r="ED30" i="39" s="1"/>
  <c r="DR31" i="39"/>
  <c r="EF28" i="42"/>
  <c r="EH32" i="41"/>
  <c r="EE32" i="41"/>
  <c r="EG31" i="41" s="1"/>
  <c r="EE30" i="18"/>
  <c r="EH30" i="18"/>
  <c r="EE30" i="40"/>
  <c r="EH30" i="40"/>
  <c r="EF28" i="45"/>
  <c r="DT30" i="45"/>
  <c r="ED30" i="45" s="1"/>
  <c r="DR31" i="45"/>
  <c r="EG28" i="44"/>
  <c r="EF28" i="39"/>
  <c r="DT32" i="35"/>
  <c r="ED32" i="35" s="1"/>
  <c r="DR33" i="35"/>
  <c r="EF29" i="36"/>
  <c r="DT30" i="37"/>
  <c r="ED30" i="37" s="1"/>
  <c r="DR31" i="37"/>
  <c r="EH29" i="39"/>
  <c r="EE29" i="39"/>
  <c r="EG27" i="39"/>
  <c r="DT31" i="36"/>
  <c r="ED31" i="36" s="1"/>
  <c r="DR32" i="36"/>
  <c r="EF29" i="38"/>
  <c r="DT30" i="42"/>
  <c r="ED30" i="42" s="1"/>
  <c r="DR31" i="42"/>
  <c r="EE29" i="45"/>
  <c r="EG28" i="45" s="1"/>
  <c r="EH29" i="45"/>
  <c r="EF28" i="37"/>
  <c r="EE31" i="35"/>
  <c r="EH31" i="35"/>
  <c r="DT32" i="43"/>
  <c r="ED32" i="43" s="1"/>
  <c r="DR33" i="43"/>
  <c r="DT31" i="44"/>
  <c r="ED31" i="44" s="1"/>
  <c r="DR32" i="44"/>
  <c r="EH29" i="37"/>
  <c r="EE29" i="37"/>
  <c r="EE30" i="36"/>
  <c r="EG29" i="36" s="1"/>
  <c r="EH30" i="36"/>
  <c r="H41" i="6" l="1"/>
  <c r="N41" i="6" s="1"/>
  <c r="H48" i="6"/>
  <c r="N48" i="6" s="1"/>
  <c r="H42" i="6"/>
  <c r="N42" i="6" s="1"/>
  <c r="R41" i="6"/>
  <c r="X41" i="6" s="1"/>
  <c r="R57" i="6"/>
  <c r="X57" i="6" s="1"/>
  <c r="R56" i="6"/>
  <c r="X56" i="6" s="1"/>
  <c r="R54" i="6"/>
  <c r="X54" i="6" s="1"/>
  <c r="R52" i="6"/>
  <c r="X52" i="6" s="1"/>
  <c r="R50" i="6"/>
  <c r="X50" i="6" s="1"/>
  <c r="R48" i="6"/>
  <c r="X48" i="6" s="1"/>
  <c r="R45" i="6"/>
  <c r="X45" i="6" s="1"/>
  <c r="R43" i="6"/>
  <c r="U43" i="6" s="1"/>
  <c r="X43" i="6" s="1"/>
  <c r="R42" i="6"/>
  <c r="X42" i="6" s="1"/>
  <c r="J29" i="83"/>
  <c r="F6" i="51"/>
  <c r="B28" i="50" s="1"/>
  <c r="EG2" i="4"/>
  <c r="R96" i="74"/>
  <c r="GH7" i="34"/>
  <c r="AD137" i="8" s="1"/>
  <c r="CA68" i="7"/>
  <c r="C30" i="51" s="1"/>
  <c r="DP20" i="7"/>
  <c r="B8" i="59" s="1"/>
  <c r="B8" i="85" s="1"/>
  <c r="F8" i="85" s="1"/>
  <c r="B57" i="60"/>
  <c r="S11" i="60" s="1"/>
  <c r="D56" i="60"/>
  <c r="H49" i="60" s="1"/>
  <c r="H48" i="60"/>
  <c r="B49" i="63"/>
  <c r="S11" i="63" s="1"/>
  <c r="AN7" i="59"/>
  <c r="CM7" i="59" s="1"/>
  <c r="Z70" i="6"/>
  <c r="B15" i="28"/>
  <c r="J21" i="51"/>
  <c r="B8" i="83"/>
  <c r="EG1" i="6"/>
  <c r="AM57" i="6" s="1"/>
  <c r="O114" i="76"/>
  <c r="G36" i="75" s="1"/>
  <c r="O126" i="76"/>
  <c r="BH8" i="59"/>
  <c r="CU9" i="59"/>
  <c r="F25" i="63" s="1"/>
  <c r="AL92" i="8"/>
  <c r="AH83" i="14"/>
  <c r="EG18" i="14"/>
  <c r="F15" i="59"/>
  <c r="EG16" i="15"/>
  <c r="J32" i="83"/>
  <c r="EG2" i="7"/>
  <c r="AM55" i="7" s="1"/>
  <c r="C6" i="51"/>
  <c r="BC7" i="59"/>
  <c r="BE7" i="59"/>
  <c r="R89" i="74"/>
  <c r="U80" i="74" s="1"/>
  <c r="U82" i="74" s="1"/>
  <c r="EF31" i="35"/>
  <c r="EE32" i="43"/>
  <c r="EG31" i="43" s="1"/>
  <c r="EH32" i="43"/>
  <c r="EE30" i="37"/>
  <c r="EG29" i="37" s="1"/>
  <c r="EH30" i="37"/>
  <c r="EF30" i="18"/>
  <c r="DT32" i="44"/>
  <c r="ED32" i="44" s="1"/>
  <c r="DR33" i="44"/>
  <c r="EF29" i="45"/>
  <c r="EF29" i="39"/>
  <c r="EG28" i="39"/>
  <c r="EF32" i="41"/>
  <c r="EE33" i="41"/>
  <c r="EH33" i="41"/>
  <c r="EE31" i="38"/>
  <c r="EG30" i="38" s="1"/>
  <c r="EH31" i="38"/>
  <c r="EF30" i="36"/>
  <c r="DT32" i="36"/>
  <c r="ED32" i="36" s="1"/>
  <c r="DR33" i="36"/>
  <c r="EF30" i="40"/>
  <c r="DT31" i="39"/>
  <c r="ED31" i="39" s="1"/>
  <c r="DR32" i="39"/>
  <c r="EG30" i="35"/>
  <c r="DT32" i="18"/>
  <c r="ED32" i="18" s="1"/>
  <c r="DR33" i="18"/>
  <c r="EG29" i="18"/>
  <c r="EF30" i="38"/>
  <c r="EH31" i="44"/>
  <c r="EE31" i="44"/>
  <c r="EG30" i="44" s="1"/>
  <c r="DT31" i="42"/>
  <c r="ED31" i="42" s="1"/>
  <c r="DR32" i="42"/>
  <c r="EF29" i="37"/>
  <c r="DT33" i="43"/>
  <c r="ED33" i="43" s="1"/>
  <c r="DR34" i="43"/>
  <c r="EG28" i="37"/>
  <c r="EE30" i="42"/>
  <c r="EH30" i="42"/>
  <c r="EH31" i="36"/>
  <c r="EE31" i="36"/>
  <c r="DT31" i="37"/>
  <c r="ED31" i="37" s="1"/>
  <c r="DR32" i="37"/>
  <c r="DT33" i="35"/>
  <c r="ED33" i="35" s="1"/>
  <c r="DR34" i="35"/>
  <c r="DT31" i="45"/>
  <c r="ED31" i="45" s="1"/>
  <c r="DR32" i="45"/>
  <c r="EE30" i="39"/>
  <c r="EG29" i="39" s="1"/>
  <c r="EH30" i="39"/>
  <c r="EH31" i="18"/>
  <c r="EE31" i="18"/>
  <c r="EF30" i="44"/>
  <c r="DT32" i="40"/>
  <c r="ED32" i="40" s="1"/>
  <c r="DR33" i="40"/>
  <c r="EG29" i="40"/>
  <c r="EH32" i="35"/>
  <c r="EE32" i="35"/>
  <c r="EG31" i="35" s="1"/>
  <c r="EE30" i="45"/>
  <c r="EH30" i="45"/>
  <c r="DT34" i="41"/>
  <c r="ED34" i="41" s="1"/>
  <c r="DR35" i="41"/>
  <c r="EF31" i="43"/>
  <c r="EE31" i="40"/>
  <c r="EH31" i="40"/>
  <c r="EF29" i="42"/>
  <c r="EG29" i="42"/>
  <c r="DT32" i="38"/>
  <c r="ED32" i="38" s="1"/>
  <c r="DR33" i="38"/>
  <c r="B50" i="63" l="1"/>
  <c r="S12" i="63" s="1"/>
  <c r="B58" i="60"/>
  <c r="D58" i="60" s="1"/>
  <c r="AM55" i="4"/>
  <c r="BC5" i="59"/>
  <c r="BE5" i="59"/>
  <c r="T31" i="8"/>
  <c r="CN9" i="59" s="1"/>
  <c r="CW9" i="59"/>
  <c r="O139" i="76" s="1"/>
  <c r="D49" i="63"/>
  <c r="D57" i="60"/>
  <c r="X61" i="6"/>
  <c r="BD7" i="59"/>
  <c r="N61" i="6"/>
  <c r="N62" i="6" s="1"/>
  <c r="Q74" i="6" s="1"/>
  <c r="L8" i="83" s="1"/>
  <c r="R9" i="59"/>
  <c r="AQ17" i="8"/>
  <c r="AQ52" i="8" s="1"/>
  <c r="AH85" i="14"/>
  <c r="CC71" i="8"/>
  <c r="BZ73" i="8" s="1"/>
  <c r="BZ75" i="8" s="1"/>
  <c r="DK28" i="8"/>
  <c r="DK29" i="8" s="1"/>
  <c r="BZ68" i="8" s="1"/>
  <c r="F27" i="60"/>
  <c r="H31" i="63"/>
  <c r="D33" i="63"/>
  <c r="F33" i="63" s="1"/>
  <c r="D31" i="63"/>
  <c r="AH83" i="15"/>
  <c r="B24" i="54" s="1"/>
  <c r="EG18" i="15"/>
  <c r="AH85" i="15" s="1"/>
  <c r="F16" i="59"/>
  <c r="BC8" i="59"/>
  <c r="BE8" i="59"/>
  <c r="U95" i="74"/>
  <c r="DT33" i="40"/>
  <c r="ED33" i="40" s="1"/>
  <c r="DR34" i="40"/>
  <c r="EF31" i="18"/>
  <c r="DT32" i="45"/>
  <c r="ED32" i="45" s="1"/>
  <c r="DR33" i="45"/>
  <c r="DT32" i="37"/>
  <c r="ED32" i="37" s="1"/>
  <c r="DR33" i="37"/>
  <c r="EE33" i="43"/>
  <c r="EG32" i="43" s="1"/>
  <c r="EH33" i="43"/>
  <c r="EE31" i="42"/>
  <c r="EG30" i="42" s="1"/>
  <c r="EH31" i="42"/>
  <c r="DT32" i="39"/>
  <c r="ED32" i="39" s="1"/>
  <c r="DR33" i="39"/>
  <c r="DT33" i="44"/>
  <c r="ED33" i="44" s="1"/>
  <c r="DR34" i="44"/>
  <c r="EF32" i="43"/>
  <c r="DT35" i="41"/>
  <c r="ED35" i="41" s="1"/>
  <c r="DR36" i="41"/>
  <c r="EH32" i="40"/>
  <c r="EE32" i="40"/>
  <c r="EG31" i="40" s="1"/>
  <c r="EE31" i="45"/>
  <c r="EG30" i="45" s="1"/>
  <c r="EH31" i="45"/>
  <c r="EE31" i="37"/>
  <c r="EG30" i="37" s="1"/>
  <c r="EH31" i="37"/>
  <c r="EF30" i="42"/>
  <c r="EF31" i="44"/>
  <c r="DT33" i="18"/>
  <c r="ED33" i="18" s="1"/>
  <c r="DR34" i="18"/>
  <c r="EE31" i="39"/>
  <c r="EG30" i="39" s="1"/>
  <c r="EH31" i="39"/>
  <c r="DT33" i="36"/>
  <c r="ED33" i="36" s="1"/>
  <c r="DR34" i="36"/>
  <c r="EF33" i="41"/>
  <c r="EE32" i="44"/>
  <c r="EH32" i="44"/>
  <c r="EF31" i="40"/>
  <c r="EH34" i="41"/>
  <c r="EE34" i="41"/>
  <c r="EF30" i="45"/>
  <c r="DT34" i="35"/>
  <c r="ED34" i="35" s="1"/>
  <c r="DR35" i="35"/>
  <c r="EF31" i="36"/>
  <c r="EH32" i="18"/>
  <c r="EE32" i="18"/>
  <c r="EH32" i="36"/>
  <c r="EE32" i="36"/>
  <c r="EG31" i="36" s="1"/>
  <c r="EF31" i="38"/>
  <c r="EG32" i="41"/>
  <c r="EG30" i="18"/>
  <c r="EF30" i="37"/>
  <c r="EH32" i="38"/>
  <c r="EE32" i="38"/>
  <c r="EG31" i="38" s="1"/>
  <c r="DT33" i="38"/>
  <c r="ED33" i="38" s="1"/>
  <c r="DR34" i="38"/>
  <c r="EF32" i="35"/>
  <c r="EF30" i="39"/>
  <c r="EE33" i="35"/>
  <c r="EH33" i="35"/>
  <c r="DT34" i="43"/>
  <c r="ED34" i="43" s="1"/>
  <c r="DR35" i="43"/>
  <c r="DT32" i="42"/>
  <c r="ED32" i="42" s="1"/>
  <c r="DR33" i="42"/>
  <c r="EG30" i="40"/>
  <c r="EG30" i="36"/>
  <c r="EG29" i="45"/>
  <c r="T35" i="8" l="1"/>
  <c r="R52" i="8" s="1"/>
  <c r="X52" i="8" s="1"/>
  <c r="D50" i="63"/>
  <c r="S12" i="60"/>
  <c r="E74" i="6"/>
  <c r="D31" i="83" s="1"/>
  <c r="U96" i="74"/>
  <c r="GH8" i="34"/>
  <c r="AD137" i="9" s="1"/>
  <c r="CA68" i="8"/>
  <c r="I30" i="51" s="1"/>
  <c r="DP20" i="8"/>
  <c r="B9" i="59" s="1"/>
  <c r="B9" i="85" s="1"/>
  <c r="F9" i="85" s="1"/>
  <c r="D8" i="83"/>
  <c r="AC7" i="59"/>
  <c r="Q76" i="6"/>
  <c r="F8" i="83" s="1"/>
  <c r="DK25" i="6"/>
  <c r="DK31" i="6" s="1"/>
  <c r="DK32" i="6" s="1"/>
  <c r="DK33" i="6" s="1"/>
  <c r="O115" i="76"/>
  <c r="G37" i="75" s="1"/>
  <c r="O127" i="76"/>
  <c r="G21" i="75"/>
  <c r="H21" i="75" s="1"/>
  <c r="D40" i="60"/>
  <c r="F40" i="60" s="1"/>
  <c r="CK9" i="59" s="1"/>
  <c r="AH86" i="9"/>
  <c r="AH86" i="10" s="1"/>
  <c r="AH86" i="11" s="1"/>
  <c r="AH86" i="12" s="1"/>
  <c r="AH86" i="13" s="1"/>
  <c r="AH86" i="14" s="1"/>
  <c r="AH86" i="15" s="1"/>
  <c r="D38" i="60"/>
  <c r="B10" i="83"/>
  <c r="BH9" i="59"/>
  <c r="G100" i="9"/>
  <c r="M16" i="63"/>
  <c r="D72" i="63"/>
  <c r="F28" i="63"/>
  <c r="H32" i="63"/>
  <c r="B32" i="54"/>
  <c r="I21" i="51"/>
  <c r="I7" i="51"/>
  <c r="I6" i="51"/>
  <c r="EG2" i="8"/>
  <c r="AM55" i="8" s="1"/>
  <c r="J33" i="83"/>
  <c r="U89" i="74"/>
  <c r="X80" i="74" s="1"/>
  <c r="X82" i="74" s="1"/>
  <c r="DT34" i="18"/>
  <c r="ED34" i="18" s="1"/>
  <c r="DR35" i="18"/>
  <c r="DT34" i="44"/>
  <c r="ED34" i="44" s="1"/>
  <c r="DR35" i="44"/>
  <c r="DT33" i="45"/>
  <c r="ED33" i="45" s="1"/>
  <c r="DR34" i="45"/>
  <c r="EE34" i="43"/>
  <c r="EG33" i="43" s="1"/>
  <c r="EH34" i="43"/>
  <c r="EH33" i="38"/>
  <c r="EE33" i="38"/>
  <c r="EG32" i="38" s="1"/>
  <c r="EH33" i="36"/>
  <c r="EE33" i="36"/>
  <c r="EG32" i="36" s="1"/>
  <c r="EE33" i="18"/>
  <c r="EG32" i="18" s="1"/>
  <c r="EH33" i="18"/>
  <c r="EF31" i="45"/>
  <c r="EH35" i="41"/>
  <c r="EE35" i="41"/>
  <c r="EG34" i="41" s="1"/>
  <c r="EE33" i="44"/>
  <c r="EG32" i="44" s="1"/>
  <c r="EH33" i="44"/>
  <c r="EF33" i="43"/>
  <c r="EE32" i="45"/>
  <c r="EH32" i="45"/>
  <c r="EE33" i="40"/>
  <c r="EG32" i="40" s="1"/>
  <c r="EH33" i="40"/>
  <c r="DT33" i="42"/>
  <c r="ED33" i="42" s="1"/>
  <c r="DR34" i="42"/>
  <c r="DT35" i="35"/>
  <c r="ED35" i="35" s="1"/>
  <c r="DR36" i="35"/>
  <c r="DT33" i="39"/>
  <c r="ED33" i="39" s="1"/>
  <c r="DR34" i="39"/>
  <c r="DT34" i="38"/>
  <c r="ED34" i="38" s="1"/>
  <c r="DR35" i="38"/>
  <c r="EF32" i="38"/>
  <c r="EF32" i="18"/>
  <c r="EF34" i="41"/>
  <c r="EG33" i="41"/>
  <c r="EF32" i="40"/>
  <c r="DT33" i="37"/>
  <c r="ED33" i="37" s="1"/>
  <c r="DR34" i="37"/>
  <c r="EE32" i="42"/>
  <c r="EG31" i="42" s="1"/>
  <c r="EH32" i="42"/>
  <c r="EF33" i="35"/>
  <c r="EG32" i="35"/>
  <c r="EH34" i="35"/>
  <c r="EE34" i="35"/>
  <c r="EF32" i="44"/>
  <c r="EF31" i="39"/>
  <c r="EG31" i="44"/>
  <c r="EF31" i="37"/>
  <c r="EE32" i="39"/>
  <c r="EH32" i="39"/>
  <c r="EF31" i="42"/>
  <c r="EE32" i="37"/>
  <c r="EG31" i="37" s="1"/>
  <c r="EH32" i="37"/>
  <c r="EG31" i="18"/>
  <c r="DT35" i="43"/>
  <c r="ED35" i="43" s="1"/>
  <c r="DR36" i="43"/>
  <c r="EF32" i="36"/>
  <c r="DT34" i="36"/>
  <c r="ED34" i="36" s="1"/>
  <c r="DR35" i="36"/>
  <c r="DT36" i="41"/>
  <c r="ED36" i="41" s="1"/>
  <c r="DR37" i="41"/>
  <c r="DT34" i="40"/>
  <c r="ED34" i="40" s="1"/>
  <c r="DR35" i="40"/>
  <c r="H41" i="8" l="1"/>
  <c r="N41" i="8" s="1"/>
  <c r="R54" i="8"/>
  <c r="X54" i="8" s="1"/>
  <c r="Z70" i="8"/>
  <c r="AN9" i="59"/>
  <c r="CM9" i="59" s="1"/>
  <c r="R43" i="8"/>
  <c r="U43" i="8" s="1"/>
  <c r="X43" i="8" s="1"/>
  <c r="R56" i="8"/>
  <c r="X56" i="8" s="1"/>
  <c r="H48" i="8"/>
  <c r="N48" i="8" s="1"/>
  <c r="R45" i="8"/>
  <c r="X45" i="8" s="1"/>
  <c r="EG1" i="8"/>
  <c r="BD9" i="59" s="1"/>
  <c r="B17" i="28"/>
  <c r="R41" i="8"/>
  <c r="X41" i="8" s="1"/>
  <c r="R48" i="8"/>
  <c r="X48" i="8" s="1"/>
  <c r="B59" i="60"/>
  <c r="S13" i="60" s="1"/>
  <c r="H42" i="8"/>
  <c r="N42" i="8" s="1"/>
  <c r="N61" i="8" s="1"/>
  <c r="N62" i="8" s="1"/>
  <c r="Q74" i="8" s="1"/>
  <c r="L10" i="83" s="1"/>
  <c r="R42" i="8"/>
  <c r="X42" i="8" s="1"/>
  <c r="R50" i="8"/>
  <c r="X50" i="8" s="1"/>
  <c r="R57" i="8"/>
  <c r="X57" i="8" s="1"/>
  <c r="B8" i="16"/>
  <c r="J8" i="16" s="1"/>
  <c r="C6" i="52" s="1"/>
  <c r="B51" i="63"/>
  <c r="D51" i="63" s="1"/>
  <c r="D52" i="63" s="1"/>
  <c r="T31" i="9"/>
  <c r="CC71" i="9" s="1"/>
  <c r="BZ73" i="9" s="1"/>
  <c r="BZ75" i="9" s="1"/>
  <c r="H7" i="51" s="1"/>
  <c r="CW10" i="59"/>
  <c r="O140" i="76" s="1"/>
  <c r="J24" i="51"/>
  <c r="BZ86" i="6"/>
  <c r="J12" i="51" s="1"/>
  <c r="J23" i="51" s="1"/>
  <c r="DK30" i="6"/>
  <c r="DK34" i="6" s="1"/>
  <c r="DK35" i="6"/>
  <c r="O116" i="76"/>
  <c r="G38" i="75" s="1"/>
  <c r="O128" i="76"/>
  <c r="CK5" i="59"/>
  <c r="D42" i="60"/>
  <c r="H41" i="60" s="1"/>
  <c r="G100" i="10"/>
  <c r="CK8" i="59"/>
  <c r="CK6" i="59"/>
  <c r="H40" i="60"/>
  <c r="M12" i="60"/>
  <c r="CK7" i="59"/>
  <c r="F31" i="60"/>
  <c r="AH87" i="9" s="1"/>
  <c r="AH88" i="9" s="1"/>
  <c r="CT10" i="59"/>
  <c r="AM57" i="8"/>
  <c r="CT11" i="59"/>
  <c r="H30" i="63"/>
  <c r="BC9" i="59"/>
  <c r="BE9" i="59"/>
  <c r="X95" i="74"/>
  <c r="DT36" i="43"/>
  <c r="ED36" i="43" s="1"/>
  <c r="DR37" i="43"/>
  <c r="EF32" i="42"/>
  <c r="DT35" i="38"/>
  <c r="ED35" i="38" s="1"/>
  <c r="DR36" i="38"/>
  <c r="EE35" i="35"/>
  <c r="EG34" i="35" s="1"/>
  <c r="EH35" i="35"/>
  <c r="EF32" i="45"/>
  <c r="EF33" i="44"/>
  <c r="EG31" i="45"/>
  <c r="EF34" i="43"/>
  <c r="DT34" i="45"/>
  <c r="ED34" i="45" s="1"/>
  <c r="DR35" i="45"/>
  <c r="DT35" i="18"/>
  <c r="ED35" i="18" s="1"/>
  <c r="DR36" i="18"/>
  <c r="DT35" i="36"/>
  <c r="ED35" i="36" s="1"/>
  <c r="DR36" i="36"/>
  <c r="EH34" i="40"/>
  <c r="EE34" i="40"/>
  <c r="EG33" i="40" s="1"/>
  <c r="EH34" i="36"/>
  <c r="EE34" i="36"/>
  <c r="EG33" i="36" s="1"/>
  <c r="EE35" i="43"/>
  <c r="EH35" i="43"/>
  <c r="DT34" i="37"/>
  <c r="ED34" i="37" s="1"/>
  <c r="DR35" i="37"/>
  <c r="EE34" i="38"/>
  <c r="EG33" i="38" s="1"/>
  <c r="EH34" i="38"/>
  <c r="DT34" i="39"/>
  <c r="ED34" i="39" s="1"/>
  <c r="DR35" i="39"/>
  <c r="DT34" i="42"/>
  <c r="ED34" i="42" s="1"/>
  <c r="DR35" i="42"/>
  <c r="EF35" i="41"/>
  <c r="EF33" i="38"/>
  <c r="EE33" i="45"/>
  <c r="EH33" i="45"/>
  <c r="EE34" i="18"/>
  <c r="EG33" i="18" s="1"/>
  <c r="EH34" i="18"/>
  <c r="DT37" i="41"/>
  <c r="ED37" i="41" s="1"/>
  <c r="DR38" i="41"/>
  <c r="EF32" i="39"/>
  <c r="EF34" i="35"/>
  <c r="EG33" i="35"/>
  <c r="EH33" i="37"/>
  <c r="EE33" i="37"/>
  <c r="EG32" i="37" s="1"/>
  <c r="EE33" i="39"/>
  <c r="EG32" i="39" s="1"/>
  <c r="EH33" i="39"/>
  <c r="EH33" i="42"/>
  <c r="EE33" i="42"/>
  <c r="EF33" i="40"/>
  <c r="EF33" i="18"/>
  <c r="DT35" i="44"/>
  <c r="ED35" i="44" s="1"/>
  <c r="DR36" i="44"/>
  <c r="DT35" i="40"/>
  <c r="ED35" i="40" s="1"/>
  <c r="DR36" i="40"/>
  <c r="EF32" i="37"/>
  <c r="EE36" i="41"/>
  <c r="EH36" i="41"/>
  <c r="EG31" i="39"/>
  <c r="DT36" i="35"/>
  <c r="ED36" i="35" s="1"/>
  <c r="DR37" i="35"/>
  <c r="EF33" i="36"/>
  <c r="EE34" i="44"/>
  <c r="EH34" i="44"/>
  <c r="X61" i="8" l="1"/>
  <c r="D59" i="60"/>
  <c r="D60" i="60" s="1"/>
  <c r="H51" i="60" s="1"/>
  <c r="S13" i="63"/>
  <c r="X96" i="74"/>
  <c r="GH9" i="34"/>
  <c r="AD137" i="10" s="1"/>
  <c r="DK36" i="6"/>
  <c r="AL77" i="6" s="1"/>
  <c r="Q78" i="6" s="1"/>
  <c r="J25" i="51" s="1"/>
  <c r="J26" i="51" s="1"/>
  <c r="J29" i="51" s="1"/>
  <c r="G100" i="11"/>
  <c r="G22" i="75"/>
  <c r="H22" i="75" s="1"/>
  <c r="H37" i="60"/>
  <c r="M13" i="60"/>
  <c r="AH87" i="10"/>
  <c r="AH88" i="10" s="1"/>
  <c r="S10" i="59"/>
  <c r="AH92" i="9"/>
  <c r="CT12" i="59"/>
  <c r="I49" i="63"/>
  <c r="D55" i="63"/>
  <c r="J49" i="63"/>
  <c r="D66" i="60"/>
  <c r="J55" i="60"/>
  <c r="E74" i="8"/>
  <c r="D33" i="83" s="1"/>
  <c r="Q76" i="8"/>
  <c r="F10" i="83" s="1"/>
  <c r="X89" i="74"/>
  <c r="AA80" i="74" s="1"/>
  <c r="AA82" i="74" s="1"/>
  <c r="D10" i="83"/>
  <c r="AC9" i="59"/>
  <c r="DK25" i="8"/>
  <c r="DK31" i="8" s="1"/>
  <c r="DK32" i="8" s="1"/>
  <c r="EH36" i="35"/>
  <c r="EE36" i="35"/>
  <c r="EG35" i="35" s="1"/>
  <c r="DT36" i="40"/>
  <c r="ED36" i="40" s="1"/>
  <c r="DR37" i="40"/>
  <c r="EF33" i="42"/>
  <c r="EF33" i="37"/>
  <c r="EE37" i="41"/>
  <c r="EG36" i="41" s="1"/>
  <c r="EH37" i="41"/>
  <c r="EF33" i="45"/>
  <c r="EE34" i="42"/>
  <c r="EG33" i="42" s="1"/>
  <c r="EH34" i="42"/>
  <c r="EF34" i="38"/>
  <c r="EF35" i="43"/>
  <c r="EE35" i="18"/>
  <c r="EG34" i="18" s="1"/>
  <c r="EH35" i="18"/>
  <c r="EG34" i="43"/>
  <c r="EF36" i="41"/>
  <c r="EE35" i="40"/>
  <c r="EG34" i="40" s="1"/>
  <c r="EH35" i="40"/>
  <c r="EG35" i="41"/>
  <c r="DT35" i="39"/>
  <c r="ED35" i="39" s="1"/>
  <c r="DR36" i="39"/>
  <c r="DT35" i="37"/>
  <c r="ED35" i="37" s="1"/>
  <c r="DR36" i="37"/>
  <c r="EF34" i="36"/>
  <c r="DT36" i="36"/>
  <c r="ED36" i="36" s="1"/>
  <c r="DR37" i="36"/>
  <c r="DT35" i="45"/>
  <c r="ED35" i="45" s="1"/>
  <c r="DR36" i="45"/>
  <c r="EG32" i="45"/>
  <c r="EG32" i="42"/>
  <c r="EF34" i="44"/>
  <c r="DT36" i="44"/>
  <c r="ED36" i="44" s="1"/>
  <c r="DR37" i="44"/>
  <c r="EF34" i="18"/>
  <c r="EE34" i="39"/>
  <c r="EG33" i="39" s="1"/>
  <c r="EH34" i="39"/>
  <c r="EE34" i="37"/>
  <c r="EG33" i="37" s="1"/>
  <c r="EH34" i="37"/>
  <c r="EE35" i="36"/>
  <c r="EH35" i="36"/>
  <c r="EH34" i="45"/>
  <c r="EE34" i="45"/>
  <c r="EG33" i="45" s="1"/>
  <c r="DT36" i="38"/>
  <c r="ED36" i="38" s="1"/>
  <c r="DR37" i="38"/>
  <c r="DT37" i="43"/>
  <c r="ED37" i="43" s="1"/>
  <c r="DR38" i="43"/>
  <c r="DT37" i="35"/>
  <c r="ED37" i="35" s="1"/>
  <c r="DR38" i="35"/>
  <c r="EH35" i="44"/>
  <c r="EE35" i="44"/>
  <c r="EG34" i="44" s="1"/>
  <c r="EF33" i="39"/>
  <c r="DT38" i="41"/>
  <c r="ED38" i="41" s="1"/>
  <c r="DR39" i="41"/>
  <c r="DT35" i="42"/>
  <c r="ED35" i="42" s="1"/>
  <c r="DR36" i="42"/>
  <c r="EF34" i="40"/>
  <c r="DT36" i="18"/>
  <c r="ED36" i="18" s="1"/>
  <c r="DR37" i="18"/>
  <c r="EG33" i="44"/>
  <c r="EF35" i="35"/>
  <c r="EE35" i="38"/>
  <c r="EG34" i="38" s="1"/>
  <c r="EH35" i="38"/>
  <c r="EE36" i="43"/>
  <c r="EG35" i="43" s="1"/>
  <c r="EH36" i="43"/>
  <c r="I55" i="60" l="1"/>
  <c r="T31" i="10"/>
  <c r="CC71" i="10" s="1"/>
  <c r="CW11" i="59"/>
  <c r="O141" i="76" s="1"/>
  <c r="L8" i="16"/>
  <c r="Q85" i="6"/>
  <c r="J8" i="83" s="1"/>
  <c r="E76" i="6"/>
  <c r="H8" i="83"/>
  <c r="I8" i="83" s="1"/>
  <c r="O117" i="76"/>
  <c r="G39" i="75" s="1"/>
  <c r="O129" i="76"/>
  <c r="G100" i="12"/>
  <c r="Q10" i="59"/>
  <c r="AQ16" i="9"/>
  <c r="AQ51" i="9" s="1"/>
  <c r="F81" i="6"/>
  <c r="DK35" i="8"/>
  <c r="I24" i="51"/>
  <c r="CT13" i="59"/>
  <c r="AH92" i="10"/>
  <c r="AH87" i="11"/>
  <c r="AH88" i="11" s="1"/>
  <c r="S11" i="59"/>
  <c r="D57" i="63"/>
  <c r="G99" i="9" s="1"/>
  <c r="T28" i="9" s="1"/>
  <c r="D68" i="60"/>
  <c r="G70" i="60" s="1"/>
  <c r="G71" i="60" s="1"/>
  <c r="W13" i="59" s="1"/>
  <c r="BZ73" i="10"/>
  <c r="BZ75" i="10" s="1"/>
  <c r="B10" i="16"/>
  <c r="J10" i="16" s="1"/>
  <c r="C8" i="52" s="1"/>
  <c r="BZ86" i="8"/>
  <c r="I12" i="51" s="1"/>
  <c r="I23" i="51" s="1"/>
  <c r="DK33" i="8"/>
  <c r="DK30" i="8"/>
  <c r="DK34" i="8" s="1"/>
  <c r="AA95" i="74"/>
  <c r="EH36" i="18"/>
  <c r="EE36" i="18"/>
  <c r="EG35" i="18" s="1"/>
  <c r="EE36" i="38"/>
  <c r="EG35" i="38" s="1"/>
  <c r="EH36" i="38"/>
  <c r="EF35" i="36"/>
  <c r="DT36" i="45"/>
  <c r="ED36" i="45" s="1"/>
  <c r="DR37" i="45"/>
  <c r="EG34" i="36"/>
  <c r="EF35" i="40"/>
  <c r="DT37" i="40"/>
  <c r="ED37" i="40" s="1"/>
  <c r="DR38" i="40"/>
  <c r="EF36" i="43"/>
  <c r="DT39" i="41"/>
  <c r="ED39" i="41" s="1"/>
  <c r="DR40" i="41"/>
  <c r="EF35" i="44"/>
  <c r="DT38" i="43"/>
  <c r="ED38" i="43" s="1"/>
  <c r="DR39" i="43"/>
  <c r="EF34" i="45"/>
  <c r="EH35" i="45"/>
  <c r="EE35" i="45"/>
  <c r="EH35" i="39"/>
  <c r="EE35" i="39"/>
  <c r="EG34" i="39" s="1"/>
  <c r="EF35" i="18"/>
  <c r="EH36" i="40"/>
  <c r="EE36" i="40"/>
  <c r="EG35" i="40" s="1"/>
  <c r="EE35" i="42"/>
  <c r="EG34" i="42" s="1"/>
  <c r="EH35" i="42"/>
  <c r="EF34" i="37"/>
  <c r="DT37" i="36"/>
  <c r="ED37" i="36" s="1"/>
  <c r="DR38" i="36"/>
  <c r="EF36" i="35"/>
  <c r="EH38" i="41"/>
  <c r="EE38" i="41"/>
  <c r="EG37" i="41" s="1"/>
  <c r="EE37" i="43"/>
  <c r="EH37" i="43"/>
  <c r="DT37" i="44"/>
  <c r="ED37" i="44" s="1"/>
  <c r="DR38" i="44"/>
  <c r="DT36" i="37"/>
  <c r="ED36" i="37" s="1"/>
  <c r="DR37" i="37"/>
  <c r="EF35" i="38"/>
  <c r="DT37" i="18"/>
  <c r="ED37" i="18" s="1"/>
  <c r="DR38" i="18"/>
  <c r="DT36" i="42"/>
  <c r="ED36" i="42" s="1"/>
  <c r="DR37" i="42"/>
  <c r="DT38" i="35"/>
  <c r="ED38" i="35" s="1"/>
  <c r="DR39" i="35"/>
  <c r="DT37" i="38"/>
  <c r="ED37" i="38" s="1"/>
  <c r="DR38" i="38"/>
  <c r="EE36" i="44"/>
  <c r="EH36" i="44"/>
  <c r="EE36" i="36"/>
  <c r="EH36" i="36"/>
  <c r="EH35" i="37"/>
  <c r="EE35" i="37"/>
  <c r="EF34" i="42"/>
  <c r="EF37" i="41"/>
  <c r="EH37" i="35"/>
  <c r="EE37" i="35"/>
  <c r="EF34" i="39"/>
  <c r="DT36" i="39"/>
  <c r="ED36" i="39" s="1"/>
  <c r="DR37" i="39"/>
  <c r="AA96" i="74" l="1"/>
  <c r="GH10" i="34"/>
  <c r="AD137" i="11" s="1"/>
  <c r="G100" i="13"/>
  <c r="G23" i="75"/>
  <c r="H23" i="75" s="1"/>
  <c r="Q11" i="59"/>
  <c r="AQ16" i="10"/>
  <c r="AQ51" i="10" s="1"/>
  <c r="DK36" i="8"/>
  <c r="AL77" i="8" s="1"/>
  <c r="Q78" i="8" s="1"/>
  <c r="L10" i="16" s="1"/>
  <c r="AH87" i="12"/>
  <c r="AH88" i="12" s="1"/>
  <c r="AH92" i="11"/>
  <c r="S12" i="59"/>
  <c r="CT14" i="59"/>
  <c r="B31" i="54"/>
  <c r="D59" i="63"/>
  <c r="X12" i="59" s="1"/>
  <c r="D69" i="63"/>
  <c r="D84" i="63" s="1"/>
  <c r="G84" i="63" s="1"/>
  <c r="H84" i="63" s="1"/>
  <c r="H57" i="60"/>
  <c r="H51" i="63"/>
  <c r="M14" i="63"/>
  <c r="I70" i="60"/>
  <c r="K12" i="60"/>
  <c r="F103" i="62"/>
  <c r="F126" i="62" s="1"/>
  <c r="B41" i="54"/>
  <c r="D92" i="60"/>
  <c r="D94" i="60" s="1"/>
  <c r="K14" i="60" s="1"/>
  <c r="G7" i="51"/>
  <c r="K15" i="60"/>
  <c r="W14" i="59"/>
  <c r="W11" i="59"/>
  <c r="W10" i="59"/>
  <c r="W15" i="59"/>
  <c r="W12" i="59"/>
  <c r="W16" i="59"/>
  <c r="G99" i="10"/>
  <c r="T28" i="10" s="1"/>
  <c r="AA89" i="74"/>
  <c r="AD80" i="74" s="1"/>
  <c r="AD82" i="74" s="1"/>
  <c r="AD95" i="74" s="1"/>
  <c r="DT37" i="39"/>
  <c r="ED37" i="39" s="1"/>
  <c r="DR38" i="39"/>
  <c r="DT39" i="35"/>
  <c r="ED39" i="35" s="1"/>
  <c r="DR40" i="35"/>
  <c r="EH36" i="39"/>
  <c r="EE36" i="39"/>
  <c r="EG35" i="39" s="1"/>
  <c r="EF36" i="44"/>
  <c r="EH38" i="35"/>
  <c r="EE38" i="35"/>
  <c r="EG37" i="35" s="1"/>
  <c r="EH37" i="18"/>
  <c r="EE37" i="18"/>
  <c r="EG36" i="18" s="1"/>
  <c r="EE36" i="37"/>
  <c r="EG35" i="37" s="1"/>
  <c r="EH36" i="37"/>
  <c r="EF37" i="43"/>
  <c r="EH37" i="40"/>
  <c r="EE37" i="40"/>
  <c r="EG36" i="40" s="1"/>
  <c r="DT37" i="45"/>
  <c r="ED37" i="45" s="1"/>
  <c r="DR38" i="45"/>
  <c r="DT37" i="42"/>
  <c r="ED37" i="42" s="1"/>
  <c r="DR38" i="42"/>
  <c r="EF38" i="41"/>
  <c r="DT38" i="36"/>
  <c r="ED38" i="36" s="1"/>
  <c r="DR39" i="36"/>
  <c r="EF35" i="45"/>
  <c r="DT39" i="43"/>
  <c r="ED39" i="43" s="1"/>
  <c r="DR40" i="43"/>
  <c r="DT40" i="41"/>
  <c r="ED40" i="41" s="1"/>
  <c r="DR41" i="41"/>
  <c r="EE36" i="45"/>
  <c r="EG35" i="45" s="1"/>
  <c r="EH36" i="45"/>
  <c r="EF36" i="38"/>
  <c r="DT38" i="38"/>
  <c r="ED38" i="38" s="1"/>
  <c r="DR39" i="38"/>
  <c r="DT38" i="44"/>
  <c r="ED38" i="44" s="1"/>
  <c r="DR39" i="44"/>
  <c r="EF36" i="36"/>
  <c r="EE37" i="38"/>
  <c r="EH37" i="38"/>
  <c r="EE36" i="42"/>
  <c r="EG35" i="42" s="1"/>
  <c r="EH36" i="42"/>
  <c r="EE37" i="44"/>
  <c r="EH37" i="44"/>
  <c r="EE37" i="36"/>
  <c r="EG36" i="36" s="1"/>
  <c r="EH37" i="36"/>
  <c r="EF35" i="42"/>
  <c r="EE38" i="43"/>
  <c r="EG37" i="43" s="1"/>
  <c r="EH38" i="43"/>
  <c r="EH39" i="41"/>
  <c r="EE39" i="41"/>
  <c r="EG38" i="41" s="1"/>
  <c r="EF36" i="18"/>
  <c r="EF37" i="35"/>
  <c r="EF35" i="37"/>
  <c r="DT38" i="18"/>
  <c r="ED38" i="18" s="1"/>
  <c r="DR39" i="18"/>
  <c r="DT37" i="37"/>
  <c r="ED37" i="37" s="1"/>
  <c r="DR38" i="37"/>
  <c r="EG36" i="35"/>
  <c r="EG34" i="37"/>
  <c r="EF36" i="40"/>
  <c r="EF35" i="39"/>
  <c r="EG34" i="45"/>
  <c r="EG35" i="44"/>
  <c r="EG36" i="43"/>
  <c r="DT38" i="40"/>
  <c r="ED38" i="40" s="1"/>
  <c r="DR39" i="40"/>
  <c r="EG35" i="36"/>
  <c r="AD96" i="74" l="1"/>
  <c r="GH11" i="34"/>
  <c r="AD137" i="12" s="1"/>
  <c r="T31" i="11"/>
  <c r="CC71" i="11" s="1"/>
  <c r="BZ73" i="11" s="1"/>
  <c r="BZ75" i="11" s="1"/>
  <c r="CW12" i="59"/>
  <c r="O142" i="76" s="1"/>
  <c r="G28" i="75" s="1"/>
  <c r="DP20" i="10"/>
  <c r="CA68" i="10"/>
  <c r="O118" i="76"/>
  <c r="G40" i="75" s="1"/>
  <c r="O130" i="76"/>
  <c r="G14" i="79"/>
  <c r="J17" i="60"/>
  <c r="D8" i="79" s="1"/>
  <c r="G8" i="79" s="1"/>
  <c r="G100" i="14"/>
  <c r="G24" i="75"/>
  <c r="H24" i="75" s="1"/>
  <c r="Q12" i="59"/>
  <c r="AQ16" i="11"/>
  <c r="AQ51" i="11" s="1"/>
  <c r="Q85" i="8"/>
  <c r="J10" i="83" s="1"/>
  <c r="H10" i="83"/>
  <c r="I10" i="83" s="1"/>
  <c r="E76" i="8"/>
  <c r="I25" i="51"/>
  <c r="I26" i="51" s="1"/>
  <c r="I29" i="51" s="1"/>
  <c r="CT15" i="59"/>
  <c r="AH87" i="13"/>
  <c r="AH88" i="13" s="1"/>
  <c r="AH92" i="12"/>
  <c r="S13" i="59"/>
  <c r="X14" i="59"/>
  <c r="X16" i="59"/>
  <c r="X15" i="59"/>
  <c r="D85" i="63"/>
  <c r="G85" i="63" s="1"/>
  <c r="H85" i="63" s="1"/>
  <c r="D77" i="63"/>
  <c r="G77" i="63" s="1"/>
  <c r="H77" i="63" s="1"/>
  <c r="D79" i="63"/>
  <c r="G79" i="63" s="1"/>
  <c r="H79" i="63" s="1"/>
  <c r="D82" i="63"/>
  <c r="G82" i="63" s="1"/>
  <c r="H82" i="63" s="1"/>
  <c r="D80" i="63"/>
  <c r="G80" i="63" s="1"/>
  <c r="H80" i="63" s="1"/>
  <c r="D83" i="63"/>
  <c r="G83" i="63" s="1"/>
  <c r="H83" i="63" s="1"/>
  <c r="D81" i="63"/>
  <c r="G81" i="63" s="1"/>
  <c r="H81" i="63" s="1"/>
  <c r="D87" i="63"/>
  <c r="G87" i="63" s="1"/>
  <c r="H87" i="63" s="1"/>
  <c r="D86" i="63"/>
  <c r="G86" i="63" s="1"/>
  <c r="H86" i="63" s="1"/>
  <c r="D76" i="63"/>
  <c r="G76" i="63" s="1"/>
  <c r="H76" i="63" s="1"/>
  <c r="D78" i="63"/>
  <c r="G78" i="63" s="1"/>
  <c r="H78" i="63" s="1"/>
  <c r="X11" i="59"/>
  <c r="X13" i="59"/>
  <c r="X10" i="59"/>
  <c r="G13" i="79"/>
  <c r="G12" i="79"/>
  <c r="G10" i="79"/>
  <c r="G11" i="79"/>
  <c r="G9" i="79"/>
  <c r="K16" i="62"/>
  <c r="K18" i="62" s="1"/>
  <c r="K20" i="62" s="1"/>
  <c r="F14" i="79" s="1"/>
  <c r="DK28" i="9"/>
  <c r="G99" i="11"/>
  <c r="T28" i="11" s="1"/>
  <c r="AD89" i="74"/>
  <c r="AG80" i="74" s="1"/>
  <c r="AG82" i="74" s="1"/>
  <c r="BZ77" i="4"/>
  <c r="DK39" i="4"/>
  <c r="V91" i="4"/>
  <c r="BZ94" i="4"/>
  <c r="F16" i="51" s="1"/>
  <c r="B47" i="50" s="1"/>
  <c r="AH91" i="4"/>
  <c r="AH92" i="4" s="1"/>
  <c r="AQ16" i="4" s="1"/>
  <c r="AQ51" i="4" s="1"/>
  <c r="BL5" i="59"/>
  <c r="AL91" i="4"/>
  <c r="AL92" i="4" s="1"/>
  <c r="AQ17" i="4" s="1"/>
  <c r="AQ52" i="4" s="1"/>
  <c r="EO8" i="4"/>
  <c r="T35" i="4"/>
  <c r="V91" i="5"/>
  <c r="AL91" i="5"/>
  <c r="AL92" i="5" s="1"/>
  <c r="AH91" i="5"/>
  <c r="AH92" i="5" s="1"/>
  <c r="EO8" i="5"/>
  <c r="BZ94" i="5"/>
  <c r="E16" i="51" s="1"/>
  <c r="DK39" i="5"/>
  <c r="BZ77" i="5"/>
  <c r="BL6" i="59"/>
  <c r="T35" i="5"/>
  <c r="AG95" i="74"/>
  <c r="DT38" i="37"/>
  <c r="ED38" i="37" s="1"/>
  <c r="DR39" i="37"/>
  <c r="DT39" i="44"/>
  <c r="ED39" i="44" s="1"/>
  <c r="DR40" i="44"/>
  <c r="DT41" i="41"/>
  <c r="ED41" i="41" s="1"/>
  <c r="DR42" i="41"/>
  <c r="DT38" i="45"/>
  <c r="ED38" i="45" s="1"/>
  <c r="DR39" i="45"/>
  <c r="EF37" i="18"/>
  <c r="DT40" i="35"/>
  <c r="ED40" i="35" s="1"/>
  <c r="DR41" i="35"/>
  <c r="EF39" i="41"/>
  <c r="DT39" i="40"/>
  <c r="ED39" i="40" s="1"/>
  <c r="DR40" i="40"/>
  <c r="EH37" i="37"/>
  <c r="EE37" i="37"/>
  <c r="EG36" i="37" s="1"/>
  <c r="EF37" i="44"/>
  <c r="EF37" i="38"/>
  <c r="EH38" i="44"/>
  <c r="EE38" i="44"/>
  <c r="EG36" i="38"/>
  <c r="EH40" i="41"/>
  <c r="EE40" i="41"/>
  <c r="EH37" i="45"/>
  <c r="EE37" i="45"/>
  <c r="EG36" i="45" s="1"/>
  <c r="EG36" i="44"/>
  <c r="EE39" i="35"/>
  <c r="EG38" i="35" s="1"/>
  <c r="EH39" i="35"/>
  <c r="DT39" i="18"/>
  <c r="ED39" i="18" s="1"/>
  <c r="DR40" i="18"/>
  <c r="DT39" i="38"/>
  <c r="ED39" i="38" s="1"/>
  <c r="DR40" i="38"/>
  <c r="DT40" i="43"/>
  <c r="ED40" i="43" s="1"/>
  <c r="DR41" i="43"/>
  <c r="DT39" i="36"/>
  <c r="ED39" i="36" s="1"/>
  <c r="DR40" i="36"/>
  <c r="DT38" i="42"/>
  <c r="ED38" i="42" s="1"/>
  <c r="DR39" i="42"/>
  <c r="EF37" i="40"/>
  <c r="EF38" i="35"/>
  <c r="EF36" i="39"/>
  <c r="DT38" i="39"/>
  <c r="ED38" i="39" s="1"/>
  <c r="DR39" i="39"/>
  <c r="EE38" i="40"/>
  <c r="EH38" i="40"/>
  <c r="EE38" i="18"/>
  <c r="EG37" i="18" s="1"/>
  <c r="EH38" i="18"/>
  <c r="EF38" i="43"/>
  <c r="EF37" i="36"/>
  <c r="EF36" i="42"/>
  <c r="EH38" i="38"/>
  <c r="EE38" i="38"/>
  <c r="EF36" i="45"/>
  <c r="EE39" i="43"/>
  <c r="EG38" i="43" s="1"/>
  <c r="EH39" i="43"/>
  <c r="EE38" i="36"/>
  <c r="EG37" i="36" s="1"/>
  <c r="EH38" i="36"/>
  <c r="EH37" i="42"/>
  <c r="EE37" i="42"/>
  <c r="EG36" i="42" s="1"/>
  <c r="EF36" i="37"/>
  <c r="EE37" i="39"/>
  <c r="EG36" i="39" s="1"/>
  <c r="EH37" i="39"/>
  <c r="R57" i="5" l="1"/>
  <c r="X57" i="5" s="1"/>
  <c r="R56" i="5"/>
  <c r="X56" i="5" s="1"/>
  <c r="R54" i="5"/>
  <c r="X54" i="5" s="1"/>
  <c r="R52" i="5"/>
  <c r="X52" i="5" s="1"/>
  <c r="R50" i="5"/>
  <c r="X50" i="5" s="1"/>
  <c r="R48" i="5"/>
  <c r="X48" i="5" s="1"/>
  <c r="R45" i="5"/>
  <c r="X45" i="5" s="1"/>
  <c r="R43" i="5"/>
  <c r="U43" i="5" s="1"/>
  <c r="X43" i="5" s="1"/>
  <c r="R42" i="5"/>
  <c r="X42" i="5" s="1"/>
  <c r="H48" i="5"/>
  <c r="N48" i="5" s="1"/>
  <c r="H42" i="5"/>
  <c r="N42" i="5" s="1"/>
  <c r="H41" i="5"/>
  <c r="N41" i="5" s="1"/>
  <c r="R41" i="5"/>
  <c r="X41" i="5" s="1"/>
  <c r="R50" i="4"/>
  <c r="X50" i="4" s="1"/>
  <c r="H48" i="4"/>
  <c r="N48" i="4" s="1"/>
  <c r="R56" i="4"/>
  <c r="X56" i="4" s="1"/>
  <c r="R52" i="4"/>
  <c r="X52" i="4" s="1"/>
  <c r="R48" i="4"/>
  <c r="X48" i="4" s="1"/>
  <c r="R43" i="4"/>
  <c r="U43" i="4" s="1"/>
  <c r="R41" i="4"/>
  <c r="X41" i="4" s="1"/>
  <c r="H41" i="4"/>
  <c r="N41" i="4" s="1"/>
  <c r="R54" i="4"/>
  <c r="X54" i="4" s="1"/>
  <c r="R42" i="4"/>
  <c r="X42" i="4" s="1"/>
  <c r="R57" i="4"/>
  <c r="X57" i="4" s="1"/>
  <c r="R45" i="4"/>
  <c r="X45" i="4" s="1"/>
  <c r="H42" i="4"/>
  <c r="N42" i="4" s="1"/>
  <c r="X43" i="4"/>
  <c r="AG96" i="74"/>
  <c r="GH12" i="34"/>
  <c r="AD137" i="13" s="1"/>
  <c r="T31" i="12"/>
  <c r="CC71" i="12" s="1"/>
  <c r="BZ73" i="12" s="1"/>
  <c r="BZ75" i="12" s="1"/>
  <c r="CW13" i="59"/>
  <c r="O143" i="76" s="1"/>
  <c r="G29" i="75" s="1"/>
  <c r="DP20" i="11"/>
  <c r="CA68" i="11"/>
  <c r="O119" i="76"/>
  <c r="G41" i="75" s="1"/>
  <c r="O131" i="76"/>
  <c r="G25" i="75" s="1"/>
  <c r="H25" i="75" s="1"/>
  <c r="G100" i="15"/>
  <c r="Q6" i="59"/>
  <c r="AQ16" i="5"/>
  <c r="AQ51" i="5" s="1"/>
  <c r="Q13" i="59"/>
  <c r="AQ16" i="12"/>
  <c r="AQ51" i="12" s="1"/>
  <c r="R6" i="59"/>
  <c r="AQ17" i="5"/>
  <c r="AQ52" i="5" s="1"/>
  <c r="R5" i="59"/>
  <c r="Q5" i="59"/>
  <c r="F81" i="8"/>
  <c r="B44" i="54"/>
  <c r="CT16" i="59"/>
  <c r="AH87" i="14"/>
  <c r="AH88" i="14" s="1"/>
  <c r="AH98" i="14" s="1"/>
  <c r="AH92" i="13"/>
  <c r="S14" i="59"/>
  <c r="H88" i="63"/>
  <c r="H91" i="63" s="1"/>
  <c r="M12" i="63" s="1"/>
  <c r="C8" i="79" s="1"/>
  <c r="T30" i="9" s="1"/>
  <c r="DP20" i="9" s="1"/>
  <c r="B10" i="59" s="1"/>
  <c r="B10" i="85" s="1"/>
  <c r="F10" i="85" s="1"/>
  <c r="G88" i="63"/>
  <c r="M21" i="60"/>
  <c r="M22" i="60" s="1"/>
  <c r="BH10" i="59"/>
  <c r="F9" i="79"/>
  <c r="F11" i="79"/>
  <c r="F7" i="79"/>
  <c r="F5" i="79"/>
  <c r="F3" i="79"/>
  <c r="F4" i="79"/>
  <c r="F13" i="79"/>
  <c r="F8" i="79"/>
  <c r="F10" i="79"/>
  <c r="F12" i="79"/>
  <c r="F6" i="79"/>
  <c r="AH91" i="7" s="1"/>
  <c r="AH92" i="7" s="1"/>
  <c r="B7" i="51"/>
  <c r="DK28" i="10"/>
  <c r="DK29" i="10" s="1"/>
  <c r="BZ68" i="10" s="1"/>
  <c r="CN11" i="59"/>
  <c r="T35" i="10"/>
  <c r="B11" i="59"/>
  <c r="B11" i="85" s="1"/>
  <c r="F11" i="85" s="1"/>
  <c r="G30" i="51"/>
  <c r="G99" i="12"/>
  <c r="T28" i="12" s="1"/>
  <c r="B6" i="83"/>
  <c r="C6" i="83" s="1"/>
  <c r="EG1" i="4"/>
  <c r="B13" i="28"/>
  <c r="AN5" i="59"/>
  <c r="CM5" i="59" s="1"/>
  <c r="F8" i="51"/>
  <c r="B23" i="50" s="1"/>
  <c r="B21" i="50" s="1"/>
  <c r="F21" i="51"/>
  <c r="E8" i="51"/>
  <c r="E21" i="51"/>
  <c r="EG1" i="5"/>
  <c r="B14" i="28"/>
  <c r="AN6" i="59"/>
  <c r="CM6" i="59" s="1"/>
  <c r="B7" i="83"/>
  <c r="Z70" i="5"/>
  <c r="AG89" i="74"/>
  <c r="AJ80" i="74" s="1"/>
  <c r="AJ82" i="74" s="1"/>
  <c r="EF38" i="38"/>
  <c r="DT40" i="36"/>
  <c r="ED40" i="36" s="1"/>
  <c r="DR41" i="36"/>
  <c r="DT40" i="38"/>
  <c r="ED40" i="38" s="1"/>
  <c r="DR41" i="38"/>
  <c r="EF38" i="44"/>
  <c r="DT40" i="40"/>
  <c r="ED40" i="40" s="1"/>
  <c r="DR41" i="40"/>
  <c r="DT41" i="35"/>
  <c r="ED41" i="35" s="1"/>
  <c r="DR42" i="35"/>
  <c r="DT39" i="45"/>
  <c r="ED39" i="45" s="1"/>
  <c r="DR40" i="45"/>
  <c r="DT40" i="44"/>
  <c r="ED40" i="44" s="1"/>
  <c r="DR41" i="44"/>
  <c r="EF38" i="36"/>
  <c r="EF38" i="40"/>
  <c r="EG37" i="40"/>
  <c r="EE39" i="36"/>
  <c r="EH39" i="36"/>
  <c r="EH39" i="38"/>
  <c r="EE39" i="38"/>
  <c r="EF39" i="35"/>
  <c r="EF40" i="41"/>
  <c r="EG37" i="44"/>
  <c r="EE39" i="40"/>
  <c r="EH39" i="40"/>
  <c r="EH40" i="35"/>
  <c r="EE40" i="35"/>
  <c r="EE38" i="45"/>
  <c r="EG37" i="45" s="1"/>
  <c r="EH38" i="45"/>
  <c r="EE39" i="44"/>
  <c r="EG38" i="44" s="1"/>
  <c r="EH39" i="44"/>
  <c r="DT39" i="39"/>
  <c r="ED39" i="39" s="1"/>
  <c r="DR40" i="39"/>
  <c r="DT39" i="42"/>
  <c r="ED39" i="42" s="1"/>
  <c r="DR40" i="42"/>
  <c r="DT41" i="43"/>
  <c r="ED41" i="43" s="1"/>
  <c r="DR42" i="43"/>
  <c r="DT40" i="18"/>
  <c r="ED40" i="18" s="1"/>
  <c r="DR41" i="18"/>
  <c r="EG37" i="38"/>
  <c r="EF37" i="37"/>
  <c r="DT42" i="41"/>
  <c r="ED42" i="41" s="1"/>
  <c r="DR43" i="41"/>
  <c r="DT39" i="37"/>
  <c r="ED39" i="37" s="1"/>
  <c r="DR40" i="37"/>
  <c r="EF37" i="42"/>
  <c r="EF37" i="39"/>
  <c r="EF39" i="43"/>
  <c r="EF38" i="18"/>
  <c r="EH38" i="39"/>
  <c r="EE38" i="39"/>
  <c r="EG37" i="39" s="1"/>
  <c r="EE38" i="42"/>
  <c r="EH38" i="42"/>
  <c r="EE40" i="43"/>
  <c r="EG39" i="43" s="1"/>
  <c r="EH40" i="43"/>
  <c r="EE39" i="18"/>
  <c r="EH39" i="18"/>
  <c r="EF37" i="45"/>
  <c r="EG39" i="41"/>
  <c r="EE41" i="41"/>
  <c r="EG40" i="41" s="1"/>
  <c r="EH41" i="41"/>
  <c r="EE38" i="37"/>
  <c r="EG37" i="37" s="1"/>
  <c r="EH38" i="37"/>
  <c r="H41" i="10" l="1"/>
  <c r="N41" i="10" s="1"/>
  <c r="H48" i="10"/>
  <c r="N48" i="10" s="1"/>
  <c r="H42" i="10"/>
  <c r="N42" i="10" s="1"/>
  <c r="R41" i="10"/>
  <c r="X41" i="10" s="1"/>
  <c r="R56" i="10"/>
  <c r="X56" i="10" s="1"/>
  <c r="R52" i="10"/>
  <c r="X52" i="10" s="1"/>
  <c r="R48" i="10"/>
  <c r="X48" i="10" s="1"/>
  <c r="R45" i="10"/>
  <c r="X45" i="10" s="1"/>
  <c r="R42" i="10"/>
  <c r="X42" i="10" s="1"/>
  <c r="R57" i="10"/>
  <c r="X57" i="10" s="1"/>
  <c r="R50" i="10"/>
  <c r="X50" i="10" s="1"/>
  <c r="R54" i="10"/>
  <c r="X54" i="10" s="1"/>
  <c r="R43" i="10"/>
  <c r="U43" i="10" s="1"/>
  <c r="X43" i="10" s="1"/>
  <c r="AL98" i="14"/>
  <c r="AL100" i="14" s="1"/>
  <c r="AL101" i="14" s="1"/>
  <c r="AH93" i="14" s="1"/>
  <c r="T31" i="13"/>
  <c r="CC71" i="13" s="1"/>
  <c r="CW14" i="59"/>
  <c r="O144" i="76" s="1"/>
  <c r="G30" i="75" s="1"/>
  <c r="DP20" i="12"/>
  <c r="CA68" i="12"/>
  <c r="CN10" i="59"/>
  <c r="CA68" i="9"/>
  <c r="H30" i="51" s="1"/>
  <c r="O120" i="76"/>
  <c r="G42" i="75" s="1"/>
  <c r="O132" i="76"/>
  <c r="Q8" i="59"/>
  <c r="AQ16" i="7"/>
  <c r="AQ51" i="7" s="1"/>
  <c r="Q14" i="59"/>
  <c r="AQ16" i="13"/>
  <c r="AQ51" i="13" s="1"/>
  <c r="DM28" i="9"/>
  <c r="DK29" i="9" s="1"/>
  <c r="BZ68" i="9" s="1"/>
  <c r="BK10" i="59"/>
  <c r="AH87" i="15"/>
  <c r="AH88" i="15" s="1"/>
  <c r="AH92" i="14"/>
  <c r="S15" i="59"/>
  <c r="T35" i="9"/>
  <c r="D10" i="59"/>
  <c r="EO8" i="9"/>
  <c r="CC81" i="9"/>
  <c r="BZ77" i="9" s="1"/>
  <c r="H8" i="51" s="1"/>
  <c r="CC81" i="7"/>
  <c r="BZ77" i="7" s="1"/>
  <c r="DK39" i="7"/>
  <c r="V91" i="7"/>
  <c r="AL91" i="7"/>
  <c r="AL92" i="7" s="1"/>
  <c r="BZ94" i="7"/>
  <c r="C16" i="51" s="1"/>
  <c r="BL8" i="59"/>
  <c r="T35" i="7"/>
  <c r="EO8" i="7"/>
  <c r="M7" i="51"/>
  <c r="BZ73" i="13"/>
  <c r="BZ75" i="13" s="1"/>
  <c r="BH11" i="59"/>
  <c r="G6" i="51"/>
  <c r="DK28" i="11"/>
  <c r="DK29" i="11" s="1"/>
  <c r="BZ68" i="11" s="1"/>
  <c r="CN12" i="59"/>
  <c r="B30" i="51"/>
  <c r="T35" i="11"/>
  <c r="B12" i="59"/>
  <c r="B12" i="85" s="1"/>
  <c r="F12" i="85" s="1"/>
  <c r="G99" i="13"/>
  <c r="T28" i="13" s="1"/>
  <c r="E14" i="28"/>
  <c r="B12" i="83"/>
  <c r="G21" i="51"/>
  <c r="EG1" i="10"/>
  <c r="AN11" i="59"/>
  <c r="CM11" i="59" s="1"/>
  <c r="Z70" i="10"/>
  <c r="BD5" i="59"/>
  <c r="AM57" i="4"/>
  <c r="Z70" i="4"/>
  <c r="AJ95" i="74"/>
  <c r="C7" i="83"/>
  <c r="C8" i="83" s="1"/>
  <c r="BD6" i="59"/>
  <c r="AM57" i="5"/>
  <c r="EF39" i="18"/>
  <c r="EF38" i="42"/>
  <c r="EH39" i="37"/>
  <c r="EE39" i="37"/>
  <c r="EG38" i="37" s="1"/>
  <c r="DT42" i="43"/>
  <c r="ED42" i="43" s="1"/>
  <c r="DR43" i="43"/>
  <c r="DT40" i="39"/>
  <c r="ED40" i="39" s="1"/>
  <c r="DR41" i="39"/>
  <c r="DT41" i="44"/>
  <c r="ED41" i="44" s="1"/>
  <c r="DR42" i="44"/>
  <c r="DT42" i="35"/>
  <c r="ED42" i="35" s="1"/>
  <c r="DR43" i="35"/>
  <c r="DT41" i="36"/>
  <c r="ED41" i="36" s="1"/>
  <c r="DR42" i="36"/>
  <c r="EF38" i="37"/>
  <c r="EF38" i="39"/>
  <c r="EG37" i="42"/>
  <c r="DT43" i="41"/>
  <c r="ED43" i="41" s="1"/>
  <c r="DR44" i="41"/>
  <c r="EE41" i="43"/>
  <c r="EG40" i="43" s="1"/>
  <c r="EH41" i="43"/>
  <c r="EH39" i="39"/>
  <c r="EE39" i="39"/>
  <c r="EG38" i="39" s="1"/>
  <c r="EF38" i="45"/>
  <c r="EF39" i="40"/>
  <c r="EG38" i="40"/>
  <c r="EH40" i="44"/>
  <c r="EE40" i="44"/>
  <c r="EG39" i="44" s="1"/>
  <c r="EH41" i="35"/>
  <c r="EE41" i="35"/>
  <c r="EG40" i="35" s="1"/>
  <c r="EE40" i="36"/>
  <c r="EG39" i="36" s="1"/>
  <c r="EH40" i="36"/>
  <c r="EE42" i="41"/>
  <c r="EG41" i="41" s="1"/>
  <c r="EH42" i="41"/>
  <c r="DT41" i="18"/>
  <c r="ED41" i="18" s="1"/>
  <c r="DR42" i="18"/>
  <c r="DT40" i="42"/>
  <c r="ED40" i="42" s="1"/>
  <c r="DR41" i="42"/>
  <c r="EF40" i="35"/>
  <c r="EG39" i="35"/>
  <c r="EF39" i="36"/>
  <c r="DT40" i="45"/>
  <c r="ED40" i="45" s="1"/>
  <c r="DR41" i="45"/>
  <c r="DT41" i="40"/>
  <c r="ED41" i="40" s="1"/>
  <c r="DR42" i="40"/>
  <c r="DT41" i="38"/>
  <c r="ED41" i="38" s="1"/>
  <c r="DR42" i="38"/>
  <c r="EF40" i="43"/>
  <c r="EF41" i="41"/>
  <c r="EG38" i="18"/>
  <c r="DT40" i="37"/>
  <c r="ED40" i="37" s="1"/>
  <c r="DR41" i="37"/>
  <c r="EH40" i="18"/>
  <c r="EE40" i="18"/>
  <c r="EE39" i="42"/>
  <c r="EH39" i="42"/>
  <c r="EF39" i="44"/>
  <c r="EF39" i="38"/>
  <c r="EG38" i="36"/>
  <c r="EE39" i="45"/>
  <c r="EH39" i="45"/>
  <c r="EE40" i="40"/>
  <c r="EG39" i="40" s="1"/>
  <c r="EH40" i="40"/>
  <c r="EE40" i="38"/>
  <c r="EG39" i="38" s="1"/>
  <c r="EH40" i="38"/>
  <c r="EG38" i="38"/>
  <c r="H41" i="9" l="1"/>
  <c r="N41" i="9" s="1"/>
  <c r="R56" i="9"/>
  <c r="X56" i="9" s="1"/>
  <c r="R48" i="9"/>
  <c r="X48" i="9" s="1"/>
  <c r="R43" i="9"/>
  <c r="U43" i="9" s="1"/>
  <c r="X43" i="9" s="1"/>
  <c r="H42" i="9"/>
  <c r="N42" i="9" s="1"/>
  <c r="R52" i="9"/>
  <c r="X52" i="9" s="1"/>
  <c r="R57" i="9"/>
  <c r="X57" i="9" s="1"/>
  <c r="R50" i="9"/>
  <c r="X50" i="9" s="1"/>
  <c r="H48" i="9"/>
  <c r="N48" i="9" s="1"/>
  <c r="R45" i="9"/>
  <c r="X45" i="9" s="1"/>
  <c r="R54" i="9"/>
  <c r="X54" i="9" s="1"/>
  <c r="R42" i="9"/>
  <c r="X42" i="9" s="1"/>
  <c r="R41" i="9"/>
  <c r="X41" i="9" s="1"/>
  <c r="H48" i="7"/>
  <c r="N48" i="7" s="1"/>
  <c r="H42" i="7"/>
  <c r="N42" i="7" s="1"/>
  <c r="R41" i="7"/>
  <c r="X41" i="7" s="1"/>
  <c r="R57" i="7"/>
  <c r="X57" i="7" s="1"/>
  <c r="R56" i="7"/>
  <c r="X56" i="7" s="1"/>
  <c r="R54" i="7"/>
  <c r="X54" i="7" s="1"/>
  <c r="R52" i="7"/>
  <c r="X52" i="7" s="1"/>
  <c r="R50" i="7"/>
  <c r="X50" i="7" s="1"/>
  <c r="R48" i="7"/>
  <c r="X48" i="7" s="1"/>
  <c r="R45" i="7"/>
  <c r="X45" i="7" s="1"/>
  <c r="R43" i="7"/>
  <c r="U43" i="7" s="1"/>
  <c r="X43" i="7" s="1"/>
  <c r="R42" i="7"/>
  <c r="X42" i="7" s="1"/>
  <c r="H41" i="7"/>
  <c r="N41" i="7" s="1"/>
  <c r="H48" i="11"/>
  <c r="N48" i="11" s="1"/>
  <c r="R57" i="11"/>
  <c r="X57" i="11" s="1"/>
  <c r="R56" i="11"/>
  <c r="X56" i="11" s="1"/>
  <c r="R54" i="11"/>
  <c r="X54" i="11" s="1"/>
  <c r="R52" i="11"/>
  <c r="X52" i="11" s="1"/>
  <c r="R50" i="11"/>
  <c r="X50" i="11" s="1"/>
  <c r="R48" i="11"/>
  <c r="X48" i="11" s="1"/>
  <c r="R45" i="11"/>
  <c r="X45" i="11" s="1"/>
  <c r="R43" i="11"/>
  <c r="U43" i="11" s="1"/>
  <c r="X43" i="11" s="1"/>
  <c r="R42" i="11"/>
  <c r="X42" i="11" s="1"/>
  <c r="H42" i="11"/>
  <c r="N42" i="11" s="1"/>
  <c r="R41" i="11"/>
  <c r="X41" i="11" s="1"/>
  <c r="H41" i="11"/>
  <c r="N41" i="11" s="1"/>
  <c r="T15" i="59"/>
  <c r="AH93" i="15"/>
  <c r="B29" i="54" s="1"/>
  <c r="AJ96" i="74"/>
  <c r="GH13" i="34"/>
  <c r="AD137" i="14" s="1"/>
  <c r="DP20" i="13"/>
  <c r="CA68" i="13"/>
  <c r="B11" i="83"/>
  <c r="G43" i="75"/>
  <c r="G26" i="75"/>
  <c r="H26" i="75" s="1"/>
  <c r="R8" i="59"/>
  <c r="AQ17" i="7"/>
  <c r="AQ52" i="7" s="1"/>
  <c r="Q15" i="59"/>
  <c r="AQ16" i="14"/>
  <c r="AQ51" i="14" s="1"/>
  <c r="BI10" i="59"/>
  <c r="AH92" i="15"/>
  <c r="B28" i="54"/>
  <c r="S16" i="59"/>
  <c r="EG1" i="9"/>
  <c r="E13" i="28"/>
  <c r="AN10" i="59"/>
  <c r="CM10" i="59" s="1"/>
  <c r="Z70" i="9"/>
  <c r="H21" i="51"/>
  <c r="C21" i="51"/>
  <c r="C8" i="51"/>
  <c r="AN8" i="59"/>
  <c r="CM8" i="59" s="1"/>
  <c r="B9" i="83"/>
  <c r="C9" i="83" s="1"/>
  <c r="C10" i="83" s="1"/>
  <c r="EG1" i="7"/>
  <c r="Z70" i="7"/>
  <c r="B16" i="28"/>
  <c r="L7" i="51"/>
  <c r="J35" i="83"/>
  <c r="EG2" i="10"/>
  <c r="EG2" i="11"/>
  <c r="AM55" i="11" s="1"/>
  <c r="BH12" i="59"/>
  <c r="DK28" i="12"/>
  <c r="DK29" i="12" s="1"/>
  <c r="BZ68" i="12" s="1"/>
  <c r="CN13" i="59"/>
  <c r="N61" i="10"/>
  <c r="X61" i="10"/>
  <c r="H6" i="51"/>
  <c r="J34" i="83"/>
  <c r="EG2" i="9"/>
  <c r="AM55" i="9" s="1"/>
  <c r="T35" i="12"/>
  <c r="M30" i="51"/>
  <c r="B13" i="59"/>
  <c r="B13" i="85" s="1"/>
  <c r="F13" i="85" s="1"/>
  <c r="EG1" i="11"/>
  <c r="B13" i="83"/>
  <c r="E15" i="28"/>
  <c r="AN12" i="59"/>
  <c r="CM12" i="59" s="1"/>
  <c r="B21" i="51"/>
  <c r="Z70" i="11"/>
  <c r="G99" i="14"/>
  <c r="T28" i="14" s="1"/>
  <c r="BD11" i="59"/>
  <c r="AM57" i="10"/>
  <c r="X61" i="4"/>
  <c r="N61" i="4"/>
  <c r="Q76" i="4" s="1"/>
  <c r="X61" i="5"/>
  <c r="N61" i="5"/>
  <c r="Q76" i="5" s="1"/>
  <c r="AJ89" i="74"/>
  <c r="AM80" i="74" s="1"/>
  <c r="AM82" i="74" s="1"/>
  <c r="EF39" i="42"/>
  <c r="EE40" i="37"/>
  <c r="EG39" i="37" s="1"/>
  <c r="EH40" i="37"/>
  <c r="EE41" i="18"/>
  <c r="EG40" i="18" s="1"/>
  <c r="EH41" i="18"/>
  <c r="EF40" i="38"/>
  <c r="EF39" i="45"/>
  <c r="EF40" i="18"/>
  <c r="EE41" i="40"/>
  <c r="EG40" i="40" s="1"/>
  <c r="EH41" i="40"/>
  <c r="DT41" i="42"/>
  <c r="ED41" i="42" s="1"/>
  <c r="DR42" i="42"/>
  <c r="EF41" i="35"/>
  <c r="EF41" i="43"/>
  <c r="DT42" i="36"/>
  <c r="ED42" i="36" s="1"/>
  <c r="DR43" i="36"/>
  <c r="DT42" i="44"/>
  <c r="ED42" i="44" s="1"/>
  <c r="DR43" i="44"/>
  <c r="DT43" i="43"/>
  <c r="ED43" i="43" s="1"/>
  <c r="DR44" i="43"/>
  <c r="EG38" i="42"/>
  <c r="DT42" i="38"/>
  <c r="ED42" i="38" s="1"/>
  <c r="DR43" i="38"/>
  <c r="EF42" i="41"/>
  <c r="DT44" i="41"/>
  <c r="ED44" i="41" s="1"/>
  <c r="DR45" i="41"/>
  <c r="EH41" i="36"/>
  <c r="EE41" i="36"/>
  <c r="EG40" i="36" s="1"/>
  <c r="EE41" i="44"/>
  <c r="EG40" i="44" s="1"/>
  <c r="EH41" i="44"/>
  <c r="EE42" i="43"/>
  <c r="EG41" i="43" s="1"/>
  <c r="EH42" i="43"/>
  <c r="DT41" i="45"/>
  <c r="ED41" i="45" s="1"/>
  <c r="DR42" i="45"/>
  <c r="EH40" i="42"/>
  <c r="EE40" i="42"/>
  <c r="EF39" i="39"/>
  <c r="EF40" i="40"/>
  <c r="DT41" i="37"/>
  <c r="ED41" i="37" s="1"/>
  <c r="DR42" i="37"/>
  <c r="EH41" i="38"/>
  <c r="EE41" i="38"/>
  <c r="EG40" i="38" s="1"/>
  <c r="EE40" i="45"/>
  <c r="EH40" i="45"/>
  <c r="DT42" i="18"/>
  <c r="ED42" i="18" s="1"/>
  <c r="DR43" i="18"/>
  <c r="EF40" i="44"/>
  <c r="EH43" i="41"/>
  <c r="EE43" i="41"/>
  <c r="EG42" i="41" s="1"/>
  <c r="DT43" i="35"/>
  <c r="ED43" i="35" s="1"/>
  <c r="DR44" i="35"/>
  <c r="DT41" i="39"/>
  <c r="ED41" i="39" s="1"/>
  <c r="DR42" i="39"/>
  <c r="EF39" i="37"/>
  <c r="DT42" i="40"/>
  <c r="ED42" i="40" s="1"/>
  <c r="DR43" i="40"/>
  <c r="EF40" i="36"/>
  <c r="EG38" i="45"/>
  <c r="EE42" i="35"/>
  <c r="EH42" i="35"/>
  <c r="EH40" i="39"/>
  <c r="EE40" i="39"/>
  <c r="EG39" i="18"/>
  <c r="R57" i="12" l="1"/>
  <c r="X57" i="12" s="1"/>
  <c r="R56" i="12"/>
  <c r="X56" i="12" s="1"/>
  <c r="R54" i="12"/>
  <c r="X54" i="12" s="1"/>
  <c r="R52" i="12"/>
  <c r="X52" i="12" s="1"/>
  <c r="R50" i="12"/>
  <c r="X50" i="12" s="1"/>
  <c r="R48" i="12"/>
  <c r="X48" i="12" s="1"/>
  <c r="R41" i="12"/>
  <c r="X41" i="12" s="1"/>
  <c r="H42" i="12"/>
  <c r="N42" i="12" s="1"/>
  <c r="H41" i="12"/>
  <c r="N41" i="12" s="1"/>
  <c r="H48" i="12"/>
  <c r="N48" i="12" s="1"/>
  <c r="R45" i="12"/>
  <c r="X45" i="12" s="1"/>
  <c r="R42" i="12"/>
  <c r="X42" i="12" s="1"/>
  <c r="R43" i="12"/>
  <c r="U43" i="12" s="1"/>
  <c r="X43" i="12" s="1"/>
  <c r="T16" i="59"/>
  <c r="T31" i="14"/>
  <c r="CC71" i="14" s="1"/>
  <c r="BZ73" i="14" s="1"/>
  <c r="BZ75" i="14" s="1"/>
  <c r="CW15" i="59"/>
  <c r="O145" i="76" s="1"/>
  <c r="G31" i="75" s="1"/>
  <c r="DP20" i="14"/>
  <c r="M21" i="51"/>
  <c r="C11" i="83"/>
  <c r="C12" i="83" s="1"/>
  <c r="O121" i="76"/>
  <c r="O133" i="76"/>
  <c r="G27" i="75" s="1"/>
  <c r="Q16" i="59"/>
  <c r="AQ16" i="15"/>
  <c r="AQ51" i="15" s="1"/>
  <c r="BE11" i="59"/>
  <c r="AM55" i="10"/>
  <c r="C13" i="83"/>
  <c r="BD10" i="59"/>
  <c r="AM57" i="9"/>
  <c r="X61" i="9"/>
  <c r="N61" i="9"/>
  <c r="Q76" i="9" s="1"/>
  <c r="F11" i="83" s="1"/>
  <c r="AM57" i="7"/>
  <c r="BD8" i="59"/>
  <c r="N61" i="7"/>
  <c r="N62" i="7" s="1"/>
  <c r="X61" i="7"/>
  <c r="J36" i="83"/>
  <c r="BC11" i="59"/>
  <c r="B6" i="51"/>
  <c r="BH13" i="59"/>
  <c r="EG2" i="12"/>
  <c r="AM55" i="12" s="1"/>
  <c r="DK28" i="13"/>
  <c r="DK29" i="13" s="1"/>
  <c r="BZ68" i="13" s="1"/>
  <c r="CN14" i="59"/>
  <c r="N61" i="11"/>
  <c r="X61" i="11"/>
  <c r="Q76" i="10"/>
  <c r="F12" i="83" s="1"/>
  <c r="E74" i="10"/>
  <c r="D35" i="83" s="1"/>
  <c r="N62" i="10"/>
  <c r="BC12" i="59"/>
  <c r="BE12" i="59"/>
  <c r="BC10" i="59"/>
  <c r="BE10" i="59"/>
  <c r="T35" i="13"/>
  <c r="B14" i="59"/>
  <c r="B14" i="85" s="1"/>
  <c r="F14" i="85" s="1"/>
  <c r="L30" i="51"/>
  <c r="G99" i="15"/>
  <c r="T28" i="15" s="1"/>
  <c r="AM57" i="11"/>
  <c r="BD12" i="59"/>
  <c r="EG1" i="12"/>
  <c r="AN13" i="59"/>
  <c r="CM13" i="59" s="1"/>
  <c r="E16" i="28"/>
  <c r="B14" i="83"/>
  <c r="Z70" i="12"/>
  <c r="N62" i="4"/>
  <c r="E74" i="4"/>
  <c r="H74" i="4" s="1"/>
  <c r="F6" i="83"/>
  <c r="G6" i="83" s="1"/>
  <c r="E74" i="5"/>
  <c r="B7" i="16" s="1"/>
  <c r="N62" i="5"/>
  <c r="F7" i="83"/>
  <c r="AM95" i="74"/>
  <c r="DT44" i="35"/>
  <c r="ED44" i="35" s="1"/>
  <c r="DR45" i="35"/>
  <c r="EH43" i="35"/>
  <c r="EE43" i="35"/>
  <c r="EG42" i="35" s="1"/>
  <c r="EF40" i="45"/>
  <c r="EH41" i="37"/>
  <c r="EE41" i="37"/>
  <c r="EG40" i="37" s="1"/>
  <c r="EH41" i="45"/>
  <c r="EE41" i="45"/>
  <c r="EF41" i="44"/>
  <c r="EE44" i="41"/>
  <c r="EG43" i="41" s="1"/>
  <c r="EH44" i="41"/>
  <c r="EE42" i="38"/>
  <c r="EG41" i="38" s="1"/>
  <c r="EH42" i="38"/>
  <c r="DT43" i="44"/>
  <c r="ED43" i="44" s="1"/>
  <c r="DR44" i="44"/>
  <c r="DT42" i="42"/>
  <c r="ED42" i="42" s="1"/>
  <c r="DR43" i="42"/>
  <c r="EF42" i="35"/>
  <c r="DT42" i="39"/>
  <c r="ED42" i="39" s="1"/>
  <c r="DR43" i="39"/>
  <c r="DT43" i="18"/>
  <c r="ED43" i="18" s="1"/>
  <c r="DR44" i="18"/>
  <c r="EF41" i="38"/>
  <c r="EF40" i="42"/>
  <c r="EF41" i="36"/>
  <c r="EE42" i="44"/>
  <c r="EG41" i="44" s="1"/>
  <c r="EH42" i="44"/>
  <c r="EE41" i="42"/>
  <c r="EH41" i="42"/>
  <c r="EF40" i="37"/>
  <c r="DT43" i="40"/>
  <c r="ED43" i="40" s="1"/>
  <c r="DR44" i="40"/>
  <c r="EF43" i="41"/>
  <c r="EF40" i="39"/>
  <c r="EE42" i="40"/>
  <c r="EG41" i="40" s="1"/>
  <c r="EH42" i="40"/>
  <c r="EH41" i="39"/>
  <c r="EE41" i="39"/>
  <c r="EH42" i="18"/>
  <c r="EE42" i="18"/>
  <c r="EG41" i="18" s="1"/>
  <c r="EF42" i="43"/>
  <c r="DT44" i="43"/>
  <c r="ED44" i="43" s="1"/>
  <c r="DR45" i="43"/>
  <c r="DT43" i="36"/>
  <c r="ED43" i="36" s="1"/>
  <c r="DR44" i="36"/>
  <c r="EG39" i="45"/>
  <c r="DT42" i="37"/>
  <c r="ED42" i="37" s="1"/>
  <c r="DR43" i="37"/>
  <c r="EG39" i="39"/>
  <c r="DT42" i="45"/>
  <c r="ED42" i="45" s="1"/>
  <c r="DR43" i="45"/>
  <c r="DT45" i="41"/>
  <c r="ED45" i="41" s="1"/>
  <c r="DR46" i="41"/>
  <c r="DT43" i="38"/>
  <c r="ED43" i="38" s="1"/>
  <c r="DR44" i="38"/>
  <c r="EE43" i="43"/>
  <c r="EG42" i="43" s="1"/>
  <c r="EH43" i="43"/>
  <c r="EE42" i="36"/>
  <c r="EG41" i="36" s="1"/>
  <c r="EH42" i="36"/>
  <c r="EG41" i="35"/>
  <c r="EF41" i="40"/>
  <c r="EF41" i="18"/>
  <c r="EG39" i="42"/>
  <c r="CA68" i="14" l="1"/>
  <c r="K30" i="51" s="1"/>
  <c r="H41" i="13"/>
  <c r="N41" i="13" s="1"/>
  <c r="R54" i="13"/>
  <c r="X54" i="13" s="1"/>
  <c r="R56" i="13"/>
  <c r="X56" i="13" s="1"/>
  <c r="R48" i="13"/>
  <c r="X48" i="13" s="1"/>
  <c r="R42" i="13"/>
  <c r="X42" i="13" s="1"/>
  <c r="R43" i="13"/>
  <c r="U43" i="13" s="1"/>
  <c r="X43" i="13" s="1"/>
  <c r="R50" i="13"/>
  <c r="X50" i="13" s="1"/>
  <c r="R52" i="13"/>
  <c r="X52" i="13" s="1"/>
  <c r="R41" i="13"/>
  <c r="X41" i="13" s="1"/>
  <c r="H48" i="13"/>
  <c r="N48" i="13" s="1"/>
  <c r="R45" i="13"/>
  <c r="X45" i="13" s="1"/>
  <c r="R57" i="13"/>
  <c r="X57" i="13" s="1"/>
  <c r="H42" i="13"/>
  <c r="N42" i="13" s="1"/>
  <c r="G17" i="75"/>
  <c r="G10" i="75" s="1"/>
  <c r="H27" i="75"/>
  <c r="H28" i="75" s="1"/>
  <c r="H29" i="75" s="1"/>
  <c r="H30" i="75" s="1"/>
  <c r="H31" i="75" s="1"/>
  <c r="H32" i="75" s="1"/>
  <c r="H33" i="75" s="1"/>
  <c r="H34" i="75" s="1"/>
  <c r="H35" i="75" s="1"/>
  <c r="H36" i="75" s="1"/>
  <c r="H37" i="75" s="1"/>
  <c r="H38" i="75" s="1"/>
  <c r="H39" i="75" s="1"/>
  <c r="H40" i="75" s="1"/>
  <c r="H41" i="75" s="1"/>
  <c r="H42" i="75" s="1"/>
  <c r="H43" i="75" s="1"/>
  <c r="H44" i="75" s="1"/>
  <c r="H45" i="75" s="1"/>
  <c r="H46" i="75" s="1"/>
  <c r="H47" i="75" s="1"/>
  <c r="H48" i="75" s="1"/>
  <c r="H49" i="75" s="1"/>
  <c r="H50" i="75" s="1"/>
  <c r="H51" i="75" s="1"/>
  <c r="H52" i="75" s="1"/>
  <c r="H53" i="75" s="1"/>
  <c r="H54" i="75" s="1"/>
  <c r="H55" i="75" s="1"/>
  <c r="H56" i="75" s="1"/>
  <c r="H57" i="75" s="1"/>
  <c r="H58" i="75" s="1"/>
  <c r="H59" i="75" s="1"/>
  <c r="H60" i="75" s="1"/>
  <c r="H61" i="75" s="1"/>
  <c r="H62" i="75" s="1"/>
  <c r="H63" i="75" s="1"/>
  <c r="H64" i="75" s="1"/>
  <c r="H65" i="75" s="1"/>
  <c r="H66" i="75" s="1"/>
  <c r="H67" i="75" s="1"/>
  <c r="H68" i="75" s="1"/>
  <c r="H69" i="75" s="1"/>
  <c r="H70" i="75" s="1"/>
  <c r="H71" i="75" s="1"/>
  <c r="H72" i="75" s="1"/>
  <c r="H73" i="75" s="1"/>
  <c r="H74" i="75" s="1"/>
  <c r="H75" i="75" s="1"/>
  <c r="H76" i="75" s="1"/>
  <c r="H77" i="75" s="1"/>
  <c r="H78" i="75" s="1"/>
  <c r="H79" i="75" s="1"/>
  <c r="H80" i="75" s="1"/>
  <c r="H81" i="75" s="1"/>
  <c r="H82" i="75" s="1"/>
  <c r="H83" i="75" s="1"/>
  <c r="H84" i="75" s="1"/>
  <c r="H85" i="75" s="1"/>
  <c r="H86" i="75" s="1"/>
  <c r="H87" i="75" s="1"/>
  <c r="H88" i="75" s="1"/>
  <c r="H89" i="75" s="1"/>
  <c r="H90" i="75" s="1"/>
  <c r="H91" i="75" s="1"/>
  <c r="H92" i="75" s="1"/>
  <c r="H93" i="75" s="1"/>
  <c r="H94" i="75" s="1"/>
  <c r="H95" i="75" s="1"/>
  <c r="H96" i="75" s="1"/>
  <c r="H97" i="75" s="1"/>
  <c r="H98" i="75" s="1"/>
  <c r="H99" i="75" s="1"/>
  <c r="H100" i="75" s="1"/>
  <c r="H101" i="75" s="1"/>
  <c r="H102" i="75" s="1"/>
  <c r="H103" i="75" s="1"/>
  <c r="H104" i="75" s="1"/>
  <c r="H105" i="75" s="1"/>
  <c r="H106" i="75" s="1"/>
  <c r="H107" i="75" s="1"/>
  <c r="H108" i="75" s="1"/>
  <c r="H109" i="75" s="1"/>
  <c r="H110" i="75" s="1"/>
  <c r="H111" i="75" s="1"/>
  <c r="H112" i="75" s="1"/>
  <c r="H113" i="75" s="1"/>
  <c r="H114" i="75" s="1"/>
  <c r="H115" i="75" s="1"/>
  <c r="H116" i="75" s="1"/>
  <c r="AM96" i="74"/>
  <c r="GH14" i="34"/>
  <c r="AD137" i="15" s="1"/>
  <c r="C14" i="83"/>
  <c r="X61" i="12"/>
  <c r="E74" i="9"/>
  <c r="B11" i="16" s="1"/>
  <c r="J11" i="16" s="1"/>
  <c r="C9" i="52" s="1"/>
  <c r="N62" i="9"/>
  <c r="Q74" i="9" s="1"/>
  <c r="L11" i="83" s="1"/>
  <c r="E74" i="7"/>
  <c r="D32" i="83" s="1"/>
  <c r="Q76" i="7"/>
  <c r="F9" i="83" s="1"/>
  <c r="K7" i="51"/>
  <c r="M6" i="51"/>
  <c r="J37" i="83"/>
  <c r="DK25" i="7"/>
  <c r="DK31" i="7" s="1"/>
  <c r="DK32" i="7" s="1"/>
  <c r="D9" i="83"/>
  <c r="Q74" i="7"/>
  <c r="L9" i="83" s="1"/>
  <c r="AC8" i="59"/>
  <c r="BH14" i="59"/>
  <c r="DK28" i="14"/>
  <c r="DK29" i="14" s="1"/>
  <c r="BZ68" i="14" s="1"/>
  <c r="CN15" i="59"/>
  <c r="AC6" i="59"/>
  <c r="Q74" i="5"/>
  <c r="L7" i="83" s="1"/>
  <c r="DK25" i="10"/>
  <c r="Q74" i="10"/>
  <c r="L12" i="83" s="1"/>
  <c r="DK25" i="4"/>
  <c r="Q74" i="4"/>
  <c r="L6" i="83" s="1"/>
  <c r="B12" i="16"/>
  <c r="J12" i="16" s="1"/>
  <c r="C10" i="52" s="1"/>
  <c r="AC11" i="59"/>
  <c r="D12" i="83"/>
  <c r="BC13" i="59"/>
  <c r="BE13" i="59"/>
  <c r="L6" i="51"/>
  <c r="J38" i="83"/>
  <c r="EG2" i="13"/>
  <c r="AM55" i="13" s="1"/>
  <c r="Q76" i="11"/>
  <c r="F13" i="83" s="1"/>
  <c r="E74" i="11"/>
  <c r="N62" i="11"/>
  <c r="Q74" i="11" s="1"/>
  <c r="L13" i="83" s="1"/>
  <c r="N61" i="12"/>
  <c r="B15" i="59"/>
  <c r="B15" i="85" s="1"/>
  <c r="F15" i="85" s="1"/>
  <c r="T35" i="14"/>
  <c r="E17" i="28"/>
  <c r="EG1" i="13"/>
  <c r="B15" i="83"/>
  <c r="AN14" i="59"/>
  <c r="CM14" i="59" s="1"/>
  <c r="Z70" i="13"/>
  <c r="L21" i="51"/>
  <c r="AM57" i="12"/>
  <c r="BD13" i="59"/>
  <c r="DK25" i="5"/>
  <c r="D7" i="83"/>
  <c r="D30" i="83"/>
  <c r="D6" i="83"/>
  <c r="E6" i="83" s="1"/>
  <c r="AC5" i="59"/>
  <c r="D29" i="83"/>
  <c r="E29" i="83" s="1"/>
  <c r="H74" i="5"/>
  <c r="H74" i="6" s="1"/>
  <c r="B6" i="16"/>
  <c r="J6" i="16" s="1"/>
  <c r="C4" i="52" s="1"/>
  <c r="AM89" i="74"/>
  <c r="B33" i="54" s="1"/>
  <c r="G7" i="83"/>
  <c r="G8" i="83" s="1"/>
  <c r="J7" i="16"/>
  <c r="DT44" i="36"/>
  <c r="ED44" i="36" s="1"/>
  <c r="DR45" i="36"/>
  <c r="EF41" i="39"/>
  <c r="DT44" i="40"/>
  <c r="ED44" i="40" s="1"/>
  <c r="DR45" i="40"/>
  <c r="DT43" i="39"/>
  <c r="ED43" i="39" s="1"/>
  <c r="DR44" i="39"/>
  <c r="DT43" i="42"/>
  <c r="ED43" i="42" s="1"/>
  <c r="DR44" i="42"/>
  <c r="EF41" i="37"/>
  <c r="EF43" i="35"/>
  <c r="DT46" i="41"/>
  <c r="ED46" i="41" s="1"/>
  <c r="DR47" i="41"/>
  <c r="EF43" i="43"/>
  <c r="EE45" i="41"/>
  <c r="EG44" i="41" s="1"/>
  <c r="EH45" i="41"/>
  <c r="DT43" i="37"/>
  <c r="ED43" i="37" s="1"/>
  <c r="DR44" i="37"/>
  <c r="EE43" i="36"/>
  <c r="EG42" i="36" s="1"/>
  <c r="EH43" i="36"/>
  <c r="EG40" i="39"/>
  <c r="EE43" i="40"/>
  <c r="EG42" i="40" s="1"/>
  <c r="EH43" i="40"/>
  <c r="EF41" i="42"/>
  <c r="EH42" i="39"/>
  <c r="EE42" i="39"/>
  <c r="EG41" i="39" s="1"/>
  <c r="EE42" i="42"/>
  <c r="EH42" i="42"/>
  <c r="EF42" i="38"/>
  <c r="DT43" i="45"/>
  <c r="ED43" i="45" s="1"/>
  <c r="DR44" i="45"/>
  <c r="DT45" i="43"/>
  <c r="ED45" i="43" s="1"/>
  <c r="DR46" i="43"/>
  <c r="EF42" i="18"/>
  <c r="DT44" i="18"/>
  <c r="ED44" i="18" s="1"/>
  <c r="DR45" i="18"/>
  <c r="DT44" i="44"/>
  <c r="ED44" i="44" s="1"/>
  <c r="DR45" i="44"/>
  <c r="EF41" i="45"/>
  <c r="EG40" i="45"/>
  <c r="DT45" i="35"/>
  <c r="ED45" i="35" s="1"/>
  <c r="DR46" i="35"/>
  <c r="DT44" i="38"/>
  <c r="ED44" i="38" s="1"/>
  <c r="DR45" i="38"/>
  <c r="EE42" i="37"/>
  <c r="EG41" i="37" s="1"/>
  <c r="EH42" i="37"/>
  <c r="EF42" i="36"/>
  <c r="EH43" i="38"/>
  <c r="EE43" i="38"/>
  <c r="EG42" i="38" s="1"/>
  <c r="EE42" i="45"/>
  <c r="EH42" i="45"/>
  <c r="EE44" i="43"/>
  <c r="EH44" i="43"/>
  <c r="EF42" i="40"/>
  <c r="EF42" i="44"/>
  <c r="EG40" i="42"/>
  <c r="EE43" i="18"/>
  <c r="EH43" i="18"/>
  <c r="EH43" i="44"/>
  <c r="EE43" i="44"/>
  <c r="EF44" i="41"/>
  <c r="EH44" i="35"/>
  <c r="EE44" i="35"/>
  <c r="H10" i="75" l="1"/>
  <c r="E11" i="75"/>
  <c r="H48" i="14"/>
  <c r="N48" i="14" s="1"/>
  <c r="R57" i="14"/>
  <c r="X57" i="14" s="1"/>
  <c r="R50" i="14"/>
  <c r="X50" i="14" s="1"/>
  <c r="H41" i="14"/>
  <c r="N41" i="14" s="1"/>
  <c r="R52" i="14"/>
  <c r="X52" i="14" s="1"/>
  <c r="H42" i="14"/>
  <c r="N42" i="14" s="1"/>
  <c r="R41" i="14"/>
  <c r="X41" i="14" s="1"/>
  <c r="R45" i="14"/>
  <c r="X45" i="14" s="1"/>
  <c r="R42" i="14"/>
  <c r="X42" i="14" s="1"/>
  <c r="R54" i="14"/>
  <c r="X54" i="14" s="1"/>
  <c r="R56" i="14"/>
  <c r="X56" i="14" s="1"/>
  <c r="R48" i="14"/>
  <c r="X48" i="14" s="1"/>
  <c r="R43" i="14"/>
  <c r="U43" i="14" s="1"/>
  <c r="X43" i="14" s="1"/>
  <c r="T31" i="15"/>
  <c r="DP20" i="15" s="1"/>
  <c r="B16" i="59" s="1"/>
  <c r="B16" i="85" s="1"/>
  <c r="F16" i="85" s="1"/>
  <c r="CW16" i="59"/>
  <c r="O146" i="76" s="1"/>
  <c r="C15" i="83"/>
  <c r="O122" i="76"/>
  <c r="O134" i="76"/>
  <c r="DK31" i="5"/>
  <c r="DK32" i="5" s="1"/>
  <c r="BZ86" i="10"/>
  <c r="G12" i="51" s="1"/>
  <c r="G23" i="51" s="1"/>
  <c r="DK31" i="10"/>
  <c r="DK32" i="10" s="1"/>
  <c r="DK33" i="10" s="1"/>
  <c r="C24" i="51"/>
  <c r="DK35" i="7"/>
  <c r="DK31" i="4"/>
  <c r="DK32" i="4" s="1"/>
  <c r="AC10" i="59"/>
  <c r="DK25" i="9"/>
  <c r="D11" i="83"/>
  <c r="D34" i="83"/>
  <c r="H74" i="7"/>
  <c r="H74" i="8" s="1"/>
  <c r="H74" i="9" s="1"/>
  <c r="H74" i="10" s="1"/>
  <c r="H74" i="11" s="1"/>
  <c r="B9" i="16"/>
  <c r="J9" i="16" s="1"/>
  <c r="C7" i="52" s="1"/>
  <c r="K6" i="51"/>
  <c r="DK30" i="10"/>
  <c r="DK34" i="10" s="1"/>
  <c r="BH15" i="59"/>
  <c r="G9" i="83"/>
  <c r="G10" i="83" s="1"/>
  <c r="G11" i="83" s="1"/>
  <c r="G12" i="83" s="1"/>
  <c r="G13" i="83" s="1"/>
  <c r="DK33" i="7"/>
  <c r="DK30" i="7"/>
  <c r="DK34" i="7" s="1"/>
  <c r="BZ86" i="7"/>
  <c r="C12" i="51" s="1"/>
  <c r="C23" i="51" s="1"/>
  <c r="BZ86" i="4"/>
  <c r="F12" i="51" s="1"/>
  <c r="B31" i="50" s="1"/>
  <c r="EG2" i="14"/>
  <c r="DK30" i="4"/>
  <c r="DK34" i="4" s="1"/>
  <c r="DK30" i="5"/>
  <c r="DK34" i="5" s="1"/>
  <c r="E30" i="83"/>
  <c r="E31" i="83" s="1"/>
  <c r="E32" i="83" s="1"/>
  <c r="E33" i="83" s="1"/>
  <c r="BZ86" i="5"/>
  <c r="E12" i="51" s="1"/>
  <c r="E23" i="51" s="1"/>
  <c r="X61" i="13"/>
  <c r="BC14" i="59"/>
  <c r="BE14" i="59"/>
  <c r="N61" i="13"/>
  <c r="B16" i="83"/>
  <c r="C16" i="83" s="1"/>
  <c r="AN15" i="59"/>
  <c r="CM15" i="59" s="1"/>
  <c r="K21" i="51"/>
  <c r="E18" i="28"/>
  <c r="EG1" i="14"/>
  <c r="D13" i="83"/>
  <c r="DK25" i="11"/>
  <c r="DK31" i="11" s="1"/>
  <c r="DK32" i="11" s="1"/>
  <c r="AC12" i="59"/>
  <c r="Z70" i="14"/>
  <c r="D36" i="83"/>
  <c r="B13" i="16"/>
  <c r="J13" i="16" s="1"/>
  <c r="C11" i="52" s="1"/>
  <c r="N62" i="12"/>
  <c r="Q74" i="12" s="1"/>
  <c r="L14" i="83" s="1"/>
  <c r="Q76" i="12"/>
  <c r="F14" i="83" s="1"/>
  <c r="E74" i="12"/>
  <c r="AM57" i="13"/>
  <c r="BD14" i="59"/>
  <c r="E7" i="83"/>
  <c r="E8" i="83" s="1"/>
  <c r="E9" i="83" s="1"/>
  <c r="E10" i="83" s="1"/>
  <c r="C5" i="52"/>
  <c r="EF44" i="35"/>
  <c r="EF43" i="18"/>
  <c r="DT45" i="38"/>
  <c r="ED45" i="38" s="1"/>
  <c r="DR46" i="38"/>
  <c r="EE44" i="44"/>
  <c r="EH44" i="44"/>
  <c r="EG42" i="18"/>
  <c r="EH43" i="45"/>
  <c r="EE43" i="45"/>
  <c r="EG42" i="45" s="1"/>
  <c r="EF42" i="42"/>
  <c r="EG41" i="42"/>
  <c r="DT47" i="41"/>
  <c r="ED47" i="41" s="1"/>
  <c r="DR48" i="41"/>
  <c r="DT44" i="39"/>
  <c r="ED44" i="39" s="1"/>
  <c r="DR45" i="39"/>
  <c r="EF42" i="45"/>
  <c r="EE44" i="38"/>
  <c r="EG43" i="38" s="1"/>
  <c r="EH44" i="38"/>
  <c r="EG41" i="45"/>
  <c r="DT45" i="18"/>
  <c r="ED45" i="18" s="1"/>
  <c r="DR46" i="18"/>
  <c r="DT46" i="43"/>
  <c r="ED46" i="43" s="1"/>
  <c r="DR47" i="43"/>
  <c r="EF42" i="39"/>
  <c r="EF43" i="36"/>
  <c r="EF45" i="41"/>
  <c r="EE46" i="41"/>
  <c r="EG45" i="41" s="1"/>
  <c r="EH46" i="41"/>
  <c r="EE43" i="39"/>
  <c r="EH43" i="39"/>
  <c r="EF43" i="38"/>
  <c r="DT46" i="35"/>
  <c r="ED46" i="35" s="1"/>
  <c r="DR47" i="35"/>
  <c r="EE44" i="18"/>
  <c r="EG43" i="18" s="1"/>
  <c r="EH44" i="18"/>
  <c r="EE45" i="43"/>
  <c r="EG44" i="43" s="1"/>
  <c r="EH45" i="43"/>
  <c r="EF43" i="40"/>
  <c r="DT44" i="37"/>
  <c r="ED44" i="37" s="1"/>
  <c r="DR45" i="37"/>
  <c r="EG43" i="35"/>
  <c r="DT44" i="42"/>
  <c r="ED44" i="42" s="1"/>
  <c r="DR45" i="42"/>
  <c r="DT45" i="40"/>
  <c r="ED45" i="40" s="1"/>
  <c r="DR46" i="40"/>
  <c r="DT45" i="36"/>
  <c r="ED45" i="36" s="1"/>
  <c r="DR46" i="36"/>
  <c r="EF43" i="44"/>
  <c r="EG43" i="44"/>
  <c r="EG42" i="44"/>
  <c r="EF44" i="43"/>
  <c r="EF42" i="37"/>
  <c r="EH45" i="35"/>
  <c r="EE45" i="35"/>
  <c r="EG44" i="35" s="1"/>
  <c r="DT45" i="44"/>
  <c r="ED45" i="44" s="1"/>
  <c r="DR46" i="44"/>
  <c r="DT44" i="45"/>
  <c r="ED44" i="45" s="1"/>
  <c r="DR45" i="45"/>
  <c r="EE43" i="37"/>
  <c r="EG42" i="37" s="1"/>
  <c r="EH43" i="37"/>
  <c r="EG43" i="43"/>
  <c r="EH43" i="42"/>
  <c r="EE43" i="42"/>
  <c r="EE44" i="40"/>
  <c r="EH44" i="40"/>
  <c r="EE44" i="36"/>
  <c r="EH44" i="36"/>
  <c r="T35" i="15" l="1"/>
  <c r="DK28" i="15"/>
  <c r="CC71" i="15"/>
  <c r="BZ73" i="15" s="1"/>
  <c r="BZ75" i="15" s="1"/>
  <c r="D7" i="51" s="1"/>
  <c r="CA68" i="15"/>
  <c r="D30" i="51" s="1"/>
  <c r="CN16" i="59"/>
  <c r="BE15" i="59"/>
  <c r="AM55" i="14"/>
  <c r="DK36" i="7"/>
  <c r="AL77" i="7" s="1"/>
  <c r="Q78" i="7" s="1"/>
  <c r="C25" i="51" s="1"/>
  <c r="C26" i="51" s="1"/>
  <c r="C29" i="51" s="1"/>
  <c r="G14" i="83"/>
  <c r="DK35" i="4"/>
  <c r="DK36" i="4" s="1"/>
  <c r="AL77" i="4" s="1"/>
  <c r="Q78" i="4" s="1"/>
  <c r="H6" i="83" s="1"/>
  <c r="I6" i="83" s="1"/>
  <c r="F24" i="51"/>
  <c r="B58" i="50" s="1"/>
  <c r="DK35" i="5"/>
  <c r="DK36" i="5" s="1"/>
  <c r="AL77" i="5" s="1"/>
  <c r="Q78" i="5" s="1"/>
  <c r="E24" i="51"/>
  <c r="DK33" i="4"/>
  <c r="DK33" i="5"/>
  <c r="DK35" i="11"/>
  <c r="B24" i="51"/>
  <c r="DK31" i="9"/>
  <c r="DK32" i="9" s="1"/>
  <c r="DK33" i="9" s="1"/>
  <c r="DK35" i="10"/>
  <c r="DK36" i="10" s="1"/>
  <c r="AL77" i="10" s="1"/>
  <c r="Q78" i="10" s="1"/>
  <c r="G24" i="51"/>
  <c r="DK30" i="9"/>
  <c r="DK34" i="9" s="1"/>
  <c r="BZ86" i="9"/>
  <c r="H12" i="51" s="1"/>
  <c r="H23" i="51" s="1"/>
  <c r="E11" i="83"/>
  <c r="E12" i="83" s="1"/>
  <c r="E13" i="83" s="1"/>
  <c r="E34" i="83"/>
  <c r="E35" i="83" s="1"/>
  <c r="E36" i="83" s="1"/>
  <c r="D21" i="51"/>
  <c r="J39" i="83"/>
  <c r="BC15" i="59"/>
  <c r="F23" i="51"/>
  <c r="B56" i="50" s="1"/>
  <c r="H74" i="12"/>
  <c r="N61" i="14"/>
  <c r="B14" i="16"/>
  <c r="J14" i="16" s="1"/>
  <c r="C12" i="52" s="1"/>
  <c r="D37" i="83"/>
  <c r="BD15" i="59"/>
  <c r="AM57" i="14"/>
  <c r="X61" i="14"/>
  <c r="AC13" i="59"/>
  <c r="DK25" i="12"/>
  <c r="DK31" i="12" s="1"/>
  <c r="DK32" i="12" s="1"/>
  <c r="D14" i="83"/>
  <c r="DK33" i="11"/>
  <c r="BZ86" i="11"/>
  <c r="B12" i="51" s="1"/>
  <c r="B23" i="51" s="1"/>
  <c r="DK30" i="11"/>
  <c r="DK34" i="11" s="1"/>
  <c r="E74" i="13"/>
  <c r="N62" i="13"/>
  <c r="Q74" i="13" s="1"/>
  <c r="L15" i="83" s="1"/>
  <c r="Q76" i="13"/>
  <c r="F15" i="83" s="1"/>
  <c r="Z70" i="15"/>
  <c r="EF44" i="36"/>
  <c r="EE44" i="45"/>
  <c r="EG43" i="45" s="1"/>
  <c r="EH44" i="45"/>
  <c r="DT46" i="36"/>
  <c r="ED46" i="36" s="1"/>
  <c r="DR47" i="36"/>
  <c r="DT45" i="42"/>
  <c r="ED45" i="42" s="1"/>
  <c r="DR46" i="42"/>
  <c r="EE44" i="37"/>
  <c r="EG43" i="37" s="1"/>
  <c r="EH44" i="37"/>
  <c r="EF45" i="43"/>
  <c r="EH46" i="35"/>
  <c r="EE46" i="35"/>
  <c r="EG45" i="35" s="1"/>
  <c r="EF43" i="39"/>
  <c r="EG42" i="39"/>
  <c r="EH45" i="18"/>
  <c r="EE45" i="18"/>
  <c r="EG44" i="18" s="1"/>
  <c r="DT48" i="41"/>
  <c r="DR49" i="41"/>
  <c r="EF43" i="42"/>
  <c r="EF44" i="40"/>
  <c r="DT46" i="44"/>
  <c r="ED46" i="44" s="1"/>
  <c r="DR47" i="44"/>
  <c r="EE45" i="36"/>
  <c r="EH45" i="36"/>
  <c r="EE44" i="42"/>
  <c r="EG43" i="42" s="1"/>
  <c r="EH44" i="42"/>
  <c r="EG43" i="36"/>
  <c r="DT47" i="43"/>
  <c r="ED47" i="43" s="1"/>
  <c r="DR48" i="43"/>
  <c r="EE47" i="41"/>
  <c r="EG46" i="41" s="1"/>
  <c r="EH47" i="41"/>
  <c r="EF43" i="45"/>
  <c r="EF44" i="44"/>
  <c r="EF43" i="37"/>
  <c r="EE45" i="44"/>
  <c r="EG44" i="44" s="1"/>
  <c r="EH45" i="44"/>
  <c r="DT46" i="40"/>
  <c r="ED46" i="40" s="1"/>
  <c r="DR47" i="40"/>
  <c r="EG43" i="40"/>
  <c r="EF44" i="18"/>
  <c r="EF46" i="41"/>
  <c r="EH46" i="43"/>
  <c r="EE46" i="43"/>
  <c r="EG45" i="43" s="1"/>
  <c r="DT45" i="39"/>
  <c r="ED45" i="39" s="1"/>
  <c r="DR46" i="39"/>
  <c r="DT46" i="38"/>
  <c r="ED46" i="38" s="1"/>
  <c r="DR47" i="38"/>
  <c r="DT45" i="45"/>
  <c r="ED45" i="45" s="1"/>
  <c r="DR46" i="45"/>
  <c r="EF45" i="35"/>
  <c r="EH45" i="40"/>
  <c r="EE45" i="40"/>
  <c r="DT45" i="37"/>
  <c r="ED45" i="37" s="1"/>
  <c r="DR46" i="37"/>
  <c r="DT47" i="35"/>
  <c r="ED47" i="35" s="1"/>
  <c r="DR48" i="35"/>
  <c r="DT46" i="18"/>
  <c r="ED46" i="18" s="1"/>
  <c r="DR47" i="18"/>
  <c r="EF44" i="38"/>
  <c r="EE44" i="39"/>
  <c r="EH44" i="39"/>
  <c r="EG42" i="42"/>
  <c r="EE45" i="38"/>
  <c r="EH45" i="38"/>
  <c r="H48" i="15" l="1"/>
  <c r="N48" i="15" s="1"/>
  <c r="H42" i="15"/>
  <c r="N42" i="15" s="1"/>
  <c r="R41" i="15"/>
  <c r="X41" i="15" s="1"/>
  <c r="R57" i="15"/>
  <c r="X57" i="15" s="1"/>
  <c r="R56" i="15"/>
  <c r="X56" i="15" s="1"/>
  <c r="R54" i="15"/>
  <c r="X54" i="15" s="1"/>
  <c r="R52" i="15"/>
  <c r="X52" i="15" s="1"/>
  <c r="R50" i="15"/>
  <c r="X50" i="15" s="1"/>
  <c r="R48" i="15"/>
  <c r="X48" i="15" s="1"/>
  <c r="R45" i="15"/>
  <c r="X45" i="15" s="1"/>
  <c r="R43" i="15"/>
  <c r="U43" i="15" s="1"/>
  <c r="X43" i="15" s="1"/>
  <c r="R42" i="15"/>
  <c r="X42" i="15" s="1"/>
  <c r="H41" i="15"/>
  <c r="N41" i="15" s="1"/>
  <c r="EG1" i="15"/>
  <c r="AN16" i="59"/>
  <c r="CM16" i="59" s="1"/>
  <c r="E19" i="28"/>
  <c r="B17" i="83"/>
  <c r="DK29" i="15"/>
  <c r="BZ68" i="15" s="1"/>
  <c r="BH16" i="59"/>
  <c r="L9" i="16"/>
  <c r="G15" i="83"/>
  <c r="Q85" i="7"/>
  <c r="F81" i="7" s="1"/>
  <c r="H9" i="83"/>
  <c r="I9" i="83" s="1"/>
  <c r="E76" i="7"/>
  <c r="DK36" i="11"/>
  <c r="AL77" i="11" s="1"/>
  <c r="Q78" i="11" s="1"/>
  <c r="H13" i="83" s="1"/>
  <c r="I13" i="83" s="1"/>
  <c r="E76" i="4"/>
  <c r="H76" i="4" s="1"/>
  <c r="L6" i="16"/>
  <c r="Q85" i="4"/>
  <c r="F81" i="4" s="1"/>
  <c r="F25" i="51"/>
  <c r="B60" i="50" s="1"/>
  <c r="E76" i="5"/>
  <c r="H7" i="83"/>
  <c r="I7" i="83" s="1"/>
  <c r="E25" i="51"/>
  <c r="E26" i="51" s="1"/>
  <c r="E29" i="51" s="1"/>
  <c r="L7" i="16"/>
  <c r="Q85" i="5"/>
  <c r="J7" i="83" s="1"/>
  <c r="G25" i="51"/>
  <c r="G26" i="51" s="1"/>
  <c r="G29" i="51" s="1"/>
  <c r="L12" i="16"/>
  <c r="Q85" i="10"/>
  <c r="H12" i="83"/>
  <c r="I12" i="83" s="1"/>
  <c r="E76" i="10"/>
  <c r="M24" i="51"/>
  <c r="DK35" i="12"/>
  <c r="H24" i="51"/>
  <c r="DK35" i="9"/>
  <c r="DK36" i="9" s="1"/>
  <c r="AL77" i="9" s="1"/>
  <c r="Q78" i="9" s="1"/>
  <c r="M6" i="83"/>
  <c r="M7" i="83" s="1"/>
  <c r="M8" i="83" s="1"/>
  <c r="M9" i="83" s="1"/>
  <c r="M10" i="83" s="1"/>
  <c r="E14" i="83"/>
  <c r="Q76" i="14"/>
  <c r="F16" i="83" s="1"/>
  <c r="N62" i="14"/>
  <c r="E74" i="14"/>
  <c r="D39" i="83" s="1"/>
  <c r="E37" i="83"/>
  <c r="AC14" i="59"/>
  <c r="D15" i="83"/>
  <c r="DK25" i="13"/>
  <c r="DK31" i="13" s="1"/>
  <c r="DK32" i="13" s="1"/>
  <c r="D38" i="83"/>
  <c r="B15" i="16"/>
  <c r="J15" i="16" s="1"/>
  <c r="C13" i="52" s="1"/>
  <c r="DK33" i="12"/>
  <c r="BZ86" i="12"/>
  <c r="M12" i="51" s="1"/>
  <c r="M23" i="51" s="1"/>
  <c r="DK30" i="12"/>
  <c r="DK34" i="12" s="1"/>
  <c r="H74" i="13"/>
  <c r="DT48" i="35"/>
  <c r="DR49" i="35"/>
  <c r="DT47" i="18"/>
  <c r="ED47" i="18" s="1"/>
  <c r="DR48" i="18"/>
  <c r="EF44" i="39"/>
  <c r="EE46" i="18"/>
  <c r="EG45" i="18" s="1"/>
  <c r="EH46" i="18"/>
  <c r="EE45" i="37"/>
  <c r="EG44" i="37" s="1"/>
  <c r="EH45" i="37"/>
  <c r="EH46" i="38"/>
  <c r="EE46" i="38"/>
  <c r="EG45" i="38" s="1"/>
  <c r="EF45" i="36"/>
  <c r="ED48" i="41"/>
  <c r="DT49" i="41"/>
  <c r="DT46" i="42"/>
  <c r="ED46" i="42" s="1"/>
  <c r="DR47" i="42"/>
  <c r="EF45" i="38"/>
  <c r="DT46" i="39"/>
  <c r="ED46" i="39" s="1"/>
  <c r="DR47" i="39"/>
  <c r="EF45" i="44"/>
  <c r="EF47" i="41"/>
  <c r="DT47" i="44"/>
  <c r="ED47" i="44" s="1"/>
  <c r="DR48" i="44"/>
  <c r="EF45" i="18"/>
  <c r="EG43" i="39"/>
  <c r="EE45" i="42"/>
  <c r="EH45" i="42"/>
  <c r="EF44" i="45"/>
  <c r="EF45" i="40"/>
  <c r="EG44" i="38"/>
  <c r="EH45" i="45"/>
  <c r="EE45" i="45"/>
  <c r="EE45" i="39"/>
  <c r="EH45" i="39"/>
  <c r="DT47" i="40"/>
  <c r="ED47" i="40" s="1"/>
  <c r="DR48" i="40"/>
  <c r="DT48" i="43"/>
  <c r="DR49" i="43"/>
  <c r="EF44" i="42"/>
  <c r="EE46" i="44"/>
  <c r="EG45" i="44" s="1"/>
  <c r="EH46" i="44"/>
  <c r="EF46" i="35"/>
  <c r="DT47" i="36"/>
  <c r="ED47" i="36" s="1"/>
  <c r="DR48" i="36"/>
  <c r="EG44" i="36"/>
  <c r="DT46" i="45"/>
  <c r="ED46" i="45" s="1"/>
  <c r="DR47" i="45"/>
  <c r="EE47" i="35"/>
  <c r="EG46" i="35" s="1"/>
  <c r="EH47" i="35"/>
  <c r="DT46" i="37"/>
  <c r="ED46" i="37" s="1"/>
  <c r="DR47" i="37"/>
  <c r="DT47" i="38"/>
  <c r="ED47" i="38" s="1"/>
  <c r="DR48" i="38"/>
  <c r="EF46" i="43"/>
  <c r="EE46" i="40"/>
  <c r="EG45" i="40" s="1"/>
  <c r="EH46" i="40"/>
  <c r="EE47" i="43"/>
  <c r="EH47" i="43"/>
  <c r="EG44" i="40"/>
  <c r="EF44" i="37"/>
  <c r="EH46" i="36"/>
  <c r="EE46" i="36"/>
  <c r="EG45" i="36" s="1"/>
  <c r="X61" i="15" l="1"/>
  <c r="BD16" i="59"/>
  <c r="AM57" i="15"/>
  <c r="B19" i="83"/>
  <c r="C17" i="83"/>
  <c r="N61" i="15"/>
  <c r="E74" i="15" s="1"/>
  <c r="D40" i="83" s="1"/>
  <c r="D6" i="51"/>
  <c r="EG2" i="15"/>
  <c r="J40" i="83"/>
  <c r="G16" i="83"/>
  <c r="H76" i="5"/>
  <c r="H76" i="6" s="1"/>
  <c r="H76" i="7" s="1"/>
  <c r="H76" i="8" s="1"/>
  <c r="J9" i="83"/>
  <c r="E76" i="11"/>
  <c r="Q85" i="11"/>
  <c r="J13" i="83" s="1"/>
  <c r="B25" i="51"/>
  <c r="B26" i="51" s="1"/>
  <c r="B29" i="51" s="1"/>
  <c r="L13" i="16"/>
  <c r="J6" i="83"/>
  <c r="K6" i="83" s="1"/>
  <c r="K7" i="83" s="1"/>
  <c r="K8" i="83" s="1"/>
  <c r="F81" i="5"/>
  <c r="F26" i="51"/>
  <c r="F29" i="51" s="1"/>
  <c r="L11" i="16"/>
  <c r="Q85" i="9"/>
  <c r="DK36" i="12"/>
  <c r="AL77" i="12" s="1"/>
  <c r="Q78" i="12" s="1"/>
  <c r="L14" i="16" s="1"/>
  <c r="H11" i="83"/>
  <c r="I11" i="83" s="1"/>
  <c r="J12" i="83"/>
  <c r="F81" i="10"/>
  <c r="L24" i="51"/>
  <c r="DK35" i="13"/>
  <c r="E76" i="9"/>
  <c r="H25" i="51"/>
  <c r="H26" i="51" s="1"/>
  <c r="H29" i="51" s="1"/>
  <c r="M11" i="83"/>
  <c r="M12" i="83" s="1"/>
  <c r="M13" i="83" s="1"/>
  <c r="M14" i="83" s="1"/>
  <c r="M15" i="83" s="1"/>
  <c r="DK25" i="14"/>
  <c r="Q74" i="14"/>
  <c r="L16" i="83" s="1"/>
  <c r="D16" i="83"/>
  <c r="E15" i="83"/>
  <c r="AC15" i="59"/>
  <c r="E38" i="83"/>
  <c r="E39" i="83" s="1"/>
  <c r="B16" i="16"/>
  <c r="J16" i="16" s="1"/>
  <c r="C14" i="52" s="1"/>
  <c r="H74" i="14"/>
  <c r="H74" i="15" s="1"/>
  <c r="DK30" i="13"/>
  <c r="DK34" i="13" s="1"/>
  <c r="DK33" i="13"/>
  <c r="BZ86" i="13"/>
  <c r="L12" i="51" s="1"/>
  <c r="L23" i="51" s="1"/>
  <c r="Q76" i="15"/>
  <c r="F17" i="83" s="1"/>
  <c r="EH46" i="45"/>
  <c r="EE46" i="45"/>
  <c r="EG45" i="45" s="1"/>
  <c r="DT48" i="40"/>
  <c r="DR49" i="40"/>
  <c r="EF45" i="45"/>
  <c r="EF45" i="42"/>
  <c r="DT48" i="44"/>
  <c r="DR49" i="44"/>
  <c r="EF46" i="38"/>
  <c r="DT48" i="18"/>
  <c r="DR49" i="18"/>
  <c r="EF47" i="43"/>
  <c r="EH46" i="37"/>
  <c r="EE46" i="37"/>
  <c r="EG45" i="37" s="1"/>
  <c r="DT48" i="38"/>
  <c r="DR49" i="38"/>
  <c r="EG44" i="42"/>
  <c r="EH47" i="40"/>
  <c r="EE47" i="40"/>
  <c r="EG46" i="40" s="1"/>
  <c r="EG44" i="45"/>
  <c r="EH47" i="44"/>
  <c r="EE47" i="44"/>
  <c r="EG46" i="44" s="1"/>
  <c r="EE48" i="41"/>
  <c r="EH48" i="41"/>
  <c r="EF46" i="18"/>
  <c r="EE47" i="18"/>
  <c r="EH47" i="18"/>
  <c r="EF46" i="40"/>
  <c r="EH47" i="38"/>
  <c r="EE47" i="38"/>
  <c r="EF47" i="35"/>
  <c r="DT48" i="36"/>
  <c r="DR49" i="36"/>
  <c r="DT47" i="39"/>
  <c r="ED47" i="39" s="1"/>
  <c r="DR48" i="39"/>
  <c r="DT47" i="42"/>
  <c r="ED47" i="42" s="1"/>
  <c r="DR48" i="42"/>
  <c r="EF46" i="36"/>
  <c r="EG46" i="43"/>
  <c r="DT47" i="37"/>
  <c r="ED47" i="37" s="1"/>
  <c r="DR48" i="37"/>
  <c r="DT47" i="45"/>
  <c r="ED47" i="45" s="1"/>
  <c r="DR48" i="45"/>
  <c r="EE47" i="36"/>
  <c r="EH47" i="36"/>
  <c r="EF46" i="44"/>
  <c r="ED48" i="43"/>
  <c r="DT49" i="43"/>
  <c r="EF45" i="39"/>
  <c r="EH46" i="39"/>
  <c r="EE46" i="39"/>
  <c r="EG45" i="39" s="1"/>
  <c r="EE46" i="42"/>
  <c r="EG45" i="42" s="1"/>
  <c r="EH46" i="42"/>
  <c r="EF45" i="37"/>
  <c r="EG44" i="39"/>
  <c r="ED48" i="35"/>
  <c r="DT49" i="35"/>
  <c r="N62" i="15" l="1"/>
  <c r="DK25" i="15" s="1"/>
  <c r="B17" i="16"/>
  <c r="B18" i="16" s="1"/>
  <c r="AM55" i="15"/>
  <c r="BE16" i="59"/>
  <c r="BC16" i="59"/>
  <c r="K9" i="83"/>
  <c r="K10" i="83" s="1"/>
  <c r="H76" i="9"/>
  <c r="H76" i="10" s="1"/>
  <c r="H76" i="11" s="1"/>
  <c r="F81" i="11"/>
  <c r="B62" i="50"/>
  <c r="DK36" i="13"/>
  <c r="AL77" i="13" s="1"/>
  <c r="Q78" i="13" s="1"/>
  <c r="E76" i="13" s="1"/>
  <c r="E76" i="12"/>
  <c r="Q85" i="12"/>
  <c r="J14" i="83" s="1"/>
  <c r="H14" i="83"/>
  <c r="I14" i="83" s="1"/>
  <c r="M25" i="51"/>
  <c r="M26" i="51" s="1"/>
  <c r="M29" i="51" s="1"/>
  <c r="F81" i="9"/>
  <c r="J11" i="83"/>
  <c r="DK30" i="14"/>
  <c r="DK34" i="14" s="1"/>
  <c r="DK31" i="14"/>
  <c r="DK32" i="14" s="1"/>
  <c r="DK33" i="14" s="1"/>
  <c r="BZ86" i="14"/>
  <c r="K12" i="51" s="1"/>
  <c r="K23" i="51" s="1"/>
  <c r="M16" i="83"/>
  <c r="D17" i="83"/>
  <c r="D19" i="83" s="1"/>
  <c r="Q74" i="15"/>
  <c r="L17" i="83" s="1"/>
  <c r="E16" i="83"/>
  <c r="AC16" i="59"/>
  <c r="E40" i="83"/>
  <c r="D42" i="83"/>
  <c r="G17" i="83"/>
  <c r="F19" i="83"/>
  <c r="EE48" i="43"/>
  <c r="EH48" i="43"/>
  <c r="EF47" i="36"/>
  <c r="EH47" i="37"/>
  <c r="EE47" i="37"/>
  <c r="EG46" i="37" s="1"/>
  <c r="DT48" i="42"/>
  <c r="DR49" i="42"/>
  <c r="EF47" i="38"/>
  <c r="EG46" i="38"/>
  <c r="EH48" i="35"/>
  <c r="EE48" i="35"/>
  <c r="DT48" i="45"/>
  <c r="DR49" i="45"/>
  <c r="EH47" i="42"/>
  <c r="EE47" i="42"/>
  <c r="EG46" i="42" s="1"/>
  <c r="ED48" i="36"/>
  <c r="DT49" i="36"/>
  <c r="EF47" i="18"/>
  <c r="EG48" i="41"/>
  <c r="EF48" i="41"/>
  <c r="EG47" i="41"/>
  <c r="EF47" i="40"/>
  <c r="ED48" i="38"/>
  <c r="DT49" i="38"/>
  <c r="ED48" i="40"/>
  <c r="DT49" i="40"/>
  <c r="EH47" i="45"/>
  <c r="EE47" i="45"/>
  <c r="EG46" i="45" s="1"/>
  <c r="EG46" i="36"/>
  <c r="DT48" i="39"/>
  <c r="DR49" i="39"/>
  <c r="EF47" i="44"/>
  <c r="EF46" i="37"/>
  <c r="EF46" i="45"/>
  <c r="EF46" i="42"/>
  <c r="EF46" i="39"/>
  <c r="DT48" i="37"/>
  <c r="DR49" i="37"/>
  <c r="EE47" i="39"/>
  <c r="EH47" i="39"/>
  <c r="EG46" i="18"/>
  <c r="ED48" i="18"/>
  <c r="DT49" i="18"/>
  <c r="ED48" i="44"/>
  <c r="DT49" i="44"/>
  <c r="J17" i="16" l="1"/>
  <c r="J18" i="16" s="1"/>
  <c r="K11" i="83"/>
  <c r="K12" i="83" s="1"/>
  <c r="K13" i="83" s="1"/>
  <c r="K14" i="83" s="1"/>
  <c r="L25" i="51"/>
  <c r="L26" i="51" s="1"/>
  <c r="L29" i="51" s="1"/>
  <c r="H76" i="12"/>
  <c r="H76" i="13" s="1"/>
  <c r="Q85" i="13"/>
  <c r="J15" i="83" s="1"/>
  <c r="L15" i="16"/>
  <c r="H15" i="83"/>
  <c r="I15" i="83" s="1"/>
  <c r="F81" i="12"/>
  <c r="M17" i="83"/>
  <c r="DK35" i="14"/>
  <c r="DK36" i="14" s="1"/>
  <c r="AL77" i="14" s="1"/>
  <c r="Q78" i="14" s="1"/>
  <c r="K24" i="51"/>
  <c r="DK31" i="15"/>
  <c r="DK32" i="15" s="1"/>
  <c r="E17" i="83"/>
  <c r="L19" i="83"/>
  <c r="BZ86" i="15"/>
  <c r="D12" i="51" s="1"/>
  <c r="D23" i="51" s="1"/>
  <c r="DK30" i="15"/>
  <c r="DK34" i="15" s="1"/>
  <c r="C15" i="52"/>
  <c r="EF47" i="39"/>
  <c r="EG46" i="39"/>
  <c r="EF47" i="45"/>
  <c r="EE48" i="18"/>
  <c r="EH48" i="18"/>
  <c r="EE48" i="38"/>
  <c r="EH48" i="38"/>
  <c r="EF55" i="41"/>
  <c r="EF51" i="41"/>
  <c r="EF53" i="41"/>
  <c r="EF57" i="41"/>
  <c r="ED48" i="42"/>
  <c r="DT49" i="42"/>
  <c r="ED48" i="37"/>
  <c r="DT49" i="37"/>
  <c r="ED48" i="39"/>
  <c r="DT49" i="39"/>
  <c r="EG57" i="41"/>
  <c r="BC84" i="11" s="1"/>
  <c r="AM66" i="11" s="1"/>
  <c r="CH12" i="59" s="1"/>
  <c r="FH33" i="34" s="1"/>
  <c r="EG53" i="41"/>
  <c r="BC78" i="11" s="1"/>
  <c r="AM64" i="11" s="1"/>
  <c r="BZ12" i="59" s="1"/>
  <c r="FH31" i="34" s="1"/>
  <c r="EG51" i="41"/>
  <c r="BC75" i="11" s="1"/>
  <c r="AM63" i="11" s="1"/>
  <c r="BV12" i="59" s="1"/>
  <c r="FH30" i="34" s="1"/>
  <c r="EG55" i="41"/>
  <c r="BC81" i="11" s="1"/>
  <c r="AM65" i="11" s="1"/>
  <c r="CD12" i="59" s="1"/>
  <c r="FH32" i="34" s="1"/>
  <c r="EE48" i="36"/>
  <c r="EH48" i="36"/>
  <c r="ED48" i="45"/>
  <c r="DT49" i="45"/>
  <c r="EF47" i="37"/>
  <c r="EE48" i="44"/>
  <c r="EH48" i="44"/>
  <c r="EE48" i="40"/>
  <c r="EH48" i="40"/>
  <c r="EF47" i="42"/>
  <c r="EG48" i="35"/>
  <c r="EF48" i="35"/>
  <c r="EG47" i="35"/>
  <c r="EF48" i="43"/>
  <c r="EG48" i="43"/>
  <c r="EG47" i="43"/>
  <c r="F81" i="13" l="1"/>
  <c r="DK35" i="15"/>
  <c r="DK36" i="15" s="1"/>
  <c r="AL77" i="15" s="1"/>
  <c r="Q78" i="15" s="1"/>
  <c r="D24" i="51"/>
  <c r="DK33" i="15"/>
  <c r="H16" i="83"/>
  <c r="I16" i="83" s="1"/>
  <c r="E76" i="14"/>
  <c r="H76" i="14" s="1"/>
  <c r="Q85" i="14"/>
  <c r="L16" i="16"/>
  <c r="K25" i="51"/>
  <c r="K26" i="51" s="1"/>
  <c r="K29" i="51" s="1"/>
  <c r="K15" i="83"/>
  <c r="EG48" i="40"/>
  <c r="EF48" i="40"/>
  <c r="EG47" i="40"/>
  <c r="EG48" i="36"/>
  <c r="EF48" i="36"/>
  <c r="EG47" i="36"/>
  <c r="EE48" i="37"/>
  <c r="EH48" i="37"/>
  <c r="EH53" i="41"/>
  <c r="AY78" i="11" s="1"/>
  <c r="BA78" i="11"/>
  <c r="AJ64" i="11" s="1"/>
  <c r="BY12" i="59" s="1"/>
  <c r="FG31" i="34" s="1"/>
  <c r="EF48" i="38"/>
  <c r="EG48" i="38"/>
  <c r="EG47" i="38"/>
  <c r="EG55" i="43"/>
  <c r="BC81" i="13" s="1"/>
  <c r="AM65" i="13" s="1"/>
  <c r="CD14" i="59" s="1"/>
  <c r="FH40" i="34" s="1"/>
  <c r="EG57" i="43"/>
  <c r="BC84" i="13" s="1"/>
  <c r="AM66" i="13" s="1"/>
  <c r="CH14" i="59" s="1"/>
  <c r="FH41" i="34" s="1"/>
  <c r="EG53" i="43"/>
  <c r="BC78" i="13" s="1"/>
  <c r="AM64" i="13" s="1"/>
  <c r="BZ14" i="59" s="1"/>
  <c r="FH39" i="34" s="1"/>
  <c r="EG51" i="43"/>
  <c r="BC75" i="13" s="1"/>
  <c r="AM63" i="13" s="1"/>
  <c r="BV14" i="59" s="1"/>
  <c r="FH38" i="34" s="1"/>
  <c r="EG55" i="35"/>
  <c r="BC81" i="5" s="1"/>
  <c r="AM65" i="5" s="1"/>
  <c r="CD6" i="59" s="1"/>
  <c r="FH8" i="34" s="1"/>
  <c r="EG57" i="35"/>
  <c r="BC84" i="5" s="1"/>
  <c r="AM66" i="5" s="1"/>
  <c r="CH6" i="59" s="1"/>
  <c r="FH9" i="34" s="1"/>
  <c r="EG51" i="35"/>
  <c r="BC75" i="5" s="1"/>
  <c r="AM63" i="5" s="1"/>
  <c r="BV6" i="59" s="1"/>
  <c r="FH6" i="34" s="1"/>
  <c r="EG53" i="35"/>
  <c r="BC78" i="5" s="1"/>
  <c r="AM64" i="5" s="1"/>
  <c r="BZ6" i="59" s="1"/>
  <c r="FH7" i="34" s="1"/>
  <c r="EF53" i="43"/>
  <c r="EF51" i="43"/>
  <c r="EF55" i="43"/>
  <c r="EF57" i="43"/>
  <c r="BA75" i="11"/>
  <c r="AJ63" i="11" s="1"/>
  <c r="BU12" i="59" s="1"/>
  <c r="FG30" i="34" s="1"/>
  <c r="EH51" i="41"/>
  <c r="AY75" i="11" s="1"/>
  <c r="EG48" i="44"/>
  <c r="EF48" i="44"/>
  <c r="EG47" i="44"/>
  <c r="EE48" i="45"/>
  <c r="EH48" i="45"/>
  <c r="EE48" i="39"/>
  <c r="EH48" i="39"/>
  <c r="EH48" i="42"/>
  <c r="EE48" i="42"/>
  <c r="EH55" i="41"/>
  <c r="AY81" i="11" s="1"/>
  <c r="BA81" i="11"/>
  <c r="AJ65" i="11" s="1"/>
  <c r="CC12" i="59" s="1"/>
  <c r="FG32" i="34" s="1"/>
  <c r="EF48" i="18"/>
  <c r="EG48" i="18"/>
  <c r="EG47" i="18"/>
  <c r="EF51" i="35"/>
  <c r="EF55" i="35"/>
  <c r="EF57" i="35"/>
  <c r="EF53" i="35"/>
  <c r="EH57" i="41"/>
  <c r="AY84" i="11" s="1"/>
  <c r="BA84" i="11"/>
  <c r="AJ66" i="11" s="1"/>
  <c r="CG12" i="59" s="1"/>
  <c r="FG33" i="34" s="1"/>
  <c r="L17" i="16" l="1"/>
  <c r="L18" i="16" s="1"/>
  <c r="E76" i="15"/>
  <c r="H76" i="15" s="1"/>
  <c r="D25" i="51"/>
  <c r="D26" i="51" s="1"/>
  <c r="D29" i="51" s="1"/>
  <c r="J16" i="83"/>
  <c r="K16" i="83" s="1"/>
  <c r="F81" i="14"/>
  <c r="Q85" i="15"/>
  <c r="J17" i="83" s="1"/>
  <c r="H17" i="83"/>
  <c r="I17" i="83" s="1"/>
  <c r="EG48" i="39"/>
  <c r="EF48" i="39"/>
  <c r="EG47" i="39"/>
  <c r="EF55" i="44"/>
  <c r="EF51" i="44"/>
  <c r="EF53" i="44"/>
  <c r="EF57" i="44"/>
  <c r="BA84" i="5"/>
  <c r="AJ66" i="5" s="1"/>
  <c r="CG6" i="59" s="1"/>
  <c r="FG9" i="34" s="1"/>
  <c r="EH57" i="35"/>
  <c r="AY84" i="5" s="1"/>
  <c r="EG53" i="18"/>
  <c r="BC78" i="4" s="1"/>
  <c r="AM64" i="4" s="1"/>
  <c r="BZ5" i="59" s="1"/>
  <c r="FH3" i="34" s="1"/>
  <c r="EG57" i="18"/>
  <c r="BC84" i="4" s="1"/>
  <c r="AM66" i="4" s="1"/>
  <c r="CH5" i="59" s="1"/>
  <c r="FH5" i="34" s="1"/>
  <c r="EG55" i="18"/>
  <c r="BC81" i="4" s="1"/>
  <c r="AM65" i="4" s="1"/>
  <c r="CD5" i="59" s="1"/>
  <c r="FH4" i="34" s="1"/>
  <c r="EG51" i="18"/>
  <c r="BC75" i="4" s="1"/>
  <c r="AM63" i="4" s="1"/>
  <c r="BV5" i="59" s="1"/>
  <c r="FH2" i="34" s="1"/>
  <c r="EG48" i="42"/>
  <c r="EF48" i="42"/>
  <c r="EG47" i="42"/>
  <c r="EG55" i="44"/>
  <c r="BC81" i="14" s="1"/>
  <c r="AM65" i="14" s="1"/>
  <c r="CD15" i="59" s="1"/>
  <c r="FH44" i="34" s="1"/>
  <c r="EG57" i="44"/>
  <c r="BC84" i="14" s="1"/>
  <c r="AM66" i="14" s="1"/>
  <c r="CH15" i="59" s="1"/>
  <c r="FH45" i="34" s="1"/>
  <c r="EG51" i="44"/>
  <c r="BC75" i="14" s="1"/>
  <c r="AM63" i="14" s="1"/>
  <c r="BV15" i="59" s="1"/>
  <c r="FH42" i="34" s="1"/>
  <c r="EG53" i="44"/>
  <c r="BC78" i="14" s="1"/>
  <c r="AM64" i="14" s="1"/>
  <c r="BZ15" i="59" s="1"/>
  <c r="FH43" i="34" s="1"/>
  <c r="BA81" i="13"/>
  <c r="AJ65" i="13" s="1"/>
  <c r="CC14" i="59" s="1"/>
  <c r="FG40" i="34" s="1"/>
  <c r="EH55" i="43"/>
  <c r="AY81" i="13" s="1"/>
  <c r="EG55" i="38"/>
  <c r="BC81" i="8" s="1"/>
  <c r="AM65" i="8" s="1"/>
  <c r="CD9" i="59" s="1"/>
  <c r="FH20" i="34" s="1"/>
  <c r="EG51" i="38"/>
  <c r="BC75" i="8" s="1"/>
  <c r="AM63" i="8" s="1"/>
  <c r="BV9" i="59" s="1"/>
  <c r="FH18" i="34" s="1"/>
  <c r="EG57" i="38"/>
  <c r="BC84" i="8" s="1"/>
  <c r="AM66" i="8" s="1"/>
  <c r="CH9" i="59" s="1"/>
  <c r="FH21" i="34" s="1"/>
  <c r="EG53" i="38"/>
  <c r="BC78" i="8" s="1"/>
  <c r="AM64" i="8" s="1"/>
  <c r="BZ9" i="59" s="1"/>
  <c r="FH19" i="34" s="1"/>
  <c r="EG53" i="36"/>
  <c r="BC78" i="6" s="1"/>
  <c r="AM64" i="6" s="1"/>
  <c r="BZ7" i="59" s="1"/>
  <c r="FH11" i="34" s="1"/>
  <c r="EG57" i="36"/>
  <c r="BC84" i="6" s="1"/>
  <c r="AM66" i="6" s="1"/>
  <c r="CH7" i="59" s="1"/>
  <c r="FH13" i="34" s="1"/>
  <c r="EG51" i="36"/>
  <c r="BC75" i="6" s="1"/>
  <c r="AM63" i="6" s="1"/>
  <c r="BV7" i="59" s="1"/>
  <c r="FH10" i="34" s="1"/>
  <c r="EG55" i="36"/>
  <c r="BC81" i="6" s="1"/>
  <c r="AM65" i="6" s="1"/>
  <c r="CD7" i="59" s="1"/>
  <c r="FH12" i="34" s="1"/>
  <c r="EF51" i="18"/>
  <c r="EF55" i="18"/>
  <c r="EF57" i="18"/>
  <c r="EF53" i="18"/>
  <c r="EG48" i="45"/>
  <c r="EF48" i="45"/>
  <c r="EG47" i="45"/>
  <c r="AT75" i="11"/>
  <c r="AA63" i="11" s="1"/>
  <c r="BS12" i="59" s="1"/>
  <c r="FE30" i="34" s="1"/>
  <c r="AG63" i="11"/>
  <c r="BT12" i="59" s="1"/>
  <c r="FF30" i="34" s="1"/>
  <c r="EH51" i="43"/>
  <c r="AY75" i="13" s="1"/>
  <c r="BA75" i="13"/>
  <c r="AJ63" i="13" s="1"/>
  <c r="BU14" i="59" s="1"/>
  <c r="FG38" i="34" s="1"/>
  <c r="EF51" i="38"/>
  <c r="EF53" i="38"/>
  <c r="EF57" i="38"/>
  <c r="EF55" i="38"/>
  <c r="EG48" i="37"/>
  <c r="EF48" i="37"/>
  <c r="EG47" i="37"/>
  <c r="BA81" i="5"/>
  <c r="AJ65" i="5" s="1"/>
  <c r="CC6" i="59" s="1"/>
  <c r="FG8" i="34" s="1"/>
  <c r="EH55" i="35"/>
  <c r="AY81" i="5" s="1"/>
  <c r="EH51" i="35"/>
  <c r="AY75" i="5" s="1"/>
  <c r="BA75" i="5"/>
  <c r="AJ63" i="5" s="1"/>
  <c r="BU6" i="59" s="1"/>
  <c r="FG6" i="34" s="1"/>
  <c r="EH53" i="43"/>
  <c r="AY78" i="13" s="1"/>
  <c r="BA78" i="13"/>
  <c r="AJ64" i="13" s="1"/>
  <c r="BY14" i="59" s="1"/>
  <c r="FG39" i="34" s="1"/>
  <c r="EF55" i="40"/>
  <c r="EF53" i="40"/>
  <c r="EF57" i="40"/>
  <c r="EF51" i="40"/>
  <c r="AT84" i="11"/>
  <c r="AA66" i="11" s="1"/>
  <c r="CE12" i="59" s="1"/>
  <c r="FE33" i="34" s="1"/>
  <c r="AG66" i="11"/>
  <c r="CF12" i="59" s="1"/>
  <c r="FF33" i="34" s="1"/>
  <c r="BA78" i="5"/>
  <c r="AJ64" i="5" s="1"/>
  <c r="BY6" i="59" s="1"/>
  <c r="FG7" i="34" s="1"/>
  <c r="EH53" i="35"/>
  <c r="AY78" i="5" s="1"/>
  <c r="AG65" i="11"/>
  <c r="CB12" i="59" s="1"/>
  <c r="FF32" i="34" s="1"/>
  <c r="AT81" i="11"/>
  <c r="AA65" i="11" s="1"/>
  <c r="CA12" i="59" s="1"/>
  <c r="FE32" i="34" s="1"/>
  <c r="EH57" i="43"/>
  <c r="AY84" i="13" s="1"/>
  <c r="BA84" i="13"/>
  <c r="AJ66" i="13" s="1"/>
  <c r="CG14" i="59" s="1"/>
  <c r="FG41" i="34" s="1"/>
  <c r="AT78" i="11"/>
  <c r="AA64" i="11" s="1"/>
  <c r="BW12" i="59" s="1"/>
  <c r="FE31" i="34" s="1"/>
  <c r="AG64" i="11"/>
  <c r="BX12" i="59" s="1"/>
  <c r="FF31" i="34" s="1"/>
  <c r="EF55" i="36"/>
  <c r="EF51" i="36"/>
  <c r="EF57" i="36"/>
  <c r="EF53" i="36"/>
  <c r="EG51" i="40"/>
  <c r="BC75" i="10" s="1"/>
  <c r="AM63" i="10" s="1"/>
  <c r="BV11" i="59" s="1"/>
  <c r="FH26" i="34" s="1"/>
  <c r="EG57" i="40"/>
  <c r="BC84" i="10" s="1"/>
  <c r="AM66" i="10" s="1"/>
  <c r="CH11" i="59" s="1"/>
  <c r="FH29" i="34" s="1"/>
  <c r="EG55" i="40"/>
  <c r="BC81" i="10" s="1"/>
  <c r="AM65" i="10" s="1"/>
  <c r="CD11" i="59" s="1"/>
  <c r="FH28" i="34" s="1"/>
  <c r="EG53" i="40"/>
  <c r="BC78" i="10" s="1"/>
  <c r="AM64" i="10" s="1"/>
  <c r="BZ11" i="59" s="1"/>
  <c r="FH27" i="34" s="1"/>
  <c r="H19" i="83" l="1"/>
  <c r="K17" i="83"/>
  <c r="F81" i="15"/>
  <c r="J19" i="83"/>
  <c r="BA78" i="6"/>
  <c r="AJ64" i="6" s="1"/>
  <c r="BY7" i="59" s="1"/>
  <c r="FG11" i="34" s="1"/>
  <c r="EH53" i="36"/>
  <c r="AY78" i="6" s="1"/>
  <c r="FB32" i="34"/>
  <c r="FC32" i="34"/>
  <c r="BA78" i="10"/>
  <c r="AJ64" i="10" s="1"/>
  <c r="BY11" i="59" s="1"/>
  <c r="FG27" i="34" s="1"/>
  <c r="EH53" i="40"/>
  <c r="AY78" i="10" s="1"/>
  <c r="BA84" i="8"/>
  <c r="AJ66" i="8" s="1"/>
  <c r="CG9" i="59" s="1"/>
  <c r="FG21" i="34" s="1"/>
  <c r="EH57" i="38"/>
  <c r="AY84" i="8" s="1"/>
  <c r="AT75" i="13"/>
  <c r="AA63" i="13" s="1"/>
  <c r="BS14" i="59" s="1"/>
  <c r="FE38" i="34" s="1"/>
  <c r="AG63" i="13"/>
  <c r="BT14" i="59" s="1"/>
  <c r="FF38" i="34" s="1"/>
  <c r="EF51" i="45"/>
  <c r="EF55" i="45"/>
  <c r="EF53" i="45"/>
  <c r="EF57" i="45"/>
  <c r="BA81" i="4"/>
  <c r="AJ65" i="4" s="1"/>
  <c r="CC5" i="59" s="1"/>
  <c r="FG4" i="34" s="1"/>
  <c r="EH55" i="18"/>
  <c r="AY81" i="4" s="1"/>
  <c r="BA81" i="14"/>
  <c r="AJ65" i="14" s="1"/>
  <c r="CC15" i="59" s="1"/>
  <c r="FG44" i="34" s="1"/>
  <c r="EH55" i="44"/>
  <c r="AY81" i="14" s="1"/>
  <c r="BA84" i="6"/>
  <c r="AJ66" i="6" s="1"/>
  <c r="CG7" i="59" s="1"/>
  <c r="FG13" i="34" s="1"/>
  <c r="EH57" i="36"/>
  <c r="AY84" i="6" s="1"/>
  <c r="FC31" i="34"/>
  <c r="FB31" i="34"/>
  <c r="FC33" i="34"/>
  <c r="FB33" i="34"/>
  <c r="EH55" i="40"/>
  <c r="AY81" i="10" s="1"/>
  <c r="BA81" i="10"/>
  <c r="AJ65" i="10" s="1"/>
  <c r="CC11" i="59" s="1"/>
  <c r="FG28" i="34" s="1"/>
  <c r="AT75" i="5"/>
  <c r="AA63" i="5" s="1"/>
  <c r="BS6" i="59" s="1"/>
  <c r="FE6" i="34" s="1"/>
  <c r="AG63" i="5"/>
  <c r="BT6" i="59" s="1"/>
  <c r="FF6" i="34" s="1"/>
  <c r="EF57" i="37"/>
  <c r="EF51" i="37"/>
  <c r="EF53" i="37"/>
  <c r="EF55" i="37"/>
  <c r="BA78" i="8"/>
  <c r="AJ64" i="8" s="1"/>
  <c r="BY9" i="59" s="1"/>
  <c r="FG19" i="34" s="1"/>
  <c r="EH53" i="38"/>
  <c r="AY78" i="8" s="1"/>
  <c r="EG55" i="45"/>
  <c r="BC81" i="15" s="1"/>
  <c r="AM65" i="15" s="1"/>
  <c r="CD16" i="59" s="1"/>
  <c r="FH48" i="34" s="1"/>
  <c r="EG57" i="45"/>
  <c r="BC84" i="15" s="1"/>
  <c r="AM66" i="15" s="1"/>
  <c r="CH16" i="59" s="1"/>
  <c r="FH49" i="34" s="1"/>
  <c r="EG53" i="45"/>
  <c r="BC78" i="15" s="1"/>
  <c r="AM64" i="15" s="1"/>
  <c r="BZ16" i="59" s="1"/>
  <c r="FH47" i="34" s="1"/>
  <c r="EG51" i="45"/>
  <c r="BC75" i="15" s="1"/>
  <c r="AM63" i="15" s="1"/>
  <c r="BV16" i="59" s="1"/>
  <c r="FH46" i="34" s="1"/>
  <c r="BA75" i="4"/>
  <c r="AJ63" i="4" s="1"/>
  <c r="BU5" i="59" s="1"/>
  <c r="FG2" i="34" s="1"/>
  <c r="EH51" i="18"/>
  <c r="AY75" i="4" s="1"/>
  <c r="EF55" i="42"/>
  <c r="EF57" i="42"/>
  <c r="EF51" i="42"/>
  <c r="EF53" i="42"/>
  <c r="BA84" i="14"/>
  <c r="AJ66" i="14" s="1"/>
  <c r="CG15" i="59" s="1"/>
  <c r="FG45" i="34" s="1"/>
  <c r="EH57" i="44"/>
  <c r="AY84" i="14" s="1"/>
  <c r="EH51" i="36"/>
  <c r="AY75" i="6" s="1"/>
  <c r="BA75" i="6"/>
  <c r="AJ63" i="6" s="1"/>
  <c r="BU7" i="59" s="1"/>
  <c r="FG10" i="34" s="1"/>
  <c r="AG64" i="5"/>
  <c r="BX6" i="59" s="1"/>
  <c r="FF7" i="34" s="1"/>
  <c r="AT78" i="5"/>
  <c r="AA64" i="5" s="1"/>
  <c r="BW6" i="59" s="1"/>
  <c r="FE7" i="34" s="1"/>
  <c r="EH51" i="40"/>
  <c r="AY75" i="10" s="1"/>
  <c r="BA75" i="10"/>
  <c r="AJ63" i="10" s="1"/>
  <c r="BU11" i="59" s="1"/>
  <c r="FG26" i="34" s="1"/>
  <c r="AT81" i="5"/>
  <c r="AA65" i="5" s="1"/>
  <c r="CA6" i="59" s="1"/>
  <c r="FE8" i="34" s="1"/>
  <c r="AG65" i="5"/>
  <c r="CB6" i="59" s="1"/>
  <c r="FF8" i="34" s="1"/>
  <c r="EG55" i="37"/>
  <c r="BC81" i="7" s="1"/>
  <c r="AM65" i="7" s="1"/>
  <c r="CD8" i="59" s="1"/>
  <c r="FH16" i="34" s="1"/>
  <c r="EG51" i="37"/>
  <c r="BC75" i="7" s="1"/>
  <c r="AM63" i="7" s="1"/>
  <c r="BV8" i="59" s="1"/>
  <c r="FH14" i="34" s="1"/>
  <c r="EG57" i="37"/>
  <c r="BC84" i="7" s="1"/>
  <c r="AM66" i="7" s="1"/>
  <c r="CH8" i="59" s="1"/>
  <c r="FH17" i="34" s="1"/>
  <c r="EG53" i="37"/>
  <c r="BC78" i="7" s="1"/>
  <c r="AM64" i="7" s="1"/>
  <c r="BZ8" i="59" s="1"/>
  <c r="FH15" i="34" s="1"/>
  <c r="BA75" i="8"/>
  <c r="AJ63" i="8" s="1"/>
  <c r="BU9" i="59" s="1"/>
  <c r="FG18" i="34" s="1"/>
  <c r="EH51" i="38"/>
  <c r="AY75" i="8" s="1"/>
  <c r="FB30" i="34"/>
  <c r="FC30" i="34"/>
  <c r="EH53" i="18"/>
  <c r="AY78" i="4" s="1"/>
  <c r="BA78" i="4"/>
  <c r="AJ64" i="4" s="1"/>
  <c r="BY5" i="59" s="1"/>
  <c r="FG3" i="34" s="1"/>
  <c r="AG65" i="13"/>
  <c r="CB14" i="59" s="1"/>
  <c r="FF40" i="34" s="1"/>
  <c r="AT81" i="13"/>
  <c r="AA65" i="13" s="1"/>
  <c r="CA14" i="59" s="1"/>
  <c r="FE40" i="34" s="1"/>
  <c r="EG53" i="42"/>
  <c r="BC78" i="12" s="1"/>
  <c r="AM64" i="12" s="1"/>
  <c r="BZ13" i="59" s="1"/>
  <c r="FH35" i="34" s="1"/>
  <c r="EG55" i="42"/>
  <c r="BC81" i="12" s="1"/>
  <c r="AM65" i="12" s="1"/>
  <c r="CD13" i="59" s="1"/>
  <c r="FH36" i="34" s="1"/>
  <c r="EG51" i="42"/>
  <c r="BC75" i="12" s="1"/>
  <c r="AM63" i="12" s="1"/>
  <c r="BV13" i="59" s="1"/>
  <c r="FH34" i="34" s="1"/>
  <c r="EG57" i="42"/>
  <c r="BC84" i="12" s="1"/>
  <c r="AM66" i="12" s="1"/>
  <c r="CH13" i="59" s="1"/>
  <c r="FH37" i="34" s="1"/>
  <c r="BA78" i="14"/>
  <c r="AJ64" i="14" s="1"/>
  <c r="BY15" i="59" s="1"/>
  <c r="FG43" i="34" s="1"/>
  <c r="EH53" i="44"/>
  <c r="AY78" i="14" s="1"/>
  <c r="EF53" i="39"/>
  <c r="EF55" i="39"/>
  <c r="EF57" i="39"/>
  <c r="EF51" i="39"/>
  <c r="EH55" i="36"/>
  <c r="AY81" i="6" s="1"/>
  <c r="BA81" i="6"/>
  <c r="AJ65" i="6" s="1"/>
  <c r="CC7" i="59" s="1"/>
  <c r="FG12" i="34" s="1"/>
  <c r="AG66" i="13"/>
  <c r="CF14" i="59" s="1"/>
  <c r="FF41" i="34" s="1"/>
  <c r="AT84" i="13"/>
  <c r="AA66" i="13" s="1"/>
  <c r="CE14" i="59" s="1"/>
  <c r="FE41" i="34" s="1"/>
  <c r="EH57" i="40"/>
  <c r="AY84" i="10" s="1"/>
  <c r="BA84" i="10"/>
  <c r="AJ66" i="10" s="1"/>
  <c r="CG11" i="59" s="1"/>
  <c r="FG29" i="34" s="1"/>
  <c r="AG64" i="13"/>
  <c r="BX14" i="59" s="1"/>
  <c r="FF39" i="34" s="1"/>
  <c r="AT78" i="13"/>
  <c r="AA64" i="13" s="1"/>
  <c r="BW14" i="59" s="1"/>
  <c r="FE39" i="34" s="1"/>
  <c r="EH55" i="38"/>
  <c r="AY81" i="8" s="1"/>
  <c r="BA81" i="8"/>
  <c r="AJ65" i="8" s="1"/>
  <c r="CC9" i="59" s="1"/>
  <c r="FG20" i="34" s="1"/>
  <c r="BA84" i="4"/>
  <c r="AJ66" i="4" s="1"/>
  <c r="CG5" i="59" s="1"/>
  <c r="FG5" i="34" s="1"/>
  <c r="EH57" i="18"/>
  <c r="AY84" i="4" s="1"/>
  <c r="AT84" i="5"/>
  <c r="AA66" i="5" s="1"/>
  <c r="CE6" i="59" s="1"/>
  <c r="FE9" i="34" s="1"/>
  <c r="AG66" i="5"/>
  <c r="CF6" i="59" s="1"/>
  <c r="FF9" i="34" s="1"/>
  <c r="BA75" i="14"/>
  <c r="AJ63" i="14" s="1"/>
  <c r="BU15" i="59" s="1"/>
  <c r="FG42" i="34" s="1"/>
  <c r="EH51" i="44"/>
  <c r="AY75" i="14" s="1"/>
  <c r="EG57" i="39"/>
  <c r="BC84" i="9" s="1"/>
  <c r="AM66" i="9" s="1"/>
  <c r="CH10" i="59" s="1"/>
  <c r="FH25" i="34" s="1"/>
  <c r="EG55" i="39"/>
  <c r="BC81" i="9" s="1"/>
  <c r="AM65" i="9" s="1"/>
  <c r="CD10" i="59" s="1"/>
  <c r="FH24" i="34" s="1"/>
  <c r="EG51" i="39"/>
  <c r="BC75" i="9" s="1"/>
  <c r="AM63" i="9" s="1"/>
  <c r="BV10" i="59" s="1"/>
  <c r="FH22" i="34" s="1"/>
  <c r="EG53" i="39"/>
  <c r="BC78" i="9" s="1"/>
  <c r="AM64" i="9" s="1"/>
  <c r="BZ10" i="59" s="1"/>
  <c r="FH23" i="34" s="1"/>
  <c r="FB9" i="34" l="1"/>
  <c r="FC9" i="34"/>
  <c r="AT84" i="10"/>
  <c r="AA66" i="10" s="1"/>
  <c r="CE11" i="59" s="1"/>
  <c r="FE29" i="34" s="1"/>
  <c r="AG66" i="10"/>
  <c r="CF11" i="59" s="1"/>
  <c r="FF29" i="34" s="1"/>
  <c r="BA78" i="9"/>
  <c r="AJ64" i="9" s="1"/>
  <c r="BY10" i="59" s="1"/>
  <c r="FG23" i="34" s="1"/>
  <c r="EH53" i="39"/>
  <c r="AY78" i="9" s="1"/>
  <c r="AG63" i="14"/>
  <c r="BT15" i="59" s="1"/>
  <c r="FF42" i="34" s="1"/>
  <c r="AT75" i="14"/>
  <c r="AA63" i="14" s="1"/>
  <c r="BS15" i="59" s="1"/>
  <c r="FE42" i="34" s="1"/>
  <c r="AG66" i="4"/>
  <c r="CF5" i="59" s="1"/>
  <c r="FF5" i="34" s="1"/>
  <c r="AT84" i="4"/>
  <c r="AA66" i="4" s="1"/>
  <c r="CE5" i="59" s="1"/>
  <c r="FE5" i="34" s="1"/>
  <c r="FC39" i="34"/>
  <c r="FB39" i="34"/>
  <c r="FC41" i="34"/>
  <c r="FB41" i="34"/>
  <c r="BA75" i="9"/>
  <c r="AJ63" i="9" s="1"/>
  <c r="BU10" i="59" s="1"/>
  <c r="FG22" i="34" s="1"/>
  <c r="EH51" i="39"/>
  <c r="AY75" i="9" s="1"/>
  <c r="AG64" i="14"/>
  <c r="BX15" i="59" s="1"/>
  <c r="FF43" i="34" s="1"/>
  <c r="AT78" i="14"/>
  <c r="AA64" i="14" s="1"/>
  <c r="BW15" i="59" s="1"/>
  <c r="FE43" i="34" s="1"/>
  <c r="AG63" i="8"/>
  <c r="BT9" i="59" s="1"/>
  <c r="FF18" i="34" s="1"/>
  <c r="AT75" i="8"/>
  <c r="AA63" i="8" s="1"/>
  <c r="BS9" i="59" s="1"/>
  <c r="FE18" i="34" s="1"/>
  <c r="BA78" i="12"/>
  <c r="AJ64" i="12" s="1"/>
  <c r="BY13" i="59" s="1"/>
  <c r="FG35" i="34" s="1"/>
  <c r="EH53" i="42"/>
  <c r="AY78" i="12" s="1"/>
  <c r="AG63" i="4"/>
  <c r="BT5" i="59" s="1"/>
  <c r="FF2" i="34" s="1"/>
  <c r="AT75" i="4"/>
  <c r="AA63" i="4" s="1"/>
  <c r="BS5" i="59" s="1"/>
  <c r="FE2" i="34" s="1"/>
  <c r="BA81" i="7"/>
  <c r="AJ65" i="7" s="1"/>
  <c r="CC8" i="59" s="1"/>
  <c r="FG16" i="34" s="1"/>
  <c r="EH55" i="37"/>
  <c r="AY81" i="7" s="1"/>
  <c r="AT84" i="6"/>
  <c r="AA66" i="6" s="1"/>
  <c r="CE7" i="59" s="1"/>
  <c r="FE13" i="34" s="1"/>
  <c r="AG66" i="6"/>
  <c r="CF7" i="59" s="1"/>
  <c r="FF13" i="34" s="1"/>
  <c r="AG65" i="4"/>
  <c r="CB5" i="59" s="1"/>
  <c r="FF4" i="34" s="1"/>
  <c r="AT81" i="4"/>
  <c r="AA65" i="4" s="1"/>
  <c r="CA5" i="59" s="1"/>
  <c r="FE4" i="34" s="1"/>
  <c r="BA81" i="15"/>
  <c r="AJ65" i="15" s="1"/>
  <c r="CC16" i="59" s="1"/>
  <c r="FG48" i="34" s="1"/>
  <c r="EH55" i="45"/>
  <c r="AY81" i="15" s="1"/>
  <c r="AG66" i="8"/>
  <c r="CF9" i="59" s="1"/>
  <c r="FF21" i="34" s="1"/>
  <c r="AT84" i="8"/>
  <c r="AA66" i="8" s="1"/>
  <c r="CE9" i="59" s="1"/>
  <c r="FE21" i="34" s="1"/>
  <c r="BA84" i="9"/>
  <c r="AJ66" i="9" s="1"/>
  <c r="CG10" i="59" s="1"/>
  <c r="FG25" i="34" s="1"/>
  <c r="EH57" i="39"/>
  <c r="AY84" i="9" s="1"/>
  <c r="AT78" i="4"/>
  <c r="AA64" i="4" s="1"/>
  <c r="BW5" i="59" s="1"/>
  <c r="FE3" i="34" s="1"/>
  <c r="AG64" i="4"/>
  <c r="BX5" i="59" s="1"/>
  <c r="FF3" i="34" s="1"/>
  <c r="AT75" i="10"/>
  <c r="AA63" i="10" s="1"/>
  <c r="BS11" i="59" s="1"/>
  <c r="FE26" i="34" s="1"/>
  <c r="AG63" i="10"/>
  <c r="BT11" i="59" s="1"/>
  <c r="FF26" i="34" s="1"/>
  <c r="AT75" i="6"/>
  <c r="AA63" i="6" s="1"/>
  <c r="BS7" i="59" s="1"/>
  <c r="FE10" i="34" s="1"/>
  <c r="AG63" i="6"/>
  <c r="BT7" i="59" s="1"/>
  <c r="FF10" i="34" s="1"/>
  <c r="BA75" i="12"/>
  <c r="AJ63" i="12" s="1"/>
  <c r="BU13" i="59" s="1"/>
  <c r="FG34" i="34" s="1"/>
  <c r="EH51" i="42"/>
  <c r="AY75" i="12" s="1"/>
  <c r="EH53" i="37"/>
  <c r="AY78" i="7" s="1"/>
  <c r="BA78" i="7"/>
  <c r="AJ64" i="7" s="1"/>
  <c r="BY8" i="59" s="1"/>
  <c r="FG15" i="34" s="1"/>
  <c r="FB6" i="34"/>
  <c r="FC6" i="34"/>
  <c r="EH51" i="45"/>
  <c r="AY75" i="15" s="1"/>
  <c r="BA75" i="15"/>
  <c r="AJ63" i="15" s="1"/>
  <c r="BU16" i="59" s="1"/>
  <c r="FG46" i="34" s="1"/>
  <c r="EH55" i="39"/>
  <c r="AY81" i="9" s="1"/>
  <c r="BA81" i="9"/>
  <c r="AJ65" i="9" s="1"/>
  <c r="CC10" i="59" s="1"/>
  <c r="FG24" i="34" s="1"/>
  <c r="FB40" i="34"/>
  <c r="FC40" i="34"/>
  <c r="FB7" i="34"/>
  <c r="FC7" i="34"/>
  <c r="AT84" i="14"/>
  <c r="AA66" i="14" s="1"/>
  <c r="CE15" i="59" s="1"/>
  <c r="FE45" i="34" s="1"/>
  <c r="AG66" i="14"/>
  <c r="CF15" i="59" s="1"/>
  <c r="FF45" i="34" s="1"/>
  <c r="EH57" i="42"/>
  <c r="AY84" i="12" s="1"/>
  <c r="BA84" i="12"/>
  <c r="AJ66" i="12" s="1"/>
  <c r="CG13" i="59" s="1"/>
  <c r="FG37" i="34" s="1"/>
  <c r="AT78" i="8"/>
  <c r="AA64" i="8" s="1"/>
  <c r="BW9" i="59" s="1"/>
  <c r="FE19" i="34" s="1"/>
  <c r="AG64" i="8"/>
  <c r="BX9" i="59" s="1"/>
  <c r="FF19" i="34" s="1"/>
  <c r="EH51" i="37"/>
  <c r="AY75" i="7" s="1"/>
  <c r="BA75" i="7"/>
  <c r="AJ63" i="7" s="1"/>
  <c r="BU8" i="59" s="1"/>
  <c r="FG14" i="34" s="1"/>
  <c r="AG65" i="14"/>
  <c r="CB15" i="59" s="1"/>
  <c r="FF44" i="34" s="1"/>
  <c r="AT81" i="14"/>
  <c r="AA65" i="14" s="1"/>
  <c r="CA15" i="59" s="1"/>
  <c r="FE44" i="34" s="1"/>
  <c r="EH57" i="45"/>
  <c r="AY84" i="15" s="1"/>
  <c r="BA84" i="15"/>
  <c r="AJ66" i="15" s="1"/>
  <c r="CG16" i="59" s="1"/>
  <c r="FG49" i="34" s="1"/>
  <c r="AT78" i="10"/>
  <c r="AA64" i="10" s="1"/>
  <c r="BW11" i="59" s="1"/>
  <c r="FE27" i="34" s="1"/>
  <c r="AG64" i="10"/>
  <c r="BX11" i="59" s="1"/>
  <c r="FF27" i="34" s="1"/>
  <c r="AG64" i="6"/>
  <c r="BX7" i="59" s="1"/>
  <c r="FF11" i="34" s="1"/>
  <c r="AT78" i="6"/>
  <c r="AA64" i="6" s="1"/>
  <c r="BW7" i="59" s="1"/>
  <c r="FE11" i="34" s="1"/>
  <c r="AG65" i="8"/>
  <c r="CB9" i="59" s="1"/>
  <c r="FF20" i="34" s="1"/>
  <c r="AT81" i="8"/>
  <c r="AA65" i="8" s="1"/>
  <c r="CA9" i="59" s="1"/>
  <c r="FE20" i="34" s="1"/>
  <c r="AT81" i="6"/>
  <c r="AA65" i="6" s="1"/>
  <c r="CA7" i="59" s="1"/>
  <c r="FE12" i="34" s="1"/>
  <c r="AG65" i="6"/>
  <c r="CB7" i="59" s="1"/>
  <c r="FF12" i="34" s="1"/>
  <c r="FB8" i="34"/>
  <c r="FC8" i="34"/>
  <c r="BA81" i="12"/>
  <c r="AJ65" i="12" s="1"/>
  <c r="CC13" i="59" s="1"/>
  <c r="FG36" i="34" s="1"/>
  <c r="EH55" i="42"/>
  <c r="AY81" i="12" s="1"/>
  <c r="BA84" i="7"/>
  <c r="AJ66" i="7" s="1"/>
  <c r="CG8" i="59" s="1"/>
  <c r="FG17" i="34" s="1"/>
  <c r="EH57" i="37"/>
  <c r="AY84" i="7" s="1"/>
  <c r="AG65" i="10"/>
  <c r="CB11" i="59" s="1"/>
  <c r="FF28" i="34" s="1"/>
  <c r="AT81" i="10"/>
  <c r="AA65" i="10" s="1"/>
  <c r="CA11" i="59" s="1"/>
  <c r="FE28" i="34" s="1"/>
  <c r="EH53" i="45"/>
  <c r="AY78" i="15" s="1"/>
  <c r="BA78" i="15"/>
  <c r="AJ64" i="15" s="1"/>
  <c r="BY16" i="59" s="1"/>
  <c r="FG47" i="34" s="1"/>
  <c r="FC38" i="34"/>
  <c r="FB38" i="34"/>
  <c r="FC45" i="34" l="1"/>
  <c r="FB45" i="34"/>
  <c r="FB28" i="34"/>
  <c r="FC28" i="34"/>
  <c r="AT81" i="12"/>
  <c r="AA65" i="12" s="1"/>
  <c r="CA13" i="59" s="1"/>
  <c r="FE36" i="34" s="1"/>
  <c r="AG65" i="12"/>
  <c r="CB13" i="59" s="1"/>
  <c r="FF36" i="34" s="1"/>
  <c r="FB11" i="34"/>
  <c r="FC11" i="34"/>
  <c r="AT75" i="12"/>
  <c r="AA63" i="12" s="1"/>
  <c r="BS13" i="59" s="1"/>
  <c r="FE34" i="34" s="1"/>
  <c r="AG63" i="12"/>
  <c r="BT13" i="59" s="1"/>
  <c r="FF34" i="34" s="1"/>
  <c r="AG66" i="9"/>
  <c r="CF10" i="59" s="1"/>
  <c r="FF25" i="34" s="1"/>
  <c r="AT84" i="9"/>
  <c r="AA66" i="9" s="1"/>
  <c r="CE10" i="59" s="1"/>
  <c r="FE25" i="34" s="1"/>
  <c r="AT81" i="15"/>
  <c r="AA65" i="15" s="1"/>
  <c r="CA16" i="59" s="1"/>
  <c r="FE48" i="34" s="1"/>
  <c r="AG65" i="15"/>
  <c r="CB16" i="59" s="1"/>
  <c r="FF48" i="34" s="1"/>
  <c r="FC2" i="34"/>
  <c r="FB2" i="34"/>
  <c r="FB18" i="34"/>
  <c r="FC18" i="34"/>
  <c r="AG63" i="9"/>
  <c r="BT10" i="59" s="1"/>
  <c r="FF22" i="34" s="1"/>
  <c r="AT75" i="9"/>
  <c r="AA63" i="9" s="1"/>
  <c r="BS10" i="59" s="1"/>
  <c r="FE22" i="34" s="1"/>
  <c r="FC42" i="34"/>
  <c r="FB42" i="34"/>
  <c r="AG64" i="15"/>
  <c r="BX16" i="59" s="1"/>
  <c r="FF47" i="34" s="1"/>
  <c r="AT78" i="15"/>
  <c r="AA64" i="15" s="1"/>
  <c r="BW16" i="59" s="1"/>
  <c r="FE47" i="34" s="1"/>
  <c r="AG66" i="12"/>
  <c r="CF13" i="59" s="1"/>
  <c r="FF37" i="34" s="1"/>
  <c r="AT84" i="12"/>
  <c r="AA66" i="12" s="1"/>
  <c r="CE13" i="59" s="1"/>
  <c r="FE37" i="34" s="1"/>
  <c r="AT81" i="9"/>
  <c r="AA65" i="9" s="1"/>
  <c r="CA10" i="59" s="1"/>
  <c r="FE24" i="34" s="1"/>
  <c r="AG65" i="9"/>
  <c r="CB10" i="59" s="1"/>
  <c r="FF24" i="34" s="1"/>
  <c r="FB26" i="34"/>
  <c r="FC26" i="34"/>
  <c r="FC13" i="34"/>
  <c r="FB13" i="34"/>
  <c r="FB29" i="34"/>
  <c r="FC29" i="34"/>
  <c r="FB12" i="34"/>
  <c r="FC12" i="34"/>
  <c r="AT84" i="15"/>
  <c r="AA66" i="15" s="1"/>
  <c r="CE16" i="59" s="1"/>
  <c r="FE49" i="34" s="1"/>
  <c r="AG66" i="15"/>
  <c r="CF16" i="59" s="1"/>
  <c r="FF49" i="34" s="1"/>
  <c r="AT75" i="7"/>
  <c r="AA63" i="7" s="1"/>
  <c r="BS8" i="59" s="1"/>
  <c r="FE14" i="34" s="1"/>
  <c r="AG63" i="7"/>
  <c r="BT8" i="59" s="1"/>
  <c r="FF14" i="34" s="1"/>
  <c r="AT84" i="7"/>
  <c r="AA66" i="7" s="1"/>
  <c r="CE8" i="59" s="1"/>
  <c r="FE17" i="34" s="1"/>
  <c r="AG66" i="7"/>
  <c r="CF8" i="59" s="1"/>
  <c r="FF17" i="34" s="1"/>
  <c r="FC20" i="34"/>
  <c r="FB20" i="34"/>
  <c r="FB44" i="34"/>
  <c r="FC44" i="34"/>
  <c r="FB21" i="34"/>
  <c r="FC21" i="34"/>
  <c r="FC4" i="34"/>
  <c r="FB4" i="34"/>
  <c r="AT81" i="7"/>
  <c r="AA65" i="7" s="1"/>
  <c r="CA8" i="59" s="1"/>
  <c r="FE16" i="34" s="1"/>
  <c r="AG65" i="7"/>
  <c r="CB8" i="59" s="1"/>
  <c r="FF16" i="34" s="1"/>
  <c r="AG64" i="12"/>
  <c r="BX13" i="59" s="1"/>
  <c r="FF35" i="34" s="1"/>
  <c r="AT78" i="12"/>
  <c r="AA64" i="12" s="1"/>
  <c r="BW13" i="59" s="1"/>
  <c r="FE35" i="34" s="1"/>
  <c r="FC43" i="34"/>
  <c r="FB43" i="34"/>
  <c r="FC5" i="34"/>
  <c r="FB5" i="34"/>
  <c r="AT78" i="9"/>
  <c r="AA64" i="9" s="1"/>
  <c r="BW10" i="59" s="1"/>
  <c r="FE23" i="34" s="1"/>
  <c r="AG64" i="9"/>
  <c r="BX10" i="59" s="1"/>
  <c r="FF23" i="34" s="1"/>
  <c r="FC27" i="34"/>
  <c r="FB27" i="34"/>
  <c r="FB19" i="34"/>
  <c r="FC19" i="34"/>
  <c r="AT75" i="15"/>
  <c r="AA63" i="15" s="1"/>
  <c r="BS16" i="59" s="1"/>
  <c r="FE46" i="34" s="1"/>
  <c r="AG63" i="15"/>
  <c r="BT16" i="59" s="1"/>
  <c r="FF46" i="34" s="1"/>
  <c r="AT78" i="7"/>
  <c r="AA64" i="7" s="1"/>
  <c r="BW8" i="59" s="1"/>
  <c r="FE15" i="34" s="1"/>
  <c r="AG64" i="7"/>
  <c r="BX8" i="59" s="1"/>
  <c r="FF15" i="34" s="1"/>
  <c r="FB10" i="34"/>
  <c r="FC10" i="34"/>
  <c r="FB3" i="34"/>
  <c r="FC3" i="34"/>
  <c r="FC47" i="34" l="1"/>
  <c r="FB47" i="34"/>
  <c r="FC22" i="34"/>
  <c r="FB22" i="34"/>
  <c r="FB25" i="34"/>
  <c r="FC25" i="34"/>
  <c r="FB15" i="34"/>
  <c r="FC15" i="34"/>
  <c r="FB23" i="34"/>
  <c r="FC23" i="34"/>
  <c r="FC16" i="34"/>
  <c r="FB16" i="34"/>
  <c r="FB14" i="34"/>
  <c r="FC14" i="34"/>
  <c r="FC24" i="34"/>
  <c r="FB24" i="34"/>
  <c r="FB35" i="34"/>
  <c r="FC35" i="34"/>
  <c r="FB37" i="34"/>
  <c r="FC37" i="34"/>
  <c r="FB46" i="34"/>
  <c r="FC46" i="34"/>
  <c r="FB17" i="34"/>
  <c r="FC17" i="34"/>
  <c r="FC49" i="34"/>
  <c r="FB49" i="34"/>
  <c r="FC48" i="34"/>
  <c r="FB48" i="34"/>
  <c r="FC34" i="34"/>
  <c r="FB34" i="34"/>
  <c r="FC36" i="34"/>
  <c r="FB36" i="34"/>
  <c r="A26" i="80" l="1" a="1"/>
  <c r="A26" i="80" s="1"/>
  <c r="B26" i="80" s="1"/>
  <c r="C26" i="80" s="1"/>
  <c r="A53" i="80" a="1"/>
  <c r="A53" i="80" s="1"/>
  <c r="B53" i="80" s="1"/>
  <c r="C53" i="80" s="1"/>
  <c r="H26" i="80" l="1"/>
  <c r="G26" i="80"/>
  <c r="A27" i="80" a="1"/>
  <c r="A27" i="80" s="1"/>
  <c r="A28" i="80" s="1" a="1"/>
  <c r="A28" i="80" s="1"/>
  <c r="H28" i="80" s="1"/>
  <c r="H53" i="80"/>
  <c r="G53" i="80"/>
  <c r="A54" i="80" a="1"/>
  <c r="A54" i="80" s="1"/>
  <c r="A55" i="80" s="1" a="1"/>
  <c r="A55" i="80" s="1"/>
  <c r="H55" i="80" s="1"/>
  <c r="A29" i="80" l="1" a="1"/>
  <c r="A29" i="80" s="1"/>
  <c r="A30" i="80" s="1" a="1"/>
  <c r="A30" i="80" s="1"/>
  <c r="H30" i="80" s="1"/>
  <c r="B27" i="80"/>
  <c r="C27" i="80" s="1"/>
  <c r="G28" i="80"/>
  <c r="G27" i="80"/>
  <c r="B28" i="80"/>
  <c r="C28" i="80" s="1"/>
  <c r="H27" i="80"/>
  <c r="H54" i="80"/>
  <c r="B54" i="80"/>
  <c r="C54" i="80" s="1"/>
  <c r="B55" i="80"/>
  <c r="C55" i="80" s="1"/>
  <c r="G55" i="80"/>
  <c r="A56" i="80" a="1"/>
  <c r="A56" i="80" s="1"/>
  <c r="G56" i="80" s="1"/>
  <c r="G54" i="80"/>
  <c r="H29" i="80" l="1"/>
  <c r="G30" i="80"/>
  <c r="B29" i="80"/>
  <c r="C29" i="80" s="1"/>
  <c r="A31" i="80" a="1"/>
  <c r="A31" i="80" s="1"/>
  <c r="B31" i="80" s="1"/>
  <c r="C31" i="80" s="1"/>
  <c r="B30" i="80"/>
  <c r="C30" i="80" s="1"/>
  <c r="G29" i="80"/>
  <c r="A57" i="80" a="1"/>
  <c r="A57" i="80" s="1"/>
  <c r="B57" i="80" s="1"/>
  <c r="C57" i="80" s="1"/>
  <c r="H56" i="80"/>
  <c r="B56" i="80"/>
  <c r="C56" i="80" s="1"/>
  <c r="A32" i="80" l="1" a="1"/>
  <c r="A32" i="80" s="1"/>
  <c r="G32" i="80" s="1"/>
  <c r="H31" i="80"/>
  <c r="G31" i="80"/>
  <c r="G57" i="80"/>
  <c r="H57" i="80"/>
  <c r="A58" i="80" a="1"/>
  <c r="A58" i="80" s="1"/>
  <c r="A59" i="80" s="1" a="1"/>
  <c r="A59" i="80" s="1"/>
  <c r="A60" i="80" s="1" a="1"/>
  <c r="A60" i="80" s="1"/>
  <c r="A33" i="80" l="1" a="1"/>
  <c r="A33" i="80" s="1"/>
  <c r="H33" i="80" s="1"/>
  <c r="H32" i="80"/>
  <c r="B32" i="80"/>
  <c r="C32" i="80" s="1"/>
  <c r="B58" i="80"/>
  <c r="C58" i="80" s="1"/>
  <c r="H58" i="80"/>
  <c r="G58" i="80"/>
  <c r="B60" i="80"/>
  <c r="C60" i="80" s="1"/>
  <c r="G60" i="80"/>
  <c r="H60" i="80"/>
  <c r="A61" i="80" a="1"/>
  <c r="A61" i="80" s="1"/>
  <c r="H59" i="80"/>
  <c r="B59" i="80"/>
  <c r="C59" i="80" s="1"/>
  <c r="G59" i="80"/>
  <c r="A34" i="80" l="1" a="1"/>
  <c r="A34" i="80" s="1"/>
  <c r="H34" i="80" s="1"/>
  <c r="B33" i="80"/>
  <c r="C33" i="80" s="1"/>
  <c r="G33" i="80"/>
  <c r="G61" i="80"/>
  <c r="H61" i="80"/>
  <c r="B61" i="80"/>
  <c r="C61" i="80" s="1"/>
  <c r="A62" i="80" a="1"/>
  <c r="A62" i="80" s="1"/>
  <c r="A35" i="80" l="1" a="1"/>
  <c r="A35" i="80" s="1"/>
  <c r="B35" i="80" s="1"/>
  <c r="C35" i="80" s="1"/>
  <c r="B34" i="80"/>
  <c r="C34" i="80" s="1"/>
  <c r="G34" i="80"/>
  <c r="H62" i="80"/>
  <c r="G62" i="80"/>
  <c r="B62" i="80"/>
  <c r="C62" i="80" s="1"/>
  <c r="A63" i="80" a="1"/>
  <c r="A63" i="80" s="1"/>
  <c r="A36" i="80" l="1" a="1"/>
  <c r="A36" i="80" s="1"/>
  <c r="G36" i="80" s="1"/>
  <c r="G35" i="80"/>
  <c r="H35" i="80"/>
  <c r="B63" i="80"/>
  <c r="C63" i="80" s="1"/>
  <c r="G63" i="80"/>
  <c r="H63" i="80"/>
  <c r="A64" i="80" a="1"/>
  <c r="A64" i="80" s="1"/>
  <c r="A37" i="80" l="1" a="1"/>
  <c r="A37" i="80" s="1"/>
  <c r="H37" i="80" s="1"/>
  <c r="H36" i="80"/>
  <c r="B36" i="80"/>
  <c r="C36" i="80" s="1"/>
  <c r="H64" i="80"/>
  <c r="B64" i="80"/>
  <c r="C64" i="80" s="1"/>
  <c r="G64" i="80"/>
  <c r="A65" i="80" a="1"/>
  <c r="A65" i="80" s="1"/>
  <c r="B37" i="80" l="1"/>
  <c r="C37" i="80" s="1"/>
  <c r="G37" i="80"/>
  <c r="A38" i="80" a="1"/>
  <c r="A38" i="80" s="1"/>
  <c r="A39" i="80" s="1" a="1"/>
  <c r="A39" i="80" s="1"/>
  <c r="H65" i="80"/>
  <c r="B65" i="80"/>
  <c r="C65" i="80" s="1"/>
  <c r="G65" i="80"/>
  <c r="A66" i="80" a="1"/>
  <c r="A66" i="80" s="1"/>
  <c r="G38" i="80" l="1"/>
  <c r="H38" i="80"/>
  <c r="B38" i="80"/>
  <c r="C38" i="80" s="1"/>
  <c r="B66" i="80"/>
  <c r="C66" i="80" s="1"/>
  <c r="H66" i="80"/>
  <c r="G66" i="80"/>
  <c r="A67" i="80" a="1"/>
  <c r="A67" i="80" s="1"/>
  <c r="B39" i="80"/>
  <c r="C39" i="80" s="1"/>
  <c r="H39" i="80"/>
  <c r="G39" i="80"/>
  <c r="A40" i="80" a="1"/>
  <c r="A40" i="80" s="1"/>
  <c r="B67" i="80" l="1"/>
  <c r="C67" i="80" s="1"/>
  <c r="H67" i="80"/>
  <c r="G67" i="80"/>
  <c r="A68" i="80" a="1"/>
  <c r="A68" i="80" s="1"/>
  <c r="B40" i="80"/>
  <c r="C40" i="80" s="1"/>
  <c r="H40" i="80"/>
  <c r="G40" i="80"/>
  <c r="A41" i="80" a="1"/>
  <c r="A41" i="80" s="1"/>
  <c r="B68" i="80" l="1"/>
  <c r="C68" i="80" s="1"/>
  <c r="G68" i="80"/>
  <c r="H68" i="80"/>
  <c r="A69" i="80" a="1"/>
  <c r="A69" i="80" s="1"/>
  <c r="B41" i="80"/>
  <c r="C41" i="80" s="1"/>
  <c r="G41" i="80"/>
  <c r="H41" i="80"/>
  <c r="A42" i="80" a="1"/>
  <c r="A42" i="80" s="1"/>
  <c r="B69" i="80" l="1"/>
  <c r="C69" i="80" s="1"/>
  <c r="G69" i="80"/>
  <c r="H69" i="80"/>
  <c r="A70" i="80" a="1"/>
  <c r="A70" i="80" s="1"/>
  <c r="B42" i="80"/>
  <c r="C42" i="80" s="1"/>
  <c r="G42" i="80"/>
  <c r="H42" i="80"/>
  <c r="A43" i="80" a="1"/>
  <c r="A43" i="80" s="1"/>
  <c r="G70" i="80" l="1"/>
  <c r="H70" i="80"/>
  <c r="B70" i="80"/>
  <c r="C70" i="80" s="1"/>
  <c r="A71" i="80" a="1"/>
  <c r="A71" i="80" s="1"/>
  <c r="B43" i="80"/>
  <c r="C43" i="80" s="1"/>
  <c r="G43" i="80"/>
  <c r="H43" i="80"/>
  <c r="A44" i="80" a="1"/>
  <c r="A44" i="80" s="1"/>
  <c r="B71" i="80" l="1"/>
  <c r="C71" i="80" s="1"/>
  <c r="G71" i="80"/>
  <c r="H71" i="80"/>
  <c r="A72" i="80" a="1"/>
  <c r="A72" i="80" s="1"/>
  <c r="H44" i="80"/>
  <c r="B44" i="80"/>
  <c r="C44" i="80" s="1"/>
  <c r="G44" i="80"/>
  <c r="A45" i="80" a="1"/>
  <c r="A45" i="80" s="1"/>
  <c r="H72" i="80" l="1"/>
  <c r="B72" i="80"/>
  <c r="C72" i="80" s="1"/>
  <c r="G72" i="80"/>
  <c r="A73" i="80" a="1"/>
  <c r="A73" i="80" s="1"/>
  <c r="G45" i="80"/>
  <c r="H45" i="80"/>
  <c r="B45" i="80"/>
  <c r="C45" i="80" s="1"/>
  <c r="A46" i="80" a="1"/>
  <c r="A46" i="80" s="1"/>
  <c r="B73" i="80" l="1"/>
  <c r="C73" i="80" s="1"/>
  <c r="H73" i="80"/>
  <c r="G73" i="80"/>
  <c r="A74" i="80" a="1"/>
  <c r="A74" i="80" s="1"/>
  <c r="G46" i="80"/>
  <c r="H46" i="80"/>
  <c r="B46" i="80"/>
  <c r="C46" i="80" s="1"/>
  <c r="A47" i="80" a="1"/>
  <c r="A47" i="80" s="1"/>
  <c r="H74" i="80" l="1"/>
  <c r="G74" i="80"/>
  <c r="B74" i="80"/>
  <c r="C74" i="80" s="1"/>
  <c r="H47" i="80"/>
  <c r="B47" i="80"/>
  <c r="C47" i="80" s="1"/>
  <c r="G47" i="80"/>
  <c r="A49" i="80" a="1"/>
  <c r="A49" i="80" s="1"/>
  <c r="B49" i="80" l="1"/>
  <c r="C49" i="80" s="1"/>
  <c r="H49" i="80"/>
  <c r="G49"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POUTEAU</author>
    <author/>
  </authors>
  <commentList>
    <comment ref="B55" authorId="0" shapeId="0" xr:uid="{00000000-0006-0000-0400-000002000000}">
      <text>
        <r>
          <rPr>
            <b/>
            <sz val="9"/>
            <color indexed="81"/>
            <rFont val="Tahoma"/>
            <family val="2"/>
          </rPr>
          <t>Mettre seulement un nombre sans aucun texte
Si la case est rouge c'est qu'il y a une erreur. 
Si la date de contrat est suppérieur au 30/05 de l'année  en cours mettre obligatoirement 0</t>
        </r>
      </text>
    </comment>
    <comment ref="B63" authorId="1" shapeId="0" xr:uid="{00000000-0006-0000-0400-000003000000}">
      <text>
        <r>
          <rPr>
            <sz val="9"/>
            <color indexed="8"/>
            <rFont val="Tahoma"/>
            <family val="2"/>
            <charset val="1"/>
          </rPr>
          <t xml:space="preserve">Pour l'AM : Pour retrouver votre taux de prélèvement à la source aller dans votre espace perso des impots.
Pour l'employeur : Vérifier sur le site pajemploi
</t>
        </r>
      </text>
    </comment>
    <comment ref="B95" authorId="0" shapeId="0" xr:uid="{00000000-0006-0000-0400-000004000000}">
      <text>
        <r>
          <rPr>
            <b/>
            <sz val="9"/>
            <color indexed="81"/>
            <rFont val="Tahoma"/>
            <family val="2"/>
          </rPr>
          <t>La date de fin de contrat doit être saisie sur la feuille du mois.
Exemple : Si le contrat fini le 10/02 vous devez saisir dans la date sur la feuille "Février"</t>
        </r>
      </text>
    </comment>
    <comment ref="B99" authorId="0" shapeId="0" xr:uid="{00000000-0006-0000-0400-000005000000}">
      <text>
        <r>
          <rPr>
            <b/>
            <sz val="9"/>
            <color indexed="81"/>
            <rFont val="Tahoma"/>
            <family val="2"/>
          </rPr>
          <t>La date de notification doit être saisie sur la même feuille que sur celle où l'on a mis la date de fin de contrat.
Exemple : Si le contrat fini le 10/02 et que la date de notification est le 10/01 vous devez saisir dans la date sur la feuille "Février"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D00-000001000000}">
      <text>
        <r>
          <rPr>
            <sz val="9"/>
            <color indexed="81"/>
            <rFont val="Tahoma"/>
            <family val="2"/>
          </rPr>
          <t xml:space="preserve">Pour saisir par exemple 8h30 mettre 8:30
</t>
        </r>
      </text>
    </comment>
    <comment ref="E29" authorId="0" shapeId="0" xr:uid="{00000000-0006-0000-0D00-00000A000000}">
      <text>
        <r>
          <rPr>
            <b/>
            <sz val="9"/>
            <color indexed="81"/>
            <rFont val="Tahoma"/>
            <family val="2"/>
          </rPr>
          <t>Ne peut être compris entre 47 et 51 semaines</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E00-000001000000}">
      <text>
        <r>
          <rPr>
            <sz val="9"/>
            <color indexed="81"/>
            <rFont val="Tahoma"/>
            <family val="2"/>
          </rPr>
          <t xml:space="preserve">Pour saisir par exemple 8h30 mettre 8:30
</t>
        </r>
      </text>
    </comment>
    <comment ref="E29" authorId="0" shapeId="0" xr:uid="{00000000-0006-0000-0E00-00000A000000}">
      <text>
        <r>
          <rPr>
            <b/>
            <sz val="9"/>
            <color indexed="81"/>
            <rFont val="Tahoma"/>
            <family val="2"/>
          </rPr>
          <t>Ne peut être compris entre 47 et 51 semaines</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F00-000001000000}">
      <text>
        <r>
          <rPr>
            <sz val="9"/>
            <color indexed="81"/>
            <rFont val="Tahoma"/>
            <family val="2"/>
          </rPr>
          <t xml:space="preserve">Pour saisir par exemple 8h30 mettre 8:30
</t>
        </r>
      </text>
    </comment>
    <comment ref="E29" authorId="0" shapeId="0" xr:uid="{00000000-0006-0000-0F00-00000A000000}">
      <text>
        <r>
          <rPr>
            <b/>
            <sz val="9"/>
            <color indexed="81"/>
            <rFont val="Tahoma"/>
            <family val="2"/>
          </rPr>
          <t>Ne peut être compris entre 47 et 51 semaines</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000-000001000000}">
      <text>
        <r>
          <rPr>
            <sz val="9"/>
            <color indexed="81"/>
            <rFont val="Tahoma"/>
            <family val="2"/>
          </rPr>
          <t xml:space="preserve">Pour saisir par exemple 8h30 mettre 8:30
</t>
        </r>
      </text>
    </comment>
    <comment ref="E29" authorId="0" shapeId="0" xr:uid="{00000000-0006-0000-1000-00000A000000}">
      <text>
        <r>
          <rPr>
            <b/>
            <sz val="9"/>
            <color indexed="81"/>
            <rFont val="Tahoma"/>
            <family val="2"/>
          </rPr>
          <t>Ne peut être compris entre 47 et 51 semaines</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100-000001000000}">
      <text>
        <r>
          <rPr>
            <sz val="9"/>
            <color indexed="81"/>
            <rFont val="Tahoma"/>
            <family val="2"/>
          </rPr>
          <t xml:space="preserve">Pour saisir par exemple 8h30 mettre 8:30
</t>
        </r>
      </text>
    </comment>
    <comment ref="B7" authorId="0" shapeId="0" xr:uid="{00000000-0006-0000-1100-000002000000}">
      <text>
        <r>
          <rPr>
            <sz val="9"/>
            <color indexed="81"/>
            <rFont val="Tahoma"/>
            <family val="2"/>
          </rPr>
          <t xml:space="preserve">Pour saisir par exemple 8h30 mettre 8:30
</t>
        </r>
      </text>
    </comment>
    <comment ref="C7" authorId="0" shapeId="0" xr:uid="{00000000-0006-0000-1100-000003000000}">
      <text>
        <r>
          <rPr>
            <sz val="9"/>
            <color indexed="81"/>
            <rFont val="Tahoma"/>
            <family val="2"/>
          </rPr>
          <t xml:space="preserve">Pour saisir par exemple 8h30 mettre 8:30
</t>
        </r>
      </text>
    </comment>
    <comment ref="D7" authorId="0" shapeId="0" xr:uid="{00000000-0006-0000-1100-000004000000}">
      <text>
        <r>
          <rPr>
            <sz val="9"/>
            <color indexed="81"/>
            <rFont val="Tahoma"/>
            <family val="2"/>
          </rPr>
          <t xml:space="preserve">Pour saisir par exemple 8h30 mettre 8:30
</t>
        </r>
      </text>
    </comment>
    <comment ref="E7" authorId="0" shapeId="0" xr:uid="{00000000-0006-0000-1100-000005000000}">
      <text>
        <r>
          <rPr>
            <sz val="9"/>
            <color indexed="81"/>
            <rFont val="Tahoma"/>
            <family val="2"/>
          </rPr>
          <t xml:space="preserve">Pour saisir par exemple 8h30 mettre 8:30
</t>
        </r>
      </text>
    </comment>
    <comment ref="B8" authorId="0" shapeId="0" xr:uid="{00000000-0006-0000-1100-000006000000}">
      <text>
        <r>
          <rPr>
            <sz val="9"/>
            <color indexed="81"/>
            <rFont val="Tahoma"/>
            <family val="2"/>
          </rPr>
          <t xml:space="preserve">Pour saisir par exemple 8h30 mettre 8:30
</t>
        </r>
      </text>
    </comment>
    <comment ref="C8" authorId="0" shapeId="0" xr:uid="{00000000-0006-0000-1100-000007000000}">
      <text>
        <r>
          <rPr>
            <sz val="9"/>
            <color indexed="81"/>
            <rFont val="Tahoma"/>
            <family val="2"/>
          </rPr>
          <t xml:space="preserve">Pour saisir par exemple 8h30 mettre 8:30
</t>
        </r>
      </text>
    </comment>
    <comment ref="D8" authorId="0" shapeId="0" xr:uid="{00000000-0006-0000-1100-000008000000}">
      <text>
        <r>
          <rPr>
            <sz val="9"/>
            <color indexed="81"/>
            <rFont val="Tahoma"/>
            <family val="2"/>
          </rPr>
          <t xml:space="preserve">Pour saisir par exemple 8h30 mettre 8:30
</t>
        </r>
      </text>
    </comment>
    <comment ref="E8" authorId="0" shapeId="0" xr:uid="{00000000-0006-0000-1100-000009000000}">
      <text>
        <r>
          <rPr>
            <sz val="9"/>
            <color indexed="81"/>
            <rFont val="Tahoma"/>
            <family val="2"/>
          </rPr>
          <t xml:space="preserve">Pour saisir par exemple 8h30 mettre 8:30
</t>
        </r>
      </text>
    </comment>
    <comment ref="B9" authorId="0" shapeId="0" xr:uid="{00000000-0006-0000-1100-00000A000000}">
      <text>
        <r>
          <rPr>
            <sz val="9"/>
            <color indexed="81"/>
            <rFont val="Tahoma"/>
            <family val="2"/>
          </rPr>
          <t xml:space="preserve">Pour saisir par exemple 8h30 mettre 8:30
</t>
        </r>
      </text>
    </comment>
    <comment ref="C9" authorId="0" shapeId="0" xr:uid="{00000000-0006-0000-1100-00000B000000}">
      <text>
        <r>
          <rPr>
            <sz val="9"/>
            <color indexed="81"/>
            <rFont val="Tahoma"/>
            <family val="2"/>
          </rPr>
          <t xml:space="preserve">Pour saisir par exemple 8h30 mettre 8:30
</t>
        </r>
      </text>
    </comment>
    <comment ref="D9" authorId="0" shapeId="0" xr:uid="{00000000-0006-0000-1100-00000C000000}">
      <text>
        <r>
          <rPr>
            <sz val="9"/>
            <color indexed="81"/>
            <rFont val="Tahoma"/>
            <family val="2"/>
          </rPr>
          <t xml:space="preserve">Pour saisir par exemple 8h30 mettre 8:30
</t>
        </r>
      </text>
    </comment>
    <comment ref="E9" authorId="0" shapeId="0" xr:uid="{00000000-0006-0000-1100-00000D000000}">
      <text>
        <r>
          <rPr>
            <sz val="9"/>
            <color indexed="81"/>
            <rFont val="Tahoma"/>
            <family val="2"/>
          </rPr>
          <t xml:space="preserve">Pour saisir par exemple 8h30 mettre 8:30
</t>
        </r>
      </text>
    </comment>
    <comment ref="B10" authorId="0" shapeId="0" xr:uid="{00000000-0006-0000-1100-00000E000000}">
      <text>
        <r>
          <rPr>
            <sz val="9"/>
            <color indexed="81"/>
            <rFont val="Tahoma"/>
            <family val="2"/>
          </rPr>
          <t xml:space="preserve">Pour saisir par exemple 8h30 mettre 8:30
</t>
        </r>
      </text>
    </comment>
    <comment ref="C10" authorId="0" shapeId="0" xr:uid="{00000000-0006-0000-1100-00000F000000}">
      <text>
        <r>
          <rPr>
            <sz val="9"/>
            <color indexed="81"/>
            <rFont val="Tahoma"/>
            <family val="2"/>
          </rPr>
          <t xml:space="preserve">Pour saisir par exemple 8h30 mettre 8:30
</t>
        </r>
      </text>
    </comment>
    <comment ref="D10" authorId="0" shapeId="0" xr:uid="{00000000-0006-0000-1100-000010000000}">
      <text>
        <r>
          <rPr>
            <sz val="9"/>
            <color indexed="81"/>
            <rFont val="Tahoma"/>
            <family val="2"/>
          </rPr>
          <t xml:space="preserve">Pour saisir par exemple 8h30 mettre 8:30
</t>
        </r>
      </text>
    </comment>
    <comment ref="E10" authorId="0" shapeId="0" xr:uid="{00000000-0006-0000-1100-000011000000}">
      <text>
        <r>
          <rPr>
            <sz val="9"/>
            <color indexed="81"/>
            <rFont val="Tahoma"/>
            <family val="2"/>
          </rPr>
          <t xml:space="preserve">Pour saisir par exemple 8h30 mettre 8:30
</t>
        </r>
      </text>
    </comment>
    <comment ref="B11" authorId="0" shapeId="0" xr:uid="{00000000-0006-0000-1100-000012000000}">
      <text>
        <r>
          <rPr>
            <sz val="9"/>
            <color indexed="81"/>
            <rFont val="Tahoma"/>
            <family val="2"/>
          </rPr>
          <t xml:space="preserve">Pour saisir par exemple 8h30 mettre 8:30
</t>
        </r>
      </text>
    </comment>
    <comment ref="C11" authorId="0" shapeId="0" xr:uid="{00000000-0006-0000-1100-000013000000}">
      <text>
        <r>
          <rPr>
            <sz val="9"/>
            <color indexed="81"/>
            <rFont val="Tahoma"/>
            <family val="2"/>
          </rPr>
          <t xml:space="preserve">Pour saisir par exemple 8h30 mettre 8:30
</t>
        </r>
      </text>
    </comment>
    <comment ref="D11" authorId="0" shapeId="0" xr:uid="{00000000-0006-0000-1100-000014000000}">
      <text>
        <r>
          <rPr>
            <sz val="9"/>
            <color indexed="81"/>
            <rFont val="Tahoma"/>
            <family val="2"/>
          </rPr>
          <t xml:space="preserve">Pour saisir par exemple 8h30 mettre 8:30
</t>
        </r>
      </text>
    </comment>
    <comment ref="E11" authorId="0" shapeId="0" xr:uid="{00000000-0006-0000-1100-000015000000}">
      <text>
        <r>
          <rPr>
            <sz val="9"/>
            <color indexed="81"/>
            <rFont val="Tahoma"/>
            <family val="2"/>
          </rPr>
          <t xml:space="preserve">Pour saisir par exemple 8h30 mettre 8:30
</t>
        </r>
      </text>
    </comment>
    <comment ref="B12" authorId="0" shapeId="0" xr:uid="{00000000-0006-0000-1100-000016000000}">
      <text>
        <r>
          <rPr>
            <sz val="9"/>
            <color indexed="81"/>
            <rFont val="Tahoma"/>
            <family val="2"/>
          </rPr>
          <t xml:space="preserve">Pour saisir par exemple 8h30 mettre 8:30
</t>
        </r>
      </text>
    </comment>
    <comment ref="C12" authorId="0" shapeId="0" xr:uid="{00000000-0006-0000-1100-000017000000}">
      <text>
        <r>
          <rPr>
            <sz val="9"/>
            <color indexed="81"/>
            <rFont val="Tahoma"/>
            <family val="2"/>
          </rPr>
          <t xml:space="preserve">Pour saisir par exemple 8h30 mettre 8:30
</t>
        </r>
      </text>
    </comment>
    <comment ref="D12" authorId="0" shapeId="0" xr:uid="{00000000-0006-0000-1100-000018000000}">
      <text>
        <r>
          <rPr>
            <sz val="9"/>
            <color indexed="81"/>
            <rFont val="Tahoma"/>
            <family val="2"/>
          </rPr>
          <t xml:space="preserve">Pour saisir par exemple 8h30 mettre 8:30
</t>
        </r>
      </text>
    </comment>
    <comment ref="E12" authorId="0" shapeId="0" xr:uid="{00000000-0006-0000-1100-000019000000}">
      <text>
        <r>
          <rPr>
            <sz val="9"/>
            <color indexed="81"/>
            <rFont val="Tahoma"/>
            <family val="2"/>
          </rPr>
          <t xml:space="preserve">Pour saisir par exemple 8h30 mettre 8:30
</t>
        </r>
      </text>
    </comment>
    <comment ref="B13" authorId="0" shapeId="0" xr:uid="{00000000-0006-0000-1100-00001A000000}">
      <text>
        <r>
          <rPr>
            <sz val="9"/>
            <color indexed="81"/>
            <rFont val="Tahoma"/>
            <family val="2"/>
          </rPr>
          <t xml:space="preserve">Pour saisir par exemple 8h30 mettre 8:30
</t>
        </r>
      </text>
    </comment>
    <comment ref="C13" authorId="0" shapeId="0" xr:uid="{00000000-0006-0000-1100-00001B000000}">
      <text>
        <r>
          <rPr>
            <sz val="9"/>
            <color indexed="81"/>
            <rFont val="Tahoma"/>
            <family val="2"/>
          </rPr>
          <t xml:space="preserve">Pour saisir par exemple 8h30 mettre 8:30
</t>
        </r>
      </text>
    </comment>
    <comment ref="D13" authorId="0" shapeId="0" xr:uid="{00000000-0006-0000-1100-00001C000000}">
      <text>
        <r>
          <rPr>
            <sz val="9"/>
            <color indexed="81"/>
            <rFont val="Tahoma"/>
            <family val="2"/>
          </rPr>
          <t xml:space="preserve">Pour saisir par exemple 8h30 mettre 8:30
</t>
        </r>
      </text>
    </comment>
    <comment ref="E13" authorId="0" shapeId="0" xr:uid="{00000000-0006-0000-1100-00001D000000}">
      <text>
        <r>
          <rPr>
            <sz val="9"/>
            <color indexed="81"/>
            <rFont val="Tahoma"/>
            <family val="2"/>
          </rPr>
          <t xml:space="preserve">Pour saisir par exemple 8h30 mettre 8:30
</t>
        </r>
      </text>
    </comment>
    <comment ref="E29" authorId="0" shapeId="0" xr:uid="{00000000-0006-0000-1100-000026000000}">
      <text>
        <r>
          <rPr>
            <b/>
            <sz val="9"/>
            <color indexed="81"/>
            <rFont val="Tahoma"/>
            <family val="2"/>
          </rPr>
          <t>Ne peut être compris entre 47 et 51 semaines</t>
        </r>
        <r>
          <rPr>
            <sz val="9"/>
            <color indexed="81"/>
            <rFont val="Tahoma"/>
            <family val="2"/>
          </rPr>
          <t xml:space="preserve">
</t>
        </r>
      </text>
    </comment>
    <comment ref="W36" authorId="0" shapeId="0" xr:uid="{EB96EAF8-20F7-4183-AA0F-F86FB132CA96}">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200-000001000000}">
      <text>
        <r>
          <rPr>
            <sz val="9"/>
            <color indexed="81"/>
            <rFont val="Tahoma"/>
            <family val="2"/>
          </rPr>
          <t xml:space="preserve">Pour saisir par exemple 8h30 mettre 8:30
</t>
        </r>
      </text>
    </comment>
    <comment ref="B7" authorId="0" shapeId="0" xr:uid="{00000000-0006-0000-1200-000002000000}">
      <text>
        <r>
          <rPr>
            <sz val="9"/>
            <color indexed="81"/>
            <rFont val="Tahoma"/>
            <family val="2"/>
          </rPr>
          <t xml:space="preserve">Pour saisir par exemple 8h30 mettre 8:30
</t>
        </r>
      </text>
    </comment>
    <comment ref="C7" authorId="0" shapeId="0" xr:uid="{00000000-0006-0000-1200-000003000000}">
      <text>
        <r>
          <rPr>
            <sz val="9"/>
            <color indexed="81"/>
            <rFont val="Tahoma"/>
            <family val="2"/>
          </rPr>
          <t xml:space="preserve">Pour saisir par exemple 8h30 mettre 8:30
</t>
        </r>
      </text>
    </comment>
    <comment ref="D7" authorId="0" shapeId="0" xr:uid="{00000000-0006-0000-1200-000004000000}">
      <text>
        <r>
          <rPr>
            <sz val="9"/>
            <color indexed="81"/>
            <rFont val="Tahoma"/>
            <family val="2"/>
          </rPr>
          <t xml:space="preserve">Pour saisir par exemple 8h30 mettre 8:30
</t>
        </r>
      </text>
    </comment>
    <comment ref="E7" authorId="0" shapeId="0" xr:uid="{00000000-0006-0000-1200-000005000000}">
      <text>
        <r>
          <rPr>
            <sz val="9"/>
            <color indexed="81"/>
            <rFont val="Tahoma"/>
            <family val="2"/>
          </rPr>
          <t xml:space="preserve">Pour saisir par exemple 8h30 mettre 8:30
</t>
        </r>
      </text>
    </comment>
    <comment ref="B8" authorId="0" shapeId="0" xr:uid="{00000000-0006-0000-1200-000006000000}">
      <text>
        <r>
          <rPr>
            <sz val="9"/>
            <color indexed="81"/>
            <rFont val="Tahoma"/>
            <family val="2"/>
          </rPr>
          <t xml:space="preserve">Pour saisir par exemple 8h30 mettre 8:30
</t>
        </r>
      </text>
    </comment>
    <comment ref="C8" authorId="0" shapeId="0" xr:uid="{00000000-0006-0000-1200-000007000000}">
      <text>
        <r>
          <rPr>
            <sz val="9"/>
            <color indexed="81"/>
            <rFont val="Tahoma"/>
            <family val="2"/>
          </rPr>
          <t xml:space="preserve">Pour saisir par exemple 8h30 mettre 8:30
</t>
        </r>
      </text>
    </comment>
    <comment ref="D8" authorId="0" shapeId="0" xr:uid="{00000000-0006-0000-1200-000008000000}">
      <text>
        <r>
          <rPr>
            <sz val="9"/>
            <color indexed="81"/>
            <rFont val="Tahoma"/>
            <family val="2"/>
          </rPr>
          <t xml:space="preserve">Pour saisir par exemple 8h30 mettre 8:30
</t>
        </r>
      </text>
    </comment>
    <comment ref="E8" authorId="0" shapeId="0" xr:uid="{00000000-0006-0000-1200-000009000000}">
      <text>
        <r>
          <rPr>
            <sz val="9"/>
            <color indexed="81"/>
            <rFont val="Tahoma"/>
            <family val="2"/>
          </rPr>
          <t xml:space="preserve">Pour saisir par exemple 8h30 mettre 8:30
</t>
        </r>
      </text>
    </comment>
    <comment ref="B9" authorId="0" shapeId="0" xr:uid="{00000000-0006-0000-1200-00000A000000}">
      <text>
        <r>
          <rPr>
            <sz val="9"/>
            <color indexed="81"/>
            <rFont val="Tahoma"/>
            <family val="2"/>
          </rPr>
          <t xml:space="preserve">Pour saisir par exemple 8h30 mettre 8:30
</t>
        </r>
      </text>
    </comment>
    <comment ref="C9" authorId="0" shapeId="0" xr:uid="{00000000-0006-0000-1200-00000B000000}">
      <text>
        <r>
          <rPr>
            <sz val="9"/>
            <color indexed="81"/>
            <rFont val="Tahoma"/>
            <family val="2"/>
          </rPr>
          <t xml:space="preserve">Pour saisir par exemple 8h30 mettre 8:30
</t>
        </r>
      </text>
    </comment>
    <comment ref="D9" authorId="0" shapeId="0" xr:uid="{00000000-0006-0000-1200-00000C000000}">
      <text>
        <r>
          <rPr>
            <sz val="9"/>
            <color indexed="81"/>
            <rFont val="Tahoma"/>
            <family val="2"/>
          </rPr>
          <t xml:space="preserve">Pour saisir par exemple 8h30 mettre 8:30
</t>
        </r>
      </text>
    </comment>
    <comment ref="E9" authorId="0" shapeId="0" xr:uid="{00000000-0006-0000-1200-00000D000000}">
      <text>
        <r>
          <rPr>
            <sz val="9"/>
            <color indexed="81"/>
            <rFont val="Tahoma"/>
            <family val="2"/>
          </rPr>
          <t xml:space="preserve">Pour saisir par exemple 8h30 mettre 8:30
</t>
        </r>
      </text>
    </comment>
    <comment ref="B10" authorId="0" shapeId="0" xr:uid="{00000000-0006-0000-1200-00000E000000}">
      <text>
        <r>
          <rPr>
            <sz val="9"/>
            <color indexed="81"/>
            <rFont val="Tahoma"/>
            <family val="2"/>
          </rPr>
          <t xml:space="preserve">Pour saisir par exemple 8h30 mettre 8:30
</t>
        </r>
      </text>
    </comment>
    <comment ref="C10" authorId="0" shapeId="0" xr:uid="{00000000-0006-0000-1200-00000F000000}">
      <text>
        <r>
          <rPr>
            <sz val="9"/>
            <color indexed="81"/>
            <rFont val="Tahoma"/>
            <family val="2"/>
          </rPr>
          <t xml:space="preserve">Pour saisir par exemple 8h30 mettre 8:30
</t>
        </r>
      </text>
    </comment>
    <comment ref="D10" authorId="0" shapeId="0" xr:uid="{00000000-0006-0000-1200-000010000000}">
      <text>
        <r>
          <rPr>
            <sz val="9"/>
            <color indexed="81"/>
            <rFont val="Tahoma"/>
            <family val="2"/>
          </rPr>
          <t xml:space="preserve">Pour saisir par exemple 8h30 mettre 8:30
</t>
        </r>
      </text>
    </comment>
    <comment ref="E10" authorId="0" shapeId="0" xr:uid="{00000000-0006-0000-1200-000011000000}">
      <text>
        <r>
          <rPr>
            <sz val="9"/>
            <color indexed="81"/>
            <rFont val="Tahoma"/>
            <family val="2"/>
          </rPr>
          <t xml:space="preserve">Pour saisir par exemple 8h30 mettre 8:30
</t>
        </r>
      </text>
    </comment>
    <comment ref="B11" authorId="0" shapeId="0" xr:uid="{00000000-0006-0000-1200-000012000000}">
      <text>
        <r>
          <rPr>
            <sz val="9"/>
            <color indexed="81"/>
            <rFont val="Tahoma"/>
            <family val="2"/>
          </rPr>
          <t xml:space="preserve">Pour saisir par exemple 8h30 mettre 8:30
</t>
        </r>
      </text>
    </comment>
    <comment ref="C11" authorId="0" shapeId="0" xr:uid="{00000000-0006-0000-1200-000013000000}">
      <text>
        <r>
          <rPr>
            <sz val="9"/>
            <color indexed="81"/>
            <rFont val="Tahoma"/>
            <family val="2"/>
          </rPr>
          <t xml:space="preserve">Pour saisir par exemple 8h30 mettre 8:30
</t>
        </r>
      </text>
    </comment>
    <comment ref="D11" authorId="0" shapeId="0" xr:uid="{00000000-0006-0000-1200-000014000000}">
      <text>
        <r>
          <rPr>
            <sz val="9"/>
            <color indexed="81"/>
            <rFont val="Tahoma"/>
            <family val="2"/>
          </rPr>
          <t xml:space="preserve">Pour saisir par exemple 8h30 mettre 8:30
</t>
        </r>
      </text>
    </comment>
    <comment ref="E11" authorId="0" shapeId="0" xr:uid="{00000000-0006-0000-1200-000015000000}">
      <text>
        <r>
          <rPr>
            <sz val="9"/>
            <color indexed="81"/>
            <rFont val="Tahoma"/>
            <family val="2"/>
          </rPr>
          <t xml:space="preserve">Pour saisir par exemple 8h30 mettre 8:30
</t>
        </r>
      </text>
    </comment>
    <comment ref="B12" authorId="0" shapeId="0" xr:uid="{00000000-0006-0000-1200-000016000000}">
      <text>
        <r>
          <rPr>
            <sz val="9"/>
            <color indexed="81"/>
            <rFont val="Tahoma"/>
            <family val="2"/>
          </rPr>
          <t xml:space="preserve">Pour saisir par exemple 8h30 mettre 8:30
</t>
        </r>
      </text>
    </comment>
    <comment ref="C12" authorId="0" shapeId="0" xr:uid="{00000000-0006-0000-1200-000017000000}">
      <text>
        <r>
          <rPr>
            <sz val="9"/>
            <color indexed="81"/>
            <rFont val="Tahoma"/>
            <family val="2"/>
          </rPr>
          <t xml:space="preserve">Pour saisir par exemple 8h30 mettre 8:30
</t>
        </r>
      </text>
    </comment>
    <comment ref="D12" authorId="0" shapeId="0" xr:uid="{00000000-0006-0000-1200-000018000000}">
      <text>
        <r>
          <rPr>
            <sz val="9"/>
            <color indexed="81"/>
            <rFont val="Tahoma"/>
            <family val="2"/>
          </rPr>
          <t xml:space="preserve">Pour saisir par exemple 8h30 mettre 8:30
</t>
        </r>
      </text>
    </comment>
    <comment ref="E12" authorId="0" shapeId="0" xr:uid="{00000000-0006-0000-1200-000019000000}">
      <text>
        <r>
          <rPr>
            <sz val="9"/>
            <color indexed="81"/>
            <rFont val="Tahoma"/>
            <family val="2"/>
          </rPr>
          <t xml:space="preserve">Pour saisir par exemple 8h30 mettre 8:30
</t>
        </r>
      </text>
    </comment>
    <comment ref="B13" authorId="0" shapeId="0" xr:uid="{00000000-0006-0000-1200-00001A000000}">
      <text>
        <r>
          <rPr>
            <sz val="9"/>
            <color indexed="81"/>
            <rFont val="Tahoma"/>
            <family val="2"/>
          </rPr>
          <t xml:space="preserve">Pour saisir par exemple 8h30 mettre 8:30
</t>
        </r>
      </text>
    </comment>
    <comment ref="C13" authorId="0" shapeId="0" xr:uid="{00000000-0006-0000-1200-00001B000000}">
      <text>
        <r>
          <rPr>
            <sz val="9"/>
            <color indexed="81"/>
            <rFont val="Tahoma"/>
            <family val="2"/>
          </rPr>
          <t xml:space="preserve">Pour saisir par exemple 8h30 mettre 8:30
</t>
        </r>
      </text>
    </comment>
    <comment ref="D13" authorId="0" shapeId="0" xr:uid="{00000000-0006-0000-1200-00001C000000}">
      <text>
        <r>
          <rPr>
            <sz val="9"/>
            <color indexed="81"/>
            <rFont val="Tahoma"/>
            <family val="2"/>
          </rPr>
          <t xml:space="preserve">Pour saisir par exemple 8h30 mettre 8:30
</t>
        </r>
      </text>
    </comment>
    <comment ref="E13" authorId="0" shapeId="0" xr:uid="{00000000-0006-0000-1200-00001D000000}">
      <text>
        <r>
          <rPr>
            <sz val="9"/>
            <color indexed="81"/>
            <rFont val="Tahoma"/>
            <family val="2"/>
          </rPr>
          <t xml:space="preserve">Pour saisir par exemple 8h30 mettre 8:30
</t>
        </r>
      </text>
    </comment>
    <comment ref="E29" authorId="0" shapeId="0" xr:uid="{00000000-0006-0000-1200-000026000000}">
      <text>
        <r>
          <rPr>
            <b/>
            <sz val="9"/>
            <color indexed="81"/>
            <rFont val="Tahoma"/>
            <family val="2"/>
          </rPr>
          <t>Ne peut être compris entre 47 et 51 semaines</t>
        </r>
        <r>
          <rPr>
            <sz val="9"/>
            <color indexed="81"/>
            <rFont val="Tahoma"/>
            <family val="2"/>
          </rPr>
          <t xml:space="preserve">
</t>
        </r>
      </text>
    </comment>
    <comment ref="W36" authorId="0" shapeId="0" xr:uid="{ACB38FE3-57A1-4325-A9CF-69BC244AC34F}">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1300-000001000000}">
      <text>
        <r>
          <rPr>
            <sz val="9"/>
            <color indexed="81"/>
            <rFont val="Tahoma"/>
            <family val="2"/>
          </rPr>
          <t xml:space="preserve">Pour saisir par exemple 8h30 mettre 8:30
</t>
        </r>
      </text>
    </comment>
    <comment ref="B7" authorId="0" shapeId="0" xr:uid="{00000000-0006-0000-1300-000002000000}">
      <text>
        <r>
          <rPr>
            <sz val="9"/>
            <color indexed="81"/>
            <rFont val="Tahoma"/>
            <family val="2"/>
          </rPr>
          <t xml:space="preserve">Pour saisir par exemple 8h30 mettre 8:30
</t>
        </r>
      </text>
    </comment>
    <comment ref="C7" authorId="0" shapeId="0" xr:uid="{00000000-0006-0000-1300-000003000000}">
      <text>
        <r>
          <rPr>
            <sz val="9"/>
            <color indexed="81"/>
            <rFont val="Tahoma"/>
            <family val="2"/>
          </rPr>
          <t xml:space="preserve">Pour saisir par exemple 8h30 mettre 8:30
</t>
        </r>
      </text>
    </comment>
    <comment ref="D7" authorId="0" shapeId="0" xr:uid="{00000000-0006-0000-1300-000004000000}">
      <text>
        <r>
          <rPr>
            <sz val="9"/>
            <color indexed="81"/>
            <rFont val="Tahoma"/>
            <family val="2"/>
          </rPr>
          <t xml:space="preserve">Pour saisir par exemple 8h30 mettre 8:30
</t>
        </r>
      </text>
    </comment>
    <comment ref="E7" authorId="0" shapeId="0" xr:uid="{00000000-0006-0000-1300-000005000000}">
      <text>
        <r>
          <rPr>
            <sz val="9"/>
            <color indexed="81"/>
            <rFont val="Tahoma"/>
            <family val="2"/>
          </rPr>
          <t xml:space="preserve">Pour saisir par exemple 8h30 mettre 8:30
</t>
        </r>
      </text>
    </comment>
    <comment ref="B8" authorId="0" shapeId="0" xr:uid="{00000000-0006-0000-1300-000006000000}">
      <text>
        <r>
          <rPr>
            <sz val="9"/>
            <color indexed="81"/>
            <rFont val="Tahoma"/>
            <family val="2"/>
          </rPr>
          <t xml:space="preserve">Pour saisir par exemple 8h30 mettre 8:30
</t>
        </r>
      </text>
    </comment>
    <comment ref="C8" authorId="0" shapeId="0" xr:uid="{00000000-0006-0000-1300-000007000000}">
      <text>
        <r>
          <rPr>
            <sz val="9"/>
            <color indexed="81"/>
            <rFont val="Tahoma"/>
            <family val="2"/>
          </rPr>
          <t xml:space="preserve">Pour saisir par exemple 8h30 mettre 8:30
</t>
        </r>
      </text>
    </comment>
    <comment ref="D8" authorId="0" shapeId="0" xr:uid="{00000000-0006-0000-1300-000008000000}">
      <text>
        <r>
          <rPr>
            <sz val="9"/>
            <color indexed="81"/>
            <rFont val="Tahoma"/>
            <family val="2"/>
          </rPr>
          <t xml:space="preserve">Pour saisir par exemple 8h30 mettre 8:30
</t>
        </r>
      </text>
    </comment>
    <comment ref="E8" authorId="0" shapeId="0" xr:uid="{00000000-0006-0000-1300-000009000000}">
      <text>
        <r>
          <rPr>
            <sz val="9"/>
            <color indexed="81"/>
            <rFont val="Tahoma"/>
            <family val="2"/>
          </rPr>
          <t xml:space="preserve">Pour saisir par exemple 8h30 mettre 8:30
</t>
        </r>
      </text>
    </comment>
    <comment ref="B9" authorId="0" shapeId="0" xr:uid="{00000000-0006-0000-1300-00000A000000}">
      <text>
        <r>
          <rPr>
            <sz val="9"/>
            <color indexed="81"/>
            <rFont val="Tahoma"/>
            <family val="2"/>
          </rPr>
          <t xml:space="preserve">Pour saisir par exemple 8h30 mettre 8:30
</t>
        </r>
      </text>
    </comment>
    <comment ref="C9" authorId="0" shapeId="0" xr:uid="{00000000-0006-0000-1300-00000B000000}">
      <text>
        <r>
          <rPr>
            <sz val="9"/>
            <color indexed="81"/>
            <rFont val="Tahoma"/>
            <family val="2"/>
          </rPr>
          <t xml:space="preserve">Pour saisir par exemple 8h30 mettre 8:30
</t>
        </r>
      </text>
    </comment>
    <comment ref="D9" authorId="0" shapeId="0" xr:uid="{00000000-0006-0000-1300-00000C000000}">
      <text>
        <r>
          <rPr>
            <sz val="9"/>
            <color indexed="81"/>
            <rFont val="Tahoma"/>
            <family val="2"/>
          </rPr>
          <t xml:space="preserve">Pour saisir par exemple 8h30 mettre 8:30
</t>
        </r>
      </text>
    </comment>
    <comment ref="E9" authorId="0" shapeId="0" xr:uid="{00000000-0006-0000-1300-00000D000000}">
      <text>
        <r>
          <rPr>
            <sz val="9"/>
            <color indexed="81"/>
            <rFont val="Tahoma"/>
            <family val="2"/>
          </rPr>
          <t xml:space="preserve">Pour saisir par exemple 8h30 mettre 8:30
</t>
        </r>
      </text>
    </comment>
    <comment ref="B10" authorId="0" shapeId="0" xr:uid="{00000000-0006-0000-1300-00000E000000}">
      <text>
        <r>
          <rPr>
            <sz val="9"/>
            <color indexed="81"/>
            <rFont val="Tahoma"/>
            <family val="2"/>
          </rPr>
          <t xml:space="preserve">Pour saisir par exemple 8h30 mettre 8:30
</t>
        </r>
      </text>
    </comment>
    <comment ref="C10" authorId="0" shapeId="0" xr:uid="{00000000-0006-0000-1300-00000F000000}">
      <text>
        <r>
          <rPr>
            <sz val="9"/>
            <color indexed="81"/>
            <rFont val="Tahoma"/>
            <family val="2"/>
          </rPr>
          <t xml:space="preserve">Pour saisir par exemple 8h30 mettre 8:30
</t>
        </r>
      </text>
    </comment>
    <comment ref="D10" authorId="0" shapeId="0" xr:uid="{00000000-0006-0000-1300-000010000000}">
      <text>
        <r>
          <rPr>
            <sz val="9"/>
            <color indexed="81"/>
            <rFont val="Tahoma"/>
            <family val="2"/>
          </rPr>
          <t xml:space="preserve">Pour saisir par exemple 8h30 mettre 8:30
</t>
        </r>
      </text>
    </comment>
    <comment ref="E10" authorId="0" shapeId="0" xr:uid="{00000000-0006-0000-1300-000011000000}">
      <text>
        <r>
          <rPr>
            <sz val="9"/>
            <color indexed="81"/>
            <rFont val="Tahoma"/>
            <family val="2"/>
          </rPr>
          <t xml:space="preserve">Pour saisir par exemple 8h30 mettre 8:30
</t>
        </r>
      </text>
    </comment>
    <comment ref="B11" authorId="0" shapeId="0" xr:uid="{00000000-0006-0000-1300-000012000000}">
      <text>
        <r>
          <rPr>
            <sz val="9"/>
            <color indexed="81"/>
            <rFont val="Tahoma"/>
            <family val="2"/>
          </rPr>
          <t xml:space="preserve">Pour saisir par exemple 8h30 mettre 8:30
</t>
        </r>
      </text>
    </comment>
    <comment ref="C11" authorId="0" shapeId="0" xr:uid="{00000000-0006-0000-1300-000013000000}">
      <text>
        <r>
          <rPr>
            <sz val="9"/>
            <color indexed="81"/>
            <rFont val="Tahoma"/>
            <family val="2"/>
          </rPr>
          <t xml:space="preserve">Pour saisir par exemple 8h30 mettre 8:30
</t>
        </r>
      </text>
    </comment>
    <comment ref="D11" authorId="0" shapeId="0" xr:uid="{00000000-0006-0000-1300-000014000000}">
      <text>
        <r>
          <rPr>
            <sz val="9"/>
            <color indexed="81"/>
            <rFont val="Tahoma"/>
            <family val="2"/>
          </rPr>
          <t xml:space="preserve">Pour saisir par exemple 8h30 mettre 8:30
</t>
        </r>
      </text>
    </comment>
    <comment ref="E11" authorId="0" shapeId="0" xr:uid="{00000000-0006-0000-1300-000015000000}">
      <text>
        <r>
          <rPr>
            <sz val="9"/>
            <color indexed="81"/>
            <rFont val="Tahoma"/>
            <family val="2"/>
          </rPr>
          <t xml:space="preserve">Pour saisir par exemple 8h30 mettre 8:30
</t>
        </r>
      </text>
    </comment>
    <comment ref="B12" authorId="0" shapeId="0" xr:uid="{00000000-0006-0000-1300-000016000000}">
      <text>
        <r>
          <rPr>
            <sz val="9"/>
            <color indexed="81"/>
            <rFont val="Tahoma"/>
            <family val="2"/>
          </rPr>
          <t xml:space="preserve">Pour saisir par exemple 8h30 mettre 8:30
</t>
        </r>
      </text>
    </comment>
    <comment ref="C12" authorId="0" shapeId="0" xr:uid="{00000000-0006-0000-1300-000017000000}">
      <text>
        <r>
          <rPr>
            <sz val="9"/>
            <color indexed="81"/>
            <rFont val="Tahoma"/>
            <family val="2"/>
          </rPr>
          <t xml:space="preserve">Pour saisir par exemple 8h30 mettre 8:30
</t>
        </r>
      </text>
    </comment>
    <comment ref="D12" authorId="0" shapeId="0" xr:uid="{00000000-0006-0000-1300-000018000000}">
      <text>
        <r>
          <rPr>
            <sz val="9"/>
            <color indexed="81"/>
            <rFont val="Tahoma"/>
            <family val="2"/>
          </rPr>
          <t xml:space="preserve">Pour saisir par exemple 8h30 mettre 8:30
</t>
        </r>
      </text>
    </comment>
    <comment ref="E12" authorId="0" shapeId="0" xr:uid="{00000000-0006-0000-1300-000019000000}">
      <text>
        <r>
          <rPr>
            <sz val="9"/>
            <color indexed="81"/>
            <rFont val="Tahoma"/>
            <family val="2"/>
          </rPr>
          <t xml:space="preserve">Pour saisir par exemple 8h30 mettre 8:30
</t>
        </r>
      </text>
    </comment>
    <comment ref="B13" authorId="0" shapeId="0" xr:uid="{00000000-0006-0000-1300-00001A000000}">
      <text>
        <r>
          <rPr>
            <sz val="9"/>
            <color indexed="81"/>
            <rFont val="Tahoma"/>
            <family val="2"/>
          </rPr>
          <t xml:space="preserve">Pour saisir par exemple 8h30 mettre 8:30
</t>
        </r>
      </text>
    </comment>
    <comment ref="C13" authorId="0" shapeId="0" xr:uid="{00000000-0006-0000-1300-00001B000000}">
      <text>
        <r>
          <rPr>
            <sz val="9"/>
            <color indexed="81"/>
            <rFont val="Tahoma"/>
            <family val="2"/>
          </rPr>
          <t xml:space="preserve">Pour saisir par exemple 8h30 mettre 8:30
</t>
        </r>
      </text>
    </comment>
    <comment ref="D13" authorId="0" shapeId="0" xr:uid="{00000000-0006-0000-1300-00001C000000}">
      <text>
        <r>
          <rPr>
            <sz val="9"/>
            <color indexed="81"/>
            <rFont val="Tahoma"/>
            <family val="2"/>
          </rPr>
          <t xml:space="preserve">Pour saisir par exemple 8h30 mettre 8:30
</t>
        </r>
      </text>
    </comment>
    <comment ref="E13" authorId="0" shapeId="0" xr:uid="{00000000-0006-0000-1300-00001D000000}">
      <text>
        <r>
          <rPr>
            <sz val="9"/>
            <color indexed="81"/>
            <rFont val="Tahoma"/>
            <family val="2"/>
          </rPr>
          <t xml:space="preserve">Pour saisir par exemple 8h30 mettre 8:30
</t>
        </r>
      </text>
    </comment>
    <comment ref="E29" authorId="0" shapeId="0" xr:uid="{00000000-0006-0000-1300-000026000000}">
      <text>
        <r>
          <rPr>
            <b/>
            <sz val="9"/>
            <color indexed="81"/>
            <rFont val="Tahoma"/>
            <family val="2"/>
          </rPr>
          <t>Ne peut être compris entre 47 et 51 semaines</t>
        </r>
        <r>
          <rPr>
            <sz val="9"/>
            <color indexed="81"/>
            <rFont val="Tahoma"/>
            <family val="2"/>
          </rPr>
          <t xml:space="preserve">
</t>
        </r>
      </text>
    </comment>
    <comment ref="W36" authorId="0" shapeId="0" xr:uid="{2752B115-2C78-4B00-9F3D-6719DC0979C0}">
      <text>
        <r>
          <rPr>
            <sz val="9"/>
            <color indexed="81"/>
            <rFont val="Tahoma"/>
            <family val="2"/>
          </rPr>
          <t xml:space="preserve">Si c'est OUI, l'ICCP ne sera calculée que par la méthode des 10%
Si c'est NON, l'ICCP est clalculée en maintien de salaire et en 10% et le salarié perçois le montant le plus avantageux.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s>
  <commentList>
    <comment ref="AI11" authorId="0" shapeId="0" xr:uid="{00000000-0006-0000-1600-000001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1" authorId="1" shapeId="0" xr:uid="{00000000-0006-0000-1600-000002000000}">
      <text>
        <r>
          <rPr>
            <b/>
            <sz val="8"/>
            <color indexed="81"/>
            <rFont val="Tahoma"/>
            <family val="2"/>
          </rPr>
          <t>Heures complémentaires non prévues au contrat</t>
        </r>
      </text>
    </comment>
    <comment ref="AO11" authorId="0" shapeId="0" xr:uid="{00000000-0006-0000-1600-000003000000}">
      <text>
        <r>
          <rPr>
            <b/>
            <sz val="9"/>
            <color indexed="81"/>
            <rFont val="Tahoma"/>
            <family val="2"/>
          </rPr>
          <t>Heures supplémentaires non prévues au contrat</t>
        </r>
      </text>
    </comment>
    <comment ref="AR11" authorId="0" shapeId="0" xr:uid="{00000000-0006-0000-1600-000004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1" authorId="0" shapeId="0" xr:uid="{3AD444DD-9263-46D4-8E84-832556593EB0}">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1" authorId="0" shapeId="0" xr:uid="{00000000-0006-0000-1600-000006000000}">
      <text>
        <r>
          <rPr>
            <sz val="10"/>
            <color indexed="81"/>
            <rFont val="Tahoma"/>
            <family val="2"/>
          </rPr>
          <t>Cet écart se calcule par rapport aux heures d'arrivée et de départ des tableaux horaires réels et horaires prévues</t>
        </r>
      </text>
    </comment>
    <comment ref="BE11" authorId="0" shapeId="0" xr:uid="{00000000-0006-0000-1600-000007000000}">
      <text>
        <r>
          <rPr>
            <sz val="10"/>
            <color indexed="81"/>
            <rFont val="Tahoma"/>
            <family val="2"/>
          </rPr>
          <t>Pour mettre la case vide faire supprimer sur la cellule choisi.</t>
        </r>
      </text>
    </comment>
    <comment ref="AZ12" authorId="0" shapeId="0" xr:uid="{00000000-0006-0000-1600-00000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 authorId="0" shapeId="0" xr:uid="{00000000-0006-0000-1600-000009000000}">
      <text>
        <r>
          <rPr>
            <sz val="9"/>
            <color indexed="81"/>
            <rFont val="Tahoma"/>
            <family val="2"/>
          </rPr>
          <t xml:space="preserve">Faire supprimer pour mettre la case vide
</t>
        </r>
      </text>
    </comment>
    <comment ref="AZ13" authorId="0" shapeId="0" xr:uid="{00000000-0006-0000-1600-00000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 authorId="0" shapeId="0" xr:uid="{00000000-0006-0000-1600-00000B000000}">
      <text>
        <r>
          <rPr>
            <sz val="9"/>
            <color indexed="81"/>
            <rFont val="Tahoma"/>
            <family val="2"/>
          </rPr>
          <t xml:space="preserve">Faire supprimer pour mettre la case vide
</t>
        </r>
      </text>
    </comment>
    <comment ref="AZ14" authorId="0" shapeId="0" xr:uid="{00000000-0006-0000-1600-00000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 authorId="0" shapeId="0" xr:uid="{00000000-0006-0000-1600-00000D000000}">
      <text>
        <r>
          <rPr>
            <sz val="9"/>
            <color indexed="81"/>
            <rFont val="Tahoma"/>
            <family val="2"/>
          </rPr>
          <t xml:space="preserve">Faire supprimer pour mettre la case vide
</t>
        </r>
      </text>
    </comment>
    <comment ref="AZ15" authorId="0" shapeId="0" xr:uid="{00000000-0006-0000-1600-00000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 authorId="0" shapeId="0" xr:uid="{00000000-0006-0000-1600-00000F000000}">
      <text>
        <r>
          <rPr>
            <sz val="9"/>
            <color indexed="81"/>
            <rFont val="Tahoma"/>
            <family val="2"/>
          </rPr>
          <t xml:space="preserve">Faire supprimer pour mettre la case vide
</t>
        </r>
      </text>
    </comment>
    <comment ref="AZ16" authorId="0" shapeId="0" xr:uid="{00000000-0006-0000-1600-00001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 authorId="0" shapeId="0" xr:uid="{00000000-0006-0000-1600-000011000000}">
      <text>
        <r>
          <rPr>
            <sz val="9"/>
            <color indexed="81"/>
            <rFont val="Tahoma"/>
            <family val="2"/>
          </rPr>
          <t xml:space="preserve">Faire supprimer pour mettre la case vide
</t>
        </r>
      </text>
    </comment>
    <comment ref="AZ17" authorId="0" shapeId="0" xr:uid="{00000000-0006-0000-1600-00001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 authorId="0" shapeId="0" xr:uid="{00000000-0006-0000-1600-000013000000}">
      <text>
        <r>
          <rPr>
            <sz val="9"/>
            <color indexed="81"/>
            <rFont val="Tahoma"/>
            <family val="2"/>
          </rPr>
          <t xml:space="preserve">Faire supprimer pour mettre la case vide
</t>
        </r>
      </text>
    </comment>
    <comment ref="AZ18" authorId="0" shapeId="0" xr:uid="{00000000-0006-0000-1600-00001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8" authorId="0" shapeId="0" xr:uid="{00000000-0006-0000-1600-000015000000}">
      <text>
        <r>
          <rPr>
            <sz val="9"/>
            <color indexed="81"/>
            <rFont val="Tahoma"/>
            <family val="2"/>
          </rPr>
          <t xml:space="preserve">Faire supprimer pour mettre la case vide
</t>
        </r>
      </text>
    </comment>
    <comment ref="AZ19" authorId="0" shapeId="0" xr:uid="{00000000-0006-0000-1600-00001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 authorId="0" shapeId="0" xr:uid="{00000000-0006-0000-1600-000017000000}">
      <text>
        <r>
          <rPr>
            <sz val="9"/>
            <color indexed="81"/>
            <rFont val="Tahoma"/>
            <family val="2"/>
          </rPr>
          <t xml:space="preserve">Faire supprimer pour mettre la case vide
</t>
        </r>
      </text>
    </comment>
    <comment ref="AZ20" authorId="0" shapeId="0" xr:uid="{00000000-0006-0000-1600-00001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 authorId="0" shapeId="0" xr:uid="{00000000-0006-0000-1600-000019000000}">
      <text>
        <r>
          <rPr>
            <sz val="9"/>
            <color indexed="81"/>
            <rFont val="Tahoma"/>
            <family val="2"/>
          </rPr>
          <t xml:space="preserve">Faire supprimer pour mettre la case vide
</t>
        </r>
      </text>
    </comment>
    <comment ref="AZ21" authorId="0" shapeId="0" xr:uid="{00000000-0006-0000-1600-00001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 authorId="0" shapeId="0" xr:uid="{00000000-0006-0000-1600-00001B000000}">
      <text>
        <r>
          <rPr>
            <sz val="9"/>
            <color indexed="81"/>
            <rFont val="Tahoma"/>
            <family val="2"/>
          </rPr>
          <t xml:space="preserve">Faire supprimer pour mettre la case vide
</t>
        </r>
      </text>
    </comment>
    <comment ref="AZ22" authorId="0" shapeId="0" xr:uid="{00000000-0006-0000-1600-00001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 authorId="0" shapeId="0" xr:uid="{00000000-0006-0000-1600-00001D000000}">
      <text>
        <r>
          <rPr>
            <sz val="9"/>
            <color indexed="81"/>
            <rFont val="Tahoma"/>
            <family val="2"/>
          </rPr>
          <t xml:space="preserve">Faire supprimer pour mettre la case vide
</t>
        </r>
      </text>
    </comment>
    <comment ref="AZ23" authorId="0" shapeId="0" xr:uid="{00000000-0006-0000-1600-00001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 authorId="0" shapeId="0" xr:uid="{00000000-0006-0000-1600-00001F000000}">
      <text>
        <r>
          <rPr>
            <sz val="9"/>
            <color indexed="81"/>
            <rFont val="Tahoma"/>
            <family val="2"/>
          </rPr>
          <t xml:space="preserve">Faire supprimer pour mettre la case vide
</t>
        </r>
      </text>
    </comment>
    <comment ref="AZ24" authorId="0" shapeId="0" xr:uid="{00000000-0006-0000-1600-00002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 authorId="0" shapeId="0" xr:uid="{00000000-0006-0000-1600-000021000000}">
      <text>
        <r>
          <rPr>
            <sz val="9"/>
            <color indexed="81"/>
            <rFont val="Tahoma"/>
            <family val="2"/>
          </rPr>
          <t xml:space="preserve">Faire supprimer pour mettre la case vide
</t>
        </r>
      </text>
    </comment>
    <comment ref="AZ25" authorId="0" shapeId="0" xr:uid="{00000000-0006-0000-1600-00002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 authorId="0" shapeId="0" xr:uid="{00000000-0006-0000-1600-000023000000}">
      <text>
        <r>
          <rPr>
            <sz val="9"/>
            <color indexed="81"/>
            <rFont val="Tahoma"/>
            <family val="2"/>
          </rPr>
          <t xml:space="preserve">Faire supprimer pour mettre la case vide
</t>
        </r>
      </text>
    </comment>
    <comment ref="AZ26" authorId="0" shapeId="0" xr:uid="{00000000-0006-0000-1600-00002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 authorId="0" shapeId="0" xr:uid="{00000000-0006-0000-1600-000025000000}">
      <text>
        <r>
          <rPr>
            <sz val="9"/>
            <color indexed="81"/>
            <rFont val="Tahoma"/>
            <family val="2"/>
          </rPr>
          <t xml:space="preserve">Faire supprimer pour mettre la case vide
</t>
        </r>
      </text>
    </comment>
    <comment ref="AZ27" authorId="0" shapeId="0" xr:uid="{00000000-0006-0000-1600-00002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7" authorId="0" shapeId="0" xr:uid="{00000000-0006-0000-1600-000027000000}">
      <text>
        <r>
          <rPr>
            <sz val="9"/>
            <color indexed="81"/>
            <rFont val="Tahoma"/>
            <family val="2"/>
          </rPr>
          <t xml:space="preserve">Faire supprimer pour mettre la case vide
</t>
        </r>
      </text>
    </comment>
    <comment ref="AZ28" authorId="0" shapeId="0" xr:uid="{00000000-0006-0000-1600-00002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 authorId="0" shapeId="0" xr:uid="{00000000-0006-0000-1600-000029000000}">
      <text>
        <r>
          <rPr>
            <sz val="9"/>
            <color indexed="81"/>
            <rFont val="Tahoma"/>
            <family val="2"/>
          </rPr>
          <t xml:space="preserve">Faire supprimer pour mettre la case vide
</t>
        </r>
      </text>
    </comment>
    <comment ref="AZ29" authorId="0" shapeId="0" xr:uid="{00000000-0006-0000-1600-00002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 authorId="0" shapeId="0" xr:uid="{00000000-0006-0000-1600-00002B000000}">
      <text>
        <r>
          <rPr>
            <sz val="9"/>
            <color indexed="81"/>
            <rFont val="Tahoma"/>
            <family val="2"/>
          </rPr>
          <t xml:space="preserve">Faire supprimer pour mettre la case vide
</t>
        </r>
      </text>
    </comment>
    <comment ref="AZ30" authorId="0" shapeId="0" xr:uid="{00000000-0006-0000-1600-00002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 authorId="0" shapeId="0" xr:uid="{00000000-0006-0000-1600-00002D000000}">
      <text>
        <r>
          <rPr>
            <sz val="9"/>
            <color indexed="81"/>
            <rFont val="Tahoma"/>
            <family val="2"/>
          </rPr>
          <t xml:space="preserve">Faire supprimer pour mettre la case vide
</t>
        </r>
      </text>
    </comment>
    <comment ref="AZ31" authorId="0" shapeId="0" xr:uid="{00000000-0006-0000-1600-00002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 authorId="0" shapeId="0" xr:uid="{00000000-0006-0000-1600-00002F000000}">
      <text>
        <r>
          <rPr>
            <sz val="9"/>
            <color indexed="81"/>
            <rFont val="Tahoma"/>
            <family val="2"/>
          </rPr>
          <t xml:space="preserve">Faire supprimer pour mettre la case vide
</t>
        </r>
      </text>
    </comment>
    <comment ref="AZ32" authorId="0" shapeId="0" xr:uid="{00000000-0006-0000-1600-00003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 authorId="0" shapeId="0" xr:uid="{00000000-0006-0000-1600-000031000000}">
      <text>
        <r>
          <rPr>
            <sz val="9"/>
            <color indexed="81"/>
            <rFont val="Tahoma"/>
            <family val="2"/>
          </rPr>
          <t xml:space="preserve">Faire supprimer pour mettre la case vide
</t>
        </r>
      </text>
    </comment>
    <comment ref="AZ33" authorId="0" shapeId="0" xr:uid="{00000000-0006-0000-1600-00003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 authorId="0" shapeId="0" xr:uid="{00000000-0006-0000-1600-000033000000}">
      <text>
        <r>
          <rPr>
            <sz val="9"/>
            <color indexed="81"/>
            <rFont val="Tahoma"/>
            <family val="2"/>
          </rPr>
          <t xml:space="preserve">Faire supprimer pour mettre la case vide
</t>
        </r>
      </text>
    </comment>
    <comment ref="AZ34" authorId="0" shapeId="0" xr:uid="{00000000-0006-0000-1600-00003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 authorId="0" shapeId="0" xr:uid="{00000000-0006-0000-1600-000035000000}">
      <text>
        <r>
          <rPr>
            <sz val="9"/>
            <color indexed="81"/>
            <rFont val="Tahoma"/>
            <family val="2"/>
          </rPr>
          <t xml:space="preserve">Faire supprimer pour mettre la case vide
</t>
        </r>
      </text>
    </comment>
    <comment ref="AZ35" authorId="0" shapeId="0" xr:uid="{00000000-0006-0000-1600-00003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 authorId="0" shapeId="0" xr:uid="{00000000-0006-0000-1600-000037000000}">
      <text>
        <r>
          <rPr>
            <sz val="9"/>
            <color indexed="81"/>
            <rFont val="Tahoma"/>
            <family val="2"/>
          </rPr>
          <t xml:space="preserve">Faire supprimer pour mettre la case vide
</t>
        </r>
      </text>
    </comment>
    <comment ref="AZ36" authorId="0" shapeId="0" xr:uid="{00000000-0006-0000-1600-00003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6" authorId="0" shapeId="0" xr:uid="{00000000-0006-0000-1600-000039000000}">
      <text>
        <r>
          <rPr>
            <sz val="9"/>
            <color indexed="81"/>
            <rFont val="Tahoma"/>
            <family val="2"/>
          </rPr>
          <t xml:space="preserve">Faire supprimer pour mettre la case vide
</t>
        </r>
      </text>
    </comment>
    <comment ref="AZ37" authorId="0" shapeId="0" xr:uid="{00000000-0006-0000-1600-00003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 authorId="0" shapeId="0" xr:uid="{00000000-0006-0000-1600-00003B000000}">
      <text>
        <r>
          <rPr>
            <sz val="9"/>
            <color indexed="81"/>
            <rFont val="Tahoma"/>
            <family val="2"/>
          </rPr>
          <t xml:space="preserve">Faire supprimer pour mettre la case vide
</t>
        </r>
      </text>
    </comment>
    <comment ref="AZ38" authorId="0" shapeId="0" xr:uid="{00000000-0006-0000-1600-00003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 authorId="0" shapeId="0" xr:uid="{00000000-0006-0000-1600-00003D000000}">
      <text>
        <r>
          <rPr>
            <sz val="9"/>
            <color indexed="81"/>
            <rFont val="Tahoma"/>
            <family val="2"/>
          </rPr>
          <t xml:space="preserve">Faire supprimer pour mettre la case vide
</t>
        </r>
      </text>
    </comment>
    <comment ref="AZ39" authorId="0" shapeId="0" xr:uid="{00000000-0006-0000-1600-00003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 authorId="0" shapeId="0" xr:uid="{00000000-0006-0000-1600-00003F000000}">
      <text>
        <r>
          <rPr>
            <sz val="9"/>
            <color indexed="81"/>
            <rFont val="Tahoma"/>
            <family val="2"/>
          </rPr>
          <t xml:space="preserve">Faire supprimer pour mettre la case vide
</t>
        </r>
      </text>
    </comment>
    <comment ref="AZ40" authorId="0" shapeId="0" xr:uid="{00000000-0006-0000-1600-00004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 authorId="0" shapeId="0" xr:uid="{00000000-0006-0000-1600-000041000000}">
      <text>
        <r>
          <rPr>
            <sz val="9"/>
            <color indexed="81"/>
            <rFont val="Tahoma"/>
            <family val="2"/>
          </rPr>
          <t xml:space="preserve">Faire supprimer pour mettre la case vide
</t>
        </r>
      </text>
    </comment>
    <comment ref="AZ41" authorId="0" shapeId="0" xr:uid="{00000000-0006-0000-1600-00004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 authorId="0" shapeId="0" xr:uid="{00000000-0006-0000-1600-000043000000}">
      <text>
        <r>
          <rPr>
            <sz val="9"/>
            <color indexed="81"/>
            <rFont val="Tahoma"/>
            <family val="2"/>
          </rPr>
          <t xml:space="preserve">Faire supprimer pour mettre la case vide
</t>
        </r>
      </text>
    </comment>
    <comment ref="AZ42" authorId="0" shapeId="0" xr:uid="{00000000-0006-0000-1600-00004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 authorId="0" shapeId="0" xr:uid="{00000000-0006-0000-1600-000045000000}">
      <text>
        <r>
          <rPr>
            <sz val="9"/>
            <color indexed="81"/>
            <rFont val="Tahoma"/>
            <family val="2"/>
          </rPr>
          <t xml:space="preserve">Faire supprimer pour mettre la case vide
</t>
        </r>
      </text>
    </comment>
    <comment ref="AI56" authorId="0" shapeId="0" xr:uid="{00000000-0006-0000-1600-000046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6" authorId="1" shapeId="0" xr:uid="{00000000-0006-0000-1600-000047000000}">
      <text>
        <r>
          <rPr>
            <b/>
            <sz val="8"/>
            <color indexed="81"/>
            <rFont val="Tahoma"/>
            <family val="2"/>
          </rPr>
          <t>Heures complémentaires non prévues au contrat</t>
        </r>
      </text>
    </comment>
    <comment ref="AO56" authorId="0" shapeId="0" xr:uid="{00000000-0006-0000-1600-000048000000}">
      <text>
        <r>
          <rPr>
            <b/>
            <sz val="9"/>
            <color indexed="81"/>
            <rFont val="Tahoma"/>
            <family val="2"/>
          </rPr>
          <t>Heures supplémentaires non prévues au contrat</t>
        </r>
      </text>
    </comment>
    <comment ref="AR56" authorId="0" shapeId="0" xr:uid="{00000000-0006-0000-1600-000049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6" authorId="0" shapeId="0" xr:uid="{1CBBDDE6-F83E-4E9F-ADA9-9C1968ED361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56" authorId="0" shapeId="0" xr:uid="{00000000-0006-0000-1600-00004B000000}">
      <text>
        <r>
          <rPr>
            <sz val="10"/>
            <color indexed="81"/>
            <rFont val="Tahoma"/>
            <family val="2"/>
          </rPr>
          <t>Cet écart se calcule par rapport aux heures d'arrivée et de départ des tableaux horaires réels et horaires prévues</t>
        </r>
      </text>
    </comment>
    <comment ref="BE56" authorId="0" shapeId="0" xr:uid="{00000000-0006-0000-1600-00004C000000}">
      <text>
        <r>
          <rPr>
            <sz val="10"/>
            <color indexed="81"/>
            <rFont val="Tahoma"/>
            <family val="2"/>
          </rPr>
          <t>Pour mettre la case vide faire supprimer sur la cellule choisi.</t>
        </r>
      </text>
    </comment>
    <comment ref="AZ57" authorId="0" shapeId="0" xr:uid="{00000000-0006-0000-1600-00004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7" authorId="0" shapeId="0" xr:uid="{00000000-0006-0000-1600-00004E000000}">
      <text>
        <r>
          <rPr>
            <sz val="9"/>
            <color indexed="81"/>
            <rFont val="Tahoma"/>
            <family val="2"/>
          </rPr>
          <t xml:space="preserve">Faire supprimer pour mettre la case vide
</t>
        </r>
      </text>
    </comment>
    <comment ref="AZ58" authorId="0" shapeId="0" xr:uid="{00000000-0006-0000-1600-00004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8" authorId="0" shapeId="0" xr:uid="{00000000-0006-0000-1600-000050000000}">
      <text>
        <r>
          <rPr>
            <sz val="9"/>
            <color indexed="81"/>
            <rFont val="Tahoma"/>
            <family val="2"/>
          </rPr>
          <t xml:space="preserve">Faire supprimer pour mettre la case vide
</t>
        </r>
      </text>
    </comment>
    <comment ref="AZ59" authorId="0" shapeId="0" xr:uid="{00000000-0006-0000-1600-00005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9" authorId="0" shapeId="0" xr:uid="{00000000-0006-0000-1600-000052000000}">
      <text>
        <r>
          <rPr>
            <sz val="9"/>
            <color indexed="81"/>
            <rFont val="Tahoma"/>
            <family val="2"/>
          </rPr>
          <t xml:space="preserve">Faire supprimer pour mettre la case vide
</t>
        </r>
      </text>
    </comment>
    <comment ref="AZ60" authorId="0" shapeId="0" xr:uid="{00000000-0006-0000-1600-00005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0" authorId="0" shapeId="0" xr:uid="{00000000-0006-0000-1600-000054000000}">
      <text>
        <r>
          <rPr>
            <sz val="9"/>
            <color indexed="81"/>
            <rFont val="Tahoma"/>
            <family val="2"/>
          </rPr>
          <t xml:space="preserve">Faire supprimer pour mettre la case vide
</t>
        </r>
      </text>
    </comment>
    <comment ref="AZ61" authorId="0" shapeId="0" xr:uid="{00000000-0006-0000-1600-00005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1" authorId="0" shapeId="0" xr:uid="{00000000-0006-0000-1600-000056000000}">
      <text>
        <r>
          <rPr>
            <sz val="9"/>
            <color indexed="81"/>
            <rFont val="Tahoma"/>
            <family val="2"/>
          </rPr>
          <t xml:space="preserve">Faire supprimer pour mettre la case vide
</t>
        </r>
      </text>
    </comment>
    <comment ref="AZ62" authorId="0" shapeId="0" xr:uid="{00000000-0006-0000-1600-00005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2" authorId="0" shapeId="0" xr:uid="{00000000-0006-0000-1600-000058000000}">
      <text>
        <r>
          <rPr>
            <sz val="9"/>
            <color indexed="81"/>
            <rFont val="Tahoma"/>
            <family val="2"/>
          </rPr>
          <t xml:space="preserve">Faire supprimer pour mettre la case vide
</t>
        </r>
      </text>
    </comment>
    <comment ref="AZ63" authorId="0" shapeId="0" xr:uid="{00000000-0006-0000-1600-00005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3" authorId="0" shapeId="0" xr:uid="{00000000-0006-0000-1600-00005A000000}">
      <text>
        <r>
          <rPr>
            <sz val="9"/>
            <color indexed="81"/>
            <rFont val="Tahoma"/>
            <family val="2"/>
          </rPr>
          <t xml:space="preserve">Faire supprimer pour mettre la case vide
</t>
        </r>
      </text>
    </comment>
    <comment ref="AZ64" authorId="0" shapeId="0" xr:uid="{00000000-0006-0000-1600-00005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4" authorId="0" shapeId="0" xr:uid="{00000000-0006-0000-1600-00005C000000}">
      <text>
        <r>
          <rPr>
            <sz val="9"/>
            <color indexed="81"/>
            <rFont val="Tahoma"/>
            <family val="2"/>
          </rPr>
          <t xml:space="preserve">Faire supprimer pour mettre la case vide
</t>
        </r>
      </text>
    </comment>
    <comment ref="AZ65" authorId="0" shapeId="0" xr:uid="{00000000-0006-0000-1600-00005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5" authorId="0" shapeId="0" xr:uid="{00000000-0006-0000-1600-00005E000000}">
      <text>
        <r>
          <rPr>
            <sz val="9"/>
            <color indexed="81"/>
            <rFont val="Tahoma"/>
            <family val="2"/>
          </rPr>
          <t xml:space="preserve">Faire supprimer pour mettre la case vide
</t>
        </r>
      </text>
    </comment>
    <comment ref="AZ66" authorId="0" shapeId="0" xr:uid="{00000000-0006-0000-1600-00005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6" authorId="0" shapeId="0" xr:uid="{00000000-0006-0000-1600-000060000000}">
      <text>
        <r>
          <rPr>
            <sz val="9"/>
            <color indexed="81"/>
            <rFont val="Tahoma"/>
            <family val="2"/>
          </rPr>
          <t xml:space="preserve">Faire supprimer pour mettre la case vide
</t>
        </r>
      </text>
    </comment>
    <comment ref="AZ67" authorId="0" shapeId="0" xr:uid="{00000000-0006-0000-1600-00006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7" authorId="0" shapeId="0" xr:uid="{00000000-0006-0000-1600-000062000000}">
      <text>
        <r>
          <rPr>
            <sz val="9"/>
            <color indexed="81"/>
            <rFont val="Tahoma"/>
            <family val="2"/>
          </rPr>
          <t xml:space="preserve">Faire supprimer pour mettre la case vide
</t>
        </r>
      </text>
    </comment>
    <comment ref="AZ68" authorId="0" shapeId="0" xr:uid="{00000000-0006-0000-1600-00006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8" authorId="0" shapeId="0" xr:uid="{00000000-0006-0000-1600-000064000000}">
      <text>
        <r>
          <rPr>
            <sz val="9"/>
            <color indexed="81"/>
            <rFont val="Tahoma"/>
            <family val="2"/>
          </rPr>
          <t xml:space="preserve">Faire supprimer pour mettre la case vide
</t>
        </r>
      </text>
    </comment>
    <comment ref="AZ69" authorId="0" shapeId="0" xr:uid="{00000000-0006-0000-1600-00006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69" authorId="0" shapeId="0" xr:uid="{00000000-0006-0000-1600-000066000000}">
      <text>
        <r>
          <rPr>
            <sz val="9"/>
            <color indexed="81"/>
            <rFont val="Tahoma"/>
            <family val="2"/>
          </rPr>
          <t xml:space="preserve">Faire supprimer pour mettre la case vide
</t>
        </r>
      </text>
    </comment>
    <comment ref="AZ70" authorId="0" shapeId="0" xr:uid="{00000000-0006-0000-1600-00006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0" authorId="0" shapeId="0" xr:uid="{00000000-0006-0000-1600-000068000000}">
      <text>
        <r>
          <rPr>
            <sz val="9"/>
            <color indexed="81"/>
            <rFont val="Tahoma"/>
            <family val="2"/>
          </rPr>
          <t xml:space="preserve">Faire supprimer pour mettre la case vide
</t>
        </r>
      </text>
    </comment>
    <comment ref="AZ71" authorId="0" shapeId="0" xr:uid="{00000000-0006-0000-1600-00006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1" authorId="0" shapeId="0" xr:uid="{00000000-0006-0000-1600-00006A000000}">
      <text>
        <r>
          <rPr>
            <sz val="9"/>
            <color indexed="81"/>
            <rFont val="Tahoma"/>
            <family val="2"/>
          </rPr>
          <t xml:space="preserve">Faire supprimer pour mettre la case vide
</t>
        </r>
      </text>
    </comment>
    <comment ref="AZ72" authorId="0" shapeId="0" xr:uid="{00000000-0006-0000-1600-00006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2" authorId="0" shapeId="0" xr:uid="{00000000-0006-0000-1600-00006C000000}">
      <text>
        <r>
          <rPr>
            <sz val="9"/>
            <color indexed="81"/>
            <rFont val="Tahoma"/>
            <family val="2"/>
          </rPr>
          <t xml:space="preserve">Faire supprimer pour mettre la case vide
</t>
        </r>
      </text>
    </comment>
    <comment ref="AZ73" authorId="0" shapeId="0" xr:uid="{00000000-0006-0000-1600-00006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3" authorId="0" shapeId="0" xr:uid="{00000000-0006-0000-1600-00006E000000}">
      <text>
        <r>
          <rPr>
            <sz val="9"/>
            <color indexed="81"/>
            <rFont val="Tahoma"/>
            <family val="2"/>
          </rPr>
          <t xml:space="preserve">Faire supprimer pour mettre la case vide
</t>
        </r>
      </text>
    </comment>
    <comment ref="AZ74" authorId="0" shapeId="0" xr:uid="{00000000-0006-0000-1600-00006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4" authorId="0" shapeId="0" xr:uid="{00000000-0006-0000-1600-000070000000}">
      <text>
        <r>
          <rPr>
            <sz val="9"/>
            <color indexed="81"/>
            <rFont val="Tahoma"/>
            <family val="2"/>
          </rPr>
          <t xml:space="preserve">Faire supprimer pour mettre la case vide
</t>
        </r>
      </text>
    </comment>
    <comment ref="AZ75" authorId="0" shapeId="0" xr:uid="{00000000-0006-0000-1600-00007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5" authorId="0" shapeId="0" xr:uid="{00000000-0006-0000-1600-000072000000}">
      <text>
        <r>
          <rPr>
            <sz val="9"/>
            <color indexed="81"/>
            <rFont val="Tahoma"/>
            <family val="2"/>
          </rPr>
          <t xml:space="preserve">Faire supprimer pour mettre la case vide
</t>
        </r>
      </text>
    </comment>
    <comment ref="AZ76" authorId="0" shapeId="0" xr:uid="{00000000-0006-0000-1600-00007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6" authorId="0" shapeId="0" xr:uid="{00000000-0006-0000-1600-000074000000}">
      <text>
        <r>
          <rPr>
            <sz val="9"/>
            <color indexed="81"/>
            <rFont val="Tahoma"/>
            <family val="2"/>
          </rPr>
          <t xml:space="preserve">Faire supprimer pour mettre la case vide
</t>
        </r>
      </text>
    </comment>
    <comment ref="AZ77" authorId="0" shapeId="0" xr:uid="{00000000-0006-0000-1600-00007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7" authorId="0" shapeId="0" xr:uid="{00000000-0006-0000-1600-000076000000}">
      <text>
        <r>
          <rPr>
            <sz val="9"/>
            <color indexed="81"/>
            <rFont val="Tahoma"/>
            <family val="2"/>
          </rPr>
          <t xml:space="preserve">Faire supprimer pour mettre la case vide
</t>
        </r>
      </text>
    </comment>
    <comment ref="AZ78" authorId="0" shapeId="0" xr:uid="{00000000-0006-0000-1600-00007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8" authorId="0" shapeId="0" xr:uid="{00000000-0006-0000-1600-000078000000}">
      <text>
        <r>
          <rPr>
            <sz val="9"/>
            <color indexed="81"/>
            <rFont val="Tahoma"/>
            <family val="2"/>
          </rPr>
          <t xml:space="preserve">Faire supprimer pour mettre la case vide
</t>
        </r>
      </text>
    </comment>
    <comment ref="AZ79" authorId="0" shapeId="0" xr:uid="{00000000-0006-0000-1600-00007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79" authorId="0" shapeId="0" xr:uid="{00000000-0006-0000-1600-00007A000000}">
      <text>
        <r>
          <rPr>
            <sz val="9"/>
            <color indexed="81"/>
            <rFont val="Tahoma"/>
            <family val="2"/>
          </rPr>
          <t xml:space="preserve">Faire supprimer pour mettre la case vide
</t>
        </r>
      </text>
    </comment>
    <comment ref="AZ80" authorId="0" shapeId="0" xr:uid="{00000000-0006-0000-1600-00007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0" authorId="0" shapeId="0" xr:uid="{00000000-0006-0000-1600-00007C000000}">
      <text>
        <r>
          <rPr>
            <sz val="9"/>
            <color indexed="81"/>
            <rFont val="Tahoma"/>
            <family val="2"/>
          </rPr>
          <t xml:space="preserve">Faire supprimer pour mettre la case vide
</t>
        </r>
      </text>
    </comment>
    <comment ref="AZ81" authorId="0" shapeId="0" xr:uid="{00000000-0006-0000-1600-00007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1" authorId="0" shapeId="0" xr:uid="{00000000-0006-0000-1600-00007E000000}">
      <text>
        <r>
          <rPr>
            <sz val="9"/>
            <color indexed="81"/>
            <rFont val="Tahoma"/>
            <family val="2"/>
          </rPr>
          <t xml:space="preserve">Faire supprimer pour mettre la case vide
</t>
        </r>
      </text>
    </comment>
    <comment ref="AZ82" authorId="0" shapeId="0" xr:uid="{00000000-0006-0000-1600-00007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2" authorId="0" shapeId="0" xr:uid="{00000000-0006-0000-1600-000080000000}">
      <text>
        <r>
          <rPr>
            <sz val="9"/>
            <color indexed="81"/>
            <rFont val="Tahoma"/>
            <family val="2"/>
          </rPr>
          <t xml:space="preserve">Faire supprimer pour mettre la case vide
</t>
        </r>
      </text>
    </comment>
    <comment ref="AZ83" authorId="0" shapeId="0" xr:uid="{00000000-0006-0000-1600-00008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3" authorId="0" shapeId="0" xr:uid="{00000000-0006-0000-1600-000082000000}">
      <text>
        <r>
          <rPr>
            <sz val="9"/>
            <color indexed="81"/>
            <rFont val="Tahoma"/>
            <family val="2"/>
          </rPr>
          <t xml:space="preserve">Faire supprimer pour mettre la case vide
</t>
        </r>
      </text>
    </comment>
    <comment ref="AZ84" authorId="0" shapeId="0" xr:uid="{00000000-0006-0000-1600-00008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4" authorId="0" shapeId="0" xr:uid="{00000000-0006-0000-1600-000084000000}">
      <text>
        <r>
          <rPr>
            <sz val="9"/>
            <color indexed="81"/>
            <rFont val="Tahoma"/>
            <family val="2"/>
          </rPr>
          <t xml:space="preserve">Faire supprimer pour mettre la case vide
</t>
        </r>
      </text>
    </comment>
    <comment ref="AZ85" authorId="0" shapeId="0" xr:uid="{00000000-0006-0000-1600-00008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5" authorId="0" shapeId="0" xr:uid="{00000000-0006-0000-1600-000086000000}">
      <text>
        <r>
          <rPr>
            <sz val="9"/>
            <color indexed="81"/>
            <rFont val="Tahoma"/>
            <family val="2"/>
          </rPr>
          <t xml:space="preserve">Faire supprimer pour mettre la case vide
</t>
        </r>
      </text>
    </comment>
    <comment ref="AZ86" authorId="0" shapeId="0" xr:uid="{00000000-0006-0000-1600-00008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6" authorId="0" shapeId="0" xr:uid="{00000000-0006-0000-1600-000088000000}">
      <text>
        <r>
          <rPr>
            <sz val="9"/>
            <color indexed="81"/>
            <rFont val="Tahoma"/>
            <family val="2"/>
          </rPr>
          <t xml:space="preserve">Faire supprimer pour mettre la case vide
</t>
        </r>
      </text>
    </comment>
    <comment ref="AZ87" authorId="0" shapeId="0" xr:uid="{00000000-0006-0000-1600-00008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87" authorId="0" shapeId="0" xr:uid="{00000000-0006-0000-1600-00008A000000}">
      <text>
        <r>
          <rPr>
            <sz val="9"/>
            <color indexed="81"/>
            <rFont val="Tahoma"/>
            <family val="2"/>
          </rPr>
          <t xml:space="preserve">Faire supprimer pour mettre la case vide
</t>
        </r>
      </text>
    </comment>
    <comment ref="AI101" authorId="0" shapeId="0" xr:uid="{00000000-0006-0000-1600-00008B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01" authorId="1" shapeId="0" xr:uid="{00000000-0006-0000-1600-00008C000000}">
      <text>
        <r>
          <rPr>
            <b/>
            <sz val="8"/>
            <color indexed="81"/>
            <rFont val="Tahoma"/>
            <family val="2"/>
          </rPr>
          <t>Heures complémentaires non prévues au contrat</t>
        </r>
      </text>
    </comment>
    <comment ref="AO101" authorId="0" shapeId="0" xr:uid="{00000000-0006-0000-1600-00008D000000}">
      <text>
        <r>
          <rPr>
            <b/>
            <sz val="9"/>
            <color indexed="81"/>
            <rFont val="Tahoma"/>
            <family val="2"/>
          </rPr>
          <t>Heures supplémentaires non prévues au contrat</t>
        </r>
      </text>
    </comment>
    <comment ref="AR101" authorId="0" shapeId="0" xr:uid="{00000000-0006-0000-1600-00008E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01" authorId="0" shapeId="0" xr:uid="{69696B66-8DF7-4125-B301-2FD74C7CCC21}">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01" authorId="0" shapeId="0" xr:uid="{00000000-0006-0000-1600-000090000000}">
      <text>
        <r>
          <rPr>
            <sz val="10"/>
            <color indexed="81"/>
            <rFont val="Tahoma"/>
            <family val="2"/>
          </rPr>
          <t>Cet écart se calcule par rapport aux heures d'arrivée et de départ des tableaux horaires réels et horaires prévues</t>
        </r>
      </text>
    </comment>
    <comment ref="BE101" authorId="0" shapeId="0" xr:uid="{00000000-0006-0000-1600-000091000000}">
      <text>
        <r>
          <rPr>
            <sz val="10"/>
            <color indexed="81"/>
            <rFont val="Tahoma"/>
            <family val="2"/>
          </rPr>
          <t>Pour mettre la case vide faire supprimer sur la cellule choisi.</t>
        </r>
      </text>
    </comment>
    <comment ref="AZ102" authorId="0" shapeId="0" xr:uid="{00000000-0006-0000-1600-00009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2" authorId="0" shapeId="0" xr:uid="{00000000-0006-0000-1600-000093000000}">
      <text>
        <r>
          <rPr>
            <sz val="9"/>
            <color indexed="81"/>
            <rFont val="Tahoma"/>
            <family val="2"/>
          </rPr>
          <t xml:space="preserve">Faire supprimer pour mettre la case vide
</t>
        </r>
      </text>
    </comment>
    <comment ref="AZ103" authorId="0" shapeId="0" xr:uid="{00000000-0006-0000-1600-00009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3" authorId="0" shapeId="0" xr:uid="{00000000-0006-0000-1600-000095000000}">
      <text>
        <r>
          <rPr>
            <sz val="9"/>
            <color indexed="81"/>
            <rFont val="Tahoma"/>
            <family val="2"/>
          </rPr>
          <t xml:space="preserve">Faire supprimer pour mettre la case vide
</t>
        </r>
      </text>
    </comment>
    <comment ref="AZ104" authorId="0" shapeId="0" xr:uid="{00000000-0006-0000-1600-00009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4" authorId="0" shapeId="0" xr:uid="{00000000-0006-0000-1600-000097000000}">
      <text>
        <r>
          <rPr>
            <sz val="9"/>
            <color indexed="81"/>
            <rFont val="Tahoma"/>
            <family val="2"/>
          </rPr>
          <t xml:space="preserve">Faire supprimer pour mettre la case vide
</t>
        </r>
      </text>
    </comment>
    <comment ref="AZ105" authorId="0" shapeId="0" xr:uid="{00000000-0006-0000-1600-00009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5" authorId="0" shapeId="0" xr:uid="{00000000-0006-0000-1600-000099000000}">
      <text>
        <r>
          <rPr>
            <sz val="9"/>
            <color indexed="81"/>
            <rFont val="Tahoma"/>
            <family val="2"/>
          </rPr>
          <t xml:space="preserve">Faire supprimer pour mettre la case vide
</t>
        </r>
      </text>
    </comment>
    <comment ref="AZ106" authorId="0" shapeId="0" xr:uid="{00000000-0006-0000-1600-00009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6" authorId="0" shapeId="0" xr:uid="{00000000-0006-0000-1600-00009B000000}">
      <text>
        <r>
          <rPr>
            <sz val="9"/>
            <color indexed="81"/>
            <rFont val="Tahoma"/>
            <family val="2"/>
          </rPr>
          <t xml:space="preserve">Faire supprimer pour mettre la case vide
</t>
        </r>
      </text>
    </comment>
    <comment ref="AZ107" authorId="0" shapeId="0" xr:uid="{00000000-0006-0000-1600-00009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7" authorId="0" shapeId="0" xr:uid="{00000000-0006-0000-1600-00009D000000}">
      <text>
        <r>
          <rPr>
            <sz val="9"/>
            <color indexed="81"/>
            <rFont val="Tahoma"/>
            <family val="2"/>
          </rPr>
          <t xml:space="preserve">Faire supprimer pour mettre la case vide
</t>
        </r>
      </text>
    </comment>
    <comment ref="AZ108" authorId="0" shapeId="0" xr:uid="{00000000-0006-0000-1600-00009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8" authorId="0" shapeId="0" xr:uid="{00000000-0006-0000-1600-00009F000000}">
      <text>
        <r>
          <rPr>
            <sz val="9"/>
            <color indexed="81"/>
            <rFont val="Tahoma"/>
            <family val="2"/>
          </rPr>
          <t xml:space="preserve">Faire supprimer pour mettre la case vide
</t>
        </r>
      </text>
    </comment>
    <comment ref="AZ109" authorId="0" shapeId="0" xr:uid="{00000000-0006-0000-1600-0000A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09" authorId="0" shapeId="0" xr:uid="{00000000-0006-0000-1600-0000A1000000}">
      <text>
        <r>
          <rPr>
            <sz val="9"/>
            <color indexed="81"/>
            <rFont val="Tahoma"/>
            <family val="2"/>
          </rPr>
          <t xml:space="preserve">Faire supprimer pour mettre la case vide
</t>
        </r>
      </text>
    </comment>
    <comment ref="AZ110" authorId="0" shapeId="0" xr:uid="{00000000-0006-0000-1600-0000A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0" authorId="0" shapeId="0" xr:uid="{00000000-0006-0000-1600-0000A3000000}">
      <text>
        <r>
          <rPr>
            <sz val="9"/>
            <color indexed="81"/>
            <rFont val="Tahoma"/>
            <family val="2"/>
          </rPr>
          <t xml:space="preserve">Faire supprimer pour mettre la case vide
</t>
        </r>
      </text>
    </comment>
    <comment ref="AZ111" authorId="0" shapeId="0" xr:uid="{00000000-0006-0000-1600-0000A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1" authorId="0" shapeId="0" xr:uid="{00000000-0006-0000-1600-0000A5000000}">
      <text>
        <r>
          <rPr>
            <sz val="9"/>
            <color indexed="81"/>
            <rFont val="Tahoma"/>
            <family val="2"/>
          </rPr>
          <t xml:space="preserve">Faire supprimer pour mettre la case vide
</t>
        </r>
      </text>
    </comment>
    <comment ref="AZ112" authorId="0" shapeId="0" xr:uid="{00000000-0006-0000-1600-0000A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2" authorId="0" shapeId="0" xr:uid="{00000000-0006-0000-1600-0000A7000000}">
      <text>
        <r>
          <rPr>
            <sz val="9"/>
            <color indexed="81"/>
            <rFont val="Tahoma"/>
            <family val="2"/>
          </rPr>
          <t xml:space="preserve">Faire supprimer pour mettre la case vide
</t>
        </r>
      </text>
    </comment>
    <comment ref="AZ113" authorId="0" shapeId="0" xr:uid="{00000000-0006-0000-1600-0000A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3" authorId="0" shapeId="0" xr:uid="{00000000-0006-0000-1600-0000A9000000}">
      <text>
        <r>
          <rPr>
            <sz val="9"/>
            <color indexed="81"/>
            <rFont val="Tahoma"/>
            <family val="2"/>
          </rPr>
          <t xml:space="preserve">Faire supprimer pour mettre la case vide
</t>
        </r>
      </text>
    </comment>
    <comment ref="AZ114" authorId="0" shapeId="0" xr:uid="{00000000-0006-0000-1600-0000A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4" authorId="0" shapeId="0" xr:uid="{00000000-0006-0000-1600-0000AB000000}">
      <text>
        <r>
          <rPr>
            <sz val="9"/>
            <color indexed="81"/>
            <rFont val="Tahoma"/>
            <family val="2"/>
          </rPr>
          <t xml:space="preserve">Faire supprimer pour mettre la case vide
</t>
        </r>
      </text>
    </comment>
    <comment ref="AZ115" authorId="0" shapeId="0" xr:uid="{00000000-0006-0000-1600-0000A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5" authorId="0" shapeId="0" xr:uid="{00000000-0006-0000-1600-0000AD000000}">
      <text>
        <r>
          <rPr>
            <sz val="9"/>
            <color indexed="81"/>
            <rFont val="Tahoma"/>
            <family val="2"/>
          </rPr>
          <t xml:space="preserve">Faire supprimer pour mettre la case vide
</t>
        </r>
      </text>
    </comment>
    <comment ref="AZ116" authorId="0" shapeId="0" xr:uid="{00000000-0006-0000-1600-0000A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6" authorId="0" shapeId="0" xr:uid="{00000000-0006-0000-1600-0000AF000000}">
      <text>
        <r>
          <rPr>
            <sz val="9"/>
            <color indexed="81"/>
            <rFont val="Tahoma"/>
            <family val="2"/>
          </rPr>
          <t xml:space="preserve">Faire supprimer pour mettre la case vide
</t>
        </r>
      </text>
    </comment>
    <comment ref="AZ117" authorId="0" shapeId="0" xr:uid="{00000000-0006-0000-1600-0000B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7" authorId="0" shapeId="0" xr:uid="{00000000-0006-0000-1600-0000B1000000}">
      <text>
        <r>
          <rPr>
            <sz val="9"/>
            <color indexed="81"/>
            <rFont val="Tahoma"/>
            <family val="2"/>
          </rPr>
          <t xml:space="preserve">Faire supprimer pour mettre la case vide
</t>
        </r>
      </text>
    </comment>
    <comment ref="AZ118" authorId="0" shapeId="0" xr:uid="{00000000-0006-0000-1600-0000B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8" authorId="0" shapeId="0" xr:uid="{00000000-0006-0000-1600-0000B3000000}">
      <text>
        <r>
          <rPr>
            <sz val="9"/>
            <color indexed="81"/>
            <rFont val="Tahoma"/>
            <family val="2"/>
          </rPr>
          <t xml:space="preserve">Faire supprimer pour mettre la case vide
</t>
        </r>
      </text>
    </comment>
    <comment ref="AZ119" authorId="0" shapeId="0" xr:uid="{00000000-0006-0000-1600-0000B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19" authorId="0" shapeId="0" xr:uid="{00000000-0006-0000-1600-0000B5000000}">
      <text>
        <r>
          <rPr>
            <sz val="9"/>
            <color indexed="81"/>
            <rFont val="Tahoma"/>
            <family val="2"/>
          </rPr>
          <t xml:space="preserve">Faire supprimer pour mettre la case vide
</t>
        </r>
      </text>
    </comment>
    <comment ref="AZ120" authorId="0" shapeId="0" xr:uid="{00000000-0006-0000-1600-0000B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0" authorId="0" shapeId="0" xr:uid="{00000000-0006-0000-1600-0000B7000000}">
      <text>
        <r>
          <rPr>
            <sz val="9"/>
            <color indexed="81"/>
            <rFont val="Tahoma"/>
            <family val="2"/>
          </rPr>
          <t xml:space="preserve">Faire supprimer pour mettre la case vide
</t>
        </r>
      </text>
    </comment>
    <comment ref="AZ121" authorId="0" shapeId="0" xr:uid="{00000000-0006-0000-1600-0000B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1" authorId="0" shapeId="0" xr:uid="{00000000-0006-0000-1600-0000B9000000}">
      <text>
        <r>
          <rPr>
            <sz val="9"/>
            <color indexed="81"/>
            <rFont val="Tahoma"/>
            <family val="2"/>
          </rPr>
          <t xml:space="preserve">Faire supprimer pour mettre la case vide
</t>
        </r>
      </text>
    </comment>
    <comment ref="AZ122" authorId="0" shapeId="0" xr:uid="{00000000-0006-0000-1600-0000B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2" authorId="0" shapeId="0" xr:uid="{00000000-0006-0000-1600-0000BB000000}">
      <text>
        <r>
          <rPr>
            <sz val="9"/>
            <color indexed="81"/>
            <rFont val="Tahoma"/>
            <family val="2"/>
          </rPr>
          <t xml:space="preserve">Faire supprimer pour mettre la case vide
</t>
        </r>
      </text>
    </comment>
    <comment ref="AZ123" authorId="0" shapeId="0" xr:uid="{00000000-0006-0000-1600-0000B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3" authorId="0" shapeId="0" xr:uid="{00000000-0006-0000-1600-0000BD000000}">
      <text>
        <r>
          <rPr>
            <sz val="9"/>
            <color indexed="81"/>
            <rFont val="Tahoma"/>
            <family val="2"/>
          </rPr>
          <t xml:space="preserve">Faire supprimer pour mettre la case vide
</t>
        </r>
      </text>
    </comment>
    <comment ref="AZ124" authorId="0" shapeId="0" xr:uid="{00000000-0006-0000-1600-0000B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4" authorId="0" shapeId="0" xr:uid="{00000000-0006-0000-1600-0000BF000000}">
      <text>
        <r>
          <rPr>
            <sz val="9"/>
            <color indexed="81"/>
            <rFont val="Tahoma"/>
            <family val="2"/>
          </rPr>
          <t xml:space="preserve">Faire supprimer pour mettre la case vide
</t>
        </r>
      </text>
    </comment>
    <comment ref="AZ125" authorId="0" shapeId="0" xr:uid="{00000000-0006-0000-1600-0000C0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5" authorId="0" shapeId="0" xr:uid="{00000000-0006-0000-1600-0000C1000000}">
      <text>
        <r>
          <rPr>
            <sz val="9"/>
            <color indexed="81"/>
            <rFont val="Tahoma"/>
            <family val="2"/>
          </rPr>
          <t xml:space="preserve">Faire supprimer pour mettre la case vide
</t>
        </r>
      </text>
    </comment>
    <comment ref="AZ126" authorId="0" shapeId="0" xr:uid="{00000000-0006-0000-1600-0000C2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6" authorId="0" shapeId="0" xr:uid="{00000000-0006-0000-1600-0000C3000000}">
      <text>
        <r>
          <rPr>
            <sz val="9"/>
            <color indexed="81"/>
            <rFont val="Tahoma"/>
            <family val="2"/>
          </rPr>
          <t xml:space="preserve">Faire supprimer pour mettre la case vide
</t>
        </r>
      </text>
    </comment>
    <comment ref="AZ127" authorId="0" shapeId="0" xr:uid="{00000000-0006-0000-1600-0000C4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7" authorId="0" shapeId="0" xr:uid="{00000000-0006-0000-1600-0000C5000000}">
      <text>
        <r>
          <rPr>
            <sz val="9"/>
            <color indexed="81"/>
            <rFont val="Tahoma"/>
            <family val="2"/>
          </rPr>
          <t xml:space="preserve">Faire supprimer pour mettre la case vide
</t>
        </r>
      </text>
    </comment>
    <comment ref="AZ128" authorId="0" shapeId="0" xr:uid="{00000000-0006-0000-1600-0000C6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8" authorId="0" shapeId="0" xr:uid="{00000000-0006-0000-1600-0000C7000000}">
      <text>
        <r>
          <rPr>
            <sz val="9"/>
            <color indexed="81"/>
            <rFont val="Tahoma"/>
            <family val="2"/>
          </rPr>
          <t xml:space="preserve">Faire supprimer pour mettre la case vide
</t>
        </r>
      </text>
    </comment>
    <comment ref="AZ129" authorId="0" shapeId="0" xr:uid="{00000000-0006-0000-1600-0000C8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29" authorId="0" shapeId="0" xr:uid="{00000000-0006-0000-1600-0000C9000000}">
      <text>
        <r>
          <rPr>
            <sz val="9"/>
            <color indexed="81"/>
            <rFont val="Tahoma"/>
            <family val="2"/>
          </rPr>
          <t xml:space="preserve">Faire supprimer pour mettre la case vide
</t>
        </r>
      </text>
    </comment>
    <comment ref="AZ130" authorId="0" shapeId="0" xr:uid="{00000000-0006-0000-1600-0000CA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0" authorId="0" shapeId="0" xr:uid="{00000000-0006-0000-1600-0000CB000000}">
      <text>
        <r>
          <rPr>
            <sz val="9"/>
            <color indexed="81"/>
            <rFont val="Tahoma"/>
            <family val="2"/>
          </rPr>
          <t xml:space="preserve">Faire supprimer pour mettre la case vide
</t>
        </r>
      </text>
    </comment>
    <comment ref="AZ131" authorId="0" shapeId="0" xr:uid="{00000000-0006-0000-1600-0000CC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1" authorId="0" shapeId="0" xr:uid="{00000000-0006-0000-1600-0000CD000000}">
      <text>
        <r>
          <rPr>
            <sz val="9"/>
            <color indexed="81"/>
            <rFont val="Tahoma"/>
            <family val="2"/>
          </rPr>
          <t xml:space="preserve">Faire supprimer pour mettre la case vide
</t>
        </r>
      </text>
    </comment>
    <comment ref="AZ132" authorId="0" shapeId="0" xr:uid="{00000000-0006-0000-1600-0000CE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32" authorId="0" shapeId="0" xr:uid="{00000000-0006-0000-1600-0000CF000000}">
      <text>
        <r>
          <rPr>
            <sz val="9"/>
            <color indexed="81"/>
            <rFont val="Tahoma"/>
            <family val="2"/>
          </rPr>
          <t xml:space="preserve">Faire supprimer pour mettre la case vide
</t>
        </r>
      </text>
    </comment>
    <comment ref="AI146" authorId="0" shapeId="0" xr:uid="{00000000-0006-0000-1600-0000D000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46" authorId="1" shapeId="0" xr:uid="{00000000-0006-0000-1600-0000D1000000}">
      <text>
        <r>
          <rPr>
            <b/>
            <sz val="8"/>
            <color indexed="81"/>
            <rFont val="Tahoma"/>
            <family val="2"/>
          </rPr>
          <t>Heures complémentaires non prévues au contrat</t>
        </r>
      </text>
    </comment>
    <comment ref="AO146" authorId="0" shapeId="0" xr:uid="{00000000-0006-0000-1600-0000D2000000}">
      <text>
        <r>
          <rPr>
            <b/>
            <sz val="9"/>
            <color indexed="81"/>
            <rFont val="Tahoma"/>
            <family val="2"/>
          </rPr>
          <t>Heures supplémentaires non prévues au contrat</t>
        </r>
      </text>
    </comment>
    <comment ref="AR146" authorId="0" shapeId="0" xr:uid="{00000000-0006-0000-1600-0000D3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46" authorId="0" shapeId="0" xr:uid="{023E7318-724A-4C42-B035-C35C210A0102}">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46" authorId="0" shapeId="0" xr:uid="{00000000-0006-0000-1600-0000D5000000}">
      <text>
        <r>
          <rPr>
            <sz val="10"/>
            <color indexed="81"/>
            <rFont val="Tahoma"/>
            <family val="2"/>
          </rPr>
          <t>Cet écart se calcule par rapport aux heures d'arrivée et de départ des tableaux horaires réels et horaires prévues</t>
        </r>
      </text>
    </comment>
    <comment ref="BE146" authorId="0" shapeId="0" xr:uid="{00000000-0006-0000-1600-0000D6000000}">
      <text>
        <r>
          <rPr>
            <sz val="10"/>
            <color indexed="81"/>
            <rFont val="Tahoma"/>
            <family val="2"/>
          </rPr>
          <t>Pour mettre la case vide faire supprimer sur la cellule choisi.</t>
        </r>
      </text>
    </comment>
    <comment ref="AZ147" authorId="0" shapeId="0" xr:uid="{00000000-0006-0000-1600-0000D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7" authorId="0" shapeId="0" xr:uid="{00000000-0006-0000-1600-0000D8000000}">
      <text>
        <r>
          <rPr>
            <sz val="9"/>
            <color indexed="81"/>
            <rFont val="Tahoma"/>
            <family val="2"/>
          </rPr>
          <t xml:space="preserve">Faire supprimer pour mettre la case vide
</t>
        </r>
      </text>
    </comment>
    <comment ref="AZ148" authorId="0" shapeId="0" xr:uid="{00000000-0006-0000-1600-0000D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8" authorId="0" shapeId="0" xr:uid="{00000000-0006-0000-1600-0000DA000000}">
      <text>
        <r>
          <rPr>
            <sz val="9"/>
            <color indexed="81"/>
            <rFont val="Tahoma"/>
            <family val="2"/>
          </rPr>
          <t xml:space="preserve">Faire supprimer pour mettre la case vide
</t>
        </r>
      </text>
    </comment>
    <comment ref="AZ149" authorId="0" shapeId="0" xr:uid="{00000000-0006-0000-1600-0000D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49" authorId="0" shapeId="0" xr:uid="{00000000-0006-0000-1600-0000DC000000}">
      <text>
        <r>
          <rPr>
            <sz val="9"/>
            <color indexed="81"/>
            <rFont val="Tahoma"/>
            <family val="2"/>
          </rPr>
          <t xml:space="preserve">Faire supprimer pour mettre la case vide
</t>
        </r>
      </text>
    </comment>
    <comment ref="AZ150" authorId="0" shapeId="0" xr:uid="{00000000-0006-0000-1600-0000D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0" authorId="0" shapeId="0" xr:uid="{00000000-0006-0000-1600-0000DE000000}">
      <text>
        <r>
          <rPr>
            <sz val="9"/>
            <color indexed="81"/>
            <rFont val="Tahoma"/>
            <family val="2"/>
          </rPr>
          <t xml:space="preserve">Faire supprimer pour mettre la case vide
</t>
        </r>
      </text>
    </comment>
    <comment ref="AZ151" authorId="0" shapeId="0" xr:uid="{00000000-0006-0000-1600-0000D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1" authorId="0" shapeId="0" xr:uid="{00000000-0006-0000-1600-0000E0000000}">
      <text>
        <r>
          <rPr>
            <sz val="9"/>
            <color indexed="81"/>
            <rFont val="Tahoma"/>
            <family val="2"/>
          </rPr>
          <t xml:space="preserve">Faire supprimer pour mettre la case vide
</t>
        </r>
      </text>
    </comment>
    <comment ref="AZ152" authorId="0" shapeId="0" xr:uid="{00000000-0006-0000-1600-0000E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2" authorId="0" shapeId="0" xr:uid="{00000000-0006-0000-1600-0000E2000000}">
      <text>
        <r>
          <rPr>
            <sz val="9"/>
            <color indexed="81"/>
            <rFont val="Tahoma"/>
            <family val="2"/>
          </rPr>
          <t xml:space="preserve">Faire supprimer pour mettre la case vide
</t>
        </r>
      </text>
    </comment>
    <comment ref="AZ153" authorId="0" shapeId="0" xr:uid="{00000000-0006-0000-1600-0000E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3" authorId="0" shapeId="0" xr:uid="{00000000-0006-0000-1600-0000E4000000}">
      <text>
        <r>
          <rPr>
            <sz val="9"/>
            <color indexed="81"/>
            <rFont val="Tahoma"/>
            <family val="2"/>
          </rPr>
          <t xml:space="preserve">Faire supprimer pour mettre la case vide
</t>
        </r>
      </text>
    </comment>
    <comment ref="AZ154" authorId="0" shapeId="0" xr:uid="{00000000-0006-0000-1600-0000E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4" authorId="0" shapeId="0" xr:uid="{00000000-0006-0000-1600-0000E6000000}">
      <text>
        <r>
          <rPr>
            <sz val="9"/>
            <color indexed="81"/>
            <rFont val="Tahoma"/>
            <family val="2"/>
          </rPr>
          <t xml:space="preserve">Faire supprimer pour mettre la case vide
</t>
        </r>
      </text>
    </comment>
    <comment ref="AZ155" authorId="0" shapeId="0" xr:uid="{00000000-0006-0000-1600-0000E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5" authorId="0" shapeId="0" xr:uid="{00000000-0006-0000-1600-0000E8000000}">
      <text>
        <r>
          <rPr>
            <sz val="9"/>
            <color indexed="81"/>
            <rFont val="Tahoma"/>
            <family val="2"/>
          </rPr>
          <t xml:space="preserve">Faire supprimer pour mettre la case vide
</t>
        </r>
      </text>
    </comment>
    <comment ref="AZ156" authorId="0" shapeId="0" xr:uid="{00000000-0006-0000-1600-0000E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6" authorId="0" shapeId="0" xr:uid="{00000000-0006-0000-1600-0000EA000000}">
      <text>
        <r>
          <rPr>
            <sz val="9"/>
            <color indexed="81"/>
            <rFont val="Tahoma"/>
            <family val="2"/>
          </rPr>
          <t xml:space="preserve">Faire supprimer pour mettre la case vide
</t>
        </r>
      </text>
    </comment>
    <comment ref="AZ157" authorId="0" shapeId="0" xr:uid="{00000000-0006-0000-1600-0000E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7" authorId="0" shapeId="0" xr:uid="{00000000-0006-0000-1600-0000EC000000}">
      <text>
        <r>
          <rPr>
            <sz val="9"/>
            <color indexed="81"/>
            <rFont val="Tahoma"/>
            <family val="2"/>
          </rPr>
          <t xml:space="preserve">Faire supprimer pour mettre la case vide
</t>
        </r>
      </text>
    </comment>
    <comment ref="AZ158" authorId="0" shapeId="0" xr:uid="{00000000-0006-0000-1600-0000E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8" authorId="0" shapeId="0" xr:uid="{00000000-0006-0000-1600-0000EE000000}">
      <text>
        <r>
          <rPr>
            <sz val="9"/>
            <color indexed="81"/>
            <rFont val="Tahoma"/>
            <family val="2"/>
          </rPr>
          <t xml:space="preserve">Faire supprimer pour mettre la case vide
</t>
        </r>
      </text>
    </comment>
    <comment ref="AZ159" authorId="0" shapeId="0" xr:uid="{00000000-0006-0000-1600-0000E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59" authorId="0" shapeId="0" xr:uid="{00000000-0006-0000-1600-0000F0000000}">
      <text>
        <r>
          <rPr>
            <sz val="9"/>
            <color indexed="81"/>
            <rFont val="Tahoma"/>
            <family val="2"/>
          </rPr>
          <t xml:space="preserve">Faire supprimer pour mettre la case vide
</t>
        </r>
      </text>
    </comment>
    <comment ref="AZ160" authorId="0" shapeId="0" xr:uid="{00000000-0006-0000-1600-0000F1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0" authorId="0" shapeId="0" xr:uid="{00000000-0006-0000-1600-0000F2000000}">
      <text>
        <r>
          <rPr>
            <sz val="9"/>
            <color indexed="81"/>
            <rFont val="Tahoma"/>
            <family val="2"/>
          </rPr>
          <t xml:space="preserve">Faire supprimer pour mettre la case vide
</t>
        </r>
      </text>
    </comment>
    <comment ref="AZ161" authorId="0" shapeId="0" xr:uid="{00000000-0006-0000-1600-0000F3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1" authorId="0" shapeId="0" xr:uid="{00000000-0006-0000-1600-0000F4000000}">
      <text>
        <r>
          <rPr>
            <sz val="9"/>
            <color indexed="81"/>
            <rFont val="Tahoma"/>
            <family val="2"/>
          </rPr>
          <t xml:space="preserve">Faire supprimer pour mettre la case vide
</t>
        </r>
      </text>
    </comment>
    <comment ref="AZ162" authorId="0" shapeId="0" xr:uid="{00000000-0006-0000-1600-0000F5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2" authorId="0" shapeId="0" xr:uid="{00000000-0006-0000-1600-0000F6000000}">
      <text>
        <r>
          <rPr>
            <sz val="9"/>
            <color indexed="81"/>
            <rFont val="Tahoma"/>
            <family val="2"/>
          </rPr>
          <t xml:space="preserve">Faire supprimer pour mettre la case vide
</t>
        </r>
      </text>
    </comment>
    <comment ref="AZ163" authorId="0" shapeId="0" xr:uid="{00000000-0006-0000-1600-0000F7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3" authorId="0" shapeId="0" xr:uid="{00000000-0006-0000-1600-0000F8000000}">
      <text>
        <r>
          <rPr>
            <sz val="9"/>
            <color indexed="81"/>
            <rFont val="Tahoma"/>
            <family val="2"/>
          </rPr>
          <t xml:space="preserve">Faire supprimer pour mettre la case vide
</t>
        </r>
      </text>
    </comment>
    <comment ref="AZ164" authorId="0" shapeId="0" xr:uid="{00000000-0006-0000-1600-0000F9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4" authorId="0" shapeId="0" xr:uid="{00000000-0006-0000-1600-0000FA000000}">
      <text>
        <r>
          <rPr>
            <sz val="9"/>
            <color indexed="81"/>
            <rFont val="Tahoma"/>
            <family val="2"/>
          </rPr>
          <t xml:space="preserve">Faire supprimer pour mettre la case vide
</t>
        </r>
      </text>
    </comment>
    <comment ref="AZ165" authorId="0" shapeId="0" xr:uid="{00000000-0006-0000-1600-0000FB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5" authorId="0" shapeId="0" xr:uid="{00000000-0006-0000-1600-0000FC000000}">
      <text>
        <r>
          <rPr>
            <sz val="9"/>
            <color indexed="81"/>
            <rFont val="Tahoma"/>
            <family val="2"/>
          </rPr>
          <t xml:space="preserve">Faire supprimer pour mettre la case vide
</t>
        </r>
      </text>
    </comment>
    <comment ref="AZ166" authorId="0" shapeId="0" xr:uid="{00000000-0006-0000-1600-0000FD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6" authorId="0" shapeId="0" xr:uid="{00000000-0006-0000-1600-0000FE000000}">
      <text>
        <r>
          <rPr>
            <sz val="9"/>
            <color indexed="81"/>
            <rFont val="Tahoma"/>
            <family val="2"/>
          </rPr>
          <t xml:space="preserve">Faire supprimer pour mettre la case vide
</t>
        </r>
      </text>
    </comment>
    <comment ref="AZ167" authorId="0" shapeId="0" xr:uid="{00000000-0006-0000-1600-0000FF00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7" authorId="0" shapeId="0" xr:uid="{00000000-0006-0000-1600-000000010000}">
      <text>
        <r>
          <rPr>
            <sz val="9"/>
            <color indexed="81"/>
            <rFont val="Tahoma"/>
            <family val="2"/>
          </rPr>
          <t xml:space="preserve">Faire supprimer pour mettre la case vide
</t>
        </r>
      </text>
    </comment>
    <comment ref="AZ168" authorId="0" shapeId="0" xr:uid="{00000000-0006-0000-1600-00000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8" authorId="0" shapeId="0" xr:uid="{00000000-0006-0000-1600-000002010000}">
      <text>
        <r>
          <rPr>
            <sz val="9"/>
            <color indexed="81"/>
            <rFont val="Tahoma"/>
            <family val="2"/>
          </rPr>
          <t xml:space="preserve">Faire supprimer pour mettre la case vide
</t>
        </r>
      </text>
    </comment>
    <comment ref="AZ169" authorId="0" shapeId="0" xr:uid="{00000000-0006-0000-1600-00000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69" authorId="0" shapeId="0" xr:uid="{00000000-0006-0000-1600-000004010000}">
      <text>
        <r>
          <rPr>
            <sz val="9"/>
            <color indexed="81"/>
            <rFont val="Tahoma"/>
            <family val="2"/>
          </rPr>
          <t xml:space="preserve">Faire supprimer pour mettre la case vide
</t>
        </r>
      </text>
    </comment>
    <comment ref="AZ170" authorId="0" shapeId="0" xr:uid="{00000000-0006-0000-1600-00000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0" authorId="0" shapeId="0" xr:uid="{00000000-0006-0000-1600-000006010000}">
      <text>
        <r>
          <rPr>
            <sz val="9"/>
            <color indexed="81"/>
            <rFont val="Tahoma"/>
            <family val="2"/>
          </rPr>
          <t xml:space="preserve">Faire supprimer pour mettre la case vide
</t>
        </r>
      </text>
    </comment>
    <comment ref="AZ171" authorId="0" shapeId="0" xr:uid="{00000000-0006-0000-1600-00000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1" authorId="0" shapeId="0" xr:uid="{00000000-0006-0000-1600-000008010000}">
      <text>
        <r>
          <rPr>
            <sz val="9"/>
            <color indexed="81"/>
            <rFont val="Tahoma"/>
            <family val="2"/>
          </rPr>
          <t xml:space="preserve">Faire supprimer pour mettre la case vide
</t>
        </r>
      </text>
    </comment>
    <comment ref="AZ172" authorId="0" shapeId="0" xr:uid="{00000000-0006-0000-1600-00000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2" authorId="0" shapeId="0" xr:uid="{00000000-0006-0000-1600-00000A010000}">
      <text>
        <r>
          <rPr>
            <sz val="9"/>
            <color indexed="81"/>
            <rFont val="Tahoma"/>
            <family val="2"/>
          </rPr>
          <t xml:space="preserve">Faire supprimer pour mettre la case vide
</t>
        </r>
      </text>
    </comment>
    <comment ref="AZ173" authorId="0" shapeId="0" xr:uid="{00000000-0006-0000-1600-00000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3" authorId="0" shapeId="0" xr:uid="{00000000-0006-0000-1600-00000C010000}">
      <text>
        <r>
          <rPr>
            <sz val="9"/>
            <color indexed="81"/>
            <rFont val="Tahoma"/>
            <family val="2"/>
          </rPr>
          <t xml:space="preserve">Faire supprimer pour mettre la case vide
</t>
        </r>
      </text>
    </comment>
    <comment ref="AZ174" authorId="0" shapeId="0" xr:uid="{00000000-0006-0000-1600-00000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4" authorId="0" shapeId="0" xr:uid="{00000000-0006-0000-1600-00000E010000}">
      <text>
        <r>
          <rPr>
            <sz val="9"/>
            <color indexed="81"/>
            <rFont val="Tahoma"/>
            <family val="2"/>
          </rPr>
          <t xml:space="preserve">Faire supprimer pour mettre la case vide
</t>
        </r>
      </text>
    </comment>
    <comment ref="AZ175" authorId="0" shapeId="0" xr:uid="{00000000-0006-0000-1600-00000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5" authorId="0" shapeId="0" xr:uid="{00000000-0006-0000-1600-000010010000}">
      <text>
        <r>
          <rPr>
            <sz val="9"/>
            <color indexed="81"/>
            <rFont val="Tahoma"/>
            <family val="2"/>
          </rPr>
          <t xml:space="preserve">Faire supprimer pour mettre la case vide
</t>
        </r>
      </text>
    </comment>
    <comment ref="AZ176" authorId="0" shapeId="0" xr:uid="{00000000-0006-0000-1600-00001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6" authorId="0" shapeId="0" xr:uid="{00000000-0006-0000-1600-000012010000}">
      <text>
        <r>
          <rPr>
            <sz val="9"/>
            <color indexed="81"/>
            <rFont val="Tahoma"/>
            <family val="2"/>
          </rPr>
          <t xml:space="preserve">Faire supprimer pour mettre la case vide
</t>
        </r>
      </text>
    </comment>
    <comment ref="AZ177" authorId="0" shapeId="0" xr:uid="{00000000-0006-0000-1600-00001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77" authorId="0" shapeId="0" xr:uid="{00000000-0006-0000-1600-000014010000}">
      <text>
        <r>
          <rPr>
            <sz val="9"/>
            <color indexed="81"/>
            <rFont val="Tahoma"/>
            <family val="2"/>
          </rPr>
          <t xml:space="preserve">Faire supprimer pour mettre la case vide
</t>
        </r>
      </text>
    </comment>
    <comment ref="AI191" authorId="0" shapeId="0" xr:uid="{00000000-0006-0000-1600-000015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191" authorId="1" shapeId="0" xr:uid="{00000000-0006-0000-1600-000016010000}">
      <text>
        <r>
          <rPr>
            <b/>
            <sz val="8"/>
            <color indexed="81"/>
            <rFont val="Tahoma"/>
            <family val="2"/>
          </rPr>
          <t>Heures complémentaires non prévues au contrat</t>
        </r>
      </text>
    </comment>
    <comment ref="AO191" authorId="0" shapeId="0" xr:uid="{00000000-0006-0000-1600-000017010000}">
      <text>
        <r>
          <rPr>
            <b/>
            <sz val="9"/>
            <color indexed="81"/>
            <rFont val="Tahoma"/>
            <family val="2"/>
          </rPr>
          <t>Heures supplémentaires non prévues au contrat</t>
        </r>
      </text>
    </comment>
    <comment ref="AR191" authorId="0" shapeId="0" xr:uid="{00000000-0006-0000-1600-000018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191" authorId="0" shapeId="0" xr:uid="{20A4D0A4-DEEC-4FA5-A14A-15E0589C83B3}">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191" authorId="0" shapeId="0" xr:uid="{00000000-0006-0000-1600-00001A010000}">
      <text>
        <r>
          <rPr>
            <sz val="10"/>
            <color indexed="81"/>
            <rFont val="Tahoma"/>
            <family val="2"/>
          </rPr>
          <t>Cet écart se calcule par rapport aux heures d'arrivée et de départ des tableaux horaires réels et horaires prévues</t>
        </r>
      </text>
    </comment>
    <comment ref="BE191" authorId="0" shapeId="0" xr:uid="{00000000-0006-0000-1600-00001B010000}">
      <text>
        <r>
          <rPr>
            <sz val="10"/>
            <color indexed="81"/>
            <rFont val="Tahoma"/>
            <family val="2"/>
          </rPr>
          <t>Pour mettre la case vide faire supprimer sur la cellule choisi.</t>
        </r>
      </text>
    </comment>
    <comment ref="AZ192" authorId="0" shapeId="0" xr:uid="{00000000-0006-0000-1600-00001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2" authorId="0" shapeId="0" xr:uid="{00000000-0006-0000-1600-00001D010000}">
      <text>
        <r>
          <rPr>
            <sz val="9"/>
            <color indexed="81"/>
            <rFont val="Tahoma"/>
            <family val="2"/>
          </rPr>
          <t xml:space="preserve">Faire supprimer pour mettre la case vide
</t>
        </r>
      </text>
    </comment>
    <comment ref="AZ193" authorId="0" shapeId="0" xr:uid="{00000000-0006-0000-1600-00001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3" authorId="0" shapeId="0" xr:uid="{00000000-0006-0000-1600-00001F010000}">
      <text>
        <r>
          <rPr>
            <sz val="9"/>
            <color indexed="81"/>
            <rFont val="Tahoma"/>
            <family val="2"/>
          </rPr>
          <t xml:space="preserve">Faire supprimer pour mettre la case vide
</t>
        </r>
      </text>
    </comment>
    <comment ref="AZ194" authorId="0" shapeId="0" xr:uid="{00000000-0006-0000-1600-00002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4" authorId="0" shapeId="0" xr:uid="{00000000-0006-0000-1600-000021010000}">
      <text>
        <r>
          <rPr>
            <sz val="9"/>
            <color indexed="81"/>
            <rFont val="Tahoma"/>
            <family val="2"/>
          </rPr>
          <t xml:space="preserve">Faire supprimer pour mettre la case vide
</t>
        </r>
      </text>
    </comment>
    <comment ref="AZ195" authorId="0" shapeId="0" xr:uid="{00000000-0006-0000-1600-00002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5" authorId="0" shapeId="0" xr:uid="{00000000-0006-0000-1600-000023010000}">
      <text>
        <r>
          <rPr>
            <sz val="9"/>
            <color indexed="81"/>
            <rFont val="Tahoma"/>
            <family val="2"/>
          </rPr>
          <t xml:space="preserve">Faire supprimer pour mettre la case vide
</t>
        </r>
      </text>
    </comment>
    <comment ref="AZ196" authorId="0" shapeId="0" xr:uid="{00000000-0006-0000-1600-00002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6" authorId="0" shapeId="0" xr:uid="{00000000-0006-0000-1600-000025010000}">
      <text>
        <r>
          <rPr>
            <sz val="9"/>
            <color indexed="81"/>
            <rFont val="Tahoma"/>
            <family val="2"/>
          </rPr>
          <t xml:space="preserve">Faire supprimer pour mettre la case vide
</t>
        </r>
      </text>
    </comment>
    <comment ref="AZ197" authorId="0" shapeId="0" xr:uid="{00000000-0006-0000-1600-00002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7" authorId="0" shapeId="0" xr:uid="{00000000-0006-0000-1600-000027010000}">
      <text>
        <r>
          <rPr>
            <sz val="9"/>
            <color indexed="81"/>
            <rFont val="Tahoma"/>
            <family val="2"/>
          </rPr>
          <t xml:space="preserve">Faire supprimer pour mettre la case vide
</t>
        </r>
      </text>
    </comment>
    <comment ref="AZ198" authorId="0" shapeId="0" xr:uid="{00000000-0006-0000-1600-00002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8" authorId="0" shapeId="0" xr:uid="{00000000-0006-0000-1600-000029010000}">
      <text>
        <r>
          <rPr>
            <sz val="9"/>
            <color indexed="81"/>
            <rFont val="Tahoma"/>
            <family val="2"/>
          </rPr>
          <t xml:space="preserve">Faire supprimer pour mettre la case vide
</t>
        </r>
      </text>
    </comment>
    <comment ref="AZ199" authorId="0" shapeId="0" xr:uid="{00000000-0006-0000-1600-00002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199" authorId="0" shapeId="0" xr:uid="{00000000-0006-0000-1600-00002B010000}">
      <text>
        <r>
          <rPr>
            <sz val="9"/>
            <color indexed="81"/>
            <rFont val="Tahoma"/>
            <family val="2"/>
          </rPr>
          <t xml:space="preserve">Faire supprimer pour mettre la case vide
</t>
        </r>
      </text>
    </comment>
    <comment ref="AZ200" authorId="0" shapeId="0" xr:uid="{00000000-0006-0000-1600-00002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0" authorId="0" shapeId="0" xr:uid="{00000000-0006-0000-1600-00002D010000}">
      <text>
        <r>
          <rPr>
            <sz val="9"/>
            <color indexed="81"/>
            <rFont val="Tahoma"/>
            <family val="2"/>
          </rPr>
          <t xml:space="preserve">Faire supprimer pour mettre la case vide
</t>
        </r>
      </text>
    </comment>
    <comment ref="AZ201" authorId="0" shapeId="0" xr:uid="{00000000-0006-0000-1600-00002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1" authorId="0" shapeId="0" xr:uid="{00000000-0006-0000-1600-00002F010000}">
      <text>
        <r>
          <rPr>
            <sz val="9"/>
            <color indexed="81"/>
            <rFont val="Tahoma"/>
            <family val="2"/>
          </rPr>
          <t xml:space="preserve">Faire supprimer pour mettre la case vide
</t>
        </r>
      </text>
    </comment>
    <comment ref="AZ202" authorId="0" shapeId="0" xr:uid="{00000000-0006-0000-1600-00003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2" authorId="0" shapeId="0" xr:uid="{00000000-0006-0000-1600-000031010000}">
      <text>
        <r>
          <rPr>
            <sz val="9"/>
            <color indexed="81"/>
            <rFont val="Tahoma"/>
            <family val="2"/>
          </rPr>
          <t xml:space="preserve">Faire supprimer pour mettre la case vide
</t>
        </r>
      </text>
    </comment>
    <comment ref="AZ203" authorId="0" shapeId="0" xr:uid="{00000000-0006-0000-1600-00003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3" authorId="0" shapeId="0" xr:uid="{00000000-0006-0000-1600-000033010000}">
      <text>
        <r>
          <rPr>
            <sz val="9"/>
            <color indexed="81"/>
            <rFont val="Tahoma"/>
            <family val="2"/>
          </rPr>
          <t xml:space="preserve">Faire supprimer pour mettre la case vide
</t>
        </r>
      </text>
    </comment>
    <comment ref="AZ204" authorId="0" shapeId="0" xr:uid="{00000000-0006-0000-1600-00003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4" authorId="0" shapeId="0" xr:uid="{00000000-0006-0000-1600-000035010000}">
      <text>
        <r>
          <rPr>
            <sz val="9"/>
            <color indexed="81"/>
            <rFont val="Tahoma"/>
            <family val="2"/>
          </rPr>
          <t xml:space="preserve">Faire supprimer pour mettre la case vide
</t>
        </r>
      </text>
    </comment>
    <comment ref="AZ205" authorId="0" shapeId="0" xr:uid="{00000000-0006-0000-1600-00003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5" authorId="0" shapeId="0" xr:uid="{00000000-0006-0000-1600-000037010000}">
      <text>
        <r>
          <rPr>
            <sz val="9"/>
            <color indexed="81"/>
            <rFont val="Tahoma"/>
            <family val="2"/>
          </rPr>
          <t xml:space="preserve">Faire supprimer pour mettre la case vide
</t>
        </r>
      </text>
    </comment>
    <comment ref="AZ206" authorId="0" shapeId="0" xr:uid="{00000000-0006-0000-1600-00003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6" authorId="0" shapeId="0" xr:uid="{00000000-0006-0000-1600-000039010000}">
      <text>
        <r>
          <rPr>
            <sz val="9"/>
            <color indexed="81"/>
            <rFont val="Tahoma"/>
            <family val="2"/>
          </rPr>
          <t xml:space="preserve">Faire supprimer pour mettre la case vide
</t>
        </r>
      </text>
    </comment>
    <comment ref="AZ207" authorId="0" shapeId="0" xr:uid="{00000000-0006-0000-1600-00003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7" authorId="0" shapeId="0" xr:uid="{00000000-0006-0000-1600-00003B010000}">
      <text>
        <r>
          <rPr>
            <sz val="9"/>
            <color indexed="81"/>
            <rFont val="Tahoma"/>
            <family val="2"/>
          </rPr>
          <t xml:space="preserve">Faire supprimer pour mettre la case vide
</t>
        </r>
      </text>
    </comment>
    <comment ref="AZ208" authorId="0" shapeId="0" xr:uid="{00000000-0006-0000-1600-00003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8" authorId="0" shapeId="0" xr:uid="{00000000-0006-0000-1600-00003D010000}">
      <text>
        <r>
          <rPr>
            <sz val="9"/>
            <color indexed="81"/>
            <rFont val="Tahoma"/>
            <family val="2"/>
          </rPr>
          <t xml:space="preserve">Faire supprimer pour mettre la case vide
</t>
        </r>
      </text>
    </comment>
    <comment ref="AZ209" authorId="0" shapeId="0" xr:uid="{00000000-0006-0000-1600-00003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09" authorId="0" shapeId="0" xr:uid="{00000000-0006-0000-1600-00003F010000}">
      <text>
        <r>
          <rPr>
            <sz val="9"/>
            <color indexed="81"/>
            <rFont val="Tahoma"/>
            <family val="2"/>
          </rPr>
          <t xml:space="preserve">Faire supprimer pour mettre la case vide
</t>
        </r>
      </text>
    </comment>
    <comment ref="AZ210" authorId="0" shapeId="0" xr:uid="{00000000-0006-0000-1600-00004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0" authorId="0" shapeId="0" xr:uid="{00000000-0006-0000-1600-000041010000}">
      <text>
        <r>
          <rPr>
            <sz val="9"/>
            <color indexed="81"/>
            <rFont val="Tahoma"/>
            <family val="2"/>
          </rPr>
          <t xml:space="preserve">Faire supprimer pour mettre la case vide
</t>
        </r>
      </text>
    </comment>
    <comment ref="AZ211" authorId="0" shapeId="0" xr:uid="{00000000-0006-0000-1600-00004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1" authorId="0" shapeId="0" xr:uid="{00000000-0006-0000-1600-000043010000}">
      <text>
        <r>
          <rPr>
            <sz val="9"/>
            <color indexed="81"/>
            <rFont val="Tahoma"/>
            <family val="2"/>
          </rPr>
          <t xml:space="preserve">Faire supprimer pour mettre la case vide
</t>
        </r>
      </text>
    </comment>
    <comment ref="AZ212" authorId="0" shapeId="0" xr:uid="{00000000-0006-0000-1600-00004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2" authorId="0" shapeId="0" xr:uid="{00000000-0006-0000-1600-000045010000}">
      <text>
        <r>
          <rPr>
            <sz val="9"/>
            <color indexed="81"/>
            <rFont val="Tahoma"/>
            <family val="2"/>
          </rPr>
          <t xml:space="preserve">Faire supprimer pour mettre la case vide
</t>
        </r>
      </text>
    </comment>
    <comment ref="AZ213" authorId="0" shapeId="0" xr:uid="{00000000-0006-0000-1600-00004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3" authorId="0" shapeId="0" xr:uid="{00000000-0006-0000-1600-000047010000}">
      <text>
        <r>
          <rPr>
            <sz val="9"/>
            <color indexed="81"/>
            <rFont val="Tahoma"/>
            <family val="2"/>
          </rPr>
          <t xml:space="preserve">Faire supprimer pour mettre la case vide
</t>
        </r>
      </text>
    </comment>
    <comment ref="AZ214" authorId="0" shapeId="0" xr:uid="{00000000-0006-0000-1600-00004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4" authorId="0" shapeId="0" xr:uid="{00000000-0006-0000-1600-000049010000}">
      <text>
        <r>
          <rPr>
            <sz val="9"/>
            <color indexed="81"/>
            <rFont val="Tahoma"/>
            <family val="2"/>
          </rPr>
          <t xml:space="preserve">Faire supprimer pour mettre la case vide
</t>
        </r>
      </text>
    </comment>
    <comment ref="AZ215" authorId="0" shapeId="0" xr:uid="{00000000-0006-0000-1600-00004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5" authorId="0" shapeId="0" xr:uid="{00000000-0006-0000-1600-00004B010000}">
      <text>
        <r>
          <rPr>
            <sz val="9"/>
            <color indexed="81"/>
            <rFont val="Tahoma"/>
            <family val="2"/>
          </rPr>
          <t xml:space="preserve">Faire supprimer pour mettre la case vide
</t>
        </r>
      </text>
    </comment>
    <comment ref="AZ216" authorId="0" shapeId="0" xr:uid="{00000000-0006-0000-1600-00004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6" authorId="0" shapeId="0" xr:uid="{00000000-0006-0000-1600-00004D010000}">
      <text>
        <r>
          <rPr>
            <sz val="9"/>
            <color indexed="81"/>
            <rFont val="Tahoma"/>
            <family val="2"/>
          </rPr>
          <t xml:space="preserve">Faire supprimer pour mettre la case vide
</t>
        </r>
      </text>
    </comment>
    <comment ref="AZ217" authorId="0" shapeId="0" xr:uid="{00000000-0006-0000-1600-00004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7" authorId="0" shapeId="0" xr:uid="{00000000-0006-0000-1600-00004F010000}">
      <text>
        <r>
          <rPr>
            <sz val="9"/>
            <color indexed="81"/>
            <rFont val="Tahoma"/>
            <family val="2"/>
          </rPr>
          <t xml:space="preserve">Faire supprimer pour mettre la case vide
</t>
        </r>
      </text>
    </comment>
    <comment ref="AZ218" authorId="0" shapeId="0" xr:uid="{00000000-0006-0000-1600-00005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8" authorId="0" shapeId="0" xr:uid="{00000000-0006-0000-1600-000051010000}">
      <text>
        <r>
          <rPr>
            <sz val="9"/>
            <color indexed="81"/>
            <rFont val="Tahoma"/>
            <family val="2"/>
          </rPr>
          <t xml:space="preserve">Faire supprimer pour mettre la case vide
</t>
        </r>
      </text>
    </comment>
    <comment ref="AZ219" authorId="0" shapeId="0" xr:uid="{00000000-0006-0000-1600-00005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19" authorId="0" shapeId="0" xr:uid="{00000000-0006-0000-1600-000053010000}">
      <text>
        <r>
          <rPr>
            <sz val="9"/>
            <color indexed="81"/>
            <rFont val="Tahoma"/>
            <family val="2"/>
          </rPr>
          <t xml:space="preserve">Faire supprimer pour mettre la case vide
</t>
        </r>
      </text>
    </comment>
    <comment ref="AZ220" authorId="0" shapeId="0" xr:uid="{00000000-0006-0000-1600-00005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0" authorId="0" shapeId="0" xr:uid="{00000000-0006-0000-1600-000055010000}">
      <text>
        <r>
          <rPr>
            <sz val="9"/>
            <color indexed="81"/>
            <rFont val="Tahoma"/>
            <family val="2"/>
          </rPr>
          <t xml:space="preserve">Faire supprimer pour mettre la case vide
</t>
        </r>
      </text>
    </comment>
    <comment ref="AZ221" authorId="0" shapeId="0" xr:uid="{00000000-0006-0000-1600-00005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1" authorId="0" shapeId="0" xr:uid="{00000000-0006-0000-1600-000057010000}">
      <text>
        <r>
          <rPr>
            <sz val="9"/>
            <color indexed="81"/>
            <rFont val="Tahoma"/>
            <family val="2"/>
          </rPr>
          <t xml:space="preserve">Faire supprimer pour mettre la case vide
</t>
        </r>
      </text>
    </comment>
    <comment ref="AZ222" authorId="0" shapeId="0" xr:uid="{00000000-0006-0000-1600-00005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22" authorId="0" shapeId="0" xr:uid="{00000000-0006-0000-1600-000059010000}">
      <text>
        <r>
          <rPr>
            <sz val="9"/>
            <color indexed="81"/>
            <rFont val="Tahoma"/>
            <family val="2"/>
          </rPr>
          <t xml:space="preserve">Faire supprimer pour mettre la case vide
</t>
        </r>
      </text>
    </comment>
    <comment ref="AI236" authorId="0" shapeId="0" xr:uid="{00000000-0006-0000-1600-00005A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36" authorId="1" shapeId="0" xr:uid="{00000000-0006-0000-1600-00005B010000}">
      <text>
        <r>
          <rPr>
            <b/>
            <sz val="8"/>
            <color indexed="81"/>
            <rFont val="Tahoma"/>
            <family val="2"/>
          </rPr>
          <t>Heures complémentaires non prévues au contrat</t>
        </r>
      </text>
    </comment>
    <comment ref="AO236" authorId="0" shapeId="0" xr:uid="{00000000-0006-0000-1600-00005C010000}">
      <text>
        <r>
          <rPr>
            <b/>
            <sz val="9"/>
            <color indexed="81"/>
            <rFont val="Tahoma"/>
            <family val="2"/>
          </rPr>
          <t>Heures supplémentaires non prévues au contrat</t>
        </r>
      </text>
    </comment>
    <comment ref="AR236" authorId="0" shapeId="0" xr:uid="{00000000-0006-0000-1600-00005D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36" authorId="0" shapeId="0" xr:uid="{A273B280-BDF2-48D1-A6EA-D0A0F7E8DF5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236" authorId="0" shapeId="0" xr:uid="{00000000-0006-0000-1600-00005F010000}">
      <text>
        <r>
          <rPr>
            <sz val="10"/>
            <color indexed="81"/>
            <rFont val="Tahoma"/>
            <family val="2"/>
          </rPr>
          <t>Cet écart se calcule par rapport aux heures d'arrivée et de départ des tableaux horaires réels et horaires prévues</t>
        </r>
      </text>
    </comment>
    <comment ref="BE236" authorId="0" shapeId="0" xr:uid="{00000000-0006-0000-1600-000060010000}">
      <text>
        <r>
          <rPr>
            <sz val="10"/>
            <color indexed="81"/>
            <rFont val="Tahoma"/>
            <family val="2"/>
          </rPr>
          <t>Pour mettre la case vide faire supprimer sur la cellule choisi.</t>
        </r>
      </text>
    </comment>
    <comment ref="AZ237" authorId="0" shapeId="0" xr:uid="{00000000-0006-0000-1600-00006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7" authorId="0" shapeId="0" xr:uid="{00000000-0006-0000-1600-000062010000}">
      <text>
        <r>
          <rPr>
            <sz val="9"/>
            <color indexed="81"/>
            <rFont val="Tahoma"/>
            <family val="2"/>
          </rPr>
          <t xml:space="preserve">Faire supprimer pour mettre la case vide
</t>
        </r>
      </text>
    </comment>
    <comment ref="AZ238" authorId="0" shapeId="0" xr:uid="{00000000-0006-0000-1600-00006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8" authorId="0" shapeId="0" xr:uid="{00000000-0006-0000-1600-000064010000}">
      <text>
        <r>
          <rPr>
            <sz val="9"/>
            <color indexed="81"/>
            <rFont val="Tahoma"/>
            <family val="2"/>
          </rPr>
          <t xml:space="preserve">Faire supprimer pour mettre la case vide
</t>
        </r>
      </text>
    </comment>
    <comment ref="AZ239" authorId="0" shapeId="0" xr:uid="{00000000-0006-0000-1600-00006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39" authorId="0" shapeId="0" xr:uid="{00000000-0006-0000-1600-000066010000}">
      <text>
        <r>
          <rPr>
            <sz val="9"/>
            <color indexed="81"/>
            <rFont val="Tahoma"/>
            <family val="2"/>
          </rPr>
          <t xml:space="preserve">Faire supprimer pour mettre la case vide
</t>
        </r>
      </text>
    </comment>
    <comment ref="AZ240" authorId="0" shapeId="0" xr:uid="{00000000-0006-0000-1600-00006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0" authorId="0" shapeId="0" xr:uid="{00000000-0006-0000-1600-000068010000}">
      <text>
        <r>
          <rPr>
            <sz val="9"/>
            <color indexed="81"/>
            <rFont val="Tahoma"/>
            <family val="2"/>
          </rPr>
          <t xml:space="preserve">Faire supprimer pour mettre la case vide
</t>
        </r>
      </text>
    </comment>
    <comment ref="AZ241" authorId="0" shapeId="0" xr:uid="{00000000-0006-0000-1600-00006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1" authorId="0" shapeId="0" xr:uid="{00000000-0006-0000-1600-00006A010000}">
      <text>
        <r>
          <rPr>
            <sz val="9"/>
            <color indexed="81"/>
            <rFont val="Tahoma"/>
            <family val="2"/>
          </rPr>
          <t xml:space="preserve">Faire supprimer pour mettre la case vide
</t>
        </r>
      </text>
    </comment>
    <comment ref="AZ242" authorId="0" shapeId="0" xr:uid="{00000000-0006-0000-1600-00006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2" authorId="0" shapeId="0" xr:uid="{00000000-0006-0000-1600-00006C010000}">
      <text>
        <r>
          <rPr>
            <sz val="9"/>
            <color indexed="81"/>
            <rFont val="Tahoma"/>
            <family val="2"/>
          </rPr>
          <t xml:space="preserve">Faire supprimer pour mettre la case vide
</t>
        </r>
      </text>
    </comment>
    <comment ref="AZ243" authorId="0" shapeId="0" xr:uid="{00000000-0006-0000-1600-00006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3" authorId="0" shapeId="0" xr:uid="{00000000-0006-0000-1600-00006E010000}">
      <text>
        <r>
          <rPr>
            <sz val="9"/>
            <color indexed="81"/>
            <rFont val="Tahoma"/>
            <family val="2"/>
          </rPr>
          <t xml:space="preserve">Faire supprimer pour mettre la case vide
</t>
        </r>
      </text>
    </comment>
    <comment ref="AZ244" authorId="0" shapeId="0" xr:uid="{00000000-0006-0000-1600-00006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4" authorId="0" shapeId="0" xr:uid="{00000000-0006-0000-1600-000070010000}">
      <text>
        <r>
          <rPr>
            <sz val="9"/>
            <color indexed="81"/>
            <rFont val="Tahoma"/>
            <family val="2"/>
          </rPr>
          <t xml:space="preserve">Faire supprimer pour mettre la case vide
</t>
        </r>
      </text>
    </comment>
    <comment ref="AZ245" authorId="0" shapeId="0" xr:uid="{00000000-0006-0000-1600-00007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5" authorId="0" shapeId="0" xr:uid="{00000000-0006-0000-1600-000072010000}">
      <text>
        <r>
          <rPr>
            <sz val="9"/>
            <color indexed="81"/>
            <rFont val="Tahoma"/>
            <family val="2"/>
          </rPr>
          <t xml:space="preserve">Faire supprimer pour mettre la case vide
</t>
        </r>
      </text>
    </comment>
    <comment ref="AZ246" authorId="0" shapeId="0" xr:uid="{00000000-0006-0000-1600-00007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6" authorId="0" shapeId="0" xr:uid="{00000000-0006-0000-1600-000074010000}">
      <text>
        <r>
          <rPr>
            <sz val="9"/>
            <color indexed="81"/>
            <rFont val="Tahoma"/>
            <family val="2"/>
          </rPr>
          <t xml:space="preserve">Faire supprimer pour mettre la case vide
</t>
        </r>
      </text>
    </comment>
    <comment ref="AZ247" authorId="0" shapeId="0" xr:uid="{00000000-0006-0000-1600-00007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7" authorId="0" shapeId="0" xr:uid="{00000000-0006-0000-1600-000076010000}">
      <text>
        <r>
          <rPr>
            <sz val="9"/>
            <color indexed="81"/>
            <rFont val="Tahoma"/>
            <family val="2"/>
          </rPr>
          <t xml:space="preserve">Faire supprimer pour mettre la case vide
</t>
        </r>
      </text>
    </comment>
    <comment ref="AZ248" authorId="0" shapeId="0" xr:uid="{00000000-0006-0000-1600-00007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8" authorId="0" shapeId="0" xr:uid="{00000000-0006-0000-1600-000078010000}">
      <text>
        <r>
          <rPr>
            <sz val="9"/>
            <color indexed="81"/>
            <rFont val="Tahoma"/>
            <family val="2"/>
          </rPr>
          <t xml:space="preserve">Faire supprimer pour mettre la case vide
</t>
        </r>
      </text>
    </comment>
    <comment ref="AZ249" authorId="0" shapeId="0" xr:uid="{00000000-0006-0000-1600-00007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49" authorId="0" shapeId="0" xr:uid="{00000000-0006-0000-1600-00007A010000}">
      <text>
        <r>
          <rPr>
            <sz val="9"/>
            <color indexed="81"/>
            <rFont val="Tahoma"/>
            <family val="2"/>
          </rPr>
          <t xml:space="preserve">Faire supprimer pour mettre la case vide
</t>
        </r>
      </text>
    </comment>
    <comment ref="AZ250" authorId="0" shapeId="0" xr:uid="{00000000-0006-0000-1600-00007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0" authorId="0" shapeId="0" xr:uid="{00000000-0006-0000-1600-00007C010000}">
      <text>
        <r>
          <rPr>
            <sz val="9"/>
            <color indexed="81"/>
            <rFont val="Tahoma"/>
            <family val="2"/>
          </rPr>
          <t xml:space="preserve">Faire supprimer pour mettre la case vide
</t>
        </r>
      </text>
    </comment>
    <comment ref="AZ251" authorId="0" shapeId="0" xr:uid="{00000000-0006-0000-1600-00007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1" authorId="0" shapeId="0" xr:uid="{00000000-0006-0000-1600-00007E010000}">
      <text>
        <r>
          <rPr>
            <sz val="9"/>
            <color indexed="81"/>
            <rFont val="Tahoma"/>
            <family val="2"/>
          </rPr>
          <t xml:space="preserve">Faire supprimer pour mettre la case vide
</t>
        </r>
      </text>
    </comment>
    <comment ref="AZ252" authorId="0" shapeId="0" xr:uid="{00000000-0006-0000-1600-00007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2" authorId="0" shapeId="0" xr:uid="{00000000-0006-0000-1600-000080010000}">
      <text>
        <r>
          <rPr>
            <sz val="9"/>
            <color indexed="81"/>
            <rFont val="Tahoma"/>
            <family val="2"/>
          </rPr>
          <t xml:space="preserve">Faire supprimer pour mettre la case vide
</t>
        </r>
      </text>
    </comment>
    <comment ref="AZ253" authorId="0" shapeId="0" xr:uid="{00000000-0006-0000-1600-00008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3" authorId="0" shapeId="0" xr:uid="{00000000-0006-0000-1600-000082010000}">
      <text>
        <r>
          <rPr>
            <sz val="9"/>
            <color indexed="81"/>
            <rFont val="Tahoma"/>
            <family val="2"/>
          </rPr>
          <t xml:space="preserve">Faire supprimer pour mettre la case vide
</t>
        </r>
      </text>
    </comment>
    <comment ref="AZ254" authorId="0" shapeId="0" xr:uid="{00000000-0006-0000-1600-00008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4" authorId="0" shapeId="0" xr:uid="{00000000-0006-0000-1600-000084010000}">
      <text>
        <r>
          <rPr>
            <sz val="9"/>
            <color indexed="81"/>
            <rFont val="Tahoma"/>
            <family val="2"/>
          </rPr>
          <t xml:space="preserve">Faire supprimer pour mettre la case vide
</t>
        </r>
      </text>
    </comment>
    <comment ref="AZ255" authorId="0" shapeId="0" xr:uid="{00000000-0006-0000-1600-00008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5" authorId="0" shapeId="0" xr:uid="{00000000-0006-0000-1600-000086010000}">
      <text>
        <r>
          <rPr>
            <sz val="9"/>
            <color indexed="81"/>
            <rFont val="Tahoma"/>
            <family val="2"/>
          </rPr>
          <t xml:space="preserve">Faire supprimer pour mettre la case vide
</t>
        </r>
      </text>
    </comment>
    <comment ref="AZ256" authorId="0" shapeId="0" xr:uid="{00000000-0006-0000-1600-00008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6" authorId="0" shapeId="0" xr:uid="{00000000-0006-0000-1600-000088010000}">
      <text>
        <r>
          <rPr>
            <sz val="9"/>
            <color indexed="81"/>
            <rFont val="Tahoma"/>
            <family val="2"/>
          </rPr>
          <t xml:space="preserve">Faire supprimer pour mettre la case vide
</t>
        </r>
      </text>
    </comment>
    <comment ref="AZ257" authorId="0" shapeId="0" xr:uid="{00000000-0006-0000-1600-00008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7" authorId="0" shapeId="0" xr:uid="{00000000-0006-0000-1600-00008A010000}">
      <text>
        <r>
          <rPr>
            <sz val="9"/>
            <color indexed="81"/>
            <rFont val="Tahoma"/>
            <family val="2"/>
          </rPr>
          <t xml:space="preserve">Faire supprimer pour mettre la case vide
</t>
        </r>
      </text>
    </comment>
    <comment ref="AZ258" authorId="0" shapeId="0" xr:uid="{00000000-0006-0000-1600-00008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8" authorId="0" shapeId="0" xr:uid="{00000000-0006-0000-1600-00008C010000}">
      <text>
        <r>
          <rPr>
            <sz val="9"/>
            <color indexed="81"/>
            <rFont val="Tahoma"/>
            <family val="2"/>
          </rPr>
          <t xml:space="preserve">Faire supprimer pour mettre la case vide
</t>
        </r>
      </text>
    </comment>
    <comment ref="AZ259" authorId="0" shapeId="0" xr:uid="{00000000-0006-0000-1600-00008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59" authorId="0" shapeId="0" xr:uid="{00000000-0006-0000-1600-00008E010000}">
      <text>
        <r>
          <rPr>
            <sz val="9"/>
            <color indexed="81"/>
            <rFont val="Tahoma"/>
            <family val="2"/>
          </rPr>
          <t xml:space="preserve">Faire supprimer pour mettre la case vide
</t>
        </r>
      </text>
    </comment>
    <comment ref="AZ260" authorId="0" shapeId="0" xr:uid="{00000000-0006-0000-1600-00008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0" authorId="0" shapeId="0" xr:uid="{00000000-0006-0000-1600-000090010000}">
      <text>
        <r>
          <rPr>
            <sz val="9"/>
            <color indexed="81"/>
            <rFont val="Tahoma"/>
            <family val="2"/>
          </rPr>
          <t xml:space="preserve">Faire supprimer pour mettre la case vide
</t>
        </r>
      </text>
    </comment>
    <comment ref="AZ261" authorId="0" shapeId="0" xr:uid="{00000000-0006-0000-1600-00009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1" authorId="0" shapeId="0" xr:uid="{00000000-0006-0000-1600-000092010000}">
      <text>
        <r>
          <rPr>
            <sz val="9"/>
            <color indexed="81"/>
            <rFont val="Tahoma"/>
            <family val="2"/>
          </rPr>
          <t xml:space="preserve">Faire supprimer pour mettre la case vide
</t>
        </r>
      </text>
    </comment>
    <comment ref="AZ262" authorId="0" shapeId="0" xr:uid="{00000000-0006-0000-1600-00009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2" authorId="0" shapeId="0" xr:uid="{00000000-0006-0000-1600-000094010000}">
      <text>
        <r>
          <rPr>
            <sz val="9"/>
            <color indexed="81"/>
            <rFont val="Tahoma"/>
            <family val="2"/>
          </rPr>
          <t xml:space="preserve">Faire supprimer pour mettre la case vide
</t>
        </r>
      </text>
    </comment>
    <comment ref="AZ263" authorId="0" shapeId="0" xr:uid="{00000000-0006-0000-1600-00009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3" authorId="0" shapeId="0" xr:uid="{00000000-0006-0000-1600-000096010000}">
      <text>
        <r>
          <rPr>
            <sz val="9"/>
            <color indexed="81"/>
            <rFont val="Tahoma"/>
            <family val="2"/>
          </rPr>
          <t xml:space="preserve">Faire supprimer pour mettre la case vide
</t>
        </r>
      </text>
    </comment>
    <comment ref="AZ264" authorId="0" shapeId="0" xr:uid="{00000000-0006-0000-1600-00009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4" authorId="0" shapeId="0" xr:uid="{00000000-0006-0000-1600-000098010000}">
      <text>
        <r>
          <rPr>
            <sz val="9"/>
            <color indexed="81"/>
            <rFont val="Tahoma"/>
            <family val="2"/>
          </rPr>
          <t xml:space="preserve">Faire supprimer pour mettre la case vide
</t>
        </r>
      </text>
    </comment>
    <comment ref="AZ265" authorId="0" shapeId="0" xr:uid="{00000000-0006-0000-1600-00009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5" authorId="0" shapeId="0" xr:uid="{00000000-0006-0000-1600-00009A010000}">
      <text>
        <r>
          <rPr>
            <sz val="9"/>
            <color indexed="81"/>
            <rFont val="Tahoma"/>
            <family val="2"/>
          </rPr>
          <t xml:space="preserve">Faire supprimer pour mettre la case vide
</t>
        </r>
      </text>
    </comment>
    <comment ref="AZ266" authorId="0" shapeId="0" xr:uid="{00000000-0006-0000-1600-00009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6" authorId="0" shapeId="0" xr:uid="{00000000-0006-0000-1600-00009C010000}">
      <text>
        <r>
          <rPr>
            <sz val="9"/>
            <color indexed="81"/>
            <rFont val="Tahoma"/>
            <family val="2"/>
          </rPr>
          <t xml:space="preserve">Faire supprimer pour mettre la case vide
</t>
        </r>
      </text>
    </comment>
    <comment ref="AZ267" authorId="0" shapeId="0" xr:uid="{00000000-0006-0000-1600-00009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67" authorId="0" shapeId="0" xr:uid="{00000000-0006-0000-1600-00009E010000}">
      <text>
        <r>
          <rPr>
            <sz val="9"/>
            <color indexed="81"/>
            <rFont val="Tahoma"/>
            <family val="2"/>
          </rPr>
          <t xml:space="preserve">Faire supprimer pour mettre la case vide
</t>
        </r>
      </text>
    </comment>
    <comment ref="AI281" authorId="0" shapeId="0" xr:uid="{00000000-0006-0000-1600-00009F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281" authorId="1" shapeId="0" xr:uid="{00000000-0006-0000-1600-0000A0010000}">
      <text>
        <r>
          <rPr>
            <b/>
            <sz val="8"/>
            <color indexed="81"/>
            <rFont val="Tahoma"/>
            <family val="2"/>
          </rPr>
          <t>Heures complémentaires non prévues au contrat</t>
        </r>
      </text>
    </comment>
    <comment ref="AO281" authorId="0" shapeId="0" xr:uid="{00000000-0006-0000-1600-0000A1010000}">
      <text>
        <r>
          <rPr>
            <b/>
            <sz val="9"/>
            <color indexed="81"/>
            <rFont val="Tahoma"/>
            <family val="2"/>
          </rPr>
          <t>Heures supplémentaires non prévues au contrat</t>
        </r>
      </text>
    </comment>
    <comment ref="AR281" authorId="0" shapeId="0" xr:uid="{00000000-0006-0000-1600-0000A2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281" authorId="0" shapeId="0" xr:uid="{168BB15C-0860-4A0E-BA05-613FAF41E254}">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281" authorId="0" shapeId="0" xr:uid="{00000000-0006-0000-1600-0000A4010000}">
      <text>
        <r>
          <rPr>
            <sz val="10"/>
            <color indexed="81"/>
            <rFont val="Tahoma"/>
            <family val="2"/>
          </rPr>
          <t>Cet écart se calcule par rapport aux heures d'arrivée et de départ des tableaux horaires réels et horaires prévues</t>
        </r>
      </text>
    </comment>
    <comment ref="BE281" authorId="0" shapeId="0" xr:uid="{00000000-0006-0000-1600-0000A5010000}">
      <text>
        <r>
          <rPr>
            <sz val="10"/>
            <color indexed="81"/>
            <rFont val="Tahoma"/>
            <family val="2"/>
          </rPr>
          <t>Pour mettre la case vide faire supprimer sur la cellule choisi.</t>
        </r>
      </text>
    </comment>
    <comment ref="AZ282" authorId="0" shapeId="0" xr:uid="{00000000-0006-0000-1600-0000A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2" authorId="0" shapeId="0" xr:uid="{00000000-0006-0000-1600-0000A7010000}">
      <text>
        <r>
          <rPr>
            <sz val="9"/>
            <color indexed="81"/>
            <rFont val="Tahoma"/>
            <family val="2"/>
          </rPr>
          <t xml:space="preserve">Faire supprimer pour mettre la case vide
</t>
        </r>
      </text>
    </comment>
    <comment ref="AZ283" authorId="0" shapeId="0" xr:uid="{00000000-0006-0000-1600-0000A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3" authorId="0" shapeId="0" xr:uid="{00000000-0006-0000-1600-0000A9010000}">
      <text>
        <r>
          <rPr>
            <sz val="9"/>
            <color indexed="81"/>
            <rFont val="Tahoma"/>
            <family val="2"/>
          </rPr>
          <t xml:space="preserve">Faire supprimer pour mettre la case vide
</t>
        </r>
      </text>
    </comment>
    <comment ref="AZ284" authorId="0" shapeId="0" xr:uid="{00000000-0006-0000-1600-0000A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4" authorId="0" shapeId="0" xr:uid="{00000000-0006-0000-1600-0000AB010000}">
      <text>
        <r>
          <rPr>
            <sz val="9"/>
            <color indexed="81"/>
            <rFont val="Tahoma"/>
            <family val="2"/>
          </rPr>
          <t xml:space="preserve">Faire supprimer pour mettre la case vide
</t>
        </r>
      </text>
    </comment>
    <comment ref="AZ285" authorId="0" shapeId="0" xr:uid="{00000000-0006-0000-1600-0000A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5" authorId="0" shapeId="0" xr:uid="{00000000-0006-0000-1600-0000AD010000}">
      <text>
        <r>
          <rPr>
            <sz val="9"/>
            <color indexed="81"/>
            <rFont val="Tahoma"/>
            <family val="2"/>
          </rPr>
          <t xml:space="preserve">Faire supprimer pour mettre la case vide
</t>
        </r>
      </text>
    </comment>
    <comment ref="AZ286" authorId="0" shapeId="0" xr:uid="{00000000-0006-0000-1600-0000A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6" authorId="0" shapeId="0" xr:uid="{00000000-0006-0000-1600-0000AF010000}">
      <text>
        <r>
          <rPr>
            <sz val="9"/>
            <color indexed="81"/>
            <rFont val="Tahoma"/>
            <family val="2"/>
          </rPr>
          <t xml:space="preserve">Faire supprimer pour mettre la case vide
</t>
        </r>
      </text>
    </comment>
    <comment ref="AZ287" authorId="0" shapeId="0" xr:uid="{00000000-0006-0000-1600-0000B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7" authorId="0" shapeId="0" xr:uid="{00000000-0006-0000-1600-0000B1010000}">
      <text>
        <r>
          <rPr>
            <sz val="9"/>
            <color indexed="81"/>
            <rFont val="Tahoma"/>
            <family val="2"/>
          </rPr>
          <t xml:space="preserve">Faire supprimer pour mettre la case vide
</t>
        </r>
      </text>
    </comment>
    <comment ref="AZ288" authorId="0" shapeId="0" xr:uid="{00000000-0006-0000-1600-0000B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8" authorId="0" shapeId="0" xr:uid="{00000000-0006-0000-1600-0000B3010000}">
      <text>
        <r>
          <rPr>
            <sz val="9"/>
            <color indexed="81"/>
            <rFont val="Tahoma"/>
            <family val="2"/>
          </rPr>
          <t xml:space="preserve">Faire supprimer pour mettre la case vide
</t>
        </r>
      </text>
    </comment>
    <comment ref="AZ289" authorId="0" shapeId="0" xr:uid="{00000000-0006-0000-1600-0000B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89" authorId="0" shapeId="0" xr:uid="{00000000-0006-0000-1600-0000B5010000}">
      <text>
        <r>
          <rPr>
            <sz val="9"/>
            <color indexed="81"/>
            <rFont val="Tahoma"/>
            <family val="2"/>
          </rPr>
          <t xml:space="preserve">Faire supprimer pour mettre la case vide
</t>
        </r>
      </text>
    </comment>
    <comment ref="AZ290" authorId="0" shapeId="0" xr:uid="{00000000-0006-0000-1600-0000B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0" authorId="0" shapeId="0" xr:uid="{00000000-0006-0000-1600-0000B7010000}">
      <text>
        <r>
          <rPr>
            <sz val="9"/>
            <color indexed="81"/>
            <rFont val="Tahoma"/>
            <family val="2"/>
          </rPr>
          <t xml:space="preserve">Faire supprimer pour mettre la case vide
</t>
        </r>
      </text>
    </comment>
    <comment ref="AZ291" authorId="0" shapeId="0" xr:uid="{00000000-0006-0000-1600-0000B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1" authorId="0" shapeId="0" xr:uid="{00000000-0006-0000-1600-0000B9010000}">
      <text>
        <r>
          <rPr>
            <sz val="9"/>
            <color indexed="81"/>
            <rFont val="Tahoma"/>
            <family val="2"/>
          </rPr>
          <t xml:space="preserve">Faire supprimer pour mettre la case vide
</t>
        </r>
      </text>
    </comment>
    <comment ref="AZ292" authorId="0" shapeId="0" xr:uid="{00000000-0006-0000-1600-0000B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2" authorId="0" shapeId="0" xr:uid="{00000000-0006-0000-1600-0000BB010000}">
      <text>
        <r>
          <rPr>
            <sz val="9"/>
            <color indexed="81"/>
            <rFont val="Tahoma"/>
            <family val="2"/>
          </rPr>
          <t xml:space="preserve">Faire supprimer pour mettre la case vide
</t>
        </r>
      </text>
    </comment>
    <comment ref="AZ293" authorId="0" shapeId="0" xr:uid="{00000000-0006-0000-1600-0000B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3" authorId="0" shapeId="0" xr:uid="{00000000-0006-0000-1600-0000BD010000}">
      <text>
        <r>
          <rPr>
            <sz val="9"/>
            <color indexed="81"/>
            <rFont val="Tahoma"/>
            <family val="2"/>
          </rPr>
          <t xml:space="preserve">Faire supprimer pour mettre la case vide
</t>
        </r>
      </text>
    </comment>
    <comment ref="AZ294" authorId="0" shapeId="0" xr:uid="{00000000-0006-0000-1600-0000B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4" authorId="0" shapeId="0" xr:uid="{00000000-0006-0000-1600-0000BF010000}">
      <text>
        <r>
          <rPr>
            <sz val="9"/>
            <color indexed="81"/>
            <rFont val="Tahoma"/>
            <family val="2"/>
          </rPr>
          <t xml:space="preserve">Faire supprimer pour mettre la case vide
</t>
        </r>
      </text>
    </comment>
    <comment ref="AZ295" authorId="0" shapeId="0" xr:uid="{00000000-0006-0000-1600-0000C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5" authorId="0" shapeId="0" xr:uid="{00000000-0006-0000-1600-0000C1010000}">
      <text>
        <r>
          <rPr>
            <sz val="9"/>
            <color indexed="81"/>
            <rFont val="Tahoma"/>
            <family val="2"/>
          </rPr>
          <t xml:space="preserve">Faire supprimer pour mettre la case vide
</t>
        </r>
      </text>
    </comment>
    <comment ref="AZ296" authorId="0" shapeId="0" xr:uid="{00000000-0006-0000-1600-0000C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6" authorId="0" shapeId="0" xr:uid="{00000000-0006-0000-1600-0000C3010000}">
      <text>
        <r>
          <rPr>
            <sz val="9"/>
            <color indexed="81"/>
            <rFont val="Tahoma"/>
            <family val="2"/>
          </rPr>
          <t xml:space="preserve">Faire supprimer pour mettre la case vide
</t>
        </r>
      </text>
    </comment>
    <comment ref="AZ297" authorId="0" shapeId="0" xr:uid="{00000000-0006-0000-1600-0000C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7" authorId="0" shapeId="0" xr:uid="{00000000-0006-0000-1600-0000C5010000}">
      <text>
        <r>
          <rPr>
            <sz val="9"/>
            <color indexed="81"/>
            <rFont val="Tahoma"/>
            <family val="2"/>
          </rPr>
          <t xml:space="preserve">Faire supprimer pour mettre la case vide
</t>
        </r>
      </text>
    </comment>
    <comment ref="AZ298" authorId="0" shapeId="0" xr:uid="{00000000-0006-0000-1600-0000C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8" authorId="0" shapeId="0" xr:uid="{00000000-0006-0000-1600-0000C7010000}">
      <text>
        <r>
          <rPr>
            <sz val="9"/>
            <color indexed="81"/>
            <rFont val="Tahoma"/>
            <family val="2"/>
          </rPr>
          <t xml:space="preserve">Faire supprimer pour mettre la case vide
</t>
        </r>
      </text>
    </comment>
    <comment ref="AZ299" authorId="0" shapeId="0" xr:uid="{00000000-0006-0000-1600-0000C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299" authorId="0" shapeId="0" xr:uid="{00000000-0006-0000-1600-0000C9010000}">
      <text>
        <r>
          <rPr>
            <sz val="9"/>
            <color indexed="81"/>
            <rFont val="Tahoma"/>
            <family val="2"/>
          </rPr>
          <t xml:space="preserve">Faire supprimer pour mettre la case vide
</t>
        </r>
      </text>
    </comment>
    <comment ref="AZ300" authorId="0" shapeId="0" xr:uid="{00000000-0006-0000-1600-0000C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0" authorId="0" shapeId="0" xr:uid="{00000000-0006-0000-1600-0000CB010000}">
      <text>
        <r>
          <rPr>
            <sz val="9"/>
            <color indexed="81"/>
            <rFont val="Tahoma"/>
            <family val="2"/>
          </rPr>
          <t xml:space="preserve">Faire supprimer pour mettre la case vide
</t>
        </r>
      </text>
    </comment>
    <comment ref="AZ301" authorId="0" shapeId="0" xr:uid="{00000000-0006-0000-1600-0000C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1" authorId="0" shapeId="0" xr:uid="{00000000-0006-0000-1600-0000CD010000}">
      <text>
        <r>
          <rPr>
            <sz val="9"/>
            <color indexed="81"/>
            <rFont val="Tahoma"/>
            <family val="2"/>
          </rPr>
          <t xml:space="preserve">Faire supprimer pour mettre la case vide
</t>
        </r>
      </text>
    </comment>
    <comment ref="AZ302" authorId="0" shapeId="0" xr:uid="{00000000-0006-0000-1600-0000C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2" authorId="0" shapeId="0" xr:uid="{00000000-0006-0000-1600-0000CF010000}">
      <text>
        <r>
          <rPr>
            <sz val="9"/>
            <color indexed="81"/>
            <rFont val="Tahoma"/>
            <family val="2"/>
          </rPr>
          <t xml:space="preserve">Faire supprimer pour mettre la case vide
</t>
        </r>
      </text>
    </comment>
    <comment ref="AZ303" authorId="0" shapeId="0" xr:uid="{00000000-0006-0000-1600-0000D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3" authorId="0" shapeId="0" xr:uid="{00000000-0006-0000-1600-0000D1010000}">
      <text>
        <r>
          <rPr>
            <sz val="9"/>
            <color indexed="81"/>
            <rFont val="Tahoma"/>
            <family val="2"/>
          </rPr>
          <t xml:space="preserve">Faire supprimer pour mettre la case vide
</t>
        </r>
      </text>
    </comment>
    <comment ref="AZ304" authorId="0" shapeId="0" xr:uid="{00000000-0006-0000-1600-0000D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4" authorId="0" shapeId="0" xr:uid="{00000000-0006-0000-1600-0000D3010000}">
      <text>
        <r>
          <rPr>
            <sz val="9"/>
            <color indexed="81"/>
            <rFont val="Tahoma"/>
            <family val="2"/>
          </rPr>
          <t xml:space="preserve">Faire supprimer pour mettre la case vide
</t>
        </r>
      </text>
    </comment>
    <comment ref="AZ305" authorId="0" shapeId="0" xr:uid="{00000000-0006-0000-1600-0000D4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5" authorId="0" shapeId="0" xr:uid="{00000000-0006-0000-1600-0000D5010000}">
      <text>
        <r>
          <rPr>
            <sz val="9"/>
            <color indexed="81"/>
            <rFont val="Tahoma"/>
            <family val="2"/>
          </rPr>
          <t xml:space="preserve">Faire supprimer pour mettre la case vide
</t>
        </r>
      </text>
    </comment>
    <comment ref="AZ306" authorId="0" shapeId="0" xr:uid="{00000000-0006-0000-1600-0000D6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6" authorId="0" shapeId="0" xr:uid="{00000000-0006-0000-1600-0000D7010000}">
      <text>
        <r>
          <rPr>
            <sz val="9"/>
            <color indexed="81"/>
            <rFont val="Tahoma"/>
            <family val="2"/>
          </rPr>
          <t xml:space="preserve">Faire supprimer pour mettre la case vide
</t>
        </r>
      </text>
    </comment>
    <comment ref="AZ307" authorId="0" shapeId="0" xr:uid="{00000000-0006-0000-1600-0000D8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7" authorId="0" shapeId="0" xr:uid="{00000000-0006-0000-1600-0000D9010000}">
      <text>
        <r>
          <rPr>
            <sz val="9"/>
            <color indexed="81"/>
            <rFont val="Tahoma"/>
            <family val="2"/>
          </rPr>
          <t xml:space="preserve">Faire supprimer pour mettre la case vide
</t>
        </r>
      </text>
    </comment>
    <comment ref="AZ308" authorId="0" shapeId="0" xr:uid="{00000000-0006-0000-1600-0000DA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8" authorId="0" shapeId="0" xr:uid="{00000000-0006-0000-1600-0000DB010000}">
      <text>
        <r>
          <rPr>
            <sz val="9"/>
            <color indexed="81"/>
            <rFont val="Tahoma"/>
            <family val="2"/>
          </rPr>
          <t xml:space="preserve">Faire supprimer pour mettre la case vide
</t>
        </r>
      </text>
    </comment>
    <comment ref="AZ309" authorId="0" shapeId="0" xr:uid="{00000000-0006-0000-1600-0000DC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09" authorId="0" shapeId="0" xr:uid="{00000000-0006-0000-1600-0000DD010000}">
      <text>
        <r>
          <rPr>
            <sz val="9"/>
            <color indexed="81"/>
            <rFont val="Tahoma"/>
            <family val="2"/>
          </rPr>
          <t xml:space="preserve">Faire supprimer pour mettre la case vide
</t>
        </r>
      </text>
    </comment>
    <comment ref="AZ310" authorId="0" shapeId="0" xr:uid="{00000000-0006-0000-1600-0000DE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0" authorId="0" shapeId="0" xr:uid="{00000000-0006-0000-1600-0000DF010000}">
      <text>
        <r>
          <rPr>
            <sz val="9"/>
            <color indexed="81"/>
            <rFont val="Tahoma"/>
            <family val="2"/>
          </rPr>
          <t xml:space="preserve">Faire supprimer pour mettre la case vide
</t>
        </r>
      </text>
    </comment>
    <comment ref="AZ311" authorId="0" shapeId="0" xr:uid="{00000000-0006-0000-1600-0000E0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1" authorId="0" shapeId="0" xr:uid="{00000000-0006-0000-1600-0000E1010000}">
      <text>
        <r>
          <rPr>
            <sz val="9"/>
            <color indexed="81"/>
            <rFont val="Tahoma"/>
            <family val="2"/>
          </rPr>
          <t xml:space="preserve">Faire supprimer pour mettre la case vide
</t>
        </r>
      </text>
    </comment>
    <comment ref="AZ312" authorId="0" shapeId="0" xr:uid="{00000000-0006-0000-1600-0000E2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12" authorId="0" shapeId="0" xr:uid="{00000000-0006-0000-1600-0000E3010000}">
      <text>
        <r>
          <rPr>
            <sz val="9"/>
            <color indexed="81"/>
            <rFont val="Tahoma"/>
            <family val="2"/>
          </rPr>
          <t xml:space="preserve">Faire supprimer pour mettre la case vide
</t>
        </r>
      </text>
    </comment>
    <comment ref="AI326" authorId="0" shapeId="0" xr:uid="{00000000-0006-0000-1600-0000E401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26" authorId="1" shapeId="0" xr:uid="{00000000-0006-0000-1600-0000E5010000}">
      <text>
        <r>
          <rPr>
            <b/>
            <sz val="8"/>
            <color indexed="81"/>
            <rFont val="Tahoma"/>
            <family val="2"/>
          </rPr>
          <t>Heures complémentaires non prévues au contrat</t>
        </r>
      </text>
    </comment>
    <comment ref="AO326" authorId="0" shapeId="0" xr:uid="{00000000-0006-0000-1600-0000E6010000}">
      <text>
        <r>
          <rPr>
            <b/>
            <sz val="9"/>
            <color indexed="81"/>
            <rFont val="Tahoma"/>
            <family val="2"/>
          </rPr>
          <t>Heures supplémentaires non prévues au contrat</t>
        </r>
      </text>
    </comment>
    <comment ref="AR326" authorId="0" shapeId="0" xr:uid="{00000000-0006-0000-1600-0000E701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26" authorId="0" shapeId="0" xr:uid="{E9750669-C9F4-4AE7-8370-9005D95C6C30}">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326" authorId="0" shapeId="0" xr:uid="{00000000-0006-0000-1600-0000E9010000}">
      <text>
        <r>
          <rPr>
            <sz val="10"/>
            <color indexed="81"/>
            <rFont val="Tahoma"/>
            <family val="2"/>
          </rPr>
          <t>Cet écart se calcule par rapport aux heures d'arrivée et de départ des tableaux horaires réels et horaires prévues</t>
        </r>
      </text>
    </comment>
    <comment ref="BE326" authorId="0" shapeId="0" xr:uid="{00000000-0006-0000-1600-0000EA010000}">
      <text>
        <r>
          <rPr>
            <sz val="10"/>
            <color indexed="81"/>
            <rFont val="Tahoma"/>
            <family val="2"/>
          </rPr>
          <t>Pour mettre la case vide faire supprimer sur la cellule choisi.</t>
        </r>
      </text>
    </comment>
    <comment ref="AZ327" authorId="0" shapeId="0" xr:uid="{00000000-0006-0000-1600-0000E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7" authorId="0" shapeId="0" xr:uid="{00000000-0006-0000-1600-0000EC010000}">
      <text>
        <r>
          <rPr>
            <sz val="9"/>
            <color indexed="81"/>
            <rFont val="Tahoma"/>
            <family val="2"/>
          </rPr>
          <t xml:space="preserve">Faire supprimer pour mettre la case vide
</t>
        </r>
      </text>
    </comment>
    <comment ref="AZ328" authorId="0" shapeId="0" xr:uid="{00000000-0006-0000-1600-0000E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8" authorId="0" shapeId="0" xr:uid="{00000000-0006-0000-1600-0000EE010000}">
      <text>
        <r>
          <rPr>
            <sz val="9"/>
            <color indexed="81"/>
            <rFont val="Tahoma"/>
            <family val="2"/>
          </rPr>
          <t xml:space="preserve">Faire supprimer pour mettre la case vide
</t>
        </r>
      </text>
    </comment>
    <comment ref="AZ329" authorId="0" shapeId="0" xr:uid="{00000000-0006-0000-1600-0000E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29" authorId="0" shapeId="0" xr:uid="{00000000-0006-0000-1600-0000F0010000}">
      <text>
        <r>
          <rPr>
            <sz val="9"/>
            <color indexed="81"/>
            <rFont val="Tahoma"/>
            <family val="2"/>
          </rPr>
          <t xml:space="preserve">Faire supprimer pour mettre la case vide
</t>
        </r>
      </text>
    </comment>
    <comment ref="AZ330" authorId="0" shapeId="0" xr:uid="{00000000-0006-0000-1600-0000F1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0" authorId="0" shapeId="0" xr:uid="{00000000-0006-0000-1600-0000F2010000}">
      <text>
        <r>
          <rPr>
            <sz val="9"/>
            <color indexed="81"/>
            <rFont val="Tahoma"/>
            <family val="2"/>
          </rPr>
          <t xml:space="preserve">Faire supprimer pour mettre la case vide
</t>
        </r>
      </text>
    </comment>
    <comment ref="AZ331" authorId="0" shapeId="0" xr:uid="{00000000-0006-0000-1600-0000F3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1" authorId="0" shapeId="0" xr:uid="{00000000-0006-0000-1600-0000F4010000}">
      <text>
        <r>
          <rPr>
            <sz val="9"/>
            <color indexed="81"/>
            <rFont val="Tahoma"/>
            <family val="2"/>
          </rPr>
          <t xml:space="preserve">Faire supprimer pour mettre la case vide
</t>
        </r>
      </text>
    </comment>
    <comment ref="AZ332" authorId="0" shapeId="0" xr:uid="{00000000-0006-0000-1600-0000F5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2" authorId="0" shapeId="0" xr:uid="{00000000-0006-0000-1600-0000F6010000}">
      <text>
        <r>
          <rPr>
            <sz val="9"/>
            <color indexed="81"/>
            <rFont val="Tahoma"/>
            <family val="2"/>
          </rPr>
          <t xml:space="preserve">Faire supprimer pour mettre la case vide
</t>
        </r>
      </text>
    </comment>
    <comment ref="AZ333" authorId="0" shapeId="0" xr:uid="{00000000-0006-0000-1600-0000F7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3" authorId="0" shapeId="0" xr:uid="{00000000-0006-0000-1600-0000F8010000}">
      <text>
        <r>
          <rPr>
            <sz val="9"/>
            <color indexed="81"/>
            <rFont val="Tahoma"/>
            <family val="2"/>
          </rPr>
          <t xml:space="preserve">Faire supprimer pour mettre la case vide
</t>
        </r>
      </text>
    </comment>
    <comment ref="AZ334" authorId="0" shapeId="0" xr:uid="{00000000-0006-0000-1600-0000F9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4" authorId="0" shapeId="0" xr:uid="{00000000-0006-0000-1600-0000FA010000}">
      <text>
        <r>
          <rPr>
            <sz val="9"/>
            <color indexed="81"/>
            <rFont val="Tahoma"/>
            <family val="2"/>
          </rPr>
          <t xml:space="preserve">Faire supprimer pour mettre la case vide
</t>
        </r>
      </text>
    </comment>
    <comment ref="AZ335" authorId="0" shapeId="0" xr:uid="{00000000-0006-0000-1600-0000FB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5" authorId="0" shapeId="0" xr:uid="{00000000-0006-0000-1600-0000FC010000}">
      <text>
        <r>
          <rPr>
            <sz val="9"/>
            <color indexed="81"/>
            <rFont val="Tahoma"/>
            <family val="2"/>
          </rPr>
          <t xml:space="preserve">Faire supprimer pour mettre la case vide
</t>
        </r>
      </text>
    </comment>
    <comment ref="AZ336" authorId="0" shapeId="0" xr:uid="{00000000-0006-0000-1600-0000FD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6" authorId="0" shapeId="0" xr:uid="{00000000-0006-0000-1600-0000FE010000}">
      <text>
        <r>
          <rPr>
            <sz val="9"/>
            <color indexed="81"/>
            <rFont val="Tahoma"/>
            <family val="2"/>
          </rPr>
          <t xml:space="preserve">Faire supprimer pour mettre la case vide
</t>
        </r>
      </text>
    </comment>
    <comment ref="AZ337" authorId="0" shapeId="0" xr:uid="{00000000-0006-0000-1600-0000FF01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7" authorId="0" shapeId="0" xr:uid="{00000000-0006-0000-1600-000000020000}">
      <text>
        <r>
          <rPr>
            <sz val="9"/>
            <color indexed="81"/>
            <rFont val="Tahoma"/>
            <family val="2"/>
          </rPr>
          <t xml:space="preserve">Faire supprimer pour mettre la case vide
</t>
        </r>
      </text>
    </comment>
    <comment ref="AZ338" authorId="0" shapeId="0" xr:uid="{00000000-0006-0000-1600-00000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8" authorId="0" shapeId="0" xr:uid="{00000000-0006-0000-1600-000002020000}">
      <text>
        <r>
          <rPr>
            <sz val="9"/>
            <color indexed="81"/>
            <rFont val="Tahoma"/>
            <family val="2"/>
          </rPr>
          <t xml:space="preserve">Faire supprimer pour mettre la case vide
</t>
        </r>
      </text>
    </comment>
    <comment ref="AZ339" authorId="0" shapeId="0" xr:uid="{00000000-0006-0000-1600-00000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39" authorId="0" shapeId="0" xr:uid="{00000000-0006-0000-1600-000004020000}">
      <text>
        <r>
          <rPr>
            <sz val="9"/>
            <color indexed="81"/>
            <rFont val="Tahoma"/>
            <family val="2"/>
          </rPr>
          <t xml:space="preserve">Faire supprimer pour mettre la case vide
</t>
        </r>
      </text>
    </comment>
    <comment ref="AZ340" authorId="0" shapeId="0" xr:uid="{00000000-0006-0000-1600-00000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0" authorId="0" shapeId="0" xr:uid="{00000000-0006-0000-1600-000006020000}">
      <text>
        <r>
          <rPr>
            <sz val="9"/>
            <color indexed="81"/>
            <rFont val="Tahoma"/>
            <family val="2"/>
          </rPr>
          <t xml:space="preserve">Faire supprimer pour mettre la case vide
</t>
        </r>
      </text>
    </comment>
    <comment ref="AZ341" authorId="0" shapeId="0" xr:uid="{00000000-0006-0000-1600-00000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1" authorId="0" shapeId="0" xr:uid="{00000000-0006-0000-1600-000008020000}">
      <text>
        <r>
          <rPr>
            <sz val="9"/>
            <color indexed="81"/>
            <rFont val="Tahoma"/>
            <family val="2"/>
          </rPr>
          <t xml:space="preserve">Faire supprimer pour mettre la case vide
</t>
        </r>
      </text>
    </comment>
    <comment ref="AZ342" authorId="0" shapeId="0" xr:uid="{00000000-0006-0000-1600-00000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2" authorId="0" shapeId="0" xr:uid="{00000000-0006-0000-1600-00000A020000}">
      <text>
        <r>
          <rPr>
            <sz val="9"/>
            <color indexed="81"/>
            <rFont val="Tahoma"/>
            <family val="2"/>
          </rPr>
          <t xml:space="preserve">Faire supprimer pour mettre la case vide
</t>
        </r>
      </text>
    </comment>
    <comment ref="AZ343" authorId="0" shapeId="0" xr:uid="{00000000-0006-0000-1600-00000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3" authorId="0" shapeId="0" xr:uid="{00000000-0006-0000-1600-00000C020000}">
      <text>
        <r>
          <rPr>
            <sz val="9"/>
            <color indexed="81"/>
            <rFont val="Tahoma"/>
            <family val="2"/>
          </rPr>
          <t xml:space="preserve">Faire supprimer pour mettre la case vide
</t>
        </r>
      </text>
    </comment>
    <comment ref="AZ344" authorId="0" shapeId="0" xr:uid="{00000000-0006-0000-1600-00000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4" authorId="0" shapeId="0" xr:uid="{00000000-0006-0000-1600-00000E020000}">
      <text>
        <r>
          <rPr>
            <sz val="9"/>
            <color indexed="81"/>
            <rFont val="Tahoma"/>
            <family val="2"/>
          </rPr>
          <t xml:space="preserve">Faire supprimer pour mettre la case vide
</t>
        </r>
      </text>
    </comment>
    <comment ref="AZ345" authorId="0" shapeId="0" xr:uid="{00000000-0006-0000-1600-00000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5" authorId="0" shapeId="0" xr:uid="{00000000-0006-0000-1600-000010020000}">
      <text>
        <r>
          <rPr>
            <sz val="9"/>
            <color indexed="81"/>
            <rFont val="Tahoma"/>
            <family val="2"/>
          </rPr>
          <t xml:space="preserve">Faire supprimer pour mettre la case vide
</t>
        </r>
      </text>
    </comment>
    <comment ref="AZ346" authorId="0" shapeId="0" xr:uid="{00000000-0006-0000-1600-00001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6" authorId="0" shapeId="0" xr:uid="{00000000-0006-0000-1600-000012020000}">
      <text>
        <r>
          <rPr>
            <sz val="9"/>
            <color indexed="81"/>
            <rFont val="Tahoma"/>
            <family val="2"/>
          </rPr>
          <t xml:space="preserve">Faire supprimer pour mettre la case vide
</t>
        </r>
      </text>
    </comment>
    <comment ref="AZ347" authorId="0" shapeId="0" xr:uid="{00000000-0006-0000-1600-00001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7" authorId="0" shapeId="0" xr:uid="{00000000-0006-0000-1600-000014020000}">
      <text>
        <r>
          <rPr>
            <sz val="9"/>
            <color indexed="81"/>
            <rFont val="Tahoma"/>
            <family val="2"/>
          </rPr>
          <t xml:space="preserve">Faire supprimer pour mettre la case vide
</t>
        </r>
      </text>
    </comment>
    <comment ref="AZ348" authorId="0" shapeId="0" xr:uid="{00000000-0006-0000-1600-00001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8" authorId="0" shapeId="0" xr:uid="{00000000-0006-0000-1600-000016020000}">
      <text>
        <r>
          <rPr>
            <sz val="9"/>
            <color indexed="81"/>
            <rFont val="Tahoma"/>
            <family val="2"/>
          </rPr>
          <t xml:space="preserve">Faire supprimer pour mettre la case vide
</t>
        </r>
      </text>
    </comment>
    <comment ref="AZ349" authorId="0" shapeId="0" xr:uid="{00000000-0006-0000-1600-00001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49" authorId="0" shapeId="0" xr:uid="{00000000-0006-0000-1600-000018020000}">
      <text>
        <r>
          <rPr>
            <sz val="9"/>
            <color indexed="81"/>
            <rFont val="Tahoma"/>
            <family val="2"/>
          </rPr>
          <t xml:space="preserve">Faire supprimer pour mettre la case vide
</t>
        </r>
      </text>
    </comment>
    <comment ref="AZ350" authorId="0" shapeId="0" xr:uid="{00000000-0006-0000-1600-00001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0" authorId="0" shapeId="0" xr:uid="{00000000-0006-0000-1600-00001A020000}">
      <text>
        <r>
          <rPr>
            <sz val="9"/>
            <color indexed="81"/>
            <rFont val="Tahoma"/>
            <family val="2"/>
          </rPr>
          <t xml:space="preserve">Faire supprimer pour mettre la case vide
</t>
        </r>
      </text>
    </comment>
    <comment ref="AZ351" authorId="0" shapeId="0" xr:uid="{00000000-0006-0000-1600-00001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1" authorId="0" shapeId="0" xr:uid="{00000000-0006-0000-1600-00001C020000}">
      <text>
        <r>
          <rPr>
            <sz val="9"/>
            <color indexed="81"/>
            <rFont val="Tahoma"/>
            <family val="2"/>
          </rPr>
          <t xml:space="preserve">Faire supprimer pour mettre la case vide
</t>
        </r>
      </text>
    </comment>
    <comment ref="AZ352" authorId="0" shapeId="0" xr:uid="{00000000-0006-0000-1600-00001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2" authorId="0" shapeId="0" xr:uid="{00000000-0006-0000-1600-00001E020000}">
      <text>
        <r>
          <rPr>
            <sz val="9"/>
            <color indexed="81"/>
            <rFont val="Tahoma"/>
            <family val="2"/>
          </rPr>
          <t xml:space="preserve">Faire supprimer pour mettre la case vide
</t>
        </r>
      </text>
    </comment>
    <comment ref="AZ353" authorId="0" shapeId="0" xr:uid="{00000000-0006-0000-1600-00001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3" authorId="0" shapeId="0" xr:uid="{00000000-0006-0000-1600-000020020000}">
      <text>
        <r>
          <rPr>
            <sz val="9"/>
            <color indexed="81"/>
            <rFont val="Tahoma"/>
            <family val="2"/>
          </rPr>
          <t xml:space="preserve">Faire supprimer pour mettre la case vide
</t>
        </r>
      </text>
    </comment>
    <comment ref="AZ354" authorId="0" shapeId="0" xr:uid="{00000000-0006-0000-1600-00002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4" authorId="0" shapeId="0" xr:uid="{00000000-0006-0000-1600-000022020000}">
      <text>
        <r>
          <rPr>
            <sz val="9"/>
            <color indexed="81"/>
            <rFont val="Tahoma"/>
            <family val="2"/>
          </rPr>
          <t xml:space="preserve">Faire supprimer pour mettre la case vide
</t>
        </r>
      </text>
    </comment>
    <comment ref="AZ355" authorId="0" shapeId="0" xr:uid="{00000000-0006-0000-1600-00002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5" authorId="0" shapeId="0" xr:uid="{00000000-0006-0000-1600-000024020000}">
      <text>
        <r>
          <rPr>
            <sz val="9"/>
            <color indexed="81"/>
            <rFont val="Tahoma"/>
            <family val="2"/>
          </rPr>
          <t xml:space="preserve">Faire supprimer pour mettre la case vide
</t>
        </r>
      </text>
    </comment>
    <comment ref="AZ356" authorId="0" shapeId="0" xr:uid="{00000000-0006-0000-1600-00002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6" authorId="0" shapeId="0" xr:uid="{00000000-0006-0000-1600-000026020000}">
      <text>
        <r>
          <rPr>
            <sz val="9"/>
            <color indexed="81"/>
            <rFont val="Tahoma"/>
            <family val="2"/>
          </rPr>
          <t xml:space="preserve">Faire supprimer pour mettre la case vide
</t>
        </r>
      </text>
    </comment>
    <comment ref="AZ357" authorId="0" shapeId="0" xr:uid="{00000000-0006-0000-1600-00002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57" authorId="0" shapeId="0" xr:uid="{00000000-0006-0000-1600-000028020000}">
      <text>
        <r>
          <rPr>
            <sz val="9"/>
            <color indexed="81"/>
            <rFont val="Tahoma"/>
            <family val="2"/>
          </rPr>
          <t xml:space="preserve">Faire supprimer pour mettre la case vide
</t>
        </r>
      </text>
    </comment>
    <comment ref="AI371" authorId="0" shapeId="0" xr:uid="{00000000-0006-0000-1600-000029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371" authorId="1" shapeId="0" xr:uid="{00000000-0006-0000-1600-00002A020000}">
      <text>
        <r>
          <rPr>
            <b/>
            <sz val="8"/>
            <color indexed="81"/>
            <rFont val="Tahoma"/>
            <family val="2"/>
          </rPr>
          <t>Heures complémentaires non prévues au contrat</t>
        </r>
      </text>
    </comment>
    <comment ref="AO371" authorId="0" shapeId="0" xr:uid="{00000000-0006-0000-1600-00002B020000}">
      <text>
        <r>
          <rPr>
            <b/>
            <sz val="9"/>
            <color indexed="81"/>
            <rFont val="Tahoma"/>
            <family val="2"/>
          </rPr>
          <t>Heures supplémentaires non prévues au contrat</t>
        </r>
      </text>
    </comment>
    <comment ref="AR371" authorId="0" shapeId="0" xr:uid="{00000000-0006-0000-1600-00002C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371" authorId="0" shapeId="0" xr:uid="{79C7A745-3691-4DD6-A45C-D45A392184AE}">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371" authorId="0" shapeId="0" xr:uid="{00000000-0006-0000-1600-00002E020000}">
      <text>
        <r>
          <rPr>
            <sz val="10"/>
            <color indexed="81"/>
            <rFont val="Tahoma"/>
            <family val="2"/>
          </rPr>
          <t>Cet écart se calcule par rapport aux heures d'arrivée et de départ des tableaux horaires réels et horaires prévues</t>
        </r>
      </text>
    </comment>
    <comment ref="BE371" authorId="0" shapeId="0" xr:uid="{00000000-0006-0000-1600-00002F020000}">
      <text>
        <r>
          <rPr>
            <sz val="10"/>
            <color indexed="81"/>
            <rFont val="Tahoma"/>
            <family val="2"/>
          </rPr>
          <t>Pour mettre la case vide faire supprimer sur la cellule choisi.</t>
        </r>
      </text>
    </comment>
    <comment ref="AZ372" authorId="0" shapeId="0" xr:uid="{00000000-0006-0000-1600-00003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2" authorId="0" shapeId="0" xr:uid="{00000000-0006-0000-1600-000031020000}">
      <text>
        <r>
          <rPr>
            <sz val="9"/>
            <color indexed="81"/>
            <rFont val="Tahoma"/>
            <family val="2"/>
          </rPr>
          <t xml:space="preserve">Faire supprimer pour mettre la case vide
</t>
        </r>
      </text>
    </comment>
    <comment ref="AZ373" authorId="0" shapeId="0" xr:uid="{00000000-0006-0000-1600-00003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3" authorId="0" shapeId="0" xr:uid="{00000000-0006-0000-1600-000033020000}">
      <text>
        <r>
          <rPr>
            <sz val="9"/>
            <color indexed="81"/>
            <rFont val="Tahoma"/>
            <family val="2"/>
          </rPr>
          <t xml:space="preserve">Faire supprimer pour mettre la case vide
</t>
        </r>
      </text>
    </comment>
    <comment ref="AZ374" authorId="0" shapeId="0" xr:uid="{00000000-0006-0000-1600-00003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4" authorId="0" shapeId="0" xr:uid="{00000000-0006-0000-1600-000035020000}">
      <text>
        <r>
          <rPr>
            <sz val="9"/>
            <color indexed="81"/>
            <rFont val="Tahoma"/>
            <family val="2"/>
          </rPr>
          <t xml:space="preserve">Faire supprimer pour mettre la case vide
</t>
        </r>
      </text>
    </comment>
    <comment ref="AZ375" authorId="0" shapeId="0" xr:uid="{00000000-0006-0000-1600-00003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5" authorId="0" shapeId="0" xr:uid="{00000000-0006-0000-1600-000037020000}">
      <text>
        <r>
          <rPr>
            <sz val="9"/>
            <color indexed="81"/>
            <rFont val="Tahoma"/>
            <family val="2"/>
          </rPr>
          <t xml:space="preserve">Faire supprimer pour mettre la case vide
</t>
        </r>
      </text>
    </comment>
    <comment ref="AZ376" authorId="0" shapeId="0" xr:uid="{00000000-0006-0000-1600-00003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6" authorId="0" shapeId="0" xr:uid="{00000000-0006-0000-1600-000039020000}">
      <text>
        <r>
          <rPr>
            <sz val="9"/>
            <color indexed="81"/>
            <rFont val="Tahoma"/>
            <family val="2"/>
          </rPr>
          <t xml:space="preserve">Faire supprimer pour mettre la case vide
</t>
        </r>
      </text>
    </comment>
    <comment ref="AZ377" authorId="0" shapeId="0" xr:uid="{00000000-0006-0000-1600-00003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7" authorId="0" shapeId="0" xr:uid="{00000000-0006-0000-1600-00003B020000}">
      <text>
        <r>
          <rPr>
            <sz val="9"/>
            <color indexed="81"/>
            <rFont val="Tahoma"/>
            <family val="2"/>
          </rPr>
          <t xml:space="preserve">Faire supprimer pour mettre la case vide
</t>
        </r>
      </text>
    </comment>
    <comment ref="AZ378" authorId="0" shapeId="0" xr:uid="{00000000-0006-0000-1600-00003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8" authorId="0" shapeId="0" xr:uid="{00000000-0006-0000-1600-00003D020000}">
      <text>
        <r>
          <rPr>
            <sz val="9"/>
            <color indexed="81"/>
            <rFont val="Tahoma"/>
            <family val="2"/>
          </rPr>
          <t xml:space="preserve">Faire supprimer pour mettre la case vide
</t>
        </r>
      </text>
    </comment>
    <comment ref="AZ379" authorId="0" shapeId="0" xr:uid="{00000000-0006-0000-1600-00003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79" authorId="0" shapeId="0" xr:uid="{00000000-0006-0000-1600-00003F020000}">
      <text>
        <r>
          <rPr>
            <sz val="9"/>
            <color indexed="81"/>
            <rFont val="Tahoma"/>
            <family val="2"/>
          </rPr>
          <t xml:space="preserve">Faire supprimer pour mettre la case vide
</t>
        </r>
      </text>
    </comment>
    <comment ref="AZ380" authorId="0" shapeId="0" xr:uid="{00000000-0006-0000-1600-00004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0" authorId="0" shapeId="0" xr:uid="{00000000-0006-0000-1600-000041020000}">
      <text>
        <r>
          <rPr>
            <sz val="9"/>
            <color indexed="81"/>
            <rFont val="Tahoma"/>
            <family val="2"/>
          </rPr>
          <t xml:space="preserve">Faire supprimer pour mettre la case vide
</t>
        </r>
      </text>
    </comment>
    <comment ref="AZ381" authorId="0" shapeId="0" xr:uid="{00000000-0006-0000-1600-00004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1" authorId="0" shapeId="0" xr:uid="{00000000-0006-0000-1600-000043020000}">
      <text>
        <r>
          <rPr>
            <sz val="9"/>
            <color indexed="81"/>
            <rFont val="Tahoma"/>
            <family val="2"/>
          </rPr>
          <t xml:space="preserve">Faire supprimer pour mettre la case vide
</t>
        </r>
      </text>
    </comment>
    <comment ref="AZ382" authorId="0" shapeId="0" xr:uid="{00000000-0006-0000-1600-00004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2" authorId="0" shapeId="0" xr:uid="{00000000-0006-0000-1600-000045020000}">
      <text>
        <r>
          <rPr>
            <sz val="9"/>
            <color indexed="81"/>
            <rFont val="Tahoma"/>
            <family val="2"/>
          </rPr>
          <t xml:space="preserve">Faire supprimer pour mettre la case vide
</t>
        </r>
      </text>
    </comment>
    <comment ref="AZ383" authorId="0" shapeId="0" xr:uid="{00000000-0006-0000-1600-00004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3" authorId="0" shapeId="0" xr:uid="{00000000-0006-0000-1600-000047020000}">
      <text>
        <r>
          <rPr>
            <sz val="9"/>
            <color indexed="81"/>
            <rFont val="Tahoma"/>
            <family val="2"/>
          </rPr>
          <t xml:space="preserve">Faire supprimer pour mettre la case vide
</t>
        </r>
      </text>
    </comment>
    <comment ref="AZ384" authorId="0" shapeId="0" xr:uid="{00000000-0006-0000-1600-00004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4" authorId="0" shapeId="0" xr:uid="{00000000-0006-0000-1600-000049020000}">
      <text>
        <r>
          <rPr>
            <sz val="9"/>
            <color indexed="81"/>
            <rFont val="Tahoma"/>
            <family val="2"/>
          </rPr>
          <t xml:space="preserve">Faire supprimer pour mettre la case vide
</t>
        </r>
      </text>
    </comment>
    <comment ref="AZ385" authorId="0" shapeId="0" xr:uid="{00000000-0006-0000-1600-00004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5" authorId="0" shapeId="0" xr:uid="{00000000-0006-0000-1600-00004B020000}">
      <text>
        <r>
          <rPr>
            <sz val="9"/>
            <color indexed="81"/>
            <rFont val="Tahoma"/>
            <family val="2"/>
          </rPr>
          <t xml:space="preserve">Faire supprimer pour mettre la case vide
</t>
        </r>
      </text>
    </comment>
    <comment ref="AZ386" authorId="0" shapeId="0" xr:uid="{00000000-0006-0000-1600-00004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6" authorId="0" shapeId="0" xr:uid="{00000000-0006-0000-1600-00004D020000}">
      <text>
        <r>
          <rPr>
            <sz val="9"/>
            <color indexed="81"/>
            <rFont val="Tahoma"/>
            <family val="2"/>
          </rPr>
          <t xml:space="preserve">Faire supprimer pour mettre la case vide
</t>
        </r>
      </text>
    </comment>
    <comment ref="AZ387" authorId="0" shapeId="0" xr:uid="{00000000-0006-0000-1600-00004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7" authorId="0" shapeId="0" xr:uid="{00000000-0006-0000-1600-00004F020000}">
      <text>
        <r>
          <rPr>
            <sz val="9"/>
            <color indexed="81"/>
            <rFont val="Tahoma"/>
            <family val="2"/>
          </rPr>
          <t xml:space="preserve">Faire supprimer pour mettre la case vide
</t>
        </r>
      </text>
    </comment>
    <comment ref="AZ388" authorId="0" shapeId="0" xr:uid="{00000000-0006-0000-1600-00005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8" authorId="0" shapeId="0" xr:uid="{00000000-0006-0000-1600-000051020000}">
      <text>
        <r>
          <rPr>
            <sz val="9"/>
            <color indexed="81"/>
            <rFont val="Tahoma"/>
            <family val="2"/>
          </rPr>
          <t xml:space="preserve">Faire supprimer pour mettre la case vide
</t>
        </r>
      </text>
    </comment>
    <comment ref="AZ389" authorId="0" shapeId="0" xr:uid="{00000000-0006-0000-1600-00005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89" authorId="0" shapeId="0" xr:uid="{00000000-0006-0000-1600-000053020000}">
      <text>
        <r>
          <rPr>
            <sz val="9"/>
            <color indexed="81"/>
            <rFont val="Tahoma"/>
            <family val="2"/>
          </rPr>
          <t xml:space="preserve">Faire supprimer pour mettre la case vide
</t>
        </r>
      </text>
    </comment>
    <comment ref="AZ390" authorId="0" shapeId="0" xr:uid="{00000000-0006-0000-1600-00005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0" authorId="0" shapeId="0" xr:uid="{00000000-0006-0000-1600-000055020000}">
      <text>
        <r>
          <rPr>
            <sz val="9"/>
            <color indexed="81"/>
            <rFont val="Tahoma"/>
            <family val="2"/>
          </rPr>
          <t xml:space="preserve">Faire supprimer pour mettre la case vide
</t>
        </r>
      </text>
    </comment>
    <comment ref="AZ391" authorId="0" shapeId="0" xr:uid="{00000000-0006-0000-1600-00005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1" authorId="0" shapeId="0" xr:uid="{00000000-0006-0000-1600-000057020000}">
      <text>
        <r>
          <rPr>
            <sz val="9"/>
            <color indexed="81"/>
            <rFont val="Tahoma"/>
            <family val="2"/>
          </rPr>
          <t xml:space="preserve">Faire supprimer pour mettre la case vide
</t>
        </r>
      </text>
    </comment>
    <comment ref="AZ392" authorId="0" shapeId="0" xr:uid="{00000000-0006-0000-1600-00005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2" authorId="0" shapeId="0" xr:uid="{00000000-0006-0000-1600-000059020000}">
      <text>
        <r>
          <rPr>
            <sz val="9"/>
            <color indexed="81"/>
            <rFont val="Tahoma"/>
            <family val="2"/>
          </rPr>
          <t xml:space="preserve">Faire supprimer pour mettre la case vide
</t>
        </r>
      </text>
    </comment>
    <comment ref="AZ393" authorId="0" shapeId="0" xr:uid="{00000000-0006-0000-1600-00005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3" authorId="0" shapeId="0" xr:uid="{00000000-0006-0000-1600-00005B020000}">
      <text>
        <r>
          <rPr>
            <sz val="9"/>
            <color indexed="81"/>
            <rFont val="Tahoma"/>
            <family val="2"/>
          </rPr>
          <t xml:space="preserve">Faire supprimer pour mettre la case vide
</t>
        </r>
      </text>
    </comment>
    <comment ref="AZ394" authorId="0" shapeId="0" xr:uid="{00000000-0006-0000-1600-00005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4" authorId="0" shapeId="0" xr:uid="{00000000-0006-0000-1600-00005D020000}">
      <text>
        <r>
          <rPr>
            <sz val="9"/>
            <color indexed="81"/>
            <rFont val="Tahoma"/>
            <family val="2"/>
          </rPr>
          <t xml:space="preserve">Faire supprimer pour mettre la case vide
</t>
        </r>
      </text>
    </comment>
    <comment ref="AZ395" authorId="0" shapeId="0" xr:uid="{00000000-0006-0000-1600-00005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5" authorId="0" shapeId="0" xr:uid="{00000000-0006-0000-1600-00005F020000}">
      <text>
        <r>
          <rPr>
            <sz val="9"/>
            <color indexed="81"/>
            <rFont val="Tahoma"/>
            <family val="2"/>
          </rPr>
          <t xml:space="preserve">Faire supprimer pour mettre la case vide
</t>
        </r>
      </text>
    </comment>
    <comment ref="AZ396" authorId="0" shapeId="0" xr:uid="{00000000-0006-0000-1600-00006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6" authorId="0" shapeId="0" xr:uid="{00000000-0006-0000-1600-000061020000}">
      <text>
        <r>
          <rPr>
            <sz val="9"/>
            <color indexed="81"/>
            <rFont val="Tahoma"/>
            <family val="2"/>
          </rPr>
          <t xml:space="preserve">Faire supprimer pour mettre la case vide
</t>
        </r>
      </text>
    </comment>
    <comment ref="AZ397" authorId="0" shapeId="0" xr:uid="{00000000-0006-0000-1600-00006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7" authorId="0" shapeId="0" xr:uid="{00000000-0006-0000-1600-000063020000}">
      <text>
        <r>
          <rPr>
            <sz val="9"/>
            <color indexed="81"/>
            <rFont val="Tahoma"/>
            <family val="2"/>
          </rPr>
          <t xml:space="preserve">Faire supprimer pour mettre la case vide
</t>
        </r>
      </text>
    </comment>
    <comment ref="AZ398" authorId="0" shapeId="0" xr:uid="{00000000-0006-0000-1600-00006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8" authorId="0" shapeId="0" xr:uid="{00000000-0006-0000-1600-000065020000}">
      <text>
        <r>
          <rPr>
            <sz val="9"/>
            <color indexed="81"/>
            <rFont val="Tahoma"/>
            <family val="2"/>
          </rPr>
          <t xml:space="preserve">Faire supprimer pour mettre la case vide
</t>
        </r>
      </text>
    </comment>
    <comment ref="AZ399" authorId="0" shapeId="0" xr:uid="{00000000-0006-0000-1600-00006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399" authorId="0" shapeId="0" xr:uid="{00000000-0006-0000-1600-000067020000}">
      <text>
        <r>
          <rPr>
            <sz val="9"/>
            <color indexed="81"/>
            <rFont val="Tahoma"/>
            <family val="2"/>
          </rPr>
          <t xml:space="preserve">Faire supprimer pour mettre la case vide
</t>
        </r>
      </text>
    </comment>
    <comment ref="AZ400" authorId="0" shapeId="0" xr:uid="{00000000-0006-0000-1600-00006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0" authorId="0" shapeId="0" xr:uid="{00000000-0006-0000-1600-000069020000}">
      <text>
        <r>
          <rPr>
            <sz val="9"/>
            <color indexed="81"/>
            <rFont val="Tahoma"/>
            <family val="2"/>
          </rPr>
          <t xml:space="preserve">Faire supprimer pour mettre la case vide
</t>
        </r>
      </text>
    </comment>
    <comment ref="AZ401" authorId="0" shapeId="0" xr:uid="{00000000-0006-0000-1600-00006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1" authorId="0" shapeId="0" xr:uid="{00000000-0006-0000-1600-00006B020000}">
      <text>
        <r>
          <rPr>
            <sz val="9"/>
            <color indexed="81"/>
            <rFont val="Tahoma"/>
            <family val="2"/>
          </rPr>
          <t xml:space="preserve">Faire supprimer pour mettre la case vide
</t>
        </r>
      </text>
    </comment>
    <comment ref="AZ402" authorId="0" shapeId="0" xr:uid="{00000000-0006-0000-1600-00006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02" authorId="0" shapeId="0" xr:uid="{00000000-0006-0000-1600-00006D020000}">
      <text>
        <r>
          <rPr>
            <sz val="9"/>
            <color indexed="81"/>
            <rFont val="Tahoma"/>
            <family val="2"/>
          </rPr>
          <t xml:space="preserve">Faire supprimer pour mettre la case vide
</t>
        </r>
      </text>
    </comment>
    <comment ref="AI416" authorId="0" shapeId="0" xr:uid="{00000000-0006-0000-1600-00006E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16" authorId="1" shapeId="0" xr:uid="{00000000-0006-0000-1600-00006F020000}">
      <text>
        <r>
          <rPr>
            <b/>
            <sz val="8"/>
            <color indexed="81"/>
            <rFont val="Tahoma"/>
            <family val="2"/>
          </rPr>
          <t>Heures complémentaires non prévues au contrat</t>
        </r>
      </text>
    </comment>
    <comment ref="AO416" authorId="0" shapeId="0" xr:uid="{00000000-0006-0000-1600-000070020000}">
      <text>
        <r>
          <rPr>
            <b/>
            <sz val="9"/>
            <color indexed="81"/>
            <rFont val="Tahoma"/>
            <family val="2"/>
          </rPr>
          <t>Heures supplémentaires non prévues au contrat</t>
        </r>
      </text>
    </comment>
    <comment ref="AR416" authorId="0" shapeId="0" xr:uid="{00000000-0006-0000-1600-000071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16" authorId="0" shapeId="0" xr:uid="{D0601E2B-5CAB-41E4-B2C7-B6DBBAF84E59}">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416" authorId="0" shapeId="0" xr:uid="{00000000-0006-0000-1600-000073020000}">
      <text>
        <r>
          <rPr>
            <sz val="10"/>
            <color indexed="81"/>
            <rFont val="Tahoma"/>
            <family val="2"/>
          </rPr>
          <t>Cet écart se calcule par rapport aux heures d'arrivée et de départ des tableaux horaires réels et horaires prévues</t>
        </r>
      </text>
    </comment>
    <comment ref="BE416" authorId="0" shapeId="0" xr:uid="{00000000-0006-0000-1600-000074020000}">
      <text>
        <r>
          <rPr>
            <sz val="10"/>
            <color indexed="81"/>
            <rFont val="Tahoma"/>
            <family val="2"/>
          </rPr>
          <t>Pour mettre la case vide faire supprimer sur la cellule choisi.</t>
        </r>
      </text>
    </comment>
    <comment ref="AZ417" authorId="0" shapeId="0" xr:uid="{00000000-0006-0000-1600-00007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7" authorId="0" shapeId="0" xr:uid="{00000000-0006-0000-1600-000076020000}">
      <text>
        <r>
          <rPr>
            <sz val="9"/>
            <color indexed="81"/>
            <rFont val="Tahoma"/>
            <family val="2"/>
          </rPr>
          <t xml:space="preserve">Faire supprimer pour mettre la case vide
</t>
        </r>
      </text>
    </comment>
    <comment ref="AZ418" authorId="0" shapeId="0" xr:uid="{00000000-0006-0000-1600-00007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8" authorId="0" shapeId="0" xr:uid="{00000000-0006-0000-1600-000078020000}">
      <text>
        <r>
          <rPr>
            <sz val="9"/>
            <color indexed="81"/>
            <rFont val="Tahoma"/>
            <family val="2"/>
          </rPr>
          <t xml:space="preserve">Faire supprimer pour mettre la case vide
</t>
        </r>
      </text>
    </comment>
    <comment ref="AZ419" authorId="0" shapeId="0" xr:uid="{00000000-0006-0000-1600-00007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19" authorId="0" shapeId="0" xr:uid="{00000000-0006-0000-1600-00007A020000}">
      <text>
        <r>
          <rPr>
            <sz val="9"/>
            <color indexed="81"/>
            <rFont val="Tahoma"/>
            <family val="2"/>
          </rPr>
          <t xml:space="preserve">Faire supprimer pour mettre la case vide
</t>
        </r>
      </text>
    </comment>
    <comment ref="AZ420" authorId="0" shapeId="0" xr:uid="{00000000-0006-0000-1600-00007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0" authorId="0" shapeId="0" xr:uid="{00000000-0006-0000-1600-00007C020000}">
      <text>
        <r>
          <rPr>
            <sz val="9"/>
            <color indexed="81"/>
            <rFont val="Tahoma"/>
            <family val="2"/>
          </rPr>
          <t xml:space="preserve">Faire supprimer pour mettre la case vide
</t>
        </r>
      </text>
    </comment>
    <comment ref="AZ421" authorId="0" shapeId="0" xr:uid="{00000000-0006-0000-1600-00007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1" authorId="0" shapeId="0" xr:uid="{00000000-0006-0000-1600-00007E020000}">
      <text>
        <r>
          <rPr>
            <sz val="9"/>
            <color indexed="81"/>
            <rFont val="Tahoma"/>
            <family val="2"/>
          </rPr>
          <t xml:space="preserve">Faire supprimer pour mettre la case vide
</t>
        </r>
      </text>
    </comment>
    <comment ref="AZ422" authorId="0" shapeId="0" xr:uid="{00000000-0006-0000-1600-00007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2" authorId="0" shapeId="0" xr:uid="{00000000-0006-0000-1600-000080020000}">
      <text>
        <r>
          <rPr>
            <sz val="9"/>
            <color indexed="81"/>
            <rFont val="Tahoma"/>
            <family val="2"/>
          </rPr>
          <t xml:space="preserve">Faire supprimer pour mettre la case vide
</t>
        </r>
      </text>
    </comment>
    <comment ref="AZ423" authorId="0" shapeId="0" xr:uid="{00000000-0006-0000-1600-00008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3" authorId="0" shapeId="0" xr:uid="{00000000-0006-0000-1600-000082020000}">
      <text>
        <r>
          <rPr>
            <sz val="9"/>
            <color indexed="81"/>
            <rFont val="Tahoma"/>
            <family val="2"/>
          </rPr>
          <t xml:space="preserve">Faire supprimer pour mettre la case vide
</t>
        </r>
      </text>
    </comment>
    <comment ref="AZ424" authorId="0" shapeId="0" xr:uid="{00000000-0006-0000-1600-00008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4" authorId="0" shapeId="0" xr:uid="{00000000-0006-0000-1600-000084020000}">
      <text>
        <r>
          <rPr>
            <sz val="9"/>
            <color indexed="81"/>
            <rFont val="Tahoma"/>
            <family val="2"/>
          </rPr>
          <t xml:space="preserve">Faire supprimer pour mettre la case vide
</t>
        </r>
      </text>
    </comment>
    <comment ref="AZ425" authorId="0" shapeId="0" xr:uid="{00000000-0006-0000-1600-00008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5" authorId="0" shapeId="0" xr:uid="{00000000-0006-0000-1600-000086020000}">
      <text>
        <r>
          <rPr>
            <sz val="9"/>
            <color indexed="81"/>
            <rFont val="Tahoma"/>
            <family val="2"/>
          </rPr>
          <t xml:space="preserve">Faire supprimer pour mettre la case vide
</t>
        </r>
      </text>
    </comment>
    <comment ref="AZ426" authorId="0" shapeId="0" xr:uid="{00000000-0006-0000-1600-00008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6" authorId="0" shapeId="0" xr:uid="{00000000-0006-0000-1600-000088020000}">
      <text>
        <r>
          <rPr>
            <sz val="9"/>
            <color indexed="81"/>
            <rFont val="Tahoma"/>
            <family val="2"/>
          </rPr>
          <t xml:space="preserve">Faire supprimer pour mettre la case vide
</t>
        </r>
      </text>
    </comment>
    <comment ref="AZ427" authorId="0" shapeId="0" xr:uid="{00000000-0006-0000-1600-00008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7" authorId="0" shapeId="0" xr:uid="{00000000-0006-0000-1600-00008A020000}">
      <text>
        <r>
          <rPr>
            <sz val="9"/>
            <color indexed="81"/>
            <rFont val="Tahoma"/>
            <family val="2"/>
          </rPr>
          <t xml:space="preserve">Faire supprimer pour mettre la case vide
</t>
        </r>
      </text>
    </comment>
    <comment ref="AZ428" authorId="0" shapeId="0" xr:uid="{00000000-0006-0000-1600-00008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8" authorId="0" shapeId="0" xr:uid="{00000000-0006-0000-1600-00008C020000}">
      <text>
        <r>
          <rPr>
            <sz val="9"/>
            <color indexed="81"/>
            <rFont val="Tahoma"/>
            <family val="2"/>
          </rPr>
          <t xml:space="preserve">Faire supprimer pour mettre la case vide
</t>
        </r>
      </text>
    </comment>
    <comment ref="AZ429" authorId="0" shapeId="0" xr:uid="{00000000-0006-0000-1600-00008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29" authorId="0" shapeId="0" xr:uid="{00000000-0006-0000-1600-00008E020000}">
      <text>
        <r>
          <rPr>
            <sz val="9"/>
            <color indexed="81"/>
            <rFont val="Tahoma"/>
            <family val="2"/>
          </rPr>
          <t xml:space="preserve">Faire supprimer pour mettre la case vide
</t>
        </r>
      </text>
    </comment>
    <comment ref="AZ430" authorId="0" shapeId="0" xr:uid="{00000000-0006-0000-1600-00008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0" authorId="0" shapeId="0" xr:uid="{00000000-0006-0000-1600-000090020000}">
      <text>
        <r>
          <rPr>
            <sz val="9"/>
            <color indexed="81"/>
            <rFont val="Tahoma"/>
            <family val="2"/>
          </rPr>
          <t xml:space="preserve">Faire supprimer pour mettre la case vide
</t>
        </r>
      </text>
    </comment>
    <comment ref="AZ431" authorId="0" shapeId="0" xr:uid="{00000000-0006-0000-1600-00009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1" authorId="0" shapeId="0" xr:uid="{00000000-0006-0000-1600-000092020000}">
      <text>
        <r>
          <rPr>
            <sz val="9"/>
            <color indexed="81"/>
            <rFont val="Tahoma"/>
            <family val="2"/>
          </rPr>
          <t xml:space="preserve">Faire supprimer pour mettre la case vide
</t>
        </r>
      </text>
    </comment>
    <comment ref="AZ432" authorId="0" shapeId="0" xr:uid="{00000000-0006-0000-1600-00009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2" authorId="0" shapeId="0" xr:uid="{00000000-0006-0000-1600-000094020000}">
      <text>
        <r>
          <rPr>
            <sz val="9"/>
            <color indexed="81"/>
            <rFont val="Tahoma"/>
            <family val="2"/>
          </rPr>
          <t xml:space="preserve">Faire supprimer pour mettre la case vide
</t>
        </r>
      </text>
    </comment>
    <comment ref="AZ433" authorId="0" shapeId="0" xr:uid="{00000000-0006-0000-1600-00009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3" authorId="0" shapeId="0" xr:uid="{00000000-0006-0000-1600-000096020000}">
      <text>
        <r>
          <rPr>
            <sz val="9"/>
            <color indexed="81"/>
            <rFont val="Tahoma"/>
            <family val="2"/>
          </rPr>
          <t xml:space="preserve">Faire supprimer pour mettre la case vide
</t>
        </r>
      </text>
    </comment>
    <comment ref="AZ434" authorId="0" shapeId="0" xr:uid="{00000000-0006-0000-1600-00009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4" authorId="0" shapeId="0" xr:uid="{00000000-0006-0000-1600-000098020000}">
      <text>
        <r>
          <rPr>
            <sz val="9"/>
            <color indexed="81"/>
            <rFont val="Tahoma"/>
            <family val="2"/>
          </rPr>
          <t xml:space="preserve">Faire supprimer pour mettre la case vide
</t>
        </r>
      </text>
    </comment>
    <comment ref="AZ435" authorId="0" shapeId="0" xr:uid="{00000000-0006-0000-1600-00009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5" authorId="0" shapeId="0" xr:uid="{00000000-0006-0000-1600-00009A020000}">
      <text>
        <r>
          <rPr>
            <sz val="9"/>
            <color indexed="81"/>
            <rFont val="Tahoma"/>
            <family val="2"/>
          </rPr>
          <t xml:space="preserve">Faire supprimer pour mettre la case vide
</t>
        </r>
      </text>
    </comment>
    <comment ref="AZ436" authorId="0" shapeId="0" xr:uid="{00000000-0006-0000-1600-00009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6" authorId="0" shapeId="0" xr:uid="{00000000-0006-0000-1600-00009C020000}">
      <text>
        <r>
          <rPr>
            <sz val="9"/>
            <color indexed="81"/>
            <rFont val="Tahoma"/>
            <family val="2"/>
          </rPr>
          <t xml:space="preserve">Faire supprimer pour mettre la case vide
</t>
        </r>
      </text>
    </comment>
    <comment ref="AZ437" authorId="0" shapeId="0" xr:uid="{00000000-0006-0000-1600-00009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7" authorId="0" shapeId="0" xr:uid="{00000000-0006-0000-1600-00009E020000}">
      <text>
        <r>
          <rPr>
            <sz val="9"/>
            <color indexed="81"/>
            <rFont val="Tahoma"/>
            <family val="2"/>
          </rPr>
          <t xml:space="preserve">Faire supprimer pour mettre la case vide
</t>
        </r>
      </text>
    </comment>
    <comment ref="AZ438" authorId="0" shapeId="0" xr:uid="{00000000-0006-0000-1600-00009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8" authorId="0" shapeId="0" xr:uid="{00000000-0006-0000-1600-0000A0020000}">
      <text>
        <r>
          <rPr>
            <sz val="9"/>
            <color indexed="81"/>
            <rFont val="Tahoma"/>
            <family val="2"/>
          </rPr>
          <t xml:space="preserve">Faire supprimer pour mettre la case vide
</t>
        </r>
      </text>
    </comment>
    <comment ref="AZ439" authorId="0" shapeId="0" xr:uid="{00000000-0006-0000-1600-0000A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39" authorId="0" shapeId="0" xr:uid="{00000000-0006-0000-1600-0000A2020000}">
      <text>
        <r>
          <rPr>
            <sz val="9"/>
            <color indexed="81"/>
            <rFont val="Tahoma"/>
            <family val="2"/>
          </rPr>
          <t xml:space="preserve">Faire supprimer pour mettre la case vide
</t>
        </r>
      </text>
    </comment>
    <comment ref="AZ440" authorId="0" shapeId="0" xr:uid="{00000000-0006-0000-1600-0000A3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0" authorId="0" shapeId="0" xr:uid="{00000000-0006-0000-1600-0000A4020000}">
      <text>
        <r>
          <rPr>
            <sz val="9"/>
            <color indexed="81"/>
            <rFont val="Tahoma"/>
            <family val="2"/>
          </rPr>
          <t xml:space="preserve">Faire supprimer pour mettre la case vide
</t>
        </r>
      </text>
    </comment>
    <comment ref="AZ441" authorId="0" shapeId="0" xr:uid="{00000000-0006-0000-1600-0000A5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1" authorId="0" shapeId="0" xr:uid="{00000000-0006-0000-1600-0000A6020000}">
      <text>
        <r>
          <rPr>
            <sz val="9"/>
            <color indexed="81"/>
            <rFont val="Tahoma"/>
            <family val="2"/>
          </rPr>
          <t xml:space="preserve">Faire supprimer pour mettre la case vide
</t>
        </r>
      </text>
    </comment>
    <comment ref="AZ442" authorId="0" shapeId="0" xr:uid="{00000000-0006-0000-1600-0000A7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2" authorId="0" shapeId="0" xr:uid="{00000000-0006-0000-1600-0000A8020000}">
      <text>
        <r>
          <rPr>
            <sz val="9"/>
            <color indexed="81"/>
            <rFont val="Tahoma"/>
            <family val="2"/>
          </rPr>
          <t xml:space="preserve">Faire supprimer pour mettre la case vide
</t>
        </r>
      </text>
    </comment>
    <comment ref="AZ443" authorId="0" shapeId="0" xr:uid="{00000000-0006-0000-1600-0000A9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3" authorId="0" shapeId="0" xr:uid="{00000000-0006-0000-1600-0000AA020000}">
      <text>
        <r>
          <rPr>
            <sz val="9"/>
            <color indexed="81"/>
            <rFont val="Tahoma"/>
            <family val="2"/>
          </rPr>
          <t xml:space="preserve">Faire supprimer pour mettre la case vide
</t>
        </r>
      </text>
    </comment>
    <comment ref="AZ444" authorId="0" shapeId="0" xr:uid="{00000000-0006-0000-1600-0000AB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4" authorId="0" shapeId="0" xr:uid="{00000000-0006-0000-1600-0000AC020000}">
      <text>
        <r>
          <rPr>
            <sz val="9"/>
            <color indexed="81"/>
            <rFont val="Tahoma"/>
            <family val="2"/>
          </rPr>
          <t xml:space="preserve">Faire supprimer pour mettre la case vide
</t>
        </r>
      </text>
    </comment>
    <comment ref="AZ445" authorId="0" shapeId="0" xr:uid="{00000000-0006-0000-1600-0000AD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5" authorId="0" shapeId="0" xr:uid="{00000000-0006-0000-1600-0000AE020000}">
      <text>
        <r>
          <rPr>
            <sz val="9"/>
            <color indexed="81"/>
            <rFont val="Tahoma"/>
            <family val="2"/>
          </rPr>
          <t xml:space="preserve">Faire supprimer pour mettre la case vide
</t>
        </r>
      </text>
    </comment>
    <comment ref="AZ446" authorId="0" shapeId="0" xr:uid="{00000000-0006-0000-1600-0000A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6" authorId="0" shapeId="0" xr:uid="{00000000-0006-0000-1600-0000B0020000}">
      <text>
        <r>
          <rPr>
            <sz val="9"/>
            <color indexed="81"/>
            <rFont val="Tahoma"/>
            <family val="2"/>
          </rPr>
          <t xml:space="preserve">Faire supprimer pour mettre la case vide
</t>
        </r>
      </text>
    </comment>
    <comment ref="AZ447" authorId="0" shapeId="0" xr:uid="{00000000-0006-0000-1600-0000B1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47" authorId="0" shapeId="0" xr:uid="{00000000-0006-0000-1600-0000B2020000}">
      <text>
        <r>
          <rPr>
            <sz val="9"/>
            <color indexed="81"/>
            <rFont val="Tahoma"/>
            <family val="2"/>
          </rPr>
          <t xml:space="preserve">Faire supprimer pour mettre la case vide
</t>
        </r>
      </text>
    </comment>
    <comment ref="AI461" authorId="0" shapeId="0" xr:uid="{00000000-0006-0000-1600-0000B3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461" authorId="1" shapeId="0" xr:uid="{00000000-0006-0000-1600-0000B4020000}">
      <text>
        <r>
          <rPr>
            <b/>
            <sz val="8"/>
            <color indexed="81"/>
            <rFont val="Tahoma"/>
            <family val="2"/>
          </rPr>
          <t>Heures complémentaires non prévues au contrat</t>
        </r>
      </text>
    </comment>
    <comment ref="AO461" authorId="0" shapeId="0" xr:uid="{00000000-0006-0000-1600-0000B5020000}">
      <text>
        <r>
          <rPr>
            <b/>
            <sz val="9"/>
            <color indexed="81"/>
            <rFont val="Tahoma"/>
            <family val="2"/>
          </rPr>
          <t>Heures supplémentaires non prévues au contrat</t>
        </r>
      </text>
    </comment>
    <comment ref="AR461" authorId="0" shapeId="0" xr:uid="{00000000-0006-0000-1600-0000B6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461" authorId="0" shapeId="0" xr:uid="{CF300870-97F9-4B1E-A8D6-264A20C514B9}">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461" authorId="0" shapeId="0" xr:uid="{00000000-0006-0000-1600-0000B8020000}">
      <text>
        <r>
          <rPr>
            <sz val="10"/>
            <color indexed="81"/>
            <rFont val="Tahoma"/>
            <family val="2"/>
          </rPr>
          <t>Cet écart se calcule par rapport aux heures d'arrivée et de départ des tableaux horaires réels et horaires prévues</t>
        </r>
      </text>
    </comment>
    <comment ref="BE461" authorId="0" shapeId="0" xr:uid="{00000000-0006-0000-1600-0000B9020000}">
      <text>
        <r>
          <rPr>
            <sz val="10"/>
            <color indexed="81"/>
            <rFont val="Tahoma"/>
            <family val="2"/>
          </rPr>
          <t>Pour mettre la case vide faire supprimer sur la cellule choisi.</t>
        </r>
      </text>
    </comment>
    <comment ref="AZ462" authorId="0" shapeId="0" xr:uid="{00000000-0006-0000-1600-0000B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2" authorId="0" shapeId="0" xr:uid="{00000000-0006-0000-1600-0000BB020000}">
      <text>
        <r>
          <rPr>
            <sz val="9"/>
            <color indexed="81"/>
            <rFont val="Tahoma"/>
            <family val="2"/>
          </rPr>
          <t xml:space="preserve">Faire supprimer pour mettre la case vide
</t>
        </r>
      </text>
    </comment>
    <comment ref="AZ463" authorId="0" shapeId="0" xr:uid="{00000000-0006-0000-1600-0000B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3" authorId="0" shapeId="0" xr:uid="{00000000-0006-0000-1600-0000BD020000}">
      <text>
        <r>
          <rPr>
            <sz val="9"/>
            <color indexed="81"/>
            <rFont val="Tahoma"/>
            <family val="2"/>
          </rPr>
          <t xml:space="preserve">Faire supprimer pour mettre la case vide
</t>
        </r>
      </text>
    </comment>
    <comment ref="AZ464" authorId="0" shapeId="0" xr:uid="{00000000-0006-0000-1600-0000B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4" authorId="0" shapeId="0" xr:uid="{00000000-0006-0000-1600-0000BF020000}">
      <text>
        <r>
          <rPr>
            <sz val="9"/>
            <color indexed="81"/>
            <rFont val="Tahoma"/>
            <family val="2"/>
          </rPr>
          <t xml:space="preserve">Faire supprimer pour mettre la case vide
</t>
        </r>
      </text>
    </comment>
    <comment ref="AZ465" authorId="0" shapeId="0" xr:uid="{00000000-0006-0000-1600-0000C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5" authorId="0" shapeId="0" xr:uid="{00000000-0006-0000-1600-0000C1020000}">
      <text>
        <r>
          <rPr>
            <sz val="9"/>
            <color indexed="81"/>
            <rFont val="Tahoma"/>
            <family val="2"/>
          </rPr>
          <t xml:space="preserve">Faire supprimer pour mettre la case vide
</t>
        </r>
      </text>
    </comment>
    <comment ref="AZ466" authorId="0" shapeId="0" xr:uid="{00000000-0006-0000-1600-0000C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6" authorId="0" shapeId="0" xr:uid="{00000000-0006-0000-1600-0000C3020000}">
      <text>
        <r>
          <rPr>
            <sz val="9"/>
            <color indexed="81"/>
            <rFont val="Tahoma"/>
            <family val="2"/>
          </rPr>
          <t xml:space="preserve">Faire supprimer pour mettre la case vide
</t>
        </r>
      </text>
    </comment>
    <comment ref="AZ467" authorId="0" shapeId="0" xr:uid="{00000000-0006-0000-1600-0000C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7" authorId="0" shapeId="0" xr:uid="{00000000-0006-0000-1600-0000C5020000}">
      <text>
        <r>
          <rPr>
            <sz val="9"/>
            <color indexed="81"/>
            <rFont val="Tahoma"/>
            <family val="2"/>
          </rPr>
          <t xml:space="preserve">Faire supprimer pour mettre la case vide
</t>
        </r>
      </text>
    </comment>
    <comment ref="AZ468" authorId="0" shapeId="0" xr:uid="{00000000-0006-0000-1600-0000C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8" authorId="0" shapeId="0" xr:uid="{00000000-0006-0000-1600-0000C7020000}">
      <text>
        <r>
          <rPr>
            <sz val="9"/>
            <color indexed="81"/>
            <rFont val="Tahoma"/>
            <family val="2"/>
          </rPr>
          <t xml:space="preserve">Faire supprimer pour mettre la case vide
</t>
        </r>
      </text>
    </comment>
    <comment ref="AZ469" authorId="0" shapeId="0" xr:uid="{00000000-0006-0000-1600-0000C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69" authorId="0" shapeId="0" xr:uid="{00000000-0006-0000-1600-0000C9020000}">
      <text>
        <r>
          <rPr>
            <sz val="9"/>
            <color indexed="81"/>
            <rFont val="Tahoma"/>
            <family val="2"/>
          </rPr>
          <t xml:space="preserve">Faire supprimer pour mettre la case vide
</t>
        </r>
      </text>
    </comment>
    <comment ref="AZ470" authorId="0" shapeId="0" xr:uid="{00000000-0006-0000-1600-0000C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0" authorId="0" shapeId="0" xr:uid="{00000000-0006-0000-1600-0000CB020000}">
      <text>
        <r>
          <rPr>
            <sz val="9"/>
            <color indexed="81"/>
            <rFont val="Tahoma"/>
            <family val="2"/>
          </rPr>
          <t xml:space="preserve">Faire supprimer pour mettre la case vide
</t>
        </r>
      </text>
    </comment>
    <comment ref="AZ471" authorId="0" shapeId="0" xr:uid="{00000000-0006-0000-1600-0000C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1" authorId="0" shapeId="0" xr:uid="{00000000-0006-0000-1600-0000CD020000}">
      <text>
        <r>
          <rPr>
            <sz val="9"/>
            <color indexed="81"/>
            <rFont val="Tahoma"/>
            <family val="2"/>
          </rPr>
          <t xml:space="preserve">Faire supprimer pour mettre la case vide
</t>
        </r>
      </text>
    </comment>
    <comment ref="AZ472" authorId="0" shapeId="0" xr:uid="{00000000-0006-0000-1600-0000C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2" authorId="0" shapeId="0" xr:uid="{00000000-0006-0000-1600-0000CF020000}">
      <text>
        <r>
          <rPr>
            <sz val="9"/>
            <color indexed="81"/>
            <rFont val="Tahoma"/>
            <family val="2"/>
          </rPr>
          <t xml:space="preserve">Faire supprimer pour mettre la case vide
</t>
        </r>
      </text>
    </comment>
    <comment ref="AZ473" authorId="0" shapeId="0" xr:uid="{00000000-0006-0000-1600-0000D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3" authorId="0" shapeId="0" xr:uid="{00000000-0006-0000-1600-0000D1020000}">
      <text>
        <r>
          <rPr>
            <sz val="9"/>
            <color indexed="81"/>
            <rFont val="Tahoma"/>
            <family val="2"/>
          </rPr>
          <t xml:space="preserve">Faire supprimer pour mettre la case vide
</t>
        </r>
      </text>
    </comment>
    <comment ref="AZ474" authorId="0" shapeId="0" xr:uid="{00000000-0006-0000-1600-0000D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4" authorId="0" shapeId="0" xr:uid="{00000000-0006-0000-1600-0000D3020000}">
      <text>
        <r>
          <rPr>
            <sz val="9"/>
            <color indexed="81"/>
            <rFont val="Tahoma"/>
            <family val="2"/>
          </rPr>
          <t xml:space="preserve">Faire supprimer pour mettre la case vide
</t>
        </r>
      </text>
    </comment>
    <comment ref="AZ475" authorId="0" shapeId="0" xr:uid="{00000000-0006-0000-1600-0000D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5" authorId="0" shapeId="0" xr:uid="{00000000-0006-0000-1600-0000D5020000}">
      <text>
        <r>
          <rPr>
            <sz val="9"/>
            <color indexed="81"/>
            <rFont val="Tahoma"/>
            <family val="2"/>
          </rPr>
          <t xml:space="preserve">Faire supprimer pour mettre la case vide
</t>
        </r>
      </text>
    </comment>
    <comment ref="AZ476" authorId="0" shapeId="0" xr:uid="{00000000-0006-0000-1600-0000D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6" authorId="0" shapeId="0" xr:uid="{00000000-0006-0000-1600-0000D7020000}">
      <text>
        <r>
          <rPr>
            <sz val="9"/>
            <color indexed="81"/>
            <rFont val="Tahoma"/>
            <family val="2"/>
          </rPr>
          <t xml:space="preserve">Faire supprimer pour mettre la case vide
</t>
        </r>
      </text>
    </comment>
    <comment ref="AZ477" authorId="0" shapeId="0" xr:uid="{00000000-0006-0000-1600-0000D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7" authorId="0" shapeId="0" xr:uid="{00000000-0006-0000-1600-0000D9020000}">
      <text>
        <r>
          <rPr>
            <sz val="9"/>
            <color indexed="81"/>
            <rFont val="Tahoma"/>
            <family val="2"/>
          </rPr>
          <t xml:space="preserve">Faire supprimer pour mettre la case vide
</t>
        </r>
      </text>
    </comment>
    <comment ref="AZ478" authorId="0" shapeId="0" xr:uid="{00000000-0006-0000-1600-0000D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8" authorId="0" shapeId="0" xr:uid="{00000000-0006-0000-1600-0000DB020000}">
      <text>
        <r>
          <rPr>
            <sz val="9"/>
            <color indexed="81"/>
            <rFont val="Tahoma"/>
            <family val="2"/>
          </rPr>
          <t xml:space="preserve">Faire supprimer pour mettre la case vide
</t>
        </r>
      </text>
    </comment>
    <comment ref="AZ479" authorId="0" shapeId="0" xr:uid="{00000000-0006-0000-1600-0000D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79" authorId="0" shapeId="0" xr:uid="{00000000-0006-0000-1600-0000DD020000}">
      <text>
        <r>
          <rPr>
            <sz val="9"/>
            <color indexed="81"/>
            <rFont val="Tahoma"/>
            <family val="2"/>
          </rPr>
          <t xml:space="preserve">Faire supprimer pour mettre la case vide
</t>
        </r>
      </text>
    </comment>
    <comment ref="AZ480" authorId="0" shapeId="0" xr:uid="{00000000-0006-0000-1600-0000D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0" authorId="0" shapeId="0" xr:uid="{00000000-0006-0000-1600-0000DF020000}">
      <text>
        <r>
          <rPr>
            <sz val="9"/>
            <color indexed="81"/>
            <rFont val="Tahoma"/>
            <family val="2"/>
          </rPr>
          <t xml:space="preserve">Faire supprimer pour mettre la case vide
</t>
        </r>
      </text>
    </comment>
    <comment ref="AZ481" authorId="0" shapeId="0" xr:uid="{00000000-0006-0000-1600-0000E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1" authorId="0" shapeId="0" xr:uid="{00000000-0006-0000-1600-0000E1020000}">
      <text>
        <r>
          <rPr>
            <sz val="9"/>
            <color indexed="81"/>
            <rFont val="Tahoma"/>
            <family val="2"/>
          </rPr>
          <t xml:space="preserve">Faire supprimer pour mettre la case vide
</t>
        </r>
      </text>
    </comment>
    <comment ref="AZ482" authorId="0" shapeId="0" xr:uid="{00000000-0006-0000-1600-0000E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2" authorId="0" shapeId="0" xr:uid="{00000000-0006-0000-1600-0000E3020000}">
      <text>
        <r>
          <rPr>
            <sz val="9"/>
            <color indexed="81"/>
            <rFont val="Tahoma"/>
            <family val="2"/>
          </rPr>
          <t xml:space="preserve">Faire supprimer pour mettre la case vide
</t>
        </r>
      </text>
    </comment>
    <comment ref="AZ483" authorId="0" shapeId="0" xr:uid="{00000000-0006-0000-1600-0000E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3" authorId="0" shapeId="0" xr:uid="{00000000-0006-0000-1600-0000E5020000}">
      <text>
        <r>
          <rPr>
            <sz val="9"/>
            <color indexed="81"/>
            <rFont val="Tahoma"/>
            <family val="2"/>
          </rPr>
          <t xml:space="preserve">Faire supprimer pour mettre la case vide
</t>
        </r>
      </text>
    </comment>
    <comment ref="AZ484" authorId="0" shapeId="0" xr:uid="{00000000-0006-0000-1600-0000E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4" authorId="0" shapeId="0" xr:uid="{00000000-0006-0000-1600-0000E7020000}">
      <text>
        <r>
          <rPr>
            <sz val="9"/>
            <color indexed="81"/>
            <rFont val="Tahoma"/>
            <family val="2"/>
          </rPr>
          <t xml:space="preserve">Faire supprimer pour mettre la case vide
</t>
        </r>
      </text>
    </comment>
    <comment ref="AZ485" authorId="0" shapeId="0" xr:uid="{00000000-0006-0000-1600-0000E8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5" authorId="0" shapeId="0" xr:uid="{00000000-0006-0000-1600-0000E9020000}">
      <text>
        <r>
          <rPr>
            <sz val="9"/>
            <color indexed="81"/>
            <rFont val="Tahoma"/>
            <family val="2"/>
          </rPr>
          <t xml:space="preserve">Faire supprimer pour mettre la case vide
</t>
        </r>
      </text>
    </comment>
    <comment ref="AZ486" authorId="0" shapeId="0" xr:uid="{00000000-0006-0000-1600-0000EA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6" authorId="0" shapeId="0" xr:uid="{00000000-0006-0000-1600-0000EB020000}">
      <text>
        <r>
          <rPr>
            <sz val="9"/>
            <color indexed="81"/>
            <rFont val="Tahoma"/>
            <family val="2"/>
          </rPr>
          <t xml:space="preserve">Faire supprimer pour mettre la case vide
</t>
        </r>
      </text>
    </comment>
    <comment ref="AZ487" authorId="0" shapeId="0" xr:uid="{00000000-0006-0000-1600-0000EC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7" authorId="0" shapeId="0" xr:uid="{00000000-0006-0000-1600-0000ED020000}">
      <text>
        <r>
          <rPr>
            <sz val="9"/>
            <color indexed="81"/>
            <rFont val="Tahoma"/>
            <family val="2"/>
          </rPr>
          <t xml:space="preserve">Faire supprimer pour mettre la case vide
</t>
        </r>
      </text>
    </comment>
    <comment ref="AZ488" authorId="0" shapeId="0" xr:uid="{00000000-0006-0000-1600-0000EE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8" authorId="0" shapeId="0" xr:uid="{00000000-0006-0000-1600-0000EF020000}">
      <text>
        <r>
          <rPr>
            <sz val="9"/>
            <color indexed="81"/>
            <rFont val="Tahoma"/>
            <family val="2"/>
          </rPr>
          <t xml:space="preserve">Faire supprimer pour mettre la case vide
</t>
        </r>
      </text>
    </comment>
    <comment ref="AZ489" authorId="0" shapeId="0" xr:uid="{00000000-0006-0000-1600-0000F0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89" authorId="0" shapeId="0" xr:uid="{00000000-0006-0000-1600-0000F1020000}">
      <text>
        <r>
          <rPr>
            <sz val="9"/>
            <color indexed="81"/>
            <rFont val="Tahoma"/>
            <family val="2"/>
          </rPr>
          <t xml:space="preserve">Faire supprimer pour mettre la case vide
</t>
        </r>
      </text>
    </comment>
    <comment ref="AZ490" authorId="0" shapeId="0" xr:uid="{00000000-0006-0000-1600-0000F2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0" authorId="0" shapeId="0" xr:uid="{00000000-0006-0000-1600-0000F3020000}">
      <text>
        <r>
          <rPr>
            <sz val="9"/>
            <color indexed="81"/>
            <rFont val="Tahoma"/>
            <family val="2"/>
          </rPr>
          <t xml:space="preserve">Faire supprimer pour mettre la case vide
</t>
        </r>
      </text>
    </comment>
    <comment ref="AZ491" authorId="0" shapeId="0" xr:uid="{00000000-0006-0000-1600-0000F4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1" authorId="0" shapeId="0" xr:uid="{00000000-0006-0000-1600-0000F5020000}">
      <text>
        <r>
          <rPr>
            <sz val="9"/>
            <color indexed="81"/>
            <rFont val="Tahoma"/>
            <family val="2"/>
          </rPr>
          <t xml:space="preserve">Faire supprimer pour mettre la case vide
</t>
        </r>
      </text>
    </comment>
    <comment ref="AZ492" authorId="0" shapeId="0" xr:uid="{00000000-0006-0000-1600-0000F6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492" authorId="0" shapeId="0" xr:uid="{00000000-0006-0000-1600-0000F7020000}">
      <text>
        <r>
          <rPr>
            <sz val="9"/>
            <color indexed="81"/>
            <rFont val="Tahoma"/>
            <family val="2"/>
          </rPr>
          <t xml:space="preserve">Faire supprimer pour mettre la case vide
</t>
        </r>
      </text>
    </comment>
    <comment ref="AI506" authorId="0" shapeId="0" xr:uid="{00000000-0006-0000-1600-0000F8020000}">
      <text>
        <r>
          <rPr>
            <sz val="10"/>
            <color indexed="81"/>
            <rFont val="Arial"/>
            <family val="2"/>
          </rPr>
          <t xml:space="preserve">Précisions : 
Horaires prévus  : 8h à 18h
Horaires réels : 8h à 18h15 soit 25 centièmes hrs compl ou supp (15 minutes)
Horaires réels : 8h15 à 18h15 soit 25 centièmes hrs compl ou supp (15 minutes)
Horaires réels : 7h45 à 18h00 soit 25 centièmes hrs compl ou supp (15 minutes)
Horaires réels : 7h45 à 17h45 soit 25 centièmes hrs compl ou supp (15 minutes)
</t>
        </r>
        <r>
          <rPr>
            <b/>
            <sz val="10"/>
            <color indexed="81"/>
            <rFont val="Arial"/>
            <family val="2"/>
          </rPr>
          <t xml:space="preserve">
REPARTIR CES HEURES ENTRE LES COMPLEMENTAIRES ET SUPPLEMENTAIRES DANS LES DEUX COLONNES A DROITE</t>
        </r>
      </text>
    </comment>
    <comment ref="AN506" authorId="1" shapeId="0" xr:uid="{00000000-0006-0000-1600-0000F9020000}">
      <text>
        <r>
          <rPr>
            <b/>
            <sz val="8"/>
            <color indexed="81"/>
            <rFont val="Tahoma"/>
            <family val="2"/>
          </rPr>
          <t>Heures complémentaires non prévues au contrat</t>
        </r>
      </text>
    </comment>
    <comment ref="AO506" authorId="0" shapeId="0" xr:uid="{00000000-0006-0000-1600-0000FA020000}">
      <text>
        <r>
          <rPr>
            <b/>
            <sz val="9"/>
            <color indexed="81"/>
            <rFont val="Tahoma"/>
            <family val="2"/>
          </rPr>
          <t>Heures supplémentaires non prévues au contrat</t>
        </r>
      </text>
    </comment>
    <comment ref="AR506" authorId="0" shapeId="0" xr:uid="{00000000-0006-0000-1600-0000FB02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Possible qu'en année complète</t>
        </r>
      </text>
    </comment>
    <comment ref="AU506" authorId="0" shapeId="0" xr:uid="{BC6326D7-A995-46ED-8AAA-BF26DFD385E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Normalement il n'est plus nécessaire d'utiliser cette colonne c'est pour cela que j'ai mis une autre couleur.
</t>
        </r>
        <r>
          <rPr>
            <b/>
            <sz val="8"/>
            <color indexed="81"/>
            <rFont val="Tahoma"/>
            <family val="2"/>
          </rPr>
          <t xml:space="preserve">
</t>
        </r>
        <r>
          <rPr>
            <sz val="8"/>
            <color indexed="81"/>
            <rFont val="Tahoma"/>
            <family val="2"/>
          </rPr>
          <t xml:space="preserve">Cependant l'utilisation peut être nécessaire dans certain cas. 
Par exemple dans le cas suivant :
Si l'accueil de l'enfant prévu au contrat est  le lundi 10h / le mardi 10h  / le mercredi 10h  et que exceptionnellement il y a un changement et qu'avec votre accord vous acceptiez de remplacer le lundi par le jeudi. Pour remplir le BS vous mettrez 0 dans la colonne "Heures/Libellés" le lundi. Il proposera une retenue sur salaire et vous mettre "Non" dans la colonne retenue par conséquent il considèrera que cette journée est payée et mettra par défaut 10 en "HRS à payer hors HC/HS"
</t>
        </r>
        <r>
          <rPr>
            <b/>
            <sz val="8"/>
            <color indexed="81"/>
            <rFont val="Tahoma"/>
            <family val="2"/>
          </rPr>
          <t>Dans ce cas vous devrez mettre manuellement 0 dans la colonne "HRS à payer hors HC/HS" car cette journée n'est plus considérée comme payée. 
Attention au fin de contrat : Si un contrat se termine le 20/07 et que vous ne deviez pas accueillir l'enfant du 20/07 au 31/07 (semaine déduite), vous devez mettre 0 dans la colonne Heures/Libellés, "HRS à payer hors HC/HS" et mettre manuelement "non" au niveau de la retenue sur salaire</t>
        </r>
      </text>
    </comment>
    <comment ref="AY506" authorId="0" shapeId="0" xr:uid="{00000000-0006-0000-1600-0000FD020000}">
      <text>
        <r>
          <rPr>
            <sz val="10"/>
            <color indexed="81"/>
            <rFont val="Tahoma"/>
            <family val="2"/>
          </rPr>
          <t>Cet écart se calcule par rapport aux heures d'arrivée et de départ des tableaux horaires réels et horaires prévues</t>
        </r>
      </text>
    </comment>
    <comment ref="BE506" authorId="0" shapeId="0" xr:uid="{00000000-0006-0000-1600-0000FE020000}">
      <text>
        <r>
          <rPr>
            <sz val="10"/>
            <color indexed="81"/>
            <rFont val="Tahoma"/>
            <family val="2"/>
          </rPr>
          <t>Pour mettre la case vide faire supprimer sur la cellule choisi.</t>
        </r>
      </text>
    </comment>
    <comment ref="AZ507" authorId="0" shapeId="0" xr:uid="{00000000-0006-0000-1600-0000FF02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7" authorId="0" shapeId="0" xr:uid="{00000000-0006-0000-1600-000000030000}">
      <text>
        <r>
          <rPr>
            <sz val="9"/>
            <color indexed="81"/>
            <rFont val="Tahoma"/>
            <family val="2"/>
          </rPr>
          <t xml:space="preserve">Faire supprimer pour mettre la case vide
</t>
        </r>
      </text>
    </comment>
    <comment ref="AZ508" authorId="0" shapeId="0" xr:uid="{00000000-0006-0000-1600-00000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8" authorId="0" shapeId="0" xr:uid="{00000000-0006-0000-1600-000002030000}">
      <text>
        <r>
          <rPr>
            <sz val="9"/>
            <color indexed="81"/>
            <rFont val="Tahoma"/>
            <family val="2"/>
          </rPr>
          <t xml:space="preserve">Faire supprimer pour mettre la case vide
</t>
        </r>
      </text>
    </comment>
    <comment ref="AZ509" authorId="0" shapeId="0" xr:uid="{00000000-0006-0000-1600-00000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09" authorId="0" shapeId="0" xr:uid="{00000000-0006-0000-1600-000004030000}">
      <text>
        <r>
          <rPr>
            <sz val="9"/>
            <color indexed="81"/>
            <rFont val="Tahoma"/>
            <family val="2"/>
          </rPr>
          <t xml:space="preserve">Faire supprimer pour mettre la case vide
</t>
        </r>
      </text>
    </comment>
    <comment ref="AZ510" authorId="0" shapeId="0" xr:uid="{00000000-0006-0000-1600-00000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0" authorId="0" shapeId="0" xr:uid="{00000000-0006-0000-1600-000006030000}">
      <text>
        <r>
          <rPr>
            <sz val="9"/>
            <color indexed="81"/>
            <rFont val="Tahoma"/>
            <family val="2"/>
          </rPr>
          <t xml:space="preserve">Faire supprimer pour mettre la case vide
</t>
        </r>
      </text>
    </comment>
    <comment ref="AZ511" authorId="0" shapeId="0" xr:uid="{00000000-0006-0000-1600-00000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1" authorId="0" shapeId="0" xr:uid="{00000000-0006-0000-1600-000008030000}">
      <text>
        <r>
          <rPr>
            <sz val="9"/>
            <color indexed="81"/>
            <rFont val="Tahoma"/>
            <family val="2"/>
          </rPr>
          <t xml:space="preserve">Faire supprimer pour mettre la case vide
</t>
        </r>
      </text>
    </comment>
    <comment ref="AZ512" authorId="0" shapeId="0" xr:uid="{00000000-0006-0000-1600-00000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2" authorId="0" shapeId="0" xr:uid="{00000000-0006-0000-1600-00000A030000}">
      <text>
        <r>
          <rPr>
            <sz val="9"/>
            <color indexed="81"/>
            <rFont val="Tahoma"/>
            <family val="2"/>
          </rPr>
          <t xml:space="preserve">Faire supprimer pour mettre la case vide
</t>
        </r>
      </text>
    </comment>
    <comment ref="AZ513" authorId="0" shapeId="0" xr:uid="{00000000-0006-0000-1600-00000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3" authorId="0" shapeId="0" xr:uid="{00000000-0006-0000-1600-00000C030000}">
      <text>
        <r>
          <rPr>
            <sz val="9"/>
            <color indexed="81"/>
            <rFont val="Tahoma"/>
            <family val="2"/>
          </rPr>
          <t xml:space="preserve">Faire supprimer pour mettre la case vide
</t>
        </r>
      </text>
    </comment>
    <comment ref="AZ514" authorId="0" shapeId="0" xr:uid="{00000000-0006-0000-1600-00000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4" authorId="0" shapeId="0" xr:uid="{00000000-0006-0000-1600-00000E030000}">
      <text>
        <r>
          <rPr>
            <sz val="9"/>
            <color indexed="81"/>
            <rFont val="Tahoma"/>
            <family val="2"/>
          </rPr>
          <t xml:space="preserve">Faire supprimer pour mettre la case vide
</t>
        </r>
      </text>
    </comment>
    <comment ref="AZ515" authorId="0" shapeId="0" xr:uid="{00000000-0006-0000-1600-00000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5" authorId="0" shapeId="0" xr:uid="{00000000-0006-0000-1600-000010030000}">
      <text>
        <r>
          <rPr>
            <sz val="9"/>
            <color indexed="81"/>
            <rFont val="Tahoma"/>
            <family val="2"/>
          </rPr>
          <t xml:space="preserve">Faire supprimer pour mettre la case vide
</t>
        </r>
      </text>
    </comment>
    <comment ref="AZ516" authorId="0" shapeId="0" xr:uid="{00000000-0006-0000-1600-00001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6" authorId="0" shapeId="0" xr:uid="{00000000-0006-0000-1600-000012030000}">
      <text>
        <r>
          <rPr>
            <sz val="9"/>
            <color indexed="81"/>
            <rFont val="Tahoma"/>
            <family val="2"/>
          </rPr>
          <t xml:space="preserve">Faire supprimer pour mettre la case vide
</t>
        </r>
      </text>
    </comment>
    <comment ref="AZ517" authorId="0" shapeId="0" xr:uid="{00000000-0006-0000-1600-00001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7" authorId="0" shapeId="0" xr:uid="{00000000-0006-0000-1600-000014030000}">
      <text>
        <r>
          <rPr>
            <sz val="9"/>
            <color indexed="81"/>
            <rFont val="Tahoma"/>
            <family val="2"/>
          </rPr>
          <t xml:space="preserve">Faire supprimer pour mettre la case vide
</t>
        </r>
      </text>
    </comment>
    <comment ref="AZ518" authorId="0" shapeId="0" xr:uid="{00000000-0006-0000-1600-00001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8" authorId="0" shapeId="0" xr:uid="{00000000-0006-0000-1600-000016030000}">
      <text>
        <r>
          <rPr>
            <sz val="9"/>
            <color indexed="81"/>
            <rFont val="Tahoma"/>
            <family val="2"/>
          </rPr>
          <t xml:space="preserve">Faire supprimer pour mettre la case vide
</t>
        </r>
      </text>
    </comment>
    <comment ref="AZ519" authorId="0" shapeId="0" xr:uid="{00000000-0006-0000-1600-00001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19" authorId="0" shapeId="0" xr:uid="{00000000-0006-0000-1600-000018030000}">
      <text>
        <r>
          <rPr>
            <sz val="9"/>
            <color indexed="81"/>
            <rFont val="Tahoma"/>
            <family val="2"/>
          </rPr>
          <t xml:space="preserve">Faire supprimer pour mettre la case vide
</t>
        </r>
      </text>
    </comment>
    <comment ref="AZ520" authorId="0" shapeId="0" xr:uid="{00000000-0006-0000-1600-00001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0" authorId="0" shapeId="0" xr:uid="{00000000-0006-0000-1600-00001A030000}">
      <text>
        <r>
          <rPr>
            <sz val="9"/>
            <color indexed="81"/>
            <rFont val="Tahoma"/>
            <family val="2"/>
          </rPr>
          <t xml:space="preserve">Faire supprimer pour mettre la case vide
</t>
        </r>
      </text>
    </comment>
    <comment ref="AZ521" authorId="0" shapeId="0" xr:uid="{00000000-0006-0000-1600-00001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1" authorId="0" shapeId="0" xr:uid="{00000000-0006-0000-1600-00001C030000}">
      <text>
        <r>
          <rPr>
            <sz val="9"/>
            <color indexed="81"/>
            <rFont val="Tahoma"/>
            <family val="2"/>
          </rPr>
          <t xml:space="preserve">Faire supprimer pour mettre la case vide
</t>
        </r>
      </text>
    </comment>
    <comment ref="AZ522" authorId="0" shapeId="0" xr:uid="{00000000-0006-0000-1600-00001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2" authorId="0" shapeId="0" xr:uid="{00000000-0006-0000-1600-00001E030000}">
      <text>
        <r>
          <rPr>
            <sz val="9"/>
            <color indexed="81"/>
            <rFont val="Tahoma"/>
            <family val="2"/>
          </rPr>
          <t xml:space="preserve">Faire supprimer pour mettre la case vide
</t>
        </r>
      </text>
    </comment>
    <comment ref="AZ523" authorId="0" shapeId="0" xr:uid="{00000000-0006-0000-1600-00001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3" authorId="0" shapeId="0" xr:uid="{00000000-0006-0000-1600-000020030000}">
      <text>
        <r>
          <rPr>
            <sz val="9"/>
            <color indexed="81"/>
            <rFont val="Tahoma"/>
            <family val="2"/>
          </rPr>
          <t xml:space="preserve">Faire supprimer pour mettre la case vide
</t>
        </r>
      </text>
    </comment>
    <comment ref="AZ524" authorId="0" shapeId="0" xr:uid="{00000000-0006-0000-1600-00002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4" authorId="0" shapeId="0" xr:uid="{00000000-0006-0000-1600-000022030000}">
      <text>
        <r>
          <rPr>
            <sz val="9"/>
            <color indexed="81"/>
            <rFont val="Tahoma"/>
            <family val="2"/>
          </rPr>
          <t xml:space="preserve">Faire supprimer pour mettre la case vide
</t>
        </r>
      </text>
    </comment>
    <comment ref="AZ525" authorId="0" shapeId="0" xr:uid="{00000000-0006-0000-1600-00002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5" authorId="0" shapeId="0" xr:uid="{00000000-0006-0000-1600-000024030000}">
      <text>
        <r>
          <rPr>
            <sz val="9"/>
            <color indexed="81"/>
            <rFont val="Tahoma"/>
            <family val="2"/>
          </rPr>
          <t xml:space="preserve">Faire supprimer pour mettre la case vide
</t>
        </r>
      </text>
    </comment>
    <comment ref="AZ526" authorId="0" shapeId="0" xr:uid="{00000000-0006-0000-1600-00002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6" authorId="0" shapeId="0" xr:uid="{00000000-0006-0000-1600-000026030000}">
      <text>
        <r>
          <rPr>
            <sz val="9"/>
            <color indexed="81"/>
            <rFont val="Tahoma"/>
            <family val="2"/>
          </rPr>
          <t xml:space="preserve">Faire supprimer pour mettre la case vide
</t>
        </r>
      </text>
    </comment>
    <comment ref="AZ527" authorId="0" shapeId="0" xr:uid="{00000000-0006-0000-1600-00002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7" authorId="0" shapeId="0" xr:uid="{00000000-0006-0000-1600-000028030000}">
      <text>
        <r>
          <rPr>
            <sz val="9"/>
            <color indexed="81"/>
            <rFont val="Tahoma"/>
            <family val="2"/>
          </rPr>
          <t xml:space="preserve">Faire supprimer pour mettre la case vide
</t>
        </r>
      </text>
    </comment>
    <comment ref="AZ528" authorId="0" shapeId="0" xr:uid="{00000000-0006-0000-1600-00002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8" authorId="0" shapeId="0" xr:uid="{00000000-0006-0000-1600-00002A030000}">
      <text>
        <r>
          <rPr>
            <sz val="9"/>
            <color indexed="81"/>
            <rFont val="Tahoma"/>
            <family val="2"/>
          </rPr>
          <t xml:space="preserve">Faire supprimer pour mettre la case vide
</t>
        </r>
      </text>
    </comment>
    <comment ref="AZ529" authorId="0" shapeId="0" xr:uid="{00000000-0006-0000-1600-00002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29" authorId="0" shapeId="0" xr:uid="{00000000-0006-0000-1600-00002C030000}">
      <text>
        <r>
          <rPr>
            <sz val="9"/>
            <color indexed="81"/>
            <rFont val="Tahoma"/>
            <family val="2"/>
          </rPr>
          <t xml:space="preserve">Faire supprimer pour mettre la case vide
</t>
        </r>
      </text>
    </comment>
    <comment ref="AZ530" authorId="0" shapeId="0" xr:uid="{00000000-0006-0000-1600-00002D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0" authorId="0" shapeId="0" xr:uid="{00000000-0006-0000-1600-00002E030000}">
      <text>
        <r>
          <rPr>
            <sz val="9"/>
            <color indexed="81"/>
            <rFont val="Tahoma"/>
            <family val="2"/>
          </rPr>
          <t xml:space="preserve">Faire supprimer pour mettre la case vide
</t>
        </r>
      </text>
    </comment>
    <comment ref="AZ531" authorId="0" shapeId="0" xr:uid="{00000000-0006-0000-1600-00002F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1" authorId="0" shapeId="0" xr:uid="{00000000-0006-0000-1600-000030030000}">
      <text>
        <r>
          <rPr>
            <sz val="9"/>
            <color indexed="81"/>
            <rFont val="Tahoma"/>
            <family val="2"/>
          </rPr>
          <t xml:space="preserve">Faire supprimer pour mettre la case vide
</t>
        </r>
      </text>
    </comment>
    <comment ref="AZ532" authorId="0" shapeId="0" xr:uid="{00000000-0006-0000-1600-000031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2" authorId="0" shapeId="0" xr:uid="{00000000-0006-0000-1600-000032030000}">
      <text>
        <r>
          <rPr>
            <sz val="9"/>
            <color indexed="81"/>
            <rFont val="Tahoma"/>
            <family val="2"/>
          </rPr>
          <t xml:space="preserve">Faire supprimer pour mettre la case vide
</t>
        </r>
      </text>
    </comment>
    <comment ref="AZ533" authorId="0" shapeId="0" xr:uid="{00000000-0006-0000-1600-000033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3" authorId="0" shapeId="0" xr:uid="{00000000-0006-0000-1600-000034030000}">
      <text>
        <r>
          <rPr>
            <sz val="9"/>
            <color indexed="81"/>
            <rFont val="Tahoma"/>
            <family val="2"/>
          </rPr>
          <t xml:space="preserve">Faire supprimer pour mettre la case vide
</t>
        </r>
      </text>
    </comment>
    <comment ref="AZ534" authorId="0" shapeId="0" xr:uid="{00000000-0006-0000-1600-000035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4" authorId="0" shapeId="0" xr:uid="{00000000-0006-0000-1600-000036030000}">
      <text>
        <r>
          <rPr>
            <sz val="9"/>
            <color indexed="81"/>
            <rFont val="Tahoma"/>
            <family val="2"/>
          </rPr>
          <t xml:space="preserve">Faire supprimer pour mettre la case vide
</t>
        </r>
      </text>
    </comment>
    <comment ref="AZ535" authorId="0" shapeId="0" xr:uid="{00000000-0006-0000-1600-000037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5" authorId="0" shapeId="0" xr:uid="{00000000-0006-0000-1600-000038030000}">
      <text>
        <r>
          <rPr>
            <sz val="9"/>
            <color indexed="81"/>
            <rFont val="Tahoma"/>
            <family val="2"/>
          </rPr>
          <t xml:space="preserve">Faire supprimer pour mettre la case vide
</t>
        </r>
      </text>
    </comment>
    <comment ref="AZ536" authorId="0" shapeId="0" xr:uid="{00000000-0006-0000-1600-000039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6" authorId="0" shapeId="0" xr:uid="{00000000-0006-0000-1600-00003A030000}">
      <text>
        <r>
          <rPr>
            <sz val="9"/>
            <color indexed="81"/>
            <rFont val="Tahoma"/>
            <family val="2"/>
          </rPr>
          <t xml:space="preserve">Faire supprimer pour mettre la case vide
</t>
        </r>
      </text>
    </comment>
    <comment ref="AZ537" authorId="0" shapeId="0" xr:uid="{00000000-0006-0000-1600-00003B030000}">
      <text>
        <r>
          <rPr>
            <sz val="10"/>
            <color indexed="81"/>
            <rFont val="Tahoma"/>
            <family val="2"/>
          </rPr>
          <t>Si la case  est rouge cela signifie que vous faites une retenue sur salaire sur l'écart entre les hrs prévues et réelles et en même temps sur la journée. Ce qui n'est pas possible</t>
        </r>
      </text>
    </comment>
    <comment ref="BE537" authorId="0" shapeId="0" xr:uid="{00000000-0006-0000-1600-00003C030000}">
      <text>
        <r>
          <rPr>
            <sz val="9"/>
            <color indexed="81"/>
            <rFont val="Tahoma"/>
            <family val="2"/>
          </rPr>
          <t xml:space="preserve">Faire supprimer pour mettre la case vide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700-000001000000}">
      <text>
        <r>
          <rPr>
            <sz val="9"/>
            <color indexed="81"/>
            <rFont val="Tahoma"/>
            <family val="2"/>
          </rPr>
          <t>Si vous souhaitez modifier la fiche info de référence faites votre choix dans la liste. 
Pour les mois précédents le mois du début de contrat laisser " A préciser"</t>
        </r>
      </text>
    </comment>
    <comment ref="AT3" authorId="0" shapeId="0" xr:uid="{00000000-0006-0000-1700-000002000000}">
      <text>
        <r>
          <rPr>
            <sz val="9"/>
            <color indexed="81"/>
            <rFont val="Tahoma"/>
            <family val="2"/>
          </rPr>
          <t xml:space="preserve">Numéro de la semaine du calendrier
</t>
        </r>
      </text>
    </comment>
    <comment ref="AU3" authorId="0" shapeId="0" xr:uid="{00000000-0006-0000-1700-000003000000}">
      <text>
        <r>
          <rPr>
            <sz val="9"/>
            <color indexed="81"/>
            <rFont val="Tahoma"/>
            <family val="2"/>
          </rPr>
          <t xml:space="preserve">Si vous avez plusieurs types de semaine de travail le préciser ci-dessous par rapport au numero de semaine correspondant
</t>
        </r>
      </text>
    </comment>
    <comment ref="CE3" authorId="0" shapeId="0" xr:uid="{00000000-0006-0000-1700-000004000000}">
      <text>
        <r>
          <rPr>
            <sz val="9"/>
            <color indexed="81"/>
            <rFont val="Tahoma"/>
            <family val="2"/>
          </rPr>
          <t xml:space="preserve">Préciser le motif de la rupture
</t>
        </r>
      </text>
    </comment>
    <comment ref="CE5" authorId="0" shapeId="0" xr:uid="{00000000-0006-0000-1700-000005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700-000006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700-000007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700-000008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3" authorId="0" shapeId="0" xr:uid="{00000000-0006-0000-1700-000009000000}">
      <text>
        <r>
          <rPr>
            <sz val="9"/>
            <color indexed="81"/>
            <rFont val="Tahoma"/>
            <family val="2"/>
          </rPr>
          <t xml:space="preserve">Faire un choix dans la liste déroulante
</t>
        </r>
      </text>
    </comment>
    <comment ref="AR18" authorId="0" shapeId="0" xr:uid="{00000000-0006-0000-1700-00000B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700-00000C000000}">
      <text>
        <r>
          <rPr>
            <b/>
            <sz val="8"/>
            <color indexed="81"/>
            <rFont val="Tahoma"/>
            <family val="2"/>
          </rPr>
          <t>Heures complémentaires non prévues au contrat</t>
        </r>
      </text>
    </comment>
    <comment ref="AU18" authorId="0" shapeId="0" xr:uid="{00000000-0006-0000-1700-00000D000000}">
      <text>
        <r>
          <rPr>
            <b/>
            <sz val="9"/>
            <color indexed="81"/>
            <rFont val="Tahoma"/>
            <family val="2"/>
          </rPr>
          <t>Heures majorées supplémentaires non prévues au contrat</t>
        </r>
      </text>
    </comment>
    <comment ref="AZ18" authorId="1" shapeId="0" xr:uid="{00000000-0006-0000-1700-00000E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B80C65E-2DC7-4CBD-88D7-1D7B8086F90B}">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700-000010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700-000011000000}">
      <text>
        <r>
          <rPr>
            <sz val="9"/>
            <color indexed="81"/>
            <rFont val="Tahoma"/>
            <family val="2"/>
          </rPr>
          <t xml:space="preserve">Nombre d'heures
</t>
        </r>
      </text>
    </comment>
    <comment ref="P23" authorId="0" shapeId="0" xr:uid="{00000000-0006-0000-1700-000012000000}">
      <text>
        <r>
          <rPr>
            <sz val="9"/>
            <color indexed="81"/>
            <rFont val="Tahoma"/>
            <family val="2"/>
          </rPr>
          <t>Montant de la majoration :
Salaire horaire brut X taux majoration</t>
        </r>
      </text>
    </comment>
    <comment ref="L24" authorId="0" shapeId="0" xr:uid="{00000000-0006-0000-1700-000013000000}">
      <text>
        <r>
          <rPr>
            <sz val="9"/>
            <color indexed="81"/>
            <rFont val="Tahoma"/>
            <family val="2"/>
          </rPr>
          <t>Nombre d'heures</t>
        </r>
      </text>
    </comment>
    <comment ref="P24" authorId="0" shapeId="0" xr:uid="{00000000-0006-0000-1700-000014000000}">
      <text>
        <r>
          <rPr>
            <sz val="9"/>
            <color indexed="81"/>
            <rFont val="Tahoma"/>
            <family val="2"/>
          </rPr>
          <t>Montant de la majoration :
Salaire horaire brut X taux majoration</t>
        </r>
      </text>
    </comment>
    <comment ref="T25" authorId="0" shapeId="0" xr:uid="{00000000-0006-0000-1700-000015000000}">
      <text>
        <r>
          <rPr>
            <sz val="9"/>
            <color indexed="81"/>
            <rFont val="Tahoma"/>
            <family val="2"/>
          </rPr>
          <t>Vous pouvez retrouver le détail du calcul dans la feuille "Retenue" correspondante à ce mois</t>
        </r>
      </text>
    </comment>
    <comment ref="T26" authorId="0" shapeId="0" xr:uid="{00000000-0006-0000-1700-000016000000}">
      <text>
        <r>
          <rPr>
            <sz val="9"/>
            <color indexed="81"/>
            <rFont val="Tahoma"/>
            <family val="2"/>
          </rPr>
          <t>Vous pouvez retrouver le détail du calcul dans la feuille "Retenue" correspondante à ce mois</t>
        </r>
      </text>
    </comment>
    <comment ref="CA26" authorId="0" shapeId="0" xr:uid="{00000000-0006-0000-1700-000017000000}">
      <text>
        <r>
          <rPr>
            <sz val="9"/>
            <color indexed="81"/>
            <rFont val="Tahoma"/>
            <family val="2"/>
          </rPr>
          <t xml:space="preserve">Lors d'une semaine à cheval sur 2 mois la majoration se calcule sur le mois où la semaine fini.
Exemple : 
Une semaine à cheval sur janvier et février :  le lundi 28 / mardi 29 / mercredi 30 / jeudi 31 / vendredi 1er / samedi 2 / dimanche 3,  la majoration se calculera sur le mois de février. </t>
        </r>
      </text>
    </comment>
    <comment ref="T27" authorId="0" shapeId="0" xr:uid="{00000000-0006-0000-1700-000018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700-000019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BY28" authorId="0" shapeId="0" xr:uid="{00000000-0006-0000-1700-00001A000000}">
      <text>
        <r>
          <rPr>
            <sz val="9"/>
            <color indexed="81"/>
            <rFont val="Tahoma"/>
            <family val="2"/>
          </rPr>
          <t>Vérifier que cette semaine n'est pas à cheval sur le mois de décembre de l'année précédente et sur janvier. 
Dans ce cas mettre toute les heures faites de la semaine sur janvier</t>
        </r>
      </text>
    </comment>
    <comment ref="L31" authorId="0" shapeId="0" xr:uid="{00000000-0006-0000-1700-00001B000000}">
      <text>
        <r>
          <rPr>
            <sz val="9"/>
            <color indexed="81"/>
            <rFont val="Tahoma"/>
            <family val="2"/>
          </rPr>
          <t xml:space="preserve">Si vous souhaitez mettre un autre montant de régularisation que celui calculé automatiquement le saisir dans cette cellule
</t>
        </r>
      </text>
    </comment>
    <comment ref="T31" authorId="0" shapeId="0" xr:uid="{EC23DC8B-E616-4635-8CA0-2233C0A7DFC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700-00001D000000}">
      <text>
        <r>
          <rPr>
            <b/>
            <sz val="9"/>
            <color indexed="81"/>
            <rFont val="Tahoma"/>
            <family val="2"/>
          </rPr>
          <t>On inclut pour son calcul la prime de précarité</t>
        </r>
      </text>
    </comment>
    <comment ref="BZ44" authorId="2" shapeId="0" xr:uid="{00000000-0006-0000-1700-00001E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FDEBBD0-4D82-4452-A6CD-97677FC7DB0C}">
      <text>
        <r>
          <rPr>
            <sz val="9"/>
            <color indexed="81"/>
            <rFont val="Tahoma"/>
            <family val="2"/>
          </rPr>
          <t xml:space="preserve">Choisir un montant minimum. 
Attention :
Dois respecter le minimum conventionnel et le minimum légal pour 9h
</t>
        </r>
      </text>
    </comment>
    <comment ref="CE54" authorId="0" shapeId="0" xr:uid="{174D13DA-4FEC-4BE3-9D47-364E095919CB}">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55ACF731-39B5-4433-BB0E-1D0E82888838}">
      <text>
        <r>
          <rPr>
            <sz val="9"/>
            <color indexed="81"/>
            <rFont val="Tahoma"/>
            <family val="2"/>
          </rPr>
          <t>Modifier le montant de l'heure</t>
        </r>
      </text>
    </comment>
    <comment ref="CA56" authorId="0" shapeId="0" xr:uid="{00000000-0006-0000-1700-000020000000}">
      <text>
        <r>
          <rPr>
            <sz val="9"/>
            <color indexed="81"/>
            <rFont val="Tahoma"/>
            <family val="2"/>
          </rPr>
          <t>Ce montant ne peut être inférieur à l'indemnité conventionnelle minimum.</t>
        </r>
      </text>
    </comment>
    <comment ref="CE57" authorId="0" shapeId="0" xr:uid="{F63E5C96-FAE1-41DB-A3CA-8B13099DF9F0}">
      <text>
        <r>
          <rPr>
            <sz val="9"/>
            <color indexed="81"/>
            <rFont val="Tahoma"/>
            <family val="2"/>
          </rPr>
          <t xml:space="preserve">Choisir un montant minimum. 
Attention :
Dois respecter le minimum conventionnel et le minimum légal pour 9h
</t>
        </r>
      </text>
    </comment>
    <comment ref="CE58" authorId="0" shapeId="0" xr:uid="{7AD7E482-CFFD-47C2-8578-68284DEF689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E7D201B-B941-476C-9EEB-43F7BA163E3C}">
      <text>
        <r>
          <rPr>
            <sz val="9"/>
            <color indexed="81"/>
            <rFont val="Tahoma"/>
            <family val="2"/>
          </rPr>
          <t xml:space="preserve">Permet de modifier le libellé
</t>
        </r>
      </text>
    </comment>
    <comment ref="AX62" authorId="0" shapeId="0" xr:uid="{00000000-0006-0000-1700-00002100000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08C2242-96F8-4B7B-AA8D-7013865E47D0}">
      <text>
        <r>
          <rPr>
            <sz val="9"/>
            <color indexed="81"/>
            <rFont val="Tahoma"/>
            <family val="2"/>
          </rPr>
          <t xml:space="preserve">Choisir le format du chiffre : 
en heures ou en jours
Exemple : afficher 3 jrs ou 3 hrs
</t>
        </r>
      </text>
    </comment>
    <comment ref="BA62" authorId="0" shapeId="0" xr:uid="{BAE21FCB-FB4B-4BC3-8529-BB4F552C571C}">
      <text>
        <r>
          <rPr>
            <sz val="9"/>
            <color indexed="81"/>
            <rFont val="Tahoma"/>
            <family val="2"/>
          </rPr>
          <t>Modifier le taux</t>
        </r>
      </text>
    </comment>
    <comment ref="AQ63" authorId="0" shapeId="0" xr:uid="{3E6434EE-6FAB-4D0E-88BB-8F850A9596E2}">
      <text>
        <r>
          <rPr>
            <sz val="9"/>
            <color indexed="81"/>
            <rFont val="Tahoma"/>
            <family val="2"/>
          </rPr>
          <t>Permet de modifier le libellé</t>
        </r>
      </text>
    </comment>
    <comment ref="AX63" authorId="0" shapeId="0" xr:uid="{00000000-0006-0000-1700-00002200000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36F6BCD3-643D-4F6E-9290-5728205F01F8}">
      <text>
        <r>
          <rPr>
            <sz val="9"/>
            <color indexed="81"/>
            <rFont val="Tahoma"/>
            <family val="2"/>
          </rPr>
          <t xml:space="preserve">Choisir le format du chiffre : 
en heures ou en jours
Exemple : afficher 3 jrs ou 3 hrs
</t>
        </r>
      </text>
    </comment>
    <comment ref="BA63" authorId="0" shapeId="0" xr:uid="{1DC18162-86EF-49FF-825F-6AC3FD970E6F}">
      <text>
        <r>
          <rPr>
            <sz val="9"/>
            <color indexed="81"/>
            <rFont val="Tahoma"/>
            <family val="2"/>
          </rPr>
          <t>Modifier le taux</t>
        </r>
      </text>
    </comment>
    <comment ref="BA65" authorId="0" shapeId="0" xr:uid="{00000000-0006-0000-1700-000023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700-000024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700-000025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700-000026000000}">
      <text>
        <r>
          <rPr>
            <b/>
            <sz val="9"/>
            <color indexed="8"/>
            <rFont val="Tahoma"/>
            <family val="2"/>
            <charset val="1"/>
          </rPr>
          <t xml:space="preserve">Nombre de kilomètres
</t>
        </r>
      </text>
    </comment>
    <comment ref="K69" authorId="2" shapeId="0" xr:uid="{00000000-0006-0000-1700-000027000000}">
      <text>
        <r>
          <rPr>
            <b/>
            <sz val="9"/>
            <color indexed="8"/>
            <rFont val="Tahoma"/>
            <family val="2"/>
            <charset val="1"/>
          </rPr>
          <t>Tarif du Kilomètre négocié avec les parents</t>
        </r>
      </text>
    </comment>
    <comment ref="BA69" authorId="0" shapeId="0" xr:uid="{00000000-0006-0000-1700-000028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700-000029000000}">
      <text>
        <r>
          <rPr>
            <sz val="9"/>
            <color indexed="81"/>
            <rFont val="Tahoma"/>
            <family val="2"/>
          </rPr>
          <t xml:space="preserve">Saisir le nombre avec le signe - devant
</t>
        </r>
      </text>
    </comment>
    <comment ref="AR83" authorId="2" shapeId="0" xr:uid="{00000000-0006-0000-1700-00002A000000}">
      <text>
        <r>
          <rPr>
            <b/>
            <sz val="9"/>
            <color indexed="8"/>
            <rFont val="Tahoma"/>
            <family val="2"/>
            <charset val="1"/>
          </rPr>
          <t>Pour les années complètes reporter le nbre de mois travaillés en fin d'année de référence précédente (le 31 mai précédent)
Pour les années incomplètes reporter le nbre de semaines travaillées en fin d'année de référence précédente (le 31 mai précédent)
si le report ne s'est pas fait automatiquement</t>
        </r>
      </text>
    </comment>
    <comment ref="AS83" authorId="2" shapeId="0" xr:uid="{00000000-0006-0000-1700-00002B000000}">
      <text>
        <r>
          <rPr>
            <b/>
            <sz val="9"/>
            <color indexed="8"/>
            <rFont val="Tahoma"/>
            <family val="2"/>
            <charset val="1"/>
          </rPr>
          <t>Pour les années complètes reporter le nbre de mois travaillés pour l'année de référence en cours.
Pour les années incomplètes reporter le nbre de semaines travaillées pour l'année de référence en cours.
si le report ne s'est pas fait automatiquement</t>
        </r>
      </text>
    </comment>
    <comment ref="AL84" authorId="0" shapeId="0" xr:uid="{B057EBC4-530D-4ED2-8C97-2A948B7250F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700-000030000000}">
      <text>
        <r>
          <rPr>
            <sz val="9"/>
            <color indexed="81"/>
            <rFont val="Tahoma"/>
            <family val="2"/>
          </rPr>
          <t>Salaire Net - La réduction des cotisations sur les Hrs Supp et les Hrs complémentaires.</t>
        </r>
      </text>
    </comment>
    <comment ref="AR87" authorId="0" shapeId="0" xr:uid="{00000000-0006-0000-1700-00002F000000}">
      <text>
        <r>
          <rPr>
            <sz val="9"/>
            <color indexed="81"/>
            <rFont val="Tahoma"/>
            <family val="2"/>
          </rPr>
          <t xml:space="preserve">Reporter ici le total des congés supplémentaires pour enfant de -15 ans à fin décembre qui se trouve dans  la colonne « année précédente »
</t>
        </r>
      </text>
    </comment>
    <comment ref="AR89" authorId="2" shapeId="0" xr:uid="{00000000-0006-0000-1700-000031000000}">
      <text>
        <r>
          <rPr>
            <b/>
            <sz val="9"/>
            <color indexed="8"/>
            <rFont val="Tahoma"/>
            <family val="2"/>
            <charset val="1"/>
          </rPr>
          <t>Reporter ici le total de congés pris payés à fin décembre pour la colonne « année précédente »</t>
        </r>
        <r>
          <rPr>
            <sz val="9"/>
            <color indexed="8"/>
            <rFont val="Tahoma"/>
            <family val="2"/>
            <charset val="1"/>
          </rPr>
          <t xml:space="preserve">
</t>
        </r>
        <r>
          <rPr>
            <b/>
            <sz val="9"/>
            <color indexed="8"/>
            <rFont val="Tahoma"/>
            <family val="2"/>
          </rPr>
          <t>si le report ne s'est pas fait automatiquement</t>
        </r>
      </text>
    </comment>
    <comment ref="AS89" authorId="2" shapeId="0" xr:uid="{00000000-0006-0000-1700-000032000000}">
      <text>
        <r>
          <rPr>
            <b/>
            <sz val="9"/>
            <color indexed="8"/>
            <rFont val="Tahoma"/>
            <family val="2"/>
            <charset val="1"/>
          </rPr>
          <t>Reporter ici le total de congés pris payés à fin décembre pour la colonne « année en cours »</t>
        </r>
        <r>
          <rPr>
            <sz val="9"/>
            <color indexed="8"/>
            <rFont val="Tahoma"/>
            <family val="2"/>
            <charset val="1"/>
          </rPr>
          <t xml:space="preserve">
</t>
        </r>
        <r>
          <rPr>
            <b/>
            <sz val="9"/>
            <color indexed="8"/>
            <rFont val="Tahoma"/>
            <family val="2"/>
          </rPr>
          <t>si le report ne s'est pas fait automatiquement</t>
        </r>
      </text>
    </comment>
    <comment ref="AR91" authorId="0" shapeId="0" xr:uid="{00000000-0006-0000-1700-000034000000}">
      <text>
        <r>
          <rPr>
            <sz val="9"/>
            <color indexed="81"/>
            <rFont val="Tahoma"/>
            <family val="2"/>
          </rPr>
          <t>Modification manuelle du nombre de jours inclus dans l'ICCP pour l'année précédente</t>
        </r>
      </text>
    </comment>
    <comment ref="AS91" authorId="0" shapeId="0" xr:uid="{00000000-0006-0000-1700-000035000000}">
      <text>
        <r>
          <rPr>
            <sz val="9"/>
            <color indexed="81"/>
            <rFont val="Tahoma"/>
            <family val="2"/>
          </rPr>
          <t xml:space="preserve">Modification manuelle du nombre de jours inclus dans l'ICCP pour l'année en cours
</t>
        </r>
      </text>
    </comment>
    <comment ref="AR93" authorId="0" shapeId="0" xr:uid="{00000000-0006-0000-1700-000036000000}">
      <text>
        <r>
          <rPr>
            <sz val="9"/>
            <color indexed="81"/>
            <rFont val="Tahoma"/>
            <family val="2"/>
          </rPr>
          <t xml:space="preserve">Jours de fractionnement
Ex 1 : Si au 31/12 de l'année précédente il vous reste 2 jours de fractionnement à prendre et que vous n'avez pris aucun de ces jours sur janvier vous saisissez 2 
Ex 2 : Si au 31/12 de l'année précédente il vous reste 2 jours de fractionnement à prendre et que vous avez pris 1 jour sur janvier vous saisissez 1  ou +2-1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8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800-000002000000}">
      <text>
        <r>
          <rPr>
            <sz val="9"/>
            <color indexed="81"/>
            <rFont val="Tahoma"/>
            <family val="2"/>
          </rPr>
          <t xml:space="preserve">Préciser le motif de la rupture
</t>
        </r>
      </text>
    </comment>
    <comment ref="CE5" authorId="0" shapeId="0" xr:uid="{00000000-0006-0000-1800-000003000000}">
      <text>
        <r>
          <rPr>
            <sz val="9"/>
            <color indexed="81"/>
            <rFont val="Tahoma"/>
            <family val="2"/>
          </rPr>
          <t>Ne saisir la date de fin de contrat que lors de la préparation du dernier bulletin de salaire.
La date de fin doit être dans ce mois</t>
        </r>
      </text>
    </comment>
    <comment ref="BZ6" authorId="0" shapeId="0" xr:uid="{00000000-0006-0000-1800-000004000000}">
      <text>
        <r>
          <rPr>
            <sz val="9"/>
            <color indexed="81"/>
            <rFont val="Tahoma"/>
            <family val="2"/>
          </rPr>
          <t>Si vous souhaitez modifié la case "Paje emploi à jours HS non imposable" faite votre choix dans la liste. 
Si vous souhaitez reprendre la même que le mois précédent selectionner la 1ère proposition</t>
        </r>
      </text>
    </comment>
    <comment ref="BZ8" authorId="0" shapeId="0" xr:uid="{00000000-0006-0000-1800-000005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800-000006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800-000008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800-000009000000}">
      <text>
        <r>
          <rPr>
            <b/>
            <sz val="8"/>
            <color indexed="81"/>
            <rFont val="Tahoma"/>
            <family val="2"/>
          </rPr>
          <t>Heures complémentaires non prévues au contrat</t>
        </r>
      </text>
    </comment>
    <comment ref="AU18" authorId="0" shapeId="0" xr:uid="{2E0068B0-0E33-4345-820D-3CA38F01CEA5}">
      <text>
        <r>
          <rPr>
            <b/>
            <sz val="9"/>
            <color indexed="81"/>
            <rFont val="Tahoma"/>
            <family val="2"/>
          </rPr>
          <t>Heures majorées supplémentaires non prévues au contrat</t>
        </r>
      </text>
    </comment>
    <comment ref="AZ18" authorId="1" shapeId="0" xr:uid="{00000000-0006-0000-1800-00000B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67FE02BC-8574-4036-B586-84E0EA912B44}">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800-00000D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800-00000E000000}">
      <text>
        <r>
          <rPr>
            <sz val="9"/>
            <color indexed="81"/>
            <rFont val="Tahoma"/>
            <family val="2"/>
          </rPr>
          <t xml:space="preserve">Nombre d'heures
</t>
        </r>
      </text>
    </comment>
    <comment ref="P23" authorId="0" shapeId="0" xr:uid="{00000000-0006-0000-1800-00000F000000}">
      <text>
        <r>
          <rPr>
            <sz val="9"/>
            <color indexed="81"/>
            <rFont val="Tahoma"/>
            <family val="2"/>
          </rPr>
          <t>Montant de la majoration :
Salaire horaire brut X taux majoration</t>
        </r>
      </text>
    </comment>
    <comment ref="L24" authorId="0" shapeId="0" xr:uid="{00000000-0006-0000-1800-000010000000}">
      <text>
        <r>
          <rPr>
            <sz val="9"/>
            <color indexed="81"/>
            <rFont val="Tahoma"/>
            <family val="2"/>
          </rPr>
          <t>Nombre d'heures</t>
        </r>
      </text>
    </comment>
    <comment ref="P24" authorId="0" shapeId="0" xr:uid="{00000000-0006-0000-1800-000011000000}">
      <text>
        <r>
          <rPr>
            <sz val="9"/>
            <color indexed="81"/>
            <rFont val="Tahoma"/>
            <family val="2"/>
          </rPr>
          <t>Montant de la majoration :
Salaire horaire brut X taux majoration</t>
        </r>
      </text>
    </comment>
    <comment ref="T25" authorId="0" shapeId="0" xr:uid="{00000000-0006-0000-1800-000012000000}">
      <text>
        <r>
          <rPr>
            <sz val="9"/>
            <color indexed="81"/>
            <rFont val="Tahoma"/>
            <family val="2"/>
          </rPr>
          <t>Vous pouvez retrouver le détail du calcul dans la feuille "Retenue" correspondante à ce mois</t>
        </r>
      </text>
    </comment>
    <comment ref="T26" authorId="0" shapeId="0" xr:uid="{00000000-0006-0000-1800-000013000000}">
      <text>
        <r>
          <rPr>
            <sz val="9"/>
            <color indexed="81"/>
            <rFont val="Tahoma"/>
            <family val="2"/>
          </rPr>
          <t>Vous pouvez retrouver le détail du calcul dans la feuille "Retenue" correspondante à ce mois</t>
        </r>
      </text>
    </comment>
    <comment ref="T27" authorId="0" shapeId="0" xr:uid="{00000000-0006-0000-1800-000014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800-000015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800-000016000000}">
      <text>
        <r>
          <rPr>
            <sz val="9"/>
            <color indexed="81"/>
            <rFont val="Tahoma"/>
            <family val="2"/>
          </rPr>
          <t xml:space="preserve">Si vous souhaitez mettre un autre montant de régularisation que celui calculé automatiquement le saisir dans cette cellule
</t>
        </r>
      </text>
    </comment>
    <comment ref="T31" authorId="0" shapeId="0" xr:uid="{056F71A1-0C41-43AB-994A-8FC8D9C1C545}">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800-000018000000}">
      <text>
        <r>
          <rPr>
            <b/>
            <sz val="9"/>
            <color indexed="81"/>
            <rFont val="Tahoma"/>
            <family val="2"/>
          </rPr>
          <t>On inclut pour son calcul la prime de précarité</t>
        </r>
      </text>
    </comment>
    <comment ref="BZ44" authorId="2" shapeId="0" xr:uid="{00000000-0006-0000-1800-000019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54CF259-473A-4CFF-8756-62DB84646AF8}">
      <text>
        <r>
          <rPr>
            <sz val="9"/>
            <color indexed="81"/>
            <rFont val="Tahoma"/>
            <family val="2"/>
          </rPr>
          <t xml:space="preserve">Choisir un montant minimum. 
Attention :
Dois respecter le minimum conventionnel et le minimum légal pour 9h
</t>
        </r>
      </text>
    </comment>
    <comment ref="CE54" authorId="0" shapeId="0" xr:uid="{66F14AA5-12D0-4C95-9569-FAAB7CAC144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A570277-2E5E-4309-8B6A-1A25E1D029F7}">
      <text>
        <r>
          <rPr>
            <sz val="9"/>
            <color indexed="81"/>
            <rFont val="Tahoma"/>
            <family val="2"/>
          </rPr>
          <t xml:space="preserve">Modifier le montant de l'heure
</t>
        </r>
      </text>
    </comment>
    <comment ref="CE57" authorId="0" shapeId="0" xr:uid="{5BFA79C7-30DE-4C90-A1C2-BE7415079CB4}">
      <text>
        <r>
          <rPr>
            <sz val="9"/>
            <color indexed="81"/>
            <rFont val="Tahoma"/>
            <family val="2"/>
          </rPr>
          <t xml:space="preserve">Choisir un montant minimum. 
Attention :
Dois respecter le minimum conventionnel et le minimum légal pour 9h
</t>
        </r>
      </text>
    </comment>
    <comment ref="CE58" authorId="0" shapeId="0" xr:uid="{B07C8ADB-8894-44A8-9E92-63FDDE7C34B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E97F11CD-3B84-4F40-81C5-9BF6F0C6A2FD}">
      <text>
        <r>
          <rPr>
            <sz val="9"/>
            <color indexed="81"/>
            <rFont val="Tahoma"/>
            <family val="2"/>
          </rPr>
          <t xml:space="preserve">Permet de modifier le libellé
</t>
        </r>
      </text>
    </comment>
    <comment ref="AX62" authorId="0" shapeId="0" xr:uid="{E45628AE-6828-4218-90C3-86BFBBAC19A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1311AD6D-EBE2-415E-86D2-4B3B39F6EDF8}">
      <text>
        <r>
          <rPr>
            <sz val="9"/>
            <color indexed="81"/>
            <rFont val="Tahoma"/>
            <family val="2"/>
          </rPr>
          <t xml:space="preserve">Choisir le format du chiffre : 
en heures ou en jours
Exemple : afficher 3 jrs ou 3 hrs
</t>
        </r>
      </text>
    </comment>
    <comment ref="BA62" authorId="0" shapeId="0" xr:uid="{EE4B45C0-7D10-48CA-9B3C-3D25F2E03748}">
      <text>
        <r>
          <rPr>
            <sz val="9"/>
            <color indexed="81"/>
            <rFont val="Tahoma"/>
            <family val="2"/>
          </rPr>
          <t>Modifier le taux</t>
        </r>
      </text>
    </comment>
    <comment ref="AQ63" authorId="0" shapeId="0" xr:uid="{6E62D85D-B654-4249-A17C-1E18E48B09E6}">
      <text>
        <r>
          <rPr>
            <sz val="9"/>
            <color indexed="81"/>
            <rFont val="Tahoma"/>
            <family val="2"/>
          </rPr>
          <t>Permet de modifier le libellé</t>
        </r>
      </text>
    </comment>
    <comment ref="AX63" authorId="0" shapeId="0" xr:uid="{E0769B76-E1B5-49C8-A1F2-D59D4645C91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CB2C812B-6438-4D7A-90E6-1FE1B54F5CE0}">
      <text>
        <r>
          <rPr>
            <sz val="9"/>
            <color indexed="81"/>
            <rFont val="Tahoma"/>
            <family val="2"/>
          </rPr>
          <t xml:space="preserve">Choisir le format du chiffre : 
en heures ou en jours
Exemple : afficher 3 jrs ou 3 hrs
</t>
        </r>
      </text>
    </comment>
    <comment ref="BA63" authorId="0" shapeId="0" xr:uid="{2DFC5004-26B5-4360-8F50-7619B54C0ED2}">
      <text>
        <r>
          <rPr>
            <sz val="9"/>
            <color indexed="81"/>
            <rFont val="Tahoma"/>
            <family val="2"/>
          </rPr>
          <t>Modifier le taux</t>
        </r>
      </text>
    </comment>
    <comment ref="BA65" authorId="0" shapeId="0" xr:uid="{00000000-0006-0000-1800-00001D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800-00001E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800-00001F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800-000020000000}">
      <text>
        <r>
          <rPr>
            <b/>
            <sz val="9"/>
            <color indexed="8"/>
            <rFont val="Tahoma"/>
            <family val="2"/>
            <charset val="1"/>
          </rPr>
          <t xml:space="preserve">Nombre de kilomètres
</t>
        </r>
      </text>
    </comment>
    <comment ref="K69" authorId="2" shapeId="0" xr:uid="{00000000-0006-0000-1800-000021000000}">
      <text>
        <r>
          <rPr>
            <b/>
            <sz val="9"/>
            <color indexed="8"/>
            <rFont val="Tahoma"/>
            <family val="2"/>
            <charset val="1"/>
          </rPr>
          <t>Tarif du Kilomètre négocié avec les parents</t>
        </r>
      </text>
    </comment>
    <comment ref="BA69" authorId="0" shapeId="0" xr:uid="{00000000-0006-0000-1800-000022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800-000023000000}">
      <text>
        <r>
          <rPr>
            <sz val="9"/>
            <color indexed="81"/>
            <rFont val="Tahoma"/>
            <family val="2"/>
          </rPr>
          <t xml:space="preserve">Saisir le nombre avec le signe - devant
</t>
        </r>
      </text>
    </comment>
    <comment ref="AL84" authorId="0" shapeId="0" xr:uid="{78D597B9-A0BF-418D-B705-5CCCA8D16BB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800-000027000000}">
      <text>
        <r>
          <rPr>
            <sz val="9"/>
            <color indexed="81"/>
            <rFont val="Tahoma"/>
            <family val="2"/>
          </rPr>
          <t>Salaire Net - La réduction des cotisations sur les Hrs Supp et les Hrs complémentaires.</t>
        </r>
      </text>
    </comment>
    <comment ref="AR91" authorId="0" shapeId="0" xr:uid="{00000000-0006-0000-1800-000029000000}">
      <text>
        <r>
          <rPr>
            <sz val="9"/>
            <color indexed="81"/>
            <rFont val="Tahoma"/>
            <family val="2"/>
          </rPr>
          <t>Modification manuelle du nombre de jours inclus dans l'ICCP pour l'année précédente</t>
        </r>
      </text>
    </comment>
    <comment ref="AS91" authorId="0" shapeId="0" xr:uid="{00000000-0006-0000-1800-00002A000000}">
      <text>
        <r>
          <rPr>
            <sz val="9"/>
            <color indexed="81"/>
            <rFont val="Tahoma"/>
            <family val="2"/>
          </rPr>
          <t xml:space="preserve">Modification manuelle du nombre de jours inclus dans l'ICCP pour l'année en cours
</t>
        </r>
      </text>
    </comment>
    <comment ref="AR93" authorId="0" shapeId="0" xr:uid="{00000000-0006-0000-1800-00002B000000}">
      <text>
        <r>
          <rPr>
            <sz val="9"/>
            <color indexed="81"/>
            <rFont val="Tahoma"/>
            <family val="2"/>
          </rPr>
          <t>Jours de fractionnement disponible à fin février
Saississez le nombre de jours de qu'il vous reste à prendre à fin février
Ex 1 : Si au 31/01 il vous reste 2 jours de fractionnement à prendre et que vous n'avez pris aucun de ces jours sur février vous saisissez 2 
Ex 2 : Si au 31/01 il vous reste 2 jours de fractionnement à prendre et que vous avez pris 1 jour sur février vous saisissez 1  ou +2-1</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3" authorId="0" shapeId="0" xr:uid="{00000000-0006-0000-0500-000001000000}">
      <text>
        <r>
          <rPr>
            <b/>
            <sz val="9"/>
            <color indexed="81"/>
            <rFont val="Tahoma"/>
            <family val="2"/>
          </rPr>
          <t xml:space="preserve">Mettre oui ou non en minuscule
</t>
        </r>
        <r>
          <rPr>
            <sz val="9"/>
            <color indexed="81"/>
            <rFont val="Tahoma"/>
            <family val="2"/>
          </rPr>
          <t xml:space="preserve">
</t>
        </r>
      </text>
    </comment>
    <comment ref="E23" authorId="0" shapeId="0" xr:uid="{00000000-0006-0000-0500-000002000000}">
      <text>
        <r>
          <rPr>
            <b/>
            <sz val="9"/>
            <color indexed="81"/>
            <rFont val="Tahoma"/>
            <family val="2"/>
          </rPr>
          <t xml:space="preserve">Mettre OUI ou NON en majuscule
</t>
        </r>
      </text>
    </comment>
    <comment ref="G23" authorId="0" shapeId="0" xr:uid="{6557C862-3453-492F-B6A4-E155FF956C02}">
      <text>
        <r>
          <rPr>
            <b/>
            <sz val="9"/>
            <color indexed="81"/>
            <rFont val="Tahoma"/>
            <family val="2"/>
          </rPr>
          <t xml:space="preserve">Mettre OUI ou NON en majuscule
</t>
        </r>
      </text>
    </comment>
    <comment ref="H23" authorId="0" shapeId="0" xr:uid="{2966AECC-7942-49BC-A4A5-50652A0CE0F1}">
      <text>
        <r>
          <rPr>
            <b/>
            <sz val="9"/>
            <color indexed="81"/>
            <rFont val="Tahoma"/>
            <family val="2"/>
          </rPr>
          <t xml:space="preserve">Mettre OUI ou NON en majuscule
</t>
        </r>
      </text>
    </comment>
    <comment ref="D24" authorId="0" shapeId="0" xr:uid="{00000000-0006-0000-0500-000003000000}">
      <text>
        <r>
          <rPr>
            <b/>
            <sz val="9"/>
            <color indexed="81"/>
            <rFont val="Tahoma"/>
            <family val="2"/>
          </rPr>
          <t xml:space="preserve">Mettre oui ou non en minuscule
</t>
        </r>
        <r>
          <rPr>
            <sz val="9"/>
            <color indexed="81"/>
            <rFont val="Tahoma"/>
            <family val="2"/>
          </rPr>
          <t xml:space="preserve">
</t>
        </r>
      </text>
    </comment>
    <comment ref="E24" authorId="0" shapeId="0" xr:uid="{00000000-0006-0000-0500-000004000000}">
      <text>
        <r>
          <rPr>
            <b/>
            <sz val="9"/>
            <color indexed="81"/>
            <rFont val="Tahoma"/>
            <family val="2"/>
          </rPr>
          <t xml:space="preserve">Mettre OUI ou NON en majuscule
</t>
        </r>
      </text>
    </comment>
    <comment ref="G24" authorId="0" shapeId="0" xr:uid="{51C31285-A424-443F-BABD-92B7C0B76DA7}">
      <text>
        <r>
          <rPr>
            <b/>
            <sz val="9"/>
            <color indexed="81"/>
            <rFont val="Tahoma"/>
            <family val="2"/>
          </rPr>
          <t xml:space="preserve">Mettre OUI ou NON en majuscule
</t>
        </r>
      </text>
    </comment>
    <comment ref="H24" authorId="0" shapeId="0" xr:uid="{8D281252-5FF0-4816-9EA8-987A82604443}">
      <text>
        <r>
          <rPr>
            <b/>
            <sz val="9"/>
            <color indexed="81"/>
            <rFont val="Tahoma"/>
            <family val="2"/>
          </rPr>
          <t xml:space="preserve">Mettre OUI ou NON en majuscule
</t>
        </r>
      </text>
    </comment>
    <comment ref="D25" authorId="0" shapeId="0" xr:uid="{00000000-0006-0000-0500-000005000000}">
      <text>
        <r>
          <rPr>
            <b/>
            <sz val="9"/>
            <color indexed="81"/>
            <rFont val="Tahoma"/>
            <family val="2"/>
          </rPr>
          <t xml:space="preserve">Mettre oui ou non en minuscule
</t>
        </r>
        <r>
          <rPr>
            <sz val="9"/>
            <color indexed="81"/>
            <rFont val="Tahoma"/>
            <family val="2"/>
          </rPr>
          <t xml:space="preserve">
</t>
        </r>
      </text>
    </comment>
    <comment ref="E25" authorId="0" shapeId="0" xr:uid="{00000000-0006-0000-0500-000006000000}">
      <text>
        <r>
          <rPr>
            <b/>
            <sz val="9"/>
            <color indexed="81"/>
            <rFont val="Tahoma"/>
            <family val="2"/>
          </rPr>
          <t xml:space="preserve">Mettre OUI ou NON en majuscule
</t>
        </r>
      </text>
    </comment>
    <comment ref="G25" authorId="0" shapeId="0" xr:uid="{328C99DF-60AA-4625-9F50-D4BAD37243BB}">
      <text>
        <r>
          <rPr>
            <b/>
            <sz val="9"/>
            <color indexed="81"/>
            <rFont val="Tahoma"/>
            <family val="2"/>
          </rPr>
          <t xml:space="preserve">Mettre OUI ou NON en majuscule
</t>
        </r>
      </text>
    </comment>
    <comment ref="H25" authorId="0" shapeId="0" xr:uid="{12F58967-12EC-4CDA-B79C-8ECFF5045501}">
      <text>
        <r>
          <rPr>
            <b/>
            <sz val="9"/>
            <color indexed="81"/>
            <rFont val="Tahoma"/>
            <family val="2"/>
          </rPr>
          <t xml:space="preserve">Mettre OUI ou NON en majuscule
</t>
        </r>
      </text>
    </comment>
    <comment ref="D26" authorId="0" shapeId="0" xr:uid="{00000000-0006-0000-0500-000007000000}">
      <text>
        <r>
          <rPr>
            <b/>
            <sz val="9"/>
            <color indexed="81"/>
            <rFont val="Tahoma"/>
            <family val="2"/>
          </rPr>
          <t xml:space="preserve">Mettre oui ou non en minuscule
</t>
        </r>
        <r>
          <rPr>
            <sz val="9"/>
            <color indexed="81"/>
            <rFont val="Tahoma"/>
            <family val="2"/>
          </rPr>
          <t xml:space="preserve">
</t>
        </r>
      </text>
    </comment>
    <comment ref="E26" authorId="0" shapeId="0" xr:uid="{00000000-0006-0000-0500-000008000000}">
      <text>
        <r>
          <rPr>
            <b/>
            <sz val="9"/>
            <color indexed="81"/>
            <rFont val="Tahoma"/>
            <family val="2"/>
          </rPr>
          <t xml:space="preserve">Mettre OUI ou NON en majuscule
</t>
        </r>
      </text>
    </comment>
    <comment ref="G26" authorId="0" shapeId="0" xr:uid="{184A7D70-B13C-43B7-83E0-C62317CACB54}">
      <text>
        <r>
          <rPr>
            <b/>
            <sz val="9"/>
            <color indexed="81"/>
            <rFont val="Tahoma"/>
            <family val="2"/>
          </rPr>
          <t xml:space="preserve">Mettre OUI ou NON en majuscule
</t>
        </r>
      </text>
    </comment>
    <comment ref="H26" authorId="0" shapeId="0" xr:uid="{7447FB95-5027-4B55-B1A1-05F1C0987C36}">
      <text>
        <r>
          <rPr>
            <b/>
            <sz val="9"/>
            <color indexed="81"/>
            <rFont val="Tahoma"/>
            <family val="2"/>
          </rPr>
          <t xml:space="preserve">Mettre OUI ou NON en majuscule
</t>
        </r>
      </text>
    </comment>
    <comment ref="D27" authorId="0" shapeId="0" xr:uid="{00000000-0006-0000-0500-000009000000}">
      <text>
        <r>
          <rPr>
            <b/>
            <sz val="9"/>
            <color indexed="81"/>
            <rFont val="Tahoma"/>
            <family val="2"/>
          </rPr>
          <t xml:space="preserve">Mettre oui ou non en minuscule
</t>
        </r>
        <r>
          <rPr>
            <sz val="9"/>
            <color indexed="81"/>
            <rFont val="Tahoma"/>
            <family val="2"/>
          </rPr>
          <t xml:space="preserve">
</t>
        </r>
      </text>
    </comment>
    <comment ref="E27" authorId="0" shapeId="0" xr:uid="{00000000-0006-0000-0500-00000A000000}">
      <text>
        <r>
          <rPr>
            <b/>
            <sz val="9"/>
            <color indexed="81"/>
            <rFont val="Tahoma"/>
            <family val="2"/>
          </rPr>
          <t xml:space="preserve">Mettre OUI ou NON en majuscule
</t>
        </r>
      </text>
    </comment>
    <comment ref="G27" authorId="0" shapeId="0" xr:uid="{8EC34A1A-683D-4AF3-8D16-F96A31154A58}">
      <text>
        <r>
          <rPr>
            <b/>
            <sz val="9"/>
            <color indexed="81"/>
            <rFont val="Tahoma"/>
            <family val="2"/>
          </rPr>
          <t xml:space="preserve">Mettre OUI ou NON en majuscule
</t>
        </r>
      </text>
    </comment>
    <comment ref="H27" authorId="0" shapeId="0" xr:uid="{FD6FD2CD-B536-4434-B1A7-4165008FF1FD}">
      <text>
        <r>
          <rPr>
            <b/>
            <sz val="9"/>
            <color indexed="81"/>
            <rFont val="Tahoma"/>
            <family val="2"/>
          </rPr>
          <t xml:space="preserve">Mettre OUI ou NON en majuscule
</t>
        </r>
      </text>
    </comment>
    <comment ref="D28" authorId="0" shapeId="0" xr:uid="{00000000-0006-0000-0500-00000B000000}">
      <text>
        <r>
          <rPr>
            <b/>
            <sz val="9"/>
            <color indexed="81"/>
            <rFont val="Tahoma"/>
            <family val="2"/>
          </rPr>
          <t xml:space="preserve">Mettre oui ou non en minuscule
</t>
        </r>
        <r>
          <rPr>
            <sz val="9"/>
            <color indexed="81"/>
            <rFont val="Tahoma"/>
            <family val="2"/>
          </rPr>
          <t xml:space="preserve">
</t>
        </r>
      </text>
    </comment>
    <comment ref="E28" authorId="0" shapeId="0" xr:uid="{00000000-0006-0000-0500-00000C000000}">
      <text>
        <r>
          <rPr>
            <b/>
            <sz val="9"/>
            <color indexed="81"/>
            <rFont val="Tahoma"/>
            <family val="2"/>
          </rPr>
          <t xml:space="preserve">Mettre OUI ou NON en majuscule
</t>
        </r>
      </text>
    </comment>
    <comment ref="G28" authorId="0" shapeId="0" xr:uid="{2608057B-3399-4ABE-88F0-AC464472E786}">
      <text>
        <r>
          <rPr>
            <b/>
            <sz val="9"/>
            <color indexed="81"/>
            <rFont val="Tahoma"/>
            <family val="2"/>
          </rPr>
          <t xml:space="preserve">Mettre OUI ou NON en majuscule
</t>
        </r>
      </text>
    </comment>
    <comment ref="H28" authorId="0" shapeId="0" xr:uid="{1639DC6B-189F-41E5-9408-8D78E376E35D}">
      <text>
        <r>
          <rPr>
            <b/>
            <sz val="9"/>
            <color indexed="81"/>
            <rFont val="Tahoma"/>
            <family val="2"/>
          </rPr>
          <t xml:space="preserve">Mettre OUI ou NON en majuscule
</t>
        </r>
      </text>
    </comment>
    <comment ref="D29" authorId="0" shapeId="0" xr:uid="{00000000-0006-0000-0500-00000D000000}">
      <text>
        <r>
          <rPr>
            <b/>
            <sz val="9"/>
            <color indexed="81"/>
            <rFont val="Tahoma"/>
            <family val="2"/>
          </rPr>
          <t xml:space="preserve">Mettre oui ou non en minuscule
</t>
        </r>
        <r>
          <rPr>
            <sz val="9"/>
            <color indexed="81"/>
            <rFont val="Tahoma"/>
            <family val="2"/>
          </rPr>
          <t xml:space="preserve">
</t>
        </r>
      </text>
    </comment>
    <comment ref="E29" authorId="0" shapeId="0" xr:uid="{00000000-0006-0000-0500-00000E000000}">
      <text>
        <r>
          <rPr>
            <b/>
            <sz val="9"/>
            <color indexed="81"/>
            <rFont val="Tahoma"/>
            <family val="2"/>
          </rPr>
          <t xml:space="preserve">Mettre OUI ou NON en majuscule
</t>
        </r>
      </text>
    </comment>
    <comment ref="G29" authorId="0" shapeId="0" xr:uid="{3186789A-1B44-4324-973C-AE8118E8535C}">
      <text>
        <r>
          <rPr>
            <b/>
            <sz val="9"/>
            <color indexed="81"/>
            <rFont val="Tahoma"/>
            <family val="2"/>
          </rPr>
          <t xml:space="preserve">Mettre OUI ou NON en majuscule
</t>
        </r>
      </text>
    </comment>
    <comment ref="H29" authorId="0" shapeId="0" xr:uid="{690E6D3D-41C0-496F-9F1D-B5DE81D6BE20}">
      <text>
        <r>
          <rPr>
            <b/>
            <sz val="9"/>
            <color indexed="81"/>
            <rFont val="Tahoma"/>
            <family val="2"/>
          </rPr>
          <t xml:space="preserve">Mettre OUI ou NON en majuscule
</t>
        </r>
      </text>
    </comment>
    <comment ref="D30" authorId="0" shapeId="0" xr:uid="{00000000-0006-0000-0500-00000F000000}">
      <text>
        <r>
          <rPr>
            <b/>
            <sz val="9"/>
            <color indexed="81"/>
            <rFont val="Tahoma"/>
            <family val="2"/>
          </rPr>
          <t xml:space="preserve">Mettre oui ou non en minuscule
</t>
        </r>
        <r>
          <rPr>
            <sz val="9"/>
            <color indexed="81"/>
            <rFont val="Tahoma"/>
            <family val="2"/>
          </rPr>
          <t xml:space="preserve">
</t>
        </r>
      </text>
    </comment>
    <comment ref="E30" authorId="0" shapeId="0" xr:uid="{00000000-0006-0000-0500-000010000000}">
      <text>
        <r>
          <rPr>
            <b/>
            <sz val="9"/>
            <color indexed="81"/>
            <rFont val="Tahoma"/>
            <family val="2"/>
          </rPr>
          <t xml:space="preserve">Mettre OUI ou NON en majuscule
</t>
        </r>
      </text>
    </comment>
    <comment ref="G30" authorId="0" shapeId="0" xr:uid="{57236AFA-9A39-4094-9E9F-E419B07AF7A4}">
      <text>
        <r>
          <rPr>
            <b/>
            <sz val="9"/>
            <color indexed="81"/>
            <rFont val="Tahoma"/>
            <family val="2"/>
          </rPr>
          <t xml:space="preserve">Mettre OUI ou NON en majuscule
</t>
        </r>
      </text>
    </comment>
    <comment ref="H30" authorId="0" shapeId="0" xr:uid="{2DCE1C4F-A9E1-47C7-9B23-CAA523B01FBE}">
      <text>
        <r>
          <rPr>
            <b/>
            <sz val="9"/>
            <color indexed="81"/>
            <rFont val="Tahoma"/>
            <family val="2"/>
          </rPr>
          <t xml:space="preserve">Mettre OUI ou NON en majuscule
</t>
        </r>
      </text>
    </comment>
    <comment ref="D31" authorId="0" shapeId="0" xr:uid="{00000000-0006-0000-0500-000011000000}">
      <text>
        <r>
          <rPr>
            <b/>
            <sz val="9"/>
            <color indexed="81"/>
            <rFont val="Tahoma"/>
            <family val="2"/>
          </rPr>
          <t xml:space="preserve">Mettre oui ou non en minuscule
</t>
        </r>
        <r>
          <rPr>
            <sz val="9"/>
            <color indexed="81"/>
            <rFont val="Tahoma"/>
            <family val="2"/>
          </rPr>
          <t xml:space="preserve">
</t>
        </r>
      </text>
    </comment>
    <comment ref="E31" authorId="0" shapeId="0" xr:uid="{00000000-0006-0000-0500-000012000000}">
      <text>
        <r>
          <rPr>
            <b/>
            <sz val="9"/>
            <color indexed="81"/>
            <rFont val="Tahoma"/>
            <family val="2"/>
          </rPr>
          <t xml:space="preserve">Mettre OUI ou NON en majuscule
</t>
        </r>
      </text>
    </comment>
    <comment ref="G31" authorId="0" shapeId="0" xr:uid="{39F0379F-8094-4C88-9E8E-916F6E2004EF}">
      <text>
        <r>
          <rPr>
            <b/>
            <sz val="9"/>
            <color indexed="81"/>
            <rFont val="Tahoma"/>
            <family val="2"/>
          </rPr>
          <t xml:space="preserve">Mettre OUI ou NON en majuscule
</t>
        </r>
      </text>
    </comment>
    <comment ref="H31" authorId="0" shapeId="0" xr:uid="{93CDEAC3-85A5-47E7-9C42-B0B6DFA269FD}">
      <text>
        <r>
          <rPr>
            <b/>
            <sz val="9"/>
            <color indexed="81"/>
            <rFont val="Tahoma"/>
            <family val="2"/>
          </rPr>
          <t xml:space="preserve">Mettre OUI ou NON en majuscule
</t>
        </r>
      </text>
    </comment>
    <comment ref="D32" authorId="0" shapeId="0" xr:uid="{00000000-0006-0000-0500-000013000000}">
      <text>
        <r>
          <rPr>
            <b/>
            <sz val="9"/>
            <color indexed="81"/>
            <rFont val="Tahoma"/>
            <family val="2"/>
          </rPr>
          <t xml:space="preserve">Mettre oui ou non en minuscule
</t>
        </r>
        <r>
          <rPr>
            <sz val="9"/>
            <color indexed="81"/>
            <rFont val="Tahoma"/>
            <family val="2"/>
          </rPr>
          <t xml:space="preserve">
</t>
        </r>
      </text>
    </comment>
    <comment ref="E32" authorId="0" shapeId="0" xr:uid="{00000000-0006-0000-0500-000014000000}">
      <text>
        <r>
          <rPr>
            <b/>
            <sz val="9"/>
            <color indexed="81"/>
            <rFont val="Tahoma"/>
            <family val="2"/>
          </rPr>
          <t xml:space="preserve">Mettre OUI ou NON en majuscule
</t>
        </r>
      </text>
    </comment>
    <comment ref="G32" authorId="0" shapeId="0" xr:uid="{B6E48F0B-51C6-4D2C-AA36-920F251B54FF}">
      <text>
        <r>
          <rPr>
            <b/>
            <sz val="9"/>
            <color indexed="81"/>
            <rFont val="Tahoma"/>
            <family val="2"/>
          </rPr>
          <t xml:space="preserve">Mettre OUI ou NON en majuscule
</t>
        </r>
      </text>
    </comment>
    <comment ref="H32" authorId="0" shapeId="0" xr:uid="{296618B2-BC43-4112-8C38-83F60FAFED13}">
      <text>
        <r>
          <rPr>
            <b/>
            <sz val="9"/>
            <color indexed="81"/>
            <rFont val="Tahoma"/>
            <family val="2"/>
          </rPr>
          <t xml:space="preserve">Mettre OUI ou NON en majuscule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9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900-000002000000}">
      <text>
        <r>
          <rPr>
            <sz val="9"/>
            <color indexed="81"/>
            <rFont val="Tahoma"/>
            <family val="2"/>
          </rPr>
          <t xml:space="preserve">Préciser le motif de la rupture
</t>
        </r>
      </text>
    </comment>
    <comment ref="CE5" authorId="0" shapeId="0" xr:uid="{00000000-0006-0000-19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9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9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9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900-000008000000}">
      <text>
        <r>
          <rPr>
            <b/>
            <sz val="8"/>
            <color indexed="81"/>
            <rFont val="Tahoma"/>
            <family val="2"/>
          </rPr>
          <t>Heures complémentaires non prévues au contrat</t>
        </r>
      </text>
    </comment>
    <comment ref="AU18" authorId="0" shapeId="0" xr:uid="{3130B1C0-50A0-462D-9057-0B7DD23C5B6D}">
      <text>
        <r>
          <rPr>
            <b/>
            <sz val="9"/>
            <color indexed="81"/>
            <rFont val="Tahoma"/>
            <family val="2"/>
          </rPr>
          <t>Heures majorées supplémentaires non prévues au contrat</t>
        </r>
      </text>
    </comment>
    <comment ref="AZ18" authorId="1" shapeId="0" xr:uid="{00000000-0006-0000-19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A72FB88-B650-46BB-A718-371666D30EE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9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900-00000D000000}">
      <text>
        <r>
          <rPr>
            <sz val="9"/>
            <color indexed="81"/>
            <rFont val="Tahoma"/>
            <family val="2"/>
          </rPr>
          <t xml:space="preserve">Nombre d'heures
</t>
        </r>
      </text>
    </comment>
    <comment ref="P23" authorId="0" shapeId="0" xr:uid="{00000000-0006-0000-1900-00000E000000}">
      <text>
        <r>
          <rPr>
            <sz val="9"/>
            <color indexed="81"/>
            <rFont val="Tahoma"/>
            <family val="2"/>
          </rPr>
          <t>Montant de la majoration :
Salaire horaire brut X taux majoration</t>
        </r>
      </text>
    </comment>
    <comment ref="L24" authorId="0" shapeId="0" xr:uid="{00000000-0006-0000-1900-00000F000000}">
      <text>
        <r>
          <rPr>
            <sz val="9"/>
            <color indexed="81"/>
            <rFont val="Tahoma"/>
            <family val="2"/>
          </rPr>
          <t>Nombre d'heures</t>
        </r>
      </text>
    </comment>
    <comment ref="P24" authorId="0" shapeId="0" xr:uid="{00000000-0006-0000-1900-000010000000}">
      <text>
        <r>
          <rPr>
            <sz val="9"/>
            <color indexed="81"/>
            <rFont val="Tahoma"/>
            <family val="2"/>
          </rPr>
          <t>Montant de la majoration :
Salaire horaire brut X taux majoration</t>
        </r>
      </text>
    </comment>
    <comment ref="T25" authorId="0" shapeId="0" xr:uid="{00000000-0006-0000-1900-000011000000}">
      <text>
        <r>
          <rPr>
            <sz val="9"/>
            <color indexed="81"/>
            <rFont val="Tahoma"/>
            <family val="2"/>
          </rPr>
          <t>Vous pouvez retrouver le détail du calcul dans la feuille "Retenue" correspondante à ce mois</t>
        </r>
      </text>
    </comment>
    <comment ref="T26" authorId="0" shapeId="0" xr:uid="{00000000-0006-0000-1900-000012000000}">
      <text>
        <r>
          <rPr>
            <sz val="9"/>
            <color indexed="81"/>
            <rFont val="Tahoma"/>
            <family val="2"/>
          </rPr>
          <t>Vous pouvez retrouver le détail du calcul dans la feuille "Retenue" correspondante à ce mois</t>
        </r>
      </text>
    </comment>
    <comment ref="T27" authorId="0" shapeId="0" xr:uid="{00000000-0006-0000-19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9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9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444F7E3-A3CD-49F3-86D8-08C3128079EA}">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900-000017000000}">
      <text>
        <r>
          <rPr>
            <b/>
            <sz val="9"/>
            <color indexed="81"/>
            <rFont val="Tahoma"/>
            <family val="2"/>
          </rPr>
          <t>On inclut pour son calcul la prime de précarité</t>
        </r>
      </text>
    </comment>
    <comment ref="BZ44" authorId="2" shapeId="0" xr:uid="{00000000-0006-0000-19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DE9BB91-7B59-4395-9223-F197C0DCB038}">
      <text>
        <r>
          <rPr>
            <sz val="9"/>
            <color indexed="81"/>
            <rFont val="Tahoma"/>
            <family val="2"/>
          </rPr>
          <t xml:space="preserve">Choisir un montant minimum. 
Attention :
Dois respecter le minimum conventionnel et le minimum légal pour 9h
</t>
        </r>
      </text>
    </comment>
    <comment ref="CE54" authorId="0" shapeId="0" xr:uid="{7B69489C-E60B-4AE2-9A30-BF94C76B2C1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B643AF2E-FC59-444A-A4A7-1AAD51D63B52}">
      <text>
        <r>
          <rPr>
            <sz val="9"/>
            <color indexed="81"/>
            <rFont val="Tahoma"/>
            <family val="2"/>
          </rPr>
          <t xml:space="preserve">Modifier le montant de l'heure
</t>
        </r>
      </text>
    </comment>
    <comment ref="CE57" authorId="0" shapeId="0" xr:uid="{1261709D-CAF4-4101-AF14-24BBF0880FAB}">
      <text>
        <r>
          <rPr>
            <sz val="9"/>
            <color indexed="81"/>
            <rFont val="Tahoma"/>
            <family val="2"/>
          </rPr>
          <t xml:space="preserve">Choisir un montant minimum. 
Attention :
Dois respecter le minimum conventionnel et le minimum légal pour 9h
</t>
        </r>
      </text>
    </comment>
    <comment ref="CE58" authorId="0" shapeId="0" xr:uid="{86457CD9-6E8D-4C00-B851-AA32BB570CA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0B09B09B-357B-4481-808A-B0F44E0AAA12}">
      <text>
        <r>
          <rPr>
            <sz val="9"/>
            <color indexed="81"/>
            <rFont val="Tahoma"/>
            <family val="2"/>
          </rPr>
          <t xml:space="preserve">Permet de modifier le libellé
</t>
        </r>
      </text>
    </comment>
    <comment ref="AX62" authorId="0" shapeId="0" xr:uid="{293F418E-D3D2-4474-9CB9-21DE73CCF5C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3ABB0B8-5929-49F0-95CC-579B98E3D8FA}">
      <text>
        <r>
          <rPr>
            <sz val="9"/>
            <color indexed="81"/>
            <rFont val="Tahoma"/>
            <family val="2"/>
          </rPr>
          <t xml:space="preserve">Choisir le format du chiffre : 
en heures ou en jours
Exemple : afficher 3 jrs ou 3 hrs
</t>
        </r>
      </text>
    </comment>
    <comment ref="BA62" authorId="0" shapeId="0" xr:uid="{CB2F743A-1CF5-44C2-8EF2-19AF83549073}">
      <text>
        <r>
          <rPr>
            <sz val="9"/>
            <color indexed="81"/>
            <rFont val="Tahoma"/>
            <family val="2"/>
          </rPr>
          <t>Modifier le taux</t>
        </r>
      </text>
    </comment>
    <comment ref="AQ63" authorId="0" shapeId="0" xr:uid="{607CB287-ADBA-45D2-A550-23A166A9FCBD}">
      <text>
        <r>
          <rPr>
            <sz val="9"/>
            <color indexed="81"/>
            <rFont val="Tahoma"/>
            <family val="2"/>
          </rPr>
          <t>Permet de modifier le libellé</t>
        </r>
      </text>
    </comment>
    <comment ref="AX63" authorId="0" shapeId="0" xr:uid="{DD6C5608-D853-4711-9604-AE8145627B46}">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9E68789F-2403-4F21-A708-C7A9E65640AA}">
      <text>
        <r>
          <rPr>
            <sz val="9"/>
            <color indexed="81"/>
            <rFont val="Tahoma"/>
            <family val="2"/>
          </rPr>
          <t xml:space="preserve">Choisir le format du chiffre : 
en heures ou en jours
Exemple : afficher 3 jrs ou 3 hrs
</t>
        </r>
      </text>
    </comment>
    <comment ref="BA63" authorId="0" shapeId="0" xr:uid="{6219DEE9-8F8B-40D8-84B5-4E37CF13C218}">
      <text>
        <r>
          <rPr>
            <sz val="9"/>
            <color indexed="81"/>
            <rFont val="Tahoma"/>
            <family val="2"/>
          </rPr>
          <t>Modifier le taux</t>
        </r>
      </text>
    </comment>
    <comment ref="BA65" authorId="0" shapeId="0" xr:uid="{00000000-0006-0000-19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9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9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900-00001F000000}">
      <text>
        <r>
          <rPr>
            <b/>
            <sz val="9"/>
            <color indexed="8"/>
            <rFont val="Tahoma"/>
            <family val="2"/>
            <charset val="1"/>
          </rPr>
          <t xml:space="preserve">Nombre de kilomètres
</t>
        </r>
      </text>
    </comment>
    <comment ref="K69" authorId="2" shapeId="0" xr:uid="{00000000-0006-0000-1900-000020000000}">
      <text>
        <r>
          <rPr>
            <b/>
            <sz val="9"/>
            <color indexed="8"/>
            <rFont val="Tahoma"/>
            <family val="2"/>
            <charset val="1"/>
          </rPr>
          <t>Tarif du Kilomètre négocié avec les parents</t>
        </r>
      </text>
    </comment>
    <comment ref="BA69" authorId="0" shapeId="0" xr:uid="{00000000-0006-0000-19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900-000022000000}">
      <text>
        <r>
          <rPr>
            <sz val="9"/>
            <color indexed="81"/>
            <rFont val="Tahoma"/>
            <family val="2"/>
          </rPr>
          <t xml:space="preserve">Saisir le nombre avec le signe - devant
</t>
        </r>
      </text>
    </comment>
    <comment ref="AL84" authorId="0" shapeId="0" xr:uid="{E71A793D-91AF-4FA7-95C4-95FC987E30F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900-000026000000}">
      <text>
        <r>
          <rPr>
            <sz val="9"/>
            <color indexed="81"/>
            <rFont val="Tahoma"/>
            <family val="2"/>
          </rPr>
          <t>Salaire Net - La réduction des cotisations sur les Hrs Supp et les Hrs complémentaires.</t>
        </r>
      </text>
    </comment>
    <comment ref="AR91" authorId="0" shapeId="0" xr:uid="{00000000-0006-0000-1900-000028000000}">
      <text>
        <r>
          <rPr>
            <sz val="9"/>
            <color indexed="81"/>
            <rFont val="Tahoma"/>
            <family val="2"/>
          </rPr>
          <t>Modification manuelle du nombre de jours inclus dans l'ICCP pour l'année précédente</t>
        </r>
      </text>
    </comment>
    <comment ref="AS91" authorId="0" shapeId="0" xr:uid="{00000000-0006-0000-1900-000029000000}">
      <text>
        <r>
          <rPr>
            <sz val="9"/>
            <color indexed="81"/>
            <rFont val="Tahoma"/>
            <family val="2"/>
          </rPr>
          <t xml:space="preserve">Modification manuelle du nombre de jours inclus dans l'ICCP pour l'année en cours
</t>
        </r>
      </text>
    </comment>
    <comment ref="AR93" authorId="0" shapeId="0" xr:uid="{00000000-0006-0000-1900-00002A000000}">
      <text>
        <r>
          <rPr>
            <sz val="9"/>
            <color indexed="81"/>
            <rFont val="Tahoma"/>
            <family val="2"/>
          </rPr>
          <t xml:space="preserve">Jours de fractionnement disponible à fin mars
Saississez le nombre de jours de qu'il vous reste à prendre à fin mars
Ex 1 : Si à fin février, il vous reste 2 jours de fractionnement à prendre et que vous n'avez pris aucun de ces jours sur mars vous saisissez 2 
Ex 2 : Si à fin février, il vous reste 2 jours de fractionnement à prendre et que vous avez pris 1 jour sur mars vous saisissez 1  ou +2-1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A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A00-000002000000}">
      <text>
        <r>
          <rPr>
            <sz val="9"/>
            <color indexed="81"/>
            <rFont val="Tahoma"/>
            <family val="2"/>
          </rPr>
          <t xml:space="preserve">Préciser le motif de la rupture
</t>
        </r>
      </text>
    </comment>
    <comment ref="CE5" authorId="0" shapeId="0" xr:uid="{00000000-0006-0000-1A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A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A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A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A00-000008000000}">
      <text>
        <r>
          <rPr>
            <b/>
            <sz val="8"/>
            <color indexed="81"/>
            <rFont val="Tahoma"/>
            <family val="2"/>
          </rPr>
          <t>Heures complémentaires non prévues au contrat</t>
        </r>
      </text>
    </comment>
    <comment ref="AU18" authorId="0" shapeId="0" xr:uid="{B0C4B160-8494-453F-9957-DBAEAF4781CB}">
      <text>
        <r>
          <rPr>
            <b/>
            <sz val="9"/>
            <color indexed="81"/>
            <rFont val="Tahoma"/>
            <family val="2"/>
          </rPr>
          <t>Heures majorées supplémentaires non prévues au contrat</t>
        </r>
      </text>
    </comment>
    <comment ref="AZ18" authorId="1" shapeId="0" xr:uid="{00000000-0006-0000-1A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4D1D45E-BBF4-414A-AB1D-7C08BDFDA641}">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A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A00-00000D000000}">
      <text>
        <r>
          <rPr>
            <sz val="9"/>
            <color indexed="81"/>
            <rFont val="Tahoma"/>
            <family val="2"/>
          </rPr>
          <t xml:space="preserve">Nombre d'heures
</t>
        </r>
      </text>
    </comment>
    <comment ref="P23" authorId="0" shapeId="0" xr:uid="{00000000-0006-0000-1A00-00000E000000}">
      <text>
        <r>
          <rPr>
            <sz val="9"/>
            <color indexed="81"/>
            <rFont val="Tahoma"/>
            <family val="2"/>
          </rPr>
          <t>Montant de la majoration :
Salaire horaire brut X taux majoration</t>
        </r>
      </text>
    </comment>
    <comment ref="L24" authorId="0" shapeId="0" xr:uid="{00000000-0006-0000-1A00-00000F000000}">
      <text>
        <r>
          <rPr>
            <sz val="9"/>
            <color indexed="81"/>
            <rFont val="Tahoma"/>
            <family val="2"/>
          </rPr>
          <t>Nombre d'heures</t>
        </r>
      </text>
    </comment>
    <comment ref="P24" authorId="0" shapeId="0" xr:uid="{00000000-0006-0000-1A00-000010000000}">
      <text>
        <r>
          <rPr>
            <sz val="9"/>
            <color indexed="81"/>
            <rFont val="Tahoma"/>
            <family val="2"/>
          </rPr>
          <t>Montant de la majoration :
Salaire horaire brut X taux majoration</t>
        </r>
      </text>
    </comment>
    <comment ref="T25" authorId="0" shapeId="0" xr:uid="{00000000-0006-0000-1A00-000011000000}">
      <text>
        <r>
          <rPr>
            <sz val="9"/>
            <color indexed="81"/>
            <rFont val="Tahoma"/>
            <family val="2"/>
          </rPr>
          <t>Vous pouvez retrouver le détail du calcul dans la feuille "Retenue" correspondante à ce mois</t>
        </r>
      </text>
    </comment>
    <comment ref="T26" authorId="0" shapeId="0" xr:uid="{00000000-0006-0000-1A00-000012000000}">
      <text>
        <r>
          <rPr>
            <sz val="9"/>
            <color indexed="81"/>
            <rFont val="Tahoma"/>
            <family val="2"/>
          </rPr>
          <t>Vous pouvez retrouver le détail du calcul dans la feuille "Retenue" correspondante à ce mois</t>
        </r>
      </text>
    </comment>
    <comment ref="T27" authorId="0" shapeId="0" xr:uid="{00000000-0006-0000-1A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A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A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90752BF-F6EB-4D10-995F-FEA4ABCA23C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A00-000017000000}">
      <text>
        <r>
          <rPr>
            <b/>
            <sz val="9"/>
            <color indexed="81"/>
            <rFont val="Tahoma"/>
            <family val="2"/>
          </rPr>
          <t>On inclut pour son calcul la prime de précarité</t>
        </r>
      </text>
    </comment>
    <comment ref="BZ44" authorId="2" shapeId="0" xr:uid="{00000000-0006-0000-1A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E3AD75FD-371B-4869-B92D-DD9CE982EC52}">
      <text>
        <r>
          <rPr>
            <sz val="9"/>
            <color indexed="81"/>
            <rFont val="Tahoma"/>
            <family val="2"/>
          </rPr>
          <t xml:space="preserve">Choisir un montant minimum. 
Attention :
Dois respecter le minimum conventionnel et le minimum légal pour 9h
</t>
        </r>
      </text>
    </comment>
    <comment ref="CE54" authorId="0" shapeId="0" xr:uid="{C458B3E4-BC2A-4933-B5B6-A9ED2A135C9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08A86078-C052-4A6F-A7A5-CE0692FD17BE}">
      <text>
        <r>
          <rPr>
            <sz val="9"/>
            <color indexed="81"/>
            <rFont val="Tahoma"/>
            <family val="2"/>
          </rPr>
          <t xml:space="preserve">Modifier le montant de l'heure
</t>
        </r>
      </text>
    </comment>
    <comment ref="CE57" authorId="0" shapeId="0" xr:uid="{885476C3-6F37-433C-869E-CC65B0EEC28D}">
      <text>
        <r>
          <rPr>
            <sz val="9"/>
            <color indexed="81"/>
            <rFont val="Tahoma"/>
            <family val="2"/>
          </rPr>
          <t xml:space="preserve">Choisir un montant minimum. 
Attention :
Dois respecter le minimum conventionnel et le minimum légal pour 9h
</t>
        </r>
      </text>
    </comment>
    <comment ref="CE58" authorId="0" shapeId="0" xr:uid="{4AACFFFD-4F11-4825-B4E0-394602403A85}">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B0FE9CD1-DAFE-4051-ACA3-37CD501B889E}">
      <text>
        <r>
          <rPr>
            <sz val="9"/>
            <color indexed="81"/>
            <rFont val="Tahoma"/>
            <family val="2"/>
          </rPr>
          <t xml:space="preserve">Permet de modifier le libellé
</t>
        </r>
      </text>
    </comment>
    <comment ref="AX62" authorId="0" shapeId="0" xr:uid="{4B81F851-78AD-481D-9455-2665175A8C2C}">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460A792D-F758-42FC-9469-538ECE056243}">
      <text>
        <r>
          <rPr>
            <sz val="9"/>
            <color indexed="81"/>
            <rFont val="Tahoma"/>
            <family val="2"/>
          </rPr>
          <t xml:space="preserve">Choisir le format du chiffre : 
en heures ou en jours
Exemple : afficher 3 jrs ou 3 hrs
</t>
        </r>
      </text>
    </comment>
    <comment ref="BA62" authorId="0" shapeId="0" xr:uid="{194F47F8-9AE2-4783-AAEF-3AA992395A60}">
      <text>
        <r>
          <rPr>
            <sz val="9"/>
            <color indexed="81"/>
            <rFont val="Tahoma"/>
            <family val="2"/>
          </rPr>
          <t>Modifier le taux</t>
        </r>
      </text>
    </comment>
    <comment ref="AQ63" authorId="0" shapeId="0" xr:uid="{4896A081-01D6-46D4-B412-3C23AF6B974B}">
      <text>
        <r>
          <rPr>
            <sz val="9"/>
            <color indexed="81"/>
            <rFont val="Tahoma"/>
            <family val="2"/>
          </rPr>
          <t>Permet de modifier le libellé</t>
        </r>
      </text>
    </comment>
    <comment ref="AX63" authorId="0" shapeId="0" xr:uid="{454C0EDB-BF53-4724-8303-8079305709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FD5FC561-E894-4BF3-A37F-B1545288C920}">
      <text>
        <r>
          <rPr>
            <sz val="9"/>
            <color indexed="81"/>
            <rFont val="Tahoma"/>
            <family val="2"/>
          </rPr>
          <t xml:space="preserve">Choisir le format du chiffre : 
en heures ou en jours
Exemple : afficher 3 jrs ou 3 hrs
</t>
        </r>
      </text>
    </comment>
    <comment ref="BA63" authorId="0" shapeId="0" xr:uid="{F3D0B6E7-42F0-4300-A009-95938C097E47}">
      <text>
        <r>
          <rPr>
            <sz val="9"/>
            <color indexed="81"/>
            <rFont val="Tahoma"/>
            <family val="2"/>
          </rPr>
          <t>Modifier le taux</t>
        </r>
      </text>
    </comment>
    <comment ref="BA65" authorId="0" shapeId="0" xr:uid="{00000000-0006-0000-1A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A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A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A00-00001F000000}">
      <text>
        <r>
          <rPr>
            <b/>
            <sz val="9"/>
            <color indexed="8"/>
            <rFont val="Tahoma"/>
            <family val="2"/>
            <charset val="1"/>
          </rPr>
          <t xml:space="preserve">Nombre de kilomètres
</t>
        </r>
      </text>
    </comment>
    <comment ref="K69" authorId="2" shapeId="0" xr:uid="{00000000-0006-0000-1A00-000020000000}">
      <text>
        <r>
          <rPr>
            <b/>
            <sz val="9"/>
            <color indexed="8"/>
            <rFont val="Tahoma"/>
            <family val="2"/>
            <charset val="1"/>
          </rPr>
          <t>Tarif du Kilomètre négocié avec les parents</t>
        </r>
      </text>
    </comment>
    <comment ref="BA69" authorId="0" shapeId="0" xr:uid="{00000000-0006-0000-1A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A00-000022000000}">
      <text>
        <r>
          <rPr>
            <sz val="9"/>
            <color indexed="81"/>
            <rFont val="Tahoma"/>
            <family val="2"/>
          </rPr>
          <t xml:space="preserve">Saisir le nombre avec le signe - devant
</t>
        </r>
      </text>
    </comment>
    <comment ref="AL84" authorId="0" shapeId="0" xr:uid="{EE48FB7C-2B41-4BE5-A498-A59EB5C4F5E7}">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A00-000026000000}">
      <text>
        <r>
          <rPr>
            <sz val="9"/>
            <color indexed="81"/>
            <rFont val="Tahoma"/>
            <family val="2"/>
          </rPr>
          <t>Salaire Net - La réduction des cotisations sur les Hrs Supp et les Hrs complémentaires.</t>
        </r>
      </text>
    </comment>
    <comment ref="AR91" authorId="0" shapeId="0" xr:uid="{00000000-0006-0000-1A00-000028000000}">
      <text>
        <r>
          <rPr>
            <sz val="9"/>
            <color indexed="81"/>
            <rFont val="Tahoma"/>
            <family val="2"/>
          </rPr>
          <t>Modification manuelle du nombre de jours inclus dans l'ICCP pour l'année précédente</t>
        </r>
      </text>
    </comment>
    <comment ref="AS91" authorId="0" shapeId="0" xr:uid="{00000000-0006-0000-1A00-000029000000}">
      <text>
        <r>
          <rPr>
            <sz val="9"/>
            <color indexed="81"/>
            <rFont val="Tahoma"/>
            <family val="2"/>
          </rPr>
          <t xml:space="preserve">Modification manuelle du nombre de jours inclus dans l'ICCP pour l'année en cours
</t>
        </r>
      </text>
    </comment>
    <comment ref="AR93" authorId="0" shapeId="0" xr:uid="{00000000-0006-0000-1A00-00002A000000}">
      <text>
        <r>
          <rPr>
            <sz val="9"/>
            <color indexed="81"/>
            <rFont val="Tahoma"/>
            <family val="2"/>
          </rPr>
          <t xml:space="preserve">Les jours de fractionnement sont perdus si à fin avril vous ne les avaient pas pris.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B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B00-000002000000}">
      <text>
        <r>
          <rPr>
            <sz val="9"/>
            <color indexed="81"/>
            <rFont val="Tahoma"/>
            <family val="2"/>
          </rPr>
          <t xml:space="preserve">Préciser le motif de la rupture
</t>
        </r>
      </text>
    </comment>
    <comment ref="CE5" authorId="0" shapeId="0" xr:uid="{00000000-0006-0000-1B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B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B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B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B00-000008000000}">
      <text>
        <r>
          <rPr>
            <b/>
            <sz val="8"/>
            <color indexed="81"/>
            <rFont val="Tahoma"/>
            <family val="2"/>
          </rPr>
          <t>Heures complémentaires non prévues au contrat</t>
        </r>
      </text>
    </comment>
    <comment ref="AU18" authorId="0" shapeId="0" xr:uid="{8388E1A2-ACEB-4792-AEA8-FE426A6A6295}">
      <text>
        <r>
          <rPr>
            <b/>
            <sz val="9"/>
            <color indexed="81"/>
            <rFont val="Tahoma"/>
            <family val="2"/>
          </rPr>
          <t>Heures majorées supplémentaires non prévues au contrat</t>
        </r>
      </text>
    </comment>
    <comment ref="AZ18" authorId="1" shapeId="0" xr:uid="{00000000-0006-0000-1B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2317A9E2-5832-4D73-B791-B637A78A0137}">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B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B00-00000D000000}">
      <text>
        <r>
          <rPr>
            <sz val="9"/>
            <color indexed="81"/>
            <rFont val="Tahoma"/>
            <family val="2"/>
          </rPr>
          <t xml:space="preserve">Nombre d'heures
</t>
        </r>
      </text>
    </comment>
    <comment ref="P23" authorId="0" shapeId="0" xr:uid="{00000000-0006-0000-1B00-00000E000000}">
      <text>
        <r>
          <rPr>
            <sz val="9"/>
            <color indexed="81"/>
            <rFont val="Tahoma"/>
            <family val="2"/>
          </rPr>
          <t>Montant de la majoration :
Salaire horaire brut X taux majoration</t>
        </r>
      </text>
    </comment>
    <comment ref="L24" authorId="0" shapeId="0" xr:uid="{00000000-0006-0000-1B00-00000F000000}">
      <text>
        <r>
          <rPr>
            <sz val="9"/>
            <color indexed="81"/>
            <rFont val="Tahoma"/>
            <family val="2"/>
          </rPr>
          <t>Nombre d'heures</t>
        </r>
      </text>
    </comment>
    <comment ref="P24" authorId="0" shapeId="0" xr:uid="{00000000-0006-0000-1B00-000010000000}">
      <text>
        <r>
          <rPr>
            <sz val="9"/>
            <color indexed="81"/>
            <rFont val="Tahoma"/>
            <family val="2"/>
          </rPr>
          <t>Montant de la majoration :
Salaire horaire brut X taux majoration</t>
        </r>
      </text>
    </comment>
    <comment ref="T25" authorId="0" shapeId="0" xr:uid="{00000000-0006-0000-1B00-000011000000}">
      <text>
        <r>
          <rPr>
            <sz val="9"/>
            <color indexed="81"/>
            <rFont val="Tahoma"/>
            <family val="2"/>
          </rPr>
          <t>Vous pouvez retrouver le détail du calcul dans la feuille "Retenue" correspondante à ce mois</t>
        </r>
      </text>
    </comment>
    <comment ref="T26" authorId="0" shapeId="0" xr:uid="{00000000-0006-0000-1B00-000012000000}">
      <text>
        <r>
          <rPr>
            <sz val="9"/>
            <color indexed="81"/>
            <rFont val="Tahoma"/>
            <family val="2"/>
          </rPr>
          <t>Vous pouvez retrouver le détail du calcul dans la feuille "Retenue" correspondante à ce mois</t>
        </r>
      </text>
    </comment>
    <comment ref="T27" authorId="0" shapeId="0" xr:uid="{00000000-0006-0000-1B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B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B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317FC0E3-F5D2-4131-91CB-01E84DDADE7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B00-000017000000}">
      <text>
        <r>
          <rPr>
            <b/>
            <sz val="9"/>
            <color indexed="81"/>
            <rFont val="Tahoma"/>
            <family val="2"/>
          </rPr>
          <t>On inclut pour son calcul la prime de précarité</t>
        </r>
      </text>
    </comment>
    <comment ref="BZ44" authorId="2" shapeId="0" xr:uid="{00000000-0006-0000-1B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2D0BEFF2-FD68-413D-8B47-B9FD8356D627}">
      <text>
        <r>
          <rPr>
            <sz val="9"/>
            <color indexed="81"/>
            <rFont val="Tahoma"/>
            <family val="2"/>
          </rPr>
          <t xml:space="preserve">Choisir un montant minimum. 
Attention :
Dois respecter le minimum conventionnel et le minimum légal pour 9h
</t>
        </r>
      </text>
    </comment>
    <comment ref="CE54" authorId="0" shapeId="0" xr:uid="{60689E1F-D606-4004-B6B0-E847FD151AF8}">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4E3C1625-4052-4703-B453-625AEC1CC90F}">
      <text>
        <r>
          <rPr>
            <sz val="9"/>
            <color indexed="81"/>
            <rFont val="Tahoma"/>
            <family val="2"/>
          </rPr>
          <t xml:space="preserve">Modifier le montant de l'heure
</t>
        </r>
      </text>
    </comment>
    <comment ref="CE57" authorId="0" shapeId="0" xr:uid="{4512F06B-49BE-4A06-8F92-A28DD61E5211}">
      <text>
        <r>
          <rPr>
            <sz val="9"/>
            <color indexed="81"/>
            <rFont val="Tahoma"/>
            <family val="2"/>
          </rPr>
          <t xml:space="preserve">Choisir un montant minimum. 
Attention :
Dois respecter le minimum conventionnel et le minimum légal pour 9h
</t>
        </r>
      </text>
    </comment>
    <comment ref="CE58" authorId="0" shapeId="0" xr:uid="{C76B30BF-79AD-4F1B-AC37-D52F5557960D}">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8D4EA865-17A3-48EC-ACC6-A5870550773D}">
      <text>
        <r>
          <rPr>
            <sz val="9"/>
            <color indexed="81"/>
            <rFont val="Tahoma"/>
            <family val="2"/>
          </rPr>
          <t xml:space="preserve">Permet de modifier le libellé
</t>
        </r>
      </text>
    </comment>
    <comment ref="AX62" authorId="0" shapeId="0" xr:uid="{C8448761-04D8-447B-931D-BF2C9A2F92DE}">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86A77B5-86B8-4BFA-9668-54BA302644F6}">
      <text>
        <r>
          <rPr>
            <sz val="9"/>
            <color indexed="81"/>
            <rFont val="Tahoma"/>
            <family val="2"/>
          </rPr>
          <t xml:space="preserve">Choisir le format du chiffre : 
en heures ou en jours
Exemple : afficher 3 jrs ou 3 hrs
</t>
        </r>
      </text>
    </comment>
    <comment ref="BA62" authorId="0" shapeId="0" xr:uid="{B570A678-B744-4B62-8A03-ABE38526554F}">
      <text>
        <r>
          <rPr>
            <sz val="9"/>
            <color indexed="81"/>
            <rFont val="Tahoma"/>
            <family val="2"/>
          </rPr>
          <t>Modifier le taux</t>
        </r>
      </text>
    </comment>
    <comment ref="AQ63" authorId="0" shapeId="0" xr:uid="{BD024C0F-8352-4A29-B93B-18E3AA35D13F}">
      <text>
        <r>
          <rPr>
            <sz val="9"/>
            <color indexed="81"/>
            <rFont val="Tahoma"/>
            <family val="2"/>
          </rPr>
          <t>Permet de modifier le libellé</t>
        </r>
      </text>
    </comment>
    <comment ref="AX63" authorId="0" shapeId="0" xr:uid="{DE763991-75FB-4F90-AC90-6FBBEE036718}">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BB87A37-FACE-47D1-B000-4B3E350124A8}">
      <text>
        <r>
          <rPr>
            <sz val="9"/>
            <color indexed="81"/>
            <rFont val="Tahoma"/>
            <family val="2"/>
          </rPr>
          <t xml:space="preserve">Choisir le format du chiffre : 
en heures ou en jours
Exemple : afficher 3 jrs ou 3 hrs
</t>
        </r>
      </text>
    </comment>
    <comment ref="BA63" authorId="0" shapeId="0" xr:uid="{D6ABD4DA-EFBE-4C1C-B671-490B0E812F4F}">
      <text>
        <r>
          <rPr>
            <sz val="9"/>
            <color indexed="81"/>
            <rFont val="Tahoma"/>
            <family val="2"/>
          </rPr>
          <t>Modifier le taux</t>
        </r>
      </text>
    </comment>
    <comment ref="BA65" authorId="0" shapeId="0" xr:uid="{00000000-0006-0000-1B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B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B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B00-00001F000000}">
      <text>
        <r>
          <rPr>
            <b/>
            <sz val="9"/>
            <color indexed="8"/>
            <rFont val="Tahoma"/>
            <family val="2"/>
            <charset val="1"/>
          </rPr>
          <t xml:space="preserve">Nombre de kilomètres
</t>
        </r>
      </text>
    </comment>
    <comment ref="K69" authorId="2" shapeId="0" xr:uid="{00000000-0006-0000-1B00-000020000000}">
      <text>
        <r>
          <rPr>
            <b/>
            <sz val="9"/>
            <color indexed="8"/>
            <rFont val="Tahoma"/>
            <family val="2"/>
            <charset val="1"/>
          </rPr>
          <t>Tarif du Kilomètre négocié avec les parents</t>
        </r>
      </text>
    </comment>
    <comment ref="BA69" authorId="0" shapeId="0" xr:uid="{00000000-0006-0000-1B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B00-000022000000}">
      <text>
        <r>
          <rPr>
            <sz val="9"/>
            <color indexed="81"/>
            <rFont val="Tahoma"/>
            <family val="2"/>
          </rPr>
          <t xml:space="preserve">Saisir le nombre avec le signe - devant
</t>
        </r>
      </text>
    </comment>
    <comment ref="AL84" authorId="0" shapeId="0" xr:uid="{A807A807-2AA9-42AE-85AF-912E525D7919}">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B00-000026000000}">
      <text>
        <r>
          <rPr>
            <sz val="9"/>
            <color indexed="81"/>
            <rFont val="Tahoma"/>
            <family val="2"/>
          </rPr>
          <t>Salaire Net - La réduction des cotisations sur les Hrs Supp et les Hrs complémentaires.</t>
        </r>
      </text>
    </comment>
    <comment ref="AR91" authorId="0" shapeId="0" xr:uid="{00000000-0006-0000-1B00-000028000000}">
      <text>
        <r>
          <rPr>
            <sz val="9"/>
            <color indexed="81"/>
            <rFont val="Tahoma"/>
            <family val="2"/>
          </rPr>
          <t>Modification manuelle du nombre de jours inclus dans l'ICCP pour l'année précédente</t>
        </r>
      </text>
    </comment>
    <comment ref="AS91" authorId="0" shapeId="0" xr:uid="{00000000-0006-0000-1B00-000029000000}">
      <text>
        <r>
          <rPr>
            <sz val="9"/>
            <color indexed="81"/>
            <rFont val="Tahoma"/>
            <family val="2"/>
          </rPr>
          <t xml:space="preserve">Modification manuelle du nombre de jours inclus dans l'ICCP pour l'année en cours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1C00-000001000000}">
      <text>
        <r>
          <rPr>
            <b/>
            <sz val="9"/>
            <color indexed="81"/>
            <rFont val="Tahoma"/>
            <family val="2"/>
          </rPr>
          <t>Salaire mensualisé x 12 mois / Nbre de semaines programmées</t>
        </r>
        <r>
          <rPr>
            <sz val="9"/>
            <color indexed="81"/>
            <rFont val="Tahoma"/>
            <family val="2"/>
          </rPr>
          <t xml:space="preserve">
</t>
        </r>
      </text>
    </comment>
    <comment ref="D31" authorId="0" shapeId="0" xr:uid="{00000000-0006-0000-1C00-000002000000}">
      <text>
        <r>
          <rPr>
            <b/>
            <sz val="9"/>
            <color indexed="81"/>
            <rFont val="Tahoma"/>
            <family val="2"/>
          </rPr>
          <t>Si vous avez des enfants de moins de 15 ans ou ayant un handicap il faut le noter sur la feuille "Identification"</t>
        </r>
      </text>
    </comment>
    <comment ref="F40" authorId="0" shapeId="0" xr:uid="{00000000-0006-0000-1C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7" authorId="0" shapeId="0" xr:uid="{00000000-0006-0000-1C00-000004000000}">
      <text>
        <r>
          <rPr>
            <sz val="9"/>
            <color indexed="81"/>
            <rFont val="Tahoma"/>
            <family val="2"/>
          </rPr>
          <t>Sans les indemnités de congés payés
Ce montant comprends les réintégrations de salaire lors d'arrêt de maladie, d'accident du travail...</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28" authorId="0" shapeId="0" xr:uid="{00000000-0006-0000-1D00-000002000000}">
      <text>
        <r>
          <rPr>
            <b/>
            <sz val="9"/>
            <color indexed="81"/>
            <rFont val="Tahoma"/>
            <family val="2"/>
          </rPr>
          <t xml:space="preserve">Si vous avez des enfants de moins de 15 ans ou ayant un handicap il faut le noter sur la feuille "Identification"
</t>
        </r>
      </text>
    </comment>
    <comment ref="F33" authorId="0" shapeId="0" xr:uid="{00000000-0006-0000-1D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39" authorId="0" shapeId="0" xr:uid="{AEB2F49E-5907-4A64-8531-122F3BA219CF}">
      <text>
        <r>
          <rPr>
            <sz val="9"/>
            <color indexed="81"/>
            <rFont val="Tahoma"/>
            <family val="2"/>
          </rPr>
          <t xml:space="preserve">Ce montant inclus les réintégrations de salaire lors d'arrêt de maladie, d'accident de travail...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E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E00-000002000000}">
      <text>
        <r>
          <rPr>
            <sz val="9"/>
            <color indexed="81"/>
            <rFont val="Tahoma"/>
            <family val="2"/>
          </rPr>
          <t xml:space="preserve">Préciser le motif de la rupture
</t>
        </r>
      </text>
    </comment>
    <comment ref="CE5" authorId="0" shapeId="0" xr:uid="{00000000-0006-0000-1E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E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E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E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E00-000008000000}">
      <text>
        <r>
          <rPr>
            <b/>
            <sz val="8"/>
            <color indexed="81"/>
            <rFont val="Tahoma"/>
            <family val="2"/>
          </rPr>
          <t>Heures complémentaires non prévues au contrat</t>
        </r>
      </text>
    </comment>
    <comment ref="AU18" authorId="0" shapeId="0" xr:uid="{1D236E47-788A-46CA-AB07-DBD916C96A63}">
      <text>
        <r>
          <rPr>
            <b/>
            <sz val="9"/>
            <color indexed="81"/>
            <rFont val="Tahoma"/>
            <family val="2"/>
          </rPr>
          <t>Heures majorées supplémentaires non prévues au contrat</t>
        </r>
      </text>
    </comment>
    <comment ref="AZ18" authorId="1" shapeId="0" xr:uid="{00000000-0006-0000-1E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7914A8F4-FFF0-4FCB-8964-0E1D2E04BE67}">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E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E00-00000D000000}">
      <text>
        <r>
          <rPr>
            <sz val="9"/>
            <color indexed="81"/>
            <rFont val="Tahoma"/>
            <family val="2"/>
          </rPr>
          <t xml:space="preserve">Nombre d'heures
</t>
        </r>
      </text>
    </comment>
    <comment ref="P23" authorId="0" shapeId="0" xr:uid="{00000000-0006-0000-1E00-00000E000000}">
      <text>
        <r>
          <rPr>
            <sz val="9"/>
            <color indexed="81"/>
            <rFont val="Tahoma"/>
            <family val="2"/>
          </rPr>
          <t>Montant de la majoration :
Salaire horaire brut X taux majoration</t>
        </r>
      </text>
    </comment>
    <comment ref="L24" authorId="0" shapeId="0" xr:uid="{00000000-0006-0000-1E00-00000F000000}">
      <text>
        <r>
          <rPr>
            <sz val="9"/>
            <color indexed="81"/>
            <rFont val="Tahoma"/>
            <family val="2"/>
          </rPr>
          <t>Nombre d'heures</t>
        </r>
      </text>
    </comment>
    <comment ref="P24" authorId="0" shapeId="0" xr:uid="{00000000-0006-0000-1E00-000010000000}">
      <text>
        <r>
          <rPr>
            <sz val="9"/>
            <color indexed="81"/>
            <rFont val="Tahoma"/>
            <family val="2"/>
          </rPr>
          <t>Montant de la majoration :
Salaire horaire brut X taux majoration</t>
        </r>
      </text>
    </comment>
    <comment ref="T25" authorId="0" shapeId="0" xr:uid="{00000000-0006-0000-1E00-000011000000}">
      <text>
        <r>
          <rPr>
            <sz val="9"/>
            <color indexed="81"/>
            <rFont val="Tahoma"/>
            <family val="2"/>
          </rPr>
          <t>Vous pouvez retrouver le détail du calcul dans la feuille "Retenue" correspondante à ce mois</t>
        </r>
      </text>
    </comment>
    <comment ref="T26" authorId="0" shapeId="0" xr:uid="{00000000-0006-0000-1E00-000012000000}">
      <text>
        <r>
          <rPr>
            <sz val="9"/>
            <color indexed="81"/>
            <rFont val="Tahoma"/>
            <family val="2"/>
          </rPr>
          <t>Vous pouvez retrouver le détail du calcul dans la feuille "Retenue" correspondante à ce mois</t>
        </r>
      </text>
    </comment>
    <comment ref="T27" authorId="0" shapeId="0" xr:uid="{00000000-0006-0000-1E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E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E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0F5AE5A8-3F75-461F-BCBA-2055369E06C2}">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E00-000017000000}">
      <text>
        <r>
          <rPr>
            <b/>
            <sz val="9"/>
            <color indexed="81"/>
            <rFont val="Tahoma"/>
            <family val="2"/>
          </rPr>
          <t>On inclut pour son calcul la prime de précarité</t>
        </r>
      </text>
    </comment>
    <comment ref="BZ44" authorId="2" shapeId="0" xr:uid="{00000000-0006-0000-1E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B36D5A5-9DA7-4980-8FD6-B5A4EBF04646}">
      <text>
        <r>
          <rPr>
            <sz val="9"/>
            <color indexed="81"/>
            <rFont val="Tahoma"/>
            <family val="2"/>
          </rPr>
          <t xml:space="preserve">Choisir un montant minimum. 
Attention :
Dois respecter le minimum conventionnel et le minimum légal pour 9h
</t>
        </r>
      </text>
    </comment>
    <comment ref="CE54" authorId="0" shapeId="0" xr:uid="{4B210178-C668-46F7-95ED-EB3F5A7CA5E1}">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AD50F8DF-F011-4E27-850C-59192A97D72F}">
      <text>
        <r>
          <rPr>
            <sz val="9"/>
            <color indexed="81"/>
            <rFont val="Tahoma"/>
            <family val="2"/>
          </rPr>
          <t xml:space="preserve">Modifier le montant de l'heure
</t>
        </r>
      </text>
    </comment>
    <comment ref="CE57" authorId="0" shapeId="0" xr:uid="{14F7E143-B3A4-4B19-90E3-B0B806F5C50B}">
      <text>
        <r>
          <rPr>
            <sz val="9"/>
            <color indexed="81"/>
            <rFont val="Tahoma"/>
            <family val="2"/>
          </rPr>
          <t xml:space="preserve">Choisir un montant minimum. 
Attention :
Dois respecter le minimum conventionnel et le minimum légal pour 9h
</t>
        </r>
      </text>
    </comment>
    <comment ref="CE58" authorId="0" shapeId="0" xr:uid="{2BB54255-DF67-483F-8F61-945A12D7AEC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26481A32-6D49-4E9C-B17B-CFF67E190A8C}">
      <text>
        <r>
          <rPr>
            <sz val="9"/>
            <color indexed="81"/>
            <rFont val="Tahoma"/>
            <family val="2"/>
          </rPr>
          <t xml:space="preserve">Permet de modifier le libellé
</t>
        </r>
      </text>
    </comment>
    <comment ref="AX62" authorId="0" shapeId="0" xr:uid="{7D71AF07-9B30-48FF-A579-1A8C243A2465}">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D7F5BF7C-7525-44EB-B0DB-52963C940688}">
      <text>
        <r>
          <rPr>
            <sz val="9"/>
            <color indexed="81"/>
            <rFont val="Tahoma"/>
            <family val="2"/>
          </rPr>
          <t xml:space="preserve">Choisir le format du chiffre : 
en heures ou en jours
Exemple : afficher 3 jrs ou 3 hrs
</t>
        </r>
      </text>
    </comment>
    <comment ref="BA62" authorId="0" shapeId="0" xr:uid="{E8C16DA4-5B11-49B7-BA6F-33FCC2EFE96B}">
      <text>
        <r>
          <rPr>
            <sz val="9"/>
            <color indexed="81"/>
            <rFont val="Tahoma"/>
            <family val="2"/>
          </rPr>
          <t>Modifier le taux</t>
        </r>
      </text>
    </comment>
    <comment ref="AQ63" authorId="0" shapeId="0" xr:uid="{2A13BC7B-B0C4-456D-8ED7-42EBDB7B1F73}">
      <text>
        <r>
          <rPr>
            <sz val="9"/>
            <color indexed="81"/>
            <rFont val="Tahoma"/>
            <family val="2"/>
          </rPr>
          <t>Permet de modifier le libellé</t>
        </r>
      </text>
    </comment>
    <comment ref="AX63" authorId="0" shapeId="0" xr:uid="{8BA99D05-D734-4E6B-846C-D2FF3BCE5D84}">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8AE2FB7-10FD-4E40-8CFE-2B4853882195}">
      <text>
        <r>
          <rPr>
            <sz val="9"/>
            <color indexed="81"/>
            <rFont val="Tahoma"/>
            <family val="2"/>
          </rPr>
          <t xml:space="preserve">Choisir le format du chiffre : 
en heures ou en jours
Exemple : afficher 3 jrs ou 3 hrs
</t>
        </r>
      </text>
    </comment>
    <comment ref="BA63" authorId="0" shapeId="0" xr:uid="{0B3ED7BE-133F-46AD-B9A8-D713CD6A190A}">
      <text>
        <r>
          <rPr>
            <sz val="9"/>
            <color indexed="81"/>
            <rFont val="Tahoma"/>
            <family val="2"/>
          </rPr>
          <t>Modifier le taux</t>
        </r>
      </text>
    </comment>
    <comment ref="BA65" authorId="0" shapeId="0" xr:uid="{00000000-0006-0000-1E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E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E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E00-00001F000000}">
      <text>
        <r>
          <rPr>
            <b/>
            <sz val="9"/>
            <color indexed="8"/>
            <rFont val="Tahoma"/>
            <family val="2"/>
            <charset val="1"/>
          </rPr>
          <t xml:space="preserve">Nombre de kilomètres
</t>
        </r>
      </text>
    </comment>
    <comment ref="K69" authorId="2" shapeId="0" xr:uid="{00000000-0006-0000-1E00-000020000000}">
      <text>
        <r>
          <rPr>
            <b/>
            <sz val="9"/>
            <color indexed="8"/>
            <rFont val="Tahoma"/>
            <family val="2"/>
            <charset val="1"/>
          </rPr>
          <t>Tarif du Kilomètre négocié avec les parents</t>
        </r>
      </text>
    </comment>
    <comment ref="BA69" authorId="0" shapeId="0" xr:uid="{00000000-0006-0000-1E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E00-000022000000}">
      <text>
        <r>
          <rPr>
            <sz val="9"/>
            <color indexed="81"/>
            <rFont val="Tahoma"/>
            <family val="2"/>
          </rPr>
          <t xml:space="preserve">Saisir le nombre avec le signe - devant
</t>
        </r>
      </text>
    </comment>
    <comment ref="AL84" authorId="0" shapeId="0" xr:uid="{9A698339-B1EB-4B99-A8AE-C71A023FCBF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E00-000026000000}">
      <text>
        <r>
          <rPr>
            <sz val="9"/>
            <color indexed="81"/>
            <rFont val="Tahoma"/>
            <family val="2"/>
          </rPr>
          <t>Salaire Net - La réduction des cotisations sur les Hrs Supp et les Hrs complémentaires.</t>
        </r>
      </text>
    </comment>
    <comment ref="AH88" authorId="0" shapeId="0" xr:uid="{00000000-0006-0000-1E00-000027000000}">
      <text>
        <r>
          <rPr>
            <sz val="9"/>
            <color indexed="81"/>
            <rFont val="Tahoma"/>
            <family val="2"/>
          </rPr>
          <t xml:space="preserve">Maximum 30 jours
</t>
        </r>
      </text>
    </comment>
    <comment ref="AR91" authorId="0" shapeId="0" xr:uid="{00000000-0006-0000-1E00-000029000000}">
      <text>
        <r>
          <rPr>
            <sz val="9"/>
            <color indexed="81"/>
            <rFont val="Tahoma"/>
            <family val="2"/>
          </rPr>
          <t>Modification manuelle du nombre de jours inclus dans l'ICCP pour l'année précédente</t>
        </r>
      </text>
    </comment>
    <comment ref="AS91" authorId="0" shapeId="0" xr:uid="{00000000-0006-0000-1E00-00002A000000}">
      <text>
        <r>
          <rPr>
            <sz val="9"/>
            <color indexed="81"/>
            <rFont val="Tahoma"/>
            <family val="2"/>
          </rPr>
          <t xml:space="preserve">Modification manuelle du nombre de jours inclus dans l'ICCP pour l'année en cours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1F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1F00-000002000000}">
      <text>
        <r>
          <rPr>
            <sz val="9"/>
            <color indexed="81"/>
            <rFont val="Tahoma"/>
            <family val="2"/>
          </rPr>
          <t xml:space="preserve">Préciser le motif de la rupture
</t>
        </r>
      </text>
    </comment>
    <comment ref="CE5" authorId="0" shapeId="0" xr:uid="{00000000-0006-0000-1F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1F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1F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1F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1F00-000008000000}">
      <text>
        <r>
          <rPr>
            <b/>
            <sz val="8"/>
            <color indexed="81"/>
            <rFont val="Tahoma"/>
            <family val="2"/>
          </rPr>
          <t>Heures complémentaires non prévues au contrat</t>
        </r>
      </text>
    </comment>
    <comment ref="AU18" authorId="0" shapeId="0" xr:uid="{D6B39389-E37C-4927-B777-C44796AC86AD}">
      <text>
        <r>
          <rPr>
            <b/>
            <sz val="9"/>
            <color indexed="81"/>
            <rFont val="Tahoma"/>
            <family val="2"/>
          </rPr>
          <t>Heures majorées supplémentaires non prévues au contrat</t>
        </r>
      </text>
    </comment>
    <comment ref="AZ18" authorId="1" shapeId="0" xr:uid="{00000000-0006-0000-1F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F782877-4EDA-4533-9645-08F8E136FA28}">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1F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1F00-00000D000000}">
      <text>
        <r>
          <rPr>
            <sz val="9"/>
            <color indexed="81"/>
            <rFont val="Tahoma"/>
            <family val="2"/>
          </rPr>
          <t xml:space="preserve">Nombre d'heures
</t>
        </r>
      </text>
    </comment>
    <comment ref="P23" authorId="0" shapeId="0" xr:uid="{00000000-0006-0000-1F00-00000E000000}">
      <text>
        <r>
          <rPr>
            <sz val="9"/>
            <color indexed="81"/>
            <rFont val="Tahoma"/>
            <family val="2"/>
          </rPr>
          <t>Montant de la majoration :
Salaire horaire brut X taux majoration</t>
        </r>
      </text>
    </comment>
    <comment ref="L24" authorId="0" shapeId="0" xr:uid="{00000000-0006-0000-1F00-00000F000000}">
      <text>
        <r>
          <rPr>
            <sz val="9"/>
            <color indexed="81"/>
            <rFont val="Tahoma"/>
            <family val="2"/>
          </rPr>
          <t>Nombre d'heures</t>
        </r>
      </text>
    </comment>
    <comment ref="P24" authorId="0" shapeId="0" xr:uid="{00000000-0006-0000-1F00-000010000000}">
      <text>
        <r>
          <rPr>
            <sz val="9"/>
            <color indexed="81"/>
            <rFont val="Tahoma"/>
            <family val="2"/>
          </rPr>
          <t>Montant de la majoration :
Salaire horaire brut X taux majoration</t>
        </r>
      </text>
    </comment>
    <comment ref="T25" authorId="0" shapeId="0" xr:uid="{00000000-0006-0000-1F00-000011000000}">
      <text>
        <r>
          <rPr>
            <sz val="9"/>
            <color indexed="81"/>
            <rFont val="Tahoma"/>
            <family val="2"/>
          </rPr>
          <t>Vous pouvez retrouver le détail du calcul dans la feuille "Retenue" correspondante à ce mois</t>
        </r>
      </text>
    </comment>
    <comment ref="T26" authorId="0" shapeId="0" xr:uid="{00000000-0006-0000-1F00-000012000000}">
      <text>
        <r>
          <rPr>
            <sz val="9"/>
            <color indexed="81"/>
            <rFont val="Tahoma"/>
            <family val="2"/>
          </rPr>
          <t>Vous pouvez retrouver le détail du calcul dans la feuille "Retenue" correspondante à ce mois</t>
        </r>
      </text>
    </comment>
    <comment ref="T27" authorId="0" shapeId="0" xr:uid="{00000000-0006-0000-1F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1F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1F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8B1C3FBA-1C66-46B6-A301-006336217CB4}">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1F00-000017000000}">
      <text>
        <r>
          <rPr>
            <b/>
            <sz val="9"/>
            <color indexed="81"/>
            <rFont val="Tahoma"/>
            <family val="2"/>
          </rPr>
          <t>On inclut pour son calcul la prime de précarité</t>
        </r>
      </text>
    </comment>
    <comment ref="BZ44" authorId="2" shapeId="0" xr:uid="{00000000-0006-0000-1F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B77F8479-931D-42EF-9F06-3C037F957613}">
      <text>
        <r>
          <rPr>
            <sz val="9"/>
            <color indexed="81"/>
            <rFont val="Tahoma"/>
            <family val="2"/>
          </rPr>
          <t xml:space="preserve">Choisir un montant minimum. 
Attention :
Dois respecter le minimum conventionnel et le minimum légal pour 9h
</t>
        </r>
      </text>
    </comment>
    <comment ref="CE54" authorId="0" shapeId="0" xr:uid="{B0AD8D57-F05A-4FD8-B2EF-4399EEA88697}">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B0113FD-03B9-4D25-9B56-A20B95D21484}">
      <text>
        <r>
          <rPr>
            <sz val="9"/>
            <color indexed="81"/>
            <rFont val="Tahoma"/>
            <family val="2"/>
          </rPr>
          <t xml:space="preserve">Modifier le montant de l'heure
</t>
        </r>
      </text>
    </comment>
    <comment ref="CE57" authorId="0" shapeId="0" xr:uid="{44E3E1B8-B407-4D56-8EDC-4C9479DCBBDD}">
      <text>
        <r>
          <rPr>
            <sz val="9"/>
            <color indexed="81"/>
            <rFont val="Tahoma"/>
            <family val="2"/>
          </rPr>
          <t xml:space="preserve">Choisir un montant minimum. 
Attention :
Dois respecter le minimum conventionnel et le minimum légal pour 9h
</t>
        </r>
      </text>
    </comment>
    <comment ref="CE58" authorId="0" shapeId="0" xr:uid="{623B20D1-02B0-41C1-84C3-D3CBDBC6A4DA}">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93909D2F-FE9A-435F-BDBE-301B8FBE6B4A}">
      <text>
        <r>
          <rPr>
            <sz val="9"/>
            <color indexed="81"/>
            <rFont val="Tahoma"/>
            <family val="2"/>
          </rPr>
          <t xml:space="preserve">Permet de modifier le libellé
</t>
        </r>
      </text>
    </comment>
    <comment ref="AX62" authorId="0" shapeId="0" xr:uid="{0F45E314-312A-41E4-A0F6-B14483BF639B}">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82E3283F-C5E8-4AB5-AC0E-6284916D2597}">
      <text>
        <r>
          <rPr>
            <sz val="9"/>
            <color indexed="81"/>
            <rFont val="Tahoma"/>
            <family val="2"/>
          </rPr>
          <t xml:space="preserve">Choisir le format du chiffre : 
en heures ou en jours
Exemple : afficher 3 jrs ou 3 hrs
</t>
        </r>
      </text>
    </comment>
    <comment ref="BA62" authorId="0" shapeId="0" xr:uid="{FA853FB6-7CA5-4D29-81C8-C8E4CCAB8245}">
      <text>
        <r>
          <rPr>
            <sz val="9"/>
            <color indexed="81"/>
            <rFont val="Tahoma"/>
            <family val="2"/>
          </rPr>
          <t>Modifier le taux</t>
        </r>
      </text>
    </comment>
    <comment ref="AQ63" authorId="0" shapeId="0" xr:uid="{787C5125-0B02-4B8D-9AC9-D6E19169F87C}">
      <text>
        <r>
          <rPr>
            <sz val="9"/>
            <color indexed="81"/>
            <rFont val="Tahoma"/>
            <family val="2"/>
          </rPr>
          <t>Permet de modifier le libellé</t>
        </r>
      </text>
    </comment>
    <comment ref="AX63" authorId="0" shapeId="0" xr:uid="{D381AB36-CF18-46A6-9A34-D9DFF27F7F6E}">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11A17BAC-3D29-47B5-8553-862E3CCAA715}">
      <text>
        <r>
          <rPr>
            <sz val="9"/>
            <color indexed="81"/>
            <rFont val="Tahoma"/>
            <family val="2"/>
          </rPr>
          <t xml:space="preserve">Choisir le format du chiffre : 
en heures ou en jours
Exemple : afficher 3 jrs ou 3 hrs
</t>
        </r>
      </text>
    </comment>
    <comment ref="BA63" authorId="0" shapeId="0" xr:uid="{4CC50319-74F1-4E6B-B5CC-56E542D39070}">
      <text>
        <r>
          <rPr>
            <sz val="9"/>
            <color indexed="81"/>
            <rFont val="Tahoma"/>
            <family val="2"/>
          </rPr>
          <t>Modifier le taux</t>
        </r>
      </text>
    </comment>
    <comment ref="BA65" authorId="0" shapeId="0" xr:uid="{00000000-0006-0000-1F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1F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1F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1F00-00001F000000}">
      <text>
        <r>
          <rPr>
            <b/>
            <sz val="9"/>
            <color indexed="8"/>
            <rFont val="Tahoma"/>
            <family val="2"/>
            <charset val="1"/>
          </rPr>
          <t xml:space="preserve">Nombre de kilomètres
</t>
        </r>
      </text>
    </comment>
    <comment ref="K69" authorId="2" shapeId="0" xr:uid="{00000000-0006-0000-1F00-000020000000}">
      <text>
        <r>
          <rPr>
            <b/>
            <sz val="9"/>
            <color indexed="8"/>
            <rFont val="Tahoma"/>
            <family val="2"/>
            <charset val="1"/>
          </rPr>
          <t>Tarif du Kilomètre négocié avec les parents</t>
        </r>
      </text>
    </comment>
    <comment ref="BA69" authorId="0" shapeId="0" xr:uid="{00000000-0006-0000-1F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1F00-000022000000}">
      <text>
        <r>
          <rPr>
            <sz val="9"/>
            <color indexed="81"/>
            <rFont val="Tahoma"/>
            <family val="2"/>
          </rPr>
          <t xml:space="preserve">Saisir le nombre avec le signe - devant
</t>
        </r>
      </text>
    </comment>
    <comment ref="AL84" authorId="0" shapeId="0" xr:uid="{9E09E680-8DA8-4CC6-A7F9-1D23E009325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1F00-000026000000}">
      <text>
        <r>
          <rPr>
            <sz val="9"/>
            <color indexed="81"/>
            <rFont val="Tahoma"/>
            <family val="2"/>
          </rPr>
          <t>Salaire Net - La réduction des cotisations sur les Hrs Supp et les Hrs complémentaires.</t>
        </r>
      </text>
    </comment>
    <comment ref="AR91" authorId="0" shapeId="0" xr:uid="{00000000-0006-0000-1F00-000028000000}">
      <text>
        <r>
          <rPr>
            <sz val="9"/>
            <color indexed="81"/>
            <rFont val="Tahoma"/>
            <family val="2"/>
          </rPr>
          <t>Modification manuelle du nombre de jours inclus dans l'ICCP pour l'année précédente</t>
        </r>
      </text>
    </comment>
    <comment ref="AS91" authorId="0" shapeId="0" xr:uid="{00000000-0006-0000-1F00-000029000000}">
      <text>
        <r>
          <rPr>
            <sz val="9"/>
            <color indexed="81"/>
            <rFont val="Tahoma"/>
            <family val="2"/>
          </rPr>
          <t xml:space="preserve">Modification manuelle du nombre de jours inclus dans l'ICCP pour l'année en cours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000-000001000000}">
      <text>
        <r>
          <rPr>
            <sz val="9"/>
            <color indexed="81"/>
            <rFont val="Tahoma"/>
            <family val="2"/>
          </rPr>
          <t>Si vous souhaitez modifié la fiche info de référence faite votre choix dans la liste. 
Pour les mois précédents le mois du début de contrat laisser " A préciser"</t>
        </r>
      </text>
    </comment>
    <comment ref="CE3" authorId="0" shapeId="0" xr:uid="{00000000-0006-0000-2000-000002000000}">
      <text>
        <r>
          <rPr>
            <sz val="9"/>
            <color indexed="81"/>
            <rFont val="Tahoma"/>
            <family val="2"/>
          </rPr>
          <t xml:space="preserve">Préciser le motif de la rupture
</t>
        </r>
      </text>
    </comment>
    <comment ref="CE5" authorId="0" shapeId="0" xr:uid="{00000000-0006-0000-20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0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0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0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000-000008000000}">
      <text>
        <r>
          <rPr>
            <b/>
            <sz val="8"/>
            <color indexed="81"/>
            <rFont val="Tahoma"/>
            <family val="2"/>
          </rPr>
          <t>Heures complémentaires non prévues au contrat</t>
        </r>
      </text>
    </comment>
    <comment ref="AU18" authorId="0" shapeId="0" xr:uid="{331B1DAD-EA6C-4765-A3D6-0937F0D31C43}">
      <text>
        <r>
          <rPr>
            <b/>
            <sz val="9"/>
            <color indexed="81"/>
            <rFont val="Tahoma"/>
            <family val="2"/>
          </rPr>
          <t>Heures majorées supplémentaires non prévues au contrat</t>
        </r>
      </text>
    </comment>
    <comment ref="AZ18" authorId="1" shapeId="0" xr:uid="{00000000-0006-0000-20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B822753A-6B1E-49F3-86A6-B1ADD7618775}">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0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000-00000D000000}">
      <text>
        <r>
          <rPr>
            <sz val="9"/>
            <color indexed="81"/>
            <rFont val="Tahoma"/>
            <family val="2"/>
          </rPr>
          <t xml:space="preserve">Nombre d'heures
</t>
        </r>
      </text>
    </comment>
    <comment ref="P23" authorId="0" shapeId="0" xr:uid="{00000000-0006-0000-2000-00000E000000}">
      <text>
        <r>
          <rPr>
            <sz val="9"/>
            <color indexed="81"/>
            <rFont val="Tahoma"/>
            <family val="2"/>
          </rPr>
          <t>Montant de la majoration :
Salaire horaire brut X taux majoration</t>
        </r>
      </text>
    </comment>
    <comment ref="L24" authorId="0" shapeId="0" xr:uid="{00000000-0006-0000-2000-00000F000000}">
      <text>
        <r>
          <rPr>
            <sz val="9"/>
            <color indexed="81"/>
            <rFont val="Tahoma"/>
            <family val="2"/>
          </rPr>
          <t>Nombre d'heures</t>
        </r>
      </text>
    </comment>
    <comment ref="P24" authorId="0" shapeId="0" xr:uid="{00000000-0006-0000-2000-000010000000}">
      <text>
        <r>
          <rPr>
            <sz val="9"/>
            <color indexed="81"/>
            <rFont val="Tahoma"/>
            <family val="2"/>
          </rPr>
          <t>Montant de la majoration :
Salaire horaire brut X taux majoration</t>
        </r>
      </text>
    </comment>
    <comment ref="T25" authorId="0" shapeId="0" xr:uid="{00000000-0006-0000-2000-000011000000}">
      <text>
        <r>
          <rPr>
            <sz val="9"/>
            <color indexed="81"/>
            <rFont val="Tahoma"/>
            <family val="2"/>
          </rPr>
          <t>Vous pouvez retrouver le détail du calcul dans la feuille "Retenue" correspondante à ce mois</t>
        </r>
      </text>
    </comment>
    <comment ref="T26" authorId="0" shapeId="0" xr:uid="{00000000-0006-0000-2000-000012000000}">
      <text>
        <r>
          <rPr>
            <sz val="9"/>
            <color indexed="81"/>
            <rFont val="Tahoma"/>
            <family val="2"/>
          </rPr>
          <t>Vous pouvez retrouver le détail du calcul dans la feuille "Retenue" correspondante à ce mois</t>
        </r>
      </text>
    </comment>
    <comment ref="T27" authorId="0" shapeId="0" xr:uid="{00000000-0006-0000-20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0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0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54AE1CF9-2AE2-4B80-8D6E-08F97B350946}">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000-000017000000}">
      <text>
        <r>
          <rPr>
            <b/>
            <sz val="9"/>
            <color indexed="81"/>
            <rFont val="Tahoma"/>
            <family val="2"/>
          </rPr>
          <t>On inclut pour son calcul la prime de précarité</t>
        </r>
      </text>
    </comment>
    <comment ref="BZ44" authorId="2" shapeId="0" xr:uid="{00000000-0006-0000-20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9F6802E0-F246-4C0F-BC70-CBD8A56AA16C}">
      <text>
        <r>
          <rPr>
            <sz val="9"/>
            <color indexed="81"/>
            <rFont val="Tahoma"/>
            <family val="2"/>
          </rPr>
          <t xml:space="preserve">Choisir un montant minimum. 
Attention :
Dois respecter le minimum conventionnel et le minimum légal pour 9h
</t>
        </r>
      </text>
    </comment>
    <comment ref="CE54" authorId="0" shapeId="0" xr:uid="{21C97EDA-C193-4CF8-BD5B-5BF46CD1D93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EA369D2A-5242-4F04-BDFF-FFB39D69DB5D}">
      <text>
        <r>
          <rPr>
            <sz val="9"/>
            <color indexed="81"/>
            <rFont val="Tahoma"/>
            <family val="2"/>
          </rPr>
          <t xml:space="preserve">Modifier le montant de l'heure
</t>
        </r>
      </text>
    </comment>
    <comment ref="CE57" authorId="0" shapeId="0" xr:uid="{9E32CE65-B59E-4D1A-A419-7A07BCD19952}">
      <text>
        <r>
          <rPr>
            <sz val="9"/>
            <color indexed="81"/>
            <rFont val="Tahoma"/>
            <family val="2"/>
          </rPr>
          <t xml:space="preserve">Choisir un montant minimum. 
Attention :
Dois respecter le minimum conventionnel et le minimum légal pour 9h
</t>
        </r>
      </text>
    </comment>
    <comment ref="CE58" authorId="0" shapeId="0" xr:uid="{060657E3-5FDC-48C7-B45E-D04D4C39612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FBAC5E6F-8A03-46AD-95A9-17B0BCB01E3C}">
      <text>
        <r>
          <rPr>
            <sz val="9"/>
            <color indexed="81"/>
            <rFont val="Tahoma"/>
            <family val="2"/>
          </rPr>
          <t xml:space="preserve">Permet de modifier le libellé
</t>
        </r>
      </text>
    </comment>
    <comment ref="AX62" authorId="0" shapeId="0" xr:uid="{6C9A05AB-E487-4A9C-B6F7-63D2BE47D9F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E046DC25-E416-4A11-A9C1-A736406A16F9}">
      <text>
        <r>
          <rPr>
            <sz val="9"/>
            <color indexed="81"/>
            <rFont val="Tahoma"/>
            <family val="2"/>
          </rPr>
          <t xml:space="preserve">Choisir le format du chiffre : 
en heures ou en jours
Exemple : afficher 3 jrs ou 3 hrs
</t>
        </r>
      </text>
    </comment>
    <comment ref="BA62" authorId="0" shapeId="0" xr:uid="{8CA9A088-F367-4131-BAFF-FCAB97FC5070}">
      <text>
        <r>
          <rPr>
            <sz val="9"/>
            <color indexed="81"/>
            <rFont val="Tahoma"/>
            <family val="2"/>
          </rPr>
          <t>Modifier le taux</t>
        </r>
      </text>
    </comment>
    <comment ref="AQ63" authorId="0" shapeId="0" xr:uid="{4F836282-756B-4D5F-BD47-90F1E4700D6C}">
      <text>
        <r>
          <rPr>
            <sz val="9"/>
            <color indexed="81"/>
            <rFont val="Tahoma"/>
            <family val="2"/>
          </rPr>
          <t>Permet de modifier le libellé</t>
        </r>
      </text>
    </comment>
    <comment ref="AX63" authorId="0" shapeId="0" xr:uid="{DD4EE9E0-8EE2-4AA6-A9A7-451DBA0E1A87}">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6F8D9428-BE67-48DD-A8DD-E88FAF4C20AB}">
      <text>
        <r>
          <rPr>
            <sz val="9"/>
            <color indexed="81"/>
            <rFont val="Tahoma"/>
            <family val="2"/>
          </rPr>
          <t xml:space="preserve">Choisir le format du chiffre : 
en heures ou en jours
Exemple : afficher 3 jrs ou 3 hrs
</t>
        </r>
      </text>
    </comment>
    <comment ref="BA63" authorId="0" shapeId="0" xr:uid="{9D75DECF-2113-4C28-B023-6B958FBB9B16}">
      <text>
        <r>
          <rPr>
            <sz val="9"/>
            <color indexed="81"/>
            <rFont val="Tahoma"/>
            <family val="2"/>
          </rPr>
          <t>Modifier le taux</t>
        </r>
      </text>
    </comment>
    <comment ref="BA65" authorId="0" shapeId="0" xr:uid="{00000000-0006-0000-20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0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0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000-00001F000000}">
      <text>
        <r>
          <rPr>
            <b/>
            <sz val="9"/>
            <color indexed="8"/>
            <rFont val="Tahoma"/>
            <family val="2"/>
            <charset val="1"/>
          </rPr>
          <t xml:space="preserve">Nombre de kilomètres
</t>
        </r>
      </text>
    </comment>
    <comment ref="K69" authorId="2" shapeId="0" xr:uid="{00000000-0006-0000-2000-000020000000}">
      <text>
        <r>
          <rPr>
            <b/>
            <sz val="9"/>
            <color indexed="8"/>
            <rFont val="Tahoma"/>
            <family val="2"/>
            <charset val="1"/>
          </rPr>
          <t>Tarif du Kilomètre négocié avec les parents</t>
        </r>
      </text>
    </comment>
    <comment ref="BA69" authorId="0" shapeId="0" xr:uid="{00000000-0006-0000-20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000-000022000000}">
      <text>
        <r>
          <rPr>
            <sz val="9"/>
            <color indexed="81"/>
            <rFont val="Tahoma"/>
            <family val="2"/>
          </rPr>
          <t xml:space="preserve">Saisir le nombre avec le signe - devant
</t>
        </r>
      </text>
    </comment>
    <comment ref="AL84" authorId="0" shapeId="0" xr:uid="{BA8283FE-E323-4573-B816-0AD1474FE1D5}">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000-000026000000}">
      <text>
        <r>
          <rPr>
            <sz val="9"/>
            <color indexed="81"/>
            <rFont val="Tahoma"/>
            <family val="2"/>
          </rPr>
          <t>Salaire Net - La réduction des cotisations sur les Hrs Supp et les Hrs complémentaires.</t>
        </r>
      </text>
    </comment>
    <comment ref="AR91" authorId="0" shapeId="0" xr:uid="{00000000-0006-0000-2000-000028000000}">
      <text>
        <r>
          <rPr>
            <sz val="9"/>
            <color indexed="81"/>
            <rFont val="Tahoma"/>
            <family val="2"/>
          </rPr>
          <t>Modification manuelle du nombre de jours inclus dans l'ICCP pour l'année précédente</t>
        </r>
      </text>
    </comment>
    <comment ref="AS91" authorId="0" shapeId="0" xr:uid="{00000000-0006-0000-2000-000029000000}">
      <text>
        <r>
          <rPr>
            <sz val="9"/>
            <color indexed="81"/>
            <rFont val="Tahoma"/>
            <family val="2"/>
          </rPr>
          <t xml:space="preserve">Modification manuelle du nombre de jours inclus dans l'ICCP pour l'année en cours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1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100-000002000000}">
      <text>
        <r>
          <rPr>
            <sz val="9"/>
            <color indexed="81"/>
            <rFont val="Tahoma"/>
            <family val="2"/>
          </rPr>
          <t xml:space="preserve">Préciser le motif de la rupture
</t>
        </r>
      </text>
    </comment>
    <comment ref="CE5" authorId="0" shapeId="0" xr:uid="{00000000-0006-0000-21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1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1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1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100-000008000000}">
      <text>
        <r>
          <rPr>
            <b/>
            <sz val="8"/>
            <color indexed="81"/>
            <rFont val="Tahoma"/>
            <family val="2"/>
          </rPr>
          <t>Heures complémentaires non prévues au contrat</t>
        </r>
      </text>
    </comment>
    <comment ref="AU18" authorId="0" shapeId="0" xr:uid="{817BCF22-5D5B-49C1-8E12-E2CFDB7C1F69}">
      <text>
        <r>
          <rPr>
            <b/>
            <sz val="9"/>
            <color indexed="81"/>
            <rFont val="Tahoma"/>
            <family val="2"/>
          </rPr>
          <t>Heures majorées supplémentaires non prévues au contrat</t>
        </r>
      </text>
    </comment>
    <comment ref="AZ18" authorId="1" shapeId="0" xr:uid="{00000000-0006-0000-21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8C446D83-1C21-4CEF-8DCD-95FDCB5AE3AA}">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1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100-00000D000000}">
      <text>
        <r>
          <rPr>
            <sz val="9"/>
            <color indexed="81"/>
            <rFont val="Tahoma"/>
            <family val="2"/>
          </rPr>
          <t xml:space="preserve">Nombre d'heures
</t>
        </r>
      </text>
    </comment>
    <comment ref="P23" authorId="0" shapeId="0" xr:uid="{00000000-0006-0000-2100-00000E000000}">
      <text>
        <r>
          <rPr>
            <sz val="9"/>
            <color indexed="81"/>
            <rFont val="Tahoma"/>
            <family val="2"/>
          </rPr>
          <t>Montant de la majoration :
Salaire horaire brut X taux majoration</t>
        </r>
      </text>
    </comment>
    <comment ref="L24" authorId="0" shapeId="0" xr:uid="{00000000-0006-0000-2100-00000F000000}">
      <text>
        <r>
          <rPr>
            <sz val="9"/>
            <color indexed="81"/>
            <rFont val="Tahoma"/>
            <family val="2"/>
          </rPr>
          <t>Nombre d'heures</t>
        </r>
      </text>
    </comment>
    <comment ref="P24" authorId="0" shapeId="0" xr:uid="{00000000-0006-0000-2100-000010000000}">
      <text>
        <r>
          <rPr>
            <sz val="9"/>
            <color indexed="81"/>
            <rFont val="Tahoma"/>
            <family val="2"/>
          </rPr>
          <t>Montant de la majoration :
Salaire horaire brut X taux majoration</t>
        </r>
      </text>
    </comment>
    <comment ref="T25" authorId="0" shapeId="0" xr:uid="{00000000-0006-0000-2100-000011000000}">
      <text>
        <r>
          <rPr>
            <sz val="9"/>
            <color indexed="81"/>
            <rFont val="Tahoma"/>
            <family val="2"/>
          </rPr>
          <t>Vous pouvez retrouver le détail du calcul dans la feuille "Retenue" correspondante à ce mois</t>
        </r>
      </text>
    </comment>
    <comment ref="T26" authorId="0" shapeId="0" xr:uid="{00000000-0006-0000-2100-000012000000}">
      <text>
        <r>
          <rPr>
            <sz val="9"/>
            <color indexed="81"/>
            <rFont val="Tahoma"/>
            <family val="2"/>
          </rPr>
          <t>Vous pouvez retrouver le détail du calcul dans la feuille "Retenue" correspondante à ce mois</t>
        </r>
      </text>
    </comment>
    <comment ref="T27" authorId="0" shapeId="0" xr:uid="{00000000-0006-0000-21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1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1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F05E314F-FF36-4A65-9DBC-CAB75C180797}">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100-000017000000}">
      <text>
        <r>
          <rPr>
            <b/>
            <sz val="9"/>
            <color indexed="81"/>
            <rFont val="Tahoma"/>
            <family val="2"/>
          </rPr>
          <t>On inclut pour son calcul la prime de précarité</t>
        </r>
      </text>
    </comment>
    <comment ref="BZ44" authorId="2" shapeId="0" xr:uid="{00000000-0006-0000-21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1703C128-BE89-4A3B-8B17-931461B5F6BA}">
      <text>
        <r>
          <rPr>
            <sz val="9"/>
            <color indexed="81"/>
            <rFont val="Tahoma"/>
            <family val="2"/>
          </rPr>
          <t xml:space="preserve">Choisir un montant minimum. 
Attention :
Dois respecter le minimum conventionnel et le minimum légal pour 9h
</t>
        </r>
      </text>
    </comment>
    <comment ref="CE54" authorId="0" shapeId="0" xr:uid="{DC532283-041C-4D4C-BB03-177DF8E1AE69}">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D9323950-4779-4AD0-BD4D-4CC2565DF253}">
      <text>
        <r>
          <rPr>
            <sz val="9"/>
            <color indexed="81"/>
            <rFont val="Tahoma"/>
            <family val="2"/>
          </rPr>
          <t xml:space="preserve">Modifier le montant de l'heure
</t>
        </r>
      </text>
    </comment>
    <comment ref="CE57" authorId="0" shapeId="0" xr:uid="{5CE130D7-A062-4A8A-8719-27A398D4BDD6}">
      <text>
        <r>
          <rPr>
            <sz val="9"/>
            <color indexed="81"/>
            <rFont val="Tahoma"/>
            <family val="2"/>
          </rPr>
          <t xml:space="preserve">Choisir un montant minimum. 
Attention :
Dois respecter le minimum conventionnel et le minimum légal pour 9h
</t>
        </r>
      </text>
    </comment>
    <comment ref="CE58" authorId="0" shapeId="0" xr:uid="{95CB53EE-A5AC-466B-8959-5A010D5A5B40}">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7845EE6-F9D8-4F0F-ACCC-FAA289A3DDE5}">
      <text>
        <r>
          <rPr>
            <sz val="9"/>
            <color indexed="81"/>
            <rFont val="Tahoma"/>
            <family val="2"/>
          </rPr>
          <t xml:space="preserve">Permet de modifier le libellé
</t>
        </r>
      </text>
    </comment>
    <comment ref="AX62" authorId="0" shapeId="0" xr:uid="{CBF30806-5785-4008-A6A9-FDEE3FF89BDD}">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7B32B38-FD8C-480E-9F05-D149BAFB0F53}">
      <text>
        <r>
          <rPr>
            <sz val="9"/>
            <color indexed="81"/>
            <rFont val="Tahoma"/>
            <family val="2"/>
          </rPr>
          <t xml:space="preserve">Choisir le format du chiffre : 
en heures ou en jours
Exemple : afficher 3 jrs ou 3 hrs
</t>
        </r>
      </text>
    </comment>
    <comment ref="BA62" authorId="0" shapeId="0" xr:uid="{ADCA4D7A-EA9C-4E45-BDD8-A483D2B19C2D}">
      <text>
        <r>
          <rPr>
            <sz val="9"/>
            <color indexed="81"/>
            <rFont val="Tahoma"/>
            <family val="2"/>
          </rPr>
          <t>Modifier le taux</t>
        </r>
      </text>
    </comment>
    <comment ref="AQ63" authorId="0" shapeId="0" xr:uid="{E2514789-E45E-4D18-B728-7CCA30390D59}">
      <text>
        <r>
          <rPr>
            <sz val="9"/>
            <color indexed="81"/>
            <rFont val="Tahoma"/>
            <family val="2"/>
          </rPr>
          <t>Permet de modifier le libellé</t>
        </r>
      </text>
    </comment>
    <comment ref="AX63" authorId="0" shapeId="0" xr:uid="{17AFFD70-9EEC-4B32-83ED-125F3B7A30B1}">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793D6B8C-71D5-453B-882E-0833BD3051FE}">
      <text>
        <r>
          <rPr>
            <sz val="9"/>
            <color indexed="81"/>
            <rFont val="Tahoma"/>
            <family val="2"/>
          </rPr>
          <t xml:space="preserve">Choisir le format du chiffre : 
en heures ou en jours
Exemple : afficher 3 jrs ou 3 hrs
</t>
        </r>
      </text>
    </comment>
    <comment ref="BA63" authorId="0" shapeId="0" xr:uid="{C9A94B92-B4BA-456E-820D-7D7A77EAF071}">
      <text>
        <r>
          <rPr>
            <sz val="9"/>
            <color indexed="81"/>
            <rFont val="Tahoma"/>
            <family val="2"/>
          </rPr>
          <t>Modifier le taux</t>
        </r>
      </text>
    </comment>
    <comment ref="BA65" authorId="0" shapeId="0" xr:uid="{00000000-0006-0000-21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1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1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100-00001F000000}">
      <text>
        <r>
          <rPr>
            <b/>
            <sz val="9"/>
            <color indexed="8"/>
            <rFont val="Tahoma"/>
            <family val="2"/>
            <charset val="1"/>
          </rPr>
          <t xml:space="preserve">Nombre de kilomètres
</t>
        </r>
      </text>
    </comment>
    <comment ref="K69" authorId="2" shapeId="0" xr:uid="{00000000-0006-0000-2100-000020000000}">
      <text>
        <r>
          <rPr>
            <b/>
            <sz val="9"/>
            <color indexed="8"/>
            <rFont val="Tahoma"/>
            <family val="2"/>
            <charset val="1"/>
          </rPr>
          <t>Tarif du Kilomètre négocié avec les parents</t>
        </r>
      </text>
    </comment>
    <comment ref="BA69" authorId="0" shapeId="0" xr:uid="{00000000-0006-0000-21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100-000022000000}">
      <text>
        <r>
          <rPr>
            <sz val="9"/>
            <color indexed="81"/>
            <rFont val="Tahoma"/>
            <family val="2"/>
          </rPr>
          <t xml:space="preserve">Saisir le nombre avec le signe - devant
</t>
        </r>
      </text>
    </comment>
    <comment ref="AL84" authorId="0" shapeId="0" xr:uid="{34950A2E-8A2B-473B-9F1C-62343CE14ADD}">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100-000026000000}">
      <text>
        <r>
          <rPr>
            <sz val="9"/>
            <color indexed="81"/>
            <rFont val="Tahoma"/>
            <family val="2"/>
          </rPr>
          <t>Salaire Net - La réduction des cotisations sur les Hrs Supp et les Hrs complémentaires.</t>
        </r>
      </text>
    </comment>
    <comment ref="AR91" authorId="0" shapeId="0" xr:uid="{00000000-0006-0000-2100-000028000000}">
      <text>
        <r>
          <rPr>
            <sz val="9"/>
            <color indexed="81"/>
            <rFont val="Tahoma"/>
            <family val="2"/>
          </rPr>
          <t>Modification manuelle du nombre de jours inclus dans l'ICCP pour l'année précédente</t>
        </r>
      </text>
    </comment>
    <comment ref="AS91" authorId="0" shapeId="0" xr:uid="{00000000-0006-0000-2100-000029000000}">
      <text>
        <r>
          <rPr>
            <sz val="9"/>
            <color indexed="81"/>
            <rFont val="Tahoma"/>
            <family val="2"/>
          </rPr>
          <t xml:space="preserve">Modification manuelle du nombre de jours inclus dans l'ICCP pour l'année en cours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2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200-000002000000}">
      <text>
        <r>
          <rPr>
            <sz val="9"/>
            <color indexed="81"/>
            <rFont val="Tahoma"/>
            <family val="2"/>
          </rPr>
          <t xml:space="preserve">Préciser le motif de la rupture
</t>
        </r>
      </text>
    </comment>
    <comment ref="CE5" authorId="0" shapeId="0" xr:uid="{00000000-0006-0000-22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2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2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2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200-000008000000}">
      <text>
        <r>
          <rPr>
            <b/>
            <sz val="8"/>
            <color indexed="81"/>
            <rFont val="Tahoma"/>
            <family val="2"/>
          </rPr>
          <t>Heures complémentaires non prévues au contrat</t>
        </r>
      </text>
    </comment>
    <comment ref="AU18" authorId="0" shapeId="0" xr:uid="{38260F3A-101D-4219-90F4-700E283CAC42}">
      <text>
        <r>
          <rPr>
            <b/>
            <sz val="9"/>
            <color indexed="81"/>
            <rFont val="Tahoma"/>
            <family val="2"/>
          </rPr>
          <t>Heures majorées supplémentaires non prévues au contrat</t>
        </r>
      </text>
    </comment>
    <comment ref="AZ18" authorId="1" shapeId="0" xr:uid="{00000000-0006-0000-22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44CF48E5-BA54-44D7-B0E9-8807DC1C45E6}">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2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200-00000D000000}">
      <text>
        <r>
          <rPr>
            <sz val="9"/>
            <color indexed="81"/>
            <rFont val="Tahoma"/>
            <family val="2"/>
          </rPr>
          <t xml:space="preserve">Nombre d'heures
</t>
        </r>
      </text>
    </comment>
    <comment ref="P23" authorId="0" shapeId="0" xr:uid="{00000000-0006-0000-2200-00000E000000}">
      <text>
        <r>
          <rPr>
            <sz val="9"/>
            <color indexed="81"/>
            <rFont val="Tahoma"/>
            <family val="2"/>
          </rPr>
          <t>Montant de la majoration :
Salaire horaire brut X taux majoration</t>
        </r>
      </text>
    </comment>
    <comment ref="L24" authorId="0" shapeId="0" xr:uid="{00000000-0006-0000-2200-00000F000000}">
      <text>
        <r>
          <rPr>
            <sz val="9"/>
            <color indexed="81"/>
            <rFont val="Tahoma"/>
            <family val="2"/>
          </rPr>
          <t>Nombre d'heures</t>
        </r>
      </text>
    </comment>
    <comment ref="P24" authorId="0" shapeId="0" xr:uid="{00000000-0006-0000-2200-000010000000}">
      <text>
        <r>
          <rPr>
            <sz val="9"/>
            <color indexed="81"/>
            <rFont val="Tahoma"/>
            <family val="2"/>
          </rPr>
          <t>Montant de la majoration :
Salaire horaire brut X taux majoration</t>
        </r>
      </text>
    </comment>
    <comment ref="T25" authorId="0" shapeId="0" xr:uid="{00000000-0006-0000-2200-000011000000}">
      <text>
        <r>
          <rPr>
            <sz val="9"/>
            <color indexed="81"/>
            <rFont val="Tahoma"/>
            <family val="2"/>
          </rPr>
          <t>Vous pouvez retrouver le détail du calcul dans la feuille "Retenue" correspondante à ce mois</t>
        </r>
      </text>
    </comment>
    <comment ref="T26" authorId="0" shapeId="0" xr:uid="{00000000-0006-0000-2200-000012000000}">
      <text>
        <r>
          <rPr>
            <sz val="9"/>
            <color indexed="81"/>
            <rFont val="Tahoma"/>
            <family val="2"/>
          </rPr>
          <t>Vous pouvez retrouver le détail du calcul dans la feuille "Retenue" correspondante à ce mois</t>
        </r>
      </text>
    </comment>
    <comment ref="T27" authorId="0" shapeId="0" xr:uid="{00000000-0006-0000-22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2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2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677F91A6-BD6C-45E1-8F08-7FA5389351B8}">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200-000017000000}">
      <text>
        <r>
          <rPr>
            <b/>
            <sz val="9"/>
            <color indexed="81"/>
            <rFont val="Tahoma"/>
            <family val="2"/>
          </rPr>
          <t>On inclut pour son calcul la prime de précarité</t>
        </r>
      </text>
    </comment>
    <comment ref="BZ44" authorId="2" shapeId="0" xr:uid="{00000000-0006-0000-22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002499C0-8759-4B4C-BEDE-CFB94E42EDBA}">
      <text>
        <r>
          <rPr>
            <sz val="9"/>
            <color indexed="81"/>
            <rFont val="Tahoma"/>
            <family val="2"/>
          </rPr>
          <t xml:space="preserve">Choisir un montant minimum. 
Attention :
Dois respecter le minimum conventionnel et le minimum légal pour 9h
</t>
        </r>
      </text>
    </comment>
    <comment ref="CE54" authorId="0" shapeId="0" xr:uid="{6749753D-2831-458D-BA41-6A1302F873C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222F0409-C06E-4331-BB89-5E691F33AAE3}">
      <text>
        <r>
          <rPr>
            <sz val="9"/>
            <color indexed="81"/>
            <rFont val="Tahoma"/>
            <family val="2"/>
          </rPr>
          <t xml:space="preserve">Modifier le montant de l'heure
</t>
        </r>
      </text>
    </comment>
    <comment ref="CE57" authorId="0" shapeId="0" xr:uid="{773BF0DB-AAE2-4945-A626-D7531100121D}">
      <text>
        <r>
          <rPr>
            <sz val="9"/>
            <color indexed="81"/>
            <rFont val="Tahoma"/>
            <family val="2"/>
          </rPr>
          <t xml:space="preserve">Choisir un montant minimum. 
Attention :
Dois respecter le minimum conventionnel et le minimum légal pour 9h
</t>
        </r>
      </text>
    </comment>
    <comment ref="CE58" authorId="0" shapeId="0" xr:uid="{45E089F6-62A4-4A36-A703-0821752BF5C4}">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1FD2FDDC-4FD4-4F3D-A8B8-E9CEEA36DF67}">
      <text>
        <r>
          <rPr>
            <sz val="9"/>
            <color indexed="81"/>
            <rFont val="Tahoma"/>
            <family val="2"/>
          </rPr>
          <t xml:space="preserve">Permet de modifier le libellé
</t>
        </r>
      </text>
    </comment>
    <comment ref="AX62" authorId="0" shapeId="0" xr:uid="{410E3E66-A2D1-456F-A66D-C069B1A59B88}">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2E2EDF4E-3171-445A-9047-7D2054FCF37B}">
      <text>
        <r>
          <rPr>
            <sz val="9"/>
            <color indexed="81"/>
            <rFont val="Tahoma"/>
            <family val="2"/>
          </rPr>
          <t xml:space="preserve">Choisir le format du chiffre : 
en heures ou en jours
Exemple : afficher 3 jrs ou 3 hrs
</t>
        </r>
      </text>
    </comment>
    <comment ref="BA62" authorId="0" shapeId="0" xr:uid="{9DD87E96-136C-4FE3-BC06-006C7BF64C3E}">
      <text>
        <r>
          <rPr>
            <sz val="9"/>
            <color indexed="81"/>
            <rFont val="Tahoma"/>
            <family val="2"/>
          </rPr>
          <t>Modifier le taux</t>
        </r>
      </text>
    </comment>
    <comment ref="AQ63" authorId="0" shapeId="0" xr:uid="{B04C58BC-AFBC-4F7F-89E8-FB2B460557A4}">
      <text>
        <r>
          <rPr>
            <sz val="9"/>
            <color indexed="81"/>
            <rFont val="Tahoma"/>
            <family val="2"/>
          </rPr>
          <t>Permet de modifier le libellé</t>
        </r>
      </text>
    </comment>
    <comment ref="AX63" authorId="0" shapeId="0" xr:uid="{35373626-0413-45FF-8612-25AA78A15EBB}">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AD4BD89D-90EF-44B6-B629-CCCA70C7666E}">
      <text>
        <r>
          <rPr>
            <sz val="9"/>
            <color indexed="81"/>
            <rFont val="Tahoma"/>
            <family val="2"/>
          </rPr>
          <t xml:space="preserve">Choisir le format du chiffre : 
en heures ou en jours
Exemple : afficher 3 jrs ou 3 hrs
</t>
        </r>
      </text>
    </comment>
    <comment ref="BA63" authorId="0" shapeId="0" xr:uid="{24D0C663-79AC-4776-89DB-4B399251463C}">
      <text>
        <r>
          <rPr>
            <sz val="9"/>
            <color indexed="81"/>
            <rFont val="Tahoma"/>
            <family val="2"/>
          </rPr>
          <t>Modifier le taux</t>
        </r>
      </text>
    </comment>
    <comment ref="BA65" authorId="0" shapeId="0" xr:uid="{00000000-0006-0000-22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2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2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200-00001F000000}">
      <text>
        <r>
          <rPr>
            <b/>
            <sz val="9"/>
            <color indexed="8"/>
            <rFont val="Tahoma"/>
            <family val="2"/>
            <charset val="1"/>
          </rPr>
          <t xml:space="preserve">Nombre de kilomètres
</t>
        </r>
      </text>
    </comment>
    <comment ref="K69" authorId="2" shapeId="0" xr:uid="{00000000-0006-0000-2200-000020000000}">
      <text>
        <r>
          <rPr>
            <b/>
            <sz val="9"/>
            <color indexed="8"/>
            <rFont val="Tahoma"/>
            <family val="2"/>
            <charset val="1"/>
          </rPr>
          <t>Tarif du Kilomètre négocié avec les parents</t>
        </r>
      </text>
    </comment>
    <comment ref="BA69" authorId="0" shapeId="0" xr:uid="{00000000-0006-0000-22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200-000022000000}">
      <text>
        <r>
          <rPr>
            <sz val="9"/>
            <color indexed="81"/>
            <rFont val="Tahoma"/>
            <family val="2"/>
          </rPr>
          <t xml:space="preserve">Saisir le nombre avec le signe - devant
</t>
        </r>
      </text>
    </comment>
    <comment ref="AL84" authorId="0" shapeId="0" xr:uid="{69F91727-8827-4221-A259-2D1AF8B5997C}">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200-000026000000}">
      <text>
        <r>
          <rPr>
            <sz val="9"/>
            <color indexed="81"/>
            <rFont val="Tahoma"/>
            <family val="2"/>
          </rPr>
          <t>Salaire Net - La réduction des cotisations sur les Hrs Supp et les Hrs complémentaires.</t>
        </r>
      </text>
    </comment>
    <comment ref="AR91" authorId="0" shapeId="0" xr:uid="{00000000-0006-0000-2200-000028000000}">
      <text>
        <r>
          <rPr>
            <sz val="9"/>
            <color indexed="81"/>
            <rFont val="Tahoma"/>
            <family val="2"/>
          </rPr>
          <t>Modification manuelle du nombre de jours inclus dans l'ICCP pour l'année précédente</t>
        </r>
      </text>
    </comment>
    <comment ref="AS91" authorId="0" shapeId="0" xr:uid="{00000000-0006-0000-2200-000029000000}">
      <text>
        <r>
          <rPr>
            <sz val="9"/>
            <color indexed="81"/>
            <rFont val="Tahoma"/>
            <family val="2"/>
          </rPr>
          <t xml:space="preserve">Modification manuelle du nombre de jours inclus dans l'ICCP pour l'année en cours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600-000001000000}">
      <text>
        <r>
          <rPr>
            <sz val="9"/>
            <color indexed="81"/>
            <rFont val="Tahoma"/>
            <family val="2"/>
          </rPr>
          <t xml:space="preserve">Pour saisir par exemple 8h30 mettre 8:30
</t>
        </r>
      </text>
    </comment>
    <comment ref="B7" authorId="0" shapeId="0" xr:uid="{00000000-0006-0000-0600-000002000000}">
      <text>
        <r>
          <rPr>
            <sz val="9"/>
            <color indexed="81"/>
            <rFont val="Tahoma"/>
            <family val="2"/>
          </rPr>
          <t xml:space="preserve">Pour saisir par exemple 8h30 mettre 8:30
</t>
        </r>
      </text>
    </comment>
    <comment ref="C7" authorId="0" shapeId="0" xr:uid="{00000000-0006-0000-0600-000003000000}">
      <text>
        <r>
          <rPr>
            <sz val="9"/>
            <color indexed="81"/>
            <rFont val="Tahoma"/>
            <family val="2"/>
          </rPr>
          <t xml:space="preserve">Pour saisir par exemple 8h30 mettre 8:30
</t>
        </r>
      </text>
    </comment>
    <comment ref="D7" authorId="0" shapeId="0" xr:uid="{00000000-0006-0000-0600-000004000000}">
      <text>
        <r>
          <rPr>
            <sz val="9"/>
            <color indexed="81"/>
            <rFont val="Tahoma"/>
            <family val="2"/>
          </rPr>
          <t xml:space="preserve">Pour saisir par exemple 8h30 mettre 8:30
</t>
        </r>
      </text>
    </comment>
    <comment ref="E7" authorId="0" shapeId="0" xr:uid="{00000000-0006-0000-0600-000005000000}">
      <text>
        <r>
          <rPr>
            <sz val="9"/>
            <color indexed="81"/>
            <rFont val="Tahoma"/>
            <family val="2"/>
          </rPr>
          <t xml:space="preserve">Pour saisir par exemple 8h30 mettre 8:30
</t>
        </r>
      </text>
    </comment>
    <comment ref="B8" authorId="0" shapeId="0" xr:uid="{C98F2501-ED26-4DB0-AEC2-0B3C5945F900}">
      <text>
        <r>
          <rPr>
            <sz val="9"/>
            <color indexed="81"/>
            <rFont val="Tahoma"/>
            <family val="2"/>
          </rPr>
          <t xml:space="preserve">Pour saisir par exemple 8h30 mettre 8:30
</t>
        </r>
      </text>
    </comment>
    <comment ref="C8" authorId="0" shapeId="0" xr:uid="{EB56FA4F-B092-431F-A1FD-481AC970E78D}">
      <text>
        <r>
          <rPr>
            <sz val="9"/>
            <color indexed="81"/>
            <rFont val="Tahoma"/>
            <family val="2"/>
          </rPr>
          <t xml:space="preserve">Pour saisir par exemple 8h30 mettre 8:30
</t>
        </r>
      </text>
    </comment>
    <comment ref="D8" authorId="0" shapeId="0" xr:uid="{00000000-0006-0000-0600-000008000000}">
      <text>
        <r>
          <rPr>
            <sz val="9"/>
            <color indexed="81"/>
            <rFont val="Tahoma"/>
            <family val="2"/>
          </rPr>
          <t xml:space="preserve">Pour saisir par exemple 8h30 mettre 8:30
</t>
        </r>
      </text>
    </comment>
    <comment ref="E8" authorId="0" shapeId="0" xr:uid="{00000000-0006-0000-0600-000009000000}">
      <text>
        <r>
          <rPr>
            <sz val="9"/>
            <color indexed="81"/>
            <rFont val="Tahoma"/>
            <family val="2"/>
          </rPr>
          <t xml:space="preserve">Pour saisir par exemple 8h30 mettre 8:30
</t>
        </r>
      </text>
    </comment>
    <comment ref="X8" authorId="0" shapeId="0" xr:uid="{00000000-0006-0000-0600-00000A000000}">
      <text>
        <r>
          <rPr>
            <sz val="9"/>
            <color indexed="81"/>
            <rFont val="Tahoma"/>
            <family val="2"/>
          </rPr>
          <t xml:space="preserve">Pour saisir par exemple 8h30 mettre 8:30
</t>
        </r>
      </text>
    </comment>
    <comment ref="Y8" authorId="0" shapeId="0" xr:uid="{00000000-0006-0000-0600-00000B000000}">
      <text>
        <r>
          <rPr>
            <sz val="9"/>
            <color indexed="81"/>
            <rFont val="Tahoma"/>
            <family val="2"/>
          </rPr>
          <t xml:space="preserve">Pour saisir par exemple 8h30 mettre 8:30
</t>
        </r>
      </text>
    </comment>
    <comment ref="B9" authorId="0" shapeId="0" xr:uid="{4AE6584A-3BF9-4EC6-B08B-21496B0AF235}">
      <text>
        <r>
          <rPr>
            <sz val="9"/>
            <color indexed="81"/>
            <rFont val="Tahoma"/>
            <family val="2"/>
          </rPr>
          <t xml:space="preserve">Pour saisir par exemple 8h30 mettre 8:30
</t>
        </r>
      </text>
    </comment>
    <comment ref="C9" authorId="0" shapeId="0" xr:uid="{B0F99B25-4B4C-474D-9EE6-0F6781C86F7F}">
      <text>
        <r>
          <rPr>
            <sz val="9"/>
            <color indexed="81"/>
            <rFont val="Tahoma"/>
            <family val="2"/>
          </rPr>
          <t xml:space="preserve">Pour saisir par exemple 8h30 mettre 8:30
</t>
        </r>
      </text>
    </comment>
    <comment ref="D9" authorId="0" shapeId="0" xr:uid="{00000000-0006-0000-0600-00000E000000}">
      <text>
        <r>
          <rPr>
            <sz val="9"/>
            <color indexed="81"/>
            <rFont val="Tahoma"/>
            <family val="2"/>
          </rPr>
          <t xml:space="preserve">Pour saisir par exemple 8h30 mettre 8:30
</t>
        </r>
      </text>
    </comment>
    <comment ref="E9" authorId="0" shapeId="0" xr:uid="{00000000-0006-0000-0600-00000F000000}">
      <text>
        <r>
          <rPr>
            <sz val="9"/>
            <color indexed="81"/>
            <rFont val="Tahoma"/>
            <family val="2"/>
          </rPr>
          <t xml:space="preserve">Pour saisir par exemple 8h30 mettre 8:30
</t>
        </r>
      </text>
    </comment>
    <comment ref="X9" authorId="0" shapeId="0" xr:uid="{00000000-0006-0000-0600-000010000000}">
      <text>
        <r>
          <rPr>
            <sz val="9"/>
            <color indexed="81"/>
            <rFont val="Tahoma"/>
            <family val="2"/>
          </rPr>
          <t xml:space="preserve">Pour saisir par exemple 8h30 mettre 8:30
</t>
        </r>
      </text>
    </comment>
    <comment ref="Y9" authorId="0" shapeId="0" xr:uid="{00000000-0006-0000-0600-000011000000}">
      <text>
        <r>
          <rPr>
            <sz val="9"/>
            <color indexed="81"/>
            <rFont val="Tahoma"/>
            <family val="2"/>
          </rPr>
          <t xml:space="preserve">Pour saisir par exemple 8h30 mettre 8:30
</t>
        </r>
      </text>
    </comment>
    <comment ref="B10" authorId="0" shapeId="0" xr:uid="{F6AF10A3-8005-4226-91C9-10E5D341BEB3}">
      <text>
        <r>
          <rPr>
            <sz val="9"/>
            <color indexed="81"/>
            <rFont val="Tahoma"/>
            <family val="2"/>
          </rPr>
          <t xml:space="preserve">Pour saisir par exemple 8h30 mettre 8:30
</t>
        </r>
      </text>
    </comment>
    <comment ref="C10" authorId="0" shapeId="0" xr:uid="{45931661-790F-47D7-B18F-9B2A37E50D84}">
      <text>
        <r>
          <rPr>
            <sz val="9"/>
            <color indexed="81"/>
            <rFont val="Tahoma"/>
            <family val="2"/>
          </rPr>
          <t xml:space="preserve">Pour saisir par exemple 8h30 mettre 8:30
</t>
        </r>
      </text>
    </comment>
    <comment ref="D10" authorId="0" shapeId="0" xr:uid="{00000000-0006-0000-0600-000014000000}">
      <text>
        <r>
          <rPr>
            <sz val="9"/>
            <color indexed="81"/>
            <rFont val="Tahoma"/>
            <family val="2"/>
          </rPr>
          <t xml:space="preserve">Pour saisir par exemple 8h30 mettre 8:30
</t>
        </r>
      </text>
    </comment>
    <comment ref="E10" authorId="0" shapeId="0" xr:uid="{00000000-0006-0000-0600-000015000000}">
      <text>
        <r>
          <rPr>
            <sz val="9"/>
            <color indexed="81"/>
            <rFont val="Tahoma"/>
            <family val="2"/>
          </rPr>
          <t xml:space="preserve">Pour saisir par exemple 8h30 mettre 8:30
</t>
        </r>
      </text>
    </comment>
    <comment ref="X10" authorId="0" shapeId="0" xr:uid="{00000000-0006-0000-0600-000016000000}">
      <text>
        <r>
          <rPr>
            <sz val="9"/>
            <color indexed="81"/>
            <rFont val="Tahoma"/>
            <family val="2"/>
          </rPr>
          <t xml:space="preserve">Pour saisir par exemple 8h30 mettre 8:30
</t>
        </r>
      </text>
    </comment>
    <comment ref="Y10" authorId="0" shapeId="0" xr:uid="{00000000-0006-0000-0600-000017000000}">
      <text>
        <r>
          <rPr>
            <sz val="9"/>
            <color indexed="81"/>
            <rFont val="Tahoma"/>
            <family val="2"/>
          </rPr>
          <t xml:space="preserve">Pour saisir par exemple 8h30 mettre 8:30
</t>
        </r>
      </text>
    </comment>
    <comment ref="B11" authorId="0" shapeId="0" xr:uid="{9C2BEEAB-5635-419C-AAD7-50B1E69AD7EB}">
      <text>
        <r>
          <rPr>
            <sz val="9"/>
            <color indexed="81"/>
            <rFont val="Tahoma"/>
            <family val="2"/>
          </rPr>
          <t xml:space="preserve">Pour saisir par exemple 8h30 mettre 8:30
</t>
        </r>
      </text>
    </comment>
    <comment ref="C11" authorId="0" shapeId="0" xr:uid="{ADDD20EB-EF93-4F2B-AE85-C57E420AB644}">
      <text>
        <r>
          <rPr>
            <sz val="9"/>
            <color indexed="81"/>
            <rFont val="Tahoma"/>
            <family val="2"/>
          </rPr>
          <t xml:space="preserve">Pour saisir par exemple 8h30 mettre 8:30
</t>
        </r>
      </text>
    </comment>
    <comment ref="D11" authorId="0" shapeId="0" xr:uid="{00000000-0006-0000-0600-00001A000000}">
      <text>
        <r>
          <rPr>
            <sz val="9"/>
            <color indexed="81"/>
            <rFont val="Tahoma"/>
            <family val="2"/>
          </rPr>
          <t xml:space="preserve">Pour saisir par exemple 8h30 mettre 8:30
</t>
        </r>
      </text>
    </comment>
    <comment ref="E11" authorId="0" shapeId="0" xr:uid="{00000000-0006-0000-0600-00001B000000}">
      <text>
        <r>
          <rPr>
            <sz val="9"/>
            <color indexed="81"/>
            <rFont val="Tahoma"/>
            <family val="2"/>
          </rPr>
          <t xml:space="preserve">Pour saisir par exemple 8h30 mettre 8:30
</t>
        </r>
      </text>
    </comment>
    <comment ref="X11" authorId="0" shapeId="0" xr:uid="{00000000-0006-0000-0600-00001C000000}">
      <text>
        <r>
          <rPr>
            <sz val="9"/>
            <color indexed="81"/>
            <rFont val="Tahoma"/>
            <family val="2"/>
          </rPr>
          <t xml:space="preserve">Pour saisir par exemple 8h30 mettre 8:30
</t>
        </r>
      </text>
    </comment>
    <comment ref="Y11" authorId="0" shapeId="0" xr:uid="{00000000-0006-0000-0600-00001D000000}">
      <text>
        <r>
          <rPr>
            <sz val="9"/>
            <color indexed="81"/>
            <rFont val="Tahoma"/>
            <family val="2"/>
          </rPr>
          <t xml:space="preserve">Pour saisir par exemple 8h30 mettre 8:30
</t>
        </r>
      </text>
    </comment>
    <comment ref="B12" authorId="0" shapeId="0" xr:uid="{A8736850-BE63-43B8-8F9B-6A8139EB1915}">
      <text>
        <r>
          <rPr>
            <sz val="9"/>
            <color indexed="81"/>
            <rFont val="Tahoma"/>
            <family val="2"/>
          </rPr>
          <t xml:space="preserve">Pour saisir par exemple 8h30 mettre 8:30
</t>
        </r>
      </text>
    </comment>
    <comment ref="C12" authorId="0" shapeId="0" xr:uid="{88CDB183-B674-4840-B346-B44F2FA104F7}">
      <text>
        <r>
          <rPr>
            <sz val="9"/>
            <color indexed="81"/>
            <rFont val="Tahoma"/>
            <family val="2"/>
          </rPr>
          <t xml:space="preserve">Pour saisir par exemple 8h30 mettre 8:30
</t>
        </r>
      </text>
    </comment>
    <comment ref="D12" authorId="0" shapeId="0" xr:uid="{00000000-0006-0000-0600-000020000000}">
      <text>
        <r>
          <rPr>
            <sz val="9"/>
            <color indexed="81"/>
            <rFont val="Tahoma"/>
            <family val="2"/>
          </rPr>
          <t xml:space="preserve">Pour saisir par exemple 8h30 mettre 8:30
</t>
        </r>
      </text>
    </comment>
    <comment ref="E12" authorId="0" shapeId="0" xr:uid="{00000000-0006-0000-0600-000021000000}">
      <text>
        <r>
          <rPr>
            <sz val="9"/>
            <color indexed="81"/>
            <rFont val="Tahoma"/>
            <family val="2"/>
          </rPr>
          <t xml:space="preserve">Pour saisir par exemple 8h30 mettre 8:30
</t>
        </r>
      </text>
    </comment>
    <comment ref="B13" authorId="0" shapeId="0" xr:uid="{00000000-0006-0000-0600-000022000000}">
      <text>
        <r>
          <rPr>
            <sz val="9"/>
            <color indexed="81"/>
            <rFont val="Tahoma"/>
            <family val="2"/>
          </rPr>
          <t xml:space="preserve">Pour saisir par exemple 8h30 mettre 8:30
</t>
        </r>
      </text>
    </comment>
    <comment ref="C13" authorId="0" shapeId="0" xr:uid="{00000000-0006-0000-0600-000023000000}">
      <text>
        <r>
          <rPr>
            <sz val="9"/>
            <color indexed="81"/>
            <rFont val="Tahoma"/>
            <family val="2"/>
          </rPr>
          <t xml:space="preserve">Pour saisir par exemple 8h30 mettre 8:30
</t>
        </r>
      </text>
    </comment>
    <comment ref="D13" authorId="0" shapeId="0" xr:uid="{00000000-0006-0000-0600-000024000000}">
      <text>
        <r>
          <rPr>
            <sz val="9"/>
            <color indexed="81"/>
            <rFont val="Tahoma"/>
            <family val="2"/>
          </rPr>
          <t xml:space="preserve">Pour saisir par exemple 8h30 mettre 8:30
</t>
        </r>
      </text>
    </comment>
    <comment ref="E13" authorId="0" shapeId="0" xr:uid="{00000000-0006-0000-0600-000025000000}">
      <text>
        <r>
          <rPr>
            <sz val="9"/>
            <color indexed="81"/>
            <rFont val="Tahoma"/>
            <family val="2"/>
          </rPr>
          <t xml:space="preserve">Pour saisir par exemple 8h30 mettre 8:30
</t>
        </r>
      </text>
    </comment>
    <comment ref="E29" authorId="0" shapeId="0" xr:uid="{00000000-0006-0000-0600-00002E000000}">
      <text>
        <r>
          <rPr>
            <b/>
            <sz val="9"/>
            <color indexed="81"/>
            <rFont val="Tahoma"/>
            <family val="2"/>
          </rPr>
          <t>Ne peut être compris entre 47 et 51 semaines</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3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300-000002000000}">
      <text>
        <r>
          <rPr>
            <sz val="9"/>
            <color indexed="81"/>
            <rFont val="Tahoma"/>
            <family val="2"/>
          </rPr>
          <t xml:space="preserve">Préciser le motif de la rupture
</t>
        </r>
      </text>
    </comment>
    <comment ref="CE5" authorId="0" shapeId="0" xr:uid="{00000000-0006-0000-23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3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3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3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300-000008000000}">
      <text>
        <r>
          <rPr>
            <b/>
            <sz val="8"/>
            <color indexed="81"/>
            <rFont val="Tahoma"/>
            <family val="2"/>
          </rPr>
          <t>Heures complémentaires non prévues au contrat</t>
        </r>
      </text>
    </comment>
    <comment ref="AU18" authorId="0" shapeId="0" xr:uid="{860906C0-FF13-4BA4-87A8-34079A3637AE}">
      <text>
        <r>
          <rPr>
            <b/>
            <sz val="9"/>
            <color indexed="81"/>
            <rFont val="Tahoma"/>
            <family val="2"/>
          </rPr>
          <t>Heures majorées supplémentaires non prévues au contrat</t>
        </r>
      </text>
    </comment>
    <comment ref="AZ18" authorId="1" shapeId="0" xr:uid="{00000000-0006-0000-23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320C2158-5CA5-452B-A3DB-448A9324CBDB}">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3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300-00000D000000}">
      <text>
        <r>
          <rPr>
            <sz val="9"/>
            <color indexed="81"/>
            <rFont val="Tahoma"/>
            <family val="2"/>
          </rPr>
          <t xml:space="preserve">Nombre d'heures
</t>
        </r>
      </text>
    </comment>
    <comment ref="P23" authorId="0" shapeId="0" xr:uid="{00000000-0006-0000-2300-00000E000000}">
      <text>
        <r>
          <rPr>
            <sz val="9"/>
            <color indexed="81"/>
            <rFont val="Tahoma"/>
            <family val="2"/>
          </rPr>
          <t>Montant de la majoration :
Salaire horaire brut X taux majoration</t>
        </r>
      </text>
    </comment>
    <comment ref="L24" authorId="0" shapeId="0" xr:uid="{00000000-0006-0000-2300-00000F000000}">
      <text>
        <r>
          <rPr>
            <sz val="9"/>
            <color indexed="81"/>
            <rFont val="Tahoma"/>
            <family val="2"/>
          </rPr>
          <t>Nombre d'heures</t>
        </r>
      </text>
    </comment>
    <comment ref="P24" authorId="0" shapeId="0" xr:uid="{00000000-0006-0000-2300-000010000000}">
      <text>
        <r>
          <rPr>
            <sz val="9"/>
            <color indexed="81"/>
            <rFont val="Tahoma"/>
            <family val="2"/>
          </rPr>
          <t>Montant de la majoration :
Salaire horaire brut X taux majoration</t>
        </r>
      </text>
    </comment>
    <comment ref="T25" authorId="0" shapeId="0" xr:uid="{00000000-0006-0000-2300-000011000000}">
      <text>
        <r>
          <rPr>
            <sz val="9"/>
            <color indexed="81"/>
            <rFont val="Tahoma"/>
            <family val="2"/>
          </rPr>
          <t>Vous pouvez retrouver le détail du calcul dans la feuille "Retenue" correspondante à ce mois</t>
        </r>
      </text>
    </comment>
    <comment ref="T26" authorId="0" shapeId="0" xr:uid="{00000000-0006-0000-2300-000012000000}">
      <text>
        <r>
          <rPr>
            <sz val="9"/>
            <color indexed="81"/>
            <rFont val="Tahoma"/>
            <family val="2"/>
          </rPr>
          <t>Vous pouvez retrouver le détail du calcul dans la feuille "Retenue" correspondante à ce mois</t>
        </r>
      </text>
    </comment>
    <comment ref="T27" authorId="0" shapeId="0" xr:uid="{00000000-0006-0000-23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3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3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9E686C41-F06D-46AC-86BC-28702CA7BB5E}">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300-000017000000}">
      <text>
        <r>
          <rPr>
            <b/>
            <sz val="9"/>
            <color indexed="81"/>
            <rFont val="Tahoma"/>
            <family val="2"/>
          </rPr>
          <t>On inclut pour son calcul la prime de précarité</t>
        </r>
      </text>
    </comment>
    <comment ref="BZ44" authorId="2" shapeId="0" xr:uid="{00000000-0006-0000-2300-000018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3FCDC9ED-D8D7-46DC-A5D8-AB33B02C8CFB}">
      <text>
        <r>
          <rPr>
            <sz val="9"/>
            <color indexed="81"/>
            <rFont val="Tahoma"/>
            <family val="2"/>
          </rPr>
          <t xml:space="preserve">Choisir un montant minimum. 
Attention :
Dois respecter le minimum conventionnel et le minimum légal pour 9h
</t>
        </r>
      </text>
    </comment>
    <comment ref="CE54" authorId="0" shapeId="0" xr:uid="{1825C39A-A0C6-44FB-8FC2-379BFA8099D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701066A5-A115-41C4-A995-A76BD488F409}">
      <text>
        <r>
          <rPr>
            <sz val="9"/>
            <color indexed="81"/>
            <rFont val="Tahoma"/>
            <family val="2"/>
          </rPr>
          <t xml:space="preserve">Modifier le montant de l'heure
</t>
        </r>
      </text>
    </comment>
    <comment ref="CE57" authorId="0" shapeId="0" xr:uid="{113F48DC-E901-4F11-80FC-BAA31127C280}">
      <text>
        <r>
          <rPr>
            <sz val="9"/>
            <color indexed="81"/>
            <rFont val="Tahoma"/>
            <family val="2"/>
          </rPr>
          <t xml:space="preserve">Choisir un montant minimum. 
Attention :
Dois respecter le minimum conventionnel et le minimum légal pour 9h
</t>
        </r>
      </text>
    </comment>
    <comment ref="CE58" authorId="0" shapeId="0" xr:uid="{97EC71BC-7F07-479B-8597-F28655C5023F}">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A113A471-330A-4C48-AA0E-87F620A0CDF2}">
      <text>
        <r>
          <rPr>
            <sz val="9"/>
            <color indexed="81"/>
            <rFont val="Tahoma"/>
            <family val="2"/>
          </rPr>
          <t xml:space="preserve">Permet de modifier le libellé
</t>
        </r>
      </text>
    </comment>
    <comment ref="AX62" authorId="0" shapeId="0" xr:uid="{F8F4BC42-C125-40B2-92FE-037DAEFA0221}">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9129C38B-E7F7-4E05-904B-B4D44F75469F}">
      <text>
        <r>
          <rPr>
            <sz val="9"/>
            <color indexed="81"/>
            <rFont val="Tahoma"/>
            <family val="2"/>
          </rPr>
          <t xml:space="preserve">Choisir le format du chiffre : 
en heures ou en jours
Exemple : afficher 3 jrs ou 3 hrs
</t>
        </r>
      </text>
    </comment>
    <comment ref="BA62" authorId="0" shapeId="0" xr:uid="{3E659890-F875-4B30-897C-07CC417E7BDA}">
      <text>
        <r>
          <rPr>
            <sz val="9"/>
            <color indexed="81"/>
            <rFont val="Tahoma"/>
            <family val="2"/>
          </rPr>
          <t>Modifier le taux</t>
        </r>
      </text>
    </comment>
    <comment ref="AQ63" authorId="0" shapeId="0" xr:uid="{E62AB7D4-AEA3-4396-A349-102A73D4B517}">
      <text>
        <r>
          <rPr>
            <sz val="9"/>
            <color indexed="81"/>
            <rFont val="Tahoma"/>
            <family val="2"/>
          </rPr>
          <t>Permet de modifier le libellé</t>
        </r>
      </text>
    </comment>
    <comment ref="AX63" authorId="0" shapeId="0" xr:uid="{BD748E30-2D89-45A9-8188-686697F1DF89}">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5A739925-E842-4436-977F-6DB4774DE4C5}">
      <text>
        <r>
          <rPr>
            <sz val="9"/>
            <color indexed="81"/>
            <rFont val="Tahoma"/>
            <family val="2"/>
          </rPr>
          <t xml:space="preserve">Choisir le format du chiffre : 
en heures ou en jours
Exemple : afficher 3 jrs ou 3 hrs
</t>
        </r>
      </text>
    </comment>
    <comment ref="BA63" authorId="0" shapeId="0" xr:uid="{8218A8A9-5955-4D80-9E80-9D19B15E796C}">
      <text>
        <r>
          <rPr>
            <sz val="9"/>
            <color indexed="81"/>
            <rFont val="Tahoma"/>
            <family val="2"/>
          </rPr>
          <t>Modifier le taux</t>
        </r>
      </text>
    </comment>
    <comment ref="BA65" authorId="0" shapeId="0" xr:uid="{00000000-0006-0000-2300-00001C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300-00001D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300-00001E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300-00001F000000}">
      <text>
        <r>
          <rPr>
            <b/>
            <sz val="9"/>
            <color indexed="8"/>
            <rFont val="Tahoma"/>
            <family val="2"/>
            <charset val="1"/>
          </rPr>
          <t xml:space="preserve">Nombre de kilomètres
</t>
        </r>
      </text>
    </comment>
    <comment ref="K69" authorId="2" shapeId="0" xr:uid="{00000000-0006-0000-2300-000020000000}">
      <text>
        <r>
          <rPr>
            <b/>
            <sz val="9"/>
            <color indexed="8"/>
            <rFont val="Tahoma"/>
            <family val="2"/>
            <charset val="1"/>
          </rPr>
          <t>Tarif du Kilomètre négocié avec les parents</t>
        </r>
      </text>
    </comment>
    <comment ref="BA69" authorId="0" shapeId="0" xr:uid="{00000000-0006-0000-2300-000021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300-000022000000}">
      <text>
        <r>
          <rPr>
            <sz val="9"/>
            <color indexed="81"/>
            <rFont val="Tahoma"/>
            <family val="2"/>
          </rPr>
          <t xml:space="preserve">Saisir le nombre avec le signe - devant
</t>
        </r>
      </text>
    </comment>
    <comment ref="AL84" authorId="0" shapeId="0" xr:uid="{8F638879-457D-4895-9D7F-950B6BA948E2}">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300-000026000000}">
      <text>
        <r>
          <rPr>
            <sz val="9"/>
            <color indexed="81"/>
            <rFont val="Tahoma"/>
            <family val="2"/>
          </rPr>
          <t>Salaire Net - La réduction des cotisations sur les Hrs Supp et les Hrs complémentaires.</t>
        </r>
      </text>
    </comment>
    <comment ref="AR91" authorId="0" shapeId="0" xr:uid="{00000000-0006-0000-2300-000028000000}">
      <text>
        <r>
          <rPr>
            <sz val="9"/>
            <color indexed="81"/>
            <rFont val="Tahoma"/>
            <family val="2"/>
          </rPr>
          <t>Modification manuelle du nombre de jours inclus dans l'ICCP pour l'année précédente</t>
        </r>
      </text>
    </comment>
    <comment ref="AS91" authorId="0" shapeId="0" xr:uid="{00000000-0006-0000-2300-000029000000}">
      <text>
        <r>
          <rPr>
            <sz val="9"/>
            <color indexed="81"/>
            <rFont val="Tahoma"/>
            <family val="2"/>
          </rPr>
          <t xml:space="preserve">Modification manuelle du nombre de jours inclus dans l'ICCP pour l'année en cours
</t>
        </r>
      </text>
    </comment>
    <comment ref="AL99" authorId="0" shapeId="0" xr:uid="{B40FB425-AFC1-416C-8131-B64C2306DE3A}">
      <text>
        <r>
          <rPr>
            <sz val="9"/>
            <color indexed="81"/>
            <rFont val="Tahoma"/>
            <family val="2"/>
          </rPr>
          <t xml:space="preserve">Si les congés pris sont inférieurs à 12 jours consécutifs alors pas de jours de fractionnement
</t>
        </r>
      </text>
    </comment>
    <comment ref="AH101" authorId="0" shapeId="0" xr:uid="{00000000-0006-0000-2300-00002A000000}">
      <text>
        <r>
          <rPr>
            <sz val="9"/>
            <color indexed="81"/>
            <rFont val="Tahoma"/>
            <family val="2"/>
          </rPr>
          <t xml:space="preserve">Modification manuelle du nombre de jours de fractionnement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POUTEAU</author>
    <author>david</author>
    <author/>
  </authors>
  <commentList>
    <comment ref="BZ2" authorId="0" shapeId="0" xr:uid="{00000000-0006-0000-2400-000001000000}">
      <text>
        <r>
          <rPr>
            <sz val="9"/>
            <color indexed="81"/>
            <rFont val="Tahoma"/>
            <family val="2"/>
          </rPr>
          <t>Si vous souhaitez modifier la fiche info de référence faites votre choix dans la liste. 
Pour les mois précédents le mois du début de contrat laisser " A préciser"</t>
        </r>
      </text>
    </comment>
    <comment ref="CE3" authorId="0" shapeId="0" xr:uid="{00000000-0006-0000-2400-000002000000}">
      <text>
        <r>
          <rPr>
            <sz val="9"/>
            <color indexed="81"/>
            <rFont val="Tahoma"/>
            <family val="2"/>
          </rPr>
          <t xml:space="preserve">Préciser le motif de la rupture
</t>
        </r>
      </text>
    </comment>
    <comment ref="CE5" authorId="0" shapeId="0" xr:uid="{00000000-0006-0000-2400-000003000000}">
      <text>
        <r>
          <rPr>
            <sz val="9"/>
            <color indexed="81"/>
            <rFont val="Tahoma"/>
            <family val="2"/>
          </rPr>
          <t>Ne saisir la date de fin de contrat que lors de la préparation du dernier bulletin de salaire.
La date de fin doit être dans ce mois</t>
        </r>
      </text>
    </comment>
    <comment ref="BZ8" authorId="0" shapeId="0" xr:uid="{00000000-0006-0000-2400-000004000000}">
      <text>
        <r>
          <rPr>
            <sz val="9"/>
            <color indexed="81"/>
            <rFont val="Tahoma"/>
            <family val="2"/>
          </rPr>
          <t xml:space="preserve">Si vous souhaitez modifier la case "Dernier bulletin de salaire du contrat" faites votre choix dans la liste. 
Si vous souhaitez reprendre la même que le mois précédent selectionnez la 1ère proposition
</t>
        </r>
      </text>
    </comment>
    <comment ref="CE8" authorId="0" shapeId="0" xr:uid="{00000000-0006-0000-2400-000005000000}">
      <text>
        <r>
          <rPr>
            <sz val="9"/>
            <color indexed="81"/>
            <rFont val="Tahoma"/>
            <family val="2"/>
          </rPr>
          <t>Ne saisir la date de notification du licenciement ou de la rupture que lors de la préparation du dernier bulletin de salaire.
Se référer au tampon de la poste</t>
        </r>
        <r>
          <rPr>
            <b/>
            <sz val="9"/>
            <color indexed="81"/>
            <rFont val="Tahoma"/>
            <family val="2"/>
          </rPr>
          <t xml:space="preserve">
</t>
        </r>
      </text>
    </comment>
    <comment ref="AR18" authorId="0" shapeId="0" xr:uid="{00000000-0006-0000-2400-000007000000}">
      <text>
        <r>
          <rPr>
            <sz val="9"/>
            <color indexed="81"/>
            <rFont val="Tahoma"/>
            <family val="2"/>
          </rPr>
          <t xml:space="preserve">Sélectionner CP pour la pose de congés payés </t>
        </r>
        <r>
          <rPr>
            <b/>
            <sz val="9"/>
            <color indexed="81"/>
            <rFont val="Tahoma"/>
            <family val="2"/>
          </rPr>
          <t xml:space="preserve">acquis </t>
        </r>
        <r>
          <rPr>
            <sz val="9"/>
            <color indexed="81"/>
            <rFont val="Tahoma"/>
            <family val="2"/>
          </rPr>
          <t xml:space="preserve">sur </t>
        </r>
        <r>
          <rPr>
            <b/>
            <sz val="9"/>
            <color indexed="81"/>
            <rFont val="Tahoma"/>
            <family val="2"/>
          </rPr>
          <t>les jours ouvrables</t>
        </r>
        <r>
          <rPr>
            <sz val="9"/>
            <color indexed="81"/>
            <rFont val="Tahoma"/>
            <family val="2"/>
          </rPr>
          <t xml:space="preserve"> (lundi mardi mercredi jeudi vendredi samedi)
CP Acq : Mettre ce choix pour la prise de CP acquis l'année de référence (Année Précédente) 
CP Ant : Mettre ce choix pour la prise de CP par anticipation (que pour les années complètes). </t>
        </r>
      </text>
    </comment>
    <comment ref="AT18" authorId="1" shapeId="0" xr:uid="{00000000-0006-0000-2400-000008000000}">
      <text>
        <r>
          <rPr>
            <b/>
            <sz val="8"/>
            <color indexed="81"/>
            <rFont val="Tahoma"/>
            <family val="2"/>
          </rPr>
          <t>Heures complémentaires non prévues au contrat</t>
        </r>
      </text>
    </comment>
    <comment ref="AU18" authorId="0" shapeId="0" xr:uid="{D862ACCA-F610-439D-A89F-523F3293F222}">
      <text>
        <r>
          <rPr>
            <b/>
            <sz val="9"/>
            <color indexed="81"/>
            <rFont val="Tahoma"/>
            <family val="2"/>
          </rPr>
          <t>Heures majorées supplémentaires non prévues au contrat</t>
        </r>
      </text>
    </comment>
    <comment ref="AZ18" authorId="1" shapeId="0" xr:uid="{00000000-0006-0000-2400-00000A000000}">
      <text>
        <r>
          <rPr>
            <b/>
            <sz val="8"/>
            <color indexed="81"/>
            <rFont val="Tahoma"/>
            <family val="2"/>
          </rPr>
          <t>Heures réelles prévues au contrat ou réelles ou Libellés (choisir dans la liste déroulante) Vous pouvez modifier vos libellés dans la feuille "Liste des libellés"</t>
        </r>
        <r>
          <rPr>
            <sz val="8"/>
            <color indexed="81"/>
            <rFont val="Tahoma"/>
            <family val="2"/>
          </rPr>
          <t xml:space="preserve">
Cette colonne permet de modifier la colonne Heures/Libellés. 
Dans cette colonne vous pouvez choisir</t>
        </r>
        <r>
          <rPr>
            <b/>
            <sz val="8"/>
            <color indexed="81"/>
            <rFont val="Tahoma"/>
            <family val="2"/>
          </rPr>
          <t xml:space="preserve"> soit un libellé soit saisir un nombre d'heures</t>
        </r>
        <r>
          <rPr>
            <sz val="8"/>
            <color indexed="81"/>
            <rFont val="Tahoma"/>
            <family val="2"/>
          </rPr>
          <t xml:space="preserve">
Pour mettre des cellules vides dans la colonne Heures/Libellés mettre 0 ici
Pour faire apparaître les heures prévues de la fiche info laisser la cellule vide en faisant "supp" dessus
Exemples pour remplir la colonne Heures/Libellés et HRS Eff (différentes situations)
Ex1 :  journée au contrat prévue de 10 h    l'enfant est venu 10h on met 10h dans la colonne Heures/Libellés et 10h se mettront automatiquement dans la colonne HRS Eff 
Ex 2 : journée au contrat prévue de 10 h    l'enfant est venu 9h45 car parti plus tôt on met 10h dans la colonne Heures/Libellés et 10h se mettront automatiquement dans la colonne HRS Eff
Ex 3 : journée au contrat prévue de 10 h    l'enfant est venu 10h15 car parti plus tard on met 10h et on rajoute dans la colonne heures complémentaires ou supplémentaires 0.25 et 10h se mettront automatiquement dans la colonne HRS Eff
Ex 4 : journée au contrat prévue de 10 h    l'enfant est absent pour maladie avec certificat donc déduction de la journée, je met MLEF (ou votre libellé personnalisé que vous avez choisi dans la feuille "Liste des libellés") dans la colonne Heures/Libellés et MLEF se mettra automatiquement dans la colonne HRS Eff
Ex 5 : journée au contrat prévue de 10 h    l'enfant est absent mais non prévue pas de déduction de salaire je mets ABS dans la colonne Heures/Libellés (ou votre libellé personnalisé que vous avez choisi dans la feuille "Liste des libellés") et automatiquement 10h se mettront dans la colonne HRS Eff (car cette journée est payée et les 10h sont des heures effectives, elle rentre dans la régularisation)
Ex 6 : journée au contrat prévue de 10 h    l'enfant est absent pour maladie à partir de la moitié de la journée si je souhaite déduire je mets 5 h dans la colonne Heures/Libellés et automatiquement dans la colone HRS Eff 5h s'affiche.
Ex 7 : journée au contrat prévue de 10 h    la journée est fériée et je n'accueille pas l'enfant, je mets F. payé  (ou votre libellé personnalisé que vous avez choisi dans la feuille "Liste des libellés") dans la colonne Heures/Libellés et 10h se mettront automatiquement dans la colonne HRS Eff car cette journée est payée ( si plus de 3 mois d'ancienneté / clause contractuelle plus avantageuse. Dans la nouvelle convention le délai de 3 mois disparait) et sinon F. Déduit  (ou votre libellé personnalisé que vous avez choisi dans la feuille "Liste des libellés") dans la colonne Heures/Libellés et automatiquement ce libellé s'affiche dans la colonne  HRS Eff  comme elle n'est pas payée et une réduction sur salaire s'enclenche.
</t>
        </r>
        <r>
          <rPr>
            <b/>
            <sz val="8"/>
            <color indexed="81"/>
            <rFont val="Tahoma"/>
            <family val="2"/>
          </rPr>
          <t xml:space="preserve">
Attention au fin de contrat : Si un contrat se termine le 20/07 et que vous ne deviez pas accueillir l'enfant du 20/07 au 31/07 (semaine déduite), vous devez mettre 0 dans la colonne Heures/Libellés, HRS Eff et mettre manuelement "non" au niveau de la retenue sur salaire</t>
        </r>
      </text>
    </comment>
    <comment ref="BA18" authorId="0" shapeId="0" xr:uid="{C416D0F2-3248-4FC9-B3ED-FDF96CD0BD8E}">
      <text>
        <r>
          <rPr>
            <sz val="8"/>
            <color indexed="81"/>
            <rFont val="Tahoma"/>
            <family val="2"/>
          </rPr>
          <t xml:space="preserve">Cette colonne permet de modifier la colonne "HRS à payer hors HC/HS" du bulletin.
Les HRS à payer hors HC/HS sont les heures qui doivent payées de ce mois
En année complète, les congés payés acquis ou anticipés affichent des heures à payer. (En effet les semaines de congés payés sont incluses dans la mensualisation)
</t>
        </r>
        <r>
          <rPr>
            <b/>
            <sz val="8"/>
            <color indexed="81"/>
            <rFont val="Tahoma"/>
            <family val="2"/>
          </rPr>
          <t xml:space="preserve">Normalement il n'est plus nécessaire d'utiliser cette colonne c'est pour cela que j'ai mis une autre couleur.
</t>
        </r>
      </text>
    </comment>
    <comment ref="BC18" authorId="0" shapeId="0" xr:uid="{00000000-0006-0000-2400-00000C000000}">
      <text>
        <r>
          <rPr>
            <sz val="9"/>
            <color indexed="81"/>
            <rFont val="Tahoma"/>
            <family val="2"/>
          </rPr>
          <t>Dans cette colonne l'outil calcule la différence entre la durée de la journée prévue et la durée de la journée que vous avez modifié manuellement. 
Exemples : 
L'enfant devait venir 10h et l'AM prends une journée pour convenance personnelle. Donc prévu 10 h, la durée de la journée est maintenant de 0h car vous choississez CVP dans la colonne "Heures/Libellés", il calcule donc une retenue de 10h.
L'enfant devait venir 10h mais vous devez prendre 4 hrs en CVP. Donc prévu 10h, la durée de la journée est maintenant de 6h (noter 6h dans la colonne "Heures/Libellés", il calcule une retenue de 4h.</t>
        </r>
      </text>
    </comment>
    <comment ref="L23" authorId="0" shapeId="0" xr:uid="{00000000-0006-0000-2400-00000D000000}">
      <text>
        <r>
          <rPr>
            <sz val="9"/>
            <color indexed="81"/>
            <rFont val="Tahoma"/>
            <family val="2"/>
          </rPr>
          <t xml:space="preserve">Nombre d'heures
</t>
        </r>
      </text>
    </comment>
    <comment ref="P23" authorId="0" shapeId="0" xr:uid="{00000000-0006-0000-2400-00000E000000}">
      <text>
        <r>
          <rPr>
            <sz val="9"/>
            <color indexed="81"/>
            <rFont val="Tahoma"/>
            <family val="2"/>
          </rPr>
          <t>Montant de la majoration :
Salaire horaire brut X taux majoration</t>
        </r>
      </text>
    </comment>
    <comment ref="L24" authorId="0" shapeId="0" xr:uid="{00000000-0006-0000-2400-00000F000000}">
      <text>
        <r>
          <rPr>
            <sz val="9"/>
            <color indexed="81"/>
            <rFont val="Tahoma"/>
            <family val="2"/>
          </rPr>
          <t>Nombre d'heures</t>
        </r>
      </text>
    </comment>
    <comment ref="P24" authorId="0" shapeId="0" xr:uid="{00000000-0006-0000-2400-000010000000}">
      <text>
        <r>
          <rPr>
            <sz val="9"/>
            <color indexed="81"/>
            <rFont val="Tahoma"/>
            <family val="2"/>
          </rPr>
          <t>Montant de la majoration :
Salaire horaire brut X taux majoration</t>
        </r>
      </text>
    </comment>
    <comment ref="T25" authorId="0" shapeId="0" xr:uid="{00000000-0006-0000-2400-000011000000}">
      <text>
        <r>
          <rPr>
            <sz val="9"/>
            <color indexed="81"/>
            <rFont val="Tahoma"/>
            <family val="2"/>
          </rPr>
          <t>Vous pouvez retrouver le détail du calcul dans la feuille "Retenue" correspondante à ce mois</t>
        </r>
      </text>
    </comment>
    <comment ref="T26" authorId="0" shapeId="0" xr:uid="{00000000-0006-0000-2400-000012000000}">
      <text>
        <r>
          <rPr>
            <sz val="9"/>
            <color indexed="81"/>
            <rFont val="Tahoma"/>
            <family val="2"/>
          </rPr>
          <t>Vous pouvez retrouver le détail du calcul dans la feuille "Retenue" correspondante à ce mois</t>
        </r>
      </text>
    </comment>
    <comment ref="T27" authorId="0" shapeId="0" xr:uid="{00000000-0006-0000-2400-000013000000}">
      <text>
        <r>
          <rPr>
            <sz val="9"/>
            <color indexed="81"/>
            <rFont val="Tahoma"/>
            <family val="2"/>
          </rPr>
          <t>Si c'est la méthode 1 utilisée : Maintien de salaire Méthode dite du 1/26è
Le calcul de l'absence pour CP est :
Salaire mensualisé (Hrs normales et Hrs supp) / 26 x nombre de jours ouvrables de congés posés. 
Exemple :
Salaire mensualisé total 800 € et 6 jours ouvrables posées (soit CP ant ou CP acq peu importe)
Montant de l'absence pour CP = 800 / 26 x 6 = 184,61 €</t>
        </r>
      </text>
    </comment>
    <comment ref="T28" authorId="0" shapeId="0" xr:uid="{00000000-0006-0000-2400-000014000000}">
      <text>
        <r>
          <rPr>
            <sz val="9"/>
            <color indexed="81"/>
            <rFont val="Tahoma"/>
            <family val="2"/>
          </rPr>
          <t>Si vous utilisez la méthode 1 et que le montant de l'indemnité pour CP est suppérieur au montant de l'absence pour CP cela veut dire que la méthode des 10% est plus avantageuse que celle du maintien de salaire avec le 1/26è.
Dans ce cas le calcul est le suivant : 
Montant des CP au 31/05 dernier (cellule G94) / jours acquis au 31/05 dernier (cellule G95) x nombre de jours ouvrables de congés posés.</t>
        </r>
      </text>
    </comment>
    <comment ref="L31" authorId="0" shapeId="0" xr:uid="{00000000-0006-0000-2400-000015000000}">
      <text>
        <r>
          <rPr>
            <sz val="9"/>
            <color indexed="81"/>
            <rFont val="Tahoma"/>
            <family val="2"/>
          </rPr>
          <t xml:space="preserve">Si vous souhaitez mettre un autre montant de régularisation que celui calculé automatiquement le saisir dans cette cellule
</t>
        </r>
      </text>
    </comment>
    <comment ref="T31" authorId="0" shapeId="0" xr:uid="{21CA4FBE-6A8F-4A37-8BBF-D6E9713E5081}">
      <text>
        <r>
          <rPr>
            <sz val="9"/>
            <color indexed="81"/>
            <rFont val="Tahoma"/>
            <family val="2"/>
          </rPr>
          <t>S'inscrit automatiquement seulement pour les années incomplètes
Si vous souhaitez une régularisation pour votre contrat le spécifier dans la "fiche info" ou mettre "OUI" dans la cellule AJ135</t>
        </r>
      </text>
    </comment>
    <comment ref="B32" authorId="0" shapeId="0" xr:uid="{00000000-0006-0000-2400-000018000000}">
      <text>
        <r>
          <rPr>
            <b/>
            <sz val="9"/>
            <color indexed="81"/>
            <rFont val="Tahoma"/>
            <family val="2"/>
          </rPr>
          <t>On inclut pour son calcul la prime de précarité</t>
        </r>
      </text>
    </comment>
    <comment ref="BY32" authorId="0" shapeId="0" xr:uid="{00000000-0006-0000-2400-000017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Y33" authorId="0" shapeId="0" xr:uid="{00000000-0006-0000-2400-000019000000}">
      <text>
        <r>
          <rPr>
            <sz val="9"/>
            <color indexed="81"/>
            <rFont val="Tahoma"/>
            <family val="2"/>
          </rPr>
          <t xml:space="preserve">Vérifier que cette semaine n'est pas à cheval sur le mois de décembre et sur le mois de janvier de l'année suivante. Dans ce cas mettre le nombre d'heures total de la semaine sur le mois de janvier de l'année à venir. </t>
        </r>
      </text>
    </comment>
    <comment ref="BZ44" authorId="2" shapeId="0" xr:uid="{00000000-0006-0000-2400-00001A000000}">
      <text>
        <r>
          <rPr>
            <b/>
            <sz val="9"/>
            <color indexed="8"/>
            <rFont val="Tahoma"/>
            <family val="2"/>
            <charset val="1"/>
          </rPr>
          <t xml:space="preserve">Le montant minimum de l'IE peut être fixé, soit à 2.65 € pour toute journée commencée jusqu’à 7h03  d'accueil (CCN) 
ou 90% du montant minimum garanti fixé au 01/01/2022 à 3,76 € soit 3,384 € pour toute journée commencée jusqu’à 9h d’accueil (Loi) 
</t>
        </r>
      </text>
    </comment>
    <comment ref="CE53" authorId="0" shapeId="0" xr:uid="{6BE351BB-12D3-4086-B106-386718DDCF4E}">
      <text>
        <r>
          <rPr>
            <sz val="9"/>
            <color indexed="81"/>
            <rFont val="Tahoma"/>
            <family val="2"/>
          </rPr>
          <t xml:space="preserve">Choisir un montant minimum. 
Attention :
Dois respecter le minimum conventionnel et le minimum légal pour 9h
</t>
        </r>
      </text>
    </comment>
    <comment ref="CE54" authorId="0" shapeId="0" xr:uid="{AA12F82C-78E7-4EA1-9B64-CAED9EDB6BF6}">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CF55" authorId="0" shapeId="0" xr:uid="{8A8AA9AE-467F-435C-A63F-23005922D5D8}">
      <text>
        <r>
          <rPr>
            <sz val="9"/>
            <color indexed="81"/>
            <rFont val="Tahoma"/>
            <family val="2"/>
          </rPr>
          <t xml:space="preserve">Modifier le montant de l'heure
</t>
        </r>
      </text>
    </comment>
    <comment ref="CE57" authorId="0" shapeId="0" xr:uid="{A5EE3F3A-58CA-4273-B4D1-B41957F3E268}">
      <text>
        <r>
          <rPr>
            <sz val="9"/>
            <color indexed="81"/>
            <rFont val="Tahoma"/>
            <family val="2"/>
          </rPr>
          <t xml:space="preserve">Choisir un montant minimum. 
Attention :
Dois respecter le minimum conventionnel et le minimum légal pour 9h
</t>
        </r>
      </text>
    </comment>
    <comment ref="CE58" authorId="0" shapeId="0" xr:uid="{BD83D395-6F09-4E1B-9414-929CACBF70F3}">
      <text>
        <r>
          <rPr>
            <b/>
            <sz val="9"/>
            <color indexed="81"/>
            <rFont val="Tahoma"/>
            <family val="2"/>
          </rPr>
          <t>Durée en centième</t>
        </r>
        <r>
          <rPr>
            <sz val="9"/>
            <color indexed="81"/>
            <rFont val="Tahoma"/>
            <family val="2"/>
          </rPr>
          <t xml:space="preserve">
Vous pouvez saisir une durée à virgule même si ce n'est pas par défaut dans la liste déroulante (ex : 9,50 heures)</t>
        </r>
      </text>
    </comment>
    <comment ref="AQ62" authorId="0" shapeId="0" xr:uid="{3059FA4C-3FEB-4843-9A02-07DB82C81995}">
      <text>
        <r>
          <rPr>
            <sz val="9"/>
            <color indexed="81"/>
            <rFont val="Tahoma"/>
            <family val="2"/>
          </rPr>
          <t xml:space="preserve">Permet de modifier le libellé
</t>
        </r>
      </text>
    </comment>
    <comment ref="AX62" authorId="0" shapeId="0" xr:uid="{F47CC478-2E94-4EDF-9A4C-8641D32669A0}">
      <text>
        <r>
          <rPr>
            <sz val="9"/>
            <color indexed="81"/>
            <rFont val="Tahoma"/>
            <family val="2"/>
          </rPr>
          <t xml:space="preserve">Mettre le nombre de jours de l'entretien si vous souhaitez faire une modification du nombre de jours calculés
Ne jamais mettre 0 sauf si vous souhaitez volontairement un nombre de jours de 0
Soit vous mettez un nombre supérieur à 0
Soit  vous laissez la cellule vide
</t>
        </r>
      </text>
    </comment>
    <comment ref="AZ62" authorId="0" shapeId="0" xr:uid="{34A70BD5-6D28-4DB8-83DC-691730C47BB4}">
      <text>
        <r>
          <rPr>
            <sz val="9"/>
            <color indexed="81"/>
            <rFont val="Tahoma"/>
            <family val="2"/>
          </rPr>
          <t xml:space="preserve">Choisir le format du chiffre : 
en heures ou en jours
Exemple : afficher 3 jrs ou 3 hrs
</t>
        </r>
      </text>
    </comment>
    <comment ref="BA62" authorId="0" shapeId="0" xr:uid="{11C7695D-FC86-41EC-BC09-7BFAE455C977}">
      <text>
        <r>
          <rPr>
            <sz val="9"/>
            <color indexed="81"/>
            <rFont val="Tahoma"/>
            <family val="2"/>
          </rPr>
          <t>Modifier le taux</t>
        </r>
      </text>
    </comment>
    <comment ref="AQ63" authorId="0" shapeId="0" xr:uid="{A3CB6FFE-15CF-42E7-9FD2-35DCA817A458}">
      <text>
        <r>
          <rPr>
            <sz val="9"/>
            <color indexed="81"/>
            <rFont val="Tahoma"/>
            <family val="2"/>
          </rPr>
          <t>Permet de modifier le libellé</t>
        </r>
      </text>
    </comment>
    <comment ref="AX63" authorId="0" shapeId="0" xr:uid="{3734C63E-BEE0-4665-8221-B26675FAD5C0}">
      <text>
        <r>
          <rPr>
            <sz val="9"/>
            <color indexed="81"/>
            <rFont val="Tahoma"/>
            <family val="2"/>
          </rPr>
          <t xml:space="preserve">Mettre le nombre de jours de l'entretien si vous souhaitez faire une modification du nombre de jours calculés
OU 
Mettre le nombre d'heures si vous souhaitez faire une modification du nombre d'heures calculées
Ne jamais mettre 0 sauf si vous souhaitez volontairement un nombre de jours de 0
Soit vous mettez un nombre supérieur à 0
Soit  vous laissez la cellule vide
</t>
        </r>
      </text>
    </comment>
    <comment ref="AZ63" authorId="0" shapeId="0" xr:uid="{803D165F-F907-4623-B3D1-AA22FA9FE2E6}">
      <text>
        <r>
          <rPr>
            <sz val="9"/>
            <color indexed="81"/>
            <rFont val="Tahoma"/>
            <family val="2"/>
          </rPr>
          <t xml:space="preserve">Choisir le format du chiffre : 
en heures ou en jours
Exemple : afficher 3 jrs ou 3 hrs
</t>
        </r>
      </text>
    </comment>
    <comment ref="BA63" authorId="0" shapeId="0" xr:uid="{D0F7800D-EBF2-417C-9B39-1DAC80DE7F1D}">
      <text>
        <r>
          <rPr>
            <sz val="9"/>
            <color indexed="81"/>
            <rFont val="Tahoma"/>
            <family val="2"/>
          </rPr>
          <t>Modifier le taux</t>
        </r>
      </text>
    </comment>
    <comment ref="BA65" authorId="0" shapeId="0" xr:uid="{00000000-0006-0000-2400-00001E000000}">
      <text>
        <r>
          <rPr>
            <sz val="9"/>
            <color indexed="81"/>
            <rFont val="Tahoma"/>
            <family val="2"/>
          </rPr>
          <t>Mettre le montant du repas par jour s'il n'a pas été saisi le mois précédent ou s'il est différent.
Ne jamais mettre 0 sauf si vous souhaitez volontairement un montant de 0
Soit vous mettez un nombre supérieur à 0
Soit  vous laissez la cellule vide</t>
        </r>
      </text>
    </comment>
    <comment ref="BA66" authorId="0" shapeId="0" xr:uid="{00000000-0006-0000-2400-00001F000000}">
      <text>
        <r>
          <rPr>
            <sz val="9"/>
            <color indexed="81"/>
            <rFont val="Tahoma"/>
            <family val="2"/>
          </rPr>
          <t>Mettre le nombre de jour de repas si vous souhaitez faire une modification du nombre de jours calculés automatiquement
Ne jamais mettre 0 sauf si vous souhaitez volontairement un nombre de jours de 0
Soit vous mettez un nombre supérieur à 0
Soit  vous laissez la cellule vide</t>
        </r>
      </text>
    </comment>
    <comment ref="BA68" authorId="0" shapeId="0" xr:uid="{00000000-0006-0000-2400-000020000000}">
      <text>
        <r>
          <rPr>
            <sz val="9"/>
            <color indexed="81"/>
            <rFont val="Tahoma"/>
            <family val="2"/>
          </rPr>
          <t>Mettre le montant du goûter par jour s'il n'a pas été saisi le mois précédent ou s'il est différent.
Ne jamais mettre 0 sauf si vous souhaitez volontairement un montant de 0
Soit vous mettez un nombre supérieur à 0
Soit  vous laissez la cellule vide</t>
        </r>
      </text>
    </comment>
    <comment ref="H69" authorId="2" shapeId="0" xr:uid="{00000000-0006-0000-2400-000021000000}">
      <text>
        <r>
          <rPr>
            <b/>
            <sz val="9"/>
            <color indexed="8"/>
            <rFont val="Tahoma"/>
            <family val="2"/>
            <charset val="1"/>
          </rPr>
          <t xml:space="preserve">Nombre de kilomètres
</t>
        </r>
      </text>
    </comment>
    <comment ref="K69" authorId="2" shapeId="0" xr:uid="{00000000-0006-0000-2400-000022000000}">
      <text>
        <r>
          <rPr>
            <b/>
            <sz val="9"/>
            <color indexed="8"/>
            <rFont val="Tahoma"/>
            <family val="2"/>
            <charset val="1"/>
          </rPr>
          <t>Tarif du Kilomètre négocié avec les parents</t>
        </r>
      </text>
    </comment>
    <comment ref="BA69" authorId="0" shapeId="0" xr:uid="{00000000-0006-0000-2400-000023000000}">
      <text>
        <r>
          <rPr>
            <sz val="9"/>
            <color indexed="81"/>
            <rFont val="Tahoma"/>
            <family val="2"/>
          </rPr>
          <t>Mettre le nombre de jours de goûter si vous souhaitez faire une modification du nombre de jours calculés automatiquement
Ne jamais mettre 0 sauf si vous souhaitez volontairement un nombre de jours de 0
Soit vous mettez un nombre supérieur à 0
Soit  vous laissez la cellule vide</t>
        </r>
      </text>
    </comment>
    <comment ref="CC74" authorId="0" shapeId="0" xr:uid="{00000000-0006-0000-2400-000024000000}">
      <text>
        <r>
          <rPr>
            <sz val="9"/>
            <color indexed="81"/>
            <rFont val="Tahoma"/>
            <family val="2"/>
          </rPr>
          <t xml:space="preserve">Saisir le nombre avec le signe - devant
</t>
        </r>
      </text>
    </comment>
    <comment ref="AL84" authorId="0" shapeId="0" xr:uid="{FFA8CBC3-00A8-4B23-99D7-3DEB58A6ED3E}">
      <text>
        <r>
          <rPr>
            <sz val="9"/>
            <color indexed="81"/>
            <rFont val="Tahoma"/>
            <family val="2"/>
          </rPr>
          <t xml:space="preserve">Précision : 
Pour l'année complète, on acquiert 2,5 jours de CP pour 1 mois travaillé.
Exemple 1 : Sur le mois vous avez travaillé 100% du temps prévu (nombre de jours travaillés = nombre de jours prévus), l'outil affichera 1 mois et vous allez acquérir 2,5 jours
Exemple 2 : Sur le mois vous avez travaillé 80% du temps prévu (nombre de jours travaillés / nombre de jours prévus = 0,80), l'outil affichera 1 x 0,80 = 0,8 mois et vous allez acquérir 0,8 x 2,5 = 2 jours
Pour l'année incomplète, on acquiert 2,5 jours de CP pour 4 semaines travaillées.
Pour chaque mois, l'outil calcule le nombre de semaines qui servira au calcul du nombre de jours de cp acquis.
</t>
        </r>
      </text>
    </comment>
    <comment ref="BZ86" authorId="0" shapeId="0" xr:uid="{00000000-0006-0000-2400-000028000000}">
      <text>
        <r>
          <rPr>
            <sz val="9"/>
            <color indexed="81"/>
            <rFont val="Tahoma"/>
            <family val="2"/>
          </rPr>
          <t>Salaire Net - La réduction des cotisations sur les Hrs Supp et les Hrs complémentaires.</t>
        </r>
      </text>
    </comment>
    <comment ref="AR91" authorId="0" shapeId="0" xr:uid="{00000000-0006-0000-2400-00002A000000}">
      <text>
        <r>
          <rPr>
            <sz val="9"/>
            <color indexed="81"/>
            <rFont val="Tahoma"/>
            <family val="2"/>
          </rPr>
          <t>Modification manuelle du nombre de jours inclus dans l'ICCP pour l'année précédente</t>
        </r>
      </text>
    </comment>
    <comment ref="AS91" authorId="0" shapeId="0" xr:uid="{00000000-0006-0000-2400-00002B000000}">
      <text>
        <r>
          <rPr>
            <sz val="9"/>
            <color indexed="81"/>
            <rFont val="Tahoma"/>
            <family val="2"/>
          </rPr>
          <t xml:space="preserve">Modification manuelle du nombre de jours inclus dans l'ICCP pour l'année en cours
</t>
        </r>
      </text>
    </comment>
    <comment ref="AR93" authorId="0" shapeId="0" xr:uid="{00000000-0006-0000-2400-00002C000000}">
      <text>
        <r>
          <rPr>
            <sz val="9"/>
            <color indexed="81"/>
            <rFont val="Tahoma"/>
            <family val="2"/>
          </rPr>
          <t xml:space="preserve">Jours de fractionnement disponible au 31/12
Saississez le nombre de jours de qu'il vous reste à prendre au 31/12
Ex 1 : Si au 30/11 il vous reste 2 jours de fractionnement à prendre et que vous n'avez pris aucun de ces jours sur décembre vous saisissez 2 
Ex 2 : Si au 30/11 il vous reste 2 jours de fractionnement à prendre et que vous avez pris 1 jour sur décembre vous saisissez 1  ou +2-1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F80" authorId="0" shapeId="0" xr:uid="{00000000-0006-0000-2600-000001000000}">
      <text>
        <r>
          <rPr>
            <b/>
            <sz val="9"/>
            <color indexed="81"/>
            <rFont val="Tahoma"/>
            <family val="2"/>
          </rPr>
          <t>Reporter le solde des heures en euros à régulariser de l'année précédente</t>
        </r>
        <r>
          <rPr>
            <sz val="9"/>
            <color indexed="81"/>
            <rFont val="Tahoma"/>
            <family val="2"/>
          </rPr>
          <t xml:space="preserve">
Si vous n'avez pas ce solde sur l'année précédente vous pouvez le calculer : 
report du solde des hrs à régulariser X taux horaire brut</t>
        </r>
      </text>
    </comment>
    <comment ref="AM89" authorId="0" shapeId="0" xr:uid="{00000000-0006-0000-2600-000002000000}">
      <text>
        <r>
          <rPr>
            <b/>
            <sz val="9"/>
            <color indexed="81"/>
            <rFont val="Tahoma"/>
            <family val="2"/>
          </rPr>
          <t>Montant du solde à régulariser à reporter sur l'outil BS de l'année prochaine dans la feuille régularisation dans la cellule E58</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3" authorId="0" shapeId="0" xr:uid="{00000000-0006-0000-2800-000001000000}">
      <text>
        <r>
          <rPr>
            <b/>
            <sz val="9"/>
            <color indexed="81"/>
            <rFont val="Tahoma"/>
            <family val="2"/>
          </rPr>
          <t xml:space="preserve">Salaire mensualisé x 12 mois / Nbre de semaines programmées
</t>
        </r>
      </text>
    </comment>
    <comment ref="D32" authorId="0" shapeId="0" xr:uid="{00000000-0006-0000-2800-000002000000}">
      <text>
        <r>
          <rPr>
            <b/>
            <sz val="9"/>
            <color indexed="81"/>
            <rFont val="Tahoma"/>
            <family val="2"/>
          </rPr>
          <t>Si vous avez des enfants de moins de 15 ans ou ayant un handicap il faut le noter sur la feuille "Identification"</t>
        </r>
      </text>
    </comment>
    <comment ref="F41" authorId="0" shapeId="0" xr:uid="{00000000-0006-0000-28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B49" authorId="0" shapeId="0" xr:uid="{00000000-0006-0000-2800-000004000000}">
      <text>
        <r>
          <rPr>
            <sz val="10"/>
            <rFont val="Arial"/>
            <family val="2"/>
          </rPr>
          <t>Salaires bruts sans les indemnitées de congés payés
Ce montant inclus les réintégrations de salaire lors d'arrêt de maladie, d'accident du travail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D15" authorId="0" shapeId="0" xr:uid="{00000000-0006-0000-2900-000001000000}">
      <text>
        <r>
          <rPr>
            <b/>
            <sz val="9"/>
            <color indexed="81"/>
            <rFont val="Tahoma"/>
            <family val="2"/>
          </rPr>
          <t xml:space="preserve">Salaire mensualisé x 12 mois / Nbre de semaines programmées
</t>
        </r>
      </text>
    </comment>
    <comment ref="D30" authorId="0" shapeId="0" xr:uid="{00000000-0006-0000-2900-000002000000}">
      <text>
        <r>
          <rPr>
            <b/>
            <sz val="9"/>
            <color indexed="81"/>
            <rFont val="Tahoma"/>
            <family val="2"/>
          </rPr>
          <t>Si vous avez des enfants de moins de 15 ans ou ayant un handicap il faut le noter sur la feuille "Identification"</t>
        </r>
      </text>
    </comment>
    <comment ref="F35" authorId="0" shapeId="0" xr:uid="{00000000-0006-0000-2900-000003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37" authorId="0" shapeId="0" xr:uid="{00000000-0006-0000-2900-000004000000}">
      <text>
        <r>
          <rPr>
            <sz val="9"/>
            <color indexed="81"/>
            <rFont val="Tahoma"/>
            <family val="2"/>
          </rPr>
          <t xml:space="preserve">Dans cette case on met les jours de CP pris, qui ont été acquis lors de l'année de référence ci dessus 
</t>
        </r>
      </text>
    </comment>
    <comment ref="F39" authorId="0" shapeId="0" xr:uid="{00000000-0006-0000-2900-000005000000}">
      <text>
        <r>
          <rPr>
            <b/>
            <sz val="9"/>
            <color indexed="81"/>
            <rFont val="Tahoma"/>
            <family val="2"/>
          </rPr>
          <t>Ne peut pas dépasser 30 jours.
Sauf si le salarié à moins de 21 ans au 30/04 de l'année précédente.
Si le salarié à moins de 21 ans au 30/04 de l'année précédente et si le congé acquis ne dépasse pas 6 jours, le congé supplémentaire est réduit à un  jour.</t>
        </r>
      </text>
    </comment>
    <comment ref="D101" authorId="0" shapeId="0" xr:uid="{00000000-0006-0000-2900-000006000000}">
      <text>
        <r>
          <rPr>
            <b/>
            <sz val="9"/>
            <color indexed="81"/>
            <rFont val="Tahoma"/>
            <family val="2"/>
          </rPr>
          <t>Heures mensualisées x 12 mois / Nbre de semaines programmées</t>
        </r>
        <r>
          <rPr>
            <sz val="9"/>
            <color indexed="81"/>
            <rFont val="Tahoma"/>
            <family val="2"/>
          </rPr>
          <t xml:space="preserve">
</t>
        </r>
      </text>
    </comment>
    <comment ref="F121" authorId="0" shapeId="0" xr:uid="{00000000-0006-0000-2900-000007000000}">
      <text>
        <r>
          <rPr>
            <b/>
            <sz val="9"/>
            <color indexed="81"/>
            <rFont val="Tahoma"/>
            <family val="2"/>
          </rPr>
          <t>Ne peut pas dépasser 30 jours</t>
        </r>
      </text>
    </comment>
    <comment ref="D123" authorId="0" shapeId="0" xr:uid="{00000000-0006-0000-2900-000008000000}">
      <text>
        <r>
          <rPr>
            <sz val="9"/>
            <color indexed="81"/>
            <rFont val="Tahoma"/>
            <family val="2"/>
          </rPr>
          <t xml:space="preserve">Dans cette case on met les jours de CP pris, qui ont été acquis lors de l'année de référence ci dessus 
</t>
        </r>
      </text>
    </comment>
    <comment ref="F125" authorId="0" shapeId="0" xr:uid="{00000000-0006-0000-2900-000009000000}">
      <text>
        <r>
          <rPr>
            <b/>
            <sz val="9"/>
            <color indexed="81"/>
            <rFont val="Tahoma"/>
            <family val="2"/>
          </rPr>
          <t>Ne peut pas dépasser 30 jours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GQ2" authorId="0" shapeId="0" xr:uid="{CB451753-E768-41D6-87C6-BD5A6BEB3050}">
      <text>
        <r>
          <rPr>
            <b/>
            <sz val="9"/>
            <color indexed="81"/>
            <rFont val="Tahoma"/>
            <family val="2"/>
          </rPr>
          <t>Montant abs cp acq + ant</t>
        </r>
      </text>
    </comment>
    <comment ref="GR2" authorId="0" shapeId="0" xr:uid="{121AD0FF-6135-4CE7-9424-E98FE3BBD9D3}">
      <text>
        <r>
          <rPr>
            <b/>
            <sz val="9"/>
            <color indexed="81"/>
            <rFont val="Tahoma"/>
            <family val="2"/>
          </rPr>
          <t>Montant indemnité cp acq + ant</t>
        </r>
      </text>
    </comment>
    <comment ref="GS2" authorId="0" shapeId="0" xr:uid="{40D76BC9-6B5F-4663-940D-30BEBEA9E614}">
      <text>
        <r>
          <rPr>
            <b/>
            <sz val="9"/>
            <color indexed="81"/>
            <rFont val="Tahoma"/>
            <family val="2"/>
          </rPr>
          <t>Montant abs cp ant</t>
        </r>
      </text>
    </comment>
    <comment ref="GT2" authorId="0" shapeId="0" xr:uid="{9E1EC91E-8646-4701-BC29-CDD00F91A62C}">
      <text>
        <r>
          <rPr>
            <b/>
            <sz val="9"/>
            <color indexed="81"/>
            <rFont val="Tahoma"/>
            <family val="2"/>
          </rPr>
          <t>Montant indemnité cp ant</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700-000001000000}">
      <text>
        <r>
          <rPr>
            <sz val="9"/>
            <color indexed="81"/>
            <rFont val="Tahoma"/>
            <family val="2"/>
          </rPr>
          <t xml:space="preserve">Pour saisir par exemple 8h30 mettre 8:30
</t>
        </r>
      </text>
    </comment>
    <comment ref="E29" authorId="0" shapeId="0" xr:uid="{00000000-0006-0000-0700-00000A000000}">
      <text>
        <r>
          <rPr>
            <b/>
            <sz val="9"/>
            <color indexed="81"/>
            <rFont val="Tahoma"/>
            <family val="2"/>
          </rPr>
          <t>Ne peut être compris entre 47 et 51 semaines</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800-000001000000}">
      <text>
        <r>
          <rPr>
            <sz val="9"/>
            <color indexed="81"/>
            <rFont val="Tahoma"/>
            <family val="2"/>
          </rPr>
          <t xml:space="preserve">Pour saisir par exemple 8h30 mettre 8:30
</t>
        </r>
      </text>
    </comment>
    <comment ref="E29" authorId="0" shapeId="0" xr:uid="{00000000-0006-0000-0800-00000A000000}">
      <text>
        <r>
          <rPr>
            <b/>
            <sz val="9"/>
            <color indexed="81"/>
            <rFont val="Tahoma"/>
            <family val="2"/>
          </rPr>
          <t>Ne peut être compris entre 47 et 51 semaines</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900-000001000000}">
      <text>
        <r>
          <rPr>
            <sz val="9"/>
            <color indexed="81"/>
            <rFont val="Tahoma"/>
            <family val="2"/>
          </rPr>
          <t xml:space="preserve">Pour saisir par exemple 8h30 mettre 8:30
</t>
        </r>
      </text>
    </comment>
    <comment ref="E29" authorId="0" shapeId="0" xr:uid="{00000000-0006-0000-0900-00000A000000}">
      <text>
        <r>
          <rPr>
            <b/>
            <sz val="9"/>
            <color indexed="81"/>
            <rFont val="Tahoma"/>
            <family val="2"/>
          </rPr>
          <t>Ne peut être compris entre 47 et 51 semaines</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A00-000001000000}">
      <text>
        <r>
          <rPr>
            <sz val="9"/>
            <color indexed="81"/>
            <rFont val="Tahoma"/>
            <family val="2"/>
          </rPr>
          <t xml:space="preserve">Pour saisir par exemple 8h30 mettre 8:30
</t>
        </r>
      </text>
    </comment>
    <comment ref="E29" authorId="0" shapeId="0" xr:uid="{00000000-0006-0000-0A00-00000A000000}">
      <text>
        <r>
          <rPr>
            <b/>
            <sz val="9"/>
            <color indexed="81"/>
            <rFont val="Tahoma"/>
            <family val="2"/>
          </rPr>
          <t>Ne peut être compris entre 47 et 51 semaines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B00-000001000000}">
      <text>
        <r>
          <rPr>
            <sz val="9"/>
            <color indexed="81"/>
            <rFont val="Tahoma"/>
            <family val="2"/>
          </rPr>
          <t xml:space="preserve">Pour saisir par exemple 8h30 mettre 8:30
</t>
        </r>
      </text>
    </comment>
    <comment ref="E29" authorId="0" shapeId="0" xr:uid="{00000000-0006-0000-0B00-00000A000000}">
      <text>
        <r>
          <rPr>
            <b/>
            <sz val="9"/>
            <color indexed="81"/>
            <rFont val="Tahoma"/>
            <family val="2"/>
          </rPr>
          <t>Ne peut être compris entre 47 et 51 semaines</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POUTEAU</author>
  </authors>
  <commentList>
    <comment ref="B6" authorId="0" shapeId="0" xr:uid="{00000000-0006-0000-0C00-000001000000}">
      <text>
        <r>
          <rPr>
            <sz val="9"/>
            <color indexed="81"/>
            <rFont val="Tahoma"/>
            <family val="2"/>
          </rPr>
          <t xml:space="preserve">Pour saisir par exemple 8h30 mettre 8:30
</t>
        </r>
      </text>
    </comment>
    <comment ref="E29" authorId="0" shapeId="0" xr:uid="{00000000-0006-0000-0C00-00000A000000}">
      <text>
        <r>
          <rPr>
            <b/>
            <sz val="9"/>
            <color indexed="81"/>
            <rFont val="Tahoma"/>
            <family val="2"/>
          </rPr>
          <t>Ne peut être compris entre 47 et 51 semaines</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<sst xmlns="http://schemas.openxmlformats.org/spreadsheetml/2006/main" count="18179" uniqueCount="1741">
  <si>
    <t>EMPLOYEUR</t>
  </si>
  <si>
    <t>Nom et prénom :</t>
  </si>
  <si>
    <t>Adresse rue :</t>
  </si>
  <si>
    <t>Adresse CP :</t>
  </si>
  <si>
    <t>Adresse ville :</t>
  </si>
  <si>
    <t>N° Pajemploi :</t>
  </si>
  <si>
    <t>Pajemploi de :</t>
  </si>
  <si>
    <t>Nom de l'enfant :</t>
  </si>
  <si>
    <t>Date début contrat :</t>
  </si>
  <si>
    <t>SALARIE</t>
  </si>
  <si>
    <t>N° Sécurité sociale :</t>
  </si>
  <si>
    <t>Emploi :</t>
  </si>
  <si>
    <t>Année :</t>
  </si>
  <si>
    <t>Début année</t>
  </si>
  <si>
    <t>Taux de prélèvement à la source :</t>
  </si>
  <si>
    <t>Taux conversion net /brut :</t>
  </si>
  <si>
    <t>Jours</t>
  </si>
  <si>
    <t>Lundi</t>
  </si>
  <si>
    <t>Mardi</t>
  </si>
  <si>
    <t>Mercredi</t>
  </si>
  <si>
    <t>Jeudi</t>
  </si>
  <si>
    <t>Vendredi</t>
  </si>
  <si>
    <t>Pajemploi</t>
  </si>
  <si>
    <t>Jours d'activité à déclarer :</t>
  </si>
  <si>
    <t>Suivi Jours de Maladie</t>
  </si>
  <si>
    <t>Enfant :</t>
  </si>
  <si>
    <t>Mois</t>
  </si>
  <si>
    <t>Date</t>
  </si>
  <si>
    <t>Mois :</t>
  </si>
  <si>
    <t>Nom, Prénom :</t>
  </si>
  <si>
    <t>Date contrat :</t>
  </si>
  <si>
    <t>Adresse :</t>
  </si>
  <si>
    <t>Non</t>
  </si>
  <si>
    <t>CP Ville :</t>
  </si>
  <si>
    <t>Convention Collective des Assistants Maternels du Particulier Employeur  - Code NAF : 88.91A</t>
  </si>
  <si>
    <t>N° SS :</t>
  </si>
  <si>
    <t>Heures normales mens. :</t>
  </si>
  <si>
    <t>Salaire horaire brut :</t>
  </si>
  <si>
    <t>Salaire horaire net :</t>
  </si>
  <si>
    <t>REMUNERATION</t>
  </si>
  <si>
    <t>Base</t>
  </si>
  <si>
    <t>Taux</t>
  </si>
  <si>
    <t>Montant</t>
  </si>
  <si>
    <t>Heures</t>
  </si>
  <si>
    <t>HRS comp</t>
  </si>
  <si>
    <t>HRS supp</t>
  </si>
  <si>
    <t>HRS Eff</t>
  </si>
  <si>
    <t>Heures complémentaires</t>
  </si>
  <si>
    <t>-</t>
  </si>
  <si>
    <t>+</t>
  </si>
  <si>
    <t>Régularisation</t>
  </si>
  <si>
    <t>Rémunération brute :</t>
  </si>
  <si>
    <t>Indemnité entretien</t>
  </si>
  <si>
    <t>Réduction cot. HC et HS</t>
  </si>
  <si>
    <t xml:space="preserve">Indemnité entretien </t>
  </si>
  <si>
    <t>Salaire net :</t>
  </si>
  <si>
    <t>INDEMNITES</t>
  </si>
  <si>
    <t>Nombre d'heures normales :</t>
  </si>
  <si>
    <t>Nombre de jours d'activité :</t>
  </si>
  <si>
    <t>Nombre de jours d'accueil :</t>
  </si>
  <si>
    <t>* Nombre de jours calcul Pajemploi :</t>
  </si>
  <si>
    <t>Nombre de jours de 8h et + :</t>
  </si>
  <si>
    <t>Total nombre de jours d'activité :</t>
  </si>
  <si>
    <t>Salaire imposable :</t>
  </si>
  <si>
    <t>Nombre de jours de congés payés :</t>
  </si>
  <si>
    <t>NET Avant Impôt  :</t>
  </si>
  <si>
    <t>HS et HC non impo. :</t>
  </si>
  <si>
    <t>Base prélèvement à la source de l'impôt :</t>
  </si>
  <si>
    <t>Impôt à la source :</t>
  </si>
  <si>
    <t>Indem. imposables :</t>
  </si>
  <si>
    <t xml:space="preserve">Nombre d'heures maj ou supplémentaires : </t>
  </si>
  <si>
    <t>Année en cours</t>
  </si>
  <si>
    <t>Nombre d'heures complémentaires :</t>
  </si>
  <si>
    <t>Fait à :</t>
  </si>
  <si>
    <t>Le :</t>
  </si>
  <si>
    <t>Nombre jours acquis :</t>
  </si>
  <si>
    <t>Signature :</t>
  </si>
  <si>
    <t>Indemnités d'entretien :</t>
  </si>
  <si>
    <t>Reste à prendre :</t>
  </si>
  <si>
    <t>Indemnités de repas :</t>
  </si>
  <si>
    <t>Indemnités kilométriques :</t>
  </si>
  <si>
    <t>Indemnité rupture :</t>
  </si>
  <si>
    <t>Année des revenus :</t>
  </si>
  <si>
    <t>Salaires imposables</t>
  </si>
  <si>
    <t>Nombre de jours (journée + 8 heures)</t>
  </si>
  <si>
    <t>Nombre d'heures (si journée -8 heures)</t>
  </si>
  <si>
    <t>HS et HC non imposable</t>
  </si>
  <si>
    <t>Prélèvement à la source</t>
  </si>
  <si>
    <t>Total</t>
  </si>
  <si>
    <t>MOIS</t>
  </si>
  <si>
    <t>JANVIER</t>
  </si>
  <si>
    <t>FÉVRIER</t>
  </si>
  <si>
    <t>MARS</t>
  </si>
  <si>
    <t>AVRIL</t>
  </si>
  <si>
    <t>MAI</t>
  </si>
  <si>
    <t>JUIN</t>
  </si>
  <si>
    <t>JUILLET</t>
  </si>
  <si>
    <t>AOÛT</t>
  </si>
  <si>
    <t>SEPTEMBRE</t>
  </si>
  <si>
    <t>OCTOBRE</t>
  </si>
  <si>
    <t>NOVEMBRE</t>
  </si>
  <si>
    <t>DÉCEMBRE</t>
  </si>
  <si>
    <t>COTISATIONS</t>
  </si>
  <si>
    <t>Salariales</t>
  </si>
  <si>
    <t>Patronales</t>
  </si>
  <si>
    <t>Heures supp mens. :</t>
  </si>
  <si>
    <t>Gain pouvoir d'achat :</t>
  </si>
  <si>
    <t>Nombre d'hres journée -8h :</t>
  </si>
  <si>
    <t>Baisse cot hres suppl. et compl. :</t>
  </si>
  <si>
    <t>Séc. Soc. Maladie invalidité</t>
  </si>
  <si>
    <t>Retraite :</t>
  </si>
  <si>
    <t>Santé :</t>
  </si>
  <si>
    <t>Famille</t>
  </si>
  <si>
    <t>Accident du travail :</t>
  </si>
  <si>
    <t>Assurance Chômage</t>
  </si>
  <si>
    <t>CSG déductible de l'IR</t>
  </si>
  <si>
    <t>CSG/RDS non déductible de l'IR</t>
  </si>
  <si>
    <t>CSG/RDS non déd sur rev non imp</t>
  </si>
  <si>
    <t>CALCUL RETENUE SUR SALAIRE</t>
  </si>
  <si>
    <t>Nom :</t>
  </si>
  <si>
    <t>1er jour du mois :</t>
  </si>
  <si>
    <t>Nombre d'heures prévues</t>
  </si>
  <si>
    <t>Nbre d'heures normales retenues :</t>
  </si>
  <si>
    <t>Nbre d'heures supp. mensualisées retenues :</t>
  </si>
  <si>
    <t>Total hrs :</t>
  </si>
  <si>
    <t>Total cot. salariales :</t>
  </si>
  <si>
    <t>Total cot. Patronales :</t>
  </si>
  <si>
    <t>Suppression cot. maladie et chômage :</t>
  </si>
  <si>
    <t>Autres cotisations patronales</t>
  </si>
  <si>
    <t>Heures d'absences</t>
  </si>
  <si>
    <t>Régularisation pour un contrat au planning</t>
  </si>
  <si>
    <t>Tableau des heures mensualisés réajustées</t>
  </si>
  <si>
    <t>Hrs mensualisées :</t>
  </si>
  <si>
    <t>Retenue sur salaire :</t>
  </si>
  <si>
    <t>Hrs réajustées :</t>
  </si>
  <si>
    <t>Régularisation en hrs :</t>
  </si>
  <si>
    <t>Paiement de la régularisation :</t>
  </si>
  <si>
    <t>NON</t>
  </si>
  <si>
    <t>Montant de la régularisation :</t>
  </si>
  <si>
    <t>Déjà perçu/à percevoir :</t>
  </si>
  <si>
    <t>Commentaires :</t>
  </si>
  <si>
    <t>Mode de règlement 1 :</t>
  </si>
  <si>
    <t>Montant 1 :</t>
  </si>
  <si>
    <t>Mode de règlement 2 :</t>
  </si>
  <si>
    <t>Montant 2 :</t>
  </si>
  <si>
    <t>Nombre de jours d'accueil</t>
  </si>
  <si>
    <t>Valeur du repas</t>
  </si>
  <si>
    <t>Montant repas préparé par les parents</t>
  </si>
  <si>
    <t>Taux SS Alsace Moselle</t>
  </si>
  <si>
    <t xml:space="preserve"> </t>
  </si>
  <si>
    <t>Salaire brut :</t>
  </si>
  <si>
    <t>Heures normales :</t>
  </si>
  <si>
    <t xml:space="preserve">Exonération : </t>
  </si>
  <si>
    <t>Montant avant impot :</t>
  </si>
  <si>
    <t>Calcul PAJEMPLOI :</t>
  </si>
  <si>
    <t>Salaire net à déclarer :</t>
  </si>
  <si>
    <t>CSG non déductible :</t>
  </si>
  <si>
    <t>Montant HC et HS déductible en net :</t>
  </si>
  <si>
    <t>Base prélèv à la source pajemploi :</t>
  </si>
  <si>
    <t>Semaine Type A</t>
  </si>
  <si>
    <t>Semaine Type B</t>
  </si>
  <si>
    <t>Semaine Type C</t>
  </si>
  <si>
    <t>Semaine Type D</t>
  </si>
  <si>
    <t>Semaine Type E</t>
  </si>
  <si>
    <t>Semaine Type F</t>
  </si>
  <si>
    <t>Semaine Type G</t>
  </si>
  <si>
    <t>Semaine Type H</t>
  </si>
  <si>
    <t>Règle de calcul :</t>
  </si>
  <si>
    <t>1/120è</t>
  </si>
  <si>
    <t>Taux :</t>
  </si>
  <si>
    <t>Salaire net</t>
  </si>
  <si>
    <t>Année N-1</t>
  </si>
  <si>
    <t>Année N-2</t>
  </si>
  <si>
    <t>Année N-3</t>
  </si>
  <si>
    <t>Année N-4</t>
  </si>
  <si>
    <t>Année N-5</t>
  </si>
  <si>
    <t>Année N-6</t>
  </si>
  <si>
    <t>Année N-7</t>
  </si>
  <si>
    <t>Total annuel :</t>
  </si>
  <si>
    <t>Date fin de contrat :</t>
  </si>
  <si>
    <t>Montant de l'indemnité de rupture :</t>
  </si>
  <si>
    <t>PLANNING :</t>
  </si>
  <si>
    <t>Nbre d'heures</t>
  </si>
  <si>
    <t>Nbre d'heures en 100è</t>
  </si>
  <si>
    <t>Samedi</t>
  </si>
  <si>
    <t>Dimanche</t>
  </si>
  <si>
    <t>Nombre de semaines d'accueil prévues :</t>
  </si>
  <si>
    <t>Total annuel de jours d'accueil :</t>
  </si>
  <si>
    <t>Informations annuelles</t>
  </si>
  <si>
    <t>Taux de conversion brut/net :</t>
  </si>
  <si>
    <t>Contrat en année :</t>
  </si>
  <si>
    <t>Taux horaire brut heures suppl :</t>
  </si>
  <si>
    <t>Informations mensuelles</t>
  </si>
  <si>
    <t>Total mensuel de jours d'accueil :</t>
  </si>
  <si>
    <t>Salaire brut mensuel :</t>
  </si>
  <si>
    <t>Salaire net avant exonération (charg.soc HS) :</t>
  </si>
  <si>
    <t>Exonération charges sociales HS :</t>
  </si>
  <si>
    <t>Date  :</t>
  </si>
  <si>
    <t>INFORMATIONS POUR LA DECLARATION PAJEMPLOI</t>
  </si>
  <si>
    <t>DATE d'effet :</t>
  </si>
  <si>
    <t>Fiche info de réf :</t>
  </si>
  <si>
    <t>Smic horaire Brut :</t>
  </si>
  <si>
    <t>Avance congés payés 10% :</t>
  </si>
  <si>
    <t>Congés payés     Avance de 10%</t>
  </si>
  <si>
    <t>Récapitulatifs des informations nécessaires pour le calcul des congés :</t>
  </si>
  <si>
    <t xml:space="preserve">Cette page regroupe les informations dont vous pouvez avoir besoin pour le calcul des congés. </t>
  </si>
  <si>
    <t>Année  N</t>
  </si>
  <si>
    <t>Année  N+1</t>
  </si>
  <si>
    <t>Salaire brut</t>
  </si>
  <si>
    <t>Informations : Salaire brut pour le calcul avec la méthode des 10%</t>
  </si>
  <si>
    <t xml:space="preserve">Dernier bulletin de salaire du contrat : </t>
  </si>
  <si>
    <t>Vous ne prenez en compte que les mois qui vous sont nécessaires pour votre calcul.</t>
  </si>
  <si>
    <t>En mois</t>
  </si>
  <si>
    <t>En semaines</t>
  </si>
  <si>
    <t>Travaillé maintenant :</t>
  </si>
  <si>
    <t>Travaillé avant :</t>
  </si>
  <si>
    <t>Année en cours :</t>
  </si>
  <si>
    <t>Année précédente :</t>
  </si>
  <si>
    <t>Nombre de jours repas</t>
  </si>
  <si>
    <t>Heure arrivée 1</t>
  </si>
  <si>
    <t>Heure départ 1</t>
  </si>
  <si>
    <t>Heure arrivée 2</t>
  </si>
  <si>
    <t>Heure départ 2</t>
  </si>
  <si>
    <t>Taux majoration HS :</t>
  </si>
  <si>
    <t>N° Sem.</t>
  </si>
  <si>
    <t>Type sem</t>
  </si>
  <si>
    <t>A</t>
  </si>
  <si>
    <t>B</t>
  </si>
  <si>
    <t>Fiche info</t>
  </si>
  <si>
    <t>Type Sem.</t>
  </si>
  <si>
    <t>Fiche</t>
  </si>
  <si>
    <t>Jours sem.</t>
  </si>
  <si>
    <t>C</t>
  </si>
  <si>
    <t>D</t>
  </si>
  <si>
    <t>E</t>
  </si>
  <si>
    <t>F</t>
  </si>
  <si>
    <t>G</t>
  </si>
  <si>
    <t>H</t>
  </si>
  <si>
    <t>Ref</t>
  </si>
  <si>
    <t>Jours sem</t>
  </si>
  <si>
    <t>Numéro jours</t>
  </si>
  <si>
    <t>Type Sem</t>
  </si>
  <si>
    <t>N° sem</t>
  </si>
  <si>
    <t>Fiche info Avenant 1</t>
  </si>
  <si>
    <t>Fiche info Avenant 2</t>
  </si>
  <si>
    <t>Fiche info Avenant 3</t>
  </si>
  <si>
    <t>Fiche info Avenant 4</t>
  </si>
  <si>
    <t>Fiche info Avenant 5</t>
  </si>
  <si>
    <t>Réf</t>
  </si>
  <si>
    <t>Planning :</t>
  </si>
  <si>
    <t>A préciserA1</t>
  </si>
  <si>
    <t>A préciserA2</t>
  </si>
  <si>
    <t>A préciserA3</t>
  </si>
  <si>
    <t>A préciserA4</t>
  </si>
  <si>
    <t>A préciserA5</t>
  </si>
  <si>
    <t>A préciserA6</t>
  </si>
  <si>
    <t>A préciserA7</t>
  </si>
  <si>
    <t>A préciserB1</t>
  </si>
  <si>
    <t>A préciserB2</t>
  </si>
  <si>
    <t>A préciserB3</t>
  </si>
  <si>
    <t>A préciserB4</t>
  </si>
  <si>
    <t>A préciserB5</t>
  </si>
  <si>
    <t>A préciserB6</t>
  </si>
  <si>
    <t>A préciserB7</t>
  </si>
  <si>
    <t>A préciserC1</t>
  </si>
  <si>
    <t>A préciserC2</t>
  </si>
  <si>
    <t>A préciserC3</t>
  </si>
  <si>
    <t>A préciserC4</t>
  </si>
  <si>
    <t>A préciserC5</t>
  </si>
  <si>
    <t>A préciserC6</t>
  </si>
  <si>
    <t>A préciserC7</t>
  </si>
  <si>
    <t>A préciserD1</t>
  </si>
  <si>
    <t>A préciserD2</t>
  </si>
  <si>
    <t>A préciserD3</t>
  </si>
  <si>
    <t>A préciserD4</t>
  </si>
  <si>
    <t>A préciserD5</t>
  </si>
  <si>
    <t>A préciserD6</t>
  </si>
  <si>
    <t>A préciserD7</t>
  </si>
  <si>
    <t>A préciserE1</t>
  </si>
  <si>
    <t>A préciserE2</t>
  </si>
  <si>
    <t>A préciserE3</t>
  </si>
  <si>
    <t>A préciserE4</t>
  </si>
  <si>
    <t>A préciserE5</t>
  </si>
  <si>
    <t>A préciserE6</t>
  </si>
  <si>
    <t>A préciserE7</t>
  </si>
  <si>
    <t>A préciserF1</t>
  </si>
  <si>
    <t>A préciserF2</t>
  </si>
  <si>
    <t>A préciserF3</t>
  </si>
  <si>
    <t>A préciserF4</t>
  </si>
  <si>
    <t>A préciserF5</t>
  </si>
  <si>
    <t>A préciserF6</t>
  </si>
  <si>
    <t>A préciserF7</t>
  </si>
  <si>
    <t>A préciserG1</t>
  </si>
  <si>
    <t>A préciserG2</t>
  </si>
  <si>
    <t>A préciserG3</t>
  </si>
  <si>
    <t>A préciserG4</t>
  </si>
  <si>
    <t>A préciserG5</t>
  </si>
  <si>
    <t>A préciserG6</t>
  </si>
  <si>
    <t>A préciserG7</t>
  </si>
  <si>
    <t>A préciserH1</t>
  </si>
  <si>
    <t>A préciserH2</t>
  </si>
  <si>
    <t>A préciserH3</t>
  </si>
  <si>
    <t>A préciserH4</t>
  </si>
  <si>
    <t>A préciserH5</t>
  </si>
  <si>
    <t>A préciserH6</t>
  </si>
  <si>
    <t>A préciserH7</t>
  </si>
  <si>
    <t>Temps prévu :</t>
  </si>
  <si>
    <t>Total des heures</t>
  </si>
  <si>
    <t>Nombre de semaines</t>
  </si>
  <si>
    <t>Cumul des heures</t>
  </si>
  <si>
    <t>Nombre jours</t>
  </si>
  <si>
    <t>Total nombre de jours</t>
  </si>
  <si>
    <t>Semaine type A :</t>
  </si>
  <si>
    <t>Semaine type B :</t>
  </si>
  <si>
    <t>Semaine type C :</t>
  </si>
  <si>
    <t>Semaine type D :</t>
  </si>
  <si>
    <t>Semaine type E :</t>
  </si>
  <si>
    <t>Semaine type F :</t>
  </si>
  <si>
    <t>Semaine type G :</t>
  </si>
  <si>
    <t>Semaine type H :</t>
  </si>
  <si>
    <t>Moyenne heures par mois :</t>
  </si>
  <si>
    <t>Moyenne heures par semaine :</t>
  </si>
  <si>
    <t>Moyenne heures par jour :</t>
  </si>
  <si>
    <t>Durée de travail mensuel théorique :</t>
  </si>
  <si>
    <t>Retenue par heure :</t>
  </si>
  <si>
    <t>Heures absences</t>
  </si>
  <si>
    <t>Nombre heures de la sem</t>
  </si>
  <si>
    <t>Nombre de sem d'absence</t>
  </si>
  <si>
    <t>Retenue pour la semaine</t>
  </si>
  <si>
    <t>Détail du calcul :</t>
  </si>
  <si>
    <t>Heures mensualisées :</t>
  </si>
  <si>
    <t>Salaire mensuel / Taux horaire = Heures mensualisées</t>
  </si>
  <si>
    <t>Moyenne de semaines par mois :</t>
  </si>
  <si>
    <t>365 jours / (7 X 12 mois) = 4,345 sem</t>
  </si>
  <si>
    <t>Moyenne d'heures par semaine d'accueil : :</t>
  </si>
  <si>
    <t>Moyenne d'heures par jour :</t>
  </si>
  <si>
    <t>Horaire hebdomadaire moyen / Nombre de jours moyen par semaine = Moyenne d'heures par jour</t>
  </si>
  <si>
    <t>Durée du travail mensuel théorique :</t>
  </si>
  <si>
    <t>Retenue par heure d'absence :</t>
  </si>
  <si>
    <t>Salaire mensuel / durée du travail mensuel théorique = retenue par heure d'absence</t>
  </si>
  <si>
    <t>On calcule pour chaque type de semaine la retenue en heure de la façon suivante :</t>
  </si>
  <si>
    <t>Pour une absence semaine entière :</t>
  </si>
  <si>
    <t>,</t>
  </si>
  <si>
    <t>Fiche de réf :</t>
  </si>
  <si>
    <t>Nbre sem</t>
  </si>
  <si>
    <t>Heures supp</t>
  </si>
  <si>
    <t>% Hrs supp</t>
  </si>
  <si>
    <t>Mensualisation :</t>
  </si>
  <si>
    <t>Retenue hrs Hors HS</t>
  </si>
  <si>
    <t>Retenue hrs HS</t>
  </si>
  <si>
    <t>Méthode 1 :</t>
  </si>
  <si>
    <t>Méthode 2 :</t>
  </si>
  <si>
    <t>Méthode choisie pour le calcul de la retenue sur salaire :</t>
  </si>
  <si>
    <t>Méthode 1</t>
  </si>
  <si>
    <t>A préciser</t>
  </si>
  <si>
    <t>Ind. repas (jrs) :</t>
  </si>
  <si>
    <t>Ind. goûter (jrs) :</t>
  </si>
  <si>
    <t>Montant repas :</t>
  </si>
  <si>
    <t>Montant goûter :</t>
  </si>
  <si>
    <t>Contrat finiA1</t>
  </si>
  <si>
    <t>Contrat finiA2</t>
  </si>
  <si>
    <t>Contrat finiA3</t>
  </si>
  <si>
    <t>Contrat finiA4</t>
  </si>
  <si>
    <t>Contrat finiA5</t>
  </si>
  <si>
    <t>Contrat finiA6</t>
  </si>
  <si>
    <t>Contrat finiA7</t>
  </si>
  <si>
    <t>Contrat finiB1</t>
  </si>
  <si>
    <t>Contrat finiB2</t>
  </si>
  <si>
    <t>Contrat finiB3</t>
  </si>
  <si>
    <t>Contrat finiB4</t>
  </si>
  <si>
    <t>Contrat finiB5</t>
  </si>
  <si>
    <t>Contrat finiB6</t>
  </si>
  <si>
    <t>Contrat finiB7</t>
  </si>
  <si>
    <t>Contrat finiC1</t>
  </si>
  <si>
    <t>Contrat finiC2</t>
  </si>
  <si>
    <t>Contrat finiC3</t>
  </si>
  <si>
    <t>Contrat finiC4</t>
  </si>
  <si>
    <t>Contrat finiC5</t>
  </si>
  <si>
    <t>Contrat finiC6</t>
  </si>
  <si>
    <t>Contrat finiC7</t>
  </si>
  <si>
    <t>Contrat finiD1</t>
  </si>
  <si>
    <t>Contrat finiD2</t>
  </si>
  <si>
    <t>Contrat finiD3</t>
  </si>
  <si>
    <t>Contrat finiD4</t>
  </si>
  <si>
    <t>Contrat finiD5</t>
  </si>
  <si>
    <t>Contrat finiD6</t>
  </si>
  <si>
    <t>Contrat finiD7</t>
  </si>
  <si>
    <t>Contrat finiE1</t>
  </si>
  <si>
    <t>Contrat finiE2</t>
  </si>
  <si>
    <t>Contrat finiE3</t>
  </si>
  <si>
    <t>Contrat finiE4</t>
  </si>
  <si>
    <t>Contrat finiE5</t>
  </si>
  <si>
    <t>Contrat finiE6</t>
  </si>
  <si>
    <t>Contrat finiE7</t>
  </si>
  <si>
    <t>Contrat finiF1</t>
  </si>
  <si>
    <t>Contrat finiF2</t>
  </si>
  <si>
    <t>Contrat finiF3</t>
  </si>
  <si>
    <t>Contrat finiF4</t>
  </si>
  <si>
    <t>Contrat finiF5</t>
  </si>
  <si>
    <t>Contrat finiF6</t>
  </si>
  <si>
    <t>Contrat finiF7</t>
  </si>
  <si>
    <t>Contrat finiG1</t>
  </si>
  <si>
    <t>Contrat finiG2</t>
  </si>
  <si>
    <t>Contrat finiG3</t>
  </si>
  <si>
    <t>Contrat finiG4</t>
  </si>
  <si>
    <t>Contrat finiG5</t>
  </si>
  <si>
    <t>Contrat finiG6</t>
  </si>
  <si>
    <t>Contrat finiG7</t>
  </si>
  <si>
    <t>Contrat finiH1</t>
  </si>
  <si>
    <t>Contrat finiH2</t>
  </si>
  <si>
    <t>Contrat finiH3</t>
  </si>
  <si>
    <t>Contrat finiH4</t>
  </si>
  <si>
    <t>Contrat finiH5</t>
  </si>
  <si>
    <t>Contrat finiH6</t>
  </si>
  <si>
    <t>Contrat finiH7</t>
  </si>
  <si>
    <t>Contrat finiASem</t>
  </si>
  <si>
    <t>Contrat finiBSem</t>
  </si>
  <si>
    <t>Contrat finiCSem</t>
  </si>
  <si>
    <t>Contrat finiDSem</t>
  </si>
  <si>
    <t>Contrat finiESem</t>
  </si>
  <si>
    <t>Contrat finiFSem</t>
  </si>
  <si>
    <t>Contrat finiGSem</t>
  </si>
  <si>
    <t>Contrat finiHSem</t>
  </si>
  <si>
    <t>Source liste fiche</t>
  </si>
  <si>
    <t>vide</t>
  </si>
  <si>
    <t>Vide</t>
  </si>
  <si>
    <t>Source liste pajemploi</t>
  </si>
  <si>
    <t>Oui</t>
  </si>
  <si>
    <t>Source liste dernier bulletin</t>
  </si>
  <si>
    <t>OUI</t>
  </si>
  <si>
    <t>Estimation repas apportés par les parents</t>
  </si>
  <si>
    <t>Source données contrat</t>
  </si>
  <si>
    <t>Jour activité</t>
  </si>
  <si>
    <t xml:space="preserve">smic </t>
  </si>
  <si>
    <t xml:space="preserve">nbre sem </t>
  </si>
  <si>
    <t>hrs normal</t>
  </si>
  <si>
    <t>hrs supp mens</t>
  </si>
  <si>
    <t>sal hor brut</t>
  </si>
  <si>
    <t>taux maj</t>
  </si>
  <si>
    <t>Aide au calcul de la "majoration des hrs supp mensuelles"</t>
  </si>
  <si>
    <t>Nbre heures semaine</t>
  </si>
  <si>
    <t>Total :</t>
  </si>
  <si>
    <t>Méthode de comptabilisation de la majoration des hrs &gt; 45HRS :</t>
  </si>
  <si>
    <t>Méthode 2</t>
  </si>
  <si>
    <t>Table méthode HS</t>
  </si>
  <si>
    <t>Méthode HS :</t>
  </si>
  <si>
    <t>Jrs congés avance 10%</t>
  </si>
  <si>
    <t>Contrat fini</t>
  </si>
  <si>
    <t>Liste mois</t>
  </si>
  <si>
    <t>MOIS (Faites votre choix)</t>
  </si>
  <si>
    <t>Jours :</t>
  </si>
  <si>
    <t>au</t>
  </si>
  <si>
    <t>Table indemnité minimum</t>
  </si>
  <si>
    <t>Indemnité conventionnelle minimum :</t>
  </si>
  <si>
    <t>Indemnité Légale minimum :</t>
  </si>
  <si>
    <t>Smic horaire :</t>
  </si>
  <si>
    <t>Salaire déclarable (mensuel)</t>
  </si>
  <si>
    <t>Enfant</t>
  </si>
  <si>
    <t>Nbre de jours de 24h consécutives</t>
  </si>
  <si>
    <t xml:space="preserve">Calcul Abattement </t>
  </si>
  <si>
    <t>Enfant avec un handicap, maladie (majoration spécifique du taux horaire) :</t>
  </si>
  <si>
    <t xml:space="preserve">Taux conversion brut/net </t>
  </si>
  <si>
    <t>Taux conversion brut/net Alsace Moselle</t>
  </si>
  <si>
    <t>Indemnité compensatrice de préavis</t>
  </si>
  <si>
    <t>Indemnité compensatrice de congés payés</t>
  </si>
  <si>
    <t>Prime de précarité 10% (CDD)</t>
  </si>
  <si>
    <t>Indemnité compensatrice de congés payés :</t>
  </si>
  <si>
    <t>Indemnité compensatrice de préavis :</t>
  </si>
  <si>
    <t>Prime de précarité :</t>
  </si>
  <si>
    <t>Indemnité départ volontaire à la retraite :</t>
  </si>
  <si>
    <t>Dépassement 5 fois le smic</t>
  </si>
  <si>
    <t>Inclure les frais d'entretien :</t>
  </si>
  <si>
    <t>Inclure les frais de repas et kilométrique :</t>
  </si>
  <si>
    <t>Paramétrage de la base du prélèvement à la source Pajemploi :</t>
  </si>
  <si>
    <t>Indemnités entretien base prlvt :</t>
  </si>
  <si>
    <t>Indemnités repas et km prlvt :</t>
  </si>
  <si>
    <t>Date de paiement</t>
  </si>
  <si>
    <t>Date de paiement :</t>
  </si>
  <si>
    <t>Aide à la déclaration auprès de PAJEMPLOI</t>
  </si>
  <si>
    <t>Net ind. Compensatrice et précarité</t>
  </si>
  <si>
    <t>Cotisations Salariales</t>
  </si>
  <si>
    <t>Cotisations Patronales</t>
  </si>
  <si>
    <t>Coefficient base</t>
  </si>
  <si>
    <t>Nom et prénom SALARIE :</t>
  </si>
  <si>
    <t>Adresse rue EMPLOYEUR :</t>
  </si>
  <si>
    <t>Nom et prénom EMPLOYEUR :</t>
  </si>
  <si>
    <t>Adresse CP EMPLOYEUR :</t>
  </si>
  <si>
    <t>Adresse ville EMPLOYEUR:</t>
  </si>
  <si>
    <t>Adresse rue SALARIE :</t>
  </si>
  <si>
    <t>Adresse CP SALARIE :</t>
  </si>
  <si>
    <t>Adresse ville SALARIE :</t>
  </si>
  <si>
    <t>Régime Sécurité Sociale Alsace Moselle :</t>
  </si>
  <si>
    <t>Modif :</t>
  </si>
  <si>
    <t>Nbre de sem ou mois travaillés (année précédentes) :</t>
  </si>
  <si>
    <t>Nbre de sem ou mois travaillés (année en cours) :</t>
  </si>
  <si>
    <t>Congés pris payés précédemment (année précedente) :</t>
  </si>
  <si>
    <t>Congés pris payés précédemment (année en cours) :</t>
  </si>
  <si>
    <t>Données à COPIER</t>
  </si>
  <si>
    <t>COLLER les données provenant de votre ancien fichier ci-dessous</t>
  </si>
  <si>
    <t>BULLETIN DE SALAIRE</t>
  </si>
  <si>
    <t>MENSUALISATION</t>
  </si>
  <si>
    <t>MENSUALISATION    AVENANT 1</t>
  </si>
  <si>
    <t>MENSUALISATION    AVENANT 2</t>
  </si>
  <si>
    <t>MENSUALISATION    AVENANT 3</t>
  </si>
  <si>
    <t>MENSUALISATION    AVENANT 4</t>
  </si>
  <si>
    <t>MENSUALISATION    AVENANT 5</t>
  </si>
  <si>
    <t>Nombre de semaines pour la mensualisation :</t>
  </si>
  <si>
    <t>Total heures semaine en centièmes :</t>
  </si>
  <si>
    <t>Fiche info de référence utilisée :</t>
  </si>
  <si>
    <t>Pajemploi à jour HS non imposable :</t>
  </si>
  <si>
    <t>Données du contrat :</t>
  </si>
  <si>
    <t>Jours activité à déclarer :</t>
  </si>
  <si>
    <t>Nombre de semaines mensu :</t>
  </si>
  <si>
    <t>Outil de calcul pour contrat avec des horaires différents ou identiques chaque jour mais régulier.</t>
  </si>
  <si>
    <t>Outil de calcul pour contrat avec des horaires différents sur plusieurs semaines (planning, périscolaire,…)</t>
  </si>
  <si>
    <t>Informations : Avances de CP perçues</t>
  </si>
  <si>
    <t>Table année report</t>
  </si>
  <si>
    <r>
      <t xml:space="preserve">Quelle sera </t>
    </r>
    <r>
      <rPr>
        <sz val="16"/>
        <color rgb="FFFF0000"/>
        <rFont val="Arial"/>
        <family val="2"/>
      </rPr>
      <t>l'année</t>
    </r>
    <r>
      <rPr>
        <sz val="16"/>
        <rFont val="Arial"/>
        <family val="2"/>
      </rPr>
      <t xml:space="preserve"> de votre prochain fichier  bulletin de salaires ? :</t>
    </r>
  </si>
  <si>
    <t>Nombre de jours moyen par semaine :</t>
  </si>
  <si>
    <t>Nombre de jours travaillés X Moyenne d'heures par jour = Durée de travail mensuel théorique</t>
  </si>
  <si>
    <t>Pour une absence inférieure à une semaine :</t>
  </si>
  <si>
    <t>Jrs Régularisation+ Jrs indemnité d'abs</t>
  </si>
  <si>
    <t>Heure arrivée 3</t>
  </si>
  <si>
    <t>Heure départ 3</t>
  </si>
  <si>
    <t>Heure arrivée 4</t>
  </si>
  <si>
    <t>Heure départ 4</t>
  </si>
  <si>
    <t>Congés supplémentaires : Enf -15 ans</t>
  </si>
  <si>
    <t>Congés supplémentaires : Jrs fraction.</t>
  </si>
  <si>
    <t>Congés supplémentaires : Enf -15 ans :</t>
  </si>
  <si>
    <t>Congés supplémentaires : Jrs fraction. :</t>
  </si>
  <si>
    <t>Jours ouvra mois</t>
  </si>
  <si>
    <t>Date début mois</t>
  </si>
  <si>
    <t>Date fin mois</t>
  </si>
  <si>
    <t>jrs trav / ouvrable</t>
  </si>
  <si>
    <t>Année suivante :</t>
  </si>
  <si>
    <t>Date début :</t>
  </si>
  <si>
    <t>Date de fin :</t>
  </si>
  <si>
    <t>Durée du contrat en semaines :</t>
  </si>
  <si>
    <t>Fiche info CDD C.Durée</t>
  </si>
  <si>
    <t>Fiche info CDD_ Avenant 1</t>
  </si>
  <si>
    <t>Fiche info CDD_ Avenant 2</t>
  </si>
  <si>
    <t>ASem</t>
  </si>
  <si>
    <t>BSem</t>
  </si>
  <si>
    <t>CSem</t>
  </si>
  <si>
    <t>DSem</t>
  </si>
  <si>
    <t>ESem</t>
  </si>
  <si>
    <t>FSem</t>
  </si>
  <si>
    <t>GSem</t>
  </si>
  <si>
    <t>HSem</t>
  </si>
  <si>
    <t>Salaire brut base CP10%</t>
  </si>
  <si>
    <t>Compl/solde CP brut</t>
  </si>
  <si>
    <t xml:space="preserve">Salaire net </t>
  </si>
  <si>
    <t>ANP trav avant (mois)</t>
  </si>
  <si>
    <t>ANP trav avant (sem)</t>
  </si>
  <si>
    <t>ANP trav maint (mois)</t>
  </si>
  <si>
    <t>ANP trav maint (sem)</t>
  </si>
  <si>
    <t>AN cours trav avant (mois)</t>
  </si>
  <si>
    <t>AN cours trav avant (sem)</t>
  </si>
  <si>
    <t>AN cours trav maint (sem)</t>
  </si>
  <si>
    <t>AN cours trav maint (mois)</t>
  </si>
  <si>
    <t>ANP CP pris avant</t>
  </si>
  <si>
    <t>ANP CP pris ce mois</t>
  </si>
  <si>
    <t>AN cours CP pris avant</t>
  </si>
  <si>
    <t>AN cours CP pris ce mois</t>
  </si>
  <si>
    <t>Enfant -15 ans</t>
  </si>
  <si>
    <t>Jrs fractionnement</t>
  </si>
  <si>
    <t>ANP CP reste à prendre</t>
  </si>
  <si>
    <t>AN cours CP reste à prendre</t>
  </si>
  <si>
    <t>Salaire mensualisé brut :</t>
  </si>
  <si>
    <t xml:space="preserve">Taux horaire brut : </t>
  </si>
  <si>
    <t>Nombre de semaines programmées :</t>
  </si>
  <si>
    <t xml:space="preserve">En maintien de salaire : </t>
  </si>
  <si>
    <t>Explication :</t>
  </si>
  <si>
    <t>Nombre de mois travaillés (l'année de référence) :</t>
  </si>
  <si>
    <t>Jours suppl enfant de -15 ans :</t>
  </si>
  <si>
    <t>Elle acquiert 2,5 jours ouvrables de CP pour 1 mois travaillé.</t>
  </si>
  <si>
    <t>Nombre de jours ouvrables acquis :</t>
  </si>
  <si>
    <t>arrondi à</t>
  </si>
  <si>
    <t xml:space="preserve">Ensuite on fait : </t>
  </si>
  <si>
    <t>Jours de CP pris :</t>
  </si>
  <si>
    <t>(ouvrables)</t>
  </si>
  <si>
    <t>Nombre de jours ouvrables restant :</t>
  </si>
  <si>
    <t>Montant en maintien de salaire :</t>
  </si>
  <si>
    <t>Règle du 10è :</t>
  </si>
  <si>
    <t xml:space="preserve">Salaire perçu l'année de référence : </t>
  </si>
  <si>
    <t>Montant des CP</t>
  </si>
  <si>
    <t>Pour chaque ligne on fait le calcul suivant :</t>
  </si>
  <si>
    <t>Exemple pour Mai :</t>
  </si>
  <si>
    <t>Le montant correspondant aux enfants de moins de 15 ans est de :</t>
  </si>
  <si>
    <t>Total des 10% / nombre jrs ouvrables calculés hors enfants -15 ans X nbre jours pour enfants -15 ans</t>
  </si>
  <si>
    <t>Montant avec la règle du 10è :</t>
  </si>
  <si>
    <t>On prend la méthode la plus favorable soit une indemnité de CP due de :</t>
  </si>
  <si>
    <t>Date fin contrat :</t>
  </si>
  <si>
    <t>Années de référence  :</t>
  </si>
  <si>
    <t>Période de référence  :</t>
  </si>
  <si>
    <t>Période référence :</t>
  </si>
  <si>
    <t>Fin</t>
  </si>
  <si>
    <t>Début</t>
  </si>
  <si>
    <t>Salaire brut mensualisé</t>
  </si>
  <si>
    <t>Mensualisation</t>
  </si>
  <si>
    <t>Taux Horaire brut</t>
  </si>
  <si>
    <t>Référence 1 :</t>
  </si>
  <si>
    <t>Modification</t>
  </si>
  <si>
    <t>Modif Sal. :</t>
  </si>
  <si>
    <t>Récapitulatif du montant de l'indemnité compencatrice des CP Année Complète :</t>
  </si>
  <si>
    <t>TOTAL :</t>
  </si>
  <si>
    <t>On ajoute aussi les jours ouvrables acquis pour enfant de moins de 15 ans</t>
  </si>
  <si>
    <t>Jours ouvrables hors enfants - 15 ans :</t>
  </si>
  <si>
    <t>Pour chaque ligne, on fait le calcul suivant :</t>
  </si>
  <si>
    <t>Nombre CP pris en ouvrables</t>
  </si>
  <si>
    <t>10% des salaires</t>
  </si>
  <si>
    <t>Exemple pour Août :</t>
  </si>
  <si>
    <t>Valeur d'un jour ouvrable de CP (année précédente) :</t>
  </si>
  <si>
    <t>Valorisation des jrs enfant -15 ans :</t>
  </si>
  <si>
    <t>Valeur du jour ouvrable pour l'année suivante :</t>
  </si>
  <si>
    <t>Total perçu :</t>
  </si>
  <si>
    <t>Montant des CP :</t>
  </si>
  <si>
    <t xml:space="preserve">Reste à perçevoir : </t>
  </si>
  <si>
    <t>Date Fin année référence :</t>
  </si>
  <si>
    <t>Modif Nbre CP Pris ouvrables</t>
  </si>
  <si>
    <t>Récapitulatif du montant de l'indemnité de congés payés en Année Incomplète :</t>
  </si>
  <si>
    <t>SOLDE A PERCEVOIR:</t>
  </si>
  <si>
    <t>Valeur d'un jour ouvrable pour l'année suivante :</t>
  </si>
  <si>
    <t>Valeur jr ouvrable incomplete</t>
  </si>
  <si>
    <t>Date de fin de contrat :</t>
  </si>
  <si>
    <t>Jrs acquis :</t>
  </si>
  <si>
    <t>dont enf. -15 ans :</t>
  </si>
  <si>
    <t>Calcul jours de fractionnements</t>
  </si>
  <si>
    <t>Total jours acquis :</t>
  </si>
  <si>
    <t>Modification du paramétrage sur ce mois :</t>
  </si>
  <si>
    <t>Modification des heures normales mensualisées :</t>
  </si>
  <si>
    <t>Modification des heures supp mensualisées :</t>
  </si>
  <si>
    <t>Nouveau choix :</t>
  </si>
  <si>
    <t>Congés Acquis 31/05 :</t>
  </si>
  <si>
    <t>Jours restants :</t>
  </si>
  <si>
    <t>Jours Fraction.  :</t>
  </si>
  <si>
    <t xml:space="preserve">Nombre de jours ouvrables de congés acquis : </t>
  </si>
  <si>
    <t>Valeur d'un jour ouvrable méthode 10è :</t>
  </si>
  <si>
    <t>Valeur jr ouvrable comp 10è</t>
  </si>
  <si>
    <t>Valeur congés pris compl maintien</t>
  </si>
  <si>
    <t>Val. Jrs ouvrables CP :</t>
  </si>
  <si>
    <t>Val. 1 jrs ouvrables 1/10è</t>
  </si>
  <si>
    <t>Valeur jrs pris maintien sal.</t>
  </si>
  <si>
    <t>Valeur jrs pris maintien sal.1/10è</t>
  </si>
  <si>
    <t>Complément dû :</t>
  </si>
  <si>
    <t>Pour la période suivante le nombre de jours ouvrables acquis est :</t>
  </si>
  <si>
    <t>Tableau des conditions</t>
  </si>
  <si>
    <t>Date contrat avant le :</t>
  </si>
  <si>
    <t>ANP mois :</t>
  </si>
  <si>
    <t>A en cours mois :</t>
  </si>
  <si>
    <t>Montant des CP Année complète avec la règle du 10è :</t>
  </si>
  <si>
    <t>Montant des CP Année Complète avec la règle du 10è :</t>
  </si>
  <si>
    <t>Année complète Nombre de jours ouvrables acquis :</t>
  </si>
  <si>
    <t>Condition format</t>
  </si>
  <si>
    <t>2èpartie</t>
  </si>
  <si>
    <t>Case en Jaune à remplir obligatoirement</t>
  </si>
  <si>
    <t>Année réf 2</t>
  </si>
  <si>
    <t>Date fin</t>
  </si>
  <si>
    <t>Salaire hebdomadaire moyen :</t>
  </si>
  <si>
    <t>Modif</t>
  </si>
  <si>
    <t>Condition</t>
  </si>
  <si>
    <t>Année N</t>
  </si>
  <si>
    <t>Pris en cpte :</t>
  </si>
  <si>
    <t>Jrs ouvra. acquis hors enfants - 15 ans  :</t>
  </si>
  <si>
    <t>On tient compte aussi des jours ouvrables acquis pour enfant de moins de 15 ans</t>
  </si>
  <si>
    <t>Valorisation jours enfants - 15 ans et jrs fractionnement :</t>
  </si>
  <si>
    <t>Jours suppl Jours fractionnement non pris :</t>
  </si>
  <si>
    <t>Jours suppl enfant de -15 ans acquis :</t>
  </si>
  <si>
    <t>Modif CP pris :</t>
  </si>
  <si>
    <t>Format</t>
  </si>
  <si>
    <t>Paiements reçus</t>
  </si>
  <si>
    <t>Modif Paiements reçus :</t>
  </si>
  <si>
    <t>Montant de l'indemnité comp. de CP pour l'année de référence précédente :</t>
  </si>
  <si>
    <t>Ind Comp de l'année :</t>
  </si>
  <si>
    <t>Montant des paiements reçus</t>
  </si>
  <si>
    <t>Ind Comp de l'année précédente :</t>
  </si>
  <si>
    <t>Soit une ind. comp. de CP total de :</t>
  </si>
  <si>
    <t>Avances perçues au</t>
  </si>
  <si>
    <t xml:space="preserve">Mensualisation Tarif non majoré : </t>
  </si>
  <si>
    <t>Nombre jours travaillés :</t>
  </si>
  <si>
    <t>Nombre d'heures annuelles / Nbre de semaines d'accueil = Moyenne d'heures par semaine d'accueil</t>
  </si>
  <si>
    <t>Nombre de jours annuels / nombre de semaines programmées = nombre de jours moyen par semaine</t>
  </si>
  <si>
    <t>Abs congés payés Année complète</t>
  </si>
  <si>
    <t>Indemnité congés payés Année complète</t>
  </si>
  <si>
    <t>Pose CP</t>
  </si>
  <si>
    <t>Source pose CP</t>
  </si>
  <si>
    <t>CALCUL DE L'ABSENCE POUR CONGES PAYES</t>
  </si>
  <si>
    <t>Hrs Abs CP</t>
  </si>
  <si>
    <t>Taux horaire brut majoré :</t>
  </si>
  <si>
    <t>Montant total de l'abs pour CP :</t>
  </si>
  <si>
    <t xml:space="preserve">aux </t>
  </si>
  <si>
    <t>Condition 10è n-1 :</t>
  </si>
  <si>
    <t>Jours acquis :</t>
  </si>
  <si>
    <t>date début :</t>
  </si>
  <si>
    <t>diff mois :</t>
  </si>
  <si>
    <t>Diff mois :</t>
  </si>
  <si>
    <t>CP Ant</t>
  </si>
  <si>
    <t>Table méthode retenue</t>
  </si>
  <si>
    <t>Méthode retenue</t>
  </si>
  <si>
    <t>Méthode Retenue :</t>
  </si>
  <si>
    <t>Total abs méthode 1 :</t>
  </si>
  <si>
    <t>Jours ouvrables acquis :</t>
  </si>
  <si>
    <t>Travaillé après :</t>
  </si>
  <si>
    <t>Modif Congés pris par anticipation</t>
  </si>
  <si>
    <t>montant maitien sal. CP Ant</t>
  </si>
  <si>
    <t>dont montant de l'abs pour CP Ant :</t>
  </si>
  <si>
    <t>Ecart dû</t>
  </si>
  <si>
    <t>Nbre de Congés pris par anticipation</t>
  </si>
  <si>
    <t>Modif : Valeur jrs pris en maintien sal.</t>
  </si>
  <si>
    <t>Pour la période de référence suivante le montant des CP avec la méthode 1/10è est :</t>
  </si>
  <si>
    <t>Jrs travaillés fait :</t>
  </si>
  <si>
    <t>Table méthode abs CP</t>
  </si>
  <si>
    <t>Méthode abs CP</t>
  </si>
  <si>
    <t>Méthode CP :</t>
  </si>
  <si>
    <t>Outil de calcul pour contrat avec des horaires différents sur plusieurs semaines (planning,…)</t>
  </si>
  <si>
    <t>Choix de la méthode pour calculer l'absence et l'indemnité de CP Année complète :</t>
  </si>
  <si>
    <t>Total hrs sem A</t>
  </si>
  <si>
    <t>Total hrs sem B</t>
  </si>
  <si>
    <t>Total hrs sem C</t>
  </si>
  <si>
    <t>Total hrs sem D</t>
  </si>
  <si>
    <t>Total hrs sem E</t>
  </si>
  <si>
    <t>Total hrs sem F</t>
  </si>
  <si>
    <t>Total hrs sem G</t>
  </si>
  <si>
    <t>Total hrs sem H</t>
  </si>
  <si>
    <t>Modif Nbre hrs semaine</t>
  </si>
  <si>
    <t>Sem A :</t>
  </si>
  <si>
    <t>Sem B :</t>
  </si>
  <si>
    <t>Sem C :</t>
  </si>
  <si>
    <t>Sem D :</t>
  </si>
  <si>
    <t>Sem E :</t>
  </si>
  <si>
    <t>Sem F :</t>
  </si>
  <si>
    <t>Sem G :</t>
  </si>
  <si>
    <t>Sem H :</t>
  </si>
  <si>
    <t>Montant maintien de salaire pour congés payés Hrs supp. :</t>
  </si>
  <si>
    <t>Montant maintien de salaire pour congés payés Heures Normales :</t>
  </si>
  <si>
    <t>Taux horaire majoré brut</t>
  </si>
  <si>
    <t>Méthode CP</t>
  </si>
  <si>
    <t>Voir le tableau à droite</t>
  </si>
  <si>
    <t>Valorisation jours enfants - 15 ans :</t>
  </si>
  <si>
    <t>Total des 10% / nombre jrs ouvrables calculés hors enfants -15 ans X (nbre jours pour enfants -15 ans)</t>
  </si>
  <si>
    <t>=&gt;</t>
  </si>
  <si>
    <t>=</t>
  </si>
  <si>
    <t xml:space="preserve">Modification du paramétrage de cette feuille </t>
  </si>
  <si>
    <t>Arrondir les heures à</t>
  </si>
  <si>
    <t>chiffre(s) après la virgule pour les calculs</t>
  </si>
  <si>
    <t>Table utilisation tab entretien</t>
  </si>
  <si>
    <t>CP Acq</t>
  </si>
  <si>
    <t>Méthode choisie pour le calcul de l'absence pour congés payés :</t>
  </si>
  <si>
    <t>Calcul de l'abs des CP Année complète ====&gt;</t>
  </si>
  <si>
    <t>Modification manuelle</t>
  </si>
  <si>
    <t>&lt;==</t>
  </si>
  <si>
    <t>&lt;=</t>
  </si>
  <si>
    <t>Cong. pris pay. précéd.</t>
  </si>
  <si>
    <t>Enf. -15 ans</t>
  </si>
  <si>
    <t>Modif. Taux prélèvement</t>
  </si>
  <si>
    <t>Fiche info Avenant 6</t>
  </si>
  <si>
    <t>Fiche info Avenant 7</t>
  </si>
  <si>
    <t>Fiche info Avenant 8</t>
  </si>
  <si>
    <t>Fiche info Avenant 9</t>
  </si>
  <si>
    <t>Fiche info Avenant 10</t>
  </si>
  <si>
    <t>MENSUALISATION    AVENANT 6</t>
  </si>
  <si>
    <t>MENSUALISATION    AVENANT 7</t>
  </si>
  <si>
    <t>MENSUALISATION    AVENANT 8</t>
  </si>
  <si>
    <t>MENSUALISATION    AVENANT 9</t>
  </si>
  <si>
    <t>MENSUALISATION    AVENANT 10</t>
  </si>
  <si>
    <t>Régularisation en euros du mois :</t>
  </si>
  <si>
    <t>Report du solde en euros à régulariser  :</t>
  </si>
  <si>
    <t>Cumul en euros à régulariser :</t>
  </si>
  <si>
    <t>Solde en euros à régulariser :</t>
  </si>
  <si>
    <t>Report du solde en euro à régulariser  :</t>
  </si>
  <si>
    <t>Rémunération brut</t>
  </si>
  <si>
    <t>Nbre d'heures de CP</t>
  </si>
  <si>
    <t>Ind. De CP pour la semaine</t>
  </si>
  <si>
    <t>Ind. hrs Hors HS</t>
  </si>
  <si>
    <t>Ind. hrs HS</t>
  </si>
  <si>
    <t xml:space="preserve">Nbred d'heures de CP </t>
  </si>
  <si>
    <t>Total Indemnité méthode 2 :</t>
  </si>
  <si>
    <t xml:space="preserve">Nbre d'heures de CP </t>
  </si>
  <si>
    <t>Total Abs méthode 2 :</t>
  </si>
  <si>
    <t>Total Ind. CP méthode 1 :</t>
  </si>
  <si>
    <t>Montant total Indemnité pour CP :</t>
  </si>
  <si>
    <t>dont montant de l'ind. pour CP Ant :</t>
  </si>
  <si>
    <t>Nbre de jours potentiel/sem:</t>
  </si>
  <si>
    <t xml:space="preserve">Nbre jour /mois </t>
  </si>
  <si>
    <t>Heures CP</t>
  </si>
  <si>
    <t>Nbre d'heures normales :</t>
  </si>
  <si>
    <t>Nbre d'heures supp. mensualisées :</t>
  </si>
  <si>
    <t>Mensualisation du mois :</t>
  </si>
  <si>
    <t>Montant Abs pour congés payés  :</t>
  </si>
  <si>
    <t>code</t>
  </si>
  <si>
    <t>Horaires Réels</t>
  </si>
  <si>
    <t>Horaires Prévus</t>
  </si>
  <si>
    <r>
      <rPr>
        <sz val="10"/>
        <rFont val="Arial"/>
        <family val="2"/>
      </rPr>
      <t>Modifications manuelles</t>
    </r>
    <r>
      <rPr>
        <b/>
        <sz val="10"/>
        <rFont val="Arial"/>
        <family val="2"/>
      </rPr>
      <t xml:space="preserve"> Horaires Réels</t>
    </r>
  </si>
  <si>
    <t>Parents :</t>
  </si>
  <si>
    <t>FEUILLE DE PRESENCE</t>
  </si>
  <si>
    <t>Commentaires</t>
  </si>
  <si>
    <t>Hrs A1 réelles retenues</t>
  </si>
  <si>
    <t>Hrs D1 réelles retenues</t>
  </si>
  <si>
    <t>Hrs A2 réelles  retenues</t>
  </si>
  <si>
    <t>Hrs D2 réelles retenues</t>
  </si>
  <si>
    <t>Hrs A3 réelles  retenues</t>
  </si>
  <si>
    <t>Hrs D3 réelles retenues</t>
  </si>
  <si>
    <t>Hrs A4 réelles  retenues</t>
  </si>
  <si>
    <t>Hrs D4 réelles retenues</t>
  </si>
  <si>
    <t>Hrs compl ou supp en 100è</t>
  </si>
  <si>
    <t>Modif : Jrs congés complément</t>
  </si>
  <si>
    <t>Libellé dans case "heures"</t>
  </si>
  <si>
    <t>Abréviation</t>
  </si>
  <si>
    <t>Descriptif</t>
  </si>
  <si>
    <t>Incidence sur le salaire</t>
  </si>
  <si>
    <t>ABS</t>
  </si>
  <si>
    <t>Absence non prévue au contrat</t>
  </si>
  <si>
    <t>Aucune incidence sur le salaire / Affichage en "Heures Eff" des heures prévues</t>
  </si>
  <si>
    <t>MLEF</t>
  </si>
  <si>
    <t>MLAM</t>
  </si>
  <si>
    <t>Maladie de l'enfant</t>
  </si>
  <si>
    <t>Réduction du salaire avec la méthode de la cour de cassation</t>
  </si>
  <si>
    <t>CVP</t>
  </si>
  <si>
    <t>F. Payé</t>
  </si>
  <si>
    <t>Férié rémunéré</t>
  </si>
  <si>
    <t>Férié non rémunéré</t>
  </si>
  <si>
    <t>SD</t>
  </si>
  <si>
    <t>Semaines déduites au contrat</t>
  </si>
  <si>
    <t>Aucune incidence sur le salaire car non inclus dans la mensualisation</t>
  </si>
  <si>
    <t>CA</t>
  </si>
  <si>
    <t>JP mens</t>
  </si>
  <si>
    <t>Jours perlés déduits sur le mois</t>
  </si>
  <si>
    <t>oui</t>
  </si>
  <si>
    <t>non</t>
  </si>
  <si>
    <t>F. Déduit</t>
  </si>
  <si>
    <t>JP déduit</t>
  </si>
  <si>
    <t>Heures maj. mens. :</t>
  </si>
  <si>
    <t>Retenue sur salaire hrs maj. Mens. (Maladie,…)</t>
  </si>
  <si>
    <t>Nbre d'heures majorées mensualisées indemnisées pour CP :</t>
  </si>
  <si>
    <t>Montant Indemnité pour congés payés Hrs majorées. :</t>
  </si>
  <si>
    <t>Heures majorées mensualisées :</t>
  </si>
  <si>
    <t>Nombre d'heures majorées :</t>
  </si>
  <si>
    <t>Total annuel heures majorées :</t>
  </si>
  <si>
    <t>Taux majoration heures majorées :</t>
  </si>
  <si>
    <t>Nombre d'heures majorées mensualisées :</t>
  </si>
  <si>
    <t>% hrs majorés /hrs normales :</t>
  </si>
  <si>
    <t>Taux hrs majorées / hrs total :</t>
  </si>
  <si>
    <t>Taux horaires majorés :</t>
  </si>
  <si>
    <t>Taux majoration :</t>
  </si>
  <si>
    <t>Régularisation des hrs normales (hrs) :</t>
  </si>
  <si>
    <t>Régularisation des hrs majorées (hrs) :</t>
  </si>
  <si>
    <t>Report (inutilisé) :</t>
  </si>
  <si>
    <t>Modif report du solde en euros :</t>
  </si>
  <si>
    <t xml:space="preserve">Hrs majorées effectives : </t>
  </si>
  <si>
    <t>Hrs normales payés :</t>
  </si>
  <si>
    <t>Hrs majorées payées :</t>
  </si>
  <si>
    <t>Tableau de régularisation en euros</t>
  </si>
  <si>
    <t>Salaires à percevoir :</t>
  </si>
  <si>
    <t>Sur les heures majorées :</t>
  </si>
  <si>
    <t>Salaires perçus :</t>
  </si>
  <si>
    <t xml:space="preserve">Tenir compte du taux majoration : </t>
  </si>
  <si>
    <t>Sal hrs normales à percevoir</t>
  </si>
  <si>
    <t>Sal perçus hrs normales</t>
  </si>
  <si>
    <t>Sal total à percevoir</t>
  </si>
  <si>
    <t>Sal total perçus</t>
  </si>
  <si>
    <t>Régularisation en euros mois</t>
  </si>
  <si>
    <t>Relevé de Situation de la Régularisation</t>
  </si>
  <si>
    <t xml:space="preserve">Date de début : </t>
  </si>
  <si>
    <t xml:space="preserve">Date de fin : </t>
  </si>
  <si>
    <t>(Mois)</t>
  </si>
  <si>
    <t>(Année)</t>
  </si>
  <si>
    <t>Liste Mois</t>
  </si>
  <si>
    <t>Liste Année</t>
  </si>
  <si>
    <t>Janvier</t>
  </si>
  <si>
    <t>Février</t>
  </si>
  <si>
    <t>Mars</t>
  </si>
  <si>
    <t>Avril</t>
  </si>
  <si>
    <t>Mai</t>
  </si>
  <si>
    <t>Juin</t>
  </si>
  <si>
    <t>Juillet</t>
  </si>
  <si>
    <t>Août</t>
  </si>
  <si>
    <t>Septembre</t>
  </si>
  <si>
    <t>Octobre</t>
  </si>
  <si>
    <t>Novembre</t>
  </si>
  <si>
    <t>Décembre</t>
  </si>
  <si>
    <t>Mois-Année</t>
  </si>
  <si>
    <t>Heures Normales Effectuées</t>
  </si>
  <si>
    <t>Heures Majorées Effectuées</t>
  </si>
  <si>
    <t>Heures Normales Payées</t>
  </si>
  <si>
    <t>Heures Majorées Payées</t>
  </si>
  <si>
    <t>Salaires pour les Hrs Normales à percevoir</t>
  </si>
  <si>
    <t>Salaires pour les Hrs Majorées à percevoir</t>
  </si>
  <si>
    <t>Salaires pour toutes les Heures à percevoir</t>
  </si>
  <si>
    <t>Salaires perçus pour les Hrs normales</t>
  </si>
  <si>
    <t>Salaires perçus pour les Hrs Majorées</t>
  </si>
  <si>
    <t>Salaires pour toutes les Hrs perçus</t>
  </si>
  <si>
    <t>Sélectionné</t>
  </si>
  <si>
    <t>Index</t>
  </si>
  <si>
    <t>Régularisation en euros du mois</t>
  </si>
  <si>
    <t>Total salaire à percevoir :</t>
  </si>
  <si>
    <t>Total salaire perçus :</t>
  </si>
  <si>
    <t>Régularisation :</t>
  </si>
  <si>
    <t>Relevé de situation pour :</t>
  </si>
  <si>
    <t>1/80è (nouvelle CCN)</t>
  </si>
  <si>
    <t>1/60è</t>
  </si>
  <si>
    <t>Liste méthode ind rupture</t>
  </si>
  <si>
    <t>Base :</t>
  </si>
  <si>
    <t>Taux majoration heures complémentaires :</t>
  </si>
  <si>
    <t>(Conforme à la nouvelle CCN : clause spécifique dans le contrat)</t>
  </si>
  <si>
    <t>avance 10% brut</t>
  </si>
  <si>
    <t>avance 10% net</t>
  </si>
  <si>
    <t>Avance congés payés brut 10% :</t>
  </si>
  <si>
    <t>Avance CP net :</t>
  </si>
  <si>
    <t>Avances déduites ce mois :</t>
  </si>
  <si>
    <t xml:space="preserve">CP sur brut  Avance de 10% </t>
  </si>
  <si>
    <t>Montant :</t>
  </si>
  <si>
    <t>Report du solde du relevé des avances  :</t>
  </si>
  <si>
    <t>Solde Avant : des Avances</t>
  </si>
  <si>
    <t>(Non autorisé dans la nouvelle CCN)</t>
  </si>
  <si>
    <t>Tarif hc</t>
  </si>
  <si>
    <t>taux HC</t>
  </si>
  <si>
    <t>Taux de majoration  : des heures majorées :</t>
  </si>
  <si>
    <t>des heures complémentaires :</t>
  </si>
  <si>
    <t>taux HC :</t>
  </si>
  <si>
    <t>Montant HC :</t>
  </si>
  <si>
    <t>Avances versées</t>
  </si>
  <si>
    <t>Avances déduites</t>
  </si>
  <si>
    <t>condition tableau avance cachée</t>
  </si>
  <si>
    <t>CP sur le net Avance de 10%</t>
  </si>
  <si>
    <t>Avance de 10% pour Congés Payés sur le net :</t>
  </si>
  <si>
    <t>condition dernier bulletin solde avance</t>
  </si>
  <si>
    <t>mai CP AC</t>
  </si>
  <si>
    <t>Main CP AI</t>
  </si>
  <si>
    <t>ICCP AC</t>
  </si>
  <si>
    <t>ICCP AI</t>
  </si>
  <si>
    <t>Mois de paiement :</t>
  </si>
  <si>
    <t>Liste mois-année CP</t>
  </si>
  <si>
    <t>Année de paiement :</t>
  </si>
  <si>
    <t>Mois lettre</t>
  </si>
  <si>
    <t>Base brut 10%</t>
  </si>
  <si>
    <t>Salaires des 36 mois civils complets précédant
le dernier jour travaillé et payé</t>
  </si>
  <si>
    <t>Portez dans ces cadres les salaires correspondant aux 36 mois civils précédant le dernier jour travaillé et payé.
(Ex : dernier jour travaillé et payé : le 25/01/2020, indiquez les salaires du 01/01/2017 au 31/12/2019)</t>
  </si>
  <si>
    <t>Période de paie</t>
  </si>
  <si>
    <t>Du</t>
  </si>
  <si>
    <t>Au</t>
  </si>
  <si>
    <t>Temps de travail payé (précisez en heures)</t>
  </si>
  <si>
    <t>Salaire mensuel brut soumis à contributions patronales d'assurance chômage</t>
  </si>
  <si>
    <t>Dernier jour travaillé :</t>
  </si>
  <si>
    <t>Date Début contrat :</t>
  </si>
  <si>
    <t xml:space="preserve">date prise en cpte : </t>
  </si>
  <si>
    <t>Différence mois :</t>
  </si>
  <si>
    <t>Hrs retenues</t>
  </si>
  <si>
    <t>Hrs payés :</t>
  </si>
  <si>
    <t>Rémunération brut - ICCP-ind préavis - prime 10%</t>
  </si>
  <si>
    <t>Rémunération brut (hors ICCP; précarité;préavis) :</t>
  </si>
  <si>
    <t>Hrs retenues :</t>
  </si>
  <si>
    <t>Observations En cas de variation significative des salaires,indiquez-en le motif</t>
  </si>
  <si>
    <t>condition avance déduite à faire</t>
  </si>
  <si>
    <t>condition</t>
  </si>
  <si>
    <t>travaillée</t>
  </si>
  <si>
    <t>non travaillé</t>
  </si>
  <si>
    <t>montant</t>
  </si>
  <si>
    <t>Heures /Lib</t>
  </si>
  <si>
    <t>HRS Comp</t>
  </si>
  <si>
    <t>HRS Supp</t>
  </si>
  <si>
    <t>Report dans le bulletin du mois</t>
  </si>
  <si>
    <t>Report de la feuille de présence</t>
  </si>
  <si>
    <t>Planning BS du mois</t>
  </si>
  <si>
    <t>à partir du tableau ci-dessous</t>
  </si>
  <si>
    <t>à partir de l'onglet "Feuille de présence"</t>
  </si>
  <si>
    <t>masquer calendrier modif :</t>
  </si>
  <si>
    <t>Montant des avances (sur le brut)</t>
  </si>
  <si>
    <t xml:space="preserve">Avance de 10% sur le brut perçue chaque mois : </t>
  </si>
  <si>
    <t>Montant des avances sur le brut</t>
  </si>
  <si>
    <t xml:space="preserve">Avances de 10% sur le brut perçues chaque mois : </t>
  </si>
  <si>
    <t>Remplir le calendrier du Bulletin de salaire (tableau ci-dessous ou Feuille de présence) :</t>
  </si>
  <si>
    <t xml:space="preserve">Montant : </t>
  </si>
  <si>
    <t>Ecart hrs prévues / hrs réelles</t>
  </si>
  <si>
    <t>Entraine une Retenue sur salaire</t>
  </si>
  <si>
    <t>Affichage dans la colonne HRS EFF prévues</t>
  </si>
  <si>
    <t>Retenues sur salaire</t>
  </si>
  <si>
    <t>Retenue prise écart en compte</t>
  </si>
  <si>
    <t>Retenues sur salaire sur la journée</t>
  </si>
  <si>
    <t>Effectuer une retenue sur l'écart</t>
  </si>
  <si>
    <t>Heures pour la retenue sur salaire</t>
  </si>
  <si>
    <t>Erreur si 2 oui</t>
  </si>
  <si>
    <t>deduction libellée</t>
  </si>
  <si>
    <t xml:space="preserve">retenue bs </t>
  </si>
  <si>
    <t>retenus FP</t>
  </si>
  <si>
    <t>Retenus fp</t>
  </si>
  <si>
    <t>condition masquer</t>
  </si>
  <si>
    <t>Répartir ces heures dans entre les heures complémentaires et supplémentaires si nécessaire dans la colonne AN ou AO</t>
  </si>
  <si>
    <t>Nombre d'heures potentielles du mois</t>
  </si>
  <si>
    <t>Report CP FP</t>
  </si>
  <si>
    <t>Calcul de l'indemnité d'entretien par rapport aux heures réelles de présence :</t>
  </si>
  <si>
    <t>Hrs normale ICCP</t>
  </si>
  <si>
    <t>Heures régul+ind abs</t>
  </si>
  <si>
    <t>Heures ICCP</t>
  </si>
  <si>
    <t>Avances déduites :</t>
  </si>
  <si>
    <t>Avances versées :</t>
  </si>
  <si>
    <t>Aucune déduction du salaire / Affichage en "Heures Eff" des heures prévues</t>
  </si>
  <si>
    <t>retenue oui non</t>
  </si>
  <si>
    <t>Hrs eff</t>
  </si>
  <si>
    <t>Nombre d'heures</t>
  </si>
  <si>
    <t>A déduire Oui/Non</t>
  </si>
  <si>
    <t>Les retenues</t>
  </si>
  <si>
    <t>Hrs prévues</t>
  </si>
  <si>
    <t>retenus hrs bs</t>
  </si>
  <si>
    <t>Heures / Libellés</t>
  </si>
  <si>
    <t>Modif : Retenues OUI/NON</t>
  </si>
  <si>
    <t>Hrs Retenues pour la journée</t>
  </si>
  <si>
    <t>Actuellement il y a quelques bugs pour la dernière déclaration du contrat auprès de pajemploi (en particulier au niveau de la déclaration ICCP)</t>
  </si>
  <si>
    <t>Scénario 2 : Le salaire net déclaré tient compte de l'ICCP et l'ICCP est aussi déclarée à part / Les heures correspondantes à l'ICCP sont incluses dans les heures normales</t>
  </si>
  <si>
    <t>Scénario 3 : Le salaire net déclaré tient compte de l'ICCP et pour l'ICCP on déclare 0 / Les heures correspondantes à l'ICCP sont incluses dans les heures normales</t>
  </si>
  <si>
    <t>Choix du scénario :</t>
  </si>
  <si>
    <t>Indemnité compensatrice de congés payés (ICCP) :</t>
  </si>
  <si>
    <t>retenue</t>
  </si>
  <si>
    <t>Congés payés pris précédemment</t>
  </si>
  <si>
    <t>Congés payés pris ce mois :</t>
  </si>
  <si>
    <t>Scénario 4</t>
  </si>
  <si>
    <t>Heures avances de cp+ CP Année incomplète</t>
  </si>
  <si>
    <t>Aide pour remplir le Cadre "Salaires" de l'attestation Pole Emploi</t>
  </si>
  <si>
    <t>Aide pour remplir le Cadre "Sommes versées à l'occasion de la rupture du contrat" de l'attestation Pole Emploi</t>
  </si>
  <si>
    <t xml:space="preserve">Indemnités de congés payés : </t>
  </si>
  <si>
    <t>Montant ICCP</t>
  </si>
  <si>
    <t>Montant préavis</t>
  </si>
  <si>
    <t>Prime de précarité</t>
  </si>
  <si>
    <t>Indemnité de rupture</t>
  </si>
  <si>
    <t>Prime départ retraite</t>
  </si>
  <si>
    <t>Indemnités légales de licenciement ou de rupture :</t>
  </si>
  <si>
    <t>Autres indemnités versées à l'occasion de la rupture de contrat (hors préavis et congés) :</t>
  </si>
  <si>
    <t>Total des indemnités liées à la rupture :</t>
  </si>
  <si>
    <t>Date réf indemnités :</t>
  </si>
  <si>
    <t>Date fin contrat</t>
  </si>
  <si>
    <t>Source_liste_fiche2</t>
  </si>
  <si>
    <t>Jours de fractionnement</t>
  </si>
  <si>
    <t>Heures normales totales + CP avance/compl :</t>
  </si>
  <si>
    <t>Salaire heures suppl brutes :</t>
  </si>
  <si>
    <t xml:space="preserve">Si vous souhaitez modifier la fiche info de référence faites votre choix dans la liste. </t>
  </si>
  <si>
    <t>Jrs fract. Restants</t>
  </si>
  <si>
    <t>Date de notification du licenciement ou de la démission :</t>
  </si>
  <si>
    <t>La condition est respectée :</t>
  </si>
  <si>
    <t>pour une journée inférieure ou égale à :</t>
  </si>
  <si>
    <t>respect condition ind conventionnelle</t>
  </si>
  <si>
    <t>respect condition ind légale</t>
  </si>
  <si>
    <t>Respect d'une des 2 conditions précédente</t>
  </si>
  <si>
    <t>minimum conventionnel</t>
  </si>
  <si>
    <t>Déclaration Pajemploi</t>
  </si>
  <si>
    <t>Minimum conventionnel :</t>
  </si>
  <si>
    <t>Pour l'utilisation d'une indemnité proratisable par rapport au nombre d'heures mettre "oui" ci-dessous :</t>
  </si>
  <si>
    <t>et choisir entre l'indemnité conventionnelle, l'indemnité légale, l'indemnité personnnalisée</t>
  </si>
  <si>
    <t>Choix du type d'indemnité proratisable :</t>
  </si>
  <si>
    <t>Je choisis l'ind. proratisable :</t>
  </si>
  <si>
    <t>: Modif (si le "non" est sélectionné c'est l'ind. forfaitaire qui sera sur le BS)</t>
  </si>
  <si>
    <t>l'indemnité est de :</t>
  </si>
  <si>
    <t xml:space="preserve">Modif : </t>
  </si>
  <si>
    <t>Indemnité d'entretien proratisable (varie en fonction du nombre d'heures par jour) :</t>
  </si>
  <si>
    <t>Indemnité d'entretien forfaitaire (2 lignes possibles sur le BS) :</t>
  </si>
  <si>
    <t>Entretien proratisable</t>
  </si>
  <si>
    <t>Entretien forfaitaires</t>
  </si>
  <si>
    <t>jrs &lt;ou = forfait 1</t>
  </si>
  <si>
    <t>jrs &lt; ou = forfait 2</t>
  </si>
  <si>
    <t>Nb de jours n'ayant pas été intégralement payés</t>
  </si>
  <si>
    <t xml:space="preserve">condition </t>
  </si>
  <si>
    <t>avance CP brut :</t>
  </si>
  <si>
    <t>Jour de l’An</t>
  </si>
  <si>
    <t>Pâques</t>
  </si>
  <si>
    <t>Lundi de Pâques</t>
  </si>
  <si>
    <t>Fête du travail</t>
  </si>
  <si>
    <t>Victoire 1945</t>
  </si>
  <si>
    <t>Ascension</t>
  </si>
  <si>
    <t>Pentecôte</t>
  </si>
  <si>
    <t>Lundi de Pentecôte</t>
  </si>
  <si>
    <t>Fête Nationale</t>
  </si>
  <si>
    <t>Assomption</t>
  </si>
  <si>
    <t>Toussaint</t>
  </si>
  <si>
    <t>Armistice 1918</t>
  </si>
  <si>
    <t>Noël</t>
  </si>
  <si>
    <t>Condition masquer</t>
  </si>
  <si>
    <t>&lt; Etape 2</t>
  </si>
  <si>
    <t xml:space="preserve">Etape 6 : 
     - Autres indemnités (Déplacement, rupture ...)
     - Vérifier taux prélèvement à la source
     - Eventuellement saisir un montant trop perçu ou à restituer
     - Eventuellement saisir un commentaire si besoin
     - Ajuster les modes de règlement  
     - Verifier la partie congés et compléter si nécessaire
     - Rubriques "Fait à" et Date
</t>
  </si>
  <si>
    <t xml:space="preserve">Etape 7 </t>
  </si>
  <si>
    <t>Ç</t>
  </si>
  <si>
    <t xml:space="preserve">Å Å Å </t>
  </si>
  <si>
    <t>Å Å</t>
  </si>
  <si>
    <t>Å Å Å</t>
  </si>
  <si>
    <r>
      <rPr>
        <b/>
        <sz val="14"/>
        <color rgb="FFFF0000"/>
        <rFont val="Wingdings 3"/>
        <family val="1"/>
        <charset val="2"/>
      </rPr>
      <t>Å</t>
    </r>
    <r>
      <rPr>
        <b/>
        <sz val="14"/>
        <color rgb="FFFF0000"/>
        <rFont val="Arial"/>
        <family val="2"/>
      </rPr>
      <t xml:space="preserve"> Etape 1</t>
    </r>
  </si>
  <si>
    <r>
      <t>Å</t>
    </r>
    <r>
      <rPr>
        <b/>
        <sz val="14"/>
        <color rgb="FFFF0000"/>
        <rFont val="Arial"/>
        <family val="2"/>
      </rPr>
      <t xml:space="preserve"> Etape 1</t>
    </r>
  </si>
  <si>
    <r>
      <rPr>
        <b/>
        <sz val="14"/>
        <color rgb="FFFF0000"/>
        <rFont val="Wingdings 3"/>
        <family val="1"/>
        <charset val="2"/>
      </rPr>
      <t>Å</t>
    </r>
    <r>
      <rPr>
        <b/>
        <sz val="14"/>
        <color rgb="FFFF0000"/>
        <rFont val="Arial"/>
        <family val="2"/>
      </rPr>
      <t xml:space="preserve"> Etape 2</t>
    </r>
  </si>
  <si>
    <r>
      <t>Å</t>
    </r>
    <r>
      <rPr>
        <b/>
        <sz val="14"/>
        <color rgb="FFFF0000"/>
        <rFont val="Arial"/>
        <family val="2"/>
      </rPr>
      <t xml:space="preserve"> Etape 2</t>
    </r>
  </si>
  <si>
    <r>
      <rPr>
        <b/>
        <sz val="14"/>
        <color rgb="FFFF0000"/>
        <rFont val="Wingdings 3"/>
        <family val="1"/>
        <charset val="2"/>
      </rPr>
      <t>Å</t>
    </r>
    <r>
      <rPr>
        <b/>
        <sz val="14"/>
        <color rgb="FFFF0000"/>
        <rFont val="Arial"/>
        <family val="2"/>
      </rPr>
      <t xml:space="preserve"> Etape 3</t>
    </r>
  </si>
  <si>
    <r>
      <t>Å</t>
    </r>
    <r>
      <rPr>
        <b/>
        <sz val="14"/>
        <color rgb="FFFF0000"/>
        <rFont val="Arial"/>
        <family val="2"/>
      </rPr>
      <t xml:space="preserve"> Etape 3</t>
    </r>
  </si>
  <si>
    <r>
      <t xml:space="preserve">Etape 5 : les Indemnités </t>
    </r>
    <r>
      <rPr>
        <b/>
        <sz val="12"/>
        <color rgb="FFFF0000"/>
        <rFont val="Wingdings 3"/>
        <family val="1"/>
        <charset val="2"/>
      </rPr>
      <t>Ç</t>
    </r>
  </si>
  <si>
    <r>
      <rPr>
        <b/>
        <sz val="14"/>
        <color rgb="FFFF0000"/>
        <rFont val="Wingdings 3"/>
        <family val="1"/>
        <charset val="2"/>
      </rPr>
      <t>Å</t>
    </r>
    <r>
      <rPr>
        <b/>
        <sz val="14"/>
        <color rgb="FFFF0000"/>
        <rFont val="Arial"/>
        <family val="2"/>
      </rPr>
      <t xml:space="preserve"> Etape 4
Remplir le calendrier ici ou sur la feuille de présence (Abs, Maladie, Heures compl…)</t>
    </r>
  </si>
  <si>
    <r>
      <t>Å</t>
    </r>
    <r>
      <rPr>
        <b/>
        <sz val="14"/>
        <color rgb="FFFF0000"/>
        <rFont val="Arial"/>
        <family val="2"/>
      </rPr>
      <t xml:space="preserve"> Etape 4
Remplir le calendrier ici ou sur la feuille de présence (Abs, Maladie, Heures compl…)</t>
    </r>
  </si>
  <si>
    <r>
      <t xml:space="preserve">Etape 1 </t>
    </r>
    <r>
      <rPr>
        <b/>
        <sz val="14"/>
        <color rgb="FFFF0000"/>
        <rFont val="Wingdings 3"/>
        <family val="1"/>
        <charset val="2"/>
      </rPr>
      <t>Æ</t>
    </r>
  </si>
  <si>
    <t>1) Pour une journée inférieure (&lt;) ou égale (=) à</t>
  </si>
  <si>
    <t xml:space="preserve"> et inférieure (&lt;) ou égale (=) à</t>
  </si>
  <si>
    <t>Jrs Frac.</t>
  </si>
  <si>
    <t>Form. P.</t>
  </si>
  <si>
    <t>mois en cours</t>
  </si>
  <si>
    <t>mois avant</t>
  </si>
  <si>
    <t>mois après</t>
  </si>
  <si>
    <t>Nbre heures semaine (modif)</t>
  </si>
  <si>
    <t>Nbre d'heures majorées</t>
  </si>
  <si>
    <t>Nombre de mois retenues :</t>
  </si>
  <si>
    <t>Taux Smic Horaire</t>
  </si>
  <si>
    <t>Au 01/01</t>
  </si>
  <si>
    <t>Mensualisation heures majorées :</t>
  </si>
  <si>
    <t>Taux horaire brut heures majorées :</t>
  </si>
  <si>
    <t>Montant de la retenue heures majorées :</t>
  </si>
  <si>
    <t>Taux heures majorées / Heures Totales :</t>
  </si>
  <si>
    <t>Montant de la retenue :</t>
  </si>
  <si>
    <t>Nombre de semaines d'absence X Moyenne d'heure par semaine x Taux horaire brut</t>
  </si>
  <si>
    <t>Heures d'absence / Nombre d'heures de la semaine X Moyenne d'heures par semaine X Taux horaire brut</t>
  </si>
  <si>
    <t>Montant heures majorées mensualisées retenues :</t>
  </si>
  <si>
    <t>Montant à déduire heures majorées :</t>
  </si>
  <si>
    <t>Salaire heures normales percus :</t>
  </si>
  <si>
    <t>Salaire heures majorées percus :</t>
  </si>
  <si>
    <t>Temps entretien conventionnelle :</t>
  </si>
  <si>
    <t>heures :</t>
  </si>
  <si>
    <t>minutes</t>
  </si>
  <si>
    <t>total en centièmes :</t>
  </si>
  <si>
    <t>En Centièmes</t>
  </si>
  <si>
    <t>CONVERSION DES MINUTES</t>
  </si>
  <si>
    <t>En Minutes</t>
  </si>
  <si>
    <t>ð</t>
  </si>
  <si>
    <t>ï</t>
  </si>
  <si>
    <t>CONVERSION DU TAUX HORAIRE</t>
  </si>
  <si>
    <t>En Brut</t>
  </si>
  <si>
    <t>En Net</t>
  </si>
  <si>
    <t>Alsace Moselle :</t>
  </si>
  <si>
    <t>avec Majoration de :</t>
  </si>
  <si>
    <r>
      <rPr>
        <sz val="14"/>
        <rFont val="Wingdings"/>
        <charset val="2"/>
      </rPr>
      <t xml:space="preserve">÷   </t>
    </r>
    <r>
      <rPr>
        <sz val="14"/>
        <rFont val="Arial"/>
        <family val="2"/>
      </rPr>
      <t xml:space="preserve"> </t>
    </r>
    <r>
      <rPr>
        <sz val="14"/>
        <rFont val="Wingdings"/>
        <charset val="2"/>
      </rPr>
      <t>ø</t>
    </r>
  </si>
  <si>
    <t>Brut</t>
  </si>
  <si>
    <t>Choisir Brut ou Net</t>
  </si>
  <si>
    <t>Taux brut/net :</t>
  </si>
  <si>
    <t>TABLEAU DE BORD</t>
  </si>
  <si>
    <t>Prélèvement Impôt à la source</t>
  </si>
  <si>
    <t>Cumul Prélèvement Impôt à la source</t>
  </si>
  <si>
    <t>Cumul Salaire Imposable</t>
  </si>
  <si>
    <t>Salaire Imposable</t>
  </si>
  <si>
    <t>Rémunération Brute</t>
  </si>
  <si>
    <t>Cumul Rémunération Brute</t>
  </si>
  <si>
    <t>Salaire Net (Hors Indemnités)</t>
  </si>
  <si>
    <t>Cumul Salaire Net (Hors Indemnités)</t>
  </si>
  <si>
    <t>Salaire Net avant Impôt</t>
  </si>
  <si>
    <t>Cumul Salaire Net avant Impôt</t>
  </si>
  <si>
    <t>Net à Payer</t>
  </si>
  <si>
    <t>Cumul Net à Payer</t>
  </si>
  <si>
    <t>H.compl et supp non imposables</t>
  </si>
  <si>
    <t>Cumul H.compl et supp non imposables</t>
  </si>
  <si>
    <t xml:space="preserve">Nom </t>
  </si>
  <si>
    <t>1/</t>
  </si>
  <si>
    <t xml:space="preserve">Base </t>
  </si>
  <si>
    <t>Ancienneté minimum</t>
  </si>
  <si>
    <t>1/80è</t>
  </si>
  <si>
    <t>Montant (taux)</t>
  </si>
  <si>
    <t>Indemnité de rupture conventionnelle après le 1er janvier 2022</t>
  </si>
  <si>
    <t>temps travaillé :</t>
  </si>
  <si>
    <t>base_nbre_semaine_mensu</t>
  </si>
  <si>
    <t>Condition calendrier rouge</t>
  </si>
  <si>
    <t>Heures majorées ou suppl déclarées (pajemploi)</t>
  </si>
  <si>
    <t>Heures complémentaires déclarées (pajemploi)</t>
  </si>
  <si>
    <t>jrs hors contrat</t>
  </si>
  <si>
    <t>Date du contrat :</t>
  </si>
  <si>
    <t>pour chaque période de 12 mois</t>
  </si>
  <si>
    <t>Nbre de jours</t>
  </si>
  <si>
    <t>Type de jours</t>
  </si>
  <si>
    <r>
      <rPr>
        <b/>
        <u/>
        <sz val="10"/>
        <rFont val="Arial"/>
        <family val="2"/>
      </rPr>
      <t>Jours pris</t>
    </r>
    <r>
      <rPr>
        <sz val="10"/>
        <rFont val="Arial"/>
        <family val="2"/>
      </rPr>
      <t xml:space="preserve"> dans la </t>
    </r>
    <r>
      <rPr>
        <b/>
        <sz val="10"/>
        <rFont val="Arial"/>
        <family val="2"/>
      </rPr>
      <t>1ère période</t>
    </r>
    <r>
      <rPr>
        <sz val="10"/>
        <rFont val="Arial"/>
        <family val="2"/>
      </rPr>
      <t xml:space="preserve"> du </t>
    </r>
  </si>
  <si>
    <t>Reste :</t>
  </si>
  <si>
    <r>
      <rPr>
        <b/>
        <u/>
        <sz val="10"/>
        <rFont val="Arial"/>
        <family val="2"/>
      </rPr>
      <t>Jours pris</t>
    </r>
    <r>
      <rPr>
        <sz val="10"/>
        <rFont val="Arial"/>
        <family val="2"/>
      </rPr>
      <t xml:space="preserve"> dans la 2</t>
    </r>
    <r>
      <rPr>
        <b/>
        <sz val="10"/>
        <rFont val="Arial"/>
        <family val="2"/>
      </rPr>
      <t>ème période</t>
    </r>
    <r>
      <rPr>
        <sz val="10"/>
        <rFont val="Arial"/>
        <family val="2"/>
      </rPr>
      <t xml:space="preserve"> du </t>
    </r>
  </si>
  <si>
    <t>--------------------------------------------------------------------------------------------------------------------------------------------------------------------</t>
  </si>
  <si>
    <r>
      <rPr>
        <b/>
        <u/>
        <sz val="10"/>
        <rFont val="Arial"/>
        <family val="2"/>
      </rPr>
      <t>Jours pris</t>
    </r>
    <r>
      <rPr>
        <sz val="10"/>
        <rFont val="Arial"/>
        <family val="2"/>
      </rPr>
      <t xml:space="preserve"> dans la 3</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</si>
  <si>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4</t>
    </r>
    <r>
      <rPr>
        <b/>
        <sz val="10"/>
        <rFont val="Arial"/>
        <family val="2"/>
      </rPr>
      <t>ème période</t>
    </r>
    <r>
      <rPr>
        <sz val="10"/>
        <rFont val="Arial"/>
        <family val="2"/>
      </rPr>
      <t xml:space="preserve"> du </t>
    </r>
  </si>
  <si>
    <r>
      <rPr>
        <b/>
        <u/>
        <sz val="10"/>
        <rFont val="Arial"/>
        <family val="2"/>
      </rPr>
      <t>Jours pris</t>
    </r>
    <r>
      <rPr>
        <sz val="10"/>
        <rFont val="Arial"/>
        <family val="2"/>
      </rPr>
      <t xml:space="preserve"> dans la 5</t>
    </r>
    <r>
      <rPr>
        <b/>
        <sz val="10"/>
        <rFont val="Arial"/>
        <family val="2"/>
      </rPr>
      <t>ème période</t>
    </r>
    <r>
      <rPr>
        <sz val="10"/>
        <rFont val="Arial"/>
        <family val="2"/>
      </rPr>
      <t xml:space="preserve"> du </t>
    </r>
  </si>
  <si>
    <t>Hrs norm av et comp cp</t>
  </si>
  <si>
    <t>taux retenue hrs abs /hrs potentiel :</t>
  </si>
  <si>
    <t>Fiche info à utiliser</t>
  </si>
  <si>
    <t>mois</t>
  </si>
  <si>
    <t>Liste déroulante date avenant</t>
  </si>
  <si>
    <t>fiche avenant 1</t>
  </si>
  <si>
    <t>fiche avenant 2</t>
  </si>
  <si>
    <t>fiche avenant 3</t>
  </si>
  <si>
    <t>fiche avenant 4</t>
  </si>
  <si>
    <t>fiche avenant 5</t>
  </si>
  <si>
    <t>fiche avenant 6</t>
  </si>
  <si>
    <t>fiche avenant 7</t>
  </si>
  <si>
    <t>fiche avenant 8</t>
  </si>
  <si>
    <t>fiche avenant 9</t>
  </si>
  <si>
    <t>fiche avenant 10</t>
  </si>
  <si>
    <t>Résultat avenant</t>
  </si>
  <si>
    <t>Résultat avenant nom</t>
  </si>
  <si>
    <t>table avenant</t>
  </si>
  <si>
    <t>Saisie manuelle</t>
  </si>
  <si>
    <t>Résultat intermédiaire</t>
  </si>
  <si>
    <t>Résultat afficher bs</t>
  </si>
  <si>
    <t>avances déduites depuis juin</t>
  </si>
  <si>
    <t>Reste à percevoir :</t>
  </si>
  <si>
    <t>avance sur le net fiche info :</t>
  </si>
  <si>
    <t>Détail des calculs :</t>
  </si>
  <si>
    <t>Référence 1ère ligne :</t>
  </si>
  <si>
    <t>Coefficient de retenue = Nbre d'hrs d'absences / Nbre d'hrs potentielles</t>
  </si>
  <si>
    <t>Coefficient : heures majorées / Heures Totales :</t>
  </si>
  <si>
    <t>Outil de calcul pour contrat avec des horaires différents sur plusieurs semaines (planning,…) Année complète</t>
  </si>
  <si>
    <t>Date d'effet</t>
  </si>
  <si>
    <t>Montant du SMIC horaire brut</t>
  </si>
  <si>
    <t>* Jours mensualisés déduits (Maladie, sans solde…)</t>
  </si>
  <si>
    <t>Jrs non payés réels</t>
  </si>
  <si>
    <t>Jrs mensualisés non payés</t>
  </si>
  <si>
    <t>Nbre de jrs calendaires rémunérés :</t>
  </si>
  <si>
    <t>Informations pour l'attestation pole emploi :</t>
  </si>
  <si>
    <t>Temps de travail payé (en heures) :</t>
  </si>
  <si>
    <t>Nb de jrs n'ayant pas été payés (en jours) :</t>
  </si>
  <si>
    <t>Salaire mensuel brut soumis à cotisations :</t>
  </si>
  <si>
    <t xml:space="preserve">Indemnités compensatrice de préavis : </t>
  </si>
  <si>
    <t>Montant congés payés non pris :</t>
  </si>
  <si>
    <t>Montant ind comp de préavis :</t>
  </si>
  <si>
    <t>date fin de mois :</t>
  </si>
  <si>
    <t>Heures réelles</t>
  </si>
  <si>
    <t>Retenue Heures Majorées :</t>
  </si>
  <si>
    <t>Heures majorées d'absences :</t>
  </si>
  <si>
    <t>Heures majorées potentielles :</t>
  </si>
  <si>
    <t>Méthode 1A</t>
  </si>
  <si>
    <t xml:space="preserve">Avec cette méthode, lors d'une retenue sur salaire qui contient des heures majorées,   : </t>
  </si>
  <si>
    <t>l'outil réparti les heures majorées sur chaque jour entrainant la retenue sur salaire.</t>
  </si>
  <si>
    <t>l'outil déduira les heures majorées en priorités</t>
  </si>
  <si>
    <t>: Pour la retenue de salaire on tient compte du nombre d'heures majorées calculées chaque fin de semaine</t>
  </si>
  <si>
    <t>ref</t>
  </si>
  <si>
    <t>numero sem</t>
  </si>
  <si>
    <t>report</t>
  </si>
  <si>
    <t>Numéro de la dernière semaine :</t>
  </si>
  <si>
    <t>Report heures de la dernière semaine :</t>
  </si>
  <si>
    <t>numéro sem</t>
  </si>
  <si>
    <t>num sem</t>
  </si>
  <si>
    <t>Report heures prévues de la dernière semaine retenue :</t>
  </si>
  <si>
    <t>Report heures réelles de la dernière semaine retenue :</t>
  </si>
  <si>
    <t>Report :</t>
  </si>
  <si>
    <t>Retenue sur salaire (►) (Maladie, CVP…)</t>
  </si>
  <si>
    <t>Pour la retenue sur salaire, l'outil réparti les heures majorées sur chaque jour travaillé.</t>
  </si>
  <si>
    <t>report HC</t>
  </si>
  <si>
    <t>report HS</t>
  </si>
  <si>
    <t>report hrs eff</t>
  </si>
  <si>
    <t>Paramétrage de l'affichage en cas de retenue sur salaire :</t>
  </si>
  <si>
    <t>Affichages des :</t>
  </si>
  <si>
    <t>Heures mensualisées déduites</t>
  </si>
  <si>
    <t>Heures réelles déduites</t>
  </si>
  <si>
    <t>paramétrage affichages heures déduites :</t>
  </si>
  <si>
    <t>raison</t>
  </si>
  <si>
    <t>date</t>
  </si>
  <si>
    <t>date début</t>
  </si>
  <si>
    <t>Date 1</t>
  </si>
  <si>
    <t>Jrs non rémunéré travaillés</t>
  </si>
  <si>
    <t>jrs cal N rém</t>
  </si>
  <si>
    <t>CMAT</t>
  </si>
  <si>
    <t>Congés de Maternité</t>
  </si>
  <si>
    <t>CPAT</t>
  </si>
  <si>
    <t>Congés de Paternité</t>
  </si>
  <si>
    <t>Congé d’adoption</t>
  </si>
  <si>
    <t>CADOP</t>
  </si>
  <si>
    <t>Date 2</t>
  </si>
  <si>
    <t>Date 3</t>
  </si>
  <si>
    <t>Date 4</t>
  </si>
  <si>
    <t>Raison</t>
  </si>
  <si>
    <t>arret de travaille et suppension contrat de travail</t>
  </si>
  <si>
    <t>Information pour l'attestation Pole Emploi :</t>
  </si>
  <si>
    <t>Date début</t>
  </si>
  <si>
    <t>Date Début</t>
  </si>
  <si>
    <t>Attestation pole emploi suspension</t>
  </si>
  <si>
    <t>Susp. du cont. de trav.</t>
  </si>
  <si>
    <t>Rubrique attestation pole emploi</t>
  </si>
  <si>
    <t>Arrêt de Travail</t>
  </si>
  <si>
    <t>Légende</t>
  </si>
  <si>
    <t>Légendes :</t>
  </si>
  <si>
    <t>Maladie de l'Ass. Mat.</t>
  </si>
  <si>
    <t>Jours perlés déduits de la mensu.</t>
  </si>
  <si>
    <t>Congé convenance personnelle</t>
  </si>
  <si>
    <t>(Arrêt de travail, suspension du contrat)</t>
  </si>
  <si>
    <t>Coordonnées du Salarié :</t>
  </si>
  <si>
    <t>Nom et Prénom :</t>
  </si>
  <si>
    <t>Code Postal :</t>
  </si>
  <si>
    <t>Ville :</t>
  </si>
  <si>
    <t>Numéro Sécurité sociale :</t>
  </si>
  <si>
    <t>Dernier Emploi de votre salarié :</t>
  </si>
  <si>
    <t>Régime Alsace-Moselle :</t>
  </si>
  <si>
    <t>Arrêt de travail :</t>
  </si>
  <si>
    <t>date1 catégories</t>
  </si>
  <si>
    <t>date 1 raison</t>
  </si>
  <si>
    <t>date 1 début</t>
  </si>
  <si>
    <t>date 1 fin</t>
  </si>
  <si>
    <t>date2 catégories</t>
  </si>
  <si>
    <t>date 2 raison</t>
  </si>
  <si>
    <t>date 2 début</t>
  </si>
  <si>
    <t>date 2 fin</t>
  </si>
  <si>
    <t>date3 catégories</t>
  </si>
  <si>
    <t>date 3 raison</t>
  </si>
  <si>
    <t>date 3 début</t>
  </si>
  <si>
    <t>date 3 fin</t>
  </si>
  <si>
    <t>date4 catégories</t>
  </si>
  <si>
    <t>date 4 raison</t>
  </si>
  <si>
    <t>date 4 début</t>
  </si>
  <si>
    <t>date 4 fin</t>
  </si>
  <si>
    <t>Nbre de jrs non rémunérés :</t>
  </si>
  <si>
    <t xml:space="preserve">Catégorie </t>
  </si>
  <si>
    <t>réf arrêt</t>
  </si>
  <si>
    <t>Réf suspension</t>
  </si>
  <si>
    <t>Date Fin</t>
  </si>
  <si>
    <t>Période de suspension du contrat de travail :</t>
  </si>
  <si>
    <t>Modif nbre d'hrs</t>
  </si>
  <si>
    <t>Montant de l'exonération</t>
  </si>
  <si>
    <t>Prélèvement impot à la source</t>
  </si>
  <si>
    <t>Net à payer hors avance sur le net</t>
  </si>
  <si>
    <t xml:space="preserve">Récapitulatif </t>
  </si>
  <si>
    <t>Montant de l'exonération au titre des hrs comp. et majorées :</t>
  </si>
  <si>
    <t>Impôt sur le revenu prélevé à la source :</t>
  </si>
  <si>
    <t>Date de naissance :</t>
  </si>
  <si>
    <t>Faire apparaître la date de naissance et l'âge sur le bulletin :</t>
  </si>
  <si>
    <t>Date de naissance du salarié :</t>
  </si>
  <si>
    <t>Faire apparaitre sur le bs la date de naissance et l'âge :</t>
  </si>
  <si>
    <t>Age au :</t>
  </si>
  <si>
    <t>moins de 21 ans :</t>
  </si>
  <si>
    <t>soit</t>
  </si>
  <si>
    <t>Jrs ouvra. acquis hors enfants - 15 ans :</t>
  </si>
  <si>
    <t>Salaire y compris indemnités :</t>
  </si>
  <si>
    <t>Net</t>
  </si>
  <si>
    <t>taux conversion</t>
  </si>
  <si>
    <t>Le Puy-en-Velay</t>
  </si>
  <si>
    <t>Adresse Pajemploi :</t>
  </si>
  <si>
    <t>NET A PAYER sur l'attestation PAJEMPLOI</t>
  </si>
  <si>
    <t>Montant à verser par l'employeur</t>
  </si>
  <si>
    <t>Si date de début de votre contrat est antérieure à cette année, vous devez coller en valeur, au-dessous des lignes colorées, toutes les lignes de la feuille "Base" de l'année précédente.</t>
  </si>
  <si>
    <t>condition bon libellé dans heures</t>
  </si>
  <si>
    <t>nombre</t>
  </si>
  <si>
    <t>libellée</t>
  </si>
  <si>
    <t>condition libellé valide</t>
  </si>
  <si>
    <t>resultat</t>
  </si>
  <si>
    <t>Autorisé cp anticipé</t>
  </si>
  <si>
    <t>année incomplète</t>
  </si>
  <si>
    <t>Libellés</t>
  </si>
  <si>
    <t>Horaire prévue 0 ou pas</t>
  </si>
  <si>
    <t>type sem</t>
  </si>
  <si>
    <t xml:space="preserve">Avec cette méthode, la retenue sur salaire se fait sur une moyenne d'heures, cette méthode était préconisée  : </t>
  </si>
  <si>
    <t xml:space="preserve">avant la nouvelle CCN pour les plannings très aléatoires et les périscolaires. Je ne sais pas si c'est toujours le cas </t>
  </si>
  <si>
    <t>FEVRIER</t>
  </si>
  <si>
    <t>Plafond CPAM :</t>
  </si>
  <si>
    <t>Paramétrage de la déclaration Pajemploi :</t>
  </si>
  <si>
    <t>Arrondi heures normales. (Chiffres après la virgule) :</t>
  </si>
  <si>
    <t>Arrondi heures maj. suppl. (Chiffres après la virgule) :</t>
  </si>
  <si>
    <t>Arrondi heures compl. (Chiffres après la virgule) :</t>
  </si>
  <si>
    <t>Arrondi taux horaire (Chiffres après la virgule) :</t>
  </si>
  <si>
    <t>Taux horaire en :</t>
  </si>
  <si>
    <t>Salaire à déclarer en  :</t>
  </si>
  <si>
    <t>Taux horaire net/brut :</t>
  </si>
  <si>
    <t>Salaire net/ brut à déclarer :</t>
  </si>
  <si>
    <t>Sal horaire net/brut d'une heure normale :</t>
  </si>
  <si>
    <t>Salaire net/brut total (hors indemnités) à déclarer :</t>
  </si>
  <si>
    <t xml:space="preserve">Détail des calculs : </t>
  </si>
  <si>
    <t>Nbre d'heures majorées Mensu. =</t>
  </si>
  <si>
    <t>CDD</t>
  </si>
  <si>
    <t>CDD :</t>
  </si>
  <si>
    <t>Source données contrat2</t>
  </si>
  <si>
    <t>cdd oui/non</t>
  </si>
  <si>
    <t>Nombre semaines programmées</t>
  </si>
  <si>
    <t>total mois travaillés réajustés sem AN cours</t>
  </si>
  <si>
    <t>Hrs normales payées</t>
  </si>
  <si>
    <t>Hrs majorés payées</t>
  </si>
  <si>
    <t>Sal hrs majorées à percevoir</t>
  </si>
  <si>
    <t>Sal perçus heures majorées</t>
  </si>
  <si>
    <t>Hrs payés normales + majorées + compl déclaré pajemploi</t>
  </si>
  <si>
    <t>Hrs normales mensu - retenue</t>
  </si>
  <si>
    <t>Jour de formation rémunéré</t>
  </si>
  <si>
    <t>Congés annuels</t>
  </si>
  <si>
    <t>l'outil répartit les heures majorées sur chaque jour entrainant la retenue sur salaire.</t>
  </si>
  <si>
    <t>l'outil déduira les heures majorées en priorité</t>
  </si>
  <si>
    <r>
      <rPr>
        <sz val="10"/>
        <rFont val="Arial"/>
        <family val="2"/>
      </rPr>
      <t>Modifications manuelles</t>
    </r>
    <r>
      <rPr>
        <b/>
        <sz val="10"/>
        <rFont val="Arial"/>
        <family val="2"/>
      </rPr>
      <t xml:space="preserve"> Horaires Prévus</t>
    </r>
  </si>
  <si>
    <t>Scénario 1 :Le salaire net déclaré ne tient pas compte de l'ICCP qui est déclarée à part / Les heures correspondantes à l'ICCP sont incluses dans les heures normales</t>
  </si>
  <si>
    <t>Scénario 4 :  Le salaire net déclaré ne tient pas compte de l'ICCP qui est déclarée à part / Les heures correspondantes à l'ICCP ne sont pas incluses dans les heures normales</t>
  </si>
  <si>
    <t>Nombre de périodes :</t>
  </si>
  <si>
    <t>Nombre de périodes prises en compte :</t>
  </si>
  <si>
    <t>Taux horaire :</t>
  </si>
  <si>
    <t xml:space="preserve">Salaires perçus pour toutes les Hrs </t>
  </si>
  <si>
    <t>Cases en Jaune à remplir obligatoirement</t>
  </si>
  <si>
    <t xml:space="preserve">Taux horaire brut majoré : </t>
  </si>
  <si>
    <t>Méthode de calcul des CP :</t>
  </si>
  <si>
    <t>Montant de salaires reçus pendant la durée du contrat :</t>
  </si>
  <si>
    <t>Indemnités (entretiens, repas, km)</t>
  </si>
  <si>
    <t>Cumul Indemnités (entretiens, repas, km)</t>
  </si>
  <si>
    <t>Abattement fiscal</t>
  </si>
  <si>
    <t>Cumul Abattement fiscal</t>
  </si>
  <si>
    <t>Je prévois donc plusieurs scénarios pour la déclaration, selon l'évolution des informations demandées par pajemploi</t>
  </si>
  <si>
    <t>Dans le calcul du respect de la condition "Nombre de mois travaillés minimum" l'outil ne tient pas compte :</t>
  </si>
  <si>
    <t>des éventuels arrêts de maladie, ni des suspensions du contrat de travail. Vous devez vérifier vous-même que la condition est respectée</t>
  </si>
  <si>
    <t>masquer 2 è partie :</t>
  </si>
  <si>
    <t>masquer 2è partie :</t>
  </si>
  <si>
    <t>(Date de notification obligatoire)</t>
  </si>
  <si>
    <t>Contrat en cours (Relevé intermédiaire)</t>
  </si>
  <si>
    <t>MLEF R.</t>
  </si>
  <si>
    <t>Maladie de l'enfant rémunérée</t>
  </si>
  <si>
    <t>Fin de contrat CDD/occa.</t>
  </si>
  <si>
    <t>Démission</t>
  </si>
  <si>
    <t xml:space="preserve">Le motif de la rupture donne droit </t>
  </si>
  <si>
    <t xml:space="preserve">à l'indemnité de rupture : </t>
  </si>
  <si>
    <t>Motif de la rupture :</t>
  </si>
  <si>
    <t>Nbre de jours inclus dans l'ICCP</t>
  </si>
  <si>
    <t>Ce mois</t>
  </si>
  <si>
    <t>Depuis le 01/01</t>
  </si>
  <si>
    <t>Impôt prélevé :</t>
  </si>
  <si>
    <t>Calcul de l'indemnité de rupture pour un contrat</t>
  </si>
  <si>
    <t>CSS</t>
  </si>
  <si>
    <t xml:space="preserve">Congés sans solde </t>
  </si>
  <si>
    <t>Nombre d'heures Effectives du mois</t>
  </si>
  <si>
    <t>INFORMATION POUR LA REGULARISATION</t>
  </si>
  <si>
    <t>Salaire heures majorées hors majoration :</t>
  </si>
  <si>
    <t>Total des avances perçus au 31/05 année précédente :</t>
  </si>
  <si>
    <t>Montant des CP année incomplète au 31/05 an. Précéd. :</t>
  </si>
  <si>
    <t>tout masquer :</t>
  </si>
  <si>
    <t>à ajouter uniquement au 31 mai</t>
  </si>
  <si>
    <t>Attention utiliser la feuille :  "Ind Comp. de CP A. Incomplète"</t>
  </si>
  <si>
    <t>Attention utiliser la feuille : "Ind Comp. de  CP A. Complète"</t>
  </si>
  <si>
    <t>Majoration jours fériés travaillés</t>
  </si>
  <si>
    <t>Majoration pour difficultés particulières</t>
  </si>
  <si>
    <t>Heures normales régul + ind abs + majorations fériés + difficultés :</t>
  </si>
  <si>
    <t>Solde de la régularisation</t>
  </si>
  <si>
    <t>Heures prévues / potentielles</t>
  </si>
  <si>
    <t>CEF R.</t>
  </si>
  <si>
    <t>Congés payés acquis pris</t>
  </si>
  <si>
    <t>Congés payés pris par anticip.</t>
  </si>
  <si>
    <t>Congés pour Evènements Famil.</t>
  </si>
  <si>
    <t>Du libellé :</t>
  </si>
  <si>
    <t>Du Taux :</t>
  </si>
  <si>
    <t>De la base :</t>
  </si>
  <si>
    <t>Modification manuelle des indemnités :</t>
  </si>
  <si>
    <r>
      <t xml:space="preserve">Avance de 10% en </t>
    </r>
    <r>
      <rPr>
        <u/>
        <sz val="10"/>
        <color theme="0"/>
        <rFont val="Arial"/>
        <family val="2"/>
      </rPr>
      <t>brut</t>
    </r>
    <r>
      <rPr>
        <sz val="10"/>
        <color theme="0"/>
        <rFont val="Arial"/>
        <family val="2"/>
      </rPr>
      <t xml:space="preserve"> Congés Payés :</t>
    </r>
  </si>
  <si>
    <r>
      <t xml:space="preserve">Avance de 10% pour Congés Payés sur le </t>
    </r>
    <r>
      <rPr>
        <u/>
        <sz val="10"/>
        <color theme="0"/>
        <rFont val="Arial"/>
        <family val="2"/>
      </rPr>
      <t>net</t>
    </r>
    <r>
      <rPr>
        <sz val="10"/>
        <color theme="0"/>
        <rFont val="Arial"/>
        <family val="2"/>
      </rPr>
      <t xml:space="preserve"> :</t>
    </r>
  </si>
  <si>
    <t>Méthode pour calculer les retenues sur salaire :</t>
  </si>
  <si>
    <t>Syndicat national FO Assistant(e)s Maternel(e)s        www.assistantematernelle.info</t>
  </si>
  <si>
    <t>Date de la notification de la rupture ou de la démission :</t>
  </si>
  <si>
    <t>Indemnité de rupture contractuelle</t>
  </si>
  <si>
    <t>Rupture / Retrait d'enfant</t>
  </si>
  <si>
    <t>Indemnité kilométrique</t>
  </si>
  <si>
    <t>(1)</t>
  </si>
  <si>
    <t>(2)</t>
  </si>
  <si>
    <t>(1) Indemnités imposables</t>
  </si>
  <si>
    <t>(2) Indemnité non imposable</t>
  </si>
  <si>
    <t>Taux horaire brut heures  :</t>
  </si>
  <si>
    <t>Taux horaire net heures  :</t>
  </si>
  <si>
    <t>Taux horaire brut heures :</t>
  </si>
  <si>
    <t>Hrs mens. (&lt; ou = à 45 hrs / sem) :</t>
  </si>
  <si>
    <t>Mensualisation (heures &lt; ou = à 45 hrs / sem) :</t>
  </si>
  <si>
    <t>Montant de la retenue heures (&lt; ou = à 45 hrs / sem) :</t>
  </si>
  <si>
    <t>Coefficient : heures (&lt; ou = à 45 hrs / sem) / Heures Totales :</t>
  </si>
  <si>
    <t>Heures (&lt; ou = à 45 hrs / sem) d'absences :</t>
  </si>
  <si>
    <t>Retenue Heures  (&lt; ou = à 45 hrs / sem) :</t>
  </si>
  <si>
    <t>Heures (&lt; ou = 45 hrs / sem)</t>
  </si>
  <si>
    <t>Taux horaire brut :</t>
  </si>
  <si>
    <t>Nbre d'heures (&lt; ou = 45 hrs / sem) indemnisées pour CP :</t>
  </si>
  <si>
    <t>Montant Indemnité pour congés payés Heures (&lt; ou = 45 hrs / sem) :</t>
  </si>
  <si>
    <t>Exemple : J'ai un contrat de 10 hrs par jours sur 5 jrs/semaines. Je fais une retenue de 10 heures sur la semaine, je déduis 9 hrs (&lt; ou = à 45 hrs / sem) et 1 hrs majorée.</t>
  </si>
  <si>
    <t>Exemple : J'ai un contrat de 10 hrs par jours sur 5 jours semaines. Je dois faire une retenue sur salaire de 10 hrs. Je déduirais donc 5 hrs en heures (&lt; ou = à 45 hrs / sem) et 5 hrs en heures majorées</t>
  </si>
  <si>
    <t>Heures (&lt; ou = à 45 hrs / sem) potentielles :</t>
  </si>
  <si>
    <t>Nbre d'heures  (&lt; ou = à 45 hrs / sem) retenues :</t>
  </si>
  <si>
    <t>Montant à déduire heures  (&lt; ou = à 45 hrs / sem) :</t>
  </si>
  <si>
    <t>Montant heures (&lt; ou = à 45 hrs / sem) retenues :</t>
  </si>
  <si>
    <t>Taux heures (&lt; ou = à 45 hrs / sem) / Heures Totales :</t>
  </si>
  <si>
    <t>Heures (&lt; ou = à 45 hrs / sem) déclarées (pajemploi)</t>
  </si>
  <si>
    <t>Hrs (&lt; ou = à 45 hrs / sem) effectives :</t>
  </si>
  <si>
    <t>Sur les heures (&lt; ou = à 45 hrs / sem) :</t>
  </si>
  <si>
    <t>Salaire mensualisé (hrs &lt; ou = à 45 hrs / sem)</t>
  </si>
  <si>
    <t>Autres :</t>
  </si>
  <si>
    <t>Heures majo. totales prévues / Nbre de semaines calendaires du contrat X 52 semaines / 12 mois</t>
  </si>
  <si>
    <t xml:space="preserve">Exemple : J'ai un contrat de 10 heures par jour sur 5 jours soit 50 heures par semaine, soit 45 heures (&lt; ou = à 45 hrs / sem) et 5 heures majorées. </t>
  </si>
  <si>
    <t>Je fais une retenue d'une journée de 10 heures sur la semaine alors l'outil considère que 10 heures de retenue correspond à 9 heures (&lt; ou = à 45 hrs / sem) et 1 heure majorée.</t>
  </si>
  <si>
    <t>Si je fais une retenue d'une journée de 10 heures sur la semaine alors l'outil considère que 10 heures de retenue correspond à 5 heures (&lt; ou = à 45 hrs / sem) et 5 heures majorées.</t>
  </si>
  <si>
    <t>Si je fais une retenue de 2 heures sur la semaine alors l'outil considère que 2 heures de retenue correspond à 0 heures (&lt; ou = à 45 hrs / sem) et 2 heures majorées.</t>
  </si>
  <si>
    <t>fichier réalisé par David pouteau 78955 carrières sous poissy</t>
  </si>
  <si>
    <t>Salaire heures réelles (hrs &lt; ou = à 45 hrs / sem)</t>
  </si>
  <si>
    <t>Congés payés</t>
  </si>
  <si>
    <t>Net à payer :</t>
  </si>
  <si>
    <t>report avance 10%</t>
  </si>
  <si>
    <t>Pour la retenue sur salaire, l'outil répartit les heures majorées sur chaque jour travaillé.</t>
  </si>
  <si>
    <t xml:space="preserve">Retenue sur salaire = </t>
  </si>
  <si>
    <t>Mensualisation / Nbre d'heures potentielles du mois X hrs d'absences</t>
  </si>
  <si>
    <t>Nombre d'heures à payer</t>
  </si>
  <si>
    <t>Taux horaire brut</t>
  </si>
  <si>
    <t>Taux horaire</t>
  </si>
  <si>
    <r>
      <t>Comparatif des congés pris payés en maintien de salaire par rapport au 1/10è en cas de</t>
    </r>
    <r>
      <rPr>
        <b/>
        <u/>
        <sz val="10"/>
        <color theme="0"/>
        <rFont val="Arial"/>
        <family val="2"/>
      </rPr>
      <t xml:space="preserve"> prise de congés par anticipation</t>
    </r>
  </si>
  <si>
    <t xml:space="preserve"> avant</t>
  </si>
  <si>
    <t>sur le mois</t>
  </si>
  <si>
    <t xml:space="preserve"> sur le mois</t>
  </si>
  <si>
    <t xml:space="preserve"> après</t>
  </si>
  <si>
    <t>Heures  + complément CP</t>
  </si>
  <si>
    <t>Indemnités entretien / Repas / autres ind. Imp</t>
  </si>
  <si>
    <t>Heures majorées</t>
  </si>
  <si>
    <t>Montant de l'indemnité de CP au 31/05 de l'année précédente</t>
  </si>
  <si>
    <t>Nombre de jours ouvrables acquis au 31/05 de l'année précédente</t>
  </si>
  <si>
    <t>10% de l'indemnité de CP de l'année précédente :</t>
  </si>
  <si>
    <t>Exemple pour Février :</t>
  </si>
  <si>
    <t>Nbre jrs eff à rajouter (accident/Congé mat…) :</t>
  </si>
  <si>
    <t>MAT/MAP</t>
  </si>
  <si>
    <t>Acc. Travail / Mal profess. Ass Mat</t>
  </si>
  <si>
    <t>tps trav eff cp</t>
  </si>
  <si>
    <t>A partir du :</t>
  </si>
  <si>
    <r>
      <t xml:space="preserve">Pour contrat avec des horaires différents ou identiques chaque jour mais régulier : </t>
    </r>
    <r>
      <rPr>
        <b/>
        <sz val="10"/>
        <color theme="0"/>
        <rFont val="Arial"/>
        <family val="2"/>
      </rPr>
      <t>Méthode 1</t>
    </r>
  </si>
  <si>
    <r>
      <t xml:space="preserve">Pour contrat avec des horaires différents sur plusieurs semaines (planning, périscolaire…) : </t>
    </r>
    <r>
      <rPr>
        <b/>
        <sz val="10"/>
        <color theme="0"/>
        <rFont val="Arial"/>
        <family val="2"/>
      </rPr>
      <t>Méthode 2</t>
    </r>
  </si>
  <si>
    <t>On calcule le nombre de périodes de 4 semaines travaillées et pour chaque période, elle acquiert</t>
  </si>
  <si>
    <t>2,5 jours ouvrables.</t>
  </si>
  <si>
    <t>CP modalité paiement</t>
  </si>
  <si>
    <r>
      <rPr>
        <u/>
        <sz val="10"/>
        <color theme="8" tint="-0.499984740745262"/>
        <rFont val="Arial"/>
        <family val="2"/>
      </rPr>
      <t>Indemnité personnalisée 1</t>
    </r>
    <r>
      <rPr>
        <sz val="10"/>
        <color theme="8" tint="-0.499984740745262"/>
        <rFont val="Arial"/>
        <family val="2"/>
        <charset val="1"/>
      </rPr>
      <t xml:space="preserve"> : Montant :</t>
    </r>
  </si>
  <si>
    <r>
      <rPr>
        <u/>
        <sz val="10"/>
        <color theme="8" tint="-0.499984740745262"/>
        <rFont val="Arial"/>
        <family val="2"/>
      </rPr>
      <t>Indemnité personnalisée 2</t>
    </r>
    <r>
      <rPr>
        <sz val="10"/>
        <color theme="8" tint="-0.499984740745262"/>
        <rFont val="Arial"/>
        <family val="2"/>
        <charset val="1"/>
      </rPr>
      <t xml:space="preserve"> : Montant :</t>
    </r>
  </si>
  <si>
    <t>pour une journée égale à :</t>
  </si>
  <si>
    <t>Indemnité mini. obligatoire</t>
  </si>
  <si>
    <t>Indemnité personnalisée 1</t>
  </si>
  <si>
    <t>Indemnité personnalisée 2</t>
  </si>
  <si>
    <t>Indemnité pers 2 non respect minimum</t>
  </si>
  <si>
    <r>
      <t>Indemnité personnalisée 1</t>
    </r>
    <r>
      <rPr>
        <sz val="10"/>
        <color theme="8" tint="-0.499984740745262"/>
        <rFont val="Arial"/>
        <family val="2"/>
      </rPr>
      <t xml:space="preserve"> : Montant :</t>
    </r>
  </si>
  <si>
    <r>
      <t>Indemnité personnalisée 2</t>
    </r>
    <r>
      <rPr>
        <sz val="10"/>
        <color theme="8" tint="-0.499984740745262"/>
        <rFont val="Arial"/>
        <family val="2"/>
      </rPr>
      <t xml:space="preserve"> : Montant :</t>
    </r>
  </si>
  <si>
    <t>Inclure le nombre de congés de l'iccp dans la case congés payés pajemploi :</t>
  </si>
  <si>
    <t>Le montant correspondant aux enfants de moins de 15 ans et au jrs de fractionnement est de :</t>
  </si>
  <si>
    <t>Détail calcul heures</t>
  </si>
  <si>
    <t>Détail calcul jours d'activités</t>
  </si>
  <si>
    <t>(journée égale à 9h)</t>
  </si>
  <si>
    <t>Ajout de jours d'activité</t>
  </si>
  <si>
    <t>Diminution de jours d'activité</t>
  </si>
  <si>
    <t>FP</t>
  </si>
  <si>
    <t>Finfo</t>
  </si>
  <si>
    <t>Ecart</t>
  </si>
  <si>
    <t>Heures potentielles</t>
  </si>
  <si>
    <t>Ref1</t>
  </si>
  <si>
    <t>heures fiches info</t>
  </si>
  <si>
    <t>Y a-t-il un écart entre le nombre d'heures par semaine du planning et celui qui est prévu dans la mensualisation</t>
  </si>
  <si>
    <t>N° Sem</t>
  </si>
  <si>
    <t>Rappel total heures prévues</t>
  </si>
  <si>
    <t>Pour les semaines :</t>
  </si>
  <si>
    <t>ref2</t>
  </si>
  <si>
    <t>Heures pot fP</t>
  </si>
  <si>
    <t>Retenue</t>
  </si>
  <si>
    <t>Hrs potentielles/prévues</t>
  </si>
  <si>
    <t>Heures Potentielles</t>
  </si>
  <si>
    <t>Plafond cpam</t>
  </si>
  <si>
    <t>TAUX SALARIALES</t>
  </si>
  <si>
    <t>Prévoyance T1</t>
  </si>
  <si>
    <t>Prévoyance T2</t>
  </si>
  <si>
    <t>Retraite SS T1</t>
  </si>
  <si>
    <t>Retraite SS Totalité</t>
  </si>
  <si>
    <t>Retraite IRCEM T1</t>
  </si>
  <si>
    <t>CEG T1</t>
  </si>
  <si>
    <t>CET si plafond SS atteint</t>
  </si>
  <si>
    <t>Retraite IRCEM T2</t>
  </si>
  <si>
    <t>CEG T2</t>
  </si>
  <si>
    <t>Autres cotisations patronales T1</t>
  </si>
  <si>
    <t>TAUX PATRONALES</t>
  </si>
  <si>
    <t>COEFFICIENT BASE SALARIALE</t>
  </si>
  <si>
    <t>COEFFICIENT BASE PATRONALE</t>
  </si>
  <si>
    <t>CP acquis année incomplete</t>
  </si>
  <si>
    <t>Jours cp déclaré AI</t>
  </si>
  <si>
    <t xml:space="preserve">Elle acquiert 2,5 jours ouvrables de CP pour 1 mois travaillé. </t>
  </si>
  <si>
    <t>Nombre de mois retenus :</t>
  </si>
  <si>
    <t>Durée</t>
  </si>
  <si>
    <t>réf</t>
  </si>
  <si>
    <t>Heures potentiels bs</t>
  </si>
  <si>
    <t>Calcul CP</t>
  </si>
  <si>
    <t>heure effective FP ou BS</t>
  </si>
  <si>
    <t>Heures potentiel FP ou BS</t>
  </si>
  <si>
    <t>Pose CP AI</t>
  </si>
  <si>
    <t>n°sem</t>
  </si>
  <si>
    <t>année</t>
  </si>
  <si>
    <t>Heures potentiel prévue</t>
  </si>
  <si>
    <t>Numéro de sem</t>
  </si>
  <si>
    <t>Nbre jrs eff.</t>
  </si>
  <si>
    <t>Nbre jrs potentiels</t>
  </si>
  <si>
    <t>Nbre de semaines</t>
  </si>
  <si>
    <t>Nombre de semaines ce mois :</t>
  </si>
  <si>
    <t xml:space="preserve">Nombre de période ce mois : </t>
  </si>
  <si>
    <t>Nbre jrs eff</t>
  </si>
  <si>
    <t>jours</t>
  </si>
  <si>
    <t>prime précarité brut :</t>
  </si>
  <si>
    <t>Prime précarité brut</t>
  </si>
  <si>
    <t>Montant Net Social :</t>
  </si>
  <si>
    <t>Fin de contrat</t>
  </si>
  <si>
    <t>Net Social</t>
  </si>
  <si>
    <t>Cumul Net Social</t>
  </si>
  <si>
    <t>cdd prime</t>
  </si>
  <si>
    <t>brut hors prime</t>
  </si>
  <si>
    <t>liste déroulantes case BS   B35</t>
  </si>
  <si>
    <t>Calcul de la prime de précarité en fin de contrat CDD</t>
  </si>
  <si>
    <t>Montant de la prime de précarité (brut) :</t>
  </si>
  <si>
    <t>Base prime précarité</t>
  </si>
  <si>
    <t>Calcul jrs a rajouter pajemploi</t>
  </si>
  <si>
    <t>jrs compl ou suppl</t>
  </si>
  <si>
    <t>hrs eff</t>
  </si>
  <si>
    <t>hc</t>
  </si>
  <si>
    <t>Hs</t>
  </si>
  <si>
    <t>jrs en plus</t>
  </si>
  <si>
    <t>* Jours rajoutés (régul, jrs compl)</t>
  </si>
  <si>
    <t>Source type contrat court</t>
  </si>
  <si>
    <t>CDD sans date de fin</t>
  </si>
  <si>
    <t>CDD avec date de fin</t>
  </si>
  <si>
    <t>CDI Courte Durée</t>
  </si>
  <si>
    <t>Contrat Occasionnel</t>
  </si>
  <si>
    <t>Pour un :</t>
  </si>
  <si>
    <t xml:space="preserve">condition : </t>
  </si>
  <si>
    <t>occasionnel :</t>
  </si>
  <si>
    <t>MENSUALISATION CDD / Courte Durée / Occasionnel</t>
  </si>
  <si>
    <t>MENSUALISATION CDD / Courte Durée / Occasionnel  AVENANT 1</t>
  </si>
  <si>
    <t>MENSUALISATION CDD / Courte Durée / Occasionnel  AVENANT 2</t>
  </si>
  <si>
    <t>Prime précarité</t>
  </si>
  <si>
    <t>Prime précarité :</t>
  </si>
  <si>
    <t>Type contrat</t>
  </si>
  <si>
    <t>Précarité</t>
  </si>
  <si>
    <t>type contrat</t>
  </si>
  <si>
    <t>Durée contrat</t>
  </si>
  <si>
    <t>date de fin</t>
  </si>
  <si>
    <t>contrat occasionnel</t>
  </si>
  <si>
    <t>durée contrat</t>
  </si>
  <si>
    <t>occasionnel</t>
  </si>
  <si>
    <t xml:space="preserve">régularisation </t>
  </si>
  <si>
    <t>Type contrat :</t>
  </si>
  <si>
    <t xml:space="preserve">durée contrat : </t>
  </si>
  <si>
    <t>date de fin :</t>
  </si>
  <si>
    <t xml:space="preserve">faire apparaitre tableau majoration </t>
  </si>
  <si>
    <t>CDD ?</t>
  </si>
  <si>
    <t>complète / incomplète :</t>
  </si>
  <si>
    <t>titre en rouge :</t>
  </si>
  <si>
    <t>durée :</t>
  </si>
  <si>
    <t xml:space="preserve">date de fin : </t>
  </si>
  <si>
    <t>contrat occasionnel :</t>
  </si>
  <si>
    <t>complète / incomplète</t>
  </si>
  <si>
    <t>Maquer tout :</t>
  </si>
  <si>
    <t xml:space="preserve">durée : </t>
  </si>
  <si>
    <t>Comptabilisation de la majoration sur les heures supplémentaires</t>
  </si>
  <si>
    <t>Jours CP acquis pendant arrêt maladie (année précédente) :</t>
  </si>
  <si>
    <t>Jours CP acquis pendant arrêt maladie (année en cours) :</t>
  </si>
  <si>
    <t>jrs acq arrêt précédente</t>
  </si>
  <si>
    <t>jrs acq arrêt en cours</t>
  </si>
  <si>
    <t>Assimilé à du tps trav. Effective pour CP 2,5 jrs</t>
  </si>
  <si>
    <t>CP 2,5</t>
  </si>
  <si>
    <t>CP Arret</t>
  </si>
  <si>
    <t>Jours acquis en arrêt de travail (Maladie)</t>
  </si>
  <si>
    <t>Semaines arrêt maladie pour l'acquisition de CP (acquisition 2 jours)</t>
  </si>
  <si>
    <t>Semaines effectives pour l'acquisition de CP (acquisition 2,5 jours)</t>
  </si>
  <si>
    <t>Calcul CP arrêt maladie</t>
  </si>
  <si>
    <t>heure effective maladie FP ou BS</t>
  </si>
  <si>
    <t>Jours de CP acquis sur les arrêts de travail (maladie) :</t>
  </si>
  <si>
    <t>On ajoute aussi les jours ouvrables acquis pour enfant de moins de 15 ans et les jours acquis pendant les arrêts de travail (maladie).</t>
  </si>
  <si>
    <t>et les jours acquis pendant les arrêts de travail (maladie).</t>
  </si>
  <si>
    <t>Période de report :</t>
  </si>
  <si>
    <t>Assimilé à du tps trav. arrêt pour CP 2 jrs</t>
  </si>
  <si>
    <t>Jours acquis en arret de travail AI</t>
  </si>
  <si>
    <t>nombre jours en arret</t>
  </si>
  <si>
    <t>jrs acquis arret AC</t>
  </si>
  <si>
    <t>Jrs acq en arrêt</t>
  </si>
  <si>
    <t>heures absences</t>
  </si>
  <si>
    <t>Légendes</t>
  </si>
  <si>
    <t>Tps Tavail Eff 100%</t>
  </si>
  <si>
    <t>Tps Travail eff 80%</t>
  </si>
  <si>
    <t>Retenues à réintégrer :</t>
  </si>
  <si>
    <t>Détail :</t>
  </si>
  <si>
    <t>SALAIRE DE BASE POUR LA METHODE DE CP EN 10%</t>
  </si>
  <si>
    <t>(pour retrouver le détail des calculs de réintégrations consulter l'onglet retenue pour le mois concerné et aller à la ligne 90)</t>
  </si>
  <si>
    <t>Salaire mensualisé (tient compte des retenues)</t>
  </si>
  <si>
    <t>Réintégration des retenues à inclure à 100% dans la base pour la méthode des 10% (maternité, accident du travail…)</t>
  </si>
  <si>
    <t>Réintégration des retenues à inclure à 80% dans la base pour la méthode des 10% (maladie du salarié)</t>
  </si>
  <si>
    <t>Total des Réintégrations</t>
  </si>
  <si>
    <t>Salaire incluant les réintégrations</t>
  </si>
  <si>
    <t>Réintégration base 10%</t>
  </si>
  <si>
    <t>Salaires bruts reconstitués</t>
  </si>
  <si>
    <t>Valorisation jours de fractionnement :</t>
  </si>
  <si>
    <t>Le montant correspondant aux jours de fractionnement est de :</t>
  </si>
  <si>
    <t>Total des 10% / nombre jrs ouvrables calculés hors enfants -15 ans X nbre jours de fractionnement</t>
  </si>
  <si>
    <t>A. préc</t>
  </si>
  <si>
    <t>A. en cours</t>
  </si>
  <si>
    <t>Régularisation du mois :</t>
  </si>
  <si>
    <t>Régul.</t>
  </si>
  <si>
    <t>Impôt</t>
  </si>
  <si>
    <t>Paiement</t>
  </si>
  <si>
    <t>Paiement régul</t>
  </si>
  <si>
    <t>Paiement de la régularisation</t>
  </si>
  <si>
    <t>sélection</t>
  </si>
  <si>
    <t>Ligne 65</t>
  </si>
  <si>
    <t>Ligne 66</t>
  </si>
  <si>
    <t>base feuille retenue</t>
  </si>
  <si>
    <t>BJ53</t>
  </si>
  <si>
    <t>BJ61</t>
  </si>
  <si>
    <t>BJ56</t>
  </si>
  <si>
    <t>BJ64</t>
  </si>
  <si>
    <t>abs cp acq</t>
  </si>
  <si>
    <t>ind cp acq</t>
  </si>
  <si>
    <t>Virement</t>
  </si>
  <si>
    <t>hrs</t>
  </si>
  <si>
    <t>jrs</t>
  </si>
  <si>
    <t xml:space="preserve">Autres paramétrages : </t>
  </si>
  <si>
    <t>Frais divers dans l'entretien pour la déclaration paje  :</t>
  </si>
  <si>
    <t xml:space="preserve">Frais divers imposables : </t>
  </si>
  <si>
    <t>Frais Divers</t>
  </si>
  <si>
    <t xml:space="preserve">Inclures frais divers entretien </t>
  </si>
  <si>
    <t>Frais autres dans l'entretien pour la déclaration :</t>
  </si>
  <si>
    <t xml:space="preserve">Frais autres imposables : </t>
  </si>
  <si>
    <t>ICCP 10%</t>
  </si>
  <si>
    <t>CDD / Occasionnel : ICCP en 10% :</t>
  </si>
  <si>
    <t>==&gt; Modif :</t>
  </si>
  <si>
    <t>ICCP 10% :</t>
  </si>
  <si>
    <t>Régularisation en fin contrat :</t>
  </si>
  <si>
    <t xml:space="preserve">Régularisation sur ce mois : </t>
  </si>
  <si>
    <t>Montant de la régularisation payé :</t>
  </si>
  <si>
    <t>Montant de la régularisation due (avant paiement sur le mois) :</t>
  </si>
  <si>
    <t>Contribution Santé au Travail</t>
  </si>
  <si>
    <t>Report de la régularisation de l'année précédent (en euros):</t>
  </si>
  <si>
    <t xml:space="preserve">AI acquisition CP à la pose  : </t>
  </si>
  <si>
    <t>Date du contrat valide :</t>
  </si>
  <si>
    <t>Date contrat valide :</t>
  </si>
  <si>
    <t>Hrs normales à payer</t>
  </si>
  <si>
    <t>Hrs majorées à payer</t>
  </si>
  <si>
    <t>HRS à payer hors HC/HS</t>
  </si>
  <si>
    <t>Tableau des heures à payer (incluant les Fériés si payés)</t>
  </si>
  <si>
    <t>Scénario 1</t>
  </si>
  <si>
    <t>Scénario 2</t>
  </si>
  <si>
    <t>Scénario 3</t>
  </si>
  <si>
    <t xml:space="preserve">ICCP convertis en heures normales : </t>
  </si>
  <si>
    <t>Aide pour remplir l'attestation France Travail</t>
  </si>
  <si>
    <t xml:space="preserve">Montant de la régularisation : </t>
  </si>
  <si>
    <t>Modif lib. ligne 67 :</t>
  </si>
  <si>
    <t>Modif lib. ligne 68 :</t>
  </si>
  <si>
    <t>Total jours Courte Absence pris :</t>
  </si>
  <si>
    <t>Total jours Longue Absence pris :</t>
  </si>
  <si>
    <t>Version V6.24 Janvier 2026</t>
  </si>
  <si>
    <t>Congés pris au 31/10 (dans la période du congé principale) :</t>
  </si>
  <si>
    <t>Min 12 jours consécutif dans la période congés principales :</t>
  </si>
  <si>
    <t>heures libellées</t>
  </si>
  <si>
    <t>CP calcul</t>
  </si>
  <si>
    <t>condition 12 j fractionnement période congé légal</t>
  </si>
  <si>
    <t>Pendant cette période, votre salarié a-t-il effectué des heures complémentaires ?</t>
  </si>
  <si>
    <t>Pendant cette période, votre salarié a-t-il effectué des heures majorées ?</t>
  </si>
  <si>
    <t>Pendant cette période, avez-vous versé des "congés payés" à votre salarié ?</t>
  </si>
  <si>
    <t xml:space="preserve">          Nombre d'heures complémentaires :</t>
  </si>
  <si>
    <t xml:space="preserve">          Nombre d'heures majorées : </t>
  </si>
  <si>
    <t xml:space="preserve">          Nombre de jours de congés payés :</t>
  </si>
  <si>
    <t>Heures normales à déclarer dans le mois :</t>
  </si>
  <si>
    <t>Frais de repas :</t>
  </si>
  <si>
    <t>Avance sur salaire : Avez-vous versé un acompte à votre salarié  ?</t>
  </si>
  <si>
    <t>S'agit-il d'une fin de contrat ?</t>
  </si>
  <si>
    <t xml:space="preserve">          Montant de la prime de précarité :</t>
  </si>
  <si>
    <t xml:space="preserve">          Montant de l'indemnité compensatrice de congés payés :</t>
  </si>
  <si>
    <t xml:space="preserve">          Montant de l'indemnité compensatrice de préavis :</t>
  </si>
  <si>
    <t xml:space="preserve">          Montant de l'indemnité rupture :</t>
  </si>
  <si>
    <t>Syndicat National FO des Emplois de la Famille         www.emploisdelafamille-fo.fr</t>
  </si>
  <si>
    <t>Syndicat National FO des Emplois de la Famille
 www.emploisdelafamille-fo.fr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</si>
</sst>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8" formatCode="#,##0.00\ &quot;€&quot;;[Red]\-#,##0.00\ &quot;€&quot;"/>
    <numFmt numFmtId="44" formatCode="_-* #,##0.00\ &quot;€&quot;_-;\-* #,##0.00\ &quot;€&quot;_-;_-* &quot;-&quot;??\ &quot;€&quot;_-;_-@_-"/>
    <numFmt numFmtId="164" formatCode="_-* #,##0.00\ _€_-;\-* #,##0.00\ _€_-;_-* &quot;-&quot;??\ _€_-;_-@_-"/>
    <numFmt numFmtId="165" formatCode="0\ %"/>
    <numFmt numFmtId="166" formatCode="#,##0.00&quot; €&quot;"/>
    <numFmt numFmtId="167" formatCode="mmmm"/>
    <numFmt numFmtId="168" formatCode="dd/mm/yy"/>
    <numFmt numFmtId="169" formatCode="0.00&quot; hrs&quot;"/>
    <numFmt numFmtId="170" formatCode="#,##0.0000&quot; €&quot;"/>
    <numFmt numFmtId="171" formatCode="_-* #,##0.00&quot; €&quot;_-;\-* #,##0.00&quot; €&quot;_-;_-* \-??&quot; €&quot;_-;_-@_-"/>
    <numFmt numFmtId="172" formatCode="ddd\ dd"/>
    <numFmt numFmtId="173" formatCode="0.00\ %"/>
    <numFmt numFmtId="174" formatCode="0&quot; jrs&quot;"/>
    <numFmt numFmtId="175" formatCode="0.000"/>
    <numFmt numFmtId="176" formatCode="0&quot; hrs&quot;"/>
    <numFmt numFmtId="177" formatCode="0.00&quot; jrs&quot;"/>
    <numFmt numFmtId="178" formatCode="0.00&quot; km&quot;"/>
    <numFmt numFmtId="179" formatCode="0.000\ %"/>
    <numFmt numFmtId="180" formatCode="#,##0.0000\ &quot;€&quot;"/>
    <numFmt numFmtId="181" formatCode="#,##0.00\ &quot;€&quot;"/>
    <numFmt numFmtId="182" formatCode="mmmm\-yyyy"/>
    <numFmt numFmtId="183" formatCode="d"/>
    <numFmt numFmtId="184" formatCode="ddd"/>
    <numFmt numFmtId="185" formatCode="0&quot; sem&quot;"/>
    <numFmt numFmtId="186" formatCode="_-* #,##0.0000\ &quot;€&quot;_-;\-* #,##0.0000\ &quot;€&quot;_-;_-* &quot;-&quot;??\ &quot;€&quot;_-;_-@_-"/>
    <numFmt numFmtId="187" formatCode="_-* #,##0.00\ &quot;€&quot;_-;\-* #,##0.00\ &quot;€&quot;_-;_-* &quot;-&quot;????\ &quot;€&quot;_-;_-@_-"/>
    <numFmt numFmtId="188" formatCode="_-* #,##0.0000\ [$€-1]_-;\-* #,##0.0000\ [$€-1]_-;_-* &quot;-&quot;??\ [$€-1]_-"/>
    <numFmt numFmtId="189" formatCode="_-* #,##0.00\ [$€-1]_-;\-* #,##0.00\ [$€-1]_-;_-* &quot;-&quot;??\ [$€-1]_-;_-@_-"/>
    <numFmt numFmtId="190" formatCode="mmm\-yyyy"/>
    <numFmt numFmtId="191" formatCode="_-* #,##0.00\ [$€-1]_-;\-* #,##0.00\ [$€-1]_-;_-* &quot;-&quot;??\ [$€-1]_-"/>
    <numFmt numFmtId="192" formatCode="0.0"/>
    <numFmt numFmtId="193" formatCode="dd"/>
    <numFmt numFmtId="194" formatCode="0.00000"/>
    <numFmt numFmtId="195" formatCode="mmmm/yyyy"/>
    <numFmt numFmtId="196" formatCode="#,##0_ ;\-#,##0\ "/>
    <numFmt numFmtId="197" formatCode="0.0000"/>
    <numFmt numFmtId="198" formatCode="mmmm\ yyyy"/>
    <numFmt numFmtId="199" formatCode="mmmm\-yy"/>
    <numFmt numFmtId="200" formatCode="_-* #,##0.00\ [$€-40C]_-;\-* #,##0.00\ [$€-40C]_-;_-* &quot;-&quot;??\ [$€-40C]_-;_-@_-"/>
    <numFmt numFmtId="201" formatCode="0.00##&quot; hrs&quot;"/>
    <numFmt numFmtId="202" formatCode="0.00##"/>
    <numFmt numFmtId="203" formatCode="0.00#####"/>
    <numFmt numFmtId="204" formatCode="#,##0.000\ &quot;€&quot;"/>
    <numFmt numFmtId="205" formatCode="_-* #,##0.0000&quot; €&quot;_-;\-* #,##0.0000&quot; €&quot;_-;_-* \-??&quot; €&quot;_-;_-@_-"/>
    <numFmt numFmtId="206" formatCode="_-* #,##0\ _€_-;\-* #,##0\ _€_-;_-* &quot;-&quot;??\ _€_-;_-@_-"/>
    <numFmt numFmtId="207" formatCode="_-* #,##0.0000\ _€_-;\-* #,##0.0000\ _€_-;_-* &quot;-&quot;??\ _€_-;_-@_-"/>
    <numFmt numFmtId="208" formatCode="0&quot; min&quot;"/>
    <numFmt numFmtId="209" formatCode="_-* #,##0.0000\ [$€-40C]_-;\-* #,##0.0000\ [$€-40C]_-;_-* &quot;-&quot;??\ [$€-40C]_-;_-@_-"/>
    <numFmt numFmtId="210" formatCode="0&quot; mois&quot;"/>
    <numFmt numFmtId="211" formatCode="dd/mm/yy;@"/>
    <numFmt numFmtId="212" formatCode="0&quot; enfant(s)&quot;"/>
    <numFmt numFmtId="213" formatCode="_-* #,##0.000&quot; €&quot;_-;\-* #,##0.000&quot; €&quot;_-;_-* \-??&quot; €&quot;_-;_-@_-"/>
    <numFmt numFmtId="214" formatCode="0.00&quot; sem&quot;"/>
    <numFmt numFmtId="215" formatCode="#,##0.00\ [$€-40C];[Red]\-#,##0.00\ [$€-40C]"/>
    <numFmt numFmtId="216" formatCode="0.000%"/>
    <numFmt numFmtId="217" formatCode="_-\ #,##0.00&quot; €&quot;_-;\-\ #,##0.00&quot; €&quot;_-;_-* \-??&quot; €&quot;_-;_-@_-"/>
  </numFmts>
  <fonts count="208" x14ac:knownFonts="1">
    <font>
      <sz val="10"/>
      <name val="Arial"/>
      <family val="2"/>
    </font>
    <font>
      <sz val="10"/>
      <color theme="1"/>
      <name val="Arial"/>
      <family val="2"/>
    </font>
    <font>
      <sz val="10"/>
      <color theme="1"/>
      <name val="Arial"/>
      <family val="2"/>
    </font>
    <font>
      <sz val="10"/>
      <color theme="1"/>
      <name val="Arial"/>
      <family val="2"/>
    </font>
    <font>
      <sz val="10"/>
      <color theme="1"/>
      <name val="Arial"/>
      <family val="2"/>
    </font>
    <font>
      <sz val="10"/>
      <name val="Arial"/>
      <family val="2"/>
      <charset val="1"/>
    </font>
    <font>
      <b/>
      <sz val="12"/>
      <name val="Arial"/>
      <family val="2"/>
      <charset val="1"/>
    </font>
    <font>
      <sz val="9"/>
      <color indexed="8"/>
      <name val="Tahoma"/>
      <family val="2"/>
      <charset val="1"/>
    </font>
    <font>
      <b/>
      <sz val="10"/>
      <name val="Arial"/>
      <family val="2"/>
      <charset val="1"/>
    </font>
    <font>
      <b/>
      <sz val="9"/>
      <color indexed="8"/>
      <name val="Tahoma"/>
      <family val="2"/>
      <charset val="1"/>
    </font>
    <font>
      <b/>
      <sz val="14"/>
      <name val="Arial"/>
      <family val="2"/>
      <charset val="1"/>
    </font>
    <font>
      <sz val="10"/>
      <color indexed="8"/>
      <name val="Arial"/>
      <family val="2"/>
      <charset val="1"/>
    </font>
    <font>
      <sz val="8"/>
      <name val="Arial"/>
      <family val="2"/>
      <charset val="1"/>
    </font>
    <font>
      <sz val="9"/>
      <name val="Arial"/>
      <family val="2"/>
      <charset val="1"/>
    </font>
    <font>
      <sz val="9"/>
      <color indexed="8"/>
      <name val="Arial"/>
      <family val="2"/>
      <charset val="1"/>
    </font>
    <font>
      <b/>
      <sz val="9"/>
      <name val="Arial"/>
      <family val="2"/>
      <charset val="1"/>
    </font>
    <font>
      <u/>
      <sz val="10"/>
      <name val="Arial"/>
      <family val="2"/>
      <charset val="1"/>
    </font>
    <font>
      <sz val="10"/>
      <name val="Arial"/>
      <family val="2"/>
    </font>
    <font>
      <b/>
      <sz val="10"/>
      <name val="Arial"/>
      <family val="2"/>
    </font>
    <font>
      <b/>
      <sz val="16"/>
      <color indexed="8"/>
      <name val="Arial"/>
      <family val="2"/>
    </font>
    <font>
      <b/>
      <sz val="20"/>
      <color indexed="8"/>
      <name val="Arial"/>
      <family val="2"/>
    </font>
    <font>
      <sz val="8"/>
      <name val="Arial"/>
      <family val="2"/>
    </font>
    <font>
      <sz val="10"/>
      <color theme="0"/>
      <name val="Arial"/>
      <family val="2"/>
      <charset val="1"/>
    </font>
    <font>
      <b/>
      <sz val="9"/>
      <color theme="0"/>
      <name val="Arial"/>
      <family val="2"/>
      <charset val="1"/>
    </font>
    <font>
      <i/>
      <sz val="9"/>
      <color indexed="8"/>
      <name val="Arial"/>
      <family val="2"/>
    </font>
    <font>
      <u/>
      <sz val="9"/>
      <color indexed="8"/>
      <name val="Arial"/>
      <family val="2"/>
      <charset val="1"/>
    </font>
    <font>
      <u/>
      <sz val="9"/>
      <name val="Arial"/>
      <family val="2"/>
      <charset val="1"/>
    </font>
    <font>
      <sz val="10"/>
      <color indexed="9"/>
      <name val="Arial"/>
      <family val="2"/>
    </font>
    <font>
      <b/>
      <sz val="14"/>
      <name val="Arial"/>
      <family val="2"/>
    </font>
    <font>
      <sz val="10"/>
      <color theme="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6"/>
      <name val="Arial"/>
      <family val="2"/>
    </font>
    <font>
      <b/>
      <sz val="12"/>
      <name val="Arial"/>
      <family val="2"/>
    </font>
    <font>
      <sz val="9"/>
      <name val="Arial"/>
      <family val="2"/>
    </font>
    <font>
      <b/>
      <sz val="11"/>
      <color theme="1"/>
      <name val="Calibri"/>
      <family val="2"/>
      <scheme val="minor"/>
    </font>
    <font>
      <b/>
      <sz val="18"/>
      <color theme="1"/>
      <name val="Calibri"/>
      <family val="2"/>
      <scheme val="minor"/>
    </font>
    <font>
      <b/>
      <sz val="14"/>
      <color theme="1"/>
      <name val="Calibri"/>
      <family val="2"/>
      <scheme val="minor"/>
    </font>
    <font>
      <b/>
      <sz val="11"/>
      <name val="Calibri"/>
      <family val="2"/>
      <scheme val="minor"/>
    </font>
    <font>
      <b/>
      <sz val="10"/>
      <color rgb="FFFF0000"/>
      <name val="Arial"/>
      <family val="2"/>
    </font>
    <font>
      <u/>
      <sz val="10"/>
      <name val="Arial"/>
      <family val="2"/>
    </font>
    <font>
      <b/>
      <u/>
      <sz val="14"/>
      <name val="Arial"/>
      <family val="2"/>
    </font>
    <font>
      <b/>
      <sz val="20"/>
      <name val="Arial"/>
      <family val="2"/>
    </font>
    <font>
      <sz val="14"/>
      <name val="Arial"/>
      <family val="2"/>
    </font>
    <font>
      <sz val="12"/>
      <name val="Arial"/>
      <family val="2"/>
    </font>
    <font>
      <sz val="16"/>
      <name val="Arial"/>
      <family val="2"/>
    </font>
    <font>
      <sz val="16"/>
      <color rgb="FFFF0000"/>
      <name val="Arial"/>
      <family val="2"/>
    </font>
    <font>
      <sz val="8"/>
      <color theme="0"/>
      <name val="Arial"/>
      <family val="2"/>
      <charset val="1"/>
    </font>
    <font>
      <sz val="10"/>
      <color theme="1"/>
      <name val="Arial"/>
      <family val="2"/>
      <charset val="1"/>
    </font>
    <font>
      <sz val="10"/>
      <color theme="1"/>
      <name val="Arial"/>
      <family val="2"/>
    </font>
    <font>
      <b/>
      <sz val="10"/>
      <color theme="1"/>
      <name val="Arial"/>
      <family val="2"/>
    </font>
    <font>
      <sz val="10"/>
      <color theme="8"/>
      <name val="Arial"/>
      <family val="2"/>
    </font>
    <font>
      <u/>
      <sz val="10"/>
      <color theme="1"/>
      <name val="Arial"/>
      <family val="2"/>
    </font>
    <font>
      <sz val="18"/>
      <color theme="1"/>
      <name val="Arial"/>
      <family val="2"/>
    </font>
    <font>
      <b/>
      <sz val="12"/>
      <color rgb="FFFF0000"/>
      <name val="Arial"/>
      <family val="2"/>
    </font>
    <font>
      <b/>
      <sz val="14"/>
      <color indexed="8"/>
      <name val="Arial"/>
      <family val="2"/>
    </font>
    <font>
      <sz val="10"/>
      <color theme="4" tint="-0.249977111117893"/>
      <name val="Arial"/>
      <family val="2"/>
    </font>
    <font>
      <b/>
      <sz val="10"/>
      <color theme="9" tint="-0.249977111117893"/>
      <name val="Arial"/>
      <family val="2"/>
    </font>
    <font>
      <sz val="10"/>
      <color theme="5" tint="-0.249977111117893"/>
      <name val="Arial"/>
      <family val="2"/>
    </font>
    <font>
      <b/>
      <sz val="10"/>
      <color theme="5" tint="-0.249977111117893"/>
      <name val="Arial"/>
      <family val="2"/>
    </font>
    <font>
      <sz val="10"/>
      <color rgb="FFFF0000"/>
      <name val="Arial"/>
      <family val="2"/>
    </font>
    <font>
      <b/>
      <u/>
      <sz val="10"/>
      <name val="Arial"/>
      <family val="2"/>
    </font>
    <font>
      <b/>
      <sz val="10"/>
      <color theme="0"/>
      <name val="Arial"/>
      <family val="2"/>
      <charset val="1"/>
    </font>
    <font>
      <sz val="8"/>
      <color theme="1"/>
      <name val="Arial"/>
      <family val="2"/>
      <charset val="1"/>
    </font>
    <font>
      <b/>
      <sz val="18"/>
      <name val="Arial"/>
      <family val="2"/>
    </font>
    <font>
      <sz val="10"/>
      <color indexed="81"/>
      <name val="Arial"/>
      <family val="2"/>
    </font>
    <font>
      <sz val="10"/>
      <color rgb="FFFF0000"/>
      <name val="Arial"/>
      <family val="2"/>
      <charset val="1"/>
    </font>
    <font>
      <b/>
      <sz val="10"/>
      <color rgb="FFFF0000"/>
      <name val="Arial"/>
      <family val="2"/>
      <charset val="1"/>
    </font>
    <font>
      <i/>
      <sz val="10"/>
      <name val="Arial"/>
      <family val="2"/>
    </font>
    <font>
      <b/>
      <sz val="10"/>
      <color indexed="10"/>
      <name val="Arial"/>
      <family val="2"/>
    </font>
    <font>
      <b/>
      <sz val="10"/>
      <color theme="0"/>
      <name val="Arial"/>
      <family val="2"/>
    </font>
    <font>
      <b/>
      <sz val="10"/>
      <color indexed="81"/>
      <name val="Arial"/>
      <family val="2"/>
    </font>
    <font>
      <sz val="10"/>
      <color indexed="81"/>
      <name val="Tahoma"/>
      <family val="2"/>
    </font>
    <font>
      <b/>
      <sz val="14"/>
      <color theme="0"/>
      <name val="Arial"/>
      <family val="2"/>
    </font>
    <font>
      <sz val="10"/>
      <color theme="4"/>
      <name val="Arial"/>
      <family val="2"/>
    </font>
    <font>
      <sz val="10"/>
      <color theme="9" tint="-0.249977111117893"/>
      <name val="Arial"/>
      <family val="2"/>
    </font>
    <font>
      <sz val="8"/>
      <color rgb="FFFF0000"/>
      <name val="Arial"/>
      <family val="2"/>
      <charset val="1"/>
    </font>
    <font>
      <b/>
      <u/>
      <sz val="9"/>
      <color indexed="10"/>
      <name val="Arial"/>
      <family val="2"/>
    </font>
    <font>
      <sz val="10"/>
      <color theme="3" tint="0.59999389629810485"/>
      <name val="Arial"/>
      <family val="2"/>
      <charset val="1"/>
    </font>
    <font>
      <b/>
      <sz val="10"/>
      <color theme="3" tint="0.59999389629810485"/>
      <name val="Arial"/>
      <family val="2"/>
      <charset val="1"/>
    </font>
    <font>
      <sz val="8"/>
      <color theme="3" tint="0.59999389629810485"/>
      <name val="Arial"/>
      <family val="2"/>
      <charset val="1"/>
    </font>
    <font>
      <b/>
      <sz val="10"/>
      <color theme="8" tint="-0.499984740745262"/>
      <name val="Arial"/>
      <family val="2"/>
    </font>
    <font>
      <sz val="10"/>
      <color theme="8" tint="-0.499984740745262"/>
      <name val="Arial"/>
      <family val="2"/>
    </font>
    <font>
      <u/>
      <sz val="10"/>
      <color theme="8" tint="-0.499984740745262"/>
      <name val="Arial"/>
      <family val="2"/>
    </font>
    <font>
      <i/>
      <sz val="10"/>
      <color theme="8" tint="-0.499984740745262"/>
      <name val="Arial"/>
      <family val="2"/>
    </font>
    <font>
      <sz val="10"/>
      <color theme="8" tint="-0.499984740745262"/>
      <name val="Arial"/>
      <family val="2"/>
      <charset val="1"/>
    </font>
    <font>
      <u/>
      <sz val="10"/>
      <color theme="8" tint="-0.499984740745262"/>
      <name val="Arial"/>
      <family val="2"/>
      <charset val="1"/>
    </font>
    <font>
      <b/>
      <sz val="10"/>
      <color theme="9" tint="-0.499984740745262"/>
      <name val="Arial"/>
      <family val="2"/>
    </font>
    <font>
      <sz val="10"/>
      <color theme="9" tint="-0.499984740745262"/>
      <name val="Arial"/>
      <family val="2"/>
    </font>
    <font>
      <u/>
      <sz val="10"/>
      <color theme="0"/>
      <name val="Arial"/>
      <family val="2"/>
      <charset val="1"/>
    </font>
    <font>
      <u/>
      <sz val="10"/>
      <color rgb="FF002060"/>
      <name val="Arial"/>
      <family val="2"/>
    </font>
    <font>
      <sz val="10"/>
      <color rgb="FF002060"/>
      <name val="Arial"/>
      <family val="2"/>
    </font>
    <font>
      <sz val="10"/>
      <color rgb="FF7030A0"/>
      <name val="Arial"/>
      <family val="2"/>
    </font>
    <font>
      <u/>
      <sz val="10"/>
      <color rgb="FF7030A0"/>
      <name val="Arial"/>
      <family val="2"/>
    </font>
    <font>
      <b/>
      <u/>
      <sz val="10"/>
      <color theme="1"/>
      <name val="Arial"/>
      <family val="2"/>
    </font>
    <font>
      <sz val="10"/>
      <color theme="9" tint="-0.249977111117893"/>
      <name val="Arial"/>
      <family val="2"/>
      <charset val="1"/>
    </font>
    <font>
      <b/>
      <sz val="10"/>
      <color theme="9" tint="-0.249977111117893"/>
      <name val="Arial"/>
      <family val="2"/>
      <charset val="1"/>
    </font>
    <font>
      <b/>
      <sz val="14"/>
      <color rgb="FFFF0000"/>
      <name val="Arial"/>
      <family val="2"/>
    </font>
    <font>
      <b/>
      <sz val="14"/>
      <color indexed="10"/>
      <name val="Arial"/>
      <family val="2"/>
    </font>
    <font>
      <b/>
      <sz val="12"/>
      <color rgb="FFFFC000"/>
      <name val="Wingdings 3"/>
      <family val="1"/>
      <charset val="2"/>
    </font>
    <font>
      <sz val="12"/>
      <color rgb="FFFFC000"/>
      <name val="Wingdings 3"/>
      <family val="1"/>
      <charset val="2"/>
    </font>
    <font>
      <b/>
      <sz val="12"/>
      <color rgb="FF0070C0"/>
      <name val="Wingdings 3"/>
      <family val="1"/>
      <charset val="2"/>
    </font>
    <font>
      <sz val="12"/>
      <color rgb="FF0070C0"/>
      <name val="Wingdings 3"/>
      <family val="1"/>
      <charset val="2"/>
    </font>
    <font>
      <sz val="12"/>
      <color indexed="51"/>
      <name val="Wingdings 3"/>
      <family val="1"/>
      <charset val="2"/>
    </font>
    <font>
      <b/>
      <u/>
      <sz val="10"/>
      <color theme="1"/>
      <name val="Arial"/>
      <family val="2"/>
      <charset val="1"/>
    </font>
    <font>
      <b/>
      <sz val="14"/>
      <color rgb="FFFF0000"/>
      <name val="Wingdings 3"/>
      <family val="1"/>
      <charset val="2"/>
    </font>
    <font>
      <b/>
      <sz val="12"/>
      <color rgb="FFFF0000"/>
      <name val="Wingdings 3"/>
      <family val="1"/>
      <charset val="2"/>
    </font>
    <font>
      <sz val="28"/>
      <color rgb="FFFF0000"/>
      <name val="Wingdings 3"/>
      <family val="1"/>
      <charset val="2"/>
    </font>
    <font>
      <sz val="12"/>
      <color rgb="FFFF0000"/>
      <name val="Wingdings 3"/>
      <family val="1"/>
      <charset val="2"/>
    </font>
    <font>
      <b/>
      <sz val="9"/>
      <color indexed="8"/>
      <name val="Tahoma"/>
      <family val="2"/>
    </font>
    <font>
      <sz val="14"/>
      <name val="Wingdings"/>
      <charset val="2"/>
    </font>
    <font>
      <b/>
      <sz val="10"/>
      <color theme="1"/>
      <name val="Arial"/>
      <family val="2"/>
      <charset val="1"/>
    </font>
    <font>
      <sz val="10"/>
      <color theme="5" tint="-0.249977111117893"/>
      <name val="Arial"/>
      <family val="2"/>
      <charset val="1"/>
    </font>
    <font>
      <b/>
      <sz val="8"/>
      <color theme="1"/>
      <name val="Calibri"/>
      <family val="2"/>
      <scheme val="minor"/>
    </font>
    <font>
      <b/>
      <sz val="10"/>
      <color rgb="FFFFFF00"/>
      <name val="Arial"/>
      <family val="2"/>
    </font>
    <font>
      <b/>
      <sz val="8"/>
      <name val="Arial"/>
      <family val="2"/>
    </font>
    <font>
      <sz val="10"/>
      <color rgb="FF00FF00"/>
      <name val="Arial"/>
      <family val="2"/>
    </font>
    <font>
      <sz val="10"/>
      <color rgb="FF00FF00"/>
      <name val="Arial"/>
      <family val="2"/>
      <charset val="1"/>
    </font>
    <font>
      <i/>
      <sz val="10"/>
      <color rgb="FFFF0000"/>
      <name val="Arial"/>
      <family val="2"/>
    </font>
    <font>
      <u/>
      <sz val="8"/>
      <name val="Arial"/>
      <family val="2"/>
      <charset val="1"/>
    </font>
    <font>
      <b/>
      <sz val="12"/>
      <color theme="9"/>
      <name val="Wingdings 3"/>
      <family val="1"/>
      <charset val="2"/>
    </font>
    <font>
      <b/>
      <sz val="12"/>
      <color indexed="53"/>
      <name val="Wingdings 3"/>
      <family val="1"/>
      <charset val="2"/>
    </font>
    <font>
      <b/>
      <sz val="12"/>
      <color theme="9" tint="-0.249977111117893"/>
      <name val="Wingdings 3"/>
      <family val="1"/>
      <charset val="2"/>
    </font>
    <font>
      <sz val="9"/>
      <color theme="0"/>
      <name val="Arial"/>
      <family val="2"/>
    </font>
    <font>
      <sz val="8"/>
      <color theme="9" tint="-0.249977111117893"/>
      <name val="Arial"/>
      <family val="2"/>
    </font>
    <font>
      <sz val="8"/>
      <color theme="0"/>
      <name val="Arial"/>
      <family val="2"/>
    </font>
    <font>
      <sz val="14"/>
      <color rgb="FFFF0000"/>
      <name val="Arial"/>
      <family val="2"/>
    </font>
    <font>
      <b/>
      <sz val="10"/>
      <color rgb="FF00FF00"/>
      <name val="Arial"/>
      <family val="2"/>
    </font>
    <font>
      <sz val="9"/>
      <color theme="0"/>
      <name val="Arial"/>
      <family val="2"/>
      <charset val="1"/>
    </font>
    <font>
      <b/>
      <sz val="8"/>
      <name val="Arial"/>
      <family val="2"/>
      <charset val="1"/>
    </font>
    <font>
      <sz val="9"/>
      <color theme="8" tint="-0.249977111117893"/>
      <name val="Arial"/>
      <family val="2"/>
      <charset val="1"/>
    </font>
    <font>
      <sz val="8"/>
      <name val="Wingdings 3"/>
      <family val="1"/>
      <charset val="2"/>
    </font>
    <font>
      <b/>
      <sz val="9"/>
      <color theme="6" tint="-0.249977111117893"/>
      <name val="Arial"/>
      <family val="2"/>
    </font>
    <font>
      <sz val="9"/>
      <color theme="6" tint="-0.249977111117893"/>
      <name val="Arial"/>
      <family val="2"/>
    </font>
    <font>
      <sz val="9"/>
      <color theme="6" tint="-0.249977111117893"/>
      <name val="Wingdings 3"/>
      <family val="1"/>
      <charset val="2"/>
    </font>
    <font>
      <sz val="9"/>
      <color theme="6" tint="-0.249977111117893"/>
      <name val="Arial"/>
      <family val="2"/>
      <charset val="1"/>
    </font>
    <font>
      <u/>
      <sz val="9"/>
      <color theme="6" tint="-0.249977111117893"/>
      <name val="Arial"/>
      <family val="2"/>
      <charset val="1"/>
    </font>
    <font>
      <sz val="10"/>
      <color theme="6" tint="-0.249977111117893"/>
      <name val="Arial"/>
      <family val="2"/>
      <charset val="1"/>
    </font>
    <font>
      <sz val="8"/>
      <color theme="6" tint="-0.249977111117893"/>
      <name val="Arial"/>
      <family val="2"/>
      <charset val="1"/>
    </font>
    <font>
      <b/>
      <sz val="12"/>
      <color theme="6" tint="-0.249977111117893"/>
      <name val="Arial"/>
      <family val="2"/>
    </font>
    <font>
      <b/>
      <sz val="12"/>
      <color rgb="FF0070C0"/>
      <name val="Arial"/>
      <family val="2"/>
    </font>
    <font>
      <b/>
      <sz val="12"/>
      <color theme="5" tint="-0.249977111117893"/>
      <name val="Arial"/>
      <family val="2"/>
    </font>
    <font>
      <b/>
      <sz val="12"/>
      <color rgb="FFF36C21"/>
      <name val="Arial"/>
      <family val="2"/>
    </font>
    <font>
      <b/>
      <sz val="12"/>
      <color theme="2" tint="-0.499984740745262"/>
      <name val="Arial"/>
      <family val="2"/>
    </font>
    <font>
      <sz val="10"/>
      <color theme="2" tint="-0.499984740745262"/>
      <name val="Arial"/>
      <family val="2"/>
    </font>
    <font>
      <b/>
      <sz val="9"/>
      <color rgb="FFFF0000"/>
      <name val="Arial"/>
      <family val="2"/>
    </font>
    <font>
      <b/>
      <sz val="28"/>
      <color rgb="FFFF0000"/>
      <name val="Arial"/>
      <family val="2"/>
    </font>
    <font>
      <b/>
      <sz val="22"/>
      <color rgb="FFFF0000"/>
      <name val="Arial"/>
      <family val="2"/>
    </font>
    <font>
      <b/>
      <sz val="24"/>
      <color rgb="FFFF0000"/>
      <name val="Arial"/>
      <family val="2"/>
    </font>
    <font>
      <b/>
      <i/>
      <sz val="10"/>
      <color rgb="FFFF00FF"/>
      <name val="Arial"/>
      <family val="2"/>
    </font>
    <font>
      <sz val="10"/>
      <color rgb="FFFF00FF"/>
      <name val="Calibri"/>
      <family val="2"/>
      <scheme val="minor"/>
    </font>
    <font>
      <sz val="10"/>
      <color theme="7"/>
      <name val="Arial"/>
      <family val="2"/>
    </font>
    <font>
      <b/>
      <sz val="11"/>
      <color rgb="FFFF0000"/>
      <name val="Arial"/>
      <family val="2"/>
    </font>
    <font>
      <b/>
      <sz val="9"/>
      <name val="Arial"/>
      <family val="2"/>
    </font>
    <font>
      <b/>
      <sz val="15"/>
      <color rgb="FFFF0000"/>
      <name val="Arial"/>
      <family val="2"/>
    </font>
    <font>
      <b/>
      <sz val="11"/>
      <name val="Arial"/>
      <family val="2"/>
      <charset val="1"/>
    </font>
    <font>
      <sz val="8"/>
      <color rgb="FFFD7171"/>
      <name val="Arial"/>
      <family val="2"/>
      <charset val="1"/>
    </font>
    <font>
      <sz val="10"/>
      <color rgb="FFFD7171"/>
      <name val="Arial"/>
      <family val="2"/>
      <charset val="1"/>
    </font>
    <font>
      <sz val="9"/>
      <color rgb="FFFD7171"/>
      <name val="Arial"/>
      <family val="2"/>
      <charset val="1"/>
    </font>
    <font>
      <u/>
      <sz val="10"/>
      <color theme="0"/>
      <name val="Arial"/>
      <family val="2"/>
    </font>
    <font>
      <i/>
      <sz val="10"/>
      <color theme="0"/>
      <name val="Arial"/>
      <family val="2"/>
    </font>
    <font>
      <b/>
      <sz val="8"/>
      <color theme="0"/>
      <name val="Arial"/>
      <family val="2"/>
    </font>
    <font>
      <b/>
      <i/>
      <sz val="10"/>
      <color rgb="FFEE2224"/>
      <name val="Arial"/>
      <family val="2"/>
    </font>
    <font>
      <b/>
      <i/>
      <sz val="10"/>
      <color indexed="10"/>
      <name val="Arial"/>
      <family val="2"/>
    </font>
    <font>
      <i/>
      <sz val="9"/>
      <name val="Arial"/>
      <family val="2"/>
    </font>
    <font>
      <u/>
      <sz val="10"/>
      <color rgb="FF7030A0"/>
      <name val="Arial"/>
      <family val="2"/>
      <charset val="1"/>
    </font>
    <font>
      <sz val="8"/>
      <color rgb="FF7030A0"/>
      <name val="Arial"/>
      <family val="2"/>
      <charset val="1"/>
    </font>
    <font>
      <sz val="10"/>
      <color rgb="FF7030A0"/>
      <name val="Arial"/>
      <family val="2"/>
      <charset val="1"/>
    </font>
    <font>
      <sz val="9"/>
      <color rgb="FF7030A0"/>
      <name val="Arial"/>
      <family val="2"/>
      <charset val="1"/>
    </font>
    <font>
      <b/>
      <sz val="12"/>
      <color theme="0"/>
      <name val="Arial"/>
      <family val="2"/>
      <charset val="1"/>
    </font>
    <font>
      <b/>
      <sz val="20"/>
      <color theme="0"/>
      <name val="Arial"/>
      <family val="2"/>
    </font>
    <font>
      <b/>
      <sz val="12"/>
      <color theme="0"/>
      <name val="Arial"/>
      <family val="2"/>
    </font>
    <font>
      <sz val="9"/>
      <color rgb="FFFF0000"/>
      <name val="Arial"/>
      <family val="2"/>
    </font>
    <font>
      <sz val="8"/>
      <color rgb="FFFF0000"/>
      <name val="Arial"/>
      <family val="2"/>
    </font>
    <font>
      <sz val="10"/>
      <color theme="3"/>
      <name val="Arial"/>
      <family val="2"/>
      <charset val="1"/>
    </font>
    <font>
      <sz val="9"/>
      <color theme="3"/>
      <name val="Arial"/>
      <family val="2"/>
      <charset val="1"/>
    </font>
    <font>
      <sz val="14"/>
      <color theme="0"/>
      <name val="Arial"/>
      <family val="2"/>
    </font>
    <font>
      <b/>
      <u/>
      <sz val="10"/>
      <color theme="0"/>
      <name val="Arial"/>
      <family val="2"/>
    </font>
    <font>
      <u/>
      <sz val="9"/>
      <color theme="0"/>
      <name val="Arial"/>
      <family val="2"/>
    </font>
    <font>
      <b/>
      <u/>
      <sz val="9"/>
      <color theme="0"/>
      <name val="Arial"/>
      <family val="2"/>
    </font>
    <font>
      <b/>
      <u/>
      <sz val="14"/>
      <color rgb="FF971B1E"/>
      <name val="Arial"/>
      <family val="2"/>
    </font>
    <font>
      <b/>
      <sz val="10"/>
      <color rgb="FF971B1E"/>
      <name val="Arial"/>
      <family val="2"/>
    </font>
    <font>
      <b/>
      <sz val="18"/>
      <color rgb="FF971B1E"/>
      <name val="Calibri"/>
      <family val="2"/>
      <scheme val="minor"/>
    </font>
    <font>
      <b/>
      <sz val="18"/>
      <name val="Calibri"/>
      <family val="2"/>
      <scheme val="minor"/>
    </font>
    <font>
      <b/>
      <sz val="14"/>
      <color rgb="FF971B1E"/>
      <name val="Calibri"/>
      <family val="2"/>
      <scheme val="minor"/>
    </font>
    <font>
      <b/>
      <sz val="11"/>
      <color rgb="FF971B1E"/>
      <name val="Calibri"/>
      <family val="2"/>
      <scheme val="minor"/>
    </font>
    <font>
      <sz val="18"/>
      <color rgb="FF971B1E"/>
      <name val="Calibri"/>
      <family val="2"/>
      <scheme val="minor"/>
    </font>
    <font>
      <b/>
      <sz val="12"/>
      <color rgb="FF971B1E"/>
      <name val="Arial"/>
      <family val="2"/>
      <charset val="1"/>
    </font>
    <font>
      <b/>
      <sz val="14"/>
      <color rgb="FF971B1E"/>
      <name val="Arial"/>
      <family val="2"/>
    </font>
    <font>
      <b/>
      <u/>
      <sz val="12"/>
      <color rgb="FF971B1E"/>
      <name val="Arial"/>
      <family val="2"/>
    </font>
    <font>
      <b/>
      <sz val="12"/>
      <color rgb="FF971B1E"/>
      <name val="Arial"/>
      <family val="2"/>
    </font>
    <font>
      <u/>
      <sz val="8"/>
      <color theme="0"/>
      <name val="Arial"/>
      <family val="2"/>
    </font>
    <font>
      <b/>
      <u/>
      <sz val="12"/>
      <color theme="0"/>
      <name val="Arial"/>
      <family val="2"/>
    </font>
    <font>
      <b/>
      <u/>
      <sz val="14"/>
      <color theme="0"/>
      <name val="Arial"/>
      <family val="2"/>
    </font>
    <font>
      <i/>
      <u/>
      <sz val="10"/>
      <color theme="8" tint="-0.249977111117893"/>
      <name val="Arial"/>
      <family val="2"/>
    </font>
    <font>
      <i/>
      <sz val="10"/>
      <color theme="8" tint="-0.249977111117893"/>
      <name val="Arial"/>
      <family val="2"/>
    </font>
    <font>
      <b/>
      <sz val="18"/>
      <color rgb="FFCD4CD3"/>
      <name val="Arial"/>
      <family val="2"/>
    </font>
    <font>
      <b/>
      <sz val="10"/>
      <color rgb="FFCD4CD3"/>
      <name val="Arial"/>
      <family val="2"/>
    </font>
    <font>
      <b/>
      <sz val="16"/>
      <color rgb="FFCD4CD3"/>
      <name val="Arial"/>
      <family val="2"/>
    </font>
    <font>
      <sz val="10"/>
      <color rgb="FFEAABEB"/>
      <name val="Arial"/>
      <family val="2"/>
    </font>
    <font>
      <b/>
      <sz val="10"/>
      <color rgb="FFEAABEB"/>
      <name val="Arial"/>
      <family val="2"/>
    </font>
    <font>
      <sz val="9"/>
      <color theme="3" tint="0.59999389629810485"/>
      <name val="Arial"/>
      <family val="2"/>
      <charset val="1"/>
    </font>
    <font>
      <b/>
      <sz val="12"/>
      <color theme="1"/>
      <name val="Calibri"/>
      <family val="2"/>
      <scheme val="minor"/>
    </font>
    <font>
      <b/>
      <sz val="16"/>
      <color rgb="FF971B1E"/>
      <name val="Calibri"/>
      <family val="2"/>
      <scheme val="minor"/>
    </font>
    <font>
      <sz val="10"/>
      <color theme="3" tint="0.39997558519241921"/>
      <name val="Arial"/>
      <family val="2"/>
      <charset val="1"/>
    </font>
    <font>
      <sz val="9"/>
      <color theme="0"/>
      <name val="Courier New"/>
      <family val="3"/>
    </font>
  </fonts>
  <fills count="66">
    <fill>
      <patternFill patternType="none"/>
    </fill>
    <fill>
      <patternFill patternType="gray125"/>
    </fill>
    <fill>
      <patternFill patternType="solid">
        <fgColor indexed="9"/>
        <bgColor indexed="41"/>
      </patternFill>
    </fill>
    <fill>
      <patternFill patternType="solid">
        <fgColor indexed="31"/>
        <bgColor indexed="27"/>
      </patternFill>
    </fill>
    <fill>
      <patternFill patternType="solid">
        <fgColor theme="6" tint="0.39997558519241921"/>
        <bgColor indexed="64"/>
      </patternFill>
    </fill>
    <fill>
      <patternFill patternType="solid">
        <fgColor theme="4" tint="0.39997558519241921"/>
        <bgColor indexed="64"/>
      </patternFill>
    </fill>
    <fill>
      <patternFill patternType="solid">
        <fgColor rgb="FFCCFFCC"/>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gradientFill degree="90">
        <stop position="0">
          <color theme="0"/>
        </stop>
        <stop position="1">
          <color rgb="FFCCFFCC"/>
        </stop>
      </gradientFill>
    </fill>
    <fill>
      <patternFill patternType="solid">
        <fgColor rgb="FFFF9900"/>
        <bgColor indexed="64"/>
      </patternFill>
    </fill>
    <fill>
      <patternFill patternType="solid">
        <fgColor rgb="FFCCCCFF"/>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66FF66"/>
        <bgColor indexed="64"/>
      </patternFill>
    </fill>
    <fill>
      <patternFill patternType="solid">
        <fgColor rgb="FF009999"/>
        <bgColor indexed="64"/>
      </patternFill>
    </fill>
    <fill>
      <patternFill patternType="solid">
        <fgColor rgb="FFC00000"/>
        <bgColor indexed="64"/>
      </patternFill>
    </fill>
    <fill>
      <patternFill patternType="solid">
        <fgColor rgb="FF00FF00"/>
        <bgColor indexed="64"/>
      </patternFill>
    </fill>
    <fill>
      <patternFill patternType="solid">
        <fgColor theme="0"/>
        <bgColor indexed="27"/>
      </patternFill>
    </fill>
    <fill>
      <patternFill patternType="solid">
        <fgColor theme="5" tint="0.79998168889431442"/>
        <bgColor indexed="27"/>
      </patternFill>
    </fill>
    <fill>
      <patternFill patternType="solid">
        <fgColor theme="7" tint="0.59996337778862885"/>
        <bgColor indexed="64"/>
      </patternFill>
    </fill>
    <fill>
      <patternFill patternType="solid">
        <fgColor theme="9" tint="0.59996337778862885"/>
        <bgColor indexed="64"/>
      </patternFill>
    </fill>
    <fill>
      <patternFill patternType="solid">
        <fgColor theme="2" tint="-0.24994659260841701"/>
        <bgColor indexed="64"/>
      </patternFill>
    </fill>
    <fill>
      <patternFill patternType="solid">
        <fgColor theme="8" tint="0.59996337778862885"/>
        <bgColor indexed="64"/>
      </patternFill>
    </fill>
    <fill>
      <patternFill patternType="solid">
        <fgColor theme="6" tint="0.59996337778862885"/>
        <bgColor indexed="64"/>
      </patternFill>
    </fill>
    <fill>
      <patternFill patternType="solid">
        <fgColor theme="5" tint="0.59996337778862885"/>
        <bgColor indexed="64"/>
      </patternFill>
    </fill>
    <fill>
      <patternFill patternType="solid">
        <fgColor theme="3" tint="0.59996337778862885"/>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1" tint="0.499984740745262"/>
        <bgColor indexed="64"/>
      </patternFill>
    </fill>
    <fill>
      <patternFill patternType="solid">
        <fgColor rgb="FF9BFFE7"/>
        <bgColor indexed="64"/>
      </patternFill>
    </fill>
    <fill>
      <gradientFill degree="90">
        <stop position="0">
          <color theme="0"/>
        </stop>
        <stop position="1">
          <color rgb="FFF36C21"/>
        </stop>
      </gradientFill>
    </fill>
    <fill>
      <patternFill patternType="solid">
        <fgColor theme="9" tint="-0.249977111117893"/>
        <bgColor indexed="64"/>
      </patternFill>
    </fill>
    <fill>
      <patternFill patternType="solid">
        <fgColor rgb="FFD7C3C3"/>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bgColor indexed="64"/>
      </patternFill>
    </fill>
    <fill>
      <patternFill patternType="solid">
        <fgColor theme="0" tint="-0.14999847407452621"/>
        <bgColor indexed="64"/>
      </patternFill>
    </fill>
    <fill>
      <patternFill patternType="solid">
        <fgColor rgb="FFFFF793"/>
        <bgColor indexed="64"/>
      </patternFill>
    </fill>
    <fill>
      <patternFill patternType="solid">
        <fgColor theme="5" tint="-0.249977111117893"/>
        <bgColor indexed="64"/>
      </patternFill>
    </fill>
    <fill>
      <patternFill patternType="solid">
        <fgColor rgb="FF00B0F0"/>
        <bgColor indexed="64"/>
      </patternFill>
    </fill>
    <fill>
      <patternFill patternType="solid">
        <fgColor rgb="FF666699"/>
        <bgColor indexed="64"/>
      </patternFill>
    </fill>
    <fill>
      <patternFill patternType="solid">
        <fgColor rgb="FFF15C5A"/>
        <bgColor indexed="64"/>
      </patternFill>
    </fill>
    <fill>
      <patternFill patternType="solid">
        <fgColor rgb="FFF15C5A"/>
        <bgColor indexed="27"/>
      </patternFill>
    </fill>
    <fill>
      <gradientFill degree="90">
        <stop position="0">
          <color theme="0"/>
        </stop>
        <stop position="1">
          <color rgb="FFF15C5A"/>
        </stop>
      </gradientFill>
    </fill>
    <fill>
      <patternFill patternType="solid">
        <fgColor rgb="FFF15C5A"/>
        <bgColor rgb="FFCCFFCC"/>
      </patternFill>
    </fill>
    <fill>
      <patternFill patternType="solid">
        <fgColor rgb="FFF15C5A"/>
        <bgColor auto="1"/>
      </patternFill>
    </fill>
    <fill>
      <patternFill patternType="solid">
        <fgColor rgb="FFEAABEB"/>
        <bgColor indexed="64"/>
      </patternFill>
    </fill>
    <fill>
      <patternFill patternType="solid">
        <fgColor rgb="FFFABDBC"/>
        <bgColor indexed="64"/>
      </patternFill>
    </fill>
    <fill>
      <patternFill patternType="solid">
        <fgColor rgb="FFFABDBC"/>
        <bgColor auto="1"/>
      </patternFill>
    </fill>
    <fill>
      <patternFill patternType="solid">
        <fgColor rgb="FFFBCECD"/>
        <bgColor indexed="64"/>
      </patternFill>
    </fill>
    <fill>
      <patternFill patternType="solid">
        <fgColor rgb="FFF48784"/>
        <bgColor indexed="64"/>
      </patternFill>
    </fill>
    <fill>
      <patternFill patternType="solid">
        <fgColor rgb="FFF26360"/>
        <bgColor indexed="64"/>
      </patternFill>
    </fill>
    <fill>
      <patternFill patternType="solid">
        <fgColor theme="2" tint="-0.499984740745262"/>
        <bgColor indexed="64"/>
      </patternFill>
    </fill>
    <fill>
      <patternFill patternType="solid">
        <fgColor theme="7" tint="0.59999389629810485"/>
        <bgColor indexed="64"/>
      </patternFill>
    </fill>
  </fills>
  <borders count="347">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style="double">
        <color indexed="8"/>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8"/>
      </top>
      <bottom/>
      <diagonal/>
    </border>
    <border>
      <left style="thin">
        <color indexed="64"/>
      </left>
      <right style="thin">
        <color indexed="8"/>
      </right>
      <top/>
      <bottom style="thin">
        <color indexed="64"/>
      </bottom>
      <diagonal/>
    </border>
    <border>
      <left style="double">
        <color indexed="8"/>
      </left>
      <right style="thin">
        <color indexed="8"/>
      </right>
      <top/>
      <bottom style="double">
        <color indexed="8"/>
      </bottom>
      <diagonal/>
    </border>
    <border>
      <left style="thin">
        <color indexed="8"/>
      </left>
      <right style="thin">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right style="double">
        <color indexed="8"/>
      </right>
      <top style="thin">
        <color indexed="8"/>
      </top>
      <bottom style="double">
        <color indexed="8"/>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64"/>
      </bottom>
      <diagonal/>
    </border>
    <border>
      <left style="thin">
        <color indexed="8"/>
      </left>
      <right style="thin">
        <color indexed="64"/>
      </right>
      <top style="thin">
        <color indexed="8"/>
      </top>
      <bottom/>
      <diagonal/>
    </border>
    <border>
      <left style="thin">
        <color indexed="8"/>
      </left>
      <right/>
      <top style="thin">
        <color indexed="8"/>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thin">
        <color indexed="64"/>
      </right>
      <top style="thin">
        <color indexed="64"/>
      </top>
      <bottom/>
      <diagonal/>
    </border>
    <border>
      <left style="double">
        <color indexed="8"/>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double">
        <color indexed="8"/>
      </right>
      <top style="double">
        <color indexed="8"/>
      </top>
      <bottom/>
      <diagonal/>
    </border>
    <border>
      <left style="thin">
        <color indexed="8"/>
      </left>
      <right style="double">
        <color indexed="8"/>
      </right>
      <top/>
      <bottom style="thin">
        <color indexed="8"/>
      </bottom>
      <diagonal/>
    </border>
    <border>
      <left style="double">
        <color indexed="8"/>
      </left>
      <right style="thin">
        <color indexed="8"/>
      </right>
      <top/>
      <bottom style="thin">
        <color indexed="8"/>
      </bottom>
      <diagonal/>
    </border>
    <border>
      <left/>
      <right style="thin">
        <color indexed="64"/>
      </right>
      <top/>
      <bottom/>
      <diagonal/>
    </border>
    <border>
      <left style="thin">
        <color indexed="64"/>
      </left>
      <right style="thin">
        <color auto="1"/>
      </right>
      <top/>
      <bottom/>
      <diagonal/>
    </border>
    <border>
      <left style="double">
        <color indexed="8"/>
      </left>
      <right/>
      <top/>
      <bottom/>
      <diagonal/>
    </border>
    <border>
      <left style="double">
        <color auto="1"/>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8"/>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style="thin">
        <color indexed="8"/>
      </right>
      <top/>
      <bottom/>
      <diagonal/>
    </border>
    <border>
      <left style="thin">
        <color indexed="64"/>
      </left>
      <right style="thin">
        <color indexed="64"/>
      </right>
      <top/>
      <bottom/>
      <diagonal/>
    </border>
    <border>
      <left/>
      <right style="thin">
        <color indexed="8"/>
      </right>
      <top style="thin">
        <color indexed="8"/>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top/>
      <bottom/>
      <diagonal/>
    </border>
    <border>
      <left/>
      <right style="medium">
        <color indexed="64"/>
      </right>
      <top/>
      <bottom/>
      <diagonal/>
    </border>
    <border>
      <left style="thick">
        <color rgb="FFFF0000"/>
      </left>
      <right/>
      <top/>
      <bottom/>
      <diagonal/>
    </border>
    <border>
      <left/>
      <right style="dashed">
        <color auto="1"/>
      </right>
      <top/>
      <bottom/>
      <diagonal/>
    </border>
    <border>
      <left style="medium">
        <color indexed="64"/>
      </left>
      <right style="medium">
        <color indexed="64"/>
      </right>
      <top style="medium">
        <color indexed="64"/>
      </top>
      <bottom style="dashed">
        <color indexed="64"/>
      </bottom>
      <diagonal/>
    </border>
    <border>
      <left style="thin">
        <color indexed="64"/>
      </left>
      <right style="thin">
        <color indexed="8"/>
      </right>
      <top style="thin">
        <color indexed="64"/>
      </top>
      <bottom style="thin">
        <color indexed="64"/>
      </bottom>
      <diagonal/>
    </border>
    <border>
      <left style="double">
        <color indexed="8"/>
      </left>
      <right/>
      <top style="thin">
        <color indexed="8"/>
      </top>
      <bottom/>
      <diagonal/>
    </border>
    <border>
      <left style="dashed">
        <color indexed="64"/>
      </left>
      <right style="dashed">
        <color indexed="64"/>
      </right>
      <top style="thin">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8"/>
      </left>
      <right style="double">
        <color indexed="8"/>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theme="6" tint="-0.24994659260841701"/>
      </left>
      <right/>
      <top style="double">
        <color theme="6" tint="-0.24994659260841701"/>
      </top>
      <bottom/>
      <diagonal/>
    </border>
    <border>
      <left/>
      <right/>
      <top style="double">
        <color theme="6" tint="-0.24994659260841701"/>
      </top>
      <bottom/>
      <diagonal/>
    </border>
    <border>
      <left/>
      <right style="double">
        <color theme="6" tint="-0.24994659260841701"/>
      </right>
      <top style="double">
        <color theme="6" tint="-0.24994659260841701"/>
      </top>
      <bottom/>
      <diagonal/>
    </border>
    <border>
      <left style="double">
        <color theme="6" tint="-0.24994659260841701"/>
      </left>
      <right/>
      <top/>
      <bottom/>
      <diagonal/>
    </border>
    <border>
      <left/>
      <right style="double">
        <color theme="6" tint="-0.24994659260841701"/>
      </right>
      <top/>
      <bottom/>
      <diagonal/>
    </border>
    <border>
      <left style="double">
        <color theme="6" tint="-0.24994659260841701"/>
      </left>
      <right/>
      <top/>
      <bottom style="double">
        <color theme="6" tint="-0.24994659260841701"/>
      </bottom>
      <diagonal/>
    </border>
    <border>
      <left/>
      <right/>
      <top/>
      <bottom style="double">
        <color theme="6" tint="-0.24994659260841701"/>
      </bottom>
      <diagonal/>
    </border>
    <border>
      <left/>
      <right style="double">
        <color theme="6" tint="-0.24994659260841701"/>
      </right>
      <top/>
      <bottom style="double">
        <color theme="6" tint="-0.24994659260841701"/>
      </bottom>
      <diagonal/>
    </border>
    <border>
      <left style="double">
        <color theme="6" tint="-0.499984740745262"/>
      </left>
      <right/>
      <top style="double">
        <color theme="6" tint="-0.499984740745262"/>
      </top>
      <bottom/>
      <diagonal/>
    </border>
    <border>
      <left/>
      <right/>
      <top style="double">
        <color theme="6" tint="-0.499984740745262"/>
      </top>
      <bottom/>
      <diagonal/>
    </border>
    <border>
      <left/>
      <right style="double">
        <color theme="6" tint="-0.499984740745262"/>
      </right>
      <top style="double">
        <color theme="6" tint="-0.499984740745262"/>
      </top>
      <bottom/>
      <diagonal/>
    </border>
    <border>
      <left style="double">
        <color theme="6" tint="-0.499984740745262"/>
      </left>
      <right/>
      <top/>
      <bottom/>
      <diagonal/>
    </border>
    <border>
      <left/>
      <right style="double">
        <color theme="6" tint="-0.499984740745262"/>
      </right>
      <top/>
      <bottom/>
      <diagonal/>
    </border>
    <border>
      <left style="double">
        <color theme="6" tint="-0.499984740745262"/>
      </left>
      <right/>
      <top/>
      <bottom style="double">
        <color theme="6" tint="-0.499984740745262"/>
      </bottom>
      <diagonal/>
    </border>
    <border>
      <left/>
      <right/>
      <top/>
      <bottom style="double">
        <color theme="6" tint="-0.499984740745262"/>
      </bottom>
      <diagonal/>
    </border>
    <border>
      <left/>
      <right style="double">
        <color theme="6" tint="-0.499984740745262"/>
      </right>
      <top/>
      <bottom style="double">
        <color theme="6" tint="-0.499984740745262"/>
      </bottom>
      <diagonal/>
    </border>
    <border>
      <left style="medium">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thin">
        <color theme="9" tint="-0.24994659260841701"/>
      </right>
      <top/>
      <bottom style="thin">
        <color theme="9" tint="-0.24994659260841701"/>
      </bottom>
      <diagonal/>
    </border>
    <border>
      <left style="thin">
        <color theme="9" tint="-0.24994659260841701"/>
      </left>
      <right style="medium">
        <color theme="9" tint="-0.24994659260841701"/>
      </right>
      <top/>
      <bottom style="thin">
        <color theme="9" tint="-0.24994659260841701"/>
      </bottom>
      <diagonal/>
    </border>
    <border>
      <left style="double">
        <color theme="9" tint="-0.24994659260841701"/>
      </left>
      <right style="double">
        <color theme="9" tint="-0.24994659260841701"/>
      </right>
      <top style="double">
        <color theme="9" tint="-0.24994659260841701"/>
      </top>
      <bottom style="double">
        <color theme="9" tint="-0.24994659260841701"/>
      </bottom>
      <diagonal/>
    </border>
    <border>
      <left style="double">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thin">
        <color theme="9" tint="-0.24994659260841701"/>
      </right>
      <top style="double">
        <color theme="9" tint="-0.24994659260841701"/>
      </top>
      <bottom style="medium">
        <color theme="9" tint="-0.24994659260841701"/>
      </bottom>
      <diagonal/>
    </border>
    <border>
      <left style="thin">
        <color theme="9" tint="-0.24994659260841701"/>
      </left>
      <right style="medium">
        <color theme="9" tint="-0.24994659260841701"/>
      </right>
      <top style="double">
        <color theme="9" tint="-0.24994659260841701"/>
      </top>
      <bottom style="medium">
        <color theme="9" tint="-0.24994659260841701"/>
      </bottom>
      <diagonal/>
    </border>
    <border>
      <left style="thin">
        <color theme="9" tint="-0.24994659260841701"/>
      </left>
      <right style="double">
        <color theme="9" tint="-0.24994659260841701"/>
      </right>
      <top style="double">
        <color theme="9" tint="-0.24994659260841701"/>
      </top>
      <bottom style="medium">
        <color theme="9" tint="-0.24994659260841701"/>
      </bottom>
      <diagonal/>
    </border>
    <border>
      <left style="double">
        <color theme="9" tint="-0.24994659260841701"/>
      </left>
      <right style="medium">
        <color theme="9" tint="-0.24994659260841701"/>
      </right>
      <top style="medium">
        <color theme="9" tint="-0.24994659260841701"/>
      </top>
      <bottom style="thin">
        <color theme="9" tint="-0.24994659260841701"/>
      </bottom>
      <diagonal/>
    </border>
    <border>
      <left style="thin">
        <color theme="9" tint="-0.24994659260841701"/>
      </left>
      <right style="double">
        <color theme="9" tint="-0.24994659260841701"/>
      </right>
      <top/>
      <bottom style="thin">
        <color theme="9" tint="-0.24994659260841701"/>
      </bottom>
      <diagonal/>
    </border>
    <border>
      <left style="double">
        <color theme="9" tint="-0.24994659260841701"/>
      </left>
      <right style="medium">
        <color theme="9" tint="-0.24994659260841701"/>
      </right>
      <top style="thin">
        <color theme="9" tint="-0.24994659260841701"/>
      </top>
      <bottom style="thin">
        <color theme="9" tint="-0.24994659260841701"/>
      </bottom>
      <diagonal/>
    </border>
    <border>
      <left style="thin">
        <color theme="9" tint="-0.24994659260841701"/>
      </left>
      <right style="double">
        <color theme="9" tint="-0.24994659260841701"/>
      </right>
      <top style="thin">
        <color theme="9" tint="-0.24994659260841701"/>
      </top>
      <bottom style="thin">
        <color theme="9" tint="-0.24994659260841701"/>
      </bottom>
      <diagonal/>
    </border>
    <border>
      <left style="double">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style="thin">
        <color theme="9" tint="-0.24994659260841701"/>
      </top>
      <bottom style="double">
        <color theme="9" tint="-0.24994659260841701"/>
      </bottom>
      <diagonal/>
    </border>
    <border>
      <left style="thin">
        <color theme="9" tint="-0.24994659260841701"/>
      </left>
      <right style="double">
        <color theme="9" tint="-0.24994659260841701"/>
      </right>
      <top style="thin">
        <color theme="9" tint="-0.24994659260841701"/>
      </top>
      <bottom style="double">
        <color theme="9" tint="-0.24994659260841701"/>
      </bottom>
      <diagonal/>
    </border>
    <border>
      <left style="medium">
        <color theme="9" tint="-0.24994659260841701"/>
      </left>
      <right style="thin">
        <color theme="9" tint="-0.24994659260841701"/>
      </right>
      <top/>
      <bottom style="double">
        <color theme="9" tint="-0.24994659260841701"/>
      </bottom>
      <diagonal/>
    </border>
    <border>
      <left/>
      <right style="thin">
        <color auto="1"/>
      </right>
      <top/>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style="double">
        <color theme="9" tint="-0.24994659260841701"/>
      </right>
      <top style="thin">
        <color theme="9" tint="-0.24994659260841701"/>
      </top>
      <bottom style="thin">
        <color theme="9" tint="-0.24994659260841701"/>
      </bottom>
      <diagonal/>
    </border>
    <border>
      <left style="medium">
        <color theme="9" tint="-0.24994659260841701"/>
      </left>
      <right style="medium">
        <color theme="9" tint="-0.24994659260841701"/>
      </right>
      <top style="thin">
        <color theme="9" tint="-0.24994659260841701"/>
      </top>
      <bottom style="double">
        <color theme="9" tint="-0.24994659260841701"/>
      </bottom>
      <diagonal/>
    </border>
    <border>
      <left style="medium">
        <color theme="9" tint="-0.24994659260841701"/>
      </left>
      <right style="double">
        <color theme="9" tint="-0.24994659260841701"/>
      </right>
      <top style="thin">
        <color theme="9" tint="-0.24994659260841701"/>
      </top>
      <bottom style="double">
        <color theme="9" tint="-0.24994659260841701"/>
      </bottom>
      <diagonal/>
    </border>
    <border>
      <left style="double">
        <color theme="9" tint="-0.24994659260841701"/>
      </left>
      <right style="medium">
        <color theme="9" tint="-0.24994659260841701"/>
      </right>
      <top/>
      <bottom style="thin">
        <color theme="9" tint="-0.24994659260841701"/>
      </bottom>
      <diagonal/>
    </border>
    <border>
      <left style="medium">
        <color theme="9" tint="-0.24994659260841701"/>
      </left>
      <right style="medium">
        <color theme="9" tint="-0.24994659260841701"/>
      </right>
      <top/>
      <bottom style="thin">
        <color theme="9" tint="-0.24994659260841701"/>
      </bottom>
      <diagonal/>
    </border>
    <border>
      <left style="medium">
        <color theme="9" tint="-0.24994659260841701"/>
      </left>
      <right style="double">
        <color theme="9" tint="-0.24994659260841701"/>
      </right>
      <top/>
      <bottom style="thin">
        <color theme="9" tint="-0.24994659260841701"/>
      </bottom>
      <diagonal/>
    </border>
    <border>
      <left style="medium">
        <color theme="9" tint="-0.24994659260841701"/>
      </left>
      <right style="medium">
        <color theme="9" tint="-0.24994659260841701"/>
      </right>
      <top style="double">
        <color theme="9" tint="-0.24994659260841701"/>
      </top>
      <bottom style="medium">
        <color theme="9" tint="-0.24994659260841701"/>
      </bottom>
      <diagonal/>
    </border>
    <border>
      <left style="medium">
        <color theme="9" tint="-0.24994659260841701"/>
      </left>
      <right style="double">
        <color theme="9" tint="-0.24994659260841701"/>
      </right>
      <top style="double">
        <color theme="9" tint="-0.24994659260841701"/>
      </top>
      <bottom style="medium">
        <color theme="9" tint="-0.24994659260841701"/>
      </bottom>
      <diagonal/>
    </border>
    <border>
      <left style="double">
        <color auto="1"/>
      </left>
      <right style="medium">
        <color auto="1"/>
      </right>
      <top style="double">
        <color auto="1"/>
      </top>
      <bottom style="thin">
        <color auto="1"/>
      </bottom>
      <diagonal/>
    </border>
    <border>
      <left style="medium">
        <color auto="1"/>
      </left>
      <right style="medium">
        <color auto="1"/>
      </right>
      <top style="double">
        <color auto="1"/>
      </top>
      <bottom style="thin">
        <color auto="1"/>
      </bottom>
      <diagonal/>
    </border>
    <border>
      <left style="medium">
        <color auto="1"/>
      </left>
      <right style="double">
        <color auto="1"/>
      </right>
      <top style="double">
        <color auto="1"/>
      </top>
      <bottom style="thin">
        <color auto="1"/>
      </bottom>
      <diagonal/>
    </border>
    <border>
      <left style="double">
        <color auto="1"/>
      </left>
      <right style="medium">
        <color auto="1"/>
      </right>
      <top style="thin">
        <color auto="1"/>
      </top>
      <bottom style="thin">
        <color auto="1"/>
      </bottom>
      <diagonal/>
    </border>
    <border>
      <left/>
      <right/>
      <top style="thin">
        <color auto="1"/>
      </top>
      <bottom style="thin">
        <color auto="1"/>
      </bottom>
      <diagonal/>
    </border>
    <border>
      <left style="medium">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double">
        <color auto="1"/>
      </right>
      <top style="thin">
        <color auto="1"/>
      </top>
      <bottom style="thin">
        <color auto="1"/>
      </bottom>
      <diagonal/>
    </border>
    <border>
      <left style="double">
        <color auto="1"/>
      </left>
      <right style="medium">
        <color auto="1"/>
      </right>
      <top style="thin">
        <color auto="1"/>
      </top>
      <bottom style="double">
        <color auto="1"/>
      </bottom>
      <diagonal/>
    </border>
    <border>
      <left/>
      <right/>
      <top style="thin">
        <color auto="1"/>
      </top>
      <bottom style="double">
        <color auto="1"/>
      </bottom>
      <diagonal/>
    </border>
    <border>
      <left style="medium">
        <color indexed="64"/>
      </left>
      <right style="medium">
        <color indexed="64"/>
      </right>
      <top style="thin">
        <color auto="1"/>
      </top>
      <bottom style="double">
        <color auto="1"/>
      </bottom>
      <diagonal/>
    </border>
    <border>
      <left style="medium">
        <color indexed="64"/>
      </left>
      <right/>
      <top style="thin">
        <color auto="1"/>
      </top>
      <bottom style="double">
        <color auto="1"/>
      </bottom>
      <diagonal/>
    </border>
    <border>
      <left/>
      <right style="double">
        <color auto="1"/>
      </right>
      <top style="thin">
        <color auto="1"/>
      </top>
      <bottom style="double">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hair">
        <color theme="4" tint="0.39994506668294322"/>
      </left>
      <right/>
      <top style="hair">
        <color theme="4" tint="0.39994506668294322"/>
      </top>
      <bottom style="hair">
        <color theme="4" tint="0.39994506668294322"/>
      </bottom>
      <diagonal/>
    </border>
    <border>
      <left/>
      <right/>
      <top style="hair">
        <color theme="4" tint="0.39994506668294322"/>
      </top>
      <bottom style="hair">
        <color theme="4" tint="0.39994506668294322"/>
      </bottom>
      <diagonal/>
    </border>
    <border>
      <left/>
      <right style="hair">
        <color theme="4" tint="0.39994506668294322"/>
      </right>
      <top style="hair">
        <color theme="4" tint="0.39994506668294322"/>
      </top>
      <bottom style="hair">
        <color theme="4" tint="0.39994506668294322"/>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hair">
        <color theme="4" tint="0.39994506668294322"/>
      </right>
      <top/>
      <bottom/>
      <diagonal/>
    </border>
    <border>
      <left style="hair">
        <color theme="6" tint="-0.24994659260841701"/>
      </left>
      <right/>
      <top style="hair">
        <color theme="6" tint="-0.24994659260841701"/>
      </top>
      <bottom/>
      <diagonal/>
    </border>
    <border>
      <left/>
      <right/>
      <top style="hair">
        <color theme="6" tint="-0.24994659260841701"/>
      </top>
      <bottom/>
      <diagonal/>
    </border>
    <border>
      <left/>
      <right style="hair">
        <color theme="6" tint="-0.24994659260841701"/>
      </right>
      <top style="hair">
        <color theme="6" tint="-0.24994659260841701"/>
      </top>
      <bottom/>
      <diagonal/>
    </border>
    <border>
      <left style="hair">
        <color theme="6" tint="-0.24994659260841701"/>
      </left>
      <right/>
      <top/>
      <bottom style="hair">
        <color theme="6" tint="-0.24994659260841701"/>
      </bottom>
      <diagonal/>
    </border>
    <border>
      <left/>
      <right/>
      <top/>
      <bottom style="hair">
        <color theme="6" tint="-0.24994659260841701"/>
      </bottom>
      <diagonal/>
    </border>
    <border>
      <left/>
      <right style="hair">
        <color theme="6" tint="-0.24994659260841701"/>
      </right>
      <top/>
      <bottom style="hair">
        <color theme="6" tint="-0.24994659260841701"/>
      </bottom>
      <diagonal/>
    </border>
    <border>
      <left style="double">
        <color auto="1"/>
      </left>
      <right style="double">
        <color auto="1"/>
      </right>
      <top style="double">
        <color auto="1"/>
      </top>
      <bottom style="double">
        <color auto="1"/>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style="double">
        <color rgb="FFFF0000"/>
      </left>
      <right style="double">
        <color rgb="FFFF0000"/>
      </right>
      <top style="double">
        <color rgb="FFFF0000"/>
      </top>
      <bottom style="double">
        <color rgb="FFFF0000"/>
      </bottom>
      <diagonal/>
    </border>
    <border>
      <left style="double">
        <color rgb="FFFF0000"/>
      </left>
      <right/>
      <top style="double">
        <color rgb="FFFF0000"/>
      </top>
      <bottom style="double">
        <color rgb="FFFF0000"/>
      </bottom>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thin">
        <color indexed="64"/>
      </right>
      <top style="thin">
        <color indexed="64"/>
      </top>
      <bottom/>
      <diagonal/>
    </border>
    <border>
      <left/>
      <right style="thin">
        <color auto="1"/>
      </right>
      <top/>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theme="9" tint="-0.24994659260841701"/>
      </left>
      <right style="medium">
        <color theme="9" tint="-0.24994659260841701"/>
      </right>
      <top style="thin">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
      <left/>
      <right/>
      <top style="thick">
        <color auto="1"/>
      </top>
      <bottom/>
      <diagonal/>
    </border>
    <border>
      <left/>
      <right/>
      <top style="dashed">
        <color theme="3" tint="0.39994506668294322"/>
      </top>
      <bottom/>
      <diagonal/>
    </border>
    <border>
      <left/>
      <right style="dashed">
        <color theme="3" tint="0.39994506668294322"/>
      </right>
      <top style="dashed">
        <color theme="3" tint="0.39994506668294322"/>
      </top>
      <bottom/>
      <diagonal/>
    </border>
    <border>
      <left/>
      <right/>
      <top/>
      <bottom style="dashed">
        <color theme="3" tint="0.39994506668294322"/>
      </bottom>
      <diagonal/>
    </border>
    <border>
      <left/>
      <right style="dashed">
        <color theme="3" tint="0.39994506668294322"/>
      </right>
      <top/>
      <bottom style="dashed">
        <color theme="3" tint="0.39994506668294322"/>
      </bottom>
      <diagonal/>
    </border>
    <border>
      <left style="hair">
        <color auto="1"/>
      </left>
      <right style="double">
        <color auto="1"/>
      </right>
      <top/>
      <bottom/>
      <diagonal/>
    </border>
    <border>
      <left style="dashed">
        <color theme="3" tint="0.39991454817346722"/>
      </left>
      <right/>
      <top style="dashed">
        <color theme="3" tint="0.39991454817346722"/>
      </top>
      <bottom/>
      <diagonal/>
    </border>
    <border>
      <left/>
      <right style="dashed">
        <color theme="3" tint="0.39991454817346722"/>
      </right>
      <top style="dashed">
        <color theme="3" tint="0.39991454817346722"/>
      </top>
      <bottom/>
      <diagonal/>
    </border>
    <border>
      <left style="dashed">
        <color theme="3" tint="0.39991454817346722"/>
      </left>
      <right/>
      <top/>
      <bottom style="dashed">
        <color theme="3" tint="0.39991454817346722"/>
      </bottom>
      <diagonal/>
    </border>
    <border>
      <left/>
      <right style="dashed">
        <color theme="3" tint="0.39991454817346722"/>
      </right>
      <top/>
      <bottom style="dashed">
        <color theme="3" tint="0.39991454817346722"/>
      </bottom>
      <diagonal/>
    </border>
    <border>
      <left style="dashed">
        <color theme="3" tint="0.39994506668294322"/>
      </left>
      <right style="dashed">
        <color theme="3" tint="0.39994506668294322"/>
      </right>
      <top style="dashed">
        <color theme="3" tint="0.39994506668294322"/>
      </top>
      <bottom/>
      <diagonal/>
    </border>
    <border>
      <left style="dashed">
        <color theme="3" tint="0.39994506668294322"/>
      </left>
      <right style="dashed">
        <color theme="3" tint="0.39994506668294322"/>
      </right>
      <top/>
      <bottom style="dashed">
        <color theme="3" tint="0.39994506668294322"/>
      </bottom>
      <diagonal/>
    </border>
    <border>
      <left style="double">
        <color auto="1"/>
      </left>
      <right/>
      <top style="dashed">
        <color theme="3" tint="0.39994506668294322"/>
      </top>
      <bottom/>
      <diagonal/>
    </border>
    <border>
      <left style="double">
        <color auto="1"/>
      </left>
      <right/>
      <top/>
      <bottom style="dashed">
        <color theme="3" tint="0.399945066682943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rgb="FF762123"/>
      </left>
      <right/>
      <top style="double">
        <color rgb="FF762123"/>
      </top>
      <bottom/>
      <diagonal/>
    </border>
    <border>
      <left/>
      <right/>
      <top style="double">
        <color rgb="FF762123"/>
      </top>
      <bottom/>
      <diagonal/>
    </border>
    <border>
      <left/>
      <right style="double">
        <color rgb="FF762123"/>
      </right>
      <top style="double">
        <color rgb="FF762123"/>
      </top>
      <bottom/>
      <diagonal/>
    </border>
    <border>
      <left style="double">
        <color rgb="FF762123"/>
      </left>
      <right/>
      <top/>
      <bottom/>
      <diagonal/>
    </border>
    <border>
      <left/>
      <right style="double">
        <color rgb="FF762123"/>
      </right>
      <top/>
      <bottom/>
      <diagonal/>
    </border>
    <border>
      <left style="double">
        <color rgb="FF762123"/>
      </left>
      <right style="thin">
        <color auto="1"/>
      </right>
      <top/>
      <bottom/>
      <diagonal/>
    </border>
    <border>
      <left style="double">
        <color rgb="FF762123"/>
      </left>
      <right style="thin">
        <color auto="1"/>
      </right>
      <top/>
      <bottom style="double">
        <color rgb="FF762123"/>
      </bottom>
      <diagonal/>
    </border>
    <border>
      <left style="thin">
        <color auto="1"/>
      </left>
      <right style="thin">
        <color auto="1"/>
      </right>
      <top/>
      <bottom style="double">
        <color rgb="FF762123"/>
      </bottom>
      <diagonal/>
    </border>
    <border>
      <left style="thin">
        <color auto="1"/>
      </left>
      <right/>
      <top/>
      <bottom style="double">
        <color rgb="FF762123"/>
      </bottom>
      <diagonal/>
    </border>
    <border>
      <left/>
      <right style="double">
        <color rgb="FF762123"/>
      </right>
      <top/>
      <bottom style="double">
        <color rgb="FF762123"/>
      </bottom>
      <diagonal/>
    </border>
    <border>
      <left style="double">
        <color rgb="FF762123"/>
      </left>
      <right/>
      <top style="double">
        <color rgb="FF762123"/>
      </top>
      <bottom style="double">
        <color rgb="FF762123"/>
      </bottom>
      <diagonal/>
    </border>
    <border>
      <left/>
      <right style="double">
        <color rgb="FF762123"/>
      </right>
      <top style="double">
        <color rgb="FF762123"/>
      </top>
      <bottom style="double">
        <color rgb="FF762123"/>
      </bottom>
      <diagonal/>
    </border>
    <border>
      <left/>
      <right/>
      <top/>
      <bottom style="double">
        <color rgb="FF762123"/>
      </bottom>
      <diagonal/>
    </border>
    <border>
      <left style="double">
        <color rgb="FF762123"/>
      </left>
      <right style="thin">
        <color auto="1"/>
      </right>
      <top style="double">
        <color rgb="FF762123"/>
      </top>
      <bottom style="thin">
        <color auto="1"/>
      </bottom>
      <diagonal/>
    </border>
    <border>
      <left/>
      <right style="double">
        <color rgb="FF762123"/>
      </right>
      <top style="double">
        <color rgb="FF762123"/>
      </top>
      <bottom style="thin">
        <color auto="1"/>
      </bottom>
      <diagonal/>
    </border>
    <border>
      <left style="double">
        <color rgb="FF762123"/>
      </left>
      <right style="thin">
        <color auto="1"/>
      </right>
      <top style="double">
        <color rgb="FF762123"/>
      </top>
      <bottom/>
      <diagonal/>
    </border>
    <border>
      <left style="thin">
        <color auto="1"/>
      </left>
      <right style="thin">
        <color auto="1"/>
      </right>
      <top style="double">
        <color rgb="FF762123"/>
      </top>
      <bottom style="thin">
        <color auto="1"/>
      </bottom>
      <diagonal/>
    </border>
    <border>
      <left style="thin">
        <color auto="1"/>
      </left>
      <right/>
      <top style="double">
        <color rgb="FF762123"/>
      </top>
      <bottom style="thin">
        <color auto="1"/>
      </bottom>
      <diagonal/>
    </border>
    <border>
      <left style="double">
        <color rgb="FF762123"/>
      </left>
      <right/>
      <top/>
      <bottom style="double">
        <color rgb="FF762123"/>
      </bottom>
      <diagonal/>
    </border>
    <border>
      <left style="thin">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8"/>
      </left>
      <right style="thin">
        <color indexed="8"/>
      </right>
      <top style="thin">
        <color indexed="8"/>
      </top>
      <bottom style="thin">
        <color indexed="8"/>
      </bottom>
      <diagonal/>
    </border>
    <border>
      <left style="thick">
        <color theme="9" tint="-0.24994659260841701"/>
      </left>
      <right style="thin">
        <color indexed="8"/>
      </right>
      <top style="thick">
        <color theme="9" tint="-0.24994659260841701"/>
      </top>
      <bottom style="thin">
        <color indexed="8"/>
      </bottom>
      <diagonal/>
    </border>
    <border>
      <left style="thin">
        <color indexed="8"/>
      </left>
      <right style="thin">
        <color indexed="8"/>
      </right>
      <top style="thick">
        <color theme="9" tint="-0.24994659260841701"/>
      </top>
      <bottom style="thin">
        <color indexed="8"/>
      </bottom>
      <diagonal/>
    </border>
    <border>
      <left style="thin">
        <color indexed="8"/>
      </left>
      <right style="thick">
        <color theme="9" tint="-0.24994659260841701"/>
      </right>
      <top style="thick">
        <color theme="9" tint="-0.24994659260841701"/>
      </top>
      <bottom style="thin">
        <color indexed="8"/>
      </bottom>
      <diagonal/>
    </border>
    <border>
      <left style="thick">
        <color theme="9" tint="-0.24994659260841701"/>
      </left>
      <right style="thin">
        <color indexed="8"/>
      </right>
      <top style="thin">
        <color indexed="8"/>
      </top>
      <bottom style="thin">
        <color indexed="8"/>
      </bottom>
      <diagonal/>
    </border>
    <border>
      <left style="thin">
        <color indexed="8"/>
      </left>
      <right style="thick">
        <color theme="9" tint="-0.24994659260841701"/>
      </right>
      <top style="thin">
        <color indexed="8"/>
      </top>
      <bottom style="thin">
        <color indexed="8"/>
      </bottom>
      <diagonal/>
    </border>
    <border>
      <left style="thick">
        <color theme="9" tint="-0.24994659260841701"/>
      </left>
      <right style="thin">
        <color indexed="8"/>
      </right>
      <top style="thin">
        <color indexed="8"/>
      </top>
      <bottom style="thick">
        <color theme="9" tint="-0.24994659260841701"/>
      </bottom>
      <diagonal/>
    </border>
    <border>
      <left style="thin">
        <color indexed="8"/>
      </left>
      <right style="thin">
        <color indexed="8"/>
      </right>
      <top style="thin">
        <color indexed="8"/>
      </top>
      <bottom style="thick">
        <color theme="9" tint="-0.24994659260841701"/>
      </bottom>
      <diagonal/>
    </border>
    <border>
      <left style="thin">
        <color indexed="8"/>
      </left>
      <right style="thick">
        <color theme="9" tint="-0.24994659260841701"/>
      </right>
      <top style="thin">
        <color indexed="8"/>
      </top>
      <bottom style="thick">
        <color theme="9" tint="-0.24994659260841701"/>
      </bottom>
      <diagonal/>
    </border>
    <border>
      <left style="thin">
        <color indexed="8"/>
      </left>
      <right/>
      <top style="thin">
        <color indexed="8"/>
      </top>
      <bottom/>
      <diagonal/>
    </border>
    <border>
      <left/>
      <right style="thin">
        <color auto="1"/>
      </right>
      <top/>
      <bottom/>
      <diagonal/>
    </border>
    <border>
      <left style="thin">
        <color indexed="8"/>
      </left>
      <right style="thin">
        <color indexed="8"/>
      </right>
      <top style="thin">
        <color indexed="64"/>
      </top>
      <bottom/>
      <diagonal/>
    </border>
    <border>
      <left/>
      <right/>
      <top style="thin">
        <color indexed="64"/>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right style="thin">
        <color indexed="64"/>
      </right>
      <top/>
      <bottom/>
      <diagonal/>
    </border>
    <border>
      <left style="dashed">
        <color theme="3" tint="0.39991454817346722"/>
      </left>
      <right style="dashed">
        <color theme="3" tint="0.39994506668294322"/>
      </right>
      <top style="dashed">
        <color theme="3" tint="0.39988402966399123"/>
      </top>
      <bottom/>
      <diagonal/>
    </border>
    <border>
      <left style="dashed">
        <color theme="3" tint="0.39991454817346722"/>
      </left>
      <right style="dashed">
        <color theme="3" tint="0.39994506668294322"/>
      </right>
      <top/>
      <bottom style="dashed">
        <color theme="3" tint="0.39988402966399123"/>
      </bottom>
      <diagonal/>
    </border>
    <border>
      <left style="thin">
        <color auto="1"/>
      </left>
      <right style="thin">
        <color auto="1"/>
      </right>
      <top/>
      <bottom/>
      <diagonal/>
    </border>
    <border>
      <left style="thin">
        <color indexed="64"/>
      </left>
      <right/>
      <top/>
      <bottom/>
      <diagonal/>
    </border>
    <border>
      <left style="medium">
        <color rgb="FFF15C5A"/>
      </left>
      <right style="medium">
        <color rgb="FFF15C5A"/>
      </right>
      <top style="medium">
        <color rgb="FFF15C5A"/>
      </top>
      <bottom style="medium">
        <color rgb="FFF15C5A"/>
      </bottom>
      <diagonal/>
    </border>
    <border>
      <left style="dashed">
        <color rgb="FFF15C5A"/>
      </left>
      <right/>
      <top style="dashed">
        <color rgb="FFF15C5A"/>
      </top>
      <bottom style="dashed">
        <color rgb="FFF15C5A"/>
      </bottom>
      <diagonal/>
    </border>
    <border>
      <left/>
      <right/>
      <top style="dashed">
        <color rgb="FFF15C5A"/>
      </top>
      <bottom style="dashed">
        <color rgb="FFF15C5A"/>
      </bottom>
      <diagonal/>
    </border>
    <border>
      <left/>
      <right style="dashed">
        <color rgb="FFF15C5A"/>
      </right>
      <top style="dashed">
        <color rgb="FFF15C5A"/>
      </top>
      <bottom style="dashed">
        <color rgb="FFF15C5A"/>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double">
        <color indexed="8"/>
      </bottom>
      <diagonal/>
    </border>
    <border>
      <left style="thin">
        <color indexed="64"/>
      </left>
      <right style="thin">
        <color indexed="64"/>
      </right>
      <top style="double">
        <color indexed="8"/>
      </top>
      <bottom style="thin">
        <color indexed="64"/>
      </bottom>
      <diagonal/>
    </border>
    <border>
      <left/>
      <right style="thin">
        <color auto="1"/>
      </right>
      <top/>
      <bottom/>
      <diagonal/>
    </border>
    <border>
      <left style="thin">
        <color indexed="64"/>
      </left>
      <right/>
      <top style="thin">
        <color indexed="8"/>
      </top>
      <bottom/>
      <diagonal/>
    </border>
    <border>
      <left/>
      <right style="thin">
        <color indexed="64"/>
      </right>
      <top style="thin">
        <color indexed="8"/>
      </top>
      <bottom/>
      <diagonal/>
    </border>
    <border>
      <left style="thin">
        <color indexed="8"/>
      </left>
      <right/>
      <top/>
      <bottom style="thin">
        <color indexed="64"/>
      </bottom>
      <diagonal/>
    </border>
  </borders>
  <cellStyleXfs count="5">
    <xf numFmtId="0" fontId="0" fillId="0" borderId="0"/>
    <xf numFmtId="171" fontId="5" fillId="0" borderId="0"/>
    <xf numFmtId="165" fontId="5" fillId="0" borderId="0"/>
    <xf numFmtId="0" fontId="5" fillId="0" borderId="0"/>
    <xf numFmtId="164" fontId="17" fillId="0" borderId="0" applyFont="0" applyFill="0" applyBorder="0" applyAlignment="0" applyProtection="0"/>
  </cellStyleXfs>
  <cellXfs count="2573">
    <xf numFmtId="0" fontId="0" fillId="0" borderId="0" xfId="0"/>
    <xf numFmtId="0" fontId="5" fillId="0" borderId="0" xfId="3"/>
    <xf numFmtId="0" fontId="8" fillId="0" borderId="0" xfId="3" applyFont="1"/>
    <xf numFmtId="0" fontId="8" fillId="0" borderId="0" xfId="3" applyFont="1" applyAlignment="1">
      <alignment horizontal="center"/>
    </xf>
    <xf numFmtId="1" fontId="5" fillId="0" borderId="0" xfId="3" applyNumberFormat="1"/>
    <xf numFmtId="2" fontId="5" fillId="0" borderId="0" xfId="3" applyNumberFormat="1"/>
    <xf numFmtId="171" fontId="5" fillId="0" borderId="0" xfId="3" applyNumberFormat="1"/>
    <xf numFmtId="0" fontId="18" fillId="0" borderId="0" xfId="3" applyFont="1"/>
    <xf numFmtId="0" fontId="17" fillId="0" borderId="0" xfId="3" applyFont="1" applyAlignment="1">
      <alignment horizontal="left"/>
    </xf>
    <xf numFmtId="14" fontId="5" fillId="0" borderId="0" xfId="3" applyNumberFormat="1"/>
    <xf numFmtId="0" fontId="14" fillId="0" borderId="25" xfId="3" applyFont="1" applyBorder="1"/>
    <xf numFmtId="0" fontId="0" fillId="0" borderId="17" xfId="0" applyBorder="1" applyAlignment="1">
      <alignment horizontal="center"/>
    </xf>
    <xf numFmtId="0" fontId="24" fillId="0" borderId="25" xfId="3" applyFont="1" applyBorder="1" applyAlignment="1">
      <alignment horizontal="left"/>
    </xf>
    <xf numFmtId="0" fontId="25" fillId="0" borderId="25" xfId="3" applyFont="1" applyBorder="1" applyAlignment="1">
      <alignment horizontal="left"/>
    </xf>
    <xf numFmtId="0" fontId="26" fillId="0" borderId="25" xfId="3" applyFont="1" applyBorder="1" applyAlignment="1">
      <alignment horizontal="left"/>
    </xf>
    <xf numFmtId="0" fontId="0" fillId="0" borderId="0" xfId="0" applyProtection="1">
      <protection locked="0"/>
    </xf>
    <xf numFmtId="0" fontId="0" fillId="0" borderId="0" xfId="0" applyProtection="1">
      <protection hidden="1"/>
    </xf>
    <xf numFmtId="0" fontId="28" fillId="0" borderId="0" xfId="0" applyFont="1" applyProtection="1">
      <protection hidden="1"/>
    </xf>
    <xf numFmtId="0" fontId="41" fillId="0" borderId="0" xfId="0" applyFont="1" applyProtection="1">
      <protection hidden="1"/>
    </xf>
    <xf numFmtId="0" fontId="18" fillId="0" borderId="0" xfId="0" applyFont="1" applyProtection="1">
      <protection hidden="1"/>
    </xf>
    <xf numFmtId="0" fontId="0" fillId="11" borderId="18" xfId="0" applyFill="1" applyBorder="1" applyAlignment="1" applyProtection="1">
      <alignment horizontal="center"/>
      <protection hidden="1"/>
    </xf>
    <xf numFmtId="0" fontId="0" fillId="12" borderId="17" xfId="0" applyFill="1" applyBorder="1" applyAlignment="1" applyProtection="1">
      <alignment horizontal="center"/>
      <protection hidden="1"/>
    </xf>
    <xf numFmtId="171" fontId="5" fillId="0" borderId="0" xfId="1" applyProtection="1">
      <protection hidden="1"/>
    </xf>
    <xf numFmtId="0" fontId="55" fillId="0" borderId="0" xfId="0" applyFont="1" applyProtection="1">
      <protection hidden="1"/>
    </xf>
    <xf numFmtId="0" fontId="29" fillId="0" borderId="0" xfId="0" applyFont="1" applyProtection="1">
      <protection hidden="1"/>
    </xf>
    <xf numFmtId="0" fontId="0" fillId="15" borderId="0" xfId="0" applyFill="1" applyProtection="1">
      <protection hidden="1"/>
    </xf>
    <xf numFmtId="0" fontId="53" fillId="0" borderId="0" xfId="0" applyFont="1" applyAlignment="1" applyProtection="1">
      <alignment horizontal="center"/>
      <protection hidden="1"/>
    </xf>
    <xf numFmtId="0" fontId="0" fillId="0" borderId="0" xfId="0" applyAlignment="1" applyProtection="1">
      <alignment horizontal="center"/>
      <protection hidden="1"/>
    </xf>
    <xf numFmtId="14" fontId="29" fillId="0" borderId="0" xfId="0" applyNumberFormat="1" applyFont="1" applyProtection="1">
      <protection hidden="1"/>
    </xf>
    <xf numFmtId="0" fontId="0" fillId="0" borderId="0" xfId="0" applyAlignment="1" applyProtection="1">
      <alignment horizontal="right"/>
      <protection hidden="1"/>
    </xf>
    <xf numFmtId="14" fontId="0" fillId="0" borderId="0" xfId="0" applyNumberFormat="1" applyProtection="1">
      <protection hidden="1"/>
    </xf>
    <xf numFmtId="171" fontId="0" fillId="0" borderId="17" xfId="1" applyFont="1" applyBorder="1" applyProtection="1">
      <protection hidden="1"/>
    </xf>
    <xf numFmtId="0" fontId="0" fillId="0" borderId="119" xfId="0" applyBorder="1" applyProtection="1">
      <protection hidden="1"/>
    </xf>
    <xf numFmtId="0" fontId="0" fillId="0" borderId="120" xfId="0" applyBorder="1" applyProtection="1">
      <protection hidden="1"/>
    </xf>
    <xf numFmtId="2" fontId="0" fillId="0" borderId="0" xfId="0" applyNumberFormat="1" applyProtection="1">
      <protection hidden="1"/>
    </xf>
    <xf numFmtId="0" fontId="0" fillId="0" borderId="95" xfId="0" applyBorder="1" applyProtection="1">
      <protection hidden="1"/>
    </xf>
    <xf numFmtId="0" fontId="0" fillId="0" borderId="121" xfId="0" applyBorder="1" applyProtection="1">
      <protection hidden="1"/>
    </xf>
    <xf numFmtId="171" fontId="0" fillId="0" borderId="0" xfId="0" applyNumberFormat="1" applyProtection="1">
      <protection hidden="1"/>
    </xf>
    <xf numFmtId="0" fontId="0" fillId="0" borderId="17" xfId="0" applyBorder="1" applyProtection="1">
      <protection hidden="1"/>
    </xf>
    <xf numFmtId="0" fontId="18" fillId="0" borderId="0" xfId="0" applyFont="1" applyAlignment="1" applyProtection="1">
      <alignment horizontal="right"/>
      <protection hidden="1"/>
    </xf>
    <xf numFmtId="171" fontId="18" fillId="0" borderId="0" xfId="0" applyNumberFormat="1" applyFont="1" applyProtection="1">
      <protection hidden="1"/>
    </xf>
    <xf numFmtId="2" fontId="0" fillId="0" borderId="17" xfId="0" applyNumberFormat="1" applyBorder="1" applyProtection="1">
      <protection hidden="1"/>
    </xf>
    <xf numFmtId="0" fontId="0" fillId="0" borderId="122" xfId="0" applyBorder="1" applyProtection="1">
      <protection hidden="1"/>
    </xf>
    <xf numFmtId="0" fontId="0" fillId="0" borderId="123" xfId="0" applyBorder="1" applyProtection="1">
      <protection hidden="1"/>
    </xf>
    <xf numFmtId="0" fontId="0" fillId="0" borderId="124" xfId="0" applyBorder="1" applyProtection="1">
      <protection hidden="1"/>
    </xf>
    <xf numFmtId="0" fontId="52" fillId="0" borderId="0" xfId="0" applyFont="1" applyProtection="1">
      <protection hidden="1"/>
    </xf>
    <xf numFmtId="0" fontId="54" fillId="0" borderId="0" xfId="0" applyFont="1" applyProtection="1">
      <protection hidden="1"/>
    </xf>
    <xf numFmtId="0" fontId="51" fillId="0" borderId="0" xfId="0" applyFont="1" applyProtection="1">
      <protection hidden="1"/>
    </xf>
    <xf numFmtId="192" fontId="0" fillId="0" borderId="17" xfId="0" applyNumberFormat="1" applyBorder="1" applyProtection="1">
      <protection hidden="1"/>
    </xf>
    <xf numFmtId="1" fontId="0" fillId="0" borderId="0" xfId="0" applyNumberFormat="1" applyProtection="1">
      <protection locked="0" hidden="1"/>
    </xf>
    <xf numFmtId="0" fontId="0" fillId="6" borderId="17" xfId="0" applyFill="1" applyBorder="1" applyProtection="1">
      <protection locked="0" hidden="1"/>
    </xf>
    <xf numFmtId="0" fontId="0" fillId="0" borderId="18" xfId="0" applyBorder="1" applyAlignment="1" applyProtection="1">
      <alignment horizontal="center"/>
      <protection hidden="1"/>
    </xf>
    <xf numFmtId="197" fontId="0" fillId="0" borderId="0" xfId="0" applyNumberFormat="1" applyProtection="1">
      <protection hidden="1"/>
    </xf>
    <xf numFmtId="0" fontId="0" fillId="0" borderId="0" xfId="0" applyAlignment="1" applyProtection="1">
      <alignment horizontal="left"/>
      <protection hidden="1"/>
    </xf>
    <xf numFmtId="0" fontId="0" fillId="0" borderId="17" xfId="0" applyBorder="1" applyAlignment="1" applyProtection="1">
      <alignment horizontal="center" vertical="center" wrapText="1"/>
      <protection hidden="1"/>
    </xf>
    <xf numFmtId="198" fontId="0" fillId="0" borderId="17" xfId="0" applyNumberFormat="1" applyBorder="1" applyAlignment="1" applyProtection="1">
      <alignment horizontal="right"/>
      <protection hidden="1"/>
    </xf>
    <xf numFmtId="0" fontId="51" fillId="0" borderId="0" xfId="0" applyFont="1" applyAlignment="1" applyProtection="1">
      <alignment horizontal="right"/>
      <protection hidden="1"/>
    </xf>
    <xf numFmtId="44" fontId="0" fillId="0" borderId="17" xfId="0" applyNumberFormat="1" applyBorder="1" applyProtection="1">
      <protection hidden="1"/>
    </xf>
    <xf numFmtId="44" fontId="0" fillId="0" borderId="0" xfId="0" applyNumberFormat="1" applyProtection="1">
      <protection hidden="1"/>
    </xf>
    <xf numFmtId="171" fontId="0" fillId="0" borderId="0" xfId="1" applyFont="1" applyProtection="1">
      <protection hidden="1"/>
    </xf>
    <xf numFmtId="0" fontId="0" fillId="0" borderId="115" xfId="0" applyBorder="1" applyProtection="1">
      <protection hidden="1"/>
    </xf>
    <xf numFmtId="0" fontId="0" fillId="0" borderId="116" xfId="0" applyBorder="1" applyProtection="1">
      <protection hidden="1"/>
    </xf>
    <xf numFmtId="0" fontId="0" fillId="0" borderId="106" xfId="0" applyBorder="1" applyProtection="1">
      <protection hidden="1"/>
    </xf>
    <xf numFmtId="0" fontId="18" fillId="0" borderId="0" xfId="0" applyFont="1" applyAlignment="1" applyProtection="1">
      <alignment horizontal="center"/>
      <protection hidden="1"/>
    </xf>
    <xf numFmtId="44" fontId="18" fillId="0" borderId="0" xfId="0" applyNumberFormat="1" applyFont="1" applyProtection="1">
      <protection hidden="1"/>
    </xf>
    <xf numFmtId="1" fontId="0" fillId="0" borderId="17" xfId="0" applyNumberFormat="1" applyBorder="1" applyProtection="1">
      <protection hidden="1"/>
    </xf>
    <xf numFmtId="197" fontId="0" fillId="0" borderId="17" xfId="0" applyNumberFormat="1" applyBorder="1" applyProtection="1">
      <protection hidden="1"/>
    </xf>
    <xf numFmtId="2" fontId="0" fillId="0" borderId="20" xfId="0" applyNumberFormat="1" applyBorder="1" applyAlignment="1" applyProtection="1">
      <alignment horizontal="left"/>
      <protection hidden="1"/>
    </xf>
    <xf numFmtId="171" fontId="52" fillId="0" borderId="0" xfId="1" applyFont="1" applyProtection="1">
      <protection hidden="1"/>
    </xf>
    <xf numFmtId="0" fontId="0" fillId="0" borderId="17" xfId="0" applyBorder="1" applyAlignment="1" applyProtection="1">
      <alignment horizontal="center"/>
      <protection hidden="1"/>
    </xf>
    <xf numFmtId="0" fontId="0" fillId="0" borderId="18" xfId="0" applyBorder="1" applyProtection="1">
      <protection hidden="1"/>
    </xf>
    <xf numFmtId="0" fontId="0" fillId="0" borderId="20" xfId="0" applyBorder="1" applyAlignment="1" applyProtection="1">
      <alignment horizontal="right"/>
      <protection hidden="1"/>
    </xf>
    <xf numFmtId="0" fontId="0" fillId="0" borderId="65" xfId="0" applyBorder="1" applyProtection="1">
      <protection hidden="1"/>
    </xf>
    <xf numFmtId="0" fontId="0" fillId="0" borderId="66" xfId="0" applyBorder="1" applyAlignment="1" applyProtection="1">
      <alignment horizontal="right"/>
      <protection hidden="1"/>
    </xf>
    <xf numFmtId="44" fontId="52" fillId="0" borderId="0" xfId="0" applyNumberFormat="1" applyFont="1" applyProtection="1">
      <protection hidden="1"/>
    </xf>
    <xf numFmtId="171" fontId="0" fillId="16" borderId="0" xfId="1" applyFont="1" applyFill="1" applyProtection="1">
      <protection locked="0" hidden="1"/>
    </xf>
    <xf numFmtId="0" fontId="0" fillId="0" borderId="86" xfId="0" applyBorder="1" applyAlignment="1" applyProtection="1">
      <alignment horizontal="right" vertical="center"/>
      <protection hidden="1"/>
    </xf>
    <xf numFmtId="14" fontId="0" fillId="0" borderId="61" xfId="0" applyNumberFormat="1" applyBorder="1" applyAlignment="1" applyProtection="1">
      <alignment horizontal="right" vertical="center"/>
      <protection hidden="1"/>
    </xf>
    <xf numFmtId="171" fontId="0" fillId="0" borderId="17" xfId="0" applyNumberFormat="1" applyBorder="1" applyProtection="1">
      <protection hidden="1"/>
    </xf>
    <xf numFmtId="14" fontId="18" fillId="0" borderId="0" xfId="0" applyNumberFormat="1" applyFont="1" applyProtection="1">
      <protection hidden="1"/>
    </xf>
    <xf numFmtId="1" fontId="0" fillId="0" borderId="0" xfId="0" applyNumberFormat="1" applyProtection="1">
      <protection hidden="1"/>
    </xf>
    <xf numFmtId="2" fontId="0" fillId="0" borderId="0" xfId="0" applyNumberFormat="1" applyAlignment="1" applyProtection="1">
      <alignment horizontal="left"/>
      <protection hidden="1"/>
    </xf>
    <xf numFmtId="0" fontId="0" fillId="0" borderId="0" xfId="0" applyAlignment="1" applyProtection="1">
      <alignment horizontal="center" vertical="center" wrapText="1"/>
      <protection hidden="1"/>
    </xf>
    <xf numFmtId="171" fontId="0" fillId="0" borderId="0" xfId="1" applyFont="1" applyProtection="1">
      <protection locked="0" hidden="1"/>
    </xf>
    <xf numFmtId="14" fontId="0" fillId="0" borderId="0" xfId="0" applyNumberFormat="1" applyAlignment="1" applyProtection="1">
      <alignment horizontal="right"/>
      <protection hidden="1"/>
    </xf>
    <xf numFmtId="14" fontId="0" fillId="0" borderId="0" xfId="0" applyNumberFormat="1" applyAlignment="1" applyProtection="1">
      <alignment horizontal="center"/>
      <protection hidden="1"/>
    </xf>
    <xf numFmtId="0" fontId="0" fillId="12" borderId="86" xfId="0" applyFill="1" applyBorder="1" applyAlignment="1" applyProtection="1">
      <alignment horizontal="center"/>
      <protection hidden="1"/>
    </xf>
    <xf numFmtId="0" fontId="0" fillId="12" borderId="29" xfId="0" applyFill="1" applyBorder="1" applyAlignment="1" applyProtection="1">
      <alignment horizontal="center"/>
      <protection hidden="1"/>
    </xf>
    <xf numFmtId="199" fontId="0" fillId="0" borderId="86" xfId="0" applyNumberFormat="1" applyBorder="1" applyAlignment="1" applyProtection="1">
      <alignment horizontal="right"/>
      <protection hidden="1"/>
    </xf>
    <xf numFmtId="199" fontId="0" fillId="0" borderId="110" xfId="0" applyNumberFormat="1" applyBorder="1" applyAlignment="1" applyProtection="1">
      <alignment horizontal="right"/>
      <protection hidden="1"/>
    </xf>
    <xf numFmtId="199" fontId="0" fillId="0" borderId="61" xfId="0" applyNumberFormat="1" applyBorder="1" applyAlignment="1" applyProtection="1">
      <alignment horizontal="right"/>
      <protection hidden="1"/>
    </xf>
    <xf numFmtId="0" fontId="0" fillId="0" borderId="17" xfId="0" applyBorder="1" applyAlignment="1" applyProtection="1">
      <alignment horizontal="right"/>
      <protection hidden="1"/>
    </xf>
    <xf numFmtId="171" fontId="5" fillId="0" borderId="17" xfId="1" applyBorder="1" applyProtection="1">
      <protection hidden="1"/>
    </xf>
    <xf numFmtId="171" fontId="5" fillId="0" borderId="0" xfId="1" applyAlignment="1" applyProtection="1">
      <alignment horizontal="center"/>
      <protection hidden="1"/>
    </xf>
    <xf numFmtId="171" fontId="18" fillId="0" borderId="17" xfId="1" applyFont="1" applyBorder="1" applyProtection="1">
      <protection hidden="1"/>
    </xf>
    <xf numFmtId="0" fontId="17" fillId="0" borderId="0" xfId="0" applyFont="1" applyAlignment="1" applyProtection="1">
      <alignment horizontal="right"/>
      <protection hidden="1"/>
    </xf>
    <xf numFmtId="180" fontId="0" fillId="0" borderId="0" xfId="0" applyNumberFormat="1" applyProtection="1">
      <protection hidden="1"/>
    </xf>
    <xf numFmtId="0" fontId="34" fillId="0" borderId="0" xfId="0" applyFont="1" applyProtection="1">
      <protection hidden="1"/>
    </xf>
    <xf numFmtId="14" fontId="35" fillId="0" borderId="0" xfId="0" applyNumberFormat="1" applyFont="1" applyProtection="1">
      <protection hidden="1"/>
    </xf>
    <xf numFmtId="0" fontId="35" fillId="0" borderId="0" xfId="0" applyFont="1" applyProtection="1">
      <protection hidden="1"/>
    </xf>
    <xf numFmtId="0" fontId="35" fillId="0" borderId="0" xfId="0" applyFont="1" applyAlignment="1" applyProtection="1">
      <alignment vertical="center"/>
      <protection hidden="1"/>
    </xf>
    <xf numFmtId="0" fontId="27" fillId="0" borderId="0" xfId="0" applyFont="1" applyProtection="1">
      <protection hidden="1"/>
    </xf>
    <xf numFmtId="14" fontId="27" fillId="0" borderId="0" xfId="0" quotePrefix="1" applyNumberFormat="1" applyFont="1" applyProtection="1">
      <protection hidden="1"/>
    </xf>
    <xf numFmtId="14" fontId="27" fillId="0" borderId="0" xfId="0" applyNumberFormat="1" applyFont="1" applyProtection="1">
      <protection hidden="1"/>
    </xf>
    <xf numFmtId="184" fontId="0" fillId="0" borderId="81" xfId="0" applyNumberFormat="1" applyBorder="1" applyProtection="1">
      <protection hidden="1"/>
    </xf>
    <xf numFmtId="183" fontId="0" fillId="0" borderId="82" xfId="0" applyNumberFormat="1" applyBorder="1" applyProtection="1">
      <protection hidden="1"/>
    </xf>
    <xf numFmtId="2" fontId="0" fillId="0" borderId="83" xfId="0" applyNumberFormat="1" applyBorder="1" applyProtection="1">
      <protection hidden="1"/>
    </xf>
    <xf numFmtId="184" fontId="0" fillId="0" borderId="70" xfId="0" applyNumberFormat="1" applyBorder="1" applyProtection="1">
      <protection hidden="1"/>
    </xf>
    <xf numFmtId="183" fontId="0" fillId="0" borderId="84" xfId="0" applyNumberFormat="1" applyBorder="1" applyProtection="1">
      <protection hidden="1"/>
    </xf>
    <xf numFmtId="2" fontId="0" fillId="0" borderId="73" xfId="0" applyNumberFormat="1" applyBorder="1" applyProtection="1">
      <protection hidden="1"/>
    </xf>
    <xf numFmtId="184" fontId="0" fillId="0" borderId="74" xfId="0" applyNumberFormat="1" applyBorder="1" applyProtection="1">
      <protection hidden="1"/>
    </xf>
    <xf numFmtId="183" fontId="0" fillId="0" borderId="85" xfId="0" applyNumberFormat="1" applyBorder="1" applyProtection="1">
      <protection hidden="1"/>
    </xf>
    <xf numFmtId="2" fontId="0" fillId="0" borderId="77" xfId="0" applyNumberFormat="1" applyBorder="1" applyProtection="1">
      <protection hidden="1"/>
    </xf>
    <xf numFmtId="0" fontId="17" fillId="0" borderId="66" xfId="0" applyFont="1" applyBorder="1" applyAlignment="1" applyProtection="1">
      <alignment horizontal="right"/>
      <protection hidden="1"/>
    </xf>
    <xf numFmtId="2" fontId="0" fillId="0" borderId="67" xfId="0" applyNumberFormat="1" applyBorder="1" applyProtection="1">
      <protection hidden="1"/>
    </xf>
    <xf numFmtId="0" fontId="0" fillId="7" borderId="0" xfId="0" applyFill="1" applyProtection="1">
      <protection hidden="1"/>
    </xf>
    <xf numFmtId="181" fontId="0" fillId="7" borderId="0" xfId="0" applyNumberFormat="1" applyFill="1" applyProtection="1">
      <protection hidden="1"/>
    </xf>
    <xf numFmtId="0" fontId="5" fillId="0" borderId="11" xfId="3" applyBorder="1" applyAlignment="1" applyProtection="1">
      <alignment horizontal="center" vertical="center" wrapText="1"/>
      <protection hidden="1"/>
    </xf>
    <xf numFmtId="0" fontId="5" fillId="0" borderId="1" xfId="3" applyBorder="1" applyAlignment="1" applyProtection="1">
      <alignment horizontal="center" vertical="center" wrapText="1"/>
      <protection hidden="1"/>
    </xf>
    <xf numFmtId="0" fontId="5" fillId="0" borderId="2" xfId="3" applyBorder="1" applyAlignment="1" applyProtection="1">
      <alignment horizontal="center" vertical="center" wrapText="1"/>
      <protection hidden="1"/>
    </xf>
    <xf numFmtId="0" fontId="5" fillId="0" borderId="17" xfId="3" applyBorder="1" applyAlignment="1" applyProtection="1">
      <alignment horizontal="center" vertical="center" wrapText="1"/>
      <protection hidden="1"/>
    </xf>
    <xf numFmtId="0" fontId="5" fillId="0" borderId="15" xfId="3" applyBorder="1" applyAlignment="1" applyProtection="1">
      <alignment horizontal="center" vertical="center" wrapText="1"/>
      <protection hidden="1"/>
    </xf>
    <xf numFmtId="195" fontId="0" fillId="0" borderId="17" xfId="0" applyNumberFormat="1" applyBorder="1" applyAlignment="1" applyProtection="1">
      <alignment horizontal="left"/>
      <protection hidden="1"/>
    </xf>
    <xf numFmtId="166" fontId="5" fillId="0" borderId="3" xfId="3" applyNumberFormat="1" applyBorder="1" applyAlignment="1" applyProtection="1">
      <alignment vertical="center"/>
      <protection hidden="1"/>
    </xf>
    <xf numFmtId="166" fontId="5" fillId="0" borderId="2" xfId="3" applyNumberFormat="1" applyBorder="1" applyAlignment="1" applyProtection="1">
      <alignment vertical="center"/>
      <protection hidden="1"/>
    </xf>
    <xf numFmtId="166" fontId="5" fillId="0" borderId="17" xfId="3" applyNumberFormat="1" applyBorder="1" applyAlignment="1" applyProtection="1">
      <alignment vertical="center"/>
      <protection hidden="1"/>
    </xf>
    <xf numFmtId="195" fontId="0" fillId="0" borderId="0" xfId="0" applyNumberFormat="1" applyProtection="1">
      <protection hidden="1"/>
    </xf>
    <xf numFmtId="10" fontId="0" fillId="0" borderId="0" xfId="0" applyNumberFormat="1" applyProtection="1">
      <protection hidden="1"/>
    </xf>
    <xf numFmtId="0" fontId="10" fillId="0" borderId="0" xfId="3" applyFont="1" applyProtection="1">
      <protection hidden="1"/>
    </xf>
    <xf numFmtId="0" fontId="5" fillId="0" borderId="0" xfId="3" applyProtection="1">
      <protection hidden="1"/>
    </xf>
    <xf numFmtId="0" fontId="10" fillId="0" borderId="0" xfId="3" applyFont="1" applyAlignment="1" applyProtection="1">
      <alignment horizontal="left"/>
      <protection hidden="1"/>
    </xf>
    <xf numFmtId="0" fontId="5" fillId="0" borderId="0" xfId="3" applyAlignment="1" applyProtection="1">
      <alignment horizontal="right"/>
      <protection hidden="1"/>
    </xf>
    <xf numFmtId="166" fontId="5" fillId="0" borderId="0" xfId="3" applyNumberFormat="1" applyAlignment="1" applyProtection="1">
      <alignment vertical="center"/>
      <protection locked="0" hidden="1"/>
    </xf>
    <xf numFmtId="0" fontId="18" fillId="0" borderId="0" xfId="3" applyFont="1" applyAlignment="1" applyProtection="1">
      <alignment vertical="center"/>
      <protection hidden="1"/>
    </xf>
    <xf numFmtId="166" fontId="5" fillId="0" borderId="1" xfId="3" applyNumberFormat="1" applyBorder="1" applyAlignment="1" applyProtection="1">
      <alignment vertical="center"/>
      <protection hidden="1"/>
    </xf>
    <xf numFmtId="0" fontId="5" fillId="0" borderId="1" xfId="3" applyBorder="1" applyAlignment="1" applyProtection="1">
      <alignment vertical="center"/>
      <protection hidden="1"/>
    </xf>
    <xf numFmtId="0" fontId="8" fillId="0" borderId="1" xfId="3" applyFont="1" applyBorder="1" applyAlignment="1" applyProtection="1">
      <alignment vertical="center"/>
      <protection hidden="1"/>
    </xf>
    <xf numFmtId="166" fontId="8" fillId="0" borderId="1" xfId="3" applyNumberFormat="1" applyFont="1" applyBorder="1" applyProtection="1">
      <protection hidden="1"/>
    </xf>
    <xf numFmtId="0" fontId="8" fillId="0" borderId="1" xfId="3" applyFont="1" applyBorder="1" applyProtection="1">
      <protection hidden="1"/>
    </xf>
    <xf numFmtId="0" fontId="28" fillId="0" borderId="0" xfId="3" applyFont="1" applyProtection="1">
      <protection hidden="1"/>
    </xf>
    <xf numFmtId="0" fontId="45" fillId="0" borderId="0" xfId="0" applyFont="1" applyProtection="1">
      <protection hidden="1"/>
    </xf>
    <xf numFmtId="0" fontId="8" fillId="0" borderId="0" xfId="3" applyFont="1" applyProtection="1">
      <protection hidden="1"/>
    </xf>
    <xf numFmtId="14" fontId="18" fillId="0" borderId="0" xfId="3" applyNumberFormat="1" applyFont="1" applyProtection="1">
      <protection hidden="1"/>
    </xf>
    <xf numFmtId="171" fontId="5" fillId="0" borderId="0" xfId="3" applyNumberFormat="1" applyProtection="1">
      <protection hidden="1"/>
    </xf>
    <xf numFmtId="0" fontId="35" fillId="0" borderId="95" xfId="0" applyFont="1" applyBorder="1" applyProtection="1">
      <protection hidden="1"/>
    </xf>
    <xf numFmtId="0" fontId="42" fillId="0" borderId="0" xfId="0" applyFont="1" applyProtection="1">
      <protection hidden="1"/>
    </xf>
    <xf numFmtId="0" fontId="43" fillId="0" borderId="0" xfId="0" applyFont="1" applyAlignment="1" applyProtection="1">
      <alignment horizontal="center"/>
      <protection hidden="1"/>
    </xf>
    <xf numFmtId="0" fontId="42" fillId="0" borderId="95" xfId="0" applyFont="1" applyBorder="1" applyProtection="1">
      <protection hidden="1"/>
    </xf>
    <xf numFmtId="0" fontId="17" fillId="0" borderId="0" xfId="0" applyFont="1" applyProtection="1">
      <protection hidden="1"/>
    </xf>
    <xf numFmtId="169" fontId="0" fillId="0" borderId="0" xfId="0" applyNumberFormat="1" applyProtection="1">
      <protection hidden="1"/>
    </xf>
    <xf numFmtId="0" fontId="0" fillId="0" borderId="31" xfId="0" applyBorder="1" applyAlignment="1" applyProtection="1">
      <alignment horizontal="center" vertical="center" wrapText="1"/>
      <protection hidden="1"/>
    </xf>
    <xf numFmtId="0" fontId="0" fillId="0" borderId="86" xfId="0" applyBorder="1" applyAlignment="1" applyProtection="1">
      <alignment horizontal="center" vertical="center" wrapText="1"/>
      <protection hidden="1"/>
    </xf>
    <xf numFmtId="182" fontId="0" fillId="0" borderId="0" xfId="0" applyNumberFormat="1" applyProtection="1">
      <protection hidden="1"/>
    </xf>
    <xf numFmtId="182" fontId="29" fillId="0" borderId="0" xfId="0" applyNumberFormat="1" applyFont="1" applyProtection="1">
      <protection hidden="1"/>
    </xf>
    <xf numFmtId="183" fontId="29" fillId="0" borderId="0" xfId="0" applyNumberFormat="1" applyFont="1" applyProtection="1">
      <protection hidden="1"/>
    </xf>
    <xf numFmtId="0" fontId="0" fillId="0" borderId="29" xfId="0" applyBorder="1" applyProtection="1">
      <protection hidden="1"/>
    </xf>
    <xf numFmtId="0" fontId="0" fillId="0" borderId="30" xfId="0" applyBorder="1" applyAlignment="1" applyProtection="1">
      <alignment horizontal="right"/>
      <protection hidden="1"/>
    </xf>
    <xf numFmtId="169" fontId="0" fillId="0" borderId="17" xfId="0" applyNumberFormat="1" applyBorder="1" applyProtection="1">
      <protection hidden="1"/>
    </xf>
    <xf numFmtId="169" fontId="0" fillId="0" borderId="31" xfId="0" applyNumberFormat="1" applyBorder="1" applyProtection="1">
      <protection hidden="1"/>
    </xf>
    <xf numFmtId="185" fontId="0" fillId="0" borderId="30" xfId="0" applyNumberFormat="1" applyBorder="1" applyProtection="1">
      <protection hidden="1"/>
    </xf>
    <xf numFmtId="169" fontId="0" fillId="0" borderId="29" xfId="0" applyNumberFormat="1" applyBorder="1" applyProtection="1">
      <protection hidden="1"/>
    </xf>
    <xf numFmtId="0" fontId="0" fillId="0" borderId="86" xfId="0" applyBorder="1" applyProtection="1">
      <protection hidden="1"/>
    </xf>
    <xf numFmtId="0" fontId="0" fillId="0" borderId="93" xfId="0" applyBorder="1" applyProtection="1">
      <protection hidden="1"/>
    </xf>
    <xf numFmtId="0" fontId="0" fillId="0" borderId="25" xfId="0" applyBorder="1" applyProtection="1">
      <protection hidden="1"/>
    </xf>
    <xf numFmtId="169" fontId="0" fillId="0" borderId="92" xfId="0" applyNumberFormat="1" applyBorder="1" applyProtection="1">
      <protection hidden="1"/>
    </xf>
    <xf numFmtId="185" fontId="0" fillId="0" borderId="0" xfId="0" applyNumberFormat="1" applyProtection="1">
      <protection hidden="1"/>
    </xf>
    <xf numFmtId="169" fontId="0" fillId="0" borderId="25" xfId="0" applyNumberFormat="1" applyBorder="1" applyProtection="1">
      <protection hidden="1"/>
    </xf>
    <xf numFmtId="182" fontId="0" fillId="0" borderId="0" xfId="0" applyNumberFormat="1" applyAlignment="1" applyProtection="1">
      <alignment horizontal="center"/>
      <protection hidden="1"/>
    </xf>
    <xf numFmtId="184" fontId="0" fillId="0" borderId="68" xfId="0" applyNumberFormat="1" applyBorder="1" applyProtection="1">
      <protection hidden="1"/>
    </xf>
    <xf numFmtId="183" fontId="0" fillId="0" borderId="69" xfId="0" applyNumberFormat="1" applyBorder="1" applyProtection="1">
      <protection hidden="1"/>
    </xf>
    <xf numFmtId="183" fontId="0" fillId="0" borderId="71" xfId="0" applyNumberFormat="1" applyBorder="1" applyProtection="1">
      <protection hidden="1"/>
    </xf>
    <xf numFmtId="2" fontId="0" fillId="0" borderId="72" xfId="0" applyNumberFormat="1" applyBorder="1" applyProtection="1">
      <protection hidden="1"/>
    </xf>
    <xf numFmtId="0" fontId="0" fillId="0" borderId="26" xfId="0" applyBorder="1" applyProtection="1">
      <protection hidden="1"/>
    </xf>
    <xf numFmtId="0" fontId="17" fillId="0" borderId="27" xfId="0" applyFont="1" applyBorder="1" applyAlignment="1" applyProtection="1">
      <alignment horizontal="right"/>
      <protection hidden="1"/>
    </xf>
    <xf numFmtId="169" fontId="0" fillId="0" borderId="28" xfId="0" applyNumberFormat="1" applyBorder="1" applyProtection="1">
      <protection hidden="1"/>
    </xf>
    <xf numFmtId="185" fontId="0" fillId="0" borderId="27" xfId="0" applyNumberFormat="1" applyBorder="1" applyProtection="1">
      <protection hidden="1"/>
    </xf>
    <xf numFmtId="169" fontId="0" fillId="0" borderId="26" xfId="0" applyNumberFormat="1" applyBorder="1" applyProtection="1">
      <protection hidden="1"/>
    </xf>
    <xf numFmtId="0" fontId="0" fillId="0" borderId="61" xfId="0" applyBorder="1" applyProtection="1">
      <protection hidden="1"/>
    </xf>
    <xf numFmtId="185" fontId="0" fillId="0" borderId="17" xfId="0" applyNumberFormat="1" applyBorder="1" applyProtection="1">
      <protection hidden="1"/>
    </xf>
    <xf numFmtId="194" fontId="0" fillId="0" borderId="61" xfId="0" applyNumberFormat="1" applyBorder="1" applyProtection="1">
      <protection hidden="1"/>
    </xf>
    <xf numFmtId="169" fontId="0" fillId="0" borderId="61" xfId="0" applyNumberFormat="1" applyBorder="1" applyProtection="1">
      <protection hidden="1"/>
    </xf>
    <xf numFmtId="0" fontId="29" fillId="0" borderId="0" xfId="0" applyFont="1" applyAlignment="1" applyProtection="1">
      <alignment horizontal="right"/>
      <protection hidden="1"/>
    </xf>
    <xf numFmtId="191" fontId="0" fillId="0" borderId="0" xfId="0" applyNumberFormat="1" applyProtection="1">
      <protection hidden="1"/>
    </xf>
    <xf numFmtId="0" fontId="0" fillId="0" borderId="29" xfId="0" applyBorder="1" applyAlignment="1" applyProtection="1">
      <alignment horizontal="right"/>
      <protection hidden="1"/>
    </xf>
    <xf numFmtId="169" fontId="0" fillId="0" borderId="86" xfId="0" applyNumberFormat="1" applyBorder="1" applyProtection="1">
      <protection hidden="1"/>
    </xf>
    <xf numFmtId="2" fontId="17" fillId="0" borderId="86" xfId="0" applyNumberFormat="1" applyFont="1" applyBorder="1" applyProtection="1">
      <protection hidden="1"/>
    </xf>
    <xf numFmtId="0" fontId="0" fillId="0" borderId="25" xfId="0" applyBorder="1" applyAlignment="1" applyProtection="1">
      <alignment horizontal="right"/>
      <protection hidden="1"/>
    </xf>
    <xf numFmtId="0" fontId="0" fillId="0" borderId="26" xfId="0" applyBorder="1" applyAlignment="1" applyProtection="1">
      <alignment horizontal="right"/>
      <protection hidden="1"/>
    </xf>
    <xf numFmtId="2" fontId="17" fillId="0" borderId="61" xfId="0" applyNumberFormat="1" applyFont="1" applyBorder="1" applyProtection="1">
      <protection hidden="1"/>
    </xf>
    <xf numFmtId="2" fontId="27" fillId="0" borderId="0" xfId="0" applyNumberFormat="1" applyFont="1" applyProtection="1">
      <protection hidden="1"/>
    </xf>
    <xf numFmtId="183" fontId="0" fillId="0" borderId="75" xfId="0" applyNumberFormat="1" applyBorder="1" applyProtection="1">
      <protection hidden="1"/>
    </xf>
    <xf numFmtId="2" fontId="0" fillId="0" borderId="76" xfId="0" applyNumberFormat="1" applyBorder="1" applyProtection="1">
      <protection hidden="1"/>
    </xf>
    <xf numFmtId="2" fontId="0" fillId="0" borderId="64" xfId="0" applyNumberFormat="1" applyBorder="1" applyProtection="1">
      <protection hidden="1"/>
    </xf>
    <xf numFmtId="189" fontId="18" fillId="0" borderId="0" xfId="0" applyNumberFormat="1" applyFont="1" applyProtection="1">
      <protection hidden="1"/>
    </xf>
    <xf numFmtId="169" fontId="18" fillId="0" borderId="0" xfId="0" applyNumberFormat="1" applyFont="1" applyProtection="1">
      <protection hidden="1"/>
    </xf>
    <xf numFmtId="0" fontId="0" fillId="0" borderId="0" xfId="0" quotePrefix="1" applyProtection="1">
      <protection hidden="1"/>
    </xf>
    <xf numFmtId="0" fontId="22" fillId="0" borderId="0" xfId="3" applyFont="1" applyProtection="1">
      <protection hidden="1"/>
    </xf>
    <xf numFmtId="0" fontId="10" fillId="0" borderId="0" xfId="3" applyFont="1" applyAlignment="1" applyProtection="1">
      <alignment horizontal="center" vertical="center"/>
      <protection hidden="1"/>
    </xf>
    <xf numFmtId="0" fontId="18" fillId="0" borderId="0" xfId="3" applyFont="1" applyProtection="1">
      <protection hidden="1"/>
    </xf>
    <xf numFmtId="0" fontId="5" fillId="0" borderId="2" xfId="3" applyBorder="1" applyProtection="1">
      <protection hidden="1"/>
    </xf>
    <xf numFmtId="0" fontId="5" fillId="0" borderId="10" xfId="3" applyBorder="1" applyProtection="1">
      <protection hidden="1"/>
    </xf>
    <xf numFmtId="0" fontId="5" fillId="0" borderId="13" xfId="3" applyBorder="1" applyProtection="1">
      <protection hidden="1"/>
    </xf>
    <xf numFmtId="0" fontId="5" fillId="0" borderId="14" xfId="3" applyBorder="1" applyProtection="1">
      <protection hidden="1"/>
    </xf>
    <xf numFmtId="167" fontId="5" fillId="0" borderId="0" xfId="3" applyNumberFormat="1" applyProtection="1">
      <protection hidden="1"/>
    </xf>
    <xf numFmtId="0" fontId="5" fillId="0" borderId="0" xfId="3" applyAlignment="1" applyProtection="1">
      <alignment horizontal="center"/>
      <protection hidden="1"/>
    </xf>
    <xf numFmtId="0" fontId="5" fillId="6" borderId="0" xfId="3" applyFill="1" applyAlignment="1" applyProtection="1">
      <alignment horizontal="center"/>
      <protection locked="0" hidden="1"/>
    </xf>
    <xf numFmtId="0" fontId="22" fillId="0" borderId="0" xfId="3" applyFont="1" applyAlignment="1" applyProtection="1">
      <alignment horizontal="center"/>
      <protection hidden="1"/>
    </xf>
    <xf numFmtId="0" fontId="5" fillId="0" borderId="18" xfId="3" applyBorder="1" applyProtection="1">
      <protection hidden="1"/>
    </xf>
    <xf numFmtId="0" fontId="5" fillId="0" borderId="20" xfId="3" applyBorder="1" applyProtection="1">
      <protection hidden="1"/>
    </xf>
    <xf numFmtId="168" fontId="5" fillId="0" borderId="0" xfId="3" applyNumberFormat="1" applyAlignment="1" applyProtection="1">
      <alignment horizontal="center"/>
      <protection hidden="1"/>
    </xf>
    <xf numFmtId="168" fontId="22" fillId="0" borderId="0" xfId="3" applyNumberFormat="1" applyFont="1" applyAlignment="1" applyProtection="1">
      <alignment horizontal="center"/>
      <protection hidden="1"/>
    </xf>
    <xf numFmtId="0" fontId="8" fillId="0" borderId="0" xfId="3" applyFont="1" applyAlignment="1" applyProtection="1">
      <alignment horizontal="center"/>
      <protection hidden="1"/>
    </xf>
    <xf numFmtId="0" fontId="5" fillId="0" borderId="27" xfId="3" applyBorder="1" applyProtection="1">
      <protection hidden="1"/>
    </xf>
    <xf numFmtId="0" fontId="5" fillId="0" borderId="30" xfId="3" applyBorder="1" applyProtection="1">
      <protection hidden="1"/>
    </xf>
    <xf numFmtId="0" fontId="5" fillId="0" borderId="31" xfId="3" applyBorder="1" applyProtection="1">
      <protection hidden="1"/>
    </xf>
    <xf numFmtId="0" fontId="12" fillId="0" borderId="0" xfId="3" applyFont="1" applyAlignment="1" applyProtection="1">
      <alignment horizontal="center" vertical="center"/>
      <protection hidden="1"/>
    </xf>
    <xf numFmtId="0" fontId="5" fillId="0" borderId="0" xfId="3" applyAlignment="1" applyProtection="1">
      <alignment horizontal="center" vertical="center" wrapText="1"/>
      <protection hidden="1"/>
    </xf>
    <xf numFmtId="0" fontId="5" fillId="0" borderId="0" xfId="3" applyAlignment="1" applyProtection="1">
      <alignment horizontal="left"/>
      <protection hidden="1"/>
    </xf>
    <xf numFmtId="170" fontId="5" fillId="0" borderId="0" xfId="3" applyNumberFormat="1" applyAlignment="1" applyProtection="1">
      <alignment horizontal="center"/>
      <protection hidden="1"/>
    </xf>
    <xf numFmtId="0" fontId="5" fillId="0" borderId="16" xfId="3" applyBorder="1" applyAlignment="1" applyProtection="1">
      <alignment horizontal="center"/>
      <protection hidden="1"/>
    </xf>
    <xf numFmtId="0" fontId="12" fillId="0" borderId="0" xfId="3" applyFont="1" applyAlignment="1" applyProtection="1">
      <alignment horizontal="center"/>
      <protection hidden="1"/>
    </xf>
    <xf numFmtId="171" fontId="13" fillId="0" borderId="0" xfId="3" applyNumberFormat="1" applyFont="1" applyAlignment="1" applyProtection="1">
      <alignment horizontal="right"/>
      <protection hidden="1"/>
    </xf>
    <xf numFmtId="169" fontId="12" fillId="0" borderId="0" xfId="3" applyNumberFormat="1" applyFont="1" applyAlignment="1" applyProtection="1">
      <alignment horizontal="center"/>
      <protection hidden="1"/>
    </xf>
    <xf numFmtId="169" fontId="5" fillId="0" borderId="0" xfId="3" applyNumberFormat="1" applyProtection="1">
      <protection hidden="1"/>
    </xf>
    <xf numFmtId="171" fontId="13" fillId="0" borderId="0" xfId="3" applyNumberFormat="1" applyFont="1" applyAlignment="1" applyProtection="1">
      <alignment horizontal="center"/>
      <protection hidden="1"/>
    </xf>
    <xf numFmtId="0" fontId="22" fillId="0" borderId="0" xfId="3" applyFont="1" applyAlignment="1" applyProtection="1">
      <alignment horizontal="left"/>
      <protection hidden="1"/>
    </xf>
    <xf numFmtId="171" fontId="15" fillId="0" borderId="0" xfId="3" applyNumberFormat="1" applyFont="1" applyAlignment="1" applyProtection="1">
      <alignment horizontal="center"/>
      <protection hidden="1"/>
    </xf>
    <xf numFmtId="0" fontId="8" fillId="0" borderId="0" xfId="3" applyFont="1" applyAlignment="1" applyProtection="1">
      <alignment horizontal="right"/>
      <protection hidden="1"/>
    </xf>
    <xf numFmtId="0" fontId="22" fillId="0" borderId="0" xfId="3" applyFont="1" applyAlignment="1" applyProtection="1">
      <alignment horizontal="right"/>
      <protection hidden="1"/>
    </xf>
    <xf numFmtId="171" fontId="5" fillId="0" borderId="0" xfId="3" applyNumberFormat="1" applyAlignment="1" applyProtection="1">
      <alignment horizontal="center"/>
      <protection hidden="1"/>
    </xf>
    <xf numFmtId="176" fontId="8" fillId="0" borderId="17" xfId="3" applyNumberFormat="1" applyFont="1" applyBorder="1" applyProtection="1">
      <protection hidden="1"/>
    </xf>
    <xf numFmtId="0" fontId="13" fillId="0" borderId="0" xfId="3" applyFont="1" applyAlignment="1" applyProtection="1">
      <alignment horizontal="center"/>
      <protection hidden="1"/>
    </xf>
    <xf numFmtId="0" fontId="13" fillId="0" borderId="0" xfId="3" applyFont="1" applyProtection="1">
      <protection hidden="1"/>
    </xf>
    <xf numFmtId="171" fontId="15" fillId="0" borderId="0" xfId="3" applyNumberFormat="1" applyFont="1" applyAlignment="1" applyProtection="1">
      <alignment horizontal="right"/>
      <protection hidden="1"/>
    </xf>
    <xf numFmtId="0" fontId="22" fillId="0" borderId="0" xfId="3" applyFont="1" applyProtection="1">
      <protection locked="0" hidden="1"/>
    </xf>
    <xf numFmtId="174" fontId="8" fillId="0" borderId="0" xfId="3" applyNumberFormat="1" applyFont="1" applyProtection="1">
      <protection hidden="1"/>
    </xf>
    <xf numFmtId="171" fontId="8" fillId="0" borderId="0" xfId="3" applyNumberFormat="1" applyFont="1" applyAlignment="1" applyProtection="1">
      <alignment horizontal="center"/>
      <protection hidden="1"/>
    </xf>
    <xf numFmtId="177" fontId="5" fillId="0" borderId="0" xfId="3" applyNumberFormat="1" applyAlignment="1" applyProtection="1">
      <alignment horizontal="center"/>
      <protection hidden="1"/>
    </xf>
    <xf numFmtId="171" fontId="18" fillId="0" borderId="0" xfId="3" applyNumberFormat="1" applyFont="1" applyAlignment="1" applyProtection="1">
      <alignment horizontal="left"/>
      <protection hidden="1"/>
    </xf>
    <xf numFmtId="171" fontId="18" fillId="0" borderId="0" xfId="3" applyNumberFormat="1" applyFont="1" applyAlignment="1" applyProtection="1">
      <alignment horizontal="center"/>
      <protection hidden="1"/>
    </xf>
    <xf numFmtId="0" fontId="17" fillId="0" borderId="0" xfId="3" applyFont="1" applyProtection="1">
      <protection hidden="1"/>
    </xf>
    <xf numFmtId="169" fontId="5" fillId="0" borderId="0" xfId="3" applyNumberFormat="1" applyAlignment="1" applyProtection="1">
      <alignment horizontal="center"/>
      <protection hidden="1"/>
    </xf>
    <xf numFmtId="166" fontId="8" fillId="0" borderId="17" xfId="3" applyNumberFormat="1" applyFont="1" applyBorder="1" applyProtection="1">
      <protection hidden="1"/>
    </xf>
    <xf numFmtId="166" fontId="8" fillId="0" borderId="0" xfId="3" applyNumberFormat="1" applyFont="1" applyProtection="1">
      <protection hidden="1"/>
    </xf>
    <xf numFmtId="169" fontId="22" fillId="0" borderId="0" xfId="3" applyNumberFormat="1" applyFont="1" applyAlignment="1" applyProtection="1">
      <alignment horizontal="center"/>
      <protection hidden="1"/>
    </xf>
    <xf numFmtId="0" fontId="21" fillId="0" borderId="0" xfId="3" applyFont="1" applyProtection="1">
      <protection hidden="1"/>
    </xf>
    <xf numFmtId="171" fontId="23" fillId="0" borderId="0" xfId="3" applyNumberFormat="1" applyFont="1" applyAlignment="1" applyProtection="1">
      <alignment horizontal="center"/>
      <protection hidden="1"/>
    </xf>
    <xf numFmtId="169" fontId="8" fillId="0" borderId="0" xfId="3" applyNumberFormat="1" applyFont="1" applyAlignment="1" applyProtection="1">
      <alignment horizontal="center"/>
      <protection hidden="1"/>
    </xf>
    <xf numFmtId="176" fontId="8" fillId="0" borderId="0" xfId="3" applyNumberFormat="1" applyFont="1" applyProtection="1">
      <protection hidden="1"/>
    </xf>
    <xf numFmtId="171" fontId="8" fillId="0" borderId="17" xfId="3" applyNumberFormat="1" applyFont="1" applyBorder="1" applyProtection="1">
      <protection hidden="1"/>
    </xf>
    <xf numFmtId="171" fontId="8" fillId="0" borderId="0" xfId="3" applyNumberFormat="1" applyFont="1" applyProtection="1">
      <protection hidden="1"/>
    </xf>
    <xf numFmtId="0" fontId="6" fillId="0" borderId="0" xfId="3" applyFont="1" applyAlignment="1" applyProtection="1">
      <alignment horizontal="right"/>
      <protection hidden="1"/>
    </xf>
    <xf numFmtId="0" fontId="5" fillId="0" borderId="29" xfId="3" applyBorder="1" applyProtection="1">
      <protection hidden="1"/>
    </xf>
    <xf numFmtId="0" fontId="5" fillId="0" borderId="25" xfId="3" applyBorder="1" applyProtection="1">
      <protection hidden="1"/>
    </xf>
    <xf numFmtId="0" fontId="5" fillId="0" borderId="112" xfId="3" applyBorder="1" applyProtection="1">
      <protection hidden="1"/>
    </xf>
    <xf numFmtId="0" fontId="5" fillId="0" borderId="113" xfId="3" applyBorder="1" applyProtection="1">
      <protection hidden="1"/>
    </xf>
    <xf numFmtId="0" fontId="5" fillId="0" borderId="114" xfId="3" applyBorder="1" applyProtection="1">
      <protection hidden="1"/>
    </xf>
    <xf numFmtId="0" fontId="18" fillId="0" borderId="112" xfId="3" applyFont="1" applyBorder="1" applyProtection="1">
      <protection hidden="1"/>
    </xf>
    <xf numFmtId="0" fontId="18" fillId="0" borderId="113" xfId="3" applyFont="1" applyBorder="1" applyProtection="1">
      <protection hidden="1"/>
    </xf>
    <xf numFmtId="0" fontId="18" fillId="0" borderId="114" xfId="3" applyFont="1" applyBorder="1" applyProtection="1">
      <protection hidden="1"/>
    </xf>
    <xf numFmtId="0" fontId="5" fillId="0" borderId="125" xfId="3" applyBorder="1" applyProtection="1">
      <protection hidden="1"/>
    </xf>
    <xf numFmtId="0" fontId="5" fillId="0" borderId="126" xfId="3" applyBorder="1" applyProtection="1">
      <protection hidden="1"/>
    </xf>
    <xf numFmtId="0" fontId="5" fillId="0" borderId="0" xfId="3" applyProtection="1">
      <protection locked="0" hidden="1"/>
    </xf>
    <xf numFmtId="0" fontId="5" fillId="0" borderId="115" xfId="3" applyBorder="1" applyProtection="1">
      <protection hidden="1"/>
    </xf>
    <xf numFmtId="0" fontId="5" fillId="0" borderId="116" xfId="3" applyBorder="1" applyProtection="1">
      <protection hidden="1"/>
    </xf>
    <xf numFmtId="0" fontId="5" fillId="0" borderId="117" xfId="3" applyBorder="1" applyProtection="1">
      <protection hidden="1"/>
    </xf>
    <xf numFmtId="0" fontId="5" fillId="0" borderId="30" xfId="3" applyBorder="1" applyAlignment="1" applyProtection="1">
      <alignment horizontal="center"/>
      <protection hidden="1"/>
    </xf>
    <xf numFmtId="0" fontId="5" fillId="0" borderId="30" xfId="3" applyBorder="1" applyAlignment="1" applyProtection="1">
      <alignment horizontal="right"/>
      <protection hidden="1"/>
    </xf>
    <xf numFmtId="0" fontId="5" fillId="0" borderId="26" xfId="3" applyBorder="1" applyAlignment="1" applyProtection="1">
      <alignment horizontal="center"/>
      <protection hidden="1"/>
    </xf>
    <xf numFmtId="0" fontId="5" fillId="0" borderId="27" xfId="3" applyBorder="1" applyAlignment="1" applyProtection="1">
      <alignment horizontal="center"/>
      <protection hidden="1"/>
    </xf>
    <xf numFmtId="0" fontId="5" fillId="0" borderId="27" xfId="3" applyBorder="1" applyAlignment="1" applyProtection="1">
      <alignment horizontal="right"/>
      <protection hidden="1"/>
    </xf>
    <xf numFmtId="177" fontId="13" fillId="6" borderId="0" xfId="3" applyNumberFormat="1" applyFont="1" applyFill="1" applyProtection="1">
      <protection locked="0" hidden="1"/>
    </xf>
    <xf numFmtId="177" fontId="13" fillId="6" borderId="92" xfId="3" applyNumberFormat="1" applyFont="1" applyFill="1" applyBorder="1" applyProtection="1">
      <protection locked="0" hidden="1"/>
    </xf>
    <xf numFmtId="171" fontId="14" fillId="0" borderId="0" xfId="3" applyNumberFormat="1" applyFont="1" applyAlignment="1" applyProtection="1">
      <alignment horizontal="right"/>
      <protection hidden="1"/>
    </xf>
    <xf numFmtId="169" fontId="12" fillId="0" borderId="0" xfId="3" applyNumberFormat="1" applyFont="1" applyProtection="1">
      <protection hidden="1"/>
    </xf>
    <xf numFmtId="0" fontId="38" fillId="0" borderId="0" xfId="0" applyFont="1" applyProtection="1">
      <protection hidden="1"/>
    </xf>
    <xf numFmtId="0" fontId="38" fillId="0" borderId="0" xfId="0" applyFont="1" applyAlignment="1" applyProtection="1">
      <alignment horizontal="right"/>
      <protection hidden="1"/>
    </xf>
    <xf numFmtId="20" fontId="0" fillId="0" borderId="17" xfId="0" applyNumberFormat="1" applyBorder="1" applyAlignment="1" applyProtection="1">
      <alignment horizontal="center"/>
      <protection hidden="1"/>
    </xf>
    <xf numFmtId="174" fontId="0" fillId="0" borderId="17" xfId="0" applyNumberFormat="1" applyBorder="1" applyProtection="1">
      <protection hidden="1"/>
    </xf>
    <xf numFmtId="0" fontId="39" fillId="0" borderId="0" xfId="0" applyFont="1" applyAlignment="1" applyProtection="1">
      <alignment horizontal="center"/>
      <protection hidden="1"/>
    </xf>
    <xf numFmtId="0" fontId="37" fillId="0" borderId="0" xfId="0" applyFont="1" applyProtection="1">
      <protection hidden="1"/>
    </xf>
    <xf numFmtId="0" fontId="37" fillId="0" borderId="0" xfId="0" applyFont="1" applyAlignment="1" applyProtection="1">
      <alignment horizontal="right"/>
      <protection hidden="1"/>
    </xf>
    <xf numFmtId="186" fontId="29" fillId="0" borderId="0" xfId="1" applyNumberFormat="1" applyFont="1" applyProtection="1">
      <protection hidden="1"/>
    </xf>
    <xf numFmtId="186" fontId="0" fillId="0" borderId="0" xfId="1" applyNumberFormat="1" applyFont="1" applyProtection="1">
      <protection hidden="1"/>
    </xf>
    <xf numFmtId="44" fontId="0" fillId="0" borderId="0" xfId="1" applyNumberFormat="1" applyFont="1" applyAlignment="1" applyProtection="1">
      <alignment horizontal="center"/>
      <protection hidden="1"/>
    </xf>
    <xf numFmtId="174" fontId="0" fillId="0" borderId="0" xfId="0" applyNumberFormat="1" applyProtection="1">
      <protection hidden="1"/>
    </xf>
    <xf numFmtId="169" fontId="37" fillId="0" borderId="0" xfId="0" applyNumberFormat="1" applyFont="1" applyProtection="1">
      <protection hidden="1"/>
    </xf>
    <xf numFmtId="187" fontId="37" fillId="0" borderId="0" xfId="0" applyNumberFormat="1" applyFont="1" applyProtection="1">
      <protection hidden="1"/>
    </xf>
    <xf numFmtId="44" fontId="0" fillId="0" borderId="0" xfId="1" applyNumberFormat="1" applyFont="1" applyProtection="1">
      <protection hidden="1"/>
    </xf>
    <xf numFmtId="0" fontId="40" fillId="0" borderId="0" xfId="0" applyFont="1" applyAlignment="1" applyProtection="1">
      <alignment horizontal="right"/>
      <protection hidden="1"/>
    </xf>
    <xf numFmtId="187" fontId="40" fillId="0" borderId="0" xfId="0" applyNumberFormat="1" applyFont="1" applyProtection="1">
      <protection hidden="1"/>
    </xf>
    <xf numFmtId="0" fontId="5" fillId="0" borderId="1" xfId="3" applyBorder="1" applyProtection="1">
      <protection hidden="1"/>
    </xf>
    <xf numFmtId="166" fontId="5" fillId="0" borderId="0" xfId="3" applyNumberFormat="1" applyProtection="1">
      <protection hidden="1"/>
    </xf>
    <xf numFmtId="0" fontId="39" fillId="0" borderId="0" xfId="0" applyFont="1" applyProtection="1">
      <protection hidden="1"/>
    </xf>
    <xf numFmtId="0" fontId="40" fillId="0" borderId="0" xfId="0" applyFont="1" applyProtection="1">
      <protection hidden="1"/>
    </xf>
    <xf numFmtId="0" fontId="18" fillId="0" borderId="0" xfId="3" applyFont="1" applyAlignment="1" applyProtection="1">
      <alignment horizontal="left"/>
      <protection hidden="1"/>
    </xf>
    <xf numFmtId="49" fontId="18" fillId="0" borderId="0" xfId="3" applyNumberFormat="1" applyFont="1" applyAlignment="1" applyProtection="1">
      <alignment horizontal="left"/>
      <protection hidden="1"/>
    </xf>
    <xf numFmtId="49" fontId="5" fillId="0" borderId="0" xfId="3" applyNumberFormat="1" applyAlignment="1" applyProtection="1">
      <alignment horizontal="left"/>
      <protection hidden="1"/>
    </xf>
    <xf numFmtId="14" fontId="18" fillId="0" borderId="0" xfId="3" applyNumberFormat="1" applyFont="1" applyAlignment="1" applyProtection="1">
      <alignment horizontal="center"/>
      <protection hidden="1"/>
    </xf>
    <xf numFmtId="0" fontId="18" fillId="2" borderId="0" xfId="3" applyFont="1" applyFill="1" applyAlignment="1" applyProtection="1">
      <alignment horizontal="center"/>
      <protection hidden="1"/>
    </xf>
    <xf numFmtId="173" fontId="18" fillId="0" borderId="0" xfId="2" applyNumberFormat="1" applyFont="1" applyAlignment="1" applyProtection="1">
      <alignment horizontal="center"/>
      <protection hidden="1"/>
    </xf>
    <xf numFmtId="0" fontId="18" fillId="0" borderId="0" xfId="3" applyFont="1" applyAlignment="1" applyProtection="1">
      <alignment horizontal="center"/>
      <protection hidden="1"/>
    </xf>
    <xf numFmtId="14" fontId="0" fillId="12" borderId="0" xfId="0" applyNumberFormat="1" applyFill="1" applyAlignment="1" applyProtection="1">
      <alignment horizontal="center"/>
      <protection hidden="1"/>
    </xf>
    <xf numFmtId="0" fontId="0" fillId="12" borderId="0" xfId="0" applyFill="1" applyProtection="1">
      <protection hidden="1"/>
    </xf>
    <xf numFmtId="2" fontId="0" fillId="12" borderId="0" xfId="0" applyNumberFormat="1" applyFill="1" applyProtection="1">
      <protection hidden="1"/>
    </xf>
    <xf numFmtId="0" fontId="47" fillId="0" borderId="0" xfId="0" applyFont="1" applyAlignment="1" applyProtection="1">
      <alignment horizontal="right" vertical="center"/>
      <protection hidden="1"/>
    </xf>
    <xf numFmtId="0" fontId="0" fillId="14" borderId="0" xfId="0" applyFill="1" applyProtection="1">
      <protection hidden="1"/>
    </xf>
    <xf numFmtId="0" fontId="0" fillId="12" borderId="104" xfId="0" applyFill="1" applyBorder="1" applyProtection="1">
      <protection hidden="1"/>
    </xf>
    <xf numFmtId="0" fontId="0" fillId="12" borderId="105" xfId="0" applyFill="1" applyBorder="1" applyProtection="1">
      <protection hidden="1"/>
    </xf>
    <xf numFmtId="49" fontId="0" fillId="12" borderId="105" xfId="0" applyNumberFormat="1" applyFill="1" applyBorder="1" applyProtection="1">
      <protection hidden="1"/>
    </xf>
    <xf numFmtId="14" fontId="0" fillId="12" borderId="105" xfId="0" applyNumberFormat="1" applyFill="1" applyBorder="1" applyAlignment="1" applyProtection="1">
      <alignment horizontal="left"/>
      <protection hidden="1"/>
    </xf>
    <xf numFmtId="0" fontId="0" fillId="12" borderId="105" xfId="0" applyFill="1" applyBorder="1" applyAlignment="1" applyProtection="1">
      <alignment horizontal="left"/>
      <protection hidden="1"/>
    </xf>
    <xf numFmtId="2" fontId="0" fillId="12" borderId="105" xfId="0" applyNumberFormat="1" applyFill="1" applyBorder="1" applyAlignment="1" applyProtection="1">
      <alignment horizontal="left"/>
      <protection hidden="1"/>
    </xf>
    <xf numFmtId="0" fontId="0" fillId="12" borderId="106" xfId="0" applyFill="1" applyBorder="1" applyAlignment="1" applyProtection="1">
      <alignment horizontal="left"/>
      <protection hidden="1"/>
    </xf>
    <xf numFmtId="169" fontId="22" fillId="0" borderId="0" xfId="3" applyNumberFormat="1" applyFont="1" applyProtection="1">
      <protection hidden="1"/>
    </xf>
    <xf numFmtId="0" fontId="50" fillId="0" borderId="0" xfId="3" applyFont="1" applyProtection="1">
      <protection hidden="1"/>
    </xf>
    <xf numFmtId="0" fontId="5" fillId="0" borderId="95" xfId="3" applyBorder="1" applyProtection="1">
      <protection hidden="1"/>
    </xf>
    <xf numFmtId="0" fontId="5" fillId="0" borderId="95" xfId="3" applyBorder="1" applyAlignment="1" applyProtection="1">
      <alignment horizontal="center"/>
      <protection hidden="1"/>
    </xf>
    <xf numFmtId="168" fontId="5" fillId="0" borderId="95" xfId="3" applyNumberFormat="1" applyBorder="1" applyAlignment="1" applyProtection="1">
      <alignment horizontal="center"/>
      <protection hidden="1"/>
    </xf>
    <xf numFmtId="0" fontId="8" fillId="0" borderId="95" xfId="3" applyFont="1" applyBorder="1" applyAlignment="1" applyProtection="1">
      <alignment horizontal="center"/>
      <protection hidden="1"/>
    </xf>
    <xf numFmtId="170" fontId="5" fillId="0" borderId="95" xfId="3" applyNumberFormat="1" applyBorder="1" applyAlignment="1" applyProtection="1">
      <alignment horizontal="center"/>
      <protection hidden="1"/>
    </xf>
    <xf numFmtId="0" fontId="12" fillId="0" borderId="95" xfId="3" applyFont="1" applyBorder="1" applyAlignment="1" applyProtection="1">
      <alignment horizontal="center"/>
      <protection hidden="1"/>
    </xf>
    <xf numFmtId="169" fontId="12" fillId="0" borderId="95" xfId="3" applyNumberFormat="1" applyFont="1" applyBorder="1" applyAlignment="1" applyProtection="1">
      <alignment horizontal="center"/>
      <protection hidden="1"/>
    </xf>
    <xf numFmtId="177" fontId="5" fillId="0" borderId="95" xfId="3" applyNumberFormat="1" applyBorder="1" applyAlignment="1" applyProtection="1">
      <alignment horizontal="center"/>
      <protection hidden="1"/>
    </xf>
    <xf numFmtId="169" fontId="5" fillId="0" borderId="95" xfId="3" applyNumberFormat="1" applyBorder="1" applyAlignment="1" applyProtection="1">
      <alignment horizontal="center"/>
      <protection hidden="1"/>
    </xf>
    <xf numFmtId="171" fontId="15" fillId="0" borderId="95" xfId="3" applyNumberFormat="1" applyFont="1" applyBorder="1" applyAlignment="1" applyProtection="1">
      <alignment horizontal="center"/>
      <protection hidden="1"/>
    </xf>
    <xf numFmtId="0" fontId="5" fillId="0" borderId="95" xfId="3" applyBorder="1" applyAlignment="1" applyProtection="1">
      <alignment horizontal="center" vertical="center" wrapText="1"/>
      <protection hidden="1"/>
    </xf>
    <xf numFmtId="169" fontId="12" fillId="0" borderId="95" xfId="3" applyNumberFormat="1" applyFont="1" applyBorder="1" applyProtection="1">
      <protection hidden="1"/>
    </xf>
    <xf numFmtId="0" fontId="0" fillId="0" borderId="127" xfId="0" applyBorder="1" applyProtection="1">
      <protection hidden="1"/>
    </xf>
    <xf numFmtId="0" fontId="42" fillId="0" borderId="127" xfId="0" applyFont="1" applyBorder="1" applyProtection="1">
      <protection hidden="1"/>
    </xf>
    <xf numFmtId="0" fontId="17" fillId="0" borderId="127" xfId="0" applyFont="1" applyBorder="1" applyProtection="1">
      <protection hidden="1"/>
    </xf>
    <xf numFmtId="0" fontId="29" fillId="0" borderId="127" xfId="0" applyFont="1" applyBorder="1" applyProtection="1">
      <protection hidden="1"/>
    </xf>
    <xf numFmtId="1" fontId="0" fillId="0" borderId="129" xfId="0" applyNumberFormat="1" applyBorder="1" applyAlignment="1" applyProtection="1">
      <alignment horizontal="center"/>
      <protection hidden="1"/>
    </xf>
    <xf numFmtId="1" fontId="0" fillId="0" borderId="72" xfId="0" applyNumberFormat="1" applyBorder="1" applyAlignment="1" applyProtection="1">
      <alignment horizontal="center"/>
      <protection hidden="1"/>
    </xf>
    <xf numFmtId="1" fontId="0" fillId="0" borderId="76" xfId="0" applyNumberFormat="1" applyBorder="1" applyAlignment="1" applyProtection="1">
      <alignment horizontal="center"/>
      <protection hidden="1"/>
    </xf>
    <xf numFmtId="2" fontId="0" fillId="0" borderId="129" xfId="0" applyNumberFormat="1" applyBorder="1" applyProtection="1">
      <protection hidden="1"/>
    </xf>
    <xf numFmtId="169" fontId="0" fillId="0" borderId="0" xfId="0" applyNumberFormat="1" applyAlignment="1" applyProtection="1">
      <alignment horizontal="left"/>
      <protection hidden="1"/>
    </xf>
    <xf numFmtId="181" fontId="0" fillId="0" borderId="0" xfId="0" applyNumberFormat="1" applyProtection="1">
      <protection hidden="1"/>
    </xf>
    <xf numFmtId="186" fontId="0" fillId="0" borderId="0" xfId="0" applyNumberFormat="1" applyProtection="1">
      <protection hidden="1"/>
    </xf>
    <xf numFmtId="187" fontId="18" fillId="0" borderId="0" xfId="0" applyNumberFormat="1" applyFont="1" applyProtection="1">
      <protection hidden="1"/>
    </xf>
    <xf numFmtId="0" fontId="28" fillId="0" borderId="0" xfId="0" applyFont="1" applyAlignment="1" applyProtection="1">
      <alignment horizontal="center"/>
      <protection hidden="1"/>
    </xf>
    <xf numFmtId="2" fontId="17" fillId="0" borderId="110" xfId="0" applyNumberFormat="1" applyFont="1" applyBorder="1" applyProtection="1">
      <protection hidden="1"/>
    </xf>
    <xf numFmtId="2" fontId="17" fillId="0" borderId="0" xfId="0" applyNumberFormat="1" applyFont="1" applyProtection="1">
      <protection hidden="1"/>
    </xf>
    <xf numFmtId="1" fontId="17" fillId="0" borderId="64" xfId="0" applyNumberFormat="1" applyFont="1" applyBorder="1" applyAlignment="1" applyProtection="1">
      <alignment horizontal="right"/>
      <protection hidden="1"/>
    </xf>
    <xf numFmtId="0" fontId="0" fillId="0" borderId="104" xfId="0" applyBorder="1" applyAlignment="1" applyProtection="1">
      <alignment horizontal="center"/>
      <protection hidden="1"/>
    </xf>
    <xf numFmtId="0" fontId="0" fillId="0" borderId="105" xfId="0" applyBorder="1" applyAlignment="1" applyProtection="1">
      <alignment horizontal="center"/>
      <protection hidden="1"/>
    </xf>
    <xf numFmtId="0" fontId="0" fillId="0" borderId="106" xfId="0" applyBorder="1" applyAlignment="1" applyProtection="1">
      <alignment horizontal="center"/>
      <protection hidden="1"/>
    </xf>
    <xf numFmtId="187" fontId="18" fillId="0" borderId="0" xfId="0" applyNumberFormat="1" applyFont="1" applyAlignment="1" applyProtection="1">
      <alignment horizontal="left"/>
      <protection hidden="1"/>
    </xf>
    <xf numFmtId="0" fontId="58" fillId="0" borderId="0" xfId="0" applyFont="1" applyProtection="1">
      <protection hidden="1"/>
    </xf>
    <xf numFmtId="2" fontId="0" fillId="0" borderId="86" xfId="0" applyNumberFormat="1" applyBorder="1" applyProtection="1">
      <protection hidden="1"/>
    </xf>
    <xf numFmtId="2" fontId="0" fillId="0" borderId="61" xfId="0" applyNumberFormat="1" applyBorder="1" applyProtection="1">
      <protection hidden="1"/>
    </xf>
    <xf numFmtId="0" fontId="0" fillId="0" borderId="112" xfId="0" applyBorder="1" applyAlignment="1" applyProtection="1">
      <alignment horizontal="right"/>
      <protection hidden="1"/>
    </xf>
    <xf numFmtId="0" fontId="0" fillId="0" borderId="114" xfId="0" applyBorder="1" applyProtection="1">
      <protection hidden="1"/>
    </xf>
    <xf numFmtId="177" fontId="5" fillId="0" borderId="0" xfId="3" applyNumberFormat="1" applyProtection="1">
      <protection hidden="1"/>
    </xf>
    <xf numFmtId="171" fontId="51" fillId="0" borderId="0" xfId="1" applyFont="1" applyProtection="1">
      <protection hidden="1"/>
    </xf>
    <xf numFmtId="0" fontId="60" fillId="0" borderId="0" xfId="0" applyFont="1" applyProtection="1">
      <protection hidden="1"/>
    </xf>
    <xf numFmtId="0" fontId="60" fillId="0" borderId="0" xfId="0" applyFont="1" applyAlignment="1" applyProtection="1">
      <alignment horizontal="right"/>
      <protection hidden="1"/>
    </xf>
    <xf numFmtId="0" fontId="60" fillId="0" borderId="0" xfId="0" applyFont="1" applyAlignment="1" applyProtection="1">
      <alignment horizontal="left"/>
      <protection hidden="1"/>
    </xf>
    <xf numFmtId="169" fontId="60" fillId="0" borderId="0" xfId="0" applyNumberFormat="1" applyFont="1" applyAlignment="1" applyProtection="1">
      <alignment horizontal="left"/>
      <protection hidden="1"/>
    </xf>
    <xf numFmtId="0" fontId="60" fillId="0" borderId="29" xfId="0" applyFont="1" applyBorder="1" applyAlignment="1" applyProtection="1">
      <alignment horizontal="right"/>
      <protection hidden="1"/>
    </xf>
    <xf numFmtId="2" fontId="60" fillId="0" borderId="29" xfId="0" applyNumberFormat="1" applyFont="1" applyBorder="1" applyProtection="1">
      <protection hidden="1"/>
    </xf>
    <xf numFmtId="2" fontId="60" fillId="0" borderId="86" xfId="0" applyNumberFormat="1" applyFont="1" applyBorder="1" applyProtection="1">
      <protection hidden="1"/>
    </xf>
    <xf numFmtId="2" fontId="60" fillId="0" borderId="31" xfId="0" applyNumberFormat="1" applyFont="1" applyBorder="1" applyProtection="1">
      <protection hidden="1"/>
    </xf>
    <xf numFmtId="0" fontId="60" fillId="0" borderId="25" xfId="0" applyFont="1" applyBorder="1" applyAlignment="1" applyProtection="1">
      <alignment horizontal="right"/>
      <protection hidden="1"/>
    </xf>
    <xf numFmtId="2" fontId="60" fillId="0" borderId="25" xfId="0" applyNumberFormat="1" applyFont="1" applyBorder="1" applyProtection="1">
      <protection hidden="1"/>
    </xf>
    <xf numFmtId="2" fontId="60" fillId="0" borderId="110" xfId="0" applyNumberFormat="1" applyFont="1" applyBorder="1" applyProtection="1">
      <protection hidden="1"/>
    </xf>
    <xf numFmtId="2" fontId="60" fillId="0" borderId="92" xfId="0" applyNumberFormat="1" applyFont="1" applyBorder="1" applyProtection="1">
      <protection hidden="1"/>
    </xf>
    <xf numFmtId="0" fontId="60" fillId="0" borderId="26" xfId="0" applyFont="1" applyBorder="1" applyAlignment="1" applyProtection="1">
      <alignment horizontal="right"/>
      <protection hidden="1"/>
    </xf>
    <xf numFmtId="2" fontId="60" fillId="0" borderId="26" xfId="0" applyNumberFormat="1" applyFont="1" applyBorder="1" applyProtection="1">
      <protection hidden="1"/>
    </xf>
    <xf numFmtId="2" fontId="60" fillId="0" borderId="61" xfId="0" applyNumberFormat="1" applyFont="1" applyBorder="1" applyProtection="1">
      <protection hidden="1"/>
    </xf>
    <xf numFmtId="2" fontId="60" fillId="0" borderId="28" xfId="0" applyNumberFormat="1" applyFont="1" applyBorder="1" applyProtection="1">
      <protection hidden="1"/>
    </xf>
    <xf numFmtId="189" fontId="61" fillId="0" borderId="0" xfId="0" applyNumberFormat="1" applyFont="1" applyProtection="1">
      <protection hidden="1"/>
    </xf>
    <xf numFmtId="169" fontId="61" fillId="0" borderId="0" xfId="0" applyNumberFormat="1" applyFont="1" applyProtection="1">
      <protection hidden="1"/>
    </xf>
    <xf numFmtId="187" fontId="61" fillId="0" borderId="0" xfId="0" applyNumberFormat="1" applyFont="1" applyProtection="1">
      <protection hidden="1"/>
    </xf>
    <xf numFmtId="0" fontId="0" fillId="0" borderId="65" xfId="0" applyBorder="1" applyAlignment="1" applyProtection="1">
      <alignment horizontal="right"/>
      <protection hidden="1"/>
    </xf>
    <xf numFmtId="0" fontId="0" fillId="0" borderId="67" xfId="0" applyBorder="1" applyProtection="1">
      <protection hidden="1"/>
    </xf>
    <xf numFmtId="0" fontId="0" fillId="0" borderId="64" xfId="4" applyNumberFormat="1" applyFont="1" applyBorder="1" applyProtection="1">
      <protection hidden="1"/>
    </xf>
    <xf numFmtId="0" fontId="62" fillId="0" borderId="0" xfId="0" applyFont="1" applyProtection="1">
      <protection hidden="1"/>
    </xf>
    <xf numFmtId="192" fontId="5" fillId="0" borderId="17" xfId="3" applyNumberFormat="1" applyBorder="1" applyAlignment="1" applyProtection="1">
      <alignment horizontal="right"/>
      <protection hidden="1"/>
    </xf>
    <xf numFmtId="1" fontId="5" fillId="0" borderId="0" xfId="3" applyNumberFormat="1" applyAlignment="1" applyProtection="1">
      <alignment horizontal="right"/>
      <protection hidden="1"/>
    </xf>
    <xf numFmtId="2" fontId="0" fillId="0" borderId="29" xfId="0" applyNumberFormat="1" applyBorder="1" applyProtection="1">
      <protection hidden="1"/>
    </xf>
    <xf numFmtId="2" fontId="0" fillId="0" borderId="25" xfId="0" applyNumberFormat="1" applyBorder="1" applyProtection="1">
      <protection hidden="1"/>
    </xf>
    <xf numFmtId="2" fontId="0" fillId="0" borderId="26" xfId="0" applyNumberFormat="1" applyBorder="1" applyProtection="1">
      <protection hidden="1"/>
    </xf>
    <xf numFmtId="2" fontId="17" fillId="0" borderId="31" xfId="0" applyNumberFormat="1" applyFont="1" applyBorder="1" applyProtection="1">
      <protection hidden="1"/>
    </xf>
    <xf numFmtId="2" fontId="17" fillId="0" borderId="92" xfId="0" applyNumberFormat="1" applyFont="1" applyBorder="1" applyProtection="1">
      <protection hidden="1"/>
    </xf>
    <xf numFmtId="2" fontId="17" fillId="0" borderId="28" xfId="0" applyNumberFormat="1" applyFont="1" applyBorder="1" applyProtection="1">
      <protection hidden="1"/>
    </xf>
    <xf numFmtId="0" fontId="60" fillId="0" borderId="30" xfId="0" applyFont="1" applyBorder="1" applyAlignment="1" applyProtection="1">
      <alignment horizontal="right"/>
      <protection hidden="1"/>
    </xf>
    <xf numFmtId="0" fontId="60" fillId="0" borderId="27" xfId="0" applyFont="1" applyBorder="1" applyAlignment="1" applyProtection="1">
      <alignment horizontal="right"/>
      <protection hidden="1"/>
    </xf>
    <xf numFmtId="2" fontId="0" fillId="0" borderId="110" xfId="0" applyNumberFormat="1" applyBorder="1" applyProtection="1">
      <protection hidden="1"/>
    </xf>
    <xf numFmtId="169" fontId="0" fillId="6" borderId="30" xfId="0" applyNumberFormat="1" applyFill="1" applyBorder="1" applyProtection="1">
      <protection locked="0" hidden="1"/>
    </xf>
    <xf numFmtId="169" fontId="0" fillId="6" borderId="0" xfId="0" applyNumberFormat="1" applyFill="1" applyProtection="1">
      <protection locked="0" hidden="1"/>
    </xf>
    <xf numFmtId="169" fontId="0" fillId="6" borderId="27" xfId="0" applyNumberFormat="1" applyFill="1" applyBorder="1" applyProtection="1">
      <protection locked="0" hidden="1"/>
    </xf>
    <xf numFmtId="169" fontId="0" fillId="0" borderId="110" xfId="0" applyNumberFormat="1" applyBorder="1" applyProtection="1">
      <protection hidden="1"/>
    </xf>
    <xf numFmtId="2" fontId="60" fillId="0" borderId="30" xfId="0" applyNumberFormat="1" applyFont="1" applyBorder="1" applyProtection="1">
      <protection hidden="1"/>
    </xf>
    <xf numFmtId="2" fontId="60" fillId="0" borderId="0" xfId="0" applyNumberFormat="1" applyFont="1" applyProtection="1">
      <protection hidden="1"/>
    </xf>
    <xf numFmtId="2" fontId="60" fillId="0" borderId="27" xfId="0" applyNumberFormat="1" applyFont="1" applyBorder="1" applyProtection="1">
      <protection hidden="1"/>
    </xf>
    <xf numFmtId="169" fontId="60" fillId="0" borderId="86" xfId="0" applyNumberFormat="1" applyFont="1" applyBorder="1" applyProtection="1">
      <protection hidden="1"/>
    </xf>
    <xf numFmtId="169" fontId="60" fillId="0" borderId="110" xfId="0" applyNumberFormat="1" applyFont="1" applyBorder="1" applyProtection="1">
      <protection hidden="1"/>
    </xf>
    <xf numFmtId="169" fontId="60" fillId="0" borderId="61" xfId="0" applyNumberFormat="1" applyFont="1" applyBorder="1" applyProtection="1">
      <protection hidden="1"/>
    </xf>
    <xf numFmtId="169" fontId="0" fillId="0" borderId="0" xfId="0" applyNumberFormat="1" applyProtection="1">
      <protection locked="0" hidden="1"/>
    </xf>
    <xf numFmtId="0" fontId="63" fillId="0" borderId="0" xfId="0" applyFont="1" applyAlignment="1" applyProtection="1">
      <alignment horizontal="right"/>
      <protection hidden="1"/>
    </xf>
    <xf numFmtId="0" fontId="64" fillId="0" borderId="0" xfId="3" applyFont="1" applyProtection="1">
      <protection hidden="1"/>
    </xf>
    <xf numFmtId="0" fontId="50" fillId="0" borderId="0" xfId="3" applyFont="1" applyAlignment="1" applyProtection="1">
      <alignment horizontal="right"/>
      <protection hidden="1"/>
    </xf>
    <xf numFmtId="2" fontId="5" fillId="0" borderId="0" xfId="3" applyNumberFormat="1" applyAlignment="1" applyProtection="1">
      <alignment horizontal="center"/>
      <protection hidden="1"/>
    </xf>
    <xf numFmtId="0" fontId="18" fillId="0" borderId="0" xfId="3" quotePrefix="1" applyFont="1" applyAlignment="1" applyProtection="1">
      <alignment horizontal="right"/>
      <protection hidden="1"/>
    </xf>
    <xf numFmtId="0" fontId="18" fillId="0" borderId="0" xfId="3" quotePrefix="1" applyFont="1" applyAlignment="1" applyProtection="1">
      <alignment horizontal="center"/>
      <protection hidden="1"/>
    </xf>
    <xf numFmtId="0" fontId="18" fillId="0" borderId="0" xfId="3" quotePrefix="1" applyFont="1" applyAlignment="1" applyProtection="1">
      <alignment horizontal="left"/>
      <protection hidden="1"/>
    </xf>
    <xf numFmtId="201" fontId="37" fillId="0" borderId="0" xfId="0" applyNumberFormat="1" applyFont="1" applyProtection="1">
      <protection hidden="1"/>
    </xf>
    <xf numFmtId="201" fontId="0" fillId="0" borderId="30" xfId="0" applyNumberFormat="1" applyBorder="1" applyProtection="1">
      <protection hidden="1"/>
    </xf>
    <xf numFmtId="202" fontId="0" fillId="0" borderId="17" xfId="0" applyNumberFormat="1" applyBorder="1" applyProtection="1">
      <protection hidden="1"/>
    </xf>
    <xf numFmtId="203" fontId="0" fillId="0" borderId="17" xfId="0" applyNumberFormat="1" applyBorder="1" applyProtection="1">
      <protection hidden="1"/>
    </xf>
    <xf numFmtId="44" fontId="0" fillId="6" borderId="17" xfId="0" applyNumberFormat="1" applyFill="1" applyBorder="1" applyProtection="1">
      <protection locked="0" hidden="1"/>
    </xf>
    <xf numFmtId="181" fontId="0" fillId="0" borderId="116" xfId="0" applyNumberFormat="1" applyBorder="1" applyProtection="1">
      <protection hidden="1"/>
    </xf>
    <xf numFmtId="181" fontId="18" fillId="0" borderId="0" xfId="0" applyNumberFormat="1" applyFont="1" applyProtection="1">
      <protection hidden="1"/>
    </xf>
    <xf numFmtId="181" fontId="52" fillId="0" borderId="17" xfId="1" applyNumberFormat="1" applyFont="1" applyBorder="1" applyProtection="1">
      <protection hidden="1"/>
    </xf>
    <xf numFmtId="181" fontId="52" fillId="0" borderId="64" xfId="1" applyNumberFormat="1" applyFont="1" applyBorder="1" applyAlignment="1" applyProtection="1">
      <alignment horizontal="right"/>
      <protection hidden="1"/>
    </xf>
    <xf numFmtId="181" fontId="0" fillId="0" borderId="17" xfId="0" applyNumberFormat="1" applyBorder="1" applyProtection="1">
      <protection hidden="1"/>
    </xf>
    <xf numFmtId="181" fontId="52" fillId="0" borderId="64" xfId="0" applyNumberFormat="1" applyFont="1" applyBorder="1" applyProtection="1">
      <protection hidden="1"/>
    </xf>
    <xf numFmtId="181" fontId="0" fillId="0" borderId="17" xfId="1" applyNumberFormat="1" applyFont="1" applyBorder="1" applyProtection="1">
      <protection hidden="1"/>
    </xf>
    <xf numFmtId="181" fontId="52" fillId="0" borderId="104" xfId="1" applyNumberFormat="1" applyFont="1" applyBorder="1" applyProtection="1">
      <protection hidden="1"/>
    </xf>
    <xf numFmtId="177" fontId="18" fillId="0" borderId="95" xfId="3" quotePrefix="1" applyNumberFormat="1" applyFont="1" applyBorder="1" applyAlignment="1" applyProtection="1">
      <alignment horizontal="center" vertical="center"/>
      <protection hidden="1"/>
    </xf>
    <xf numFmtId="0" fontId="18" fillId="0" borderId="0" xfId="3" quotePrefix="1" applyFont="1" applyAlignment="1" applyProtection="1">
      <alignment horizontal="center" vertical="center"/>
      <protection hidden="1"/>
    </xf>
    <xf numFmtId="177" fontId="12" fillId="0" borderId="0" xfId="3" applyNumberFormat="1" applyFont="1" applyAlignment="1" applyProtection="1">
      <alignment horizontal="center"/>
      <protection hidden="1"/>
    </xf>
    <xf numFmtId="0" fontId="65" fillId="0" borderId="0" xfId="3" applyFont="1" applyAlignment="1" applyProtection="1">
      <alignment horizontal="right"/>
      <protection hidden="1"/>
    </xf>
    <xf numFmtId="44" fontId="18" fillId="5" borderId="0" xfId="0" applyNumberFormat="1" applyFont="1" applyFill="1" applyProtection="1">
      <protection hidden="1"/>
    </xf>
    <xf numFmtId="0" fontId="0" fillId="4" borderId="0" xfId="0" applyFill="1" applyProtection="1">
      <protection hidden="1"/>
    </xf>
    <xf numFmtId="0" fontId="0" fillId="4" borderId="0" xfId="0" applyFill="1" applyAlignment="1" applyProtection="1">
      <alignment horizontal="right"/>
      <protection hidden="1"/>
    </xf>
    <xf numFmtId="44" fontId="18" fillId="4" borderId="0" xfId="0" applyNumberFormat="1" applyFont="1" applyFill="1" applyProtection="1">
      <protection hidden="1"/>
    </xf>
    <xf numFmtId="169" fontId="29" fillId="0" borderId="0" xfId="0" applyNumberFormat="1" applyFont="1" applyProtection="1">
      <protection hidden="1"/>
    </xf>
    <xf numFmtId="200" fontId="18" fillId="0" borderId="0" xfId="0" applyNumberFormat="1" applyFont="1" applyAlignment="1" applyProtection="1">
      <alignment horizontal="right"/>
      <protection hidden="1"/>
    </xf>
    <xf numFmtId="200" fontId="0" fillId="0" borderId="0" xfId="0" applyNumberFormat="1" applyProtection="1">
      <protection hidden="1"/>
    </xf>
    <xf numFmtId="20" fontId="0" fillId="0" borderId="0" xfId="0" applyNumberFormat="1" applyProtection="1">
      <protection hidden="1"/>
    </xf>
    <xf numFmtId="0" fontId="52" fillId="0" borderId="17" xfId="0" applyFont="1" applyBorder="1" applyAlignment="1" applyProtection="1">
      <alignment horizontal="center" vertical="center" wrapText="1"/>
      <protection hidden="1"/>
    </xf>
    <xf numFmtId="0" fontId="52" fillId="0" borderId="0" xfId="0" applyFont="1" applyAlignment="1" applyProtection="1">
      <alignment horizontal="center" vertical="center" wrapText="1"/>
      <protection hidden="1"/>
    </xf>
    <xf numFmtId="20" fontId="0" fillId="0" borderId="133" xfId="0" applyNumberFormat="1" applyBorder="1" applyAlignment="1" applyProtection="1">
      <alignment horizontal="center"/>
      <protection hidden="1"/>
    </xf>
    <xf numFmtId="0" fontId="66" fillId="0" borderId="0" xfId="0" applyFont="1" applyProtection="1">
      <protection hidden="1"/>
    </xf>
    <xf numFmtId="0" fontId="0" fillId="0" borderId="118" xfId="0" applyBorder="1" applyProtection="1">
      <protection hidden="1"/>
    </xf>
    <xf numFmtId="0" fontId="0" fillId="19" borderId="0" xfId="0" applyFill="1" applyProtection="1">
      <protection hidden="1"/>
    </xf>
    <xf numFmtId="0" fontId="0" fillId="18" borderId="0" xfId="0" applyFill="1" applyProtection="1">
      <protection hidden="1"/>
    </xf>
    <xf numFmtId="0" fontId="18" fillId="18" borderId="0" xfId="0" applyFont="1" applyFill="1" applyProtection="1">
      <protection hidden="1"/>
    </xf>
    <xf numFmtId="0" fontId="18" fillId="19" borderId="0" xfId="0" applyFont="1" applyFill="1" applyProtection="1">
      <protection hidden="1"/>
    </xf>
    <xf numFmtId="202" fontId="18" fillId="0" borderId="0" xfId="0" applyNumberFormat="1" applyFont="1" applyProtection="1">
      <protection hidden="1"/>
    </xf>
    <xf numFmtId="0" fontId="0" fillId="0" borderId="0" xfId="0" applyAlignment="1" applyProtection="1">
      <alignment horizontal="left" vertical="top" wrapText="1"/>
      <protection locked="0"/>
    </xf>
    <xf numFmtId="2" fontId="18" fillId="0" borderId="132" xfId="0" applyNumberFormat="1" applyFont="1" applyBorder="1" applyProtection="1">
      <protection hidden="1"/>
    </xf>
    <xf numFmtId="2" fontId="18" fillId="0" borderId="133" xfId="0" applyNumberFormat="1" applyFont="1" applyBorder="1" applyProtection="1">
      <protection hidden="1"/>
    </xf>
    <xf numFmtId="2" fontId="18" fillId="0" borderId="17" xfId="0" applyNumberFormat="1" applyFont="1" applyBorder="1" applyProtection="1">
      <protection hidden="1"/>
    </xf>
    <xf numFmtId="0" fontId="18" fillId="0" borderId="0" xfId="0" applyFont="1"/>
    <xf numFmtId="0" fontId="68" fillId="0" borderId="0" xfId="3" applyFont="1" applyProtection="1">
      <protection hidden="1"/>
    </xf>
    <xf numFmtId="0" fontId="69" fillId="0" borderId="0" xfId="3" applyFont="1" applyProtection="1">
      <protection hidden="1"/>
    </xf>
    <xf numFmtId="165" fontId="5" fillId="0" borderId="0" xfId="2"/>
    <xf numFmtId="0" fontId="42" fillId="0" borderId="0" xfId="0" applyFont="1" applyAlignment="1" applyProtection="1">
      <alignment horizontal="right"/>
      <protection hidden="1"/>
    </xf>
    <xf numFmtId="44" fontId="0" fillId="12" borderId="0" xfId="0" applyNumberFormat="1" applyFill="1" applyProtection="1">
      <protection hidden="1"/>
    </xf>
    <xf numFmtId="0" fontId="18" fillId="0" borderId="0" xfId="0" applyFont="1" applyAlignment="1" applyProtection="1">
      <alignment horizontal="center" vertical="center" wrapText="1"/>
      <protection hidden="1"/>
    </xf>
    <xf numFmtId="198" fontId="0" fillId="0" borderId="0" xfId="0" applyNumberFormat="1" applyProtection="1">
      <protection hidden="1"/>
    </xf>
    <xf numFmtId="0" fontId="18" fillId="0" borderId="64" xfId="0" applyFont="1" applyBorder="1" applyAlignment="1" applyProtection="1">
      <alignment horizontal="center" vertical="center" wrapText="1"/>
      <protection hidden="1"/>
    </xf>
    <xf numFmtId="0" fontId="18" fillId="20" borderId="64" xfId="0" applyFont="1" applyFill="1" applyBorder="1" applyAlignment="1" applyProtection="1">
      <alignment horizontal="center" vertical="center" wrapText="1"/>
      <protection hidden="1"/>
    </xf>
    <xf numFmtId="0" fontId="18" fillId="21" borderId="64" xfId="0" applyFont="1" applyFill="1" applyBorder="1" applyAlignment="1" applyProtection="1">
      <alignment horizontal="center" vertical="center" wrapText="1"/>
      <protection hidden="1"/>
    </xf>
    <xf numFmtId="0" fontId="18" fillId="9" borderId="64" xfId="0" applyFont="1" applyFill="1" applyBorder="1" applyAlignment="1" applyProtection="1">
      <alignment horizontal="center" vertical="center" wrapText="1"/>
      <protection hidden="1"/>
    </xf>
    <xf numFmtId="8" fontId="18" fillId="0" borderId="0" xfId="0" applyNumberFormat="1" applyFont="1" applyProtection="1">
      <protection hidden="1"/>
    </xf>
    <xf numFmtId="0" fontId="41" fillId="0" borderId="0" xfId="0" applyFont="1" applyAlignment="1" applyProtection="1">
      <alignment horizontal="right"/>
      <protection hidden="1"/>
    </xf>
    <xf numFmtId="182" fontId="18" fillId="0" borderId="105" xfId="0" applyNumberFormat="1" applyFont="1" applyBorder="1" applyAlignment="1" applyProtection="1">
      <alignment horizontal="center"/>
      <protection hidden="1"/>
    </xf>
    <xf numFmtId="181" fontId="18" fillId="0" borderId="105" xfId="0" applyNumberFormat="1" applyFont="1" applyBorder="1" applyAlignment="1" applyProtection="1">
      <alignment horizontal="right"/>
      <protection hidden="1"/>
    </xf>
    <xf numFmtId="199" fontId="0" fillId="0" borderId="29" xfId="0" applyNumberFormat="1" applyBorder="1" applyAlignment="1" applyProtection="1">
      <alignment horizontal="right"/>
      <protection hidden="1"/>
    </xf>
    <xf numFmtId="199" fontId="0" fillId="0" borderId="25" xfId="0" applyNumberFormat="1" applyBorder="1" applyAlignment="1" applyProtection="1">
      <alignment horizontal="right"/>
      <protection hidden="1"/>
    </xf>
    <xf numFmtId="199" fontId="0" fillId="0" borderId="26" xfId="0" applyNumberFormat="1" applyBorder="1" applyAlignment="1" applyProtection="1">
      <alignment horizontal="right"/>
      <protection hidden="1"/>
    </xf>
    <xf numFmtId="181" fontId="0" fillId="0" borderId="86" xfId="0" applyNumberFormat="1" applyBorder="1" applyProtection="1">
      <protection hidden="1"/>
    </xf>
    <xf numFmtId="181" fontId="0" fillId="0" borderId="110" xfId="0" applyNumberFormat="1" applyBorder="1" applyProtection="1">
      <protection hidden="1"/>
    </xf>
    <xf numFmtId="181" fontId="0" fillId="0" borderId="61" xfId="0" applyNumberFormat="1" applyBorder="1" applyProtection="1">
      <protection hidden="1"/>
    </xf>
    <xf numFmtId="0" fontId="70" fillId="0" borderId="0" xfId="0" applyFont="1" applyProtection="1">
      <protection hidden="1"/>
    </xf>
    <xf numFmtId="0" fontId="70" fillId="0" borderId="0" xfId="0" applyFont="1" applyAlignment="1" applyProtection="1">
      <alignment horizontal="right"/>
      <protection hidden="1"/>
    </xf>
    <xf numFmtId="0" fontId="70" fillId="0" borderId="0" xfId="0" applyFont="1" applyAlignment="1" applyProtection="1">
      <alignment horizontal="center"/>
      <protection hidden="1"/>
    </xf>
    <xf numFmtId="197" fontId="5" fillId="3" borderId="0" xfId="3" applyNumberFormat="1" applyFill="1" applyAlignment="1" applyProtection="1">
      <alignment horizontal="center"/>
      <protection hidden="1"/>
    </xf>
    <xf numFmtId="0" fontId="22" fillId="0" borderId="114" xfId="3" applyFont="1" applyBorder="1" applyProtection="1">
      <protection hidden="1"/>
    </xf>
    <xf numFmtId="0" fontId="22" fillId="0" borderId="117" xfId="3" applyFont="1" applyBorder="1" applyProtection="1">
      <protection hidden="1"/>
    </xf>
    <xf numFmtId="8" fontId="0" fillId="12" borderId="0" xfId="0" applyNumberFormat="1" applyFill="1" applyProtection="1">
      <protection hidden="1"/>
    </xf>
    <xf numFmtId="0" fontId="71" fillId="0" borderId="0" xfId="0" applyFont="1" applyAlignment="1" applyProtection="1">
      <alignment horizontal="right"/>
      <protection hidden="1"/>
    </xf>
    <xf numFmtId="0" fontId="18" fillId="0" borderId="17" xfId="0" applyFont="1" applyBorder="1" applyAlignment="1" applyProtection="1">
      <alignment horizontal="center" vertical="center" wrapText="1"/>
      <protection hidden="1"/>
    </xf>
    <xf numFmtId="14" fontId="0" fillId="0" borderId="0" xfId="0" applyNumberFormat="1" applyProtection="1">
      <protection locked="0"/>
    </xf>
    <xf numFmtId="14" fontId="18" fillId="0" borderId="0" xfId="0" applyNumberFormat="1" applyFont="1" applyAlignment="1" applyProtection="1">
      <alignment horizontal="center"/>
      <protection hidden="1"/>
    </xf>
    <xf numFmtId="181" fontId="0" fillId="0" borderId="25" xfId="0" applyNumberFormat="1" applyBorder="1" applyAlignment="1" applyProtection="1">
      <alignment horizontal="right"/>
      <protection hidden="1"/>
    </xf>
    <xf numFmtId="44" fontId="0" fillId="12" borderId="0" xfId="0" applyNumberFormat="1" applyFill="1" applyAlignment="1" applyProtection="1">
      <alignment horizontal="right"/>
      <protection hidden="1"/>
    </xf>
    <xf numFmtId="0" fontId="0" fillId="0" borderId="64" xfId="0" applyBorder="1" applyAlignment="1" applyProtection="1">
      <alignment horizontal="center"/>
      <protection hidden="1"/>
    </xf>
    <xf numFmtId="169" fontId="0" fillId="12" borderId="0" xfId="0" applyNumberFormat="1" applyFill="1" applyProtection="1">
      <protection hidden="1"/>
    </xf>
    <xf numFmtId="44" fontId="0" fillId="0" borderId="104" xfId="0" applyNumberFormat="1" applyBorder="1" applyProtection="1">
      <protection hidden="1"/>
    </xf>
    <xf numFmtId="0" fontId="0" fillId="0" borderId="104" xfId="0" applyBorder="1"/>
    <xf numFmtId="0" fontId="0" fillId="0" borderId="106" xfId="0" applyBorder="1" applyAlignment="1">
      <alignment horizontal="right"/>
    </xf>
    <xf numFmtId="14" fontId="0" fillId="0" borderId="61" xfId="0" applyNumberFormat="1" applyBorder="1" applyProtection="1">
      <protection hidden="1"/>
    </xf>
    <xf numFmtId="0" fontId="29" fillId="0" borderId="0" xfId="0" applyFont="1"/>
    <xf numFmtId="0" fontId="0" fillId="0" borderId="0" xfId="0" applyAlignment="1" applyProtection="1">
      <alignment horizontal="center" vertical="center"/>
      <protection hidden="1"/>
    </xf>
    <xf numFmtId="0" fontId="18" fillId="0" borderId="0" xfId="0" applyFont="1" applyAlignment="1" applyProtection="1">
      <alignment horizontal="left"/>
      <protection locked="0"/>
    </xf>
    <xf numFmtId="169" fontId="12" fillId="17" borderId="86" xfId="3" applyNumberFormat="1" applyFont="1" applyFill="1" applyBorder="1" applyAlignment="1" applyProtection="1">
      <alignment horizontal="center"/>
      <protection locked="0"/>
    </xf>
    <xf numFmtId="169" fontId="12" fillId="17" borderId="61" xfId="3" applyNumberFormat="1" applyFont="1" applyFill="1" applyBorder="1" applyAlignment="1" applyProtection="1">
      <alignment horizontal="center"/>
      <protection locked="0"/>
    </xf>
    <xf numFmtId="0" fontId="72" fillId="0" borderId="0" xfId="0" applyFont="1" applyAlignment="1" applyProtection="1">
      <alignment horizontal="center"/>
      <protection hidden="1"/>
    </xf>
    <xf numFmtId="0" fontId="72" fillId="0" borderId="0" xfId="0" applyFont="1" applyAlignment="1" applyProtection="1">
      <alignment horizontal="center" vertical="center" wrapText="1"/>
      <protection hidden="1"/>
    </xf>
    <xf numFmtId="0" fontId="72" fillId="0" borderId="0" xfId="0" applyFont="1" applyProtection="1">
      <protection hidden="1"/>
    </xf>
    <xf numFmtId="0" fontId="52" fillId="0" borderId="18" xfId="0" applyFont="1" applyBorder="1" applyAlignment="1" applyProtection="1">
      <alignment horizontal="center" vertical="center" wrapText="1"/>
      <protection hidden="1"/>
    </xf>
    <xf numFmtId="0" fontId="52" fillId="0" borderId="20" xfId="0" applyFont="1" applyBorder="1" applyAlignment="1" applyProtection="1">
      <alignment horizontal="center" vertical="center" wrapText="1"/>
      <protection hidden="1"/>
    </xf>
    <xf numFmtId="169" fontId="18" fillId="0" borderId="86" xfId="0" applyNumberFormat="1" applyFont="1" applyBorder="1" applyAlignment="1" applyProtection="1">
      <alignment horizontal="center"/>
      <protection hidden="1"/>
    </xf>
    <xf numFmtId="2" fontId="72" fillId="0" borderId="0" xfId="0" applyNumberFormat="1" applyFont="1" applyAlignment="1" applyProtection="1">
      <alignment horizontal="center"/>
      <protection hidden="1"/>
    </xf>
    <xf numFmtId="169" fontId="18" fillId="0" borderId="61" xfId="0" applyNumberFormat="1" applyFont="1" applyBorder="1" applyAlignment="1" applyProtection="1">
      <alignment horizontal="center"/>
      <protection hidden="1"/>
    </xf>
    <xf numFmtId="169" fontId="18" fillId="0" borderId="17" xfId="0" applyNumberFormat="1" applyFont="1" applyBorder="1" applyProtection="1">
      <protection hidden="1"/>
    </xf>
    <xf numFmtId="169" fontId="18" fillId="0" borderId="20" xfId="0" applyNumberFormat="1" applyFont="1" applyBorder="1" applyProtection="1">
      <protection hidden="1"/>
    </xf>
    <xf numFmtId="0" fontId="12" fillId="0" borderId="0" xfId="3" applyFont="1" applyAlignment="1" applyProtection="1">
      <alignment vertical="center"/>
      <protection hidden="1"/>
    </xf>
    <xf numFmtId="0" fontId="5" fillId="0" borderId="95" xfId="3" applyBorder="1" applyAlignment="1" applyProtection="1">
      <alignment horizontal="right"/>
      <protection hidden="1"/>
    </xf>
    <xf numFmtId="169" fontId="12" fillId="0" borderId="16" xfId="3" applyNumberFormat="1" applyFont="1" applyBorder="1" applyAlignment="1" applyProtection="1">
      <alignment horizontal="center"/>
      <protection hidden="1"/>
    </xf>
    <xf numFmtId="169" fontId="0" fillId="17" borderId="61" xfId="3" applyNumberFormat="1" applyFont="1" applyFill="1" applyBorder="1" applyAlignment="1" applyProtection="1">
      <alignment horizontal="center"/>
      <protection locked="0"/>
    </xf>
    <xf numFmtId="0" fontId="12" fillId="0" borderId="0" xfId="3" applyFont="1" applyAlignment="1" applyProtection="1">
      <alignment horizontal="center"/>
      <protection locked="0" hidden="1"/>
    </xf>
    <xf numFmtId="171" fontId="12" fillId="0" borderId="0" xfId="1" applyFont="1" applyProtection="1">
      <protection locked="0"/>
    </xf>
    <xf numFmtId="0" fontId="18" fillId="0" borderId="0" xfId="0" applyFont="1" applyAlignment="1" applyProtection="1">
      <alignment horizontal="center"/>
      <protection locked="0"/>
    </xf>
    <xf numFmtId="44" fontId="0" fillId="0" borderId="0" xfId="0" applyNumberFormat="1" applyAlignment="1" applyProtection="1">
      <alignment horizontal="right"/>
      <protection locked="0"/>
    </xf>
    <xf numFmtId="181" fontId="5" fillId="0" borderId="0" xfId="3" applyNumberFormat="1" applyAlignment="1" applyProtection="1">
      <alignment horizontal="center"/>
      <protection locked="0"/>
    </xf>
    <xf numFmtId="172" fontId="0" fillId="0" borderId="0" xfId="0" applyNumberFormat="1" applyProtection="1">
      <protection hidden="1"/>
    </xf>
    <xf numFmtId="0" fontId="41" fillId="0" borderId="0" xfId="0" applyFont="1" applyAlignment="1" applyProtection="1">
      <alignment horizontal="center"/>
      <protection hidden="1"/>
    </xf>
    <xf numFmtId="0" fontId="41" fillId="0" borderId="0" xfId="0" applyFont="1" applyAlignment="1" applyProtection="1">
      <alignment horizontal="center" vertical="center" wrapText="1"/>
      <protection hidden="1"/>
    </xf>
    <xf numFmtId="172" fontId="62" fillId="0" borderId="0" xfId="0" applyNumberFormat="1" applyFont="1" applyProtection="1">
      <protection hidden="1"/>
    </xf>
    <xf numFmtId="0" fontId="0" fillId="0" borderId="17" xfId="0" applyBorder="1"/>
    <xf numFmtId="2" fontId="0" fillId="0" borderId="0" xfId="0" applyNumberFormat="1" applyAlignment="1" applyProtection="1">
      <alignment horizontal="right"/>
      <protection hidden="1"/>
    </xf>
    <xf numFmtId="0" fontId="18" fillId="24" borderId="0" xfId="0" applyFont="1" applyFill="1" applyAlignment="1" applyProtection="1">
      <alignment horizontal="left"/>
      <protection hidden="1"/>
    </xf>
    <xf numFmtId="0" fontId="18" fillId="24" borderId="0" xfId="0" applyFont="1" applyFill="1" applyAlignment="1" applyProtection="1">
      <alignment horizontal="center"/>
      <protection hidden="1"/>
    </xf>
    <xf numFmtId="0" fontId="41" fillId="24" borderId="0" xfId="0" applyFont="1" applyFill="1" applyAlignment="1" applyProtection="1">
      <alignment horizontal="center"/>
      <protection hidden="1"/>
    </xf>
    <xf numFmtId="172" fontId="0" fillId="6" borderId="110" xfId="0" applyNumberFormat="1" applyFill="1" applyBorder="1" applyAlignment="1" applyProtection="1">
      <alignment horizontal="center"/>
      <protection locked="0"/>
    </xf>
    <xf numFmtId="172" fontId="0" fillId="6" borderId="61" xfId="0" applyNumberFormat="1" applyFill="1" applyBorder="1" applyAlignment="1" applyProtection="1">
      <alignment horizontal="center"/>
      <protection locked="0"/>
    </xf>
    <xf numFmtId="0" fontId="0" fillId="0" borderId="61" xfId="0" applyBorder="1" applyAlignment="1" applyProtection="1">
      <alignment horizontal="center"/>
      <protection hidden="1"/>
    </xf>
    <xf numFmtId="2" fontId="0" fillId="0" borderId="110" xfId="0" applyNumberFormat="1" applyBorder="1" applyAlignment="1" applyProtection="1">
      <alignment horizontal="right"/>
      <protection hidden="1"/>
    </xf>
    <xf numFmtId="2" fontId="0" fillId="0" borderId="61" xfId="0" applyNumberFormat="1" applyBorder="1" applyAlignment="1" applyProtection="1">
      <alignment horizontal="right"/>
      <protection hidden="1"/>
    </xf>
    <xf numFmtId="0" fontId="45" fillId="0" borderId="0" xfId="0" applyFont="1" applyAlignment="1" applyProtection="1">
      <alignment horizontal="center"/>
      <protection hidden="1"/>
    </xf>
    <xf numFmtId="0" fontId="75" fillId="0" borderId="0" xfId="0" applyFont="1" applyAlignment="1" applyProtection="1">
      <alignment horizontal="center"/>
      <protection hidden="1"/>
    </xf>
    <xf numFmtId="0" fontId="75" fillId="0" borderId="0" xfId="0" applyFont="1" applyAlignment="1" applyProtection="1">
      <alignment horizontal="right"/>
      <protection hidden="1"/>
    </xf>
    <xf numFmtId="2" fontId="0" fillId="0" borderId="86" xfId="0" applyNumberFormat="1" applyBorder="1" applyAlignment="1" applyProtection="1">
      <alignment horizontal="right"/>
      <protection hidden="1"/>
    </xf>
    <xf numFmtId="0" fontId="52" fillId="0" borderId="29" xfId="0" applyFont="1" applyBorder="1" applyAlignment="1" applyProtection="1">
      <alignment horizontal="center" vertical="center" wrapText="1"/>
      <protection hidden="1"/>
    </xf>
    <xf numFmtId="0" fontId="52" fillId="0" borderId="86" xfId="0" applyFont="1" applyBorder="1" applyAlignment="1" applyProtection="1">
      <alignment horizontal="center" vertical="center" wrapText="1"/>
      <protection hidden="1"/>
    </xf>
    <xf numFmtId="172" fontId="0" fillId="6" borderId="86" xfId="0" applyNumberFormat="1" applyFill="1" applyBorder="1" applyAlignment="1" applyProtection="1">
      <alignment horizontal="center"/>
      <protection locked="0"/>
    </xf>
    <xf numFmtId="2" fontId="0" fillId="0" borderId="30" xfId="0" applyNumberFormat="1" applyBorder="1" applyAlignment="1" applyProtection="1">
      <alignment horizontal="right"/>
      <protection hidden="1"/>
    </xf>
    <xf numFmtId="0" fontId="0" fillId="0" borderId="86" xfId="0" applyBorder="1" applyAlignment="1" applyProtection="1">
      <alignment horizontal="center"/>
      <protection hidden="1"/>
    </xf>
    <xf numFmtId="2" fontId="0" fillId="0" borderId="27" xfId="0" applyNumberFormat="1" applyBorder="1" applyAlignment="1" applyProtection="1">
      <alignment horizontal="right"/>
      <protection hidden="1"/>
    </xf>
    <xf numFmtId="0" fontId="76" fillId="0" borderId="0" xfId="0" applyFont="1" applyProtection="1">
      <protection hidden="1"/>
    </xf>
    <xf numFmtId="169" fontId="18" fillId="0" borderId="26" xfId="0" applyNumberFormat="1" applyFont="1" applyBorder="1" applyProtection="1">
      <protection hidden="1"/>
    </xf>
    <xf numFmtId="2" fontId="18" fillId="0" borderId="17" xfId="0" applyNumberFormat="1" applyFont="1" applyBorder="1" applyAlignment="1" applyProtection="1">
      <alignment horizontal="right"/>
      <protection hidden="1"/>
    </xf>
    <xf numFmtId="0" fontId="0" fillId="0" borderId="27" xfId="0" applyBorder="1" applyProtection="1">
      <protection hidden="1"/>
    </xf>
    <xf numFmtId="0" fontId="77" fillId="0" borderId="26" xfId="0" applyFont="1" applyBorder="1" applyAlignment="1" applyProtection="1">
      <alignment horizontal="center"/>
      <protection hidden="1"/>
    </xf>
    <xf numFmtId="171" fontId="13" fillId="0" borderId="0" xfId="2" applyNumberFormat="1" applyFont="1" applyProtection="1">
      <protection locked="0" hidden="1"/>
    </xf>
    <xf numFmtId="174" fontId="13" fillId="0" borderId="0" xfId="3" applyNumberFormat="1" applyFont="1" applyProtection="1">
      <protection locked="0" hidden="1"/>
    </xf>
    <xf numFmtId="171" fontId="13" fillId="0" borderId="0" xfId="2" applyNumberFormat="1" applyFont="1" applyAlignment="1" applyProtection="1">
      <alignment horizontal="right"/>
      <protection locked="0" hidden="1"/>
    </xf>
    <xf numFmtId="169" fontId="12" fillId="0" borderId="25" xfId="3" applyNumberFormat="1" applyFont="1" applyBorder="1" applyAlignment="1" applyProtection="1">
      <alignment horizontal="center"/>
      <protection locked="0"/>
    </xf>
    <xf numFmtId="0" fontId="12" fillId="0" borderId="93" xfId="3" applyFont="1" applyBorder="1" applyAlignment="1" applyProtection="1">
      <alignment horizontal="center" vertical="center"/>
      <protection hidden="1"/>
    </xf>
    <xf numFmtId="169" fontId="12" fillId="0" borderId="86" xfId="3" applyNumberFormat="1" applyFont="1" applyBorder="1" applyAlignment="1" applyProtection="1">
      <alignment horizontal="center"/>
      <protection hidden="1"/>
    </xf>
    <xf numFmtId="169" fontId="12" fillId="0" borderId="61" xfId="3" applyNumberFormat="1" applyFont="1" applyBorder="1" applyAlignment="1" applyProtection="1">
      <alignment horizontal="center"/>
      <protection hidden="1"/>
    </xf>
    <xf numFmtId="2" fontId="18" fillId="0" borderId="61" xfId="0" applyNumberFormat="1" applyFont="1" applyBorder="1" applyAlignment="1" applyProtection="1">
      <alignment horizontal="right"/>
      <protection hidden="1"/>
    </xf>
    <xf numFmtId="169" fontId="12" fillId="0" borderId="93" xfId="3" applyNumberFormat="1" applyFont="1" applyBorder="1" applyAlignment="1" applyProtection="1">
      <alignment horizontal="center"/>
      <protection hidden="1"/>
    </xf>
    <xf numFmtId="0" fontId="0" fillId="0" borderId="93" xfId="0" applyBorder="1" applyAlignment="1" applyProtection="1">
      <alignment horizontal="center"/>
      <protection hidden="1"/>
    </xf>
    <xf numFmtId="0" fontId="18" fillId="25" borderId="86" xfId="0" applyFont="1" applyFill="1" applyBorder="1" applyAlignment="1" applyProtection="1">
      <alignment horizontal="center" vertical="center" wrapText="1"/>
      <protection hidden="1"/>
    </xf>
    <xf numFmtId="0" fontId="41" fillId="25" borderId="0" xfId="0" applyFont="1" applyFill="1" applyAlignment="1" applyProtection="1">
      <alignment horizontal="center" vertical="center" wrapText="1"/>
      <protection hidden="1"/>
    </xf>
    <xf numFmtId="0" fontId="18" fillId="25" borderId="17" xfId="0" applyFont="1" applyFill="1" applyBorder="1" applyAlignment="1" applyProtection="1">
      <alignment horizontal="center" vertical="center" wrapText="1"/>
      <protection hidden="1"/>
    </xf>
    <xf numFmtId="0" fontId="35" fillId="0" borderId="0" xfId="0" applyFont="1" applyAlignment="1" applyProtection="1">
      <alignment horizontal="center"/>
      <protection hidden="1"/>
    </xf>
    <xf numFmtId="200" fontId="0" fillId="0" borderId="0" xfId="0" applyNumberFormat="1"/>
    <xf numFmtId="171" fontId="5" fillId="12" borderId="0" xfId="1" applyFill="1"/>
    <xf numFmtId="0" fontId="0" fillId="0" borderId="0" xfId="0" applyAlignment="1">
      <alignment horizontal="right"/>
    </xf>
    <xf numFmtId="200" fontId="5" fillId="0" borderId="0" xfId="1" applyNumberFormat="1"/>
    <xf numFmtId="14" fontId="0" fillId="0" borderId="0" xfId="0" applyNumberFormat="1"/>
    <xf numFmtId="14" fontId="0" fillId="0" borderId="104" xfId="0" applyNumberFormat="1" applyBorder="1" applyAlignment="1" applyProtection="1">
      <alignment horizontal="center"/>
      <protection hidden="1"/>
    </xf>
    <xf numFmtId="14" fontId="29" fillId="0" borderId="0" xfId="0" applyNumberFormat="1" applyFont="1"/>
    <xf numFmtId="169" fontId="18" fillId="0" borderId="28" xfId="0" applyNumberFormat="1" applyFont="1" applyBorder="1" applyProtection="1">
      <protection hidden="1"/>
    </xf>
    <xf numFmtId="0" fontId="79" fillId="0" borderId="0" xfId="3" applyFont="1" applyAlignment="1" applyProtection="1">
      <alignment horizontal="right"/>
      <protection hidden="1"/>
    </xf>
    <xf numFmtId="0" fontId="29" fillId="16" borderId="0" xfId="0" applyFont="1" applyFill="1" applyProtection="1">
      <protection hidden="1"/>
    </xf>
    <xf numFmtId="14" fontId="42" fillId="0" borderId="0" xfId="0" applyNumberFormat="1" applyFont="1" applyAlignment="1" applyProtection="1">
      <alignment horizontal="center"/>
      <protection hidden="1"/>
    </xf>
    <xf numFmtId="0" fontId="69" fillId="0" borderId="0" xfId="3" applyFont="1" applyAlignment="1" applyProtection="1">
      <alignment horizontal="left" vertical="center" wrapText="1"/>
      <protection hidden="1"/>
    </xf>
    <xf numFmtId="0" fontId="80" fillId="0" borderId="0" xfId="3" applyFont="1" applyProtection="1">
      <protection hidden="1"/>
    </xf>
    <xf numFmtId="0" fontId="81" fillId="0" borderId="0" xfId="3" applyFont="1" applyProtection="1">
      <protection hidden="1"/>
    </xf>
    <xf numFmtId="0" fontId="82" fillId="0" borderId="0" xfId="3" applyFont="1" applyAlignment="1" applyProtection="1">
      <alignment horizontal="center" vertical="center"/>
      <protection hidden="1"/>
    </xf>
    <xf numFmtId="0" fontId="80" fillId="0" borderId="0" xfId="3" applyFont="1" applyAlignment="1" applyProtection="1">
      <alignment horizontal="left"/>
      <protection hidden="1"/>
    </xf>
    <xf numFmtId="0" fontId="80" fillId="0" borderId="0" xfId="3" applyFont="1" applyAlignment="1" applyProtection="1">
      <alignment horizontal="center"/>
      <protection hidden="1"/>
    </xf>
    <xf numFmtId="169" fontId="80" fillId="0" borderId="0" xfId="3" applyNumberFormat="1" applyFont="1" applyProtection="1">
      <protection hidden="1"/>
    </xf>
    <xf numFmtId="0" fontId="81" fillId="0" borderId="0" xfId="3" applyFont="1" applyAlignment="1" applyProtection="1">
      <alignment horizontal="left" vertical="center" wrapText="1"/>
      <protection hidden="1"/>
    </xf>
    <xf numFmtId="0" fontId="80" fillId="0" borderId="0" xfId="3" applyFont="1" applyAlignment="1" applyProtection="1">
      <alignment horizontal="center" vertical="center" wrapText="1"/>
      <protection hidden="1"/>
    </xf>
    <xf numFmtId="0" fontId="29" fillId="0" borderId="0" xfId="3" applyFont="1" applyProtection="1">
      <protection hidden="1"/>
    </xf>
    <xf numFmtId="171" fontId="5" fillId="0" borderId="0" xfId="1" applyProtection="1">
      <protection locked="0"/>
    </xf>
    <xf numFmtId="176" fontId="5" fillId="0" borderId="0" xfId="3" applyNumberFormat="1" applyProtection="1">
      <protection locked="0"/>
    </xf>
    <xf numFmtId="0" fontId="5" fillId="0" borderId="0" xfId="3" applyAlignment="1" applyProtection="1">
      <alignment vertical="center" wrapText="1"/>
      <protection hidden="1"/>
    </xf>
    <xf numFmtId="0" fontId="22" fillId="16" borderId="0" xfId="3" applyFont="1" applyFill="1" applyProtection="1">
      <protection hidden="1"/>
    </xf>
    <xf numFmtId="0" fontId="22" fillId="16" borderId="0" xfId="3" applyFont="1" applyFill="1" applyAlignment="1" applyProtection="1">
      <alignment horizontal="right"/>
      <protection hidden="1"/>
    </xf>
    <xf numFmtId="0" fontId="22" fillId="26" borderId="0" xfId="3" applyFont="1" applyFill="1" applyProtection="1">
      <protection hidden="1"/>
    </xf>
    <xf numFmtId="0" fontId="22" fillId="16" borderId="0" xfId="3" applyFont="1" applyFill="1" applyProtection="1">
      <protection locked="0"/>
    </xf>
    <xf numFmtId="0" fontId="83" fillId="0" borderId="0" xfId="3" applyFont="1" applyProtection="1">
      <protection hidden="1"/>
    </xf>
    <xf numFmtId="0" fontId="84" fillId="0" borderId="0" xfId="3" applyFont="1" applyProtection="1">
      <protection hidden="1"/>
    </xf>
    <xf numFmtId="0" fontId="84" fillId="0" borderId="2" xfId="3" applyFont="1" applyBorder="1" applyProtection="1">
      <protection hidden="1"/>
    </xf>
    <xf numFmtId="0" fontId="84" fillId="0" borderId="57" xfId="3" applyFont="1" applyBorder="1" applyAlignment="1" applyProtection="1">
      <alignment horizontal="center"/>
      <protection hidden="1"/>
    </xf>
    <xf numFmtId="0" fontId="84" fillId="0" borderId="13" xfId="3" applyFont="1" applyBorder="1" applyProtection="1">
      <protection hidden="1"/>
    </xf>
    <xf numFmtId="0" fontId="84" fillId="0" borderId="14" xfId="3" applyFont="1" applyBorder="1" applyProtection="1">
      <protection hidden="1"/>
    </xf>
    <xf numFmtId="0" fontId="84" fillId="0" borderId="15" xfId="3" applyFont="1" applyBorder="1" applyProtection="1">
      <protection hidden="1"/>
    </xf>
    <xf numFmtId="0" fontId="84" fillId="0" borderId="7" xfId="3" applyFont="1" applyBorder="1" applyProtection="1">
      <protection hidden="1"/>
    </xf>
    <xf numFmtId="0" fontId="84" fillId="0" borderId="12" xfId="3" applyFont="1" applyBorder="1" applyProtection="1">
      <protection hidden="1"/>
    </xf>
    <xf numFmtId="0" fontId="84" fillId="0" borderId="9" xfId="3" applyFont="1" applyBorder="1" applyProtection="1">
      <protection hidden="1"/>
    </xf>
    <xf numFmtId="0" fontId="84" fillId="0" borderId="10" xfId="3" applyFont="1" applyBorder="1" applyAlignment="1" applyProtection="1">
      <alignment vertical="center"/>
      <protection hidden="1"/>
    </xf>
    <xf numFmtId="0" fontId="84" fillId="0" borderId="60" xfId="3" applyFont="1" applyBorder="1" applyAlignment="1" applyProtection="1">
      <alignment vertical="center"/>
      <protection hidden="1"/>
    </xf>
    <xf numFmtId="0" fontId="84" fillId="0" borderId="29" xfId="3" applyFont="1" applyBorder="1" applyProtection="1">
      <protection hidden="1"/>
    </xf>
    <xf numFmtId="0" fontId="84" fillId="0" borderId="30" xfId="3" applyFont="1" applyBorder="1" applyProtection="1">
      <protection hidden="1"/>
    </xf>
    <xf numFmtId="0" fontId="84" fillId="0" borderId="31" xfId="3" applyFont="1" applyBorder="1" applyProtection="1">
      <protection hidden="1"/>
    </xf>
    <xf numFmtId="0" fontId="84" fillId="0" borderId="26" xfId="3" applyFont="1" applyBorder="1" applyProtection="1">
      <protection hidden="1"/>
    </xf>
    <xf numFmtId="0" fontId="84" fillId="0" borderId="27" xfId="3" applyFont="1" applyBorder="1" applyProtection="1">
      <protection hidden="1"/>
    </xf>
    <xf numFmtId="0" fontId="84" fillId="0" borderId="28" xfId="3" applyFont="1" applyBorder="1" applyProtection="1">
      <protection hidden="1"/>
    </xf>
    <xf numFmtId="0" fontId="84" fillId="0" borderId="0" xfId="3" applyFont="1" applyAlignment="1" applyProtection="1">
      <alignment vertical="center"/>
      <protection hidden="1"/>
    </xf>
    <xf numFmtId="0" fontId="86" fillId="0" borderId="0" xfId="3" applyFont="1" applyAlignment="1" applyProtection="1">
      <alignment horizontal="right"/>
      <protection hidden="1"/>
    </xf>
    <xf numFmtId="181" fontId="86" fillId="0" borderId="0" xfId="3" applyNumberFormat="1" applyFont="1" applyAlignment="1" applyProtection="1">
      <alignment horizontal="center"/>
      <protection hidden="1"/>
    </xf>
    <xf numFmtId="0" fontId="84" fillId="0" borderId="0" xfId="3" applyFont="1" applyAlignment="1" applyProtection="1">
      <alignment horizontal="left"/>
      <protection hidden="1"/>
    </xf>
    <xf numFmtId="0" fontId="87" fillId="0" borderId="0" xfId="3" applyFont="1" applyProtection="1">
      <protection hidden="1"/>
    </xf>
    <xf numFmtId="0" fontId="87" fillId="0" borderId="0" xfId="3" applyFont="1" applyAlignment="1" applyProtection="1">
      <alignment horizontal="right"/>
      <protection hidden="1"/>
    </xf>
    <xf numFmtId="175" fontId="87" fillId="0" borderId="0" xfId="3" applyNumberFormat="1" applyFont="1" applyAlignment="1" applyProtection="1">
      <alignment vertical="center"/>
      <protection hidden="1"/>
    </xf>
    <xf numFmtId="0" fontId="87" fillId="0" borderId="0" xfId="3" applyFont="1" applyAlignment="1" applyProtection="1">
      <alignment vertical="center"/>
      <protection hidden="1"/>
    </xf>
    <xf numFmtId="0" fontId="88" fillId="0" borderId="0" xfId="3" applyFont="1" applyProtection="1">
      <protection hidden="1"/>
    </xf>
    <xf numFmtId="175" fontId="88" fillId="0" borderId="0" xfId="3" applyNumberFormat="1" applyFont="1" applyAlignment="1" applyProtection="1">
      <alignment vertical="center"/>
      <protection hidden="1"/>
    </xf>
    <xf numFmtId="0" fontId="90" fillId="0" borderId="0" xfId="3" applyFont="1" applyProtection="1">
      <protection hidden="1"/>
    </xf>
    <xf numFmtId="0" fontId="90" fillId="0" borderId="0" xfId="3" quotePrefix="1" applyFont="1" applyAlignment="1" applyProtection="1">
      <alignment horizontal="right"/>
      <protection hidden="1"/>
    </xf>
    <xf numFmtId="176" fontId="89" fillId="0" borderId="0" xfId="3" applyNumberFormat="1" applyFont="1" applyAlignment="1" applyProtection="1">
      <alignment horizontal="center"/>
      <protection hidden="1"/>
    </xf>
    <xf numFmtId="0" fontId="90" fillId="0" borderId="0" xfId="3" quotePrefix="1" applyFont="1" applyAlignment="1" applyProtection="1">
      <alignment horizontal="center"/>
      <protection hidden="1"/>
    </xf>
    <xf numFmtId="171" fontId="89" fillId="0" borderId="0" xfId="1" applyFont="1" applyAlignment="1" applyProtection="1">
      <alignment horizontal="center"/>
      <protection hidden="1"/>
    </xf>
    <xf numFmtId="0" fontId="90" fillId="0" borderId="0" xfId="3" applyFont="1" applyAlignment="1" applyProtection="1">
      <alignment horizontal="right"/>
      <protection hidden="1"/>
    </xf>
    <xf numFmtId="176" fontId="89" fillId="0" borderId="0" xfId="3" applyNumberFormat="1" applyFont="1" applyAlignment="1" applyProtection="1">
      <alignment horizontal="left"/>
      <protection hidden="1"/>
    </xf>
    <xf numFmtId="0" fontId="5" fillId="12" borderId="0" xfId="1" applyNumberFormat="1" applyFill="1"/>
    <xf numFmtId="0" fontId="91" fillId="0" borderId="0" xfId="3" applyFont="1" applyProtection="1">
      <protection hidden="1"/>
    </xf>
    <xf numFmtId="0" fontId="93" fillId="0" borderId="0" xfId="0" applyFont="1" applyProtection="1">
      <protection hidden="1"/>
    </xf>
    <xf numFmtId="181" fontId="93" fillId="0" borderId="0" xfId="0" applyNumberFormat="1" applyFont="1" applyProtection="1">
      <protection hidden="1"/>
    </xf>
    <xf numFmtId="181" fontId="93" fillId="0" borderId="30" xfId="0" applyNumberFormat="1" applyFont="1" applyBorder="1" applyProtection="1">
      <protection hidden="1"/>
    </xf>
    <xf numFmtId="0" fontId="94" fillId="0" borderId="0" xfId="0" applyFont="1" applyProtection="1">
      <protection hidden="1"/>
    </xf>
    <xf numFmtId="181" fontId="94" fillId="0" borderId="0" xfId="0" applyNumberFormat="1" applyFont="1" applyProtection="1">
      <protection hidden="1"/>
    </xf>
    <xf numFmtId="2" fontId="94" fillId="0" borderId="0" xfId="0" applyNumberFormat="1" applyFont="1" applyProtection="1">
      <protection hidden="1"/>
    </xf>
    <xf numFmtId="169" fontId="93" fillId="0" borderId="0" xfId="0" applyNumberFormat="1" applyFont="1" applyProtection="1">
      <protection hidden="1"/>
    </xf>
    <xf numFmtId="0" fontId="4" fillId="0" borderId="0" xfId="0" applyFont="1" applyProtection="1">
      <protection hidden="1"/>
    </xf>
    <xf numFmtId="0" fontId="96" fillId="0" borderId="0" xfId="0" applyFont="1" applyProtection="1">
      <protection hidden="1"/>
    </xf>
    <xf numFmtId="0" fontId="18" fillId="0" borderId="86" xfId="0" applyFont="1" applyBorder="1" applyAlignment="1" applyProtection="1">
      <alignment horizontal="center" vertical="center" wrapText="1"/>
      <protection hidden="1"/>
    </xf>
    <xf numFmtId="198" fontId="18" fillId="0" borderId="17" xfId="0" applyNumberFormat="1" applyFont="1" applyBorder="1" applyAlignment="1" applyProtection="1">
      <alignment horizontal="right"/>
      <protection hidden="1"/>
    </xf>
    <xf numFmtId="198" fontId="52" fillId="0" borderId="17" xfId="0" applyNumberFormat="1" applyFont="1" applyBorder="1" applyAlignment="1" applyProtection="1">
      <alignment horizontal="right"/>
      <protection hidden="1"/>
    </xf>
    <xf numFmtId="0" fontId="18" fillId="11" borderId="29" xfId="0" applyFont="1" applyFill="1" applyBorder="1" applyAlignment="1" applyProtection="1">
      <alignment horizontal="center"/>
      <protection hidden="1"/>
    </xf>
    <xf numFmtId="0" fontId="18" fillId="11" borderId="18" xfId="0" applyFont="1" applyFill="1" applyBorder="1" applyAlignment="1" applyProtection="1">
      <alignment horizontal="center"/>
      <protection hidden="1"/>
    </xf>
    <xf numFmtId="0" fontId="18" fillId="12" borderId="86" xfId="0" applyFont="1" applyFill="1" applyBorder="1" applyAlignment="1" applyProtection="1">
      <alignment horizontal="center"/>
      <protection hidden="1"/>
    </xf>
    <xf numFmtId="0" fontId="18" fillId="12" borderId="17" xfId="0" applyFont="1" applyFill="1" applyBorder="1" applyAlignment="1" applyProtection="1">
      <alignment horizontal="center"/>
      <protection hidden="1"/>
    </xf>
    <xf numFmtId="0" fontId="97" fillId="0" borderId="0" xfId="3" applyFont="1" applyProtection="1">
      <protection hidden="1"/>
    </xf>
    <xf numFmtId="0" fontId="98" fillId="0" borderId="0" xfId="3" applyFont="1" applyAlignment="1" applyProtection="1">
      <alignment horizontal="right"/>
      <protection hidden="1"/>
    </xf>
    <xf numFmtId="0" fontId="22" fillId="0" borderId="0" xfId="3" quotePrefix="1" applyFont="1" applyProtection="1">
      <protection hidden="1"/>
    </xf>
    <xf numFmtId="0" fontId="99" fillId="0" borderId="0" xfId="3" quotePrefix="1" applyFont="1" applyAlignment="1" applyProtection="1">
      <alignment vertical="center"/>
      <protection hidden="1"/>
    </xf>
    <xf numFmtId="0" fontId="99" fillId="0" borderId="0" xfId="3" applyFont="1" applyAlignment="1" applyProtection="1">
      <alignment vertical="center"/>
      <protection hidden="1"/>
    </xf>
    <xf numFmtId="177" fontId="101" fillId="0" borderId="0" xfId="3" quotePrefix="1" applyNumberFormat="1" applyFont="1" applyAlignment="1" applyProtection="1">
      <alignment horizontal="center" vertical="center"/>
      <protection hidden="1"/>
    </xf>
    <xf numFmtId="177" fontId="103" fillId="0" borderId="0" xfId="3" quotePrefix="1" applyNumberFormat="1" applyFont="1" applyAlignment="1" applyProtection="1">
      <alignment horizontal="center" vertical="center"/>
      <protection hidden="1"/>
    </xf>
    <xf numFmtId="177" fontId="101" fillId="0" borderId="0" xfId="3" quotePrefix="1" applyNumberFormat="1" applyFont="1" applyProtection="1">
      <protection hidden="1"/>
    </xf>
    <xf numFmtId="177" fontId="102" fillId="0" borderId="0" xfId="3" quotePrefix="1" applyNumberFormat="1" applyFont="1" applyProtection="1">
      <protection hidden="1"/>
    </xf>
    <xf numFmtId="0" fontId="104" fillId="0" borderId="0" xfId="3" quotePrefix="1" applyFont="1" applyAlignment="1" applyProtection="1">
      <alignment horizontal="center" vertical="center"/>
      <protection hidden="1"/>
    </xf>
    <xf numFmtId="0" fontId="102" fillId="0" borderId="0" xfId="3" quotePrefix="1" applyFont="1" applyAlignment="1" applyProtection="1">
      <alignment horizontal="center" vertical="center"/>
      <protection hidden="1"/>
    </xf>
    <xf numFmtId="0" fontId="102" fillId="0" borderId="0" xfId="3" quotePrefix="1" applyFont="1" applyAlignment="1" applyProtection="1">
      <alignment horizontal="right" vertical="center"/>
      <protection hidden="1"/>
    </xf>
    <xf numFmtId="177" fontId="102" fillId="0" borderId="0" xfId="3" quotePrefix="1" applyNumberFormat="1" applyFont="1" applyAlignment="1" applyProtection="1">
      <alignment horizontal="right" vertical="center"/>
      <protection hidden="1"/>
    </xf>
    <xf numFmtId="169" fontId="101" fillId="0" borderId="0" xfId="3" quotePrefix="1" applyNumberFormat="1" applyFont="1" applyAlignment="1" applyProtection="1">
      <alignment horizontal="center" vertical="center"/>
      <protection hidden="1"/>
    </xf>
    <xf numFmtId="0" fontId="105" fillId="0" borderId="0" xfId="3" quotePrefix="1" applyFont="1" applyAlignment="1" applyProtection="1">
      <alignment horizontal="center" vertical="center"/>
      <protection hidden="1"/>
    </xf>
    <xf numFmtId="0" fontId="106" fillId="0" borderId="0" xfId="3" applyFont="1" applyProtection="1">
      <protection hidden="1"/>
    </xf>
    <xf numFmtId="0" fontId="107" fillId="0" borderId="0" xfId="3" quotePrefix="1" applyFont="1" applyAlignment="1" applyProtection="1">
      <alignment vertical="center"/>
      <protection hidden="1"/>
    </xf>
    <xf numFmtId="0" fontId="110" fillId="0" borderId="0" xfId="3" applyFont="1" applyAlignment="1" applyProtection="1">
      <alignment horizontal="center"/>
      <protection hidden="1"/>
    </xf>
    <xf numFmtId="0" fontId="90" fillId="0" borderId="0" xfId="3" applyFont="1" applyAlignment="1">
      <alignment horizontal="right"/>
    </xf>
    <xf numFmtId="177" fontId="12" fillId="0" borderId="0" xfId="3" applyNumberFormat="1" applyFont="1" applyProtection="1">
      <protection hidden="1"/>
    </xf>
    <xf numFmtId="169" fontId="5" fillId="0" borderId="37" xfId="3" applyNumberFormat="1" applyBorder="1" applyProtection="1">
      <protection hidden="1"/>
    </xf>
    <xf numFmtId="169" fontId="5" fillId="0" borderId="17" xfId="3" applyNumberFormat="1" applyBorder="1" applyProtection="1">
      <protection hidden="1"/>
    </xf>
    <xf numFmtId="169" fontId="5" fillId="15" borderId="35" xfId="3" applyNumberFormat="1" applyFill="1" applyBorder="1" applyAlignment="1" applyProtection="1">
      <alignment horizontal="right"/>
      <protection locked="0"/>
    </xf>
    <xf numFmtId="0" fontId="18" fillId="0" borderId="17" xfId="3" applyFont="1" applyBorder="1" applyAlignment="1" applyProtection="1">
      <alignment horizontal="right"/>
      <protection hidden="1"/>
    </xf>
    <xf numFmtId="169" fontId="18" fillId="0" borderId="17" xfId="3" applyNumberFormat="1" applyFont="1" applyBorder="1" applyProtection="1">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181" fontId="52" fillId="0" borderId="0" xfId="1" applyNumberFormat="1" applyFont="1" applyProtection="1">
      <protection hidden="1"/>
    </xf>
    <xf numFmtId="0" fontId="3" fillId="0" borderId="0" xfId="0" applyFont="1" applyProtection="1">
      <protection hidden="1"/>
    </xf>
    <xf numFmtId="171" fontId="5" fillId="0" borderId="0" xfId="1"/>
    <xf numFmtId="169" fontId="18" fillId="0" borderId="93" xfId="0" applyNumberFormat="1" applyFont="1" applyBorder="1" applyAlignment="1" applyProtection="1">
      <alignment horizontal="center"/>
      <protection hidden="1"/>
    </xf>
    <xf numFmtId="0" fontId="99" fillId="0" borderId="0" xfId="0" applyFont="1" applyAlignment="1" applyProtection="1">
      <alignment horizontal="center"/>
      <protection hidden="1"/>
    </xf>
    <xf numFmtId="182" fontId="62" fillId="0" borderId="0" xfId="0" applyNumberFormat="1" applyFont="1" applyProtection="1">
      <protection hidden="1"/>
    </xf>
    <xf numFmtId="183" fontId="62" fillId="0" borderId="0" xfId="0" applyNumberFormat="1" applyFont="1" applyProtection="1">
      <protection hidden="1"/>
    </xf>
    <xf numFmtId="187" fontId="0" fillId="0" borderId="0" xfId="0" applyNumberFormat="1" applyProtection="1">
      <protection hidden="1"/>
    </xf>
    <xf numFmtId="200" fontId="18" fillId="0" borderId="0" xfId="0" applyNumberFormat="1" applyFont="1" applyAlignment="1" applyProtection="1">
      <alignment horizontal="left"/>
      <protection hidden="1"/>
    </xf>
    <xf numFmtId="171" fontId="18" fillId="0" borderId="0" xfId="1" applyFont="1" applyAlignment="1">
      <alignment horizontal="left"/>
    </xf>
    <xf numFmtId="169" fontId="18" fillId="0" borderId="0" xfId="0" applyNumberFormat="1" applyFont="1" applyAlignment="1" applyProtection="1">
      <alignment horizontal="left"/>
      <protection hidden="1"/>
    </xf>
    <xf numFmtId="169" fontId="29" fillId="0" borderId="0" xfId="0" applyNumberFormat="1" applyFont="1" applyAlignment="1" applyProtection="1">
      <alignment horizontal="left"/>
      <protection hidden="1"/>
    </xf>
    <xf numFmtId="181" fontId="29" fillId="0" borderId="0" xfId="1" applyNumberFormat="1" applyFont="1" applyAlignment="1">
      <alignment horizontal="left" vertical="center"/>
    </xf>
    <xf numFmtId="181" fontId="29" fillId="0" borderId="0" xfId="0" applyNumberFormat="1" applyFont="1" applyAlignment="1" applyProtection="1">
      <alignment horizontal="left"/>
      <protection hidden="1"/>
    </xf>
    <xf numFmtId="2" fontId="45" fillId="0" borderId="146" xfId="0" applyNumberFormat="1" applyFont="1" applyBorder="1" applyAlignment="1" applyProtection="1">
      <alignment horizontal="center" vertical="center"/>
      <protection hidden="1"/>
    </xf>
    <xf numFmtId="208" fontId="45" fillId="0" borderId="146" xfId="0" applyNumberFormat="1" applyFont="1" applyBorder="1" applyAlignment="1" applyProtection="1">
      <alignment horizontal="center" vertical="center"/>
      <protection hidden="1"/>
    </xf>
    <xf numFmtId="0" fontId="112" fillId="0" borderId="0" xfId="0" applyFont="1" applyAlignment="1" applyProtection="1">
      <alignment horizontal="center" vertical="center"/>
      <protection hidden="1"/>
    </xf>
    <xf numFmtId="0" fontId="45" fillId="0" borderId="150" xfId="0" applyFont="1" applyBorder="1" applyProtection="1">
      <protection hidden="1"/>
    </xf>
    <xf numFmtId="0" fontId="45" fillId="0" borderId="151" xfId="0" applyFont="1" applyBorder="1" applyProtection="1">
      <protection hidden="1"/>
    </xf>
    <xf numFmtId="0" fontId="45" fillId="0" borderId="152" xfId="0" applyFont="1" applyBorder="1" applyProtection="1">
      <protection hidden="1"/>
    </xf>
    <xf numFmtId="0" fontId="45" fillId="0" borderId="153" xfId="0" applyFont="1" applyBorder="1" applyProtection="1">
      <protection hidden="1"/>
    </xf>
    <xf numFmtId="0" fontId="45" fillId="0" borderId="154" xfId="0" applyFont="1" applyBorder="1" applyProtection="1">
      <protection hidden="1"/>
    </xf>
    <xf numFmtId="0" fontId="45" fillId="0" borderId="158" xfId="0" applyFont="1" applyBorder="1" applyProtection="1">
      <protection hidden="1"/>
    </xf>
    <xf numFmtId="0" fontId="45" fillId="0" borderId="159" xfId="0" applyFont="1" applyBorder="1" applyProtection="1">
      <protection hidden="1"/>
    </xf>
    <xf numFmtId="0" fontId="45" fillId="0" borderId="160" xfId="0" applyFont="1" applyBorder="1" applyProtection="1">
      <protection hidden="1"/>
    </xf>
    <xf numFmtId="0" fontId="45" fillId="0" borderId="161" xfId="0" applyFont="1" applyBorder="1" applyProtection="1">
      <protection hidden="1"/>
    </xf>
    <xf numFmtId="0" fontId="45" fillId="0" borderId="162" xfId="0" applyFont="1" applyBorder="1" applyProtection="1">
      <protection hidden="1"/>
    </xf>
    <xf numFmtId="0" fontId="45" fillId="35" borderId="0" xfId="0" applyFont="1" applyFill="1" applyAlignment="1" applyProtection="1">
      <alignment horizontal="center"/>
      <protection locked="0"/>
    </xf>
    <xf numFmtId="209" fontId="45" fillId="0" borderId="146" xfId="0" applyNumberFormat="1" applyFont="1" applyBorder="1" applyAlignment="1" applyProtection="1">
      <alignment horizontal="center" vertical="center"/>
      <protection hidden="1"/>
    </xf>
    <xf numFmtId="0" fontId="21" fillId="0" borderId="0" xfId="0" applyFont="1" applyProtection="1">
      <protection hidden="1"/>
    </xf>
    <xf numFmtId="44" fontId="0" fillId="0" borderId="165" xfId="0" applyNumberFormat="1" applyBorder="1" applyProtection="1">
      <protection hidden="1"/>
    </xf>
    <xf numFmtId="44" fontId="0" fillId="0" borderId="166" xfId="0" applyNumberFormat="1" applyBorder="1" applyProtection="1">
      <protection hidden="1"/>
    </xf>
    <xf numFmtId="44" fontId="0" fillId="0" borderId="163" xfId="0" applyNumberFormat="1" applyBorder="1" applyProtection="1">
      <protection hidden="1"/>
    </xf>
    <xf numFmtId="44" fontId="0" fillId="0" borderId="164" xfId="0" applyNumberFormat="1" applyBorder="1" applyProtection="1">
      <protection hidden="1"/>
    </xf>
    <xf numFmtId="0" fontId="18" fillId="0" borderId="168" xfId="0" applyFont="1" applyBorder="1" applyAlignment="1" applyProtection="1">
      <alignment horizontal="center" vertical="center" wrapText="1"/>
      <protection hidden="1"/>
    </xf>
    <xf numFmtId="0" fontId="18" fillId="37" borderId="169" xfId="0" applyFont="1" applyFill="1" applyBorder="1" applyAlignment="1" applyProtection="1">
      <alignment horizontal="center" vertical="center" wrapText="1"/>
      <protection hidden="1"/>
    </xf>
    <xf numFmtId="0" fontId="18" fillId="37" borderId="170" xfId="0" applyFont="1" applyFill="1" applyBorder="1" applyAlignment="1" applyProtection="1">
      <alignment horizontal="center" vertical="center" wrapText="1"/>
      <protection hidden="1"/>
    </xf>
    <xf numFmtId="0" fontId="18" fillId="36" borderId="169" xfId="0" applyFont="1" applyFill="1" applyBorder="1" applyAlignment="1" applyProtection="1">
      <alignment horizontal="center" vertical="center" wrapText="1"/>
      <protection hidden="1"/>
    </xf>
    <xf numFmtId="0" fontId="18" fillId="36" borderId="170" xfId="0" applyFont="1" applyFill="1" applyBorder="1" applyAlignment="1" applyProtection="1">
      <alignment horizontal="center" vertical="center" wrapText="1"/>
      <protection hidden="1"/>
    </xf>
    <xf numFmtId="0" fontId="18" fillId="8" borderId="169" xfId="0" applyFont="1" applyFill="1" applyBorder="1" applyAlignment="1" applyProtection="1">
      <alignment horizontal="center" vertical="center" wrapText="1"/>
      <protection hidden="1"/>
    </xf>
    <xf numFmtId="0" fontId="18" fillId="8" borderId="170" xfId="0" applyFont="1" applyFill="1" applyBorder="1" applyAlignment="1" applyProtection="1">
      <alignment horizontal="center" vertical="center" wrapText="1"/>
      <protection hidden="1"/>
    </xf>
    <xf numFmtId="0" fontId="18" fillId="38" borderId="169" xfId="0" applyFont="1" applyFill="1" applyBorder="1" applyAlignment="1" applyProtection="1">
      <alignment horizontal="center" vertical="center" wrapText="1"/>
      <protection hidden="1"/>
    </xf>
    <xf numFmtId="0" fontId="18" fillId="38" borderId="170" xfId="0" applyFont="1" applyFill="1" applyBorder="1" applyAlignment="1" applyProtection="1">
      <alignment horizontal="center" vertical="center" wrapText="1"/>
      <protection hidden="1"/>
    </xf>
    <xf numFmtId="0" fontId="18" fillId="39" borderId="169" xfId="0" applyFont="1" applyFill="1" applyBorder="1" applyAlignment="1" applyProtection="1">
      <alignment horizontal="center" vertical="center" wrapText="1"/>
      <protection hidden="1"/>
    </xf>
    <xf numFmtId="0" fontId="18" fillId="39" borderId="170" xfId="0" applyFont="1" applyFill="1" applyBorder="1" applyAlignment="1" applyProtection="1">
      <alignment horizontal="center" vertical="center" wrapText="1"/>
      <protection hidden="1"/>
    </xf>
    <xf numFmtId="0" fontId="18" fillId="7" borderId="169" xfId="0" applyFont="1" applyFill="1" applyBorder="1" applyAlignment="1" applyProtection="1">
      <alignment horizontal="center" vertical="center" wrapText="1"/>
      <protection hidden="1"/>
    </xf>
    <xf numFmtId="182" fontId="0" fillId="0" borderId="172" xfId="0" applyNumberFormat="1" applyBorder="1" applyAlignment="1" applyProtection="1">
      <alignment horizontal="center"/>
      <protection hidden="1"/>
    </xf>
    <xf numFmtId="44" fontId="0" fillId="0" borderId="173" xfId="0" applyNumberFormat="1" applyBorder="1" applyProtection="1">
      <protection hidden="1"/>
    </xf>
    <xf numFmtId="182" fontId="0" fillId="0" borderId="174" xfId="0" applyNumberFormat="1" applyBorder="1" applyAlignment="1" applyProtection="1">
      <alignment horizontal="center"/>
      <protection hidden="1"/>
    </xf>
    <xf numFmtId="44" fontId="0" fillId="0" borderId="175" xfId="0" applyNumberFormat="1" applyBorder="1" applyProtection="1">
      <protection hidden="1"/>
    </xf>
    <xf numFmtId="182" fontId="0" fillId="0" borderId="176" xfId="0" applyNumberFormat="1" applyBorder="1" applyAlignment="1" applyProtection="1">
      <alignment horizontal="center"/>
      <protection hidden="1"/>
    </xf>
    <xf numFmtId="44" fontId="0" fillId="0" borderId="177" xfId="0" applyNumberFormat="1" applyBorder="1" applyProtection="1">
      <protection hidden="1"/>
    </xf>
    <xf numFmtId="44" fontId="0" fillId="0" borderId="178" xfId="0" applyNumberFormat="1" applyBorder="1" applyProtection="1">
      <protection hidden="1"/>
    </xf>
    <xf numFmtId="44" fontId="0" fillId="0" borderId="167" xfId="0" applyNumberFormat="1" applyBorder="1" applyProtection="1">
      <protection hidden="1"/>
    </xf>
    <xf numFmtId="0" fontId="18" fillId="12" borderId="169" xfId="0" applyFont="1" applyFill="1" applyBorder="1" applyAlignment="1" applyProtection="1">
      <alignment horizontal="center" vertical="center" wrapText="1"/>
      <protection hidden="1"/>
    </xf>
    <xf numFmtId="0" fontId="18" fillId="40" borderId="169" xfId="0" applyFont="1" applyFill="1" applyBorder="1" applyAlignment="1" applyProtection="1">
      <alignment horizontal="center" vertical="center" wrapText="1"/>
      <protection hidden="1"/>
    </xf>
    <xf numFmtId="0" fontId="18" fillId="41" borderId="169" xfId="0" applyFont="1" applyFill="1" applyBorder="1" applyAlignment="1" applyProtection="1">
      <alignment horizontal="center" vertical="center" wrapText="1"/>
      <protection hidden="1"/>
    </xf>
    <xf numFmtId="0" fontId="18" fillId="41" borderId="171" xfId="0" applyFont="1" applyFill="1" applyBorder="1" applyAlignment="1" applyProtection="1">
      <alignment horizontal="center" vertical="center" wrapText="1"/>
      <protection hidden="1"/>
    </xf>
    <xf numFmtId="0" fontId="18" fillId="12" borderId="170" xfId="0" applyFont="1" applyFill="1" applyBorder="1" applyAlignment="1" applyProtection="1">
      <alignment horizontal="center" vertical="center" wrapText="1"/>
      <protection hidden="1"/>
    </xf>
    <xf numFmtId="0" fontId="18" fillId="40" borderId="170" xfId="0" applyFont="1" applyFill="1" applyBorder="1" applyAlignment="1" applyProtection="1">
      <alignment horizontal="center" vertical="center" wrapText="1"/>
      <protection hidden="1"/>
    </xf>
    <xf numFmtId="44" fontId="0" fillId="0" borderId="179" xfId="0" applyNumberFormat="1" applyBorder="1" applyProtection="1">
      <protection hidden="1"/>
    </xf>
    <xf numFmtId="44" fontId="29" fillId="0" borderId="0" xfId="1" applyNumberFormat="1" applyFont="1" applyAlignment="1" applyProtection="1">
      <alignment horizontal="center"/>
      <protection hidden="1"/>
    </xf>
    <xf numFmtId="0" fontId="18" fillId="0" borderId="18" xfId="0" applyFont="1" applyBorder="1" applyAlignment="1" applyProtection="1">
      <alignment horizontal="center"/>
      <protection hidden="1"/>
    </xf>
    <xf numFmtId="0" fontId="0" fillId="0" borderId="25" xfId="0" applyBorder="1" applyAlignment="1" applyProtection="1">
      <alignment horizontal="center"/>
      <protection hidden="1"/>
    </xf>
    <xf numFmtId="0" fontId="0" fillId="0" borderId="25" xfId="0" quotePrefix="1" applyBorder="1" applyAlignment="1" applyProtection="1">
      <alignment horizontal="right"/>
      <protection hidden="1"/>
    </xf>
    <xf numFmtId="0" fontId="0" fillId="0" borderId="92" xfId="0" applyBorder="1" applyAlignment="1" applyProtection="1">
      <alignment horizontal="left"/>
      <protection hidden="1"/>
    </xf>
    <xf numFmtId="0" fontId="0" fillId="0" borderId="26" xfId="0" quotePrefix="1" applyBorder="1" applyAlignment="1" applyProtection="1">
      <alignment horizontal="right"/>
      <protection hidden="1"/>
    </xf>
    <xf numFmtId="0" fontId="18" fillId="0" borderId="17" xfId="0" applyFont="1" applyBorder="1" applyAlignment="1" applyProtection="1">
      <alignment horizontal="center"/>
      <protection hidden="1"/>
    </xf>
    <xf numFmtId="167" fontId="5" fillId="0" borderId="0" xfId="3" applyNumberFormat="1" applyAlignment="1" applyProtection="1">
      <alignment horizontal="left" vertical="center"/>
      <protection hidden="1"/>
    </xf>
    <xf numFmtId="169" fontId="12" fillId="17" borderId="93" xfId="3" applyNumberFormat="1" applyFont="1" applyFill="1" applyBorder="1" applyAlignment="1" applyProtection="1">
      <alignment horizontal="center"/>
      <protection locked="0"/>
    </xf>
    <xf numFmtId="0" fontId="113" fillId="0" borderId="0" xfId="3" applyFont="1" applyAlignment="1" applyProtection="1">
      <alignment horizontal="right"/>
      <protection hidden="1"/>
    </xf>
    <xf numFmtId="171" fontId="50" fillId="0" borderId="0" xfId="3" applyNumberFormat="1" applyFont="1" applyProtection="1">
      <protection hidden="1"/>
    </xf>
    <xf numFmtId="176" fontId="50" fillId="0" borderId="0" xfId="3" applyNumberFormat="1" applyFont="1" applyProtection="1">
      <protection hidden="1"/>
    </xf>
    <xf numFmtId="169" fontId="50" fillId="0" borderId="0" xfId="3" applyNumberFormat="1" applyFont="1" applyProtection="1">
      <protection hidden="1"/>
    </xf>
    <xf numFmtId="14" fontId="50" fillId="0" borderId="0" xfId="3" applyNumberFormat="1" applyFont="1" applyProtection="1">
      <protection hidden="1"/>
    </xf>
    <xf numFmtId="171" fontId="50" fillId="0" borderId="0" xfId="1" applyFont="1" applyProtection="1">
      <protection hidden="1"/>
    </xf>
    <xf numFmtId="0" fontId="65" fillId="0" borderId="0" xfId="3" applyFont="1" applyAlignment="1" applyProtection="1">
      <alignment horizontal="center" vertical="center"/>
      <protection hidden="1"/>
    </xf>
    <xf numFmtId="0" fontId="50" fillId="0" borderId="0" xfId="3" applyFont="1" applyAlignment="1" applyProtection="1">
      <alignment horizontal="center"/>
      <protection hidden="1"/>
    </xf>
    <xf numFmtId="2" fontId="50" fillId="0" borderId="0" xfId="3" applyNumberFormat="1" applyFont="1" applyProtection="1">
      <protection hidden="1"/>
    </xf>
    <xf numFmtId="0" fontId="50" fillId="22" borderId="0" xfId="3" applyFont="1" applyFill="1" applyProtection="1">
      <protection hidden="1"/>
    </xf>
    <xf numFmtId="0" fontId="113" fillId="0" borderId="18" xfId="3" applyFont="1" applyBorder="1" applyProtection="1">
      <protection hidden="1"/>
    </xf>
    <xf numFmtId="0" fontId="113" fillId="0" borderId="17" xfId="3" applyFont="1" applyBorder="1" applyProtection="1">
      <protection hidden="1"/>
    </xf>
    <xf numFmtId="0" fontId="113" fillId="0" borderId="19" xfId="3" applyFont="1" applyBorder="1" applyProtection="1">
      <protection hidden="1"/>
    </xf>
    <xf numFmtId="0" fontId="113" fillId="0" borderId="86" xfId="3" applyFont="1" applyBorder="1" applyProtection="1">
      <protection hidden="1"/>
    </xf>
    <xf numFmtId="0" fontId="113" fillId="0" borderId="0" xfId="3" applyFont="1" applyProtection="1">
      <protection hidden="1"/>
    </xf>
    <xf numFmtId="172" fontId="50" fillId="0" borderId="25" xfId="3" applyNumberFormat="1" applyFont="1" applyBorder="1" applyProtection="1">
      <protection hidden="1"/>
    </xf>
    <xf numFmtId="169" fontId="50" fillId="0" borderId="110" xfId="3" applyNumberFormat="1" applyFont="1" applyBorder="1" applyAlignment="1" applyProtection="1">
      <alignment horizontal="center"/>
      <protection hidden="1"/>
    </xf>
    <xf numFmtId="169" fontId="50" fillId="0" borderId="0" xfId="3" applyNumberFormat="1" applyFont="1" applyAlignment="1" applyProtection="1">
      <alignment horizontal="center"/>
      <protection hidden="1"/>
    </xf>
    <xf numFmtId="172" fontId="50" fillId="0" borderId="110" xfId="3" applyNumberFormat="1" applyFont="1" applyBorder="1" applyProtection="1">
      <protection hidden="1"/>
    </xf>
    <xf numFmtId="169" fontId="50" fillId="0" borderId="86" xfId="3" applyNumberFormat="1" applyFont="1" applyBorder="1" applyProtection="1">
      <protection hidden="1"/>
    </xf>
    <xf numFmtId="169" fontId="50" fillId="0" borderId="110" xfId="3" applyNumberFormat="1" applyFont="1" applyBorder="1" applyProtection="1">
      <protection hidden="1"/>
    </xf>
    <xf numFmtId="169" fontId="50" fillId="0" borderId="180" xfId="3" applyNumberFormat="1" applyFont="1" applyBorder="1" applyProtection="1">
      <protection hidden="1"/>
    </xf>
    <xf numFmtId="0" fontId="50" fillId="0" borderId="86" xfId="3" applyFont="1" applyBorder="1" applyProtection="1">
      <protection hidden="1"/>
    </xf>
    <xf numFmtId="0" fontId="113" fillId="0" borderId="0" xfId="3" applyFont="1" applyAlignment="1" applyProtection="1">
      <alignment horizontal="left" vertical="center" wrapText="1"/>
      <protection hidden="1"/>
    </xf>
    <xf numFmtId="0" fontId="50" fillId="0" borderId="0" xfId="3" applyFont="1" applyAlignment="1" applyProtection="1">
      <alignment horizontal="right" vertical="center"/>
      <protection hidden="1"/>
    </xf>
    <xf numFmtId="171" fontId="50" fillId="0" borderId="0" xfId="3" applyNumberFormat="1" applyFont="1" applyAlignment="1" applyProtection="1">
      <alignment horizontal="left" vertical="center" wrapText="1"/>
      <protection hidden="1"/>
    </xf>
    <xf numFmtId="169" fontId="50" fillId="0" borderId="93" xfId="3" applyNumberFormat="1" applyFont="1" applyBorder="1" applyProtection="1">
      <protection hidden="1"/>
    </xf>
    <xf numFmtId="0" fontId="50" fillId="0" borderId="93" xfId="3" applyFont="1" applyBorder="1" applyProtection="1">
      <protection hidden="1"/>
    </xf>
    <xf numFmtId="0" fontId="50" fillId="0" borderId="0" xfId="0" applyFont="1" applyAlignment="1" applyProtection="1">
      <alignment horizontal="right"/>
      <protection hidden="1"/>
    </xf>
    <xf numFmtId="44" fontId="50" fillId="0" borderId="0" xfId="1" applyNumberFormat="1" applyFont="1" applyProtection="1">
      <protection hidden="1"/>
    </xf>
    <xf numFmtId="0" fontId="50" fillId="0" borderId="0" xfId="3" applyFont="1" applyAlignment="1" applyProtection="1">
      <alignment horizontal="center" vertical="center" wrapText="1"/>
      <protection hidden="1"/>
    </xf>
    <xf numFmtId="1" fontId="50" fillId="0" borderId="0" xfId="0" applyNumberFormat="1" applyFont="1" applyProtection="1">
      <protection hidden="1"/>
    </xf>
    <xf numFmtId="0" fontId="50" fillId="0" borderId="0" xfId="3" applyFont="1" applyAlignment="1" applyProtection="1">
      <alignment vertical="center" wrapText="1"/>
      <protection hidden="1"/>
    </xf>
    <xf numFmtId="1" fontId="50" fillId="0" borderId="0" xfId="3" applyNumberFormat="1" applyFont="1" applyProtection="1">
      <protection hidden="1"/>
    </xf>
    <xf numFmtId="171" fontId="50" fillId="0" borderId="0" xfId="1" applyFont="1" applyProtection="1">
      <protection locked="0"/>
    </xf>
    <xf numFmtId="172" fontId="50" fillId="0" borderId="26" xfId="3" applyNumberFormat="1" applyFont="1" applyBorder="1" applyProtection="1">
      <protection hidden="1"/>
    </xf>
    <xf numFmtId="169" fontId="50" fillId="0" borderId="61" xfId="3" applyNumberFormat="1" applyFont="1" applyBorder="1" applyAlignment="1" applyProtection="1">
      <alignment horizontal="center"/>
      <protection hidden="1"/>
    </xf>
    <xf numFmtId="169" fontId="50" fillId="0" borderId="27" xfId="3" applyNumberFormat="1" applyFont="1" applyBorder="1" applyAlignment="1" applyProtection="1">
      <alignment horizontal="center"/>
      <protection hidden="1"/>
    </xf>
    <xf numFmtId="172" fontId="50" fillId="0" borderId="61" xfId="3" applyNumberFormat="1" applyFont="1" applyBorder="1" applyProtection="1">
      <protection hidden="1"/>
    </xf>
    <xf numFmtId="169" fontId="50" fillId="0" borderId="61" xfId="3" applyNumberFormat="1" applyFont="1" applyBorder="1" applyProtection="1">
      <protection hidden="1"/>
    </xf>
    <xf numFmtId="169" fontId="50" fillId="0" borderId="27" xfId="3" applyNumberFormat="1" applyFont="1" applyBorder="1" applyProtection="1">
      <protection hidden="1"/>
    </xf>
    <xf numFmtId="169" fontId="50" fillId="0" borderId="28" xfId="3" applyNumberFormat="1" applyFont="1" applyBorder="1" applyProtection="1">
      <protection hidden="1"/>
    </xf>
    <xf numFmtId="0" fontId="50" fillId="0" borderId="61" xfId="3" applyFont="1" applyBorder="1" applyProtection="1">
      <protection hidden="1"/>
    </xf>
    <xf numFmtId="176" fontId="50" fillId="0" borderId="0" xfId="3" applyNumberFormat="1" applyFont="1" applyProtection="1">
      <protection locked="0"/>
    </xf>
    <xf numFmtId="0" fontId="113" fillId="22" borderId="0" xfId="0" applyFont="1" applyFill="1" applyAlignment="1" applyProtection="1">
      <alignment horizontal="center"/>
      <protection hidden="1"/>
    </xf>
    <xf numFmtId="0" fontId="50" fillId="0" borderId="0" xfId="0" applyFont="1" applyProtection="1">
      <protection hidden="1"/>
    </xf>
    <xf numFmtId="0" fontId="113" fillId="0" borderId="18" xfId="0" applyFont="1" applyBorder="1" applyAlignment="1" applyProtection="1">
      <alignment horizontal="center" vertical="center" wrapText="1"/>
      <protection hidden="1"/>
    </xf>
    <xf numFmtId="0" fontId="113" fillId="0" borderId="17" xfId="0" applyFont="1" applyBorder="1" applyAlignment="1" applyProtection="1">
      <alignment horizontal="center" vertical="center" wrapText="1"/>
      <protection hidden="1"/>
    </xf>
    <xf numFmtId="0" fontId="113" fillId="0" borderId="19" xfId="0" applyFont="1" applyBorder="1" applyAlignment="1" applyProtection="1">
      <alignment horizontal="center" vertical="center" wrapText="1"/>
      <protection hidden="1"/>
    </xf>
    <xf numFmtId="0" fontId="113" fillId="0" borderId="86" xfId="0" applyFont="1" applyBorder="1" applyAlignment="1" applyProtection="1">
      <alignment horizontal="center" vertical="center" wrapText="1"/>
      <protection hidden="1"/>
    </xf>
    <xf numFmtId="172" fontId="50" fillId="0" borderId="25" xfId="0" applyNumberFormat="1" applyFont="1" applyBorder="1" applyAlignment="1" applyProtection="1">
      <alignment horizontal="left"/>
      <protection hidden="1"/>
    </xf>
    <xf numFmtId="169" fontId="50" fillId="0" borderId="110" xfId="0" applyNumberFormat="1" applyFont="1" applyBorder="1" applyAlignment="1" applyProtection="1">
      <alignment horizontal="center"/>
      <protection hidden="1"/>
    </xf>
    <xf numFmtId="169" fontId="50" fillId="0" borderId="0" xfId="0" applyNumberFormat="1" applyFont="1" applyAlignment="1" applyProtection="1">
      <alignment horizontal="center"/>
      <protection hidden="1"/>
    </xf>
    <xf numFmtId="172" fontId="50" fillId="0" borderId="26" xfId="0" applyNumberFormat="1" applyFont="1" applyBorder="1" applyAlignment="1" applyProtection="1">
      <alignment horizontal="left"/>
      <protection hidden="1"/>
    </xf>
    <xf numFmtId="169" fontId="50" fillId="0" borderId="61" xfId="0" applyNumberFormat="1" applyFont="1" applyBorder="1" applyAlignment="1" applyProtection="1">
      <alignment horizontal="center"/>
      <protection hidden="1"/>
    </xf>
    <xf numFmtId="169" fontId="50" fillId="0" borderId="27" xfId="0" applyNumberFormat="1" applyFont="1" applyBorder="1" applyAlignment="1" applyProtection="1">
      <alignment horizontal="center"/>
      <protection hidden="1"/>
    </xf>
    <xf numFmtId="206" fontId="50" fillId="0" borderId="0" xfId="3" applyNumberFormat="1" applyFont="1" applyProtection="1">
      <protection hidden="1"/>
    </xf>
    <xf numFmtId="207" fontId="50" fillId="0" borderId="0" xfId="3" applyNumberFormat="1" applyFont="1" applyProtection="1">
      <protection hidden="1"/>
    </xf>
    <xf numFmtId="164" fontId="50" fillId="0" borderId="0" xfId="3" applyNumberFormat="1" applyFont="1" applyProtection="1">
      <protection hidden="1"/>
    </xf>
    <xf numFmtId="164" fontId="50" fillId="0" borderId="0" xfId="3" applyNumberFormat="1" applyFont="1" applyAlignment="1" applyProtection="1">
      <alignment horizontal="left" vertical="center" wrapText="1"/>
      <protection hidden="1"/>
    </xf>
    <xf numFmtId="0" fontId="18" fillId="44" borderId="168" xfId="0" applyFont="1" applyFill="1" applyBorder="1" applyAlignment="1" applyProtection="1">
      <alignment horizontal="center" vertical="center" wrapText="1"/>
      <protection hidden="1"/>
    </xf>
    <xf numFmtId="0" fontId="18" fillId="44" borderId="188" xfId="0" applyFont="1" applyFill="1" applyBorder="1" applyAlignment="1" applyProtection="1">
      <alignment horizontal="center" vertical="center" wrapText="1"/>
      <protection hidden="1"/>
    </xf>
    <xf numFmtId="0" fontId="18" fillId="44" borderId="189" xfId="0" applyFont="1" applyFill="1" applyBorder="1" applyAlignment="1" applyProtection="1">
      <alignment horizontal="center" vertical="center" wrapText="1"/>
      <protection hidden="1"/>
    </xf>
    <xf numFmtId="176" fontId="0" fillId="0" borderId="185" xfId="0" applyNumberFormat="1" applyBorder="1" applyProtection="1">
      <protection hidden="1"/>
    </xf>
    <xf numFmtId="176" fontId="0" fillId="0" borderId="186" xfId="0" applyNumberFormat="1" applyBorder="1" applyProtection="1">
      <protection hidden="1"/>
    </xf>
    <xf numFmtId="176" fontId="0" fillId="0" borderId="187" xfId="0" applyNumberFormat="1" applyBorder="1" applyProtection="1">
      <protection hidden="1"/>
    </xf>
    <xf numFmtId="176" fontId="0" fillId="0" borderId="174" xfId="0" applyNumberFormat="1" applyBorder="1" applyProtection="1">
      <protection hidden="1"/>
    </xf>
    <xf numFmtId="176" fontId="0" fillId="0" borderId="181" xfId="0" applyNumberFormat="1" applyBorder="1" applyProtection="1">
      <protection hidden="1"/>
    </xf>
    <xf numFmtId="176" fontId="0" fillId="0" borderId="182" xfId="0" applyNumberFormat="1" applyBorder="1" applyProtection="1">
      <protection hidden="1"/>
    </xf>
    <xf numFmtId="176" fontId="0" fillId="0" borderId="176" xfId="0" applyNumberFormat="1" applyBorder="1" applyProtection="1">
      <protection hidden="1"/>
    </xf>
    <xf numFmtId="176" fontId="0" fillId="0" borderId="183" xfId="0" applyNumberFormat="1" applyBorder="1" applyProtection="1">
      <protection hidden="1"/>
    </xf>
    <xf numFmtId="176" fontId="0" fillId="0" borderId="184" xfId="0" applyNumberFormat="1" applyBorder="1" applyProtection="1">
      <protection hidden="1"/>
    </xf>
    <xf numFmtId="0" fontId="18" fillId="7" borderId="171" xfId="0" applyFont="1" applyFill="1" applyBorder="1" applyAlignment="1" applyProtection="1">
      <alignment horizontal="center" vertical="center" wrapText="1"/>
      <protection hidden="1"/>
    </xf>
    <xf numFmtId="0" fontId="12" fillId="0" borderId="86" xfId="3" applyFont="1" applyBorder="1" applyAlignment="1" applyProtection="1">
      <alignment horizontal="center"/>
      <protection hidden="1"/>
    </xf>
    <xf numFmtId="0" fontId="12" fillId="0" borderId="93" xfId="3" applyFont="1" applyBorder="1" applyAlignment="1" applyProtection="1">
      <alignment horizontal="center"/>
      <protection hidden="1"/>
    </xf>
    <xf numFmtId="0" fontId="12" fillId="0" borderId="61" xfId="3" applyFont="1" applyBorder="1" applyAlignment="1" applyProtection="1">
      <alignment horizontal="center"/>
      <protection hidden="1"/>
    </xf>
    <xf numFmtId="211" fontId="22" fillId="0" borderId="0" xfId="3" applyNumberFormat="1" applyFont="1" applyAlignment="1" applyProtection="1">
      <alignment horizontal="center"/>
      <protection hidden="1"/>
    </xf>
    <xf numFmtId="172" fontId="5" fillId="0" borderId="86" xfId="3" applyNumberFormat="1" applyBorder="1" applyAlignment="1" applyProtection="1">
      <alignment horizontal="left"/>
      <protection hidden="1"/>
    </xf>
    <xf numFmtId="172" fontId="5" fillId="0" borderId="93" xfId="3" applyNumberFormat="1" applyBorder="1" applyAlignment="1" applyProtection="1">
      <alignment horizontal="left"/>
      <protection hidden="1"/>
    </xf>
    <xf numFmtId="172" fontId="5" fillId="0" borderId="61" xfId="3" applyNumberFormat="1" applyBorder="1" applyAlignment="1" applyProtection="1">
      <alignment horizontal="left"/>
      <protection hidden="1"/>
    </xf>
    <xf numFmtId="169" fontId="5" fillId="42" borderId="93" xfId="3" applyNumberFormat="1" applyFill="1" applyBorder="1" applyAlignment="1" applyProtection="1">
      <alignment horizontal="center"/>
      <protection locked="0"/>
    </xf>
    <xf numFmtId="169" fontId="5" fillId="42" borderId="61" xfId="3" applyNumberFormat="1" applyFill="1" applyBorder="1" applyAlignment="1" applyProtection="1">
      <alignment horizontal="center"/>
      <protection locked="0"/>
    </xf>
    <xf numFmtId="169" fontId="18" fillId="0" borderId="61" xfId="0" applyNumberFormat="1" applyFont="1" applyBorder="1" applyProtection="1">
      <protection hidden="1"/>
    </xf>
    <xf numFmtId="0" fontId="21" fillId="0" borderId="0" xfId="0" applyFont="1" applyAlignment="1" applyProtection="1">
      <alignment horizontal="right"/>
      <protection hidden="1"/>
    </xf>
    <xf numFmtId="0" fontId="0" fillId="45" borderId="0" xfId="0" applyFill="1" applyProtection="1">
      <protection hidden="1"/>
    </xf>
    <xf numFmtId="0" fontId="0" fillId="45" borderId="0" xfId="0" applyFill="1" applyAlignment="1" applyProtection="1">
      <alignment horizontal="right"/>
      <protection hidden="1"/>
    </xf>
    <xf numFmtId="0" fontId="0" fillId="46" borderId="0" xfId="0" applyFill="1" applyProtection="1">
      <protection hidden="1"/>
    </xf>
    <xf numFmtId="0" fontId="0" fillId="46" borderId="0" xfId="0" applyFill="1" applyAlignment="1" applyProtection="1">
      <alignment horizontal="right"/>
      <protection hidden="1"/>
    </xf>
    <xf numFmtId="174" fontId="0" fillId="0" borderId="0" xfId="0" applyNumberFormat="1" applyAlignment="1" applyProtection="1">
      <alignment horizontal="center"/>
      <protection hidden="1"/>
    </xf>
    <xf numFmtId="174" fontId="18" fillId="0" borderId="0" xfId="0" applyNumberFormat="1" applyFont="1" applyAlignment="1" applyProtection="1">
      <alignment horizontal="center"/>
      <protection hidden="1"/>
    </xf>
    <xf numFmtId="0" fontId="21" fillId="45" borderId="0" xfId="0" applyFont="1" applyFill="1" applyAlignment="1" applyProtection="1">
      <alignment horizontal="right"/>
      <protection hidden="1"/>
    </xf>
    <xf numFmtId="0" fontId="21" fillId="46" borderId="0" xfId="0" applyFont="1" applyFill="1" applyAlignment="1" applyProtection="1">
      <alignment horizontal="right"/>
      <protection hidden="1"/>
    </xf>
    <xf numFmtId="0" fontId="0" fillId="47" borderId="0" xfId="0" applyFill="1" applyProtection="1">
      <protection hidden="1"/>
    </xf>
    <xf numFmtId="0" fontId="0" fillId="47" borderId="0" xfId="0" applyFill="1" applyAlignment="1" applyProtection="1">
      <alignment horizontal="right"/>
      <protection hidden="1"/>
    </xf>
    <xf numFmtId="14" fontId="18" fillId="47" borderId="0" xfId="0" applyNumberFormat="1" applyFont="1" applyFill="1" applyProtection="1">
      <protection hidden="1"/>
    </xf>
    <xf numFmtId="0" fontId="0" fillId="47" borderId="0" xfId="0" applyFill="1" applyAlignment="1" applyProtection="1">
      <alignment horizontal="center"/>
      <protection hidden="1"/>
    </xf>
    <xf numFmtId="0" fontId="0" fillId="39" borderId="0" xfId="0" applyFill="1" applyProtection="1">
      <protection hidden="1"/>
    </xf>
    <xf numFmtId="0" fontId="0" fillId="39" borderId="0" xfId="0" applyFill="1" applyAlignment="1" applyProtection="1">
      <alignment horizontal="right"/>
      <protection hidden="1"/>
    </xf>
    <xf numFmtId="14" fontId="18" fillId="39" borderId="0" xfId="0" applyNumberFormat="1" applyFont="1" applyFill="1" applyProtection="1">
      <protection hidden="1"/>
    </xf>
    <xf numFmtId="0" fontId="0" fillId="39" borderId="0" xfId="0" applyFill="1" applyAlignment="1" applyProtection="1">
      <alignment horizontal="center"/>
      <protection hidden="1"/>
    </xf>
    <xf numFmtId="0" fontId="0" fillId="12" borderId="0" xfId="0" applyFill="1" applyAlignment="1" applyProtection="1">
      <alignment horizontal="right"/>
      <protection hidden="1"/>
    </xf>
    <xf numFmtId="14" fontId="18" fillId="12" borderId="0" xfId="0" applyNumberFormat="1" applyFont="1" applyFill="1" applyProtection="1">
      <protection hidden="1"/>
    </xf>
    <xf numFmtId="0" fontId="0" fillId="12" borderId="0" xfId="0" applyFill="1" applyAlignment="1" applyProtection="1">
      <alignment horizontal="center"/>
      <protection hidden="1"/>
    </xf>
    <xf numFmtId="0" fontId="0" fillId="48" borderId="0" xfId="0" applyFill="1" applyProtection="1">
      <protection hidden="1"/>
    </xf>
    <xf numFmtId="0" fontId="0" fillId="48" borderId="0" xfId="0" applyFill="1" applyAlignment="1" applyProtection="1">
      <alignment horizontal="right"/>
      <protection hidden="1"/>
    </xf>
    <xf numFmtId="14" fontId="18" fillId="48" borderId="0" xfId="0" applyNumberFormat="1" applyFont="1" applyFill="1" applyProtection="1">
      <protection hidden="1"/>
    </xf>
    <xf numFmtId="0" fontId="0" fillId="48" borderId="0" xfId="0" applyFill="1" applyAlignment="1" applyProtection="1">
      <alignment horizontal="center"/>
      <protection hidden="1"/>
    </xf>
    <xf numFmtId="0" fontId="0" fillId="49" borderId="0" xfId="0" applyFill="1" applyProtection="1">
      <protection hidden="1"/>
    </xf>
    <xf numFmtId="0" fontId="0" fillId="49" borderId="0" xfId="0" applyFill="1" applyAlignment="1" applyProtection="1">
      <alignment horizontal="right"/>
      <protection hidden="1"/>
    </xf>
    <xf numFmtId="14" fontId="18" fillId="49" borderId="0" xfId="0" applyNumberFormat="1" applyFont="1" applyFill="1" applyProtection="1">
      <protection hidden="1"/>
    </xf>
    <xf numFmtId="0" fontId="0" fillId="49" borderId="0" xfId="0" applyFill="1" applyAlignment="1" applyProtection="1">
      <alignment horizontal="center"/>
      <protection hidden="1"/>
    </xf>
    <xf numFmtId="0" fontId="114" fillId="0" borderId="0" xfId="3" applyFont="1" applyProtection="1">
      <protection hidden="1"/>
    </xf>
    <xf numFmtId="14" fontId="5" fillId="0" borderId="0" xfId="3" applyNumberFormat="1" applyAlignment="1" applyProtection="1">
      <alignment horizontal="left" vertical="center"/>
      <protection hidden="1"/>
    </xf>
    <xf numFmtId="14" fontId="115" fillId="0" borderId="0" xfId="0" applyNumberFormat="1" applyFont="1" applyProtection="1">
      <protection hidden="1"/>
    </xf>
    <xf numFmtId="0" fontId="18" fillId="50" borderId="0" xfId="0" applyFont="1" applyFill="1" applyProtection="1">
      <protection hidden="1"/>
    </xf>
    <xf numFmtId="0" fontId="5" fillId="0" borderId="0" xfId="3" applyAlignment="1" applyProtection="1">
      <alignment horizontal="left" vertical="center"/>
      <protection hidden="1"/>
    </xf>
    <xf numFmtId="0" fontId="116" fillId="0" borderId="0" xfId="0" applyFont="1" applyProtection="1">
      <protection hidden="1"/>
    </xf>
    <xf numFmtId="49" fontId="0" fillId="0" borderId="0" xfId="0" applyNumberFormat="1" applyProtection="1">
      <protection hidden="1"/>
    </xf>
    <xf numFmtId="8" fontId="50" fillId="0" borderId="0" xfId="3" applyNumberFormat="1" applyFont="1" applyProtection="1">
      <protection hidden="1"/>
    </xf>
    <xf numFmtId="181" fontId="50" fillId="0" borderId="0" xfId="3" applyNumberFormat="1" applyFont="1" applyProtection="1">
      <protection hidden="1"/>
    </xf>
    <xf numFmtId="177" fontId="12" fillId="0" borderId="0" xfId="3" applyNumberFormat="1" applyFont="1" applyAlignment="1" applyProtection="1">
      <alignment horizontal="right"/>
      <protection hidden="1"/>
    </xf>
    <xf numFmtId="0" fontId="16" fillId="0" borderId="0" xfId="3" applyFont="1" applyProtection="1">
      <protection hidden="1"/>
    </xf>
    <xf numFmtId="0" fontId="16" fillId="0" borderId="0" xfId="3" applyFont="1" applyAlignment="1" applyProtection="1">
      <alignment horizontal="right"/>
      <protection hidden="1"/>
    </xf>
    <xf numFmtId="44" fontId="18" fillId="43" borderId="0" xfId="0" applyNumberFormat="1" applyFont="1" applyFill="1" applyProtection="1">
      <protection hidden="1"/>
    </xf>
    <xf numFmtId="0" fontId="0" fillId="21" borderId="0" xfId="0" applyFill="1" applyProtection="1">
      <protection hidden="1"/>
    </xf>
    <xf numFmtId="0" fontId="62" fillId="21" borderId="0" xfId="0" applyFont="1" applyFill="1" applyProtection="1">
      <protection hidden="1"/>
    </xf>
    <xf numFmtId="0" fontId="0" fillId="20" borderId="0" xfId="0" applyFill="1" applyProtection="1">
      <protection hidden="1"/>
    </xf>
    <xf numFmtId="0" fontId="62" fillId="20" borderId="0" xfId="0" applyFont="1" applyFill="1" applyProtection="1">
      <protection hidden="1"/>
    </xf>
    <xf numFmtId="0" fontId="70" fillId="21" borderId="0" xfId="0" applyFont="1" applyFill="1" applyProtection="1">
      <protection hidden="1"/>
    </xf>
    <xf numFmtId="0" fontId="120" fillId="21" borderId="0" xfId="0" applyFont="1" applyFill="1" applyProtection="1">
      <protection hidden="1"/>
    </xf>
    <xf numFmtId="0" fontId="120" fillId="0" borderId="0" xfId="0" applyFont="1" applyProtection="1">
      <protection hidden="1"/>
    </xf>
    <xf numFmtId="0" fontId="70" fillId="20" borderId="0" xfId="0" applyFont="1" applyFill="1" applyProtection="1">
      <protection hidden="1"/>
    </xf>
    <xf numFmtId="0" fontId="22" fillId="0" borderId="126" xfId="3" applyFont="1" applyBorder="1" applyProtection="1">
      <protection hidden="1"/>
    </xf>
    <xf numFmtId="181" fontId="5" fillId="16" borderId="0" xfId="3" applyNumberFormat="1" applyFill="1" applyProtection="1">
      <protection hidden="1"/>
    </xf>
    <xf numFmtId="181" fontId="5" fillId="0" borderId="0" xfId="3" applyNumberFormat="1" applyProtection="1">
      <protection hidden="1"/>
    </xf>
    <xf numFmtId="0" fontId="5" fillId="0" borderId="205" xfId="3" applyBorder="1" applyAlignment="1" applyProtection="1">
      <alignment horizontal="center"/>
      <protection hidden="1"/>
    </xf>
    <xf numFmtId="14" fontId="5" fillId="0" borderId="205" xfId="3" applyNumberFormat="1" applyBorder="1" applyAlignment="1" applyProtection="1">
      <alignment horizontal="right"/>
      <protection hidden="1"/>
    </xf>
    <xf numFmtId="1" fontId="0" fillId="12" borderId="0" xfId="0" applyNumberFormat="1" applyFill="1" applyProtection="1">
      <protection hidden="1"/>
    </xf>
    <xf numFmtId="177" fontId="122" fillId="0" borderId="0" xfId="3" quotePrefix="1" applyNumberFormat="1" applyFont="1" applyAlignment="1" applyProtection="1">
      <alignment horizontal="left" vertical="center"/>
      <protection hidden="1"/>
    </xf>
    <xf numFmtId="0" fontId="123" fillId="0" borderId="0" xfId="3" applyFont="1" applyProtection="1">
      <protection hidden="1"/>
    </xf>
    <xf numFmtId="0" fontId="123" fillId="0" borderId="0" xfId="3" applyFont="1" applyAlignment="1" applyProtection="1">
      <alignment horizontal="left" vertical="center"/>
      <protection hidden="1"/>
    </xf>
    <xf numFmtId="177" fontId="124" fillId="0" borderId="0" xfId="3" quotePrefix="1" applyNumberFormat="1" applyFont="1" applyAlignment="1" applyProtection="1">
      <alignment horizontal="center" vertical="center"/>
      <protection hidden="1"/>
    </xf>
    <xf numFmtId="169" fontId="5" fillId="0" borderId="35" xfId="3" applyNumberFormat="1" applyBorder="1" applyAlignment="1" applyProtection="1">
      <alignment horizontal="right"/>
      <protection hidden="1"/>
    </xf>
    <xf numFmtId="0" fontId="125" fillId="0" borderId="0" xfId="0" applyFont="1" applyProtection="1">
      <protection hidden="1"/>
    </xf>
    <xf numFmtId="0" fontId="125" fillId="0" borderId="0" xfId="0" applyFont="1" applyAlignment="1" applyProtection="1">
      <alignment horizontal="right"/>
      <protection hidden="1"/>
    </xf>
    <xf numFmtId="44" fontId="125" fillId="0" borderId="0" xfId="1" applyNumberFormat="1" applyFont="1" applyAlignment="1" applyProtection="1">
      <alignment horizontal="center"/>
      <protection hidden="1"/>
    </xf>
    <xf numFmtId="0" fontId="36" fillId="0" borderId="0" xfId="0" applyFont="1" applyProtection="1">
      <protection hidden="1"/>
    </xf>
    <xf numFmtId="0" fontId="127" fillId="0" borderId="0" xfId="0" applyFont="1" applyProtection="1">
      <protection hidden="1"/>
    </xf>
    <xf numFmtId="0" fontId="126" fillId="0" borderId="0" xfId="0" applyFont="1" applyAlignment="1" applyProtection="1">
      <alignment horizontal="left"/>
      <protection hidden="1"/>
    </xf>
    <xf numFmtId="0" fontId="68" fillId="0" borderId="0" xfId="0" applyFont="1" applyProtection="1">
      <protection hidden="1"/>
    </xf>
    <xf numFmtId="0" fontId="18" fillId="0" borderId="205" xfId="3" applyFont="1" applyBorder="1" applyProtection="1">
      <protection hidden="1"/>
    </xf>
    <xf numFmtId="0" fontId="22" fillId="0" borderId="0" xfId="0" applyFont="1" applyProtection="1">
      <protection hidden="1"/>
    </xf>
    <xf numFmtId="171" fontId="21" fillId="0" borderId="0" xfId="3" applyNumberFormat="1" applyFont="1" applyAlignment="1" applyProtection="1">
      <alignment horizontal="center"/>
      <protection hidden="1"/>
    </xf>
    <xf numFmtId="171" fontId="17" fillId="0" borderId="0" xfId="3" applyNumberFormat="1" applyFont="1" applyAlignment="1" applyProtection="1">
      <alignment horizontal="center"/>
      <protection hidden="1"/>
    </xf>
    <xf numFmtId="0" fontId="99" fillId="0" borderId="0" xfId="0" applyFont="1" applyProtection="1">
      <protection hidden="1"/>
    </xf>
    <xf numFmtId="0" fontId="128" fillId="0" borderId="0" xfId="0" applyFont="1" applyProtection="1">
      <protection hidden="1"/>
    </xf>
    <xf numFmtId="0" fontId="99" fillId="0" borderId="0" xfId="0" applyFont="1" applyAlignment="1" applyProtection="1">
      <alignment horizontal="right"/>
      <protection hidden="1"/>
    </xf>
    <xf numFmtId="0" fontId="18" fillId="0" borderId="93" xfId="0" applyFont="1" applyBorder="1" applyAlignment="1" applyProtection="1">
      <alignment horizontal="center"/>
      <protection hidden="1"/>
    </xf>
    <xf numFmtId="0" fontId="0" fillId="0" borderId="205" xfId="0" applyBorder="1" applyAlignment="1" applyProtection="1">
      <alignment horizontal="center"/>
      <protection hidden="1"/>
    </xf>
    <xf numFmtId="0" fontId="18" fillId="0" borderId="0" xfId="0" applyFont="1" applyAlignment="1">
      <alignment horizontal="center"/>
    </xf>
    <xf numFmtId="0" fontId="0" fillId="51" borderId="0" xfId="0" applyFill="1" applyProtection="1">
      <protection hidden="1"/>
    </xf>
    <xf numFmtId="0" fontId="0" fillId="0" borderId="205" xfId="0" applyBorder="1"/>
    <xf numFmtId="0" fontId="12" fillId="0" borderId="0" xfId="3" applyFont="1" applyAlignment="1" applyProtection="1">
      <alignment horizontal="right"/>
      <protection hidden="1"/>
    </xf>
    <xf numFmtId="14" fontId="18" fillId="0" borderId="0" xfId="0" applyNumberFormat="1" applyFont="1" applyAlignment="1" applyProtection="1">
      <alignment horizontal="right"/>
      <protection hidden="1"/>
    </xf>
    <xf numFmtId="0" fontId="130" fillId="0" borderId="0" xfId="3" applyFont="1" applyProtection="1">
      <protection hidden="1"/>
    </xf>
    <xf numFmtId="0" fontId="13" fillId="0" borderId="0" xfId="3" applyFont="1" applyAlignment="1" applyProtection="1">
      <alignment horizontal="right"/>
      <protection hidden="1"/>
    </xf>
    <xf numFmtId="0" fontId="132" fillId="0" borderId="0" xfId="3" applyFont="1" applyProtection="1">
      <protection hidden="1"/>
    </xf>
    <xf numFmtId="171" fontId="131" fillId="0" borderId="0" xfId="3" applyNumberFormat="1" applyFont="1" applyAlignment="1" applyProtection="1">
      <alignment horizontal="right"/>
      <protection hidden="1"/>
    </xf>
    <xf numFmtId="14" fontId="18" fillId="0" borderId="0" xfId="0" applyNumberFormat="1" applyFont="1" applyAlignment="1" applyProtection="1">
      <alignment horizontal="left"/>
      <protection hidden="1"/>
    </xf>
    <xf numFmtId="169" fontId="133" fillId="0" borderId="0" xfId="3" applyNumberFormat="1" applyFont="1" applyProtection="1">
      <protection hidden="1"/>
    </xf>
    <xf numFmtId="171" fontId="134" fillId="0" borderId="0" xfId="3" applyNumberFormat="1" applyFont="1" applyAlignment="1" applyProtection="1">
      <alignment horizontal="left"/>
      <protection hidden="1"/>
    </xf>
    <xf numFmtId="171" fontId="134" fillId="0" borderId="0" xfId="3" applyNumberFormat="1" applyFont="1" applyAlignment="1" applyProtection="1">
      <alignment horizontal="center"/>
      <protection hidden="1"/>
    </xf>
    <xf numFmtId="169" fontId="136" fillId="0" borderId="95" xfId="3" quotePrefix="1" applyNumberFormat="1" applyFont="1" applyBorder="1" applyProtection="1">
      <protection hidden="1"/>
    </xf>
    <xf numFmtId="169" fontId="136" fillId="0" borderId="95" xfId="3" quotePrefix="1" applyNumberFormat="1" applyFont="1" applyBorder="1" applyAlignment="1" applyProtection="1">
      <alignment horizontal="right"/>
      <protection hidden="1"/>
    </xf>
    <xf numFmtId="169" fontId="136" fillId="0" borderId="0" xfId="3" quotePrefix="1" applyNumberFormat="1" applyFont="1" applyProtection="1">
      <protection hidden="1"/>
    </xf>
    <xf numFmtId="169" fontId="136" fillId="0" borderId="226" xfId="3" quotePrefix="1" applyNumberFormat="1" applyFont="1" applyBorder="1" applyProtection="1">
      <protection hidden="1"/>
    </xf>
    <xf numFmtId="0" fontId="137" fillId="0" borderId="0" xfId="3" applyFont="1" applyProtection="1">
      <protection hidden="1"/>
    </xf>
    <xf numFmtId="0" fontId="138" fillId="0" borderId="0" xfId="3" applyFont="1" applyAlignment="1" applyProtection="1">
      <alignment horizontal="center"/>
      <protection hidden="1"/>
    </xf>
    <xf numFmtId="0" fontId="138" fillId="0" borderId="0" xfId="3" applyFont="1" applyProtection="1">
      <protection hidden="1"/>
    </xf>
    <xf numFmtId="0" fontId="140" fillId="0" borderId="0" xfId="3" applyFont="1" applyAlignment="1" applyProtection="1">
      <alignment horizontal="right"/>
      <protection hidden="1"/>
    </xf>
    <xf numFmtId="0" fontId="139" fillId="0" borderId="0" xfId="3" applyFont="1" applyProtection="1">
      <protection hidden="1"/>
    </xf>
    <xf numFmtId="0" fontId="140" fillId="0" borderId="0" xfId="3" applyFont="1" applyAlignment="1" applyProtection="1">
      <alignment horizontal="center"/>
      <protection locked="0" hidden="1"/>
    </xf>
    <xf numFmtId="0" fontId="137" fillId="0" borderId="0" xfId="3" applyFont="1" applyAlignment="1" applyProtection="1">
      <alignment horizontal="right"/>
      <protection hidden="1"/>
    </xf>
    <xf numFmtId="0" fontId="137" fillId="0" borderId="0" xfId="3" applyFont="1" applyAlignment="1" applyProtection="1">
      <alignment horizontal="center"/>
      <protection hidden="1"/>
    </xf>
    <xf numFmtId="0" fontId="137" fillId="0" borderId="228" xfId="3" applyFont="1" applyBorder="1" applyProtection="1">
      <protection hidden="1"/>
    </xf>
    <xf numFmtId="211" fontId="137" fillId="0" borderId="228" xfId="3" applyNumberFormat="1" applyFont="1" applyBorder="1" applyAlignment="1" applyProtection="1">
      <alignment horizontal="center"/>
      <protection hidden="1"/>
    </xf>
    <xf numFmtId="0" fontId="137" fillId="0" borderId="228" xfId="3" applyFont="1" applyBorder="1" applyAlignment="1" applyProtection="1">
      <alignment horizontal="center"/>
      <protection hidden="1"/>
    </xf>
    <xf numFmtId="211" fontId="137" fillId="0" borderId="229" xfId="3" applyNumberFormat="1" applyFont="1" applyBorder="1" applyAlignment="1" applyProtection="1">
      <alignment horizontal="center"/>
      <protection hidden="1"/>
    </xf>
    <xf numFmtId="0" fontId="139" fillId="0" borderId="230" xfId="3" applyFont="1" applyBorder="1" applyProtection="1">
      <protection hidden="1"/>
    </xf>
    <xf numFmtId="0" fontId="137" fillId="0" borderId="231" xfId="3" applyFont="1" applyBorder="1" applyProtection="1">
      <protection hidden="1"/>
    </xf>
    <xf numFmtId="0" fontId="137" fillId="0" borderId="231" xfId="3" applyFont="1" applyBorder="1" applyAlignment="1" applyProtection="1">
      <alignment horizontal="right"/>
      <protection hidden="1"/>
    </xf>
    <xf numFmtId="0" fontId="137" fillId="0" borderId="231" xfId="3" applyFont="1" applyBorder="1" applyAlignment="1" applyProtection="1">
      <alignment horizontal="center"/>
      <protection hidden="1"/>
    </xf>
    <xf numFmtId="0" fontId="0" fillId="0" borderId="0" xfId="0" applyAlignment="1">
      <alignment horizontal="left"/>
    </xf>
    <xf numFmtId="49" fontId="0" fillId="0" borderId="0" xfId="0" applyNumberFormat="1" applyAlignment="1">
      <alignment horizontal="left"/>
    </xf>
    <xf numFmtId="171" fontId="12" fillId="0" borderId="0" xfId="3" applyNumberFormat="1" applyFont="1" applyAlignment="1" applyProtection="1">
      <alignment horizontal="center"/>
      <protection hidden="1"/>
    </xf>
    <xf numFmtId="14" fontId="0" fillId="12" borderId="0" xfId="0" applyNumberFormat="1" applyFill="1" applyProtection="1">
      <protection hidden="1"/>
    </xf>
    <xf numFmtId="14" fontId="0" fillId="0" borderId="0" xfId="0" applyNumberFormat="1" applyAlignment="1">
      <alignment horizontal="center"/>
    </xf>
    <xf numFmtId="0" fontId="0" fillId="0" borderId="95" xfId="0" applyBorder="1" applyAlignment="1">
      <alignment horizontal="center"/>
    </xf>
    <xf numFmtId="14" fontId="0" fillId="0" borderId="121" xfId="0" applyNumberFormat="1" applyBorder="1" applyAlignment="1">
      <alignment horizontal="center"/>
    </xf>
    <xf numFmtId="0" fontId="0" fillId="0" borderId="122" xfId="0" applyBorder="1" applyAlignment="1">
      <alignment horizontal="center"/>
    </xf>
    <xf numFmtId="0" fontId="0" fillId="0" borderId="123" xfId="0" applyBorder="1"/>
    <xf numFmtId="14" fontId="0" fillId="0" borderId="124" xfId="0" applyNumberFormat="1" applyBorder="1" applyAlignment="1">
      <alignment horizontal="center"/>
    </xf>
    <xf numFmtId="14" fontId="0" fillId="0" borderId="237" xfId="0" applyNumberFormat="1" applyBorder="1" applyAlignment="1">
      <alignment horizontal="center"/>
    </xf>
    <xf numFmtId="14" fontId="0" fillId="0" borderId="238" xfId="0" applyNumberFormat="1" applyBorder="1" applyAlignment="1">
      <alignment horizontal="center"/>
    </xf>
    <xf numFmtId="0" fontId="141" fillId="0" borderId="0" xfId="0" applyFont="1"/>
    <xf numFmtId="0" fontId="142" fillId="0" borderId="0" xfId="0" applyFont="1"/>
    <xf numFmtId="0" fontId="143" fillId="0" borderId="0" xfId="0" applyFont="1"/>
    <xf numFmtId="0" fontId="144" fillId="0" borderId="0" xfId="0" applyFont="1" applyProtection="1">
      <protection hidden="1"/>
    </xf>
    <xf numFmtId="0" fontId="146" fillId="0" borderId="0" xfId="0" applyFont="1"/>
    <xf numFmtId="0" fontId="0" fillId="0" borderId="0" xfId="0" applyAlignment="1" applyProtection="1">
      <alignment vertical="center" wrapText="1"/>
      <protection hidden="1"/>
    </xf>
    <xf numFmtId="0" fontId="12" fillId="0" borderId="0" xfId="3" applyFont="1" applyProtection="1">
      <protection hidden="1"/>
    </xf>
    <xf numFmtId="0" fontId="21" fillId="0" borderId="0" xfId="3" applyFont="1" applyAlignment="1" applyProtection="1">
      <alignment horizontal="center"/>
      <protection hidden="1"/>
    </xf>
    <xf numFmtId="0" fontId="0" fillId="0" borderId="118" xfId="0" applyBorder="1" applyAlignment="1">
      <alignment horizontal="center"/>
    </xf>
    <xf numFmtId="0" fontId="0" fillId="0" borderId="119" xfId="0" applyBorder="1"/>
    <xf numFmtId="14" fontId="0" fillId="0" borderId="239" xfId="0" applyNumberFormat="1" applyBorder="1" applyAlignment="1">
      <alignment horizontal="center"/>
    </xf>
    <xf numFmtId="14" fontId="0" fillId="0" borderId="120" xfId="0" applyNumberFormat="1" applyBorder="1" applyAlignment="1">
      <alignment horizontal="center"/>
    </xf>
    <xf numFmtId="0" fontId="45" fillId="33" borderId="0" xfId="0" applyFont="1" applyFill="1" applyAlignment="1" applyProtection="1">
      <alignment horizontal="center"/>
      <protection hidden="1"/>
    </xf>
    <xf numFmtId="0" fontId="99" fillId="0" borderId="0" xfId="3" quotePrefix="1" applyFont="1" applyAlignment="1" applyProtection="1">
      <alignment horizontal="left" vertical="top"/>
      <protection hidden="1"/>
    </xf>
    <xf numFmtId="0" fontId="107" fillId="0" borderId="0" xfId="3" quotePrefix="1" applyFont="1" applyAlignment="1" applyProtection="1">
      <alignment horizontal="left" vertical="top"/>
      <protection hidden="1"/>
    </xf>
    <xf numFmtId="211" fontId="137" fillId="0" borderId="0" xfId="3" applyNumberFormat="1" applyFont="1" applyAlignment="1" applyProtection="1">
      <alignment horizontal="center"/>
      <protection hidden="1"/>
    </xf>
    <xf numFmtId="182" fontId="29" fillId="0" borderId="125" xfId="0" applyNumberFormat="1" applyFont="1" applyBorder="1" applyAlignment="1" applyProtection="1">
      <alignment horizontal="center"/>
      <protection hidden="1"/>
    </xf>
    <xf numFmtId="2" fontId="29" fillId="0" borderId="125" xfId="0" applyNumberFormat="1" applyFont="1" applyBorder="1" applyProtection="1">
      <protection hidden="1"/>
    </xf>
    <xf numFmtId="0" fontId="5" fillId="0" borderId="0" xfId="3" applyAlignment="1" applyProtection="1">
      <alignment horizontal="right" vertical="center" wrapText="1"/>
      <protection hidden="1"/>
    </xf>
    <xf numFmtId="0" fontId="18" fillId="0" borderId="0" xfId="3" applyFont="1" applyAlignment="1" applyProtection="1">
      <alignment horizontal="center" vertical="center"/>
      <protection hidden="1"/>
    </xf>
    <xf numFmtId="0" fontId="5" fillId="0" borderId="0" xfId="3" applyAlignment="1" applyProtection="1">
      <alignment horizontal="right" vertical="top" wrapText="1"/>
      <protection hidden="1"/>
    </xf>
    <xf numFmtId="14" fontId="5" fillId="0" borderId="0" xfId="3" applyNumberFormat="1" applyAlignment="1" applyProtection="1">
      <alignment horizontal="right"/>
      <protection hidden="1"/>
    </xf>
    <xf numFmtId="14" fontId="0" fillId="0" borderId="0" xfId="0" applyNumberFormat="1" applyAlignment="1">
      <alignment horizontal="left"/>
    </xf>
    <xf numFmtId="0" fontId="149" fillId="0" borderId="0" xfId="0" applyFont="1" applyAlignment="1" applyProtection="1">
      <alignment vertical="center"/>
      <protection hidden="1"/>
    </xf>
    <xf numFmtId="0" fontId="148" fillId="0" borderId="0" xfId="0" applyFont="1" applyAlignment="1" applyProtection="1">
      <alignment vertical="center"/>
      <protection hidden="1"/>
    </xf>
    <xf numFmtId="179" fontId="5" fillId="0" borderId="205" xfId="2" applyNumberFormat="1" applyBorder="1" applyAlignment="1" applyProtection="1">
      <alignment horizontal="center"/>
      <protection hidden="1"/>
    </xf>
    <xf numFmtId="211" fontId="137" fillId="0" borderId="0" xfId="3" applyNumberFormat="1" applyFont="1" applyAlignment="1" applyProtection="1">
      <alignment horizontal="center"/>
      <protection locked="0"/>
    </xf>
    <xf numFmtId="0" fontId="29" fillId="0" borderId="0" xfId="0" applyFont="1" applyProtection="1">
      <protection locked="0"/>
    </xf>
    <xf numFmtId="0" fontId="17" fillId="0" borderId="240" xfId="3" applyFont="1" applyBorder="1" applyAlignment="1" applyProtection="1">
      <alignment horizontal="center"/>
      <protection hidden="1"/>
    </xf>
    <xf numFmtId="171" fontId="0" fillId="0" borderId="0" xfId="1" applyFont="1"/>
    <xf numFmtId="171" fontId="0" fillId="0" borderId="205" xfId="1" applyFont="1" applyBorder="1" applyProtection="1">
      <protection hidden="1"/>
    </xf>
    <xf numFmtId="171" fontId="17" fillId="0" borderId="25" xfId="1" applyFont="1" applyBorder="1"/>
    <xf numFmtId="171" fontId="0" fillId="0" borderId="25" xfId="1" applyFont="1" applyBorder="1"/>
    <xf numFmtId="14" fontId="59" fillId="0" borderId="0" xfId="0" applyNumberFormat="1" applyFont="1"/>
    <xf numFmtId="0" fontId="18" fillId="0" borderId="93" xfId="0" applyFont="1" applyBorder="1" applyAlignment="1">
      <alignment horizontal="center" vertical="center" wrapText="1"/>
    </xf>
    <xf numFmtId="169" fontId="12" fillId="42" borderId="244" xfId="3" applyNumberFormat="1" applyFont="1" applyFill="1" applyBorder="1" applyAlignment="1" applyProtection="1">
      <alignment horizontal="center"/>
      <protection locked="0"/>
    </xf>
    <xf numFmtId="169" fontId="12" fillId="42" borderId="245" xfId="3" applyNumberFormat="1" applyFont="1" applyFill="1" applyBorder="1" applyAlignment="1" applyProtection="1">
      <alignment horizontal="center"/>
      <protection locked="0"/>
    </xf>
    <xf numFmtId="169" fontId="12" fillId="42" borderId="28" xfId="3" applyNumberFormat="1" applyFont="1" applyFill="1" applyBorder="1" applyAlignment="1" applyProtection="1">
      <alignment horizontal="center"/>
      <protection locked="0"/>
    </xf>
    <xf numFmtId="169" fontId="5" fillId="42" borderId="245" xfId="3" applyNumberFormat="1" applyFill="1" applyBorder="1" applyAlignment="1" applyProtection="1">
      <alignment horizontal="center"/>
      <protection locked="0"/>
    </xf>
    <xf numFmtId="169" fontId="5" fillId="42" borderId="28" xfId="3" applyNumberFormat="1" applyFill="1" applyBorder="1" applyAlignment="1" applyProtection="1">
      <alignment horizontal="center"/>
      <protection locked="0"/>
    </xf>
    <xf numFmtId="169" fontId="5" fillId="0" borderId="61" xfId="3" applyNumberFormat="1" applyBorder="1" applyAlignment="1" applyProtection="1">
      <alignment horizontal="center"/>
      <protection locked="0"/>
    </xf>
    <xf numFmtId="20" fontId="0" fillId="0" borderId="246" xfId="0" applyNumberFormat="1" applyBorder="1" applyAlignment="1" applyProtection="1">
      <alignment horizontal="center"/>
      <protection hidden="1"/>
    </xf>
    <xf numFmtId="20" fontId="0" fillId="0" borderId="247" xfId="0" applyNumberFormat="1" applyBorder="1" applyAlignment="1" applyProtection="1">
      <alignment horizontal="center"/>
      <protection hidden="1"/>
    </xf>
    <xf numFmtId="202" fontId="18" fillId="0" borderId="248" xfId="0" applyNumberFormat="1" applyFont="1" applyBorder="1" applyProtection="1">
      <protection hidden="1"/>
    </xf>
    <xf numFmtId="20" fontId="0" fillId="0" borderId="249" xfId="0" applyNumberFormat="1" applyBorder="1" applyAlignment="1" applyProtection="1">
      <alignment horizontal="center"/>
      <protection hidden="1"/>
    </xf>
    <xf numFmtId="202" fontId="18" fillId="0" borderId="250" xfId="0" applyNumberFormat="1" applyFont="1" applyBorder="1" applyProtection="1">
      <protection hidden="1"/>
    </xf>
    <xf numFmtId="20" fontId="0" fillId="0" borderId="251" xfId="0" applyNumberFormat="1" applyBorder="1" applyAlignment="1" applyProtection="1">
      <alignment horizontal="center"/>
      <protection hidden="1"/>
    </xf>
    <xf numFmtId="20" fontId="0" fillId="0" borderId="252" xfId="0" applyNumberFormat="1" applyBorder="1" applyAlignment="1" applyProtection="1">
      <alignment horizontal="center"/>
      <protection hidden="1"/>
    </xf>
    <xf numFmtId="202" fontId="18" fillId="0" borderId="253" xfId="0" applyNumberFormat="1" applyFont="1" applyBorder="1" applyProtection="1">
      <protection hidden="1"/>
    </xf>
    <xf numFmtId="0" fontId="35" fillId="0" borderId="0" xfId="3" applyFont="1" applyAlignment="1" applyProtection="1">
      <alignment horizontal="right"/>
      <protection hidden="1"/>
    </xf>
    <xf numFmtId="14" fontId="35" fillId="0" borderId="0" xfId="3" applyNumberFormat="1" applyFont="1" applyAlignment="1" applyProtection="1">
      <alignment horizontal="center"/>
      <protection hidden="1"/>
    </xf>
    <xf numFmtId="0" fontId="17" fillId="0" borderId="0" xfId="3" applyFont="1" applyAlignment="1" applyProtection="1">
      <alignment horizontal="right"/>
      <protection hidden="1"/>
    </xf>
    <xf numFmtId="0" fontId="151" fillId="0" borderId="0" xfId="0" applyFont="1" applyProtection="1">
      <protection hidden="1"/>
    </xf>
    <xf numFmtId="2" fontId="29" fillId="0" borderId="0" xfId="0" applyNumberFormat="1" applyFont="1" applyProtection="1">
      <protection hidden="1"/>
    </xf>
    <xf numFmtId="0" fontId="6" fillId="0" borderId="0" xfId="3" applyFont="1" applyAlignment="1" applyProtection="1">
      <alignment horizontal="center"/>
      <protection hidden="1"/>
    </xf>
    <xf numFmtId="0" fontId="28" fillId="0" borderId="0" xfId="0" applyFont="1"/>
    <xf numFmtId="197" fontId="0" fillId="13" borderId="205" xfId="0" applyNumberFormat="1" applyFill="1" applyBorder="1" applyAlignment="1" applyProtection="1">
      <alignment horizontal="center"/>
      <protection locked="0"/>
    </xf>
    <xf numFmtId="181" fontId="5" fillId="13" borderId="205" xfId="4" applyNumberFormat="1" applyFont="1" applyFill="1" applyBorder="1" applyAlignment="1" applyProtection="1">
      <alignment horizontal="center"/>
      <protection locked="0"/>
    </xf>
    <xf numFmtId="14" fontId="5" fillId="0" borderId="205" xfId="3" applyNumberFormat="1" applyBorder="1" applyAlignment="1">
      <alignment horizontal="right"/>
    </xf>
    <xf numFmtId="181" fontId="0" fillId="13" borderId="205" xfId="0" applyNumberFormat="1" applyFill="1" applyBorder="1" applyAlignment="1" applyProtection="1">
      <alignment horizontal="center"/>
      <protection locked="0"/>
    </xf>
    <xf numFmtId="171" fontId="8" fillId="0" borderId="17" xfId="3" quotePrefix="1" applyNumberFormat="1" applyFont="1" applyBorder="1" applyProtection="1">
      <protection hidden="1"/>
    </xf>
    <xf numFmtId="201" fontId="70" fillId="0" borderId="0" xfId="0" applyNumberFormat="1" applyFont="1" applyProtection="1">
      <protection hidden="1"/>
    </xf>
    <xf numFmtId="0" fontId="153" fillId="0" borderId="0" xfId="0" applyFont="1"/>
    <xf numFmtId="0" fontId="41" fillId="0" borderId="0" xfId="0" applyFont="1" applyAlignment="1" applyProtection="1">
      <alignment vertical="center"/>
      <protection hidden="1"/>
    </xf>
    <xf numFmtId="0" fontId="154" fillId="0" borderId="0" xfId="0" applyFont="1" applyAlignment="1" applyProtection="1">
      <alignment vertical="center"/>
      <protection hidden="1"/>
    </xf>
    <xf numFmtId="0" fontId="62" fillId="0" borderId="0" xfId="0" applyFont="1" applyAlignment="1" applyProtection="1">
      <alignment horizontal="right"/>
      <protection hidden="1"/>
    </xf>
    <xf numFmtId="173" fontId="5" fillId="12" borderId="105" xfId="2" applyNumberFormat="1" applyFill="1" applyBorder="1" applyAlignment="1" applyProtection="1">
      <alignment horizontal="left"/>
      <protection hidden="1"/>
    </xf>
    <xf numFmtId="171" fontId="12" fillId="0" borderId="0" xfId="1" applyFont="1" applyAlignment="1">
      <alignment horizontal="center"/>
    </xf>
    <xf numFmtId="0" fontId="5" fillId="0" borderId="254" xfId="3" applyBorder="1" applyProtection="1">
      <protection hidden="1"/>
    </xf>
    <xf numFmtId="177" fontId="12" fillId="0" borderId="0" xfId="3" applyNumberFormat="1" applyFont="1" applyAlignment="1" applyProtection="1">
      <alignment horizontal="left"/>
      <protection hidden="1"/>
    </xf>
    <xf numFmtId="177" fontId="18" fillId="0" borderId="0" xfId="3" quotePrefix="1" applyNumberFormat="1" applyFont="1" applyAlignment="1" applyProtection="1">
      <alignment horizontal="center" vertical="center"/>
      <protection hidden="1"/>
    </xf>
    <xf numFmtId="177" fontId="5" fillId="0" borderId="121" xfId="3" applyNumberFormat="1" applyBorder="1" applyAlignment="1" applyProtection="1">
      <alignment horizontal="center"/>
      <protection hidden="1"/>
    </xf>
    <xf numFmtId="0" fontId="5" fillId="0" borderId="121" xfId="3" applyBorder="1" applyProtection="1">
      <protection hidden="1"/>
    </xf>
    <xf numFmtId="171" fontId="13" fillId="0" borderId="0" xfId="3" applyNumberFormat="1" applyFont="1" applyProtection="1">
      <protection hidden="1"/>
    </xf>
    <xf numFmtId="44" fontId="0" fillId="0" borderId="257" xfId="0" applyNumberFormat="1" applyBorder="1" applyProtection="1">
      <protection hidden="1"/>
    </xf>
    <xf numFmtId="181" fontId="94" fillId="0" borderId="0" xfId="0" quotePrefix="1" applyNumberFormat="1" applyFont="1" applyProtection="1">
      <protection hidden="1"/>
    </xf>
    <xf numFmtId="0" fontId="18" fillId="0" borderId="205" xfId="0" applyFont="1" applyBorder="1" applyAlignment="1" applyProtection="1">
      <alignment horizontal="center" vertical="center" wrapText="1"/>
      <protection hidden="1"/>
    </xf>
    <xf numFmtId="0" fontId="0" fillId="0" borderId="205" xfId="0" applyBorder="1" applyAlignment="1" applyProtection="1">
      <alignment horizontal="center" vertical="center" wrapText="1"/>
      <protection hidden="1"/>
    </xf>
    <xf numFmtId="0" fontId="62" fillId="0" borderId="0" xfId="0" applyFont="1" applyAlignment="1" applyProtection="1">
      <alignment horizontal="left"/>
      <protection hidden="1"/>
    </xf>
    <xf numFmtId="171" fontId="18" fillId="0" borderId="0" xfId="3" applyNumberFormat="1" applyFont="1" applyProtection="1">
      <protection hidden="1"/>
    </xf>
    <xf numFmtId="0" fontId="0" fillId="0" borderId="259" xfId="0" applyBorder="1" applyProtection="1">
      <protection hidden="1"/>
    </xf>
    <xf numFmtId="171" fontId="64" fillId="0" borderId="0" xfId="3" applyNumberFormat="1" applyFont="1" applyProtection="1">
      <protection hidden="1"/>
    </xf>
    <xf numFmtId="171" fontId="12" fillId="0" borderId="0" xfId="3" applyNumberFormat="1" applyFont="1" applyAlignment="1" applyProtection="1">
      <alignment horizontal="right"/>
      <protection hidden="1"/>
    </xf>
    <xf numFmtId="0" fontId="18" fillId="22" borderId="64" xfId="0" applyFont="1" applyFill="1" applyBorder="1" applyAlignment="1" applyProtection="1">
      <alignment horizontal="center" vertical="center" wrapText="1"/>
      <protection hidden="1"/>
    </xf>
    <xf numFmtId="169" fontId="12" fillId="0" borderId="264" xfId="3" applyNumberFormat="1" applyFont="1" applyBorder="1" applyProtection="1">
      <protection hidden="1"/>
    </xf>
    <xf numFmtId="169" fontId="158" fillId="0" borderId="95" xfId="3" applyNumberFormat="1" applyFont="1" applyBorder="1" applyProtection="1">
      <protection hidden="1"/>
    </xf>
    <xf numFmtId="169" fontId="158" fillId="0" borderId="0" xfId="3" applyNumberFormat="1" applyFont="1" applyProtection="1">
      <protection hidden="1"/>
    </xf>
    <xf numFmtId="0" fontId="159" fillId="0" borderId="0" xfId="3" applyFont="1" applyProtection="1">
      <protection hidden="1"/>
    </xf>
    <xf numFmtId="0" fontId="160" fillId="0" borderId="0" xfId="3" applyFont="1" applyProtection="1">
      <protection hidden="1"/>
    </xf>
    <xf numFmtId="177" fontId="160" fillId="0" borderId="0" xfId="3" applyNumberFormat="1" applyFont="1" applyAlignment="1" applyProtection="1">
      <alignment horizontal="center"/>
      <protection hidden="1"/>
    </xf>
    <xf numFmtId="185" fontId="29" fillId="0" borderId="0" xfId="0" applyNumberFormat="1" applyFont="1" applyAlignment="1" applyProtection="1">
      <alignment horizontal="center"/>
      <protection hidden="1"/>
    </xf>
    <xf numFmtId="0" fontId="162" fillId="0" borderId="0" xfId="0" applyFont="1" applyProtection="1">
      <protection hidden="1"/>
    </xf>
    <xf numFmtId="0" fontId="162" fillId="0" borderId="0" xfId="0" applyFont="1" applyAlignment="1" applyProtection="1">
      <alignment horizontal="right"/>
      <protection hidden="1"/>
    </xf>
    <xf numFmtId="0" fontId="162" fillId="0" borderId="0" xfId="0" applyFont="1" applyAlignment="1" applyProtection="1">
      <alignment horizontal="center"/>
      <protection hidden="1"/>
    </xf>
    <xf numFmtId="198" fontId="0" fillId="0" borderId="205" xfId="0" applyNumberFormat="1" applyBorder="1" applyAlignment="1" applyProtection="1">
      <alignment horizontal="right"/>
      <protection hidden="1"/>
    </xf>
    <xf numFmtId="177" fontId="49" fillId="0" borderId="0" xfId="3" applyNumberFormat="1" applyFont="1" applyProtection="1">
      <protection hidden="1"/>
    </xf>
    <xf numFmtId="0" fontId="127" fillId="0" borderId="0" xfId="0" applyFont="1" applyAlignment="1" applyProtection="1">
      <alignment horizontal="right"/>
      <protection hidden="1"/>
    </xf>
    <xf numFmtId="0" fontId="163" fillId="0" borderId="0" xfId="0" applyFont="1" applyAlignment="1" applyProtection="1">
      <alignment horizontal="center"/>
      <protection hidden="1"/>
    </xf>
    <xf numFmtId="0" fontId="164" fillId="0" borderId="0" xfId="0" applyFont="1" applyProtection="1">
      <protection hidden="1"/>
    </xf>
    <xf numFmtId="0" fontId="164" fillId="0" borderId="0" xfId="3" applyFont="1" applyAlignment="1" applyProtection="1">
      <alignment horizontal="center" wrapText="1"/>
      <protection hidden="1"/>
    </xf>
    <xf numFmtId="0" fontId="152" fillId="0" borderId="0" xfId="0" applyFont="1" applyProtection="1">
      <protection hidden="1"/>
    </xf>
    <xf numFmtId="0" fontId="164" fillId="0" borderId="0" xfId="0" applyFont="1"/>
    <xf numFmtId="0" fontId="166" fillId="0" borderId="0" xfId="3" quotePrefix="1" applyFont="1" applyProtection="1">
      <protection hidden="1"/>
    </xf>
    <xf numFmtId="0" fontId="166" fillId="0" borderId="0" xfId="3" applyFont="1" applyProtection="1">
      <protection hidden="1"/>
    </xf>
    <xf numFmtId="213" fontId="87" fillId="0" borderId="0" xfId="1" applyNumberFormat="1" applyFont="1" applyProtection="1">
      <protection hidden="1"/>
    </xf>
    <xf numFmtId="0" fontId="44" fillId="53" borderId="0" xfId="0" applyFont="1" applyFill="1" applyAlignment="1" applyProtection="1">
      <alignment horizontal="center" vertical="center"/>
      <protection locked="0" hidden="1"/>
    </xf>
    <xf numFmtId="0" fontId="0" fillId="53" borderId="0" xfId="0" applyFill="1" applyAlignment="1" applyProtection="1">
      <alignment horizontal="left"/>
      <protection locked="0"/>
    </xf>
    <xf numFmtId="49" fontId="0" fillId="53" borderId="0" xfId="0" applyNumberFormat="1" applyFill="1" applyAlignment="1" applyProtection="1">
      <alignment horizontal="left"/>
      <protection locked="0"/>
    </xf>
    <xf numFmtId="14" fontId="0" fillId="53" borderId="0" xfId="0" applyNumberFormat="1" applyFill="1" applyAlignment="1" applyProtection="1">
      <alignment horizontal="left"/>
      <protection locked="0"/>
    </xf>
    <xf numFmtId="173" fontId="5" fillId="53" borderId="0" xfId="2" applyNumberFormat="1" applyFill="1" applyAlignment="1" applyProtection="1">
      <alignment horizontal="left"/>
      <protection locked="0"/>
    </xf>
    <xf numFmtId="0" fontId="0" fillId="53" borderId="0" xfId="0" applyFill="1" applyProtection="1">
      <protection locked="0"/>
    </xf>
    <xf numFmtId="14" fontId="0" fillId="53" borderId="0" xfId="0" applyNumberFormat="1" applyFill="1" applyProtection="1">
      <protection locked="0"/>
    </xf>
    <xf numFmtId="208" fontId="45" fillId="53" borderId="0" xfId="0" applyNumberFormat="1" applyFont="1" applyFill="1" applyAlignment="1" applyProtection="1">
      <alignment horizontal="center" vertical="center"/>
      <protection locked="0"/>
    </xf>
    <xf numFmtId="0" fontId="45" fillId="53" borderId="0" xfId="0" applyFont="1" applyFill="1" applyAlignment="1" applyProtection="1">
      <alignment horizontal="center"/>
      <protection locked="0"/>
    </xf>
    <xf numFmtId="209" fontId="45" fillId="53" borderId="0" xfId="0" applyNumberFormat="1" applyFont="1" applyFill="1" applyAlignment="1" applyProtection="1">
      <alignment horizontal="center" vertical="center"/>
      <protection locked="0"/>
    </xf>
    <xf numFmtId="200" fontId="45" fillId="53" borderId="0" xfId="0" applyNumberFormat="1" applyFont="1" applyFill="1" applyAlignment="1" applyProtection="1">
      <alignment horizontal="center" vertical="center"/>
      <protection locked="0"/>
    </xf>
    <xf numFmtId="0" fontId="45" fillId="53" borderId="0" xfId="0" applyFont="1" applyFill="1" applyProtection="1">
      <protection locked="0"/>
    </xf>
    <xf numFmtId="0" fontId="5" fillId="54" borderId="0" xfId="3" applyFill="1" applyAlignment="1" applyProtection="1">
      <alignment horizontal="left"/>
      <protection locked="0"/>
    </xf>
    <xf numFmtId="49" fontId="5" fillId="54" borderId="0" xfId="3" applyNumberFormat="1" applyFill="1" applyAlignment="1" applyProtection="1">
      <alignment horizontal="left"/>
      <protection locked="0"/>
    </xf>
    <xf numFmtId="14" fontId="5" fillId="54" borderId="0" xfId="3" applyNumberFormat="1" applyFill="1" applyAlignment="1" applyProtection="1">
      <alignment horizontal="center"/>
      <protection locked="0"/>
    </xf>
    <xf numFmtId="0" fontId="5" fillId="53" borderId="0" xfId="3" applyFill="1" applyAlignment="1" applyProtection="1">
      <alignment horizontal="center"/>
      <protection locked="0"/>
    </xf>
    <xf numFmtId="212" fontId="18" fillId="53" borderId="0" xfId="3" applyNumberFormat="1" applyFont="1" applyFill="1" applyAlignment="1" applyProtection="1">
      <alignment horizontal="center" vertical="center"/>
      <protection locked="0"/>
    </xf>
    <xf numFmtId="173" fontId="5" fillId="54" borderId="0" xfId="2" applyNumberFormat="1" applyFill="1" applyAlignment="1" applyProtection="1">
      <alignment horizontal="center"/>
      <protection locked="0"/>
    </xf>
    <xf numFmtId="14" fontId="5" fillId="53" borderId="205" xfId="3" applyNumberFormat="1" applyFill="1" applyBorder="1" applyAlignment="1" applyProtection="1">
      <alignment horizontal="right"/>
      <protection locked="0"/>
    </xf>
    <xf numFmtId="197" fontId="0" fillId="53" borderId="205" xfId="0" applyNumberFormat="1" applyFill="1" applyBorder="1" applyAlignment="1" applyProtection="1">
      <alignment horizontal="center"/>
      <protection locked="0"/>
    </xf>
    <xf numFmtId="179" fontId="5" fillId="53" borderId="205" xfId="2" applyNumberFormat="1" applyFill="1" applyBorder="1" applyAlignment="1" applyProtection="1">
      <alignment horizontal="center"/>
      <protection locked="0"/>
    </xf>
    <xf numFmtId="181" fontId="0" fillId="53" borderId="205" xfId="0" applyNumberFormat="1" applyFill="1" applyBorder="1" applyAlignment="1" applyProtection="1">
      <alignment horizontal="center"/>
      <protection locked="0"/>
    </xf>
    <xf numFmtId="181" fontId="5" fillId="53" borderId="205" xfId="3" applyNumberFormat="1" applyFill="1" applyBorder="1" applyAlignment="1" applyProtection="1">
      <alignment horizontal="center"/>
      <protection locked="0"/>
    </xf>
    <xf numFmtId="181" fontId="70" fillId="53" borderId="205" xfId="3" applyNumberFormat="1" applyFont="1" applyFill="1" applyBorder="1" applyAlignment="1" applyProtection="1">
      <alignment horizontal="center"/>
      <protection locked="0"/>
    </xf>
    <xf numFmtId="1" fontId="70" fillId="53" borderId="205" xfId="3" applyNumberFormat="1" applyFont="1" applyFill="1" applyBorder="1" applyAlignment="1" applyProtection="1">
      <alignment horizontal="center"/>
      <protection locked="0"/>
    </xf>
    <xf numFmtId="0" fontId="0" fillId="53" borderId="17" xfId="0" applyFill="1" applyBorder="1" applyProtection="1">
      <protection locked="0"/>
    </xf>
    <xf numFmtId="0" fontId="0" fillId="53" borderId="205" xfId="0" applyFill="1" applyBorder="1" applyProtection="1">
      <protection locked="0"/>
    </xf>
    <xf numFmtId="0" fontId="0" fillId="53" borderId="17" xfId="0" applyFill="1" applyBorder="1" applyAlignment="1" applyProtection="1">
      <alignment horizontal="center"/>
      <protection locked="0"/>
    </xf>
    <xf numFmtId="20" fontId="0" fillId="53" borderId="17" xfId="0" applyNumberFormat="1" applyFill="1" applyBorder="1" applyAlignment="1" applyProtection="1">
      <alignment horizontal="center"/>
      <protection locked="0"/>
    </xf>
    <xf numFmtId="20" fontId="0" fillId="53" borderId="17" xfId="0" applyNumberFormat="1" applyFill="1" applyBorder="1" applyAlignment="1" applyProtection="1">
      <alignment horizontal="center"/>
      <protection locked="0" hidden="1"/>
    </xf>
    <xf numFmtId="185" fontId="0" fillId="53" borderId="17" xfId="0" applyNumberFormat="1" applyFill="1" applyBorder="1" applyAlignment="1" applyProtection="1">
      <alignment horizontal="center"/>
      <protection locked="0"/>
    </xf>
    <xf numFmtId="186" fontId="0" fillId="53" borderId="17" xfId="1" applyNumberFormat="1" applyFont="1" applyFill="1" applyBorder="1" applyAlignment="1" applyProtection="1">
      <alignment horizontal="center"/>
      <protection locked="0"/>
    </xf>
    <xf numFmtId="0" fontId="0" fillId="53" borderId="193" xfId="0" applyFill="1" applyBorder="1" applyProtection="1">
      <protection locked="0"/>
    </xf>
    <xf numFmtId="174" fontId="0" fillId="53" borderId="194" xfId="0" applyNumberFormat="1" applyFill="1" applyBorder="1" applyAlignment="1" applyProtection="1">
      <alignment horizontal="center"/>
      <protection locked="0"/>
    </xf>
    <xf numFmtId="0" fontId="0" fillId="53" borderId="195" xfId="0" applyFill="1" applyBorder="1" applyAlignment="1" applyProtection="1">
      <alignment horizontal="center"/>
      <protection locked="0"/>
    </xf>
    <xf numFmtId="0" fontId="0" fillId="53" borderId="198" xfId="0" applyFill="1" applyBorder="1" applyProtection="1">
      <protection locked="0"/>
    </xf>
    <xf numFmtId="174" fontId="0" fillId="53" borderId="199" xfId="0" applyNumberFormat="1" applyFill="1" applyBorder="1" applyAlignment="1" applyProtection="1">
      <alignment horizontal="center"/>
      <protection locked="0"/>
    </xf>
    <xf numFmtId="0" fontId="0" fillId="53" borderId="200" xfId="0" applyFill="1" applyBorder="1" applyAlignment="1" applyProtection="1">
      <alignment horizontal="center"/>
      <protection locked="0"/>
    </xf>
    <xf numFmtId="174" fontId="0" fillId="53" borderId="0" xfId="0" applyNumberFormat="1" applyFill="1" applyAlignment="1" applyProtection="1">
      <alignment horizontal="center"/>
      <protection locked="0"/>
    </xf>
    <xf numFmtId="174" fontId="21" fillId="54" borderId="0" xfId="3" applyNumberFormat="1" applyFont="1" applyFill="1" applyAlignment="1" applyProtection="1">
      <alignment horizontal="center"/>
      <protection locked="0"/>
    </xf>
    <xf numFmtId="14" fontId="21" fillId="54" borderId="0" xfId="3" applyNumberFormat="1" applyFont="1" applyFill="1" applyAlignment="1" applyProtection="1">
      <alignment horizontal="center"/>
      <protection locked="0"/>
    </xf>
    <xf numFmtId="0" fontId="0" fillId="53" borderId="28" xfId="0" applyFill="1" applyBorder="1" applyProtection="1">
      <protection locked="0"/>
    </xf>
    <xf numFmtId="0" fontId="52" fillId="53" borderId="19" xfId="0" applyFont="1" applyFill="1" applyBorder="1" applyAlignment="1" applyProtection="1">
      <alignment horizontal="center" vertical="center" wrapText="1"/>
      <protection hidden="1"/>
    </xf>
    <xf numFmtId="0" fontId="52" fillId="53" borderId="17" xfId="0" applyFont="1" applyFill="1" applyBorder="1" applyAlignment="1" applyProtection="1">
      <alignment horizontal="center" vertical="center" wrapText="1"/>
      <protection hidden="1"/>
    </xf>
    <xf numFmtId="0" fontId="52" fillId="53" borderId="206" xfId="0" applyFont="1" applyFill="1" applyBorder="1" applyAlignment="1" applyProtection="1">
      <alignment horizontal="center" vertical="center" wrapText="1"/>
      <protection hidden="1"/>
    </xf>
    <xf numFmtId="0" fontId="18" fillId="53" borderId="0" xfId="0" applyFont="1" applyFill="1" applyProtection="1">
      <protection hidden="1"/>
    </xf>
    <xf numFmtId="0" fontId="0" fillId="53" borderId="0" xfId="0" applyFill="1" applyProtection="1">
      <protection hidden="1"/>
    </xf>
    <xf numFmtId="0" fontId="18" fillId="55" borderId="132" xfId="0" applyFont="1" applyFill="1" applyBorder="1" applyAlignment="1" applyProtection="1">
      <alignment horizontal="left"/>
      <protection locked="0"/>
    </xf>
    <xf numFmtId="0" fontId="18" fillId="55" borderId="133" xfId="0" applyFont="1" applyFill="1" applyBorder="1" applyAlignment="1" applyProtection="1">
      <alignment horizontal="left"/>
      <protection locked="0"/>
    </xf>
    <xf numFmtId="169" fontId="18" fillId="55" borderId="30" xfId="0" applyNumberFormat="1" applyFont="1" applyFill="1" applyBorder="1" applyAlignment="1" applyProtection="1">
      <alignment horizontal="center"/>
      <protection locked="0"/>
    </xf>
    <xf numFmtId="169" fontId="18" fillId="55" borderId="86" xfId="0" applyNumberFormat="1" applyFont="1" applyFill="1" applyBorder="1" applyAlignment="1" applyProtection="1">
      <alignment horizontal="center"/>
      <protection locked="0"/>
    </xf>
    <xf numFmtId="169" fontId="18" fillId="55" borderId="0" xfId="0" applyNumberFormat="1" applyFont="1" applyFill="1" applyAlignment="1" applyProtection="1">
      <alignment horizontal="center"/>
      <protection locked="0"/>
    </xf>
    <xf numFmtId="169" fontId="18" fillId="55" borderId="93" xfId="0" applyNumberFormat="1" applyFont="1" applyFill="1" applyBorder="1" applyAlignment="1" applyProtection="1">
      <alignment horizontal="center"/>
      <protection locked="0"/>
    </xf>
    <xf numFmtId="169" fontId="18" fillId="55" borderId="27" xfId="0" applyNumberFormat="1" applyFont="1" applyFill="1" applyBorder="1" applyAlignment="1" applyProtection="1">
      <alignment horizontal="center"/>
      <protection locked="0"/>
    </xf>
    <xf numFmtId="169" fontId="18" fillId="55" borderId="61" xfId="0" applyNumberFormat="1" applyFont="1" applyFill="1" applyBorder="1" applyAlignment="1" applyProtection="1">
      <alignment horizontal="center"/>
      <protection locked="0"/>
    </xf>
    <xf numFmtId="169" fontId="0" fillId="55" borderId="206" xfId="3" applyNumberFormat="1" applyFont="1" applyFill="1" applyBorder="1" applyAlignment="1" applyProtection="1">
      <alignment horizontal="center"/>
      <protection locked="0"/>
    </xf>
    <xf numFmtId="169" fontId="0" fillId="55" borderId="110" xfId="3" applyNumberFormat="1" applyFont="1" applyFill="1" applyBorder="1" applyAlignment="1" applyProtection="1">
      <alignment horizontal="center"/>
      <protection locked="0"/>
    </xf>
    <xf numFmtId="169" fontId="0" fillId="55" borderId="61" xfId="3" applyNumberFormat="1" applyFont="1" applyFill="1" applyBorder="1" applyAlignment="1" applyProtection="1">
      <alignment horizontal="center"/>
      <protection locked="0"/>
    </xf>
    <xf numFmtId="169" fontId="5" fillId="55" borderId="206" xfId="3" applyNumberFormat="1" applyFill="1" applyBorder="1" applyAlignment="1" applyProtection="1">
      <alignment horizontal="center"/>
      <protection locked="0"/>
    </xf>
    <xf numFmtId="169" fontId="5" fillId="55" borderId="93" xfId="3" applyNumberFormat="1" applyFill="1" applyBorder="1" applyAlignment="1" applyProtection="1">
      <alignment horizontal="center"/>
      <protection locked="0"/>
    </xf>
    <xf numFmtId="169" fontId="5" fillId="55" borderId="61" xfId="3" applyNumberFormat="1" applyFill="1" applyBorder="1" applyAlignment="1" applyProtection="1">
      <alignment horizontal="center"/>
      <protection locked="0"/>
    </xf>
    <xf numFmtId="169" fontId="12" fillId="55" borderId="86" xfId="3" applyNumberFormat="1" applyFont="1" applyFill="1" applyBorder="1" applyAlignment="1" applyProtection="1">
      <alignment horizontal="center"/>
      <protection locked="0"/>
    </xf>
    <xf numFmtId="169" fontId="12" fillId="55" borderId="93" xfId="3" applyNumberFormat="1" applyFont="1" applyFill="1" applyBorder="1" applyAlignment="1" applyProtection="1">
      <alignment horizontal="center"/>
      <protection locked="0"/>
    </xf>
    <xf numFmtId="169" fontId="12" fillId="55" borderId="61" xfId="3" applyNumberFormat="1" applyFont="1" applyFill="1" applyBorder="1" applyAlignment="1" applyProtection="1">
      <alignment horizontal="center"/>
      <protection locked="0"/>
    </xf>
    <xf numFmtId="169" fontId="0" fillId="0" borderId="110" xfId="3" applyNumberFormat="1" applyFont="1" applyBorder="1" applyAlignment="1" applyProtection="1">
      <alignment horizontal="center"/>
      <protection locked="0"/>
    </xf>
    <xf numFmtId="169" fontId="0" fillId="0" borderId="61" xfId="3" applyNumberFormat="1" applyFont="1" applyBorder="1" applyAlignment="1" applyProtection="1">
      <alignment horizontal="center"/>
      <protection locked="0"/>
    </xf>
    <xf numFmtId="171" fontId="0" fillId="53" borderId="17" xfId="1" applyFont="1" applyFill="1" applyBorder="1" applyProtection="1">
      <protection locked="0"/>
    </xf>
    <xf numFmtId="196" fontId="0" fillId="53" borderId="17" xfId="1" applyNumberFormat="1" applyFont="1" applyFill="1" applyBorder="1" applyProtection="1">
      <protection locked="0"/>
    </xf>
    <xf numFmtId="44" fontId="0" fillId="53" borderId="25" xfId="0" applyNumberFormat="1" applyFill="1" applyBorder="1" applyAlignment="1" applyProtection="1">
      <alignment horizontal="right"/>
      <protection locked="0"/>
    </xf>
    <xf numFmtId="2" fontId="0" fillId="53" borderId="17" xfId="0" applyNumberFormat="1" applyFill="1" applyBorder="1" applyProtection="1">
      <protection locked="0"/>
    </xf>
    <xf numFmtId="0" fontId="118" fillId="53" borderId="17" xfId="0" applyFont="1" applyFill="1" applyBorder="1" applyProtection="1">
      <protection locked="0"/>
    </xf>
    <xf numFmtId="0" fontId="5" fillId="53" borderId="0" xfId="3" applyFill="1" applyProtection="1">
      <protection locked="0"/>
    </xf>
    <xf numFmtId="0" fontId="5" fillId="53" borderId="243" xfId="3" applyFill="1" applyBorder="1" applyAlignment="1" applyProtection="1">
      <alignment horizontal="center"/>
      <protection locked="0"/>
    </xf>
    <xf numFmtId="169" fontId="5" fillId="53" borderId="35" xfId="3" applyNumberFormat="1" applyFill="1" applyBorder="1" applyAlignment="1" applyProtection="1">
      <alignment horizontal="right"/>
      <protection locked="0"/>
    </xf>
    <xf numFmtId="0" fontId="84" fillId="53" borderId="0" xfId="3" applyFont="1" applyFill="1" applyProtection="1">
      <protection locked="0" hidden="1"/>
    </xf>
    <xf numFmtId="213" fontId="87" fillId="53" borderId="0" xfId="1" applyNumberFormat="1" applyFont="1" applyFill="1" applyProtection="1">
      <protection locked="0"/>
    </xf>
    <xf numFmtId="176" fontId="90" fillId="53" borderId="0" xfId="3" applyNumberFormat="1" applyFont="1" applyFill="1" applyAlignment="1" applyProtection="1">
      <alignment horizontal="center"/>
      <protection locked="0"/>
    </xf>
    <xf numFmtId="171" fontId="90" fillId="53" borderId="0" xfId="1" applyFont="1" applyFill="1" applyAlignment="1" applyProtection="1">
      <alignment horizontal="center"/>
      <protection locked="0"/>
    </xf>
    <xf numFmtId="0" fontId="5" fillId="54" borderId="17" xfId="3" applyFill="1" applyBorder="1" applyAlignment="1" applyProtection="1">
      <alignment horizontal="right"/>
      <protection locked="0"/>
    </xf>
    <xf numFmtId="2" fontId="17" fillId="53" borderId="17" xfId="3" applyNumberFormat="1" applyFont="1" applyFill="1" applyBorder="1" applyAlignment="1" applyProtection="1">
      <alignment horizontal="right"/>
      <protection locked="0"/>
    </xf>
    <xf numFmtId="0" fontId="5" fillId="53" borderId="0" xfId="3" applyFill="1" applyAlignment="1" applyProtection="1">
      <alignment horizontal="center"/>
      <protection locked="0" hidden="1"/>
    </xf>
    <xf numFmtId="169" fontId="12" fillId="55" borderId="206" xfId="3" applyNumberFormat="1" applyFont="1" applyFill="1" applyBorder="1" applyAlignment="1" applyProtection="1">
      <alignment horizontal="center"/>
      <protection locked="0"/>
    </xf>
    <xf numFmtId="169" fontId="12" fillId="55" borderId="86" xfId="3" applyNumberFormat="1" applyFont="1" applyFill="1" applyBorder="1" applyProtection="1">
      <protection locked="0"/>
    </xf>
    <xf numFmtId="169" fontId="12" fillId="55" borderId="93" xfId="3" applyNumberFormat="1" applyFont="1" applyFill="1" applyBorder="1" applyProtection="1">
      <protection locked="0"/>
    </xf>
    <xf numFmtId="169" fontId="12" fillId="55" borderId="61" xfId="3" applyNumberFormat="1" applyFont="1" applyFill="1" applyBorder="1" applyProtection="1">
      <protection locked="0"/>
    </xf>
    <xf numFmtId="169" fontId="12" fillId="55" borderId="31" xfId="3" applyNumberFormat="1" applyFont="1" applyFill="1" applyBorder="1" applyAlignment="1" applyProtection="1">
      <alignment horizontal="center"/>
      <protection locked="0"/>
    </xf>
    <xf numFmtId="169" fontId="12" fillId="55" borderId="92" xfId="3" applyNumberFormat="1" applyFont="1" applyFill="1" applyBorder="1" applyAlignment="1" applyProtection="1">
      <alignment horizontal="center"/>
      <protection locked="0"/>
    </xf>
    <xf numFmtId="169" fontId="12" fillId="55" borderId="28" xfId="3" applyNumberFormat="1" applyFont="1" applyFill="1" applyBorder="1" applyAlignment="1" applyProtection="1">
      <alignment horizontal="center"/>
      <protection locked="0"/>
    </xf>
    <xf numFmtId="211" fontId="137" fillId="57" borderId="231" xfId="3" applyNumberFormat="1" applyFont="1" applyFill="1" applyBorder="1" applyAlignment="1" applyProtection="1">
      <alignment horizontal="center"/>
      <protection locked="0"/>
    </xf>
    <xf numFmtId="211" fontId="137" fillId="57" borderId="232" xfId="3" applyNumberFormat="1" applyFont="1" applyFill="1" applyBorder="1" applyAlignment="1" applyProtection="1">
      <alignment horizontal="center"/>
      <protection locked="0"/>
    </xf>
    <xf numFmtId="0" fontId="167" fillId="0" borderId="0" xfId="3" applyFont="1" applyAlignment="1" applyProtection="1">
      <alignment horizontal="right"/>
      <protection hidden="1"/>
    </xf>
    <xf numFmtId="169" fontId="168" fillId="0" borderId="95" xfId="3" applyNumberFormat="1" applyFont="1" applyBorder="1" applyProtection="1">
      <protection hidden="1"/>
    </xf>
    <xf numFmtId="0" fontId="169" fillId="0" borderId="0" xfId="3" applyFont="1" applyProtection="1">
      <protection hidden="1"/>
    </xf>
    <xf numFmtId="169" fontId="168" fillId="0" borderId="0" xfId="3" applyNumberFormat="1" applyFont="1" applyAlignment="1" applyProtection="1">
      <alignment horizontal="right"/>
      <protection hidden="1"/>
    </xf>
    <xf numFmtId="0" fontId="169" fillId="57" borderId="0" xfId="3" applyFont="1" applyFill="1" applyAlignment="1" applyProtection="1">
      <alignment horizontal="center"/>
      <protection locked="0"/>
    </xf>
    <xf numFmtId="0" fontId="168" fillId="0" borderId="0" xfId="3" applyFont="1" applyProtection="1">
      <protection hidden="1"/>
    </xf>
    <xf numFmtId="171" fontId="170" fillId="57" borderId="0" xfId="2" applyNumberFormat="1" applyFont="1" applyFill="1" applyAlignment="1" applyProtection="1">
      <alignment horizontal="right"/>
      <protection locked="0" hidden="1"/>
    </xf>
    <xf numFmtId="174" fontId="170" fillId="57" borderId="0" xfId="3" applyNumberFormat="1" applyFont="1" applyFill="1" applyProtection="1">
      <protection locked="0" hidden="1"/>
    </xf>
    <xf numFmtId="0" fontId="12" fillId="53" borderId="17" xfId="3" applyFont="1" applyFill="1" applyBorder="1" applyAlignment="1" applyProtection="1">
      <alignment horizontal="center"/>
      <protection locked="0" hidden="1"/>
    </xf>
    <xf numFmtId="0" fontId="12" fillId="53" borderId="17" xfId="3" applyFont="1" applyFill="1" applyBorder="1" applyAlignment="1" applyProtection="1">
      <alignment horizontal="center"/>
      <protection locked="0"/>
    </xf>
    <xf numFmtId="166" fontId="5" fillId="53" borderId="1" xfId="3" applyNumberFormat="1" applyFill="1" applyBorder="1" applyAlignment="1" applyProtection="1">
      <alignment horizontal="center" vertical="center"/>
      <protection locked="0" hidden="1"/>
    </xf>
    <xf numFmtId="0" fontId="5" fillId="53" borderId="1" xfId="3" applyFill="1" applyBorder="1" applyAlignment="1" applyProtection="1">
      <alignment vertical="center"/>
      <protection locked="0"/>
    </xf>
    <xf numFmtId="166" fontId="5" fillId="53" borderId="1" xfId="3" applyNumberFormat="1" applyFill="1" applyBorder="1" applyAlignment="1" applyProtection="1">
      <alignment vertical="center"/>
      <protection locked="0"/>
    </xf>
    <xf numFmtId="0" fontId="129" fillId="53" borderId="61" xfId="0" applyFont="1" applyFill="1" applyBorder="1" applyAlignment="1" applyProtection="1">
      <alignment horizontal="center"/>
      <protection locked="0"/>
    </xf>
    <xf numFmtId="0" fontId="118" fillId="53" borderId="206" xfId="0" applyFont="1" applyFill="1" applyBorder="1" applyProtection="1">
      <protection locked="0"/>
    </xf>
    <xf numFmtId="192" fontId="0" fillId="53" borderId="17" xfId="0" applyNumberFormat="1" applyFill="1" applyBorder="1" applyProtection="1">
      <protection locked="0"/>
    </xf>
    <xf numFmtId="2" fontId="0" fillId="53" borderId="86" xfId="0" applyNumberFormat="1" applyFill="1" applyBorder="1" applyProtection="1">
      <protection locked="0"/>
    </xf>
    <xf numFmtId="181" fontId="0" fillId="53" borderId="31" xfId="0" applyNumberFormat="1" applyFill="1" applyBorder="1" applyProtection="1">
      <protection locked="0"/>
    </xf>
    <xf numFmtId="181" fontId="0" fillId="53" borderId="92" xfId="0" applyNumberFormat="1" applyFill="1" applyBorder="1" applyProtection="1">
      <protection locked="0"/>
    </xf>
    <xf numFmtId="181" fontId="0" fillId="53" borderId="28" xfId="0" applyNumberFormat="1" applyFill="1" applyBorder="1" applyProtection="1">
      <protection locked="0"/>
    </xf>
    <xf numFmtId="181" fontId="0" fillId="53" borderId="86" xfId="0" applyNumberFormat="1" applyFill="1" applyBorder="1" applyProtection="1">
      <protection locked="0"/>
    </xf>
    <xf numFmtId="181" fontId="0" fillId="53" borderId="110" xfId="0" applyNumberFormat="1" applyFill="1" applyBorder="1" applyProtection="1">
      <protection locked="0"/>
    </xf>
    <xf numFmtId="181" fontId="0" fillId="53" borderId="61" xfId="0" applyNumberFormat="1" applyFill="1" applyBorder="1" applyProtection="1">
      <protection locked="0"/>
    </xf>
    <xf numFmtId="0" fontId="0" fillId="53" borderId="25" xfId="0" applyFill="1" applyBorder="1" applyAlignment="1" applyProtection="1">
      <alignment horizontal="center"/>
      <protection locked="0"/>
    </xf>
    <xf numFmtId="0" fontId="0" fillId="53" borderId="26" xfId="0" applyFill="1" applyBorder="1" applyAlignment="1" applyProtection="1">
      <alignment horizontal="center"/>
      <protection locked="0"/>
    </xf>
    <xf numFmtId="0" fontId="0" fillId="53" borderId="92" xfId="0" applyFill="1" applyBorder="1" applyAlignment="1" applyProtection="1">
      <alignment horizontal="left"/>
      <protection locked="0"/>
    </xf>
    <xf numFmtId="0" fontId="0" fillId="53" borderId="28" xfId="0" applyFill="1" applyBorder="1" applyAlignment="1" applyProtection="1">
      <alignment horizontal="left"/>
      <protection locked="0"/>
    </xf>
    <xf numFmtId="0" fontId="0" fillId="53" borderId="93" xfId="0" applyFill="1" applyBorder="1" applyAlignment="1" applyProtection="1">
      <alignment horizontal="center"/>
      <protection locked="0"/>
    </xf>
    <xf numFmtId="0" fontId="0" fillId="53" borderId="61" xfId="0" applyFill="1" applyBorder="1" applyAlignment="1" applyProtection="1">
      <alignment horizontal="center"/>
      <protection locked="0"/>
    </xf>
    <xf numFmtId="14" fontId="118" fillId="53" borderId="86" xfId="0" applyNumberFormat="1" applyFont="1" applyFill="1" applyBorder="1" applyProtection="1">
      <protection locked="0"/>
    </xf>
    <xf numFmtId="0" fontId="118" fillId="53" borderId="106" xfId="0" applyFont="1" applyFill="1" applyBorder="1" applyAlignment="1" applyProtection="1">
      <alignment horizontal="center"/>
      <protection locked="0"/>
    </xf>
    <xf numFmtId="14" fontId="118" fillId="53" borderId="106" xfId="0" applyNumberFormat="1" applyFont="1" applyFill="1" applyBorder="1" applyAlignment="1" applyProtection="1">
      <alignment horizontal="center"/>
      <protection locked="0"/>
    </xf>
    <xf numFmtId="44" fontId="118" fillId="53" borderId="106" xfId="0" applyNumberFormat="1" applyFont="1" applyFill="1" applyBorder="1" applyProtection="1">
      <protection locked="0"/>
    </xf>
    <xf numFmtId="200" fontId="119" fillId="53" borderId="0" xfId="1" applyNumberFormat="1" applyFont="1" applyFill="1" applyProtection="1">
      <protection locked="0"/>
    </xf>
    <xf numFmtId="0" fontId="171" fillId="0" borderId="0" xfId="3" applyFont="1" applyAlignment="1" applyProtection="1">
      <alignment vertical="center" wrapText="1"/>
      <protection hidden="1"/>
    </xf>
    <xf numFmtId="0" fontId="172" fillId="0" borderId="0" xfId="0" applyFont="1" applyAlignment="1" applyProtection="1">
      <alignment horizontal="center" vertical="center"/>
      <protection hidden="1"/>
    </xf>
    <xf numFmtId="0" fontId="173" fillId="0" borderId="0" xfId="0" applyFont="1" applyProtection="1">
      <protection hidden="1"/>
    </xf>
    <xf numFmtId="0" fontId="127" fillId="0" borderId="0" xfId="0" applyFont="1" applyAlignment="1" applyProtection="1">
      <alignment horizontal="left"/>
      <protection hidden="1"/>
    </xf>
    <xf numFmtId="0" fontId="174" fillId="0" borderId="0" xfId="0" applyFont="1" applyProtection="1">
      <protection hidden="1"/>
    </xf>
    <xf numFmtId="0" fontId="175" fillId="0" borderId="0" xfId="0" applyFont="1" applyProtection="1">
      <protection hidden="1"/>
    </xf>
    <xf numFmtId="0" fontId="175" fillId="0" borderId="0" xfId="0" applyFont="1" applyAlignment="1" applyProtection="1">
      <alignment horizontal="left"/>
      <protection hidden="1"/>
    </xf>
    <xf numFmtId="2" fontId="22" fillId="0" borderId="0" xfId="3" applyNumberFormat="1" applyFont="1" applyAlignment="1" applyProtection="1">
      <alignment horizontal="right"/>
      <protection hidden="1"/>
    </xf>
    <xf numFmtId="2" fontId="5" fillId="0" borderId="280" xfId="3" applyNumberFormat="1" applyBorder="1" applyAlignment="1" applyProtection="1">
      <alignment horizontal="right"/>
      <protection hidden="1"/>
    </xf>
    <xf numFmtId="0" fontId="37" fillId="0" borderId="0" xfId="0" applyFont="1" applyAlignment="1" applyProtection="1">
      <alignment horizontal="center"/>
      <protection hidden="1"/>
    </xf>
    <xf numFmtId="171" fontId="0" fillId="53" borderId="205" xfId="1" applyFont="1" applyFill="1" applyBorder="1" applyProtection="1">
      <protection locked="0"/>
    </xf>
    <xf numFmtId="192" fontId="0" fillId="53" borderId="205" xfId="0" applyNumberFormat="1" applyFill="1" applyBorder="1" applyProtection="1">
      <protection locked="0"/>
    </xf>
    <xf numFmtId="0" fontId="178" fillId="0" borderId="0" xfId="0" applyFont="1" applyAlignment="1" applyProtection="1">
      <alignment horizontal="center"/>
      <protection hidden="1"/>
    </xf>
    <xf numFmtId="180" fontId="29" fillId="0" borderId="0" xfId="0" applyNumberFormat="1" applyFont="1" applyProtection="1">
      <protection hidden="1"/>
    </xf>
    <xf numFmtId="181" fontId="29" fillId="0" borderId="0" xfId="0" applyNumberFormat="1" applyFont="1" applyProtection="1">
      <protection hidden="1"/>
    </xf>
    <xf numFmtId="186" fontId="29" fillId="0" borderId="0" xfId="0" applyNumberFormat="1" applyFont="1" applyProtection="1">
      <protection hidden="1"/>
    </xf>
    <xf numFmtId="0" fontId="13" fillId="0" borderId="280" xfId="3" quotePrefix="1" applyFont="1" applyBorder="1" applyAlignment="1">
      <alignment horizontal="center" vertical="center"/>
    </xf>
    <xf numFmtId="201" fontId="18" fillId="0" borderId="104" xfId="0" applyNumberFormat="1" applyFont="1" applyBorder="1" applyProtection="1">
      <protection hidden="1"/>
    </xf>
    <xf numFmtId="201" fontId="18" fillId="0" borderId="105" xfId="0" applyNumberFormat="1" applyFont="1" applyBorder="1" applyProtection="1">
      <protection hidden="1"/>
    </xf>
    <xf numFmtId="0" fontId="72" fillId="16" borderId="0" xfId="0" applyFont="1" applyFill="1" applyAlignment="1" applyProtection="1">
      <alignment horizontal="center" wrapText="1"/>
      <protection hidden="1"/>
    </xf>
    <xf numFmtId="181" fontId="29" fillId="16" borderId="17" xfId="1" applyNumberFormat="1" applyFont="1" applyFill="1" applyBorder="1" applyProtection="1">
      <protection hidden="1"/>
    </xf>
    <xf numFmtId="14" fontId="29" fillId="16" borderId="0" xfId="0" applyNumberFormat="1" applyFont="1" applyFill="1" applyAlignment="1" applyProtection="1">
      <alignment horizontal="right"/>
      <protection hidden="1"/>
    </xf>
    <xf numFmtId="14" fontId="29" fillId="16" borderId="0" xfId="0" applyNumberFormat="1" applyFont="1" applyFill="1" applyProtection="1">
      <protection hidden="1"/>
    </xf>
    <xf numFmtId="0" fontId="29" fillId="16" borderId="0" xfId="0" applyFont="1" applyFill="1" applyAlignment="1" applyProtection="1">
      <alignment horizontal="right"/>
      <protection hidden="1"/>
    </xf>
    <xf numFmtId="171" fontId="29" fillId="16" borderId="0" xfId="1" applyFont="1" applyFill="1" applyProtection="1">
      <protection locked="0" hidden="1"/>
    </xf>
    <xf numFmtId="171" fontId="72" fillId="16" borderId="0" xfId="1" applyFont="1" applyFill="1" applyProtection="1">
      <protection hidden="1"/>
    </xf>
    <xf numFmtId="177" fontId="29" fillId="16" borderId="17" xfId="1" applyNumberFormat="1" applyFont="1" applyFill="1" applyBorder="1" applyProtection="1">
      <protection hidden="1"/>
    </xf>
    <xf numFmtId="177" fontId="29" fillId="16" borderId="0" xfId="1" applyNumberFormat="1" applyFont="1" applyFill="1" applyProtection="1">
      <protection locked="0" hidden="1"/>
    </xf>
    <xf numFmtId="0" fontId="29" fillId="16" borderId="0" xfId="0" applyFont="1" applyFill="1" applyAlignment="1" applyProtection="1">
      <alignment horizontal="center"/>
      <protection hidden="1"/>
    </xf>
    <xf numFmtId="0" fontId="72" fillId="16" borderId="17" xfId="0" applyFont="1" applyFill="1" applyBorder="1" applyAlignment="1" applyProtection="1">
      <alignment horizontal="center" vertical="center" wrapText="1"/>
      <protection hidden="1"/>
    </xf>
    <xf numFmtId="0" fontId="29" fillId="16" borderId="17" xfId="0" applyFont="1" applyFill="1" applyBorder="1" applyAlignment="1" applyProtection="1">
      <alignment horizontal="center" vertical="center" wrapText="1"/>
      <protection hidden="1"/>
    </xf>
    <xf numFmtId="198" fontId="72" fillId="16" borderId="17" xfId="0" applyNumberFormat="1" applyFont="1" applyFill="1" applyBorder="1" applyAlignment="1" applyProtection="1">
      <alignment horizontal="right"/>
      <protection hidden="1"/>
    </xf>
    <xf numFmtId="177" fontId="29" fillId="16" borderId="17" xfId="1" applyNumberFormat="1" applyFont="1" applyFill="1" applyBorder="1" applyProtection="1">
      <protection locked="0"/>
    </xf>
    <xf numFmtId="171" fontId="29" fillId="16" borderId="17" xfId="1" applyFont="1" applyFill="1" applyBorder="1" applyProtection="1">
      <protection hidden="1"/>
    </xf>
    <xf numFmtId="200" fontId="29" fillId="16" borderId="17" xfId="1" applyNumberFormat="1" applyFont="1" applyFill="1" applyBorder="1" applyProtection="1">
      <protection locked="0"/>
    </xf>
    <xf numFmtId="177" fontId="29" fillId="16" borderId="17" xfId="0" applyNumberFormat="1" applyFont="1" applyFill="1" applyBorder="1" applyProtection="1">
      <protection hidden="1"/>
    </xf>
    <xf numFmtId="2" fontId="29" fillId="16" borderId="0" xfId="0" applyNumberFormat="1" applyFont="1" applyFill="1" applyProtection="1">
      <protection hidden="1"/>
    </xf>
    <xf numFmtId="171" fontId="29" fillId="16" borderId="17" xfId="0" applyNumberFormat="1" applyFont="1" applyFill="1" applyBorder="1" applyProtection="1">
      <protection hidden="1"/>
    </xf>
    <xf numFmtId="181" fontId="72" fillId="16" borderId="17" xfId="0" applyNumberFormat="1" applyFont="1" applyFill="1" applyBorder="1" applyProtection="1">
      <protection hidden="1"/>
    </xf>
    <xf numFmtId="171" fontId="18" fillId="0" borderId="288" xfId="3" applyNumberFormat="1" applyFont="1" applyBorder="1" applyProtection="1">
      <protection hidden="1"/>
    </xf>
    <xf numFmtId="0" fontId="181" fillId="0" borderId="0" xfId="3" applyFont="1" applyAlignment="1" applyProtection="1">
      <alignment horizontal="right"/>
      <protection hidden="1"/>
    </xf>
    <xf numFmtId="0" fontId="182" fillId="0" borderId="0" xfId="3" applyFont="1" applyProtection="1">
      <protection hidden="1"/>
    </xf>
    <xf numFmtId="0" fontId="183" fillId="0" borderId="17" xfId="0" applyFont="1" applyBorder="1" applyAlignment="1">
      <alignment horizontal="center" vertical="center" wrapText="1"/>
    </xf>
    <xf numFmtId="0" fontId="183" fillId="0" borderId="205" xfId="0" applyFont="1" applyBorder="1" applyAlignment="1">
      <alignment horizontal="center" vertical="center" wrapText="1"/>
    </xf>
    <xf numFmtId="0" fontId="183" fillId="0" borderId="0" xfId="0" applyFont="1"/>
    <xf numFmtId="0" fontId="186" fillId="0" borderId="0" xfId="0" applyFont="1" applyProtection="1">
      <protection hidden="1"/>
    </xf>
    <xf numFmtId="0" fontId="187" fillId="0" borderId="17" xfId="0" applyFont="1" applyBorder="1" applyAlignment="1" applyProtection="1">
      <alignment horizontal="center" vertical="center" wrapText="1"/>
      <protection hidden="1"/>
    </xf>
    <xf numFmtId="0" fontId="184" fillId="0" borderId="0" xfId="0" applyFont="1" applyProtection="1">
      <protection hidden="1"/>
    </xf>
    <xf numFmtId="0" fontId="184" fillId="0" borderId="0" xfId="0" applyFont="1" applyAlignment="1" applyProtection="1">
      <alignment horizontal="right"/>
      <protection hidden="1"/>
    </xf>
    <xf numFmtId="0" fontId="188" fillId="0" borderId="0" xfId="0" applyFont="1" applyProtection="1">
      <protection hidden="1"/>
    </xf>
    <xf numFmtId="0" fontId="183" fillId="0" borderId="190" xfId="0" applyFont="1" applyBorder="1" applyAlignment="1" applyProtection="1">
      <alignment horizontal="center"/>
      <protection hidden="1"/>
    </xf>
    <xf numFmtId="0" fontId="183" fillId="0" borderId="191" xfId="0" applyFont="1" applyBorder="1" applyAlignment="1" applyProtection="1">
      <alignment horizontal="center"/>
      <protection hidden="1"/>
    </xf>
    <xf numFmtId="0" fontId="18" fillId="0" borderId="289" xfId="0" applyFont="1" applyBorder="1" applyProtection="1">
      <protection hidden="1"/>
    </xf>
    <xf numFmtId="0" fontId="0" fillId="0" borderId="290" xfId="0" applyBorder="1" applyProtection="1">
      <protection hidden="1"/>
    </xf>
    <xf numFmtId="0" fontId="0" fillId="0" borderId="291" xfId="0" applyBorder="1" applyProtection="1">
      <protection hidden="1"/>
    </xf>
    <xf numFmtId="0" fontId="0" fillId="0" borderId="292" xfId="0" applyBorder="1" applyProtection="1">
      <protection hidden="1"/>
    </xf>
    <xf numFmtId="0" fontId="0" fillId="0" borderId="293" xfId="0" applyBorder="1" applyProtection="1">
      <protection hidden="1"/>
    </xf>
    <xf numFmtId="0" fontId="0" fillId="0" borderId="293" xfId="0" applyBorder="1" applyAlignment="1" applyProtection="1">
      <alignment horizontal="center"/>
      <protection hidden="1"/>
    </xf>
    <xf numFmtId="1" fontId="0" fillId="0" borderId="293" xfId="0" applyNumberFormat="1" applyBorder="1" applyAlignment="1" applyProtection="1">
      <alignment horizontal="center"/>
      <protection hidden="1"/>
    </xf>
    <xf numFmtId="0" fontId="18" fillId="0" borderId="294" xfId="0" applyFont="1" applyBorder="1" applyProtection="1">
      <protection hidden="1"/>
    </xf>
    <xf numFmtId="0" fontId="18" fillId="53" borderId="93" xfId="0" applyFont="1" applyFill="1" applyBorder="1" applyAlignment="1" applyProtection="1">
      <alignment horizontal="center"/>
      <protection locked="0"/>
    </xf>
    <xf numFmtId="44" fontId="0" fillId="53" borderId="293" xfId="0" applyNumberFormat="1" applyFill="1" applyBorder="1" applyProtection="1">
      <protection locked="0"/>
    </xf>
    <xf numFmtId="0" fontId="0" fillId="0" borderId="294" xfId="0" applyBorder="1" applyProtection="1">
      <protection hidden="1"/>
    </xf>
    <xf numFmtId="44" fontId="0" fillId="53" borderId="293" xfId="0" applyNumberFormat="1" applyFill="1" applyBorder="1" applyAlignment="1" applyProtection="1">
      <alignment horizontal="right"/>
      <protection locked="0"/>
    </xf>
    <xf numFmtId="0" fontId="0" fillId="0" borderId="295" xfId="0" applyBorder="1" applyProtection="1">
      <protection hidden="1"/>
    </xf>
    <xf numFmtId="0" fontId="18" fillId="53" borderId="296" xfId="0" applyFont="1" applyFill="1" applyBorder="1" applyAlignment="1" applyProtection="1">
      <alignment horizontal="center"/>
      <protection locked="0"/>
    </xf>
    <xf numFmtId="44" fontId="0" fillId="53" borderId="297" xfId="0" applyNumberFormat="1" applyFill="1" applyBorder="1" applyAlignment="1" applyProtection="1">
      <alignment horizontal="right"/>
      <protection locked="0"/>
    </xf>
    <xf numFmtId="44" fontId="0" fillId="53" borderId="298" xfId="0" applyNumberFormat="1" applyFill="1" applyBorder="1" applyAlignment="1" applyProtection="1">
      <alignment horizontal="right"/>
      <protection locked="0"/>
    </xf>
    <xf numFmtId="0" fontId="18" fillId="0" borderId="299" xfId="0" applyFont="1" applyBorder="1" applyAlignment="1" applyProtection="1">
      <alignment horizontal="center"/>
      <protection locked="0"/>
    </xf>
    <xf numFmtId="44" fontId="18" fillId="0" borderId="300" xfId="0" applyNumberFormat="1" applyFont="1" applyBorder="1" applyAlignment="1" applyProtection="1">
      <alignment horizontal="right"/>
      <protection locked="0"/>
    </xf>
    <xf numFmtId="0" fontId="117" fillId="0" borderId="299" xfId="0" applyFont="1" applyBorder="1" applyAlignment="1" applyProtection="1">
      <alignment horizontal="center"/>
      <protection locked="0"/>
    </xf>
    <xf numFmtId="0" fontId="0" fillId="0" borderId="301" xfId="0" applyBorder="1" applyProtection="1">
      <protection hidden="1"/>
    </xf>
    <xf numFmtId="0" fontId="18" fillId="0" borderId="302" xfId="0" applyFont="1" applyBorder="1" applyAlignment="1" applyProtection="1">
      <alignment horizontal="center"/>
      <protection hidden="1"/>
    </xf>
    <xf numFmtId="0" fontId="0" fillId="0" borderId="303" xfId="0" applyBorder="1" applyProtection="1">
      <protection hidden="1"/>
    </xf>
    <xf numFmtId="0" fontId="18" fillId="53" borderId="294" xfId="0" applyFont="1" applyFill="1" applyBorder="1" applyProtection="1">
      <protection locked="0"/>
    </xf>
    <xf numFmtId="0" fontId="18" fillId="53" borderId="295" xfId="0" applyFont="1" applyFill="1" applyBorder="1" applyProtection="1">
      <protection locked="0"/>
    </xf>
    <xf numFmtId="0" fontId="18" fillId="0" borderId="304" xfId="0" applyFont="1" applyBorder="1" applyProtection="1">
      <protection hidden="1"/>
    </xf>
    <xf numFmtId="0" fontId="18" fillId="0" borderId="305" xfId="0" applyFont="1" applyBorder="1" applyAlignment="1" applyProtection="1">
      <alignment horizontal="center"/>
      <protection hidden="1"/>
    </xf>
    <xf numFmtId="0" fontId="0" fillId="0" borderId="306" xfId="0" applyBorder="1" applyAlignment="1" applyProtection="1">
      <alignment horizontal="right"/>
      <protection hidden="1"/>
    </xf>
    <xf numFmtId="181" fontId="0" fillId="0" borderId="303" xfId="0" applyNumberFormat="1" applyBorder="1" applyProtection="1">
      <protection hidden="1"/>
    </xf>
    <xf numFmtId="181" fontId="0" fillId="0" borderId="293" xfId="0" applyNumberFormat="1" applyBorder="1" applyProtection="1">
      <protection hidden="1"/>
    </xf>
    <xf numFmtId="0" fontId="0" fillId="0" borderId="298" xfId="0" applyBorder="1" applyProtection="1">
      <protection hidden="1"/>
    </xf>
    <xf numFmtId="181" fontId="72" fillId="16" borderId="293" xfId="0" applyNumberFormat="1" applyFont="1" applyFill="1" applyBorder="1" applyAlignment="1" applyProtection="1">
      <alignment horizontal="right"/>
      <protection hidden="1"/>
    </xf>
    <xf numFmtId="181" fontId="0" fillId="0" borderId="293" xfId="0" applyNumberFormat="1" applyBorder="1" applyAlignment="1" applyProtection="1">
      <alignment horizontal="right"/>
      <protection hidden="1"/>
    </xf>
    <xf numFmtId="181" fontId="18" fillId="0" borderId="293" xfId="0" applyNumberFormat="1" applyFont="1" applyBorder="1" applyAlignment="1" applyProtection="1">
      <alignment horizontal="right"/>
      <protection hidden="1"/>
    </xf>
    <xf numFmtId="171" fontId="18" fillId="0" borderId="293" xfId="0" applyNumberFormat="1" applyFont="1" applyBorder="1" applyAlignment="1" applyProtection="1">
      <alignment horizontal="right"/>
      <protection hidden="1"/>
    </xf>
    <xf numFmtId="177" fontId="18" fillId="0" borderId="293" xfId="0" applyNumberFormat="1" applyFont="1" applyBorder="1" applyAlignment="1" applyProtection="1">
      <alignment horizontal="right"/>
      <protection hidden="1"/>
    </xf>
    <xf numFmtId="0" fontId="0" fillId="0" borderId="307" xfId="0" applyBorder="1" applyProtection="1">
      <protection hidden="1"/>
    </xf>
    <xf numFmtId="0" fontId="0" fillId="0" borderId="301" xfId="0" applyBorder="1" applyAlignment="1" applyProtection="1">
      <alignment horizontal="right"/>
      <protection hidden="1"/>
    </xf>
    <xf numFmtId="171" fontId="0" fillId="0" borderId="301" xfId="0" applyNumberFormat="1" applyBorder="1" applyProtection="1">
      <protection hidden="1"/>
    </xf>
    <xf numFmtId="0" fontId="0" fillId="0" borderId="292" xfId="0" applyBorder="1" applyAlignment="1" applyProtection="1">
      <alignment horizontal="center"/>
      <protection hidden="1"/>
    </xf>
    <xf numFmtId="0" fontId="191" fillId="0" borderId="0" xfId="0" applyFont="1" applyAlignment="1" applyProtection="1">
      <alignment horizontal="left" vertical="center"/>
      <protection hidden="1"/>
    </xf>
    <xf numFmtId="0" fontId="183" fillId="0" borderId="0" xfId="0" applyFont="1" applyProtection="1">
      <protection hidden="1"/>
    </xf>
    <xf numFmtId="0" fontId="190" fillId="0" borderId="0" xfId="0" applyFont="1" applyProtection="1">
      <protection hidden="1"/>
    </xf>
    <xf numFmtId="0" fontId="183" fillId="0" borderId="234" xfId="0" applyFont="1" applyBorder="1" applyAlignment="1">
      <alignment horizontal="center"/>
    </xf>
    <xf numFmtId="0" fontId="183" fillId="0" borderId="235" xfId="0" applyFont="1" applyBorder="1"/>
    <xf numFmtId="0" fontId="183" fillId="0" borderId="233" xfId="0" applyFont="1" applyBorder="1" applyAlignment="1">
      <alignment horizontal="center"/>
    </xf>
    <xf numFmtId="0" fontId="183" fillId="0" borderId="236" xfId="0" applyFont="1" applyBorder="1" applyAlignment="1">
      <alignment horizontal="center"/>
    </xf>
    <xf numFmtId="0" fontId="72" fillId="0" borderId="0" xfId="3" applyFont="1" applyAlignment="1" applyProtection="1">
      <alignment horizontal="left"/>
      <protection hidden="1"/>
    </xf>
    <xf numFmtId="0" fontId="72" fillId="0" borderId="0" xfId="3" applyFont="1" applyProtection="1">
      <protection hidden="1"/>
    </xf>
    <xf numFmtId="0" fontId="52" fillId="0" borderId="112" xfId="0" applyFont="1" applyBorder="1" applyAlignment="1" applyProtection="1">
      <alignment horizontal="right"/>
      <protection hidden="1"/>
    </xf>
    <xf numFmtId="0" fontId="52" fillId="0" borderId="113" xfId="0" applyFont="1" applyBorder="1" applyAlignment="1" applyProtection="1">
      <alignment horizontal="right"/>
      <protection hidden="1"/>
    </xf>
    <xf numFmtId="0" fontId="52" fillId="0" borderId="114" xfId="0" applyFont="1" applyBorder="1" applyAlignment="1" applyProtection="1">
      <alignment horizontal="right"/>
      <protection hidden="1"/>
    </xf>
    <xf numFmtId="0" fontId="0" fillId="0" borderId="115" xfId="0" applyBorder="1" applyAlignment="1" applyProtection="1">
      <alignment horizontal="right"/>
      <protection hidden="1"/>
    </xf>
    <xf numFmtId="0" fontId="0" fillId="0" borderId="116" xfId="0" applyBorder="1" applyAlignment="1" applyProtection="1">
      <alignment horizontal="right"/>
      <protection hidden="1"/>
    </xf>
    <xf numFmtId="0" fontId="0" fillId="0" borderId="117" xfId="0" applyBorder="1" applyAlignment="1" applyProtection="1">
      <alignment horizontal="right"/>
      <protection hidden="1"/>
    </xf>
    <xf numFmtId="0" fontId="117" fillId="0" borderId="0" xfId="0" applyFont="1" applyAlignment="1" applyProtection="1">
      <alignment horizontal="center"/>
      <protection locked="0"/>
    </xf>
    <xf numFmtId="44" fontId="18" fillId="0" borderId="0" xfId="0" applyNumberFormat="1" applyFont="1" applyAlignment="1" applyProtection="1">
      <alignment horizontal="right"/>
      <protection locked="0"/>
    </xf>
    <xf numFmtId="0" fontId="0" fillId="0" borderId="288" xfId="0" applyBorder="1" applyProtection="1">
      <protection hidden="1"/>
    </xf>
    <xf numFmtId="0" fontId="72"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2" fontId="29" fillId="16" borderId="0" xfId="1" applyNumberFormat="1" applyFont="1" applyFill="1" applyProtection="1">
      <protection hidden="1"/>
    </xf>
    <xf numFmtId="2" fontId="29" fillId="16" borderId="0" xfId="1" applyNumberFormat="1" applyFont="1" applyFill="1" applyProtection="1">
      <protection locked="0"/>
    </xf>
    <xf numFmtId="0" fontId="18" fillId="0" borderId="288" xfId="0" applyFont="1" applyBorder="1" applyAlignment="1" applyProtection="1">
      <alignment horizontal="center" vertical="center" wrapText="1"/>
      <protection hidden="1"/>
    </xf>
    <xf numFmtId="171" fontId="0" fillId="0" borderId="288" xfId="1" applyFont="1" applyBorder="1" applyProtection="1">
      <protection hidden="1"/>
    </xf>
    <xf numFmtId="44" fontId="0" fillId="0" borderId="288" xfId="0" applyNumberFormat="1" applyBorder="1" applyProtection="1">
      <protection hidden="1"/>
    </xf>
    <xf numFmtId="181" fontId="29" fillId="16" borderId="0" xfId="1" applyNumberFormat="1" applyFont="1" applyFill="1" applyProtection="1">
      <protection hidden="1"/>
    </xf>
    <xf numFmtId="171" fontId="29" fillId="16" borderId="0" xfId="1" applyFont="1" applyFill="1" applyProtection="1">
      <protection locked="0"/>
    </xf>
    <xf numFmtId="177" fontId="29" fillId="16" borderId="0" xfId="1" applyNumberFormat="1" applyFont="1" applyFill="1" applyProtection="1">
      <protection hidden="1"/>
    </xf>
    <xf numFmtId="177" fontId="29" fillId="16" borderId="0" xfId="1" applyNumberFormat="1" applyFont="1" applyFill="1" applyProtection="1">
      <protection locked="0"/>
    </xf>
    <xf numFmtId="0" fontId="0" fillId="0" borderId="0" xfId="0" applyAlignment="1">
      <alignment horizontal="center"/>
    </xf>
    <xf numFmtId="0" fontId="29" fillId="0" borderId="0" xfId="0" applyFont="1" applyAlignment="1">
      <alignment horizontal="center"/>
    </xf>
    <xf numFmtId="0" fontId="0" fillId="53" borderId="288" xfId="0" applyFill="1" applyBorder="1" applyProtection="1">
      <protection locked="0"/>
    </xf>
    <xf numFmtId="14" fontId="18" fillId="6" borderId="0" xfId="0" applyNumberFormat="1" applyFont="1" applyFill="1" applyAlignment="1" applyProtection="1">
      <alignment horizontal="center"/>
      <protection locked="0"/>
    </xf>
    <xf numFmtId="44" fontId="0" fillId="16" borderId="0" xfId="0" applyNumberFormat="1" applyFill="1" applyProtection="1">
      <protection hidden="1"/>
    </xf>
    <xf numFmtId="171" fontId="0" fillId="53" borderId="106" xfId="1" applyFont="1" applyFill="1" applyBorder="1" applyProtection="1">
      <protection locked="0"/>
    </xf>
    <xf numFmtId="2" fontId="29" fillId="0" borderId="106" xfId="0" applyNumberFormat="1" applyFont="1" applyBorder="1" applyAlignment="1" applyProtection="1">
      <alignment horizontal="right"/>
      <protection hidden="1"/>
    </xf>
    <xf numFmtId="44" fontId="29" fillId="16" borderId="0" xfId="1" applyNumberFormat="1" applyFont="1" applyFill="1" applyAlignment="1" applyProtection="1">
      <alignment horizontal="center"/>
      <protection hidden="1"/>
    </xf>
    <xf numFmtId="177" fontId="8" fillId="0" borderId="17" xfId="3" applyNumberFormat="1" applyFont="1" applyBorder="1" applyProtection="1">
      <protection hidden="1"/>
    </xf>
    <xf numFmtId="1" fontId="29" fillId="16" borderId="0" xfId="0" applyNumberFormat="1" applyFont="1" applyFill="1" applyProtection="1">
      <protection hidden="1"/>
    </xf>
    <xf numFmtId="1" fontId="29" fillId="16" borderId="0" xfId="0" applyNumberFormat="1" applyFont="1" applyFill="1"/>
    <xf numFmtId="171" fontId="87" fillId="53" borderId="0" xfId="1" applyFont="1" applyFill="1" applyProtection="1">
      <protection locked="0"/>
    </xf>
    <xf numFmtId="0" fontId="118" fillId="53" borderId="205" xfId="0" applyFont="1" applyFill="1" applyBorder="1" applyProtection="1">
      <protection locked="0"/>
    </xf>
    <xf numFmtId="185" fontId="29" fillId="16" borderId="0" xfId="0" applyNumberFormat="1" applyFont="1" applyFill="1" applyProtection="1">
      <protection hidden="1"/>
    </xf>
    <xf numFmtId="0" fontId="29" fillId="16" borderId="0" xfId="3" applyFont="1" applyFill="1" applyAlignment="1" applyProtection="1">
      <alignment vertical="center" wrapText="1"/>
      <protection hidden="1"/>
    </xf>
    <xf numFmtId="0" fontId="29" fillId="16" borderId="0" xfId="3" applyFont="1" applyFill="1" applyAlignment="1" applyProtection="1">
      <alignment horizontal="right"/>
      <protection hidden="1"/>
    </xf>
    <xf numFmtId="191" fontId="29" fillId="16" borderId="0" xfId="0" applyNumberFormat="1" applyFont="1" applyFill="1" applyProtection="1">
      <protection hidden="1"/>
    </xf>
    <xf numFmtId="0" fontId="173" fillId="16" borderId="0" xfId="0" applyFont="1" applyFill="1" applyProtection="1">
      <protection hidden="1"/>
    </xf>
    <xf numFmtId="0" fontId="72" fillId="16" borderId="0" xfId="0" applyFont="1" applyFill="1" applyProtection="1">
      <protection hidden="1"/>
    </xf>
    <xf numFmtId="0" fontId="72" fillId="16" borderId="0" xfId="0" applyFont="1" applyFill="1" applyAlignment="1" applyProtection="1">
      <alignment horizontal="right"/>
      <protection hidden="1"/>
    </xf>
    <xf numFmtId="189" fontId="72" fillId="16" borderId="0" xfId="0" applyNumberFormat="1" applyFont="1" applyFill="1" applyProtection="1">
      <protection hidden="1"/>
    </xf>
    <xf numFmtId="169" fontId="72" fillId="16" borderId="0" xfId="0" applyNumberFormat="1" applyFont="1" applyFill="1" applyProtection="1">
      <protection hidden="1"/>
    </xf>
    <xf numFmtId="169" fontId="72" fillId="16" borderId="0" xfId="3" applyNumberFormat="1" applyFont="1" applyFill="1" applyProtection="1">
      <protection hidden="1"/>
    </xf>
    <xf numFmtId="0" fontId="173" fillId="16" borderId="0" xfId="0" applyFont="1" applyFill="1" applyAlignment="1" applyProtection="1">
      <alignment horizontal="right"/>
      <protection hidden="1"/>
    </xf>
    <xf numFmtId="0" fontId="173" fillId="16" borderId="0" xfId="0" applyFont="1" applyFill="1" applyAlignment="1" applyProtection="1">
      <alignment horizontal="left"/>
      <protection hidden="1"/>
    </xf>
    <xf numFmtId="0" fontId="194" fillId="16" borderId="0" xfId="0" applyFont="1" applyFill="1" applyProtection="1">
      <protection hidden="1"/>
    </xf>
    <xf numFmtId="0" fontId="72" fillId="16" borderId="0" xfId="0" applyFont="1" applyFill="1" applyAlignment="1" applyProtection="1">
      <alignment horizontal="center"/>
      <protection hidden="1"/>
    </xf>
    <xf numFmtId="169" fontId="29" fillId="16" borderId="0" xfId="0" applyNumberFormat="1" applyFont="1" applyFill="1" applyProtection="1">
      <protection hidden="1"/>
    </xf>
    <xf numFmtId="186" fontId="29" fillId="16" borderId="0" xfId="0" applyNumberFormat="1" applyFont="1" applyFill="1" applyProtection="1">
      <protection hidden="1"/>
    </xf>
    <xf numFmtId="187" fontId="29" fillId="16" borderId="0" xfId="0" applyNumberFormat="1" applyFont="1" applyFill="1" applyProtection="1">
      <protection hidden="1"/>
    </xf>
    <xf numFmtId="169" fontId="29" fillId="16" borderId="0" xfId="3" applyNumberFormat="1" applyFont="1" applyFill="1" applyProtection="1">
      <protection hidden="1"/>
    </xf>
    <xf numFmtId="194" fontId="29" fillId="16" borderId="0" xfId="0" applyNumberFormat="1" applyFont="1" applyFill="1" applyProtection="1">
      <protection hidden="1"/>
    </xf>
    <xf numFmtId="188" fontId="29" fillId="16" borderId="0" xfId="0" applyNumberFormat="1" applyFont="1" applyFill="1" applyProtection="1">
      <protection hidden="1"/>
    </xf>
    <xf numFmtId="189" fontId="29" fillId="16" borderId="0" xfId="0" applyNumberFormat="1" applyFont="1" applyFill="1" applyProtection="1">
      <protection hidden="1"/>
    </xf>
    <xf numFmtId="177" fontId="29" fillId="16" borderId="0" xfId="0" applyNumberFormat="1" applyFont="1" applyFill="1" applyProtection="1">
      <protection hidden="1"/>
    </xf>
    <xf numFmtId="174" fontId="29" fillId="16" borderId="0" xfId="0" applyNumberFormat="1" applyFont="1" applyFill="1" applyProtection="1">
      <protection hidden="1"/>
    </xf>
    <xf numFmtId="0" fontId="29" fillId="16" borderId="0" xfId="3" applyFont="1" applyFill="1" applyProtection="1">
      <protection hidden="1"/>
    </xf>
    <xf numFmtId="169" fontId="29" fillId="16" borderId="0" xfId="3" applyNumberFormat="1" applyFont="1" applyFill="1" applyAlignment="1" applyProtection="1">
      <alignment horizontal="right"/>
      <protection locked="0"/>
    </xf>
    <xf numFmtId="0" fontId="72" fillId="16" borderId="0" xfId="3" applyFont="1" applyFill="1" applyAlignment="1" applyProtection="1">
      <alignment horizontal="right"/>
      <protection hidden="1"/>
    </xf>
    <xf numFmtId="169" fontId="29" fillId="16" borderId="0" xfId="0" applyNumberFormat="1" applyFont="1" applyFill="1" applyAlignment="1" applyProtection="1">
      <alignment horizontal="left"/>
      <protection hidden="1"/>
    </xf>
    <xf numFmtId="171" fontId="72" fillId="16" borderId="0" xfId="1" applyFont="1" applyFill="1"/>
    <xf numFmtId="181" fontId="29" fillId="16" borderId="0" xfId="1" applyNumberFormat="1" applyFont="1" applyFill="1" applyAlignment="1">
      <alignment horizontal="left" vertical="center"/>
    </xf>
    <xf numFmtId="181" fontId="29" fillId="16" borderId="0" xfId="0" applyNumberFormat="1" applyFont="1" applyFill="1" applyAlignment="1" applyProtection="1">
      <alignment horizontal="left"/>
      <protection hidden="1"/>
    </xf>
    <xf numFmtId="0" fontId="29" fillId="16" borderId="0" xfId="0" applyFont="1" applyFill="1" applyAlignment="1" applyProtection="1">
      <alignment horizontal="left"/>
      <protection hidden="1"/>
    </xf>
    <xf numFmtId="169" fontId="72" fillId="16" borderId="0" xfId="1" quotePrefix="1" applyNumberFormat="1" applyFont="1" applyFill="1"/>
    <xf numFmtId="0" fontId="29" fillId="16" borderId="0" xfId="0" quotePrefix="1" applyFont="1" applyFill="1" applyAlignment="1" applyProtection="1">
      <alignment horizontal="right"/>
      <protection hidden="1"/>
    </xf>
    <xf numFmtId="0" fontId="161" fillId="16" borderId="0" xfId="0" applyFont="1" applyFill="1" applyProtection="1">
      <protection hidden="1"/>
    </xf>
    <xf numFmtId="0" fontId="29" fillId="16" borderId="0" xfId="0" quotePrefix="1" applyFont="1" applyFill="1" applyProtection="1">
      <protection hidden="1"/>
    </xf>
    <xf numFmtId="0" fontId="75" fillId="0" borderId="0" xfId="0" applyFont="1" applyProtection="1">
      <protection hidden="1"/>
    </xf>
    <xf numFmtId="0" fontId="195" fillId="0" borderId="0" xfId="0" applyFont="1" applyAlignment="1" applyProtection="1">
      <alignment horizontal="center"/>
      <protection hidden="1"/>
    </xf>
    <xf numFmtId="0" fontId="161" fillId="0" borderId="127" xfId="0" applyFont="1" applyBorder="1" applyProtection="1">
      <protection hidden="1"/>
    </xf>
    <xf numFmtId="0" fontId="194" fillId="0" borderId="0" xfId="0" applyFont="1" applyProtection="1">
      <protection hidden="1"/>
    </xf>
    <xf numFmtId="0" fontId="173" fillId="0" borderId="127" xfId="0" applyFont="1" applyBorder="1" applyProtection="1">
      <protection hidden="1"/>
    </xf>
    <xf numFmtId="187" fontId="72" fillId="16" borderId="0" xfId="0" applyNumberFormat="1" applyFont="1" applyFill="1" applyAlignment="1" applyProtection="1">
      <alignment horizontal="left"/>
      <protection hidden="1"/>
    </xf>
    <xf numFmtId="44" fontId="72" fillId="16" borderId="0" xfId="0" applyNumberFormat="1" applyFont="1" applyFill="1" applyProtection="1">
      <protection hidden="1"/>
    </xf>
    <xf numFmtId="0" fontId="29" fillId="0" borderId="115" xfId="0" applyFont="1" applyBorder="1" applyAlignment="1" applyProtection="1">
      <alignment horizontal="right"/>
      <protection hidden="1"/>
    </xf>
    <xf numFmtId="2" fontId="29" fillId="0" borderId="64" xfId="0" applyNumberFormat="1" applyFont="1" applyBorder="1" applyProtection="1">
      <protection hidden="1"/>
    </xf>
    <xf numFmtId="0" fontId="29" fillId="0" borderId="117" xfId="0" applyFont="1" applyBorder="1" applyProtection="1">
      <protection hidden="1"/>
    </xf>
    <xf numFmtId="0" fontId="84" fillId="0" borderId="0" xfId="3" applyFont="1" applyAlignment="1" applyProtection="1">
      <alignment horizontal="right"/>
      <protection hidden="1"/>
    </xf>
    <xf numFmtId="0" fontId="83" fillId="0" borderId="0" xfId="3" applyFont="1" applyAlignment="1" applyProtection="1">
      <alignment horizontal="right"/>
      <protection hidden="1"/>
    </xf>
    <xf numFmtId="171" fontId="87" fillId="0" borderId="0" xfId="1" applyFont="1" applyProtection="1">
      <protection hidden="1"/>
    </xf>
    <xf numFmtId="169" fontId="87" fillId="53" borderId="0" xfId="3" applyNumberFormat="1" applyFont="1" applyFill="1" applyProtection="1">
      <protection locked="0"/>
    </xf>
    <xf numFmtId="0" fontId="52" fillId="0" borderId="0" xfId="3" applyFont="1" applyProtection="1">
      <protection hidden="1"/>
    </xf>
    <xf numFmtId="0" fontId="85" fillId="0" borderId="0" xfId="3" applyFont="1" applyAlignment="1" applyProtection="1">
      <alignment horizontal="right"/>
      <protection hidden="1"/>
    </xf>
    <xf numFmtId="169" fontId="87" fillId="0" borderId="0" xfId="3" applyNumberFormat="1" applyFont="1" applyProtection="1">
      <protection hidden="1"/>
    </xf>
    <xf numFmtId="0" fontId="196" fillId="0" borderId="0" xfId="3" applyFont="1" applyAlignment="1" applyProtection="1">
      <alignment horizontal="right" vertical="center"/>
      <protection hidden="1"/>
    </xf>
    <xf numFmtId="175" fontId="197" fillId="0" borderId="0" xfId="3" applyNumberFormat="1" applyFont="1" applyAlignment="1" applyProtection="1">
      <alignment horizontal="right" vertical="center"/>
      <protection hidden="1"/>
    </xf>
    <xf numFmtId="0" fontId="197" fillId="0" borderId="0" xfId="3" applyFont="1" applyAlignment="1" applyProtection="1">
      <alignment horizontal="right" vertical="center"/>
      <protection hidden="1"/>
    </xf>
    <xf numFmtId="171" fontId="5" fillId="0" borderId="0" xfId="3" applyNumberFormat="1" applyAlignment="1">
      <alignment wrapText="1"/>
    </xf>
    <xf numFmtId="0" fontId="70" fillId="0" borderId="0" xfId="3" applyFont="1" applyAlignment="1" applyProtection="1">
      <alignment vertical="top" wrapText="1"/>
      <protection hidden="1"/>
    </xf>
    <xf numFmtId="0" fontId="198" fillId="0" borderId="0" xfId="0" applyFont="1" applyProtection="1">
      <protection hidden="1"/>
    </xf>
    <xf numFmtId="0" fontId="199" fillId="0" borderId="0" xfId="0" applyFont="1" applyAlignment="1" applyProtection="1">
      <alignment horizontal="center"/>
      <protection hidden="1"/>
    </xf>
    <xf numFmtId="14" fontId="199" fillId="0" borderId="0" xfId="0" applyNumberFormat="1" applyFont="1"/>
    <xf numFmtId="0" fontId="199" fillId="0" borderId="0" xfId="3" applyFont="1" applyAlignment="1" applyProtection="1">
      <alignment horizontal="center"/>
      <protection hidden="1"/>
    </xf>
    <xf numFmtId="0" fontId="200" fillId="0" borderId="0" xfId="0" applyFont="1" applyAlignment="1" applyProtection="1">
      <alignment horizontal="center" vertical="center"/>
      <protection hidden="1"/>
    </xf>
    <xf numFmtId="0" fontId="52" fillId="0" borderId="288" xfId="0" applyFont="1" applyBorder="1" applyAlignment="1" applyProtection="1">
      <alignment horizontal="center" vertical="center" wrapText="1"/>
      <protection hidden="1"/>
    </xf>
    <xf numFmtId="20" fontId="0" fillId="0" borderId="308" xfId="0" applyNumberFormat="1" applyBorder="1" applyAlignment="1" applyProtection="1">
      <alignment horizontal="center"/>
      <protection hidden="1"/>
    </xf>
    <xf numFmtId="20" fontId="0" fillId="0" borderId="132" xfId="0" applyNumberFormat="1" applyBorder="1" applyAlignment="1" applyProtection="1">
      <alignment horizontal="center"/>
      <protection hidden="1"/>
    </xf>
    <xf numFmtId="202" fontId="18" fillId="0" borderId="309" xfId="0" applyNumberFormat="1" applyFont="1" applyBorder="1" applyProtection="1">
      <protection hidden="1"/>
    </xf>
    <xf numFmtId="20" fontId="0" fillId="0" borderId="310" xfId="0" applyNumberFormat="1" applyBorder="1" applyAlignment="1" applyProtection="1">
      <alignment horizontal="center"/>
      <protection hidden="1"/>
    </xf>
    <xf numFmtId="20" fontId="0" fillId="0" borderId="311" xfId="0" applyNumberFormat="1" applyBorder="1" applyAlignment="1" applyProtection="1">
      <alignment horizontal="center"/>
      <protection hidden="1"/>
    </xf>
    <xf numFmtId="202" fontId="18" fillId="0" borderId="312" xfId="0" applyNumberFormat="1" applyFont="1" applyBorder="1" applyProtection="1">
      <protection hidden="1"/>
    </xf>
    <xf numFmtId="202" fontId="18" fillId="0" borderId="313" xfId="0" applyNumberFormat="1" applyFont="1" applyBorder="1" applyProtection="1">
      <protection hidden="1"/>
    </xf>
    <xf numFmtId="172" fontId="5" fillId="0" borderId="284" xfId="3" applyNumberFormat="1" applyBorder="1" applyAlignment="1" applyProtection="1">
      <alignment horizontal="left"/>
      <protection hidden="1"/>
    </xf>
    <xf numFmtId="172" fontId="5" fillId="0" borderId="110" xfId="3" applyNumberFormat="1" applyBorder="1" applyAlignment="1" applyProtection="1">
      <alignment horizontal="left"/>
      <protection hidden="1"/>
    </xf>
    <xf numFmtId="0" fontId="17" fillId="0" borderId="0" xfId="3" applyFont="1" applyAlignment="1" applyProtection="1">
      <alignment horizontal="center"/>
      <protection hidden="1"/>
    </xf>
    <xf numFmtId="0" fontId="17" fillId="58" borderId="0" xfId="3" applyFont="1" applyFill="1" applyAlignment="1" applyProtection="1">
      <alignment horizontal="center"/>
      <protection hidden="1"/>
    </xf>
    <xf numFmtId="0" fontId="201" fillId="58" borderId="0" xfId="0" applyFont="1" applyFill="1" applyProtection="1">
      <protection hidden="1"/>
    </xf>
    <xf numFmtId="0" fontId="0" fillId="58" borderId="0" xfId="0" applyFill="1" applyProtection="1">
      <protection hidden="1"/>
    </xf>
    <xf numFmtId="202" fontId="18" fillId="58" borderId="0" xfId="0" applyNumberFormat="1" applyFont="1" applyFill="1" applyProtection="1">
      <protection hidden="1"/>
    </xf>
    <xf numFmtId="20" fontId="0" fillId="58" borderId="17" xfId="0" applyNumberFormat="1" applyFill="1" applyBorder="1" applyAlignment="1" applyProtection="1">
      <alignment horizontal="center"/>
      <protection hidden="1"/>
    </xf>
    <xf numFmtId="0" fontId="18" fillId="58" borderId="0" xfId="0" applyFont="1" applyFill="1" applyAlignment="1" applyProtection="1">
      <alignment horizontal="left"/>
      <protection locked="0"/>
    </xf>
    <xf numFmtId="2" fontId="202" fillId="58" borderId="0" xfId="0" applyNumberFormat="1" applyFont="1" applyFill="1" applyAlignment="1" applyProtection="1">
      <alignment horizontal="center"/>
      <protection hidden="1"/>
    </xf>
    <xf numFmtId="20" fontId="0" fillId="59" borderId="132" xfId="0" applyNumberFormat="1" applyFill="1" applyBorder="1" applyProtection="1">
      <protection locked="0"/>
    </xf>
    <xf numFmtId="20" fontId="0" fillId="60" borderId="133" xfId="0" applyNumberFormat="1" applyFill="1" applyBorder="1" applyProtection="1">
      <protection locked="0"/>
    </xf>
    <xf numFmtId="20" fontId="0" fillId="61" borderId="132" xfId="0" applyNumberFormat="1" applyFill="1" applyBorder="1" applyProtection="1">
      <protection locked="0"/>
    </xf>
    <xf numFmtId="20" fontId="0" fillId="62" borderId="133" xfId="0" applyNumberFormat="1" applyFill="1" applyBorder="1" applyProtection="1">
      <protection locked="0"/>
    </xf>
    <xf numFmtId="0" fontId="0" fillId="62" borderId="0" xfId="0" applyFill="1" applyProtection="1">
      <protection hidden="1"/>
    </xf>
    <xf numFmtId="0" fontId="0" fillId="62" borderId="0" xfId="0" applyFill="1" applyAlignment="1" applyProtection="1">
      <alignment horizontal="center"/>
      <protection hidden="1"/>
    </xf>
    <xf numFmtId="202" fontId="18" fillId="0" borderId="82" xfId="0" applyNumberFormat="1" applyFont="1" applyBorder="1" applyProtection="1">
      <protection hidden="1"/>
    </xf>
    <xf numFmtId="202" fontId="18" fillId="0" borderId="84" xfId="0" applyNumberFormat="1" applyFont="1" applyBorder="1" applyProtection="1">
      <protection hidden="1"/>
    </xf>
    <xf numFmtId="202" fontId="18" fillId="0" borderId="314" xfId="0" applyNumberFormat="1" applyFont="1" applyBorder="1" applyProtection="1">
      <protection hidden="1"/>
    </xf>
    <xf numFmtId="0" fontId="50" fillId="14" borderId="0" xfId="3" applyFont="1" applyFill="1" applyAlignment="1" applyProtection="1">
      <alignment horizontal="center"/>
      <protection hidden="1"/>
    </xf>
    <xf numFmtId="0" fontId="113" fillId="14" borderId="0" xfId="0" applyFont="1" applyFill="1" applyAlignment="1" applyProtection="1">
      <alignment horizontal="center"/>
      <protection hidden="1"/>
    </xf>
    <xf numFmtId="0" fontId="113" fillId="0" borderId="288" xfId="3" applyFont="1" applyBorder="1" applyProtection="1">
      <protection hidden="1"/>
    </xf>
    <xf numFmtId="0" fontId="113" fillId="0" borderId="288" xfId="0" applyFont="1" applyBorder="1" applyAlignment="1" applyProtection="1">
      <alignment horizontal="center" vertical="center" wrapText="1"/>
      <protection hidden="1"/>
    </xf>
    <xf numFmtId="167" fontId="5" fillId="0" borderId="286" xfId="3" applyNumberFormat="1" applyBorder="1" applyAlignment="1" applyProtection="1">
      <alignment horizontal="left" vertical="center"/>
      <protection hidden="1"/>
    </xf>
    <xf numFmtId="166" fontId="5" fillId="0" borderId="287" xfId="3" applyNumberFormat="1" applyBorder="1" applyAlignment="1" applyProtection="1">
      <alignment vertical="center"/>
      <protection hidden="1"/>
    </xf>
    <xf numFmtId="166" fontId="8" fillId="0" borderId="8" xfId="3" applyNumberFormat="1" applyFont="1" applyBorder="1" applyProtection="1">
      <protection hidden="1"/>
    </xf>
    <xf numFmtId="0" fontId="8" fillId="0" borderId="8" xfId="3" applyFont="1" applyBorder="1" applyProtection="1">
      <protection hidden="1"/>
    </xf>
    <xf numFmtId="166" fontId="5" fillId="0" borderId="8" xfId="3" applyNumberFormat="1" applyBorder="1" applyProtection="1">
      <protection hidden="1"/>
    </xf>
    <xf numFmtId="166" fontId="5" fillId="0" borderId="315" xfId="3" applyNumberFormat="1" applyBorder="1" applyAlignment="1" applyProtection="1">
      <alignment vertical="center"/>
      <protection hidden="1"/>
    </xf>
    <xf numFmtId="0" fontId="5" fillId="0" borderId="315" xfId="3" applyBorder="1" applyAlignment="1" applyProtection="1">
      <alignment vertical="center"/>
      <protection hidden="1"/>
    </xf>
    <xf numFmtId="0" fontId="5" fillId="53" borderId="315" xfId="3" applyFill="1" applyBorder="1" applyAlignment="1" applyProtection="1">
      <alignment vertical="center"/>
      <protection locked="0"/>
    </xf>
    <xf numFmtId="166" fontId="5" fillId="0" borderId="316" xfId="3" applyNumberFormat="1" applyBorder="1" applyAlignment="1" applyProtection="1">
      <alignment vertical="center"/>
      <protection hidden="1"/>
    </xf>
    <xf numFmtId="166" fontId="5" fillId="0" borderId="317" xfId="3" applyNumberFormat="1" applyBorder="1" applyAlignment="1" applyProtection="1">
      <alignment vertical="center"/>
      <protection hidden="1"/>
    </xf>
    <xf numFmtId="0" fontId="5" fillId="0" borderId="317" xfId="3" applyBorder="1" applyAlignment="1" applyProtection="1">
      <alignment vertical="center"/>
      <protection hidden="1"/>
    </xf>
    <xf numFmtId="0" fontId="5" fillId="53" borderId="317" xfId="3" applyFill="1" applyBorder="1" applyAlignment="1" applyProtection="1">
      <alignment vertical="center"/>
      <protection locked="0"/>
    </xf>
    <xf numFmtId="166" fontId="5" fillId="0" borderId="318" xfId="3" applyNumberFormat="1" applyBorder="1" applyAlignment="1" applyProtection="1">
      <alignment vertical="center"/>
      <protection hidden="1"/>
    </xf>
    <xf numFmtId="166" fontId="5" fillId="0" borderId="319" xfId="3" applyNumberFormat="1" applyBorder="1" applyAlignment="1" applyProtection="1">
      <alignment vertical="center"/>
      <protection hidden="1"/>
    </xf>
    <xf numFmtId="166" fontId="5" fillId="0" borderId="320" xfId="3" applyNumberFormat="1" applyBorder="1" applyAlignment="1" applyProtection="1">
      <alignment vertical="center"/>
      <protection hidden="1"/>
    </xf>
    <xf numFmtId="166" fontId="5" fillId="0" borderId="321" xfId="3" applyNumberFormat="1" applyBorder="1" applyAlignment="1" applyProtection="1">
      <alignment vertical="center"/>
      <protection hidden="1"/>
    </xf>
    <xf numFmtId="166" fontId="5" fillId="0" borderId="322" xfId="3" applyNumberFormat="1" applyBorder="1" applyAlignment="1" applyProtection="1">
      <alignment vertical="center"/>
      <protection hidden="1"/>
    </xf>
    <xf numFmtId="0" fontId="5" fillId="0" borderId="322" xfId="3" applyBorder="1" applyAlignment="1" applyProtection="1">
      <alignment vertical="center"/>
      <protection hidden="1"/>
    </xf>
    <xf numFmtId="0" fontId="5" fillId="53" borderId="322" xfId="3" applyFill="1" applyBorder="1" applyAlignment="1" applyProtection="1">
      <alignment vertical="center"/>
      <protection locked="0"/>
    </xf>
    <xf numFmtId="166" fontId="5" fillId="0" borderId="323" xfId="3" applyNumberFormat="1" applyBorder="1" applyAlignment="1" applyProtection="1">
      <alignment vertical="center"/>
      <protection hidden="1"/>
    </xf>
    <xf numFmtId="0" fontId="5" fillId="10" borderId="279" xfId="3" applyFill="1" applyBorder="1" applyAlignment="1" applyProtection="1">
      <alignment horizontal="center" vertical="center" wrapText="1"/>
      <protection hidden="1"/>
    </xf>
    <xf numFmtId="171" fontId="78" fillId="0" borderId="0" xfId="2" applyNumberFormat="1" applyFont="1" applyAlignment="1" applyProtection="1">
      <alignment horizontal="center" vertical="center" wrapText="1"/>
      <protection locked="0" hidden="1"/>
    </xf>
    <xf numFmtId="169" fontId="12" fillId="0" borderId="284" xfId="3" applyNumberFormat="1" applyFont="1" applyBorder="1" applyAlignment="1" applyProtection="1">
      <alignment horizontal="center"/>
      <protection hidden="1"/>
    </xf>
    <xf numFmtId="169" fontId="12" fillId="0" borderId="288" xfId="3" applyNumberFormat="1" applyFont="1" applyBorder="1" applyAlignment="1" applyProtection="1">
      <alignment horizontal="center"/>
      <protection hidden="1"/>
    </xf>
    <xf numFmtId="0" fontId="71" fillId="0" borderId="0" xfId="3" applyFont="1" applyAlignment="1" applyProtection="1">
      <alignment horizontal="center"/>
      <protection hidden="1"/>
    </xf>
    <xf numFmtId="0" fontId="0" fillId="0" borderId="205" xfId="0" applyBorder="1" applyAlignment="1" applyProtection="1">
      <alignment horizontal="center" vertical="center"/>
      <protection hidden="1"/>
    </xf>
    <xf numFmtId="0" fontId="18" fillId="45" borderId="281" xfId="0" applyFont="1" applyFill="1" applyBorder="1" applyAlignment="1">
      <alignment horizontal="center" vertical="center"/>
    </xf>
    <xf numFmtId="0" fontId="18" fillId="20" borderId="281" xfId="0" applyFont="1" applyFill="1" applyBorder="1" applyAlignment="1">
      <alignment horizontal="center" vertical="center"/>
    </xf>
    <xf numFmtId="0" fontId="18" fillId="20" borderId="288" xfId="0" applyFont="1" applyFill="1" applyBorder="1" applyAlignment="1">
      <alignment horizontal="center" vertical="center"/>
    </xf>
    <xf numFmtId="0" fontId="0" fillId="39" borderId="288" xfId="0" applyFill="1" applyBorder="1" applyAlignment="1">
      <alignment horizontal="center" vertical="center" wrapText="1"/>
    </xf>
    <xf numFmtId="0" fontId="0" fillId="0" borderId="283" xfId="0" applyBorder="1" applyAlignment="1">
      <alignment horizontal="center"/>
    </xf>
    <xf numFmtId="0" fontId="25" fillId="0" borderId="254" xfId="3" applyFont="1" applyBorder="1" applyAlignment="1">
      <alignment horizontal="left"/>
    </xf>
    <xf numFmtId="179" fontId="14" fillId="0" borderId="244" xfId="2" applyNumberFormat="1" applyFont="1" applyBorder="1" applyAlignment="1">
      <alignment horizontal="right"/>
    </xf>
    <xf numFmtId="179" fontId="14" fillId="0" borderId="325" xfId="2" applyNumberFormat="1" applyFont="1" applyBorder="1" applyAlignment="1">
      <alignment horizontal="right"/>
    </xf>
    <xf numFmtId="0" fontId="0" fillId="0" borderId="93" xfId="0" applyBorder="1"/>
    <xf numFmtId="0" fontId="0" fillId="0" borderId="61" xfId="0" applyBorder="1"/>
    <xf numFmtId="0" fontId="22" fillId="0" borderId="0" xfId="3" applyFont="1" applyAlignment="1">
      <alignment horizontal="center"/>
    </xf>
    <xf numFmtId="0" fontId="22" fillId="0" borderId="0" xfId="3" applyFont="1" applyAlignment="1" applyProtection="1">
      <alignment horizontal="center"/>
      <protection locked="0"/>
    </xf>
    <xf numFmtId="0" fontId="125" fillId="0" borderId="0" xfId="3" applyFont="1" applyProtection="1">
      <protection hidden="1"/>
    </xf>
    <xf numFmtId="0" fontId="180" fillId="0" borderId="0" xfId="3" applyFont="1" applyProtection="1">
      <protection hidden="1"/>
    </xf>
    <xf numFmtId="0" fontId="26" fillId="0" borderId="0" xfId="3" applyFont="1" applyProtection="1">
      <protection hidden="1"/>
    </xf>
    <xf numFmtId="0" fontId="29" fillId="0" borderId="0" xfId="3" applyFont="1" applyProtection="1">
      <protection locked="0" hidden="1"/>
    </xf>
    <xf numFmtId="0" fontId="5" fillId="0" borderId="92" xfId="3" applyBorder="1" applyProtection="1">
      <protection hidden="1"/>
    </xf>
    <xf numFmtId="171" fontId="125" fillId="16" borderId="0" xfId="3" applyNumberFormat="1" applyFont="1" applyFill="1"/>
    <xf numFmtId="171" fontId="36" fillId="0" borderId="18" xfId="3" applyNumberFormat="1" applyFont="1" applyBorder="1" applyProtection="1">
      <protection hidden="1"/>
    </xf>
    <xf numFmtId="171" fontId="36" fillId="0" borderId="19" xfId="3" applyNumberFormat="1" applyFont="1" applyBorder="1" applyProtection="1">
      <protection hidden="1"/>
    </xf>
    <xf numFmtId="171" fontId="36" fillId="0" borderId="20" xfId="3" applyNumberFormat="1" applyFont="1" applyBorder="1" applyProtection="1">
      <protection hidden="1"/>
    </xf>
    <xf numFmtId="0" fontId="21" fillId="0" borderId="18" xfId="3" applyFont="1" applyBorder="1" applyAlignment="1" applyProtection="1">
      <alignment horizontal="center"/>
      <protection hidden="1"/>
    </xf>
    <xf numFmtId="0" fontId="21" fillId="0" borderId="17" xfId="3" applyFont="1" applyBorder="1" applyAlignment="1" applyProtection="1">
      <alignment horizontal="center"/>
      <protection hidden="1"/>
    </xf>
    <xf numFmtId="0" fontId="21" fillId="0" borderId="25" xfId="3" applyFont="1" applyBorder="1" applyAlignment="1" applyProtection="1">
      <alignment horizontal="center" vertical="center"/>
      <protection hidden="1"/>
    </xf>
    <xf numFmtId="169" fontId="21" fillId="0" borderId="93" xfId="3" applyNumberFormat="1" applyFont="1" applyBorder="1" applyAlignment="1" applyProtection="1">
      <alignment horizontal="center" vertical="center"/>
      <protection hidden="1"/>
    </xf>
    <xf numFmtId="0" fontId="21" fillId="0" borderId="26" xfId="3" applyFont="1" applyBorder="1" applyAlignment="1" applyProtection="1">
      <alignment horizontal="center" vertical="center"/>
      <protection hidden="1"/>
    </xf>
    <xf numFmtId="169" fontId="21" fillId="0" borderId="61" xfId="3" applyNumberFormat="1" applyFont="1" applyBorder="1" applyAlignment="1" applyProtection="1">
      <alignment horizontal="center" vertical="center"/>
      <protection hidden="1"/>
    </xf>
    <xf numFmtId="0" fontId="5" fillId="64" borderId="0" xfId="3" applyFill="1" applyProtection="1">
      <protection hidden="1"/>
    </xf>
    <xf numFmtId="2" fontId="5" fillId="0" borderId="0" xfId="3" applyNumberFormat="1" applyProtection="1">
      <protection hidden="1"/>
    </xf>
    <xf numFmtId="0" fontId="203" fillId="0" borderId="0" xfId="3" applyFont="1" applyProtection="1">
      <protection hidden="1"/>
    </xf>
    <xf numFmtId="0" fontId="13" fillId="0" borderId="0" xfId="3" applyFont="1" applyAlignment="1" applyProtection="1">
      <alignment vertical="center" wrapText="1"/>
      <protection hidden="1"/>
    </xf>
    <xf numFmtId="0" fontId="130" fillId="0" borderId="0" xfId="3" applyFont="1" applyAlignment="1" applyProtection="1">
      <alignment horizontal="center"/>
      <protection hidden="1"/>
    </xf>
    <xf numFmtId="0" fontId="13" fillId="0" borderId="86" xfId="3" applyFont="1" applyBorder="1" applyAlignment="1" applyProtection="1">
      <alignment horizontal="center"/>
      <protection hidden="1"/>
    </xf>
    <xf numFmtId="0" fontId="130" fillId="0" borderId="29" xfId="3" applyFont="1" applyBorder="1" applyProtection="1">
      <protection hidden="1"/>
    </xf>
    <xf numFmtId="177" fontId="13" fillId="0" borderId="31" xfId="3" applyNumberFormat="1" applyFont="1" applyBorder="1" applyProtection="1">
      <protection hidden="1"/>
    </xf>
    <xf numFmtId="177" fontId="13" fillId="0" borderId="86" xfId="3" applyNumberFormat="1" applyFont="1" applyBorder="1" applyProtection="1">
      <protection hidden="1"/>
    </xf>
    <xf numFmtId="214" fontId="13" fillId="0" borderId="86" xfId="3" applyNumberFormat="1" applyFont="1" applyBorder="1" applyProtection="1">
      <protection hidden="1"/>
    </xf>
    <xf numFmtId="0" fontId="13" fillId="0" borderId="110" xfId="3" applyFont="1" applyBorder="1" applyAlignment="1" applyProtection="1">
      <alignment horizontal="center"/>
      <protection hidden="1"/>
    </xf>
    <xf numFmtId="0" fontId="130" fillId="0" borderId="25" xfId="3" applyFont="1" applyBorder="1" applyProtection="1">
      <protection hidden="1"/>
    </xf>
    <xf numFmtId="177" fontId="13" fillId="0" borderId="330" xfId="3" applyNumberFormat="1" applyFont="1" applyBorder="1" applyProtection="1">
      <protection hidden="1"/>
    </xf>
    <xf numFmtId="177" fontId="13" fillId="0" borderId="110" xfId="3" applyNumberFormat="1" applyFont="1" applyBorder="1" applyProtection="1">
      <protection hidden="1"/>
    </xf>
    <xf numFmtId="214" fontId="13" fillId="0" borderId="110" xfId="3" applyNumberFormat="1" applyFont="1" applyBorder="1" applyProtection="1">
      <protection hidden="1"/>
    </xf>
    <xf numFmtId="0" fontId="13" fillId="0" borderId="61" xfId="3" applyFont="1" applyBorder="1" applyAlignment="1" applyProtection="1">
      <alignment horizontal="center"/>
      <protection hidden="1"/>
    </xf>
    <xf numFmtId="0" fontId="130" fillId="0" borderId="26" xfId="3" applyFont="1" applyBorder="1" applyProtection="1">
      <protection hidden="1"/>
    </xf>
    <xf numFmtId="177" fontId="13" fillId="0" borderId="28" xfId="3" applyNumberFormat="1" applyFont="1" applyBorder="1" applyProtection="1">
      <protection hidden="1"/>
    </xf>
    <xf numFmtId="177" fontId="13" fillId="0" borderId="61" xfId="3" applyNumberFormat="1" applyFont="1" applyBorder="1" applyProtection="1">
      <protection hidden="1"/>
    </xf>
    <xf numFmtId="214" fontId="13" fillId="0" borderId="61" xfId="3" applyNumberFormat="1" applyFont="1" applyBorder="1" applyProtection="1">
      <protection hidden="1"/>
    </xf>
    <xf numFmtId="214" fontId="13" fillId="0" borderId="0" xfId="3" applyNumberFormat="1" applyFont="1" applyProtection="1">
      <protection hidden="1"/>
    </xf>
    <xf numFmtId="0" fontId="130" fillId="0" borderId="0" xfId="3" applyFont="1" applyAlignment="1" applyProtection="1">
      <alignment horizontal="right"/>
      <protection hidden="1"/>
    </xf>
    <xf numFmtId="2" fontId="130" fillId="0" borderId="0" xfId="3" applyNumberFormat="1" applyFont="1" applyProtection="1">
      <protection hidden="1"/>
    </xf>
    <xf numFmtId="0" fontId="50" fillId="0" borderId="29" xfId="3" applyFont="1" applyBorder="1" applyProtection="1">
      <protection hidden="1"/>
    </xf>
    <xf numFmtId="0" fontId="50" fillId="0" borderId="26" xfId="3" applyFont="1" applyBorder="1" applyProtection="1">
      <protection hidden="1"/>
    </xf>
    <xf numFmtId="0" fontId="65" fillId="0" borderId="86" xfId="3" applyFont="1" applyBorder="1" applyAlignment="1" applyProtection="1">
      <alignment horizontal="center"/>
      <protection hidden="1"/>
    </xf>
    <xf numFmtId="0" fontId="65" fillId="0" borderId="29" xfId="3" applyFont="1" applyBorder="1" applyAlignment="1" applyProtection="1">
      <alignment horizontal="center"/>
      <protection hidden="1"/>
    </xf>
    <xf numFmtId="0" fontId="65" fillId="0" borderId="61" xfId="3" applyFont="1" applyBorder="1" applyProtection="1">
      <protection hidden="1"/>
    </xf>
    <xf numFmtId="0" fontId="65" fillId="0" borderId="26" xfId="3" applyFont="1" applyBorder="1" applyProtection="1">
      <protection hidden="1"/>
    </xf>
    <xf numFmtId="0" fontId="65" fillId="0" borderId="28" xfId="3" applyFont="1" applyBorder="1" applyProtection="1">
      <protection hidden="1"/>
    </xf>
    <xf numFmtId="0" fontId="50" fillId="0" borderId="25" xfId="3" applyFont="1" applyBorder="1" applyProtection="1">
      <protection hidden="1"/>
    </xf>
    <xf numFmtId="0" fontId="65" fillId="0" borderId="31" xfId="3" applyFont="1" applyBorder="1" applyAlignment="1" applyProtection="1">
      <alignment horizontal="left"/>
      <protection hidden="1"/>
    </xf>
    <xf numFmtId="177" fontId="13" fillId="53" borderId="31" xfId="3" applyNumberFormat="1" applyFont="1" applyFill="1" applyBorder="1" applyProtection="1">
      <protection locked="0"/>
    </xf>
    <xf numFmtId="177" fontId="13" fillId="53" borderId="330" xfId="3" applyNumberFormat="1" applyFont="1" applyFill="1" applyBorder="1" applyProtection="1">
      <protection locked="0"/>
    </xf>
    <xf numFmtId="177" fontId="13" fillId="53" borderId="28" xfId="3" applyNumberFormat="1" applyFont="1" applyFill="1" applyBorder="1" applyProtection="1">
      <protection locked="0"/>
    </xf>
    <xf numFmtId="171" fontId="5" fillId="0" borderId="0" xfId="3" applyNumberFormat="1" applyAlignment="1" applyProtection="1">
      <alignment horizontal="center" vertical="center"/>
      <protection hidden="1"/>
    </xf>
    <xf numFmtId="0" fontId="18" fillId="21" borderId="169" xfId="0" applyFont="1" applyFill="1" applyBorder="1" applyAlignment="1" applyProtection="1">
      <alignment horizontal="center" vertical="center" wrapText="1"/>
      <protection hidden="1"/>
    </xf>
    <xf numFmtId="0" fontId="18" fillId="21" borderId="171" xfId="0" applyFont="1" applyFill="1" applyBorder="1" applyAlignment="1" applyProtection="1">
      <alignment horizontal="center" vertical="center" wrapText="1"/>
      <protection hidden="1"/>
    </xf>
    <xf numFmtId="199" fontId="0" fillId="0" borderId="29" xfId="0" applyNumberFormat="1" applyBorder="1" applyAlignment="1" applyProtection="1">
      <alignment horizontal="right" vertical="center"/>
      <protection hidden="1"/>
    </xf>
    <xf numFmtId="181" fontId="0" fillId="0" borderId="86" xfId="0" applyNumberFormat="1" applyBorder="1" applyAlignment="1" applyProtection="1">
      <alignment vertical="center"/>
      <protection hidden="1"/>
    </xf>
    <xf numFmtId="199" fontId="0" fillId="0" borderId="86" xfId="0" applyNumberFormat="1" applyBorder="1" applyAlignment="1" applyProtection="1">
      <alignment horizontal="right" vertical="center"/>
      <protection hidden="1"/>
    </xf>
    <xf numFmtId="0" fontId="0" fillId="0" borderId="0" xfId="0" applyAlignment="1" applyProtection="1">
      <alignment vertical="center"/>
      <protection hidden="1"/>
    </xf>
    <xf numFmtId="199" fontId="0" fillId="0" borderId="25" xfId="0" applyNumberFormat="1" applyBorder="1" applyAlignment="1" applyProtection="1">
      <alignment horizontal="right" vertical="center"/>
      <protection hidden="1"/>
    </xf>
    <xf numFmtId="181" fontId="0" fillId="0" borderId="93" xfId="0" applyNumberFormat="1" applyBorder="1" applyAlignment="1" applyProtection="1">
      <alignment vertical="center"/>
      <protection hidden="1"/>
    </xf>
    <xf numFmtId="199" fontId="0" fillId="0" borderId="93" xfId="0" applyNumberFormat="1" applyBorder="1" applyAlignment="1" applyProtection="1">
      <alignment horizontal="right" vertical="center"/>
      <protection hidden="1"/>
    </xf>
    <xf numFmtId="199" fontId="0" fillId="0" borderId="26" xfId="0" applyNumberFormat="1" applyBorder="1" applyAlignment="1" applyProtection="1">
      <alignment horizontal="right" vertical="center"/>
      <protection hidden="1"/>
    </xf>
    <xf numFmtId="181" fontId="0" fillId="0" borderId="61" xfId="0" applyNumberFormat="1" applyBorder="1" applyAlignment="1" applyProtection="1">
      <alignment vertical="center"/>
      <protection hidden="1"/>
    </xf>
    <xf numFmtId="199" fontId="0" fillId="0" borderId="61" xfId="0" applyNumberFormat="1" applyBorder="1" applyAlignment="1" applyProtection="1">
      <alignment horizontal="right" vertical="center"/>
      <protection hidden="1"/>
    </xf>
    <xf numFmtId="0" fontId="0" fillId="0" borderId="17" xfId="0" applyBorder="1" applyAlignment="1" applyProtection="1">
      <alignment horizontal="right" vertical="center"/>
      <protection hidden="1"/>
    </xf>
    <xf numFmtId="171" fontId="5" fillId="0" borderId="17" xfId="1" applyBorder="1" applyAlignment="1" applyProtection="1">
      <alignment vertical="center"/>
      <protection hidden="1"/>
    </xf>
    <xf numFmtId="171" fontId="5" fillId="0" borderId="0" xfId="1" applyAlignment="1" applyProtection="1">
      <alignment vertical="center"/>
      <protection hidden="1"/>
    </xf>
    <xf numFmtId="171" fontId="5" fillId="0" borderId="0" xfId="1" applyAlignment="1" applyProtection="1">
      <alignment horizontal="center" vertical="center"/>
      <protection hidden="1"/>
    </xf>
    <xf numFmtId="0" fontId="0" fillId="0" borderId="0" xfId="0" applyAlignment="1" applyProtection="1">
      <alignment horizontal="right" vertical="center"/>
      <protection hidden="1"/>
    </xf>
    <xf numFmtId="0" fontId="18" fillId="0" borderId="0" xfId="0" applyFont="1" applyAlignment="1" applyProtection="1">
      <alignment horizontal="right" vertical="center"/>
      <protection hidden="1"/>
    </xf>
    <xf numFmtId="171" fontId="18" fillId="0" borderId="17" xfId="1" applyFont="1" applyBorder="1" applyAlignment="1" applyProtection="1">
      <alignment vertical="center"/>
      <protection hidden="1"/>
    </xf>
    <xf numFmtId="181" fontId="0" fillId="53" borderId="31" xfId="0" applyNumberFormat="1" applyFill="1" applyBorder="1" applyAlignment="1" applyProtection="1">
      <alignment vertical="center"/>
      <protection locked="0"/>
    </xf>
    <xf numFmtId="181" fontId="0" fillId="53" borderId="92" xfId="0" applyNumberFormat="1" applyFill="1" applyBorder="1" applyAlignment="1" applyProtection="1">
      <alignment vertical="center"/>
      <protection locked="0"/>
    </xf>
    <xf numFmtId="181" fontId="0" fillId="53" borderId="28" xfId="0" applyNumberFormat="1" applyFill="1" applyBorder="1" applyAlignment="1" applyProtection="1">
      <alignment vertical="center"/>
      <protection locked="0"/>
    </xf>
    <xf numFmtId="0" fontId="45" fillId="53" borderId="0" xfId="0" applyFont="1" applyFill="1" applyAlignment="1" applyProtection="1">
      <alignment horizontal="center" vertical="center"/>
      <protection locked="0"/>
    </xf>
    <xf numFmtId="0" fontId="5" fillId="0" borderId="255" xfId="3" applyBorder="1" applyProtection="1">
      <protection hidden="1"/>
    </xf>
    <xf numFmtId="0" fontId="5" fillId="0" borderId="244" xfId="3" applyBorder="1" applyProtection="1">
      <protection hidden="1"/>
    </xf>
    <xf numFmtId="0" fontId="5" fillId="0" borderId="330" xfId="3" applyBorder="1" applyProtection="1">
      <protection hidden="1"/>
    </xf>
    <xf numFmtId="169" fontId="5" fillId="0" borderId="25" xfId="3" applyNumberFormat="1" applyBorder="1" applyProtection="1">
      <protection hidden="1"/>
    </xf>
    <xf numFmtId="0" fontId="5" fillId="0" borderId="26" xfId="3" applyBorder="1" applyProtection="1">
      <protection hidden="1"/>
    </xf>
    <xf numFmtId="0" fontId="5" fillId="0" borderId="28" xfId="3" applyBorder="1" applyProtection="1">
      <protection hidden="1"/>
    </xf>
    <xf numFmtId="20" fontId="0" fillId="63" borderId="17" xfId="0" applyNumberFormat="1" applyFill="1" applyBorder="1" applyAlignment="1" applyProtection="1">
      <alignment horizontal="center"/>
      <protection locked="0"/>
    </xf>
    <xf numFmtId="14" fontId="0" fillId="63" borderId="0" xfId="0" applyNumberFormat="1" applyFill="1" applyAlignment="1" applyProtection="1">
      <alignment horizontal="center"/>
      <protection locked="0" hidden="1"/>
    </xf>
    <xf numFmtId="0" fontId="205" fillId="0" borderId="0" xfId="0" applyFont="1" applyProtection="1">
      <protection hidden="1"/>
    </xf>
    <xf numFmtId="0" fontId="50" fillId="0" borderId="0" xfId="4" applyNumberFormat="1" applyFont="1" applyProtection="1">
      <protection hidden="1"/>
    </xf>
    <xf numFmtId="169" fontId="50" fillId="0" borderId="0" xfId="3" applyNumberFormat="1" applyFont="1" applyAlignment="1" applyProtection="1">
      <alignment horizontal="right"/>
      <protection hidden="1"/>
    </xf>
    <xf numFmtId="171" fontId="0" fillId="0" borderId="17" xfId="1" applyFont="1" applyBorder="1" applyAlignment="1" applyProtection="1">
      <alignment vertical="center"/>
      <protection hidden="1"/>
    </xf>
    <xf numFmtId="0" fontId="5" fillId="63" borderId="0" xfId="3" applyFill="1" applyAlignment="1" applyProtection="1">
      <alignment horizontal="center"/>
      <protection locked="0" hidden="1"/>
    </xf>
    <xf numFmtId="177" fontId="49" fillId="0" borderId="0" xfId="3" applyNumberFormat="1" applyFont="1" applyAlignment="1" applyProtection="1">
      <alignment horizontal="center"/>
      <protection hidden="1"/>
    </xf>
    <xf numFmtId="0" fontId="183" fillId="0" borderId="93" xfId="0" applyFont="1" applyBorder="1" applyAlignment="1">
      <alignment horizontal="center" vertical="center" wrapText="1"/>
    </xf>
    <xf numFmtId="0" fontId="65" fillId="0" borderId="0" xfId="3" applyFont="1" applyAlignment="1" applyProtection="1">
      <alignment horizontal="left"/>
      <protection hidden="1"/>
    </xf>
    <xf numFmtId="177" fontId="5" fillId="0" borderId="0" xfId="3" applyNumberFormat="1" applyAlignment="1" applyProtection="1">
      <alignment horizontal="left"/>
      <protection hidden="1"/>
    </xf>
    <xf numFmtId="177" fontId="49" fillId="0" borderId="95" xfId="3" applyNumberFormat="1" applyFont="1" applyBorder="1" applyAlignment="1" applyProtection="1">
      <alignment horizontal="center"/>
      <protection hidden="1"/>
    </xf>
    <xf numFmtId="0" fontId="22" fillId="0" borderId="95" xfId="3" applyFont="1" applyBorder="1" applyProtection="1">
      <protection hidden="1"/>
    </xf>
    <xf numFmtId="0" fontId="206" fillId="0" borderId="0" xfId="3" applyFont="1" applyProtection="1">
      <protection hidden="1"/>
    </xf>
    <xf numFmtId="0" fontId="2" fillId="0" borderId="0" xfId="0" applyFont="1" applyProtection="1">
      <protection hidden="1"/>
    </xf>
    <xf numFmtId="199" fontId="0" fillId="12" borderId="105" xfId="0" applyNumberFormat="1" applyFill="1" applyBorder="1" applyAlignment="1" applyProtection="1">
      <alignment horizontal="left"/>
      <protection hidden="1"/>
    </xf>
    <xf numFmtId="199" fontId="0" fillId="0" borderId="0" xfId="0" applyNumberFormat="1" applyProtection="1">
      <protection hidden="1"/>
    </xf>
    <xf numFmtId="199" fontId="0" fillId="53" borderId="0" xfId="0" applyNumberFormat="1" applyFill="1" applyProtection="1">
      <protection locked="0"/>
    </xf>
    <xf numFmtId="0" fontId="183" fillId="0" borderId="288" xfId="0" applyFont="1" applyBorder="1" applyAlignment="1">
      <alignment horizontal="center" vertical="center" wrapText="1"/>
    </xf>
    <xf numFmtId="0" fontId="0" fillId="0" borderId="66" xfId="0" applyBorder="1" applyProtection="1">
      <protection hidden="1"/>
    </xf>
    <xf numFmtId="2" fontId="0" fillId="0" borderId="129" xfId="0" applyNumberFormat="1" applyBorder="1" applyAlignment="1" applyProtection="1">
      <alignment horizontal="center" vertical="center"/>
      <protection hidden="1"/>
    </xf>
    <xf numFmtId="2" fontId="0" fillId="0" borderId="72" xfId="0" applyNumberFormat="1" applyBorder="1" applyAlignment="1" applyProtection="1">
      <alignment horizontal="center" vertical="center"/>
      <protection hidden="1"/>
    </xf>
    <xf numFmtId="2" fontId="0" fillId="0" borderId="76" xfId="0" applyNumberFormat="1" applyBorder="1" applyAlignment="1" applyProtection="1">
      <alignment horizontal="center" vertical="center"/>
      <protection hidden="1"/>
    </xf>
    <xf numFmtId="182" fontId="29" fillId="0" borderId="0" xfId="0" applyNumberFormat="1" applyFont="1" applyAlignment="1" applyProtection="1">
      <alignment horizontal="center"/>
      <protection hidden="1"/>
    </xf>
    <xf numFmtId="0" fontId="18" fillId="0" borderId="288" xfId="0" applyFont="1" applyBorder="1" applyAlignment="1">
      <alignment horizontal="center" vertical="center" wrapText="1"/>
    </xf>
    <xf numFmtId="0" fontId="18" fillId="39" borderId="288" xfId="0" applyFont="1" applyFill="1" applyBorder="1" applyAlignment="1">
      <alignment horizontal="center" vertical="center" wrapText="1"/>
    </xf>
    <xf numFmtId="0" fontId="18" fillId="65" borderId="288" xfId="0" applyFont="1" applyFill="1" applyBorder="1" applyAlignment="1">
      <alignment horizontal="center" vertical="center" wrapText="1"/>
    </xf>
    <xf numFmtId="0" fontId="18" fillId="0" borderId="0" xfId="0" applyFont="1" applyAlignment="1">
      <alignment horizontal="center" vertical="center" wrapText="1"/>
    </xf>
    <xf numFmtId="182" fontId="0" fillId="0" borderId="288" xfId="0" applyNumberFormat="1" applyBorder="1" applyAlignment="1" applyProtection="1">
      <alignment horizontal="center" vertical="center"/>
      <protection hidden="1"/>
    </xf>
    <xf numFmtId="181" fontId="0" fillId="0" borderId="288" xfId="0" applyNumberFormat="1" applyBorder="1" applyAlignment="1">
      <alignment horizontal="center"/>
    </xf>
    <xf numFmtId="181" fontId="0" fillId="0" borderId="288" xfId="0" applyNumberFormat="1" applyBorder="1"/>
    <xf numFmtId="0" fontId="1" fillId="0" borderId="0" xfId="0" applyFont="1" applyProtection="1">
      <protection hidden="1"/>
    </xf>
    <xf numFmtId="177" fontId="12" fillId="53" borderId="288" xfId="3" applyNumberFormat="1" applyFont="1" applyFill="1" applyBorder="1" applyAlignment="1" applyProtection="1">
      <alignment horizontal="right" vertical="center"/>
      <protection locked="0"/>
    </xf>
    <xf numFmtId="169" fontId="12" fillId="0" borderId="94" xfId="3" applyNumberFormat="1" applyFont="1" applyBorder="1" applyAlignment="1" applyProtection="1">
      <alignment horizontal="center"/>
      <protection hidden="1"/>
    </xf>
    <xf numFmtId="0" fontId="12" fillId="0" borderId="95" xfId="3" applyFont="1" applyBorder="1" applyProtection="1">
      <protection hidden="1"/>
    </xf>
    <xf numFmtId="170" fontId="41" fillId="0" borderId="95" xfId="3" applyNumberFormat="1" applyFont="1" applyBorder="1" applyAlignment="1" applyProtection="1">
      <alignment horizontal="left" vertical="center"/>
      <protection hidden="1"/>
    </xf>
    <xf numFmtId="170" fontId="71" fillId="0" borderId="95" xfId="3" applyNumberFormat="1" applyFont="1" applyBorder="1" applyAlignment="1" applyProtection="1">
      <alignment horizontal="left" vertical="center"/>
      <protection hidden="1"/>
    </xf>
    <xf numFmtId="170" fontId="41" fillId="0" borderId="0" xfId="3" applyNumberFormat="1" applyFont="1" applyAlignment="1" applyProtection="1">
      <alignment horizontal="left" vertical="center"/>
      <protection hidden="1"/>
    </xf>
    <xf numFmtId="170" fontId="71" fillId="0" borderId="0" xfId="3" applyNumberFormat="1" applyFont="1" applyAlignment="1" applyProtection="1">
      <alignment horizontal="left" vertical="center"/>
      <protection hidden="1"/>
    </xf>
    <xf numFmtId="177" fontId="18" fillId="0" borderId="95" xfId="3" quotePrefix="1" applyNumberFormat="1" applyFont="1" applyBorder="1" applyAlignment="1" applyProtection="1">
      <alignment horizontal="center"/>
      <protection hidden="1"/>
    </xf>
    <xf numFmtId="0" fontId="12" fillId="53" borderId="288" xfId="3" applyFont="1" applyFill="1" applyBorder="1" applyAlignment="1" applyProtection="1">
      <alignment horizontal="center" vertical="center"/>
      <protection locked="0" hidden="1"/>
    </xf>
    <xf numFmtId="0" fontId="5" fillId="0" borderId="95" xfId="3" applyBorder="1" applyAlignment="1" applyProtection="1">
      <alignment horizontal="center" vertical="center"/>
      <protection hidden="1"/>
    </xf>
    <xf numFmtId="0" fontId="12" fillId="53" borderId="17" xfId="3" applyFont="1" applyFill="1" applyBorder="1" applyAlignment="1" applyProtection="1">
      <alignment horizontal="center" vertical="center"/>
      <protection locked="0" hidden="1"/>
    </xf>
    <xf numFmtId="177" fontId="5" fillId="0" borderId="95" xfId="3" applyNumberFormat="1" applyBorder="1" applyAlignment="1" applyProtection="1">
      <alignment horizontal="center" vertical="center"/>
      <protection hidden="1"/>
    </xf>
    <xf numFmtId="177" fontId="5" fillId="0" borderId="0" xfId="3" applyNumberFormat="1" applyAlignment="1" applyProtection="1">
      <alignment horizontal="center" vertical="center"/>
      <protection hidden="1"/>
    </xf>
    <xf numFmtId="0" fontId="65" fillId="0" borderId="0" xfId="3" applyFont="1" applyAlignment="1" applyProtection="1">
      <alignment horizontal="left" vertical="center"/>
      <protection hidden="1"/>
    </xf>
    <xf numFmtId="0" fontId="12" fillId="53" borderId="61" xfId="3" applyFont="1" applyFill="1" applyBorder="1" applyAlignment="1" applyProtection="1">
      <alignment horizontal="center" vertical="center"/>
      <protection locked="0" hidden="1"/>
    </xf>
    <xf numFmtId="177" fontId="12" fillId="0" borderId="0" xfId="3" applyNumberFormat="1" applyFont="1" applyAlignment="1" applyProtection="1">
      <alignment horizontal="left" vertical="center"/>
      <protection hidden="1"/>
    </xf>
    <xf numFmtId="0" fontId="12" fillId="53" borderId="17" xfId="3" applyFont="1" applyFill="1" applyBorder="1" applyAlignment="1" applyProtection="1">
      <alignment horizontal="center" vertical="center"/>
      <protection locked="0"/>
    </xf>
    <xf numFmtId="177" fontId="12" fillId="0" borderId="0" xfId="3" applyNumberFormat="1" applyFont="1" applyAlignment="1" applyProtection="1">
      <alignment horizontal="center" vertical="center"/>
      <protection hidden="1"/>
    </xf>
    <xf numFmtId="0" fontId="22" fillId="0" borderId="0" xfId="3" applyFont="1" applyAlignment="1" applyProtection="1">
      <alignment horizontal="center" vertical="center"/>
      <protection hidden="1"/>
    </xf>
    <xf numFmtId="0" fontId="5" fillId="0" borderId="0" xfId="3" applyAlignment="1" applyProtection="1">
      <alignment horizontal="center" vertical="center"/>
      <protection hidden="1"/>
    </xf>
    <xf numFmtId="177" fontId="5" fillId="0" borderId="0" xfId="3" applyNumberFormat="1" applyAlignment="1" applyProtection="1">
      <alignment horizontal="center" vertical="top"/>
      <protection hidden="1"/>
    </xf>
    <xf numFmtId="169" fontId="130" fillId="0" borderId="0" xfId="3" applyNumberFormat="1" applyFont="1" applyProtection="1">
      <protection hidden="1"/>
    </xf>
    <xf numFmtId="214" fontId="0" fillId="0" borderId="17" xfId="0" applyNumberFormat="1" applyBorder="1" applyProtection="1">
      <protection hidden="1"/>
    </xf>
    <xf numFmtId="177" fontId="0" fillId="0" borderId="288" xfId="0" applyNumberFormat="1" applyBorder="1" applyProtection="1">
      <protection hidden="1"/>
    </xf>
    <xf numFmtId="177" fontId="0" fillId="0" borderId="17" xfId="0" applyNumberFormat="1" applyBorder="1" applyProtection="1">
      <protection hidden="1"/>
    </xf>
    <xf numFmtId="177" fontId="0" fillId="0" borderId="0" xfId="0" applyNumberFormat="1" applyProtection="1">
      <protection hidden="1"/>
    </xf>
    <xf numFmtId="177" fontId="0" fillId="0" borderId="20" xfId="0" applyNumberFormat="1" applyBorder="1" applyAlignment="1" applyProtection="1">
      <alignment horizontal="left"/>
      <protection hidden="1"/>
    </xf>
    <xf numFmtId="177" fontId="0" fillId="0" borderId="61" xfId="0" applyNumberFormat="1" applyBorder="1" applyProtection="1">
      <protection hidden="1"/>
    </xf>
    <xf numFmtId="177" fontId="0" fillId="0" borderId="17" xfId="0" applyNumberFormat="1" applyBorder="1" applyProtection="1">
      <protection locked="0" hidden="1"/>
    </xf>
    <xf numFmtId="0" fontId="18" fillId="15" borderId="64" xfId="0" applyFont="1" applyFill="1" applyBorder="1" applyAlignment="1" applyProtection="1">
      <alignment horizontal="center" vertical="center" wrapText="1"/>
      <protection hidden="1"/>
    </xf>
    <xf numFmtId="0" fontId="62" fillId="0" borderId="0" xfId="3" applyFont="1" applyProtection="1">
      <protection hidden="1"/>
    </xf>
    <xf numFmtId="0" fontId="62" fillId="0" borderId="0" xfId="3" applyFont="1" applyAlignment="1" applyProtection="1">
      <alignment horizontal="center" vertical="center" wrapText="1"/>
      <protection hidden="1"/>
    </xf>
    <xf numFmtId="169" fontId="62" fillId="0" borderId="0" xfId="3" applyNumberFormat="1" applyFont="1" applyProtection="1">
      <protection hidden="1"/>
    </xf>
    <xf numFmtId="0" fontId="29" fillId="0" borderId="0" xfId="3" applyFont="1" applyAlignment="1" applyProtection="1">
      <alignment horizontal="center" vertical="center" wrapText="1"/>
      <protection hidden="1"/>
    </xf>
    <xf numFmtId="169" fontId="29" fillId="0" borderId="0" xfId="3" applyNumberFormat="1" applyFont="1" applyProtection="1">
      <protection hidden="1"/>
    </xf>
    <xf numFmtId="169" fontId="5" fillId="63" borderId="35" xfId="3" applyNumberFormat="1" applyFill="1" applyBorder="1" applyAlignment="1" applyProtection="1">
      <alignment horizontal="right"/>
      <protection locked="0"/>
    </xf>
    <xf numFmtId="0" fontId="68" fillId="0" borderId="0" xfId="3" applyFont="1" applyAlignment="1" applyProtection="1">
      <alignment vertical="center"/>
      <protection hidden="1"/>
    </xf>
    <xf numFmtId="0" fontId="65" fillId="0" borderId="0" xfId="3" applyFont="1" applyAlignment="1" applyProtection="1">
      <alignment vertical="center"/>
      <protection hidden="1"/>
    </xf>
    <xf numFmtId="0" fontId="170" fillId="53" borderId="331" xfId="3" applyFont="1" applyFill="1" applyBorder="1" applyProtection="1">
      <protection locked="0"/>
    </xf>
    <xf numFmtId="0" fontId="170" fillId="53" borderId="332" xfId="3" applyFont="1" applyFill="1" applyBorder="1" applyProtection="1">
      <protection locked="0"/>
    </xf>
    <xf numFmtId="171" fontId="170" fillId="54" borderId="269" xfId="2" applyNumberFormat="1" applyFont="1" applyFill="1" applyBorder="1" applyAlignment="1" applyProtection="1">
      <alignment horizontal="right"/>
      <protection locked="0"/>
    </xf>
    <xf numFmtId="171" fontId="170" fillId="54" borderId="270" xfId="2" applyNumberFormat="1" applyFont="1" applyFill="1" applyBorder="1" applyAlignment="1" applyProtection="1">
      <alignment horizontal="right"/>
      <protection locked="0"/>
    </xf>
    <xf numFmtId="1" fontId="70" fillId="53" borderId="288" xfId="3" applyNumberFormat="1" applyFont="1" applyFill="1" applyBorder="1" applyAlignment="1" applyProtection="1">
      <alignment horizontal="center"/>
      <protection locked="0"/>
    </xf>
    <xf numFmtId="181" fontId="5" fillId="0" borderId="0" xfId="3" applyNumberFormat="1" applyAlignment="1" applyProtection="1">
      <alignment horizontal="center"/>
      <protection hidden="1"/>
    </xf>
    <xf numFmtId="14" fontId="5" fillId="0" borderId="0" xfId="3" applyNumberFormat="1" applyAlignment="1">
      <alignment horizontal="center" vertical="center"/>
    </xf>
    <xf numFmtId="0" fontId="0" fillId="0" borderId="288" xfId="0" applyBorder="1" applyAlignment="1" applyProtection="1">
      <alignment horizontal="center"/>
      <protection hidden="1"/>
    </xf>
    <xf numFmtId="0" fontId="0" fillId="0" borderId="0" xfId="0" quotePrefix="1" applyAlignment="1" applyProtection="1">
      <alignment horizontal="right"/>
      <protection hidden="1"/>
    </xf>
    <xf numFmtId="185" fontId="0" fillId="63" borderId="288" xfId="0" applyNumberFormat="1" applyFill="1" applyBorder="1" applyAlignment="1" applyProtection="1">
      <alignment horizontal="center"/>
      <protection locked="0"/>
    </xf>
    <xf numFmtId="1" fontId="0" fillId="0" borderId="0" xfId="0" applyNumberFormat="1" applyAlignment="1" applyProtection="1">
      <alignment horizontal="center"/>
      <protection hidden="1"/>
    </xf>
    <xf numFmtId="181" fontId="18" fillId="7" borderId="0" xfId="0" applyNumberFormat="1" applyFont="1" applyFill="1" applyAlignment="1" applyProtection="1">
      <alignment vertical="center"/>
      <protection hidden="1"/>
    </xf>
    <xf numFmtId="0" fontId="0" fillId="7" borderId="0" xfId="0" applyFill="1" applyAlignment="1" applyProtection="1">
      <alignment vertical="center"/>
      <protection hidden="1"/>
    </xf>
    <xf numFmtId="0" fontId="22" fillId="0" borderId="113" xfId="3" applyFont="1" applyBorder="1" applyProtection="1">
      <protection hidden="1"/>
    </xf>
    <xf numFmtId="0" fontId="13" fillId="0" borderId="333" xfId="3" applyFont="1" applyBorder="1"/>
    <xf numFmtId="0" fontId="0" fillId="0" borderId="333" xfId="0" applyBorder="1"/>
    <xf numFmtId="0" fontId="13" fillId="0" borderId="334" xfId="3" applyFont="1" applyBorder="1"/>
    <xf numFmtId="0" fontId="0" fillId="37" borderId="281" xfId="0" applyFill="1" applyBorder="1" applyAlignment="1">
      <alignment horizontal="center" vertical="center" wrapText="1"/>
    </xf>
    <xf numFmtId="0" fontId="0" fillId="0" borderId="288" xfId="0" applyBorder="1" applyAlignment="1">
      <alignment horizontal="center"/>
    </xf>
    <xf numFmtId="0" fontId="14" fillId="0" borderId="284" xfId="2" applyNumberFormat="1" applyFont="1" applyBorder="1" applyAlignment="1">
      <alignment horizontal="right"/>
    </xf>
    <xf numFmtId="0" fontId="14" fillId="0" borderId="93" xfId="2" applyNumberFormat="1" applyFont="1" applyBorder="1" applyAlignment="1">
      <alignment horizontal="right"/>
    </xf>
    <xf numFmtId="0" fontId="13" fillId="0" borderId="333" xfId="2" applyNumberFormat="1" applyFont="1" applyBorder="1" applyAlignment="1">
      <alignment horizontal="right"/>
    </xf>
    <xf numFmtId="0" fontId="0" fillId="0" borderId="284" xfId="0" applyBorder="1"/>
    <xf numFmtId="0" fontId="0" fillId="62" borderId="93" xfId="0" applyFill="1" applyBorder="1" applyProtection="1">
      <protection locked="0"/>
    </xf>
    <xf numFmtId="9" fontId="45" fillId="53" borderId="288" xfId="0" applyNumberFormat="1" applyFont="1" applyFill="1" applyBorder="1" applyAlignment="1" applyProtection="1">
      <alignment horizontal="center"/>
      <protection locked="0"/>
    </xf>
    <xf numFmtId="174" fontId="0" fillId="53" borderId="335" xfId="0" applyNumberFormat="1" applyFill="1" applyBorder="1" applyAlignment="1" applyProtection="1">
      <alignment horizontal="center"/>
      <protection locked="0"/>
    </xf>
    <xf numFmtId="10" fontId="0" fillId="53" borderId="335" xfId="2" applyNumberFormat="1" applyFont="1" applyFill="1" applyBorder="1" applyAlignment="1" applyProtection="1">
      <alignment horizontal="center"/>
      <protection locked="0"/>
    </xf>
    <xf numFmtId="215" fontId="0" fillId="53" borderId="288" xfId="0" applyNumberFormat="1" applyFill="1" applyBorder="1" applyProtection="1">
      <protection locked="0"/>
    </xf>
    <xf numFmtId="179" fontId="14" fillId="62" borderId="325" xfId="2" applyNumberFormat="1" applyFont="1" applyFill="1" applyBorder="1" applyAlignment="1" applyProtection="1">
      <alignment horizontal="right"/>
      <protection locked="0"/>
    </xf>
    <xf numFmtId="179" fontId="13" fillId="0" borderId="325" xfId="2" applyNumberFormat="1" applyFont="1" applyBorder="1" applyAlignment="1">
      <alignment horizontal="right"/>
    </xf>
    <xf numFmtId="179" fontId="13" fillId="62" borderId="330" xfId="2" applyNumberFormat="1" applyFont="1" applyFill="1" applyBorder="1" applyAlignment="1" applyProtection="1">
      <alignment horizontal="right"/>
      <protection locked="0"/>
    </xf>
    <xf numFmtId="216" fontId="14" fillId="62" borderId="93" xfId="2" applyNumberFormat="1" applyFont="1" applyFill="1" applyBorder="1" applyAlignment="1" applyProtection="1">
      <alignment horizontal="right"/>
      <protection locked="0"/>
    </xf>
    <xf numFmtId="216" fontId="14" fillId="0" borderId="93" xfId="2" applyNumberFormat="1" applyFont="1" applyBorder="1" applyAlignment="1">
      <alignment horizontal="right"/>
    </xf>
    <xf numFmtId="216" fontId="13" fillId="62" borderId="93" xfId="2" applyNumberFormat="1" applyFont="1" applyFill="1" applyBorder="1" applyAlignment="1" applyProtection="1">
      <alignment horizontal="right"/>
      <protection locked="0"/>
    </xf>
    <xf numFmtId="0" fontId="1" fillId="0" borderId="0" xfId="0" quotePrefix="1" applyFont="1" applyProtection="1">
      <protection hidden="1"/>
    </xf>
    <xf numFmtId="0" fontId="64" fillId="0" borderId="0" xfId="3" applyFont="1" applyAlignment="1" applyProtection="1">
      <alignment horizontal="center"/>
      <protection hidden="1"/>
    </xf>
    <xf numFmtId="14" fontId="22" fillId="0" borderId="0" xfId="3" applyNumberFormat="1" applyFont="1" applyProtection="1">
      <protection hidden="1"/>
    </xf>
    <xf numFmtId="14" fontId="207" fillId="0" borderId="0" xfId="0" applyNumberFormat="1" applyFont="1" applyProtection="1">
      <protection hidden="1"/>
    </xf>
    <xf numFmtId="0" fontId="41" fillId="0" borderId="0" xfId="3" applyFont="1" applyAlignment="1" applyProtection="1">
      <alignment horizontal="center"/>
      <protection hidden="1"/>
    </xf>
    <xf numFmtId="0" fontId="5" fillId="0" borderId="281" xfId="3" applyBorder="1" applyProtection="1">
      <protection hidden="1"/>
    </xf>
    <xf numFmtId="0" fontId="5" fillId="0" borderId="282" xfId="3" applyBorder="1" applyProtection="1">
      <protection hidden="1"/>
    </xf>
    <xf numFmtId="2" fontId="50" fillId="0" borderId="0" xfId="3" applyNumberFormat="1" applyFont="1" applyAlignment="1" applyProtection="1">
      <alignment horizontal="center"/>
      <protection hidden="1"/>
    </xf>
    <xf numFmtId="181" fontId="18" fillId="0" borderId="0" xfId="3" applyNumberFormat="1" applyFont="1" applyAlignment="1" applyProtection="1">
      <alignment vertical="center" wrapText="1"/>
      <protection hidden="1"/>
    </xf>
    <xf numFmtId="0" fontId="17" fillId="0" borderId="0" xfId="3" applyFont="1" applyAlignment="1" applyProtection="1">
      <alignment horizontal="center" vertical="center"/>
      <protection hidden="1"/>
    </xf>
    <xf numFmtId="176" fontId="5" fillId="0" borderId="0" xfId="3" applyNumberFormat="1" applyProtection="1">
      <protection hidden="1"/>
    </xf>
    <xf numFmtId="174" fontId="5" fillId="0" borderId="0" xfId="3" applyNumberFormat="1" applyProtection="1">
      <protection hidden="1"/>
    </xf>
    <xf numFmtId="0" fontId="5" fillId="0" borderId="339" xfId="3" applyBorder="1" applyProtection="1">
      <protection hidden="1"/>
    </xf>
    <xf numFmtId="0" fontId="5" fillId="0" borderId="340" xfId="3" applyBorder="1" applyProtection="1">
      <protection hidden="1"/>
    </xf>
    <xf numFmtId="192" fontId="5" fillId="0" borderId="340" xfId="3" applyNumberFormat="1" applyBorder="1" applyProtection="1">
      <protection hidden="1"/>
    </xf>
    <xf numFmtId="0" fontId="5" fillId="0" borderId="341" xfId="3" applyBorder="1" applyProtection="1">
      <protection hidden="1"/>
    </xf>
    <xf numFmtId="174" fontId="8" fillId="0" borderId="342" xfId="3" applyNumberFormat="1" applyFont="1" applyBorder="1" applyProtection="1">
      <protection hidden="1"/>
    </xf>
    <xf numFmtId="179" fontId="5" fillId="0" borderId="0" xfId="2" applyNumberFormat="1"/>
    <xf numFmtId="9" fontId="45" fillId="0" borderId="0" xfId="0" applyNumberFormat="1" applyFont="1" applyAlignment="1" applyProtection="1">
      <alignment horizontal="center"/>
      <protection locked="0"/>
    </xf>
    <xf numFmtId="200" fontId="45" fillId="0" borderId="0" xfId="0" applyNumberFormat="1" applyFont="1" applyAlignment="1" applyProtection="1">
      <alignment horizontal="center" vertical="center"/>
      <protection locked="0"/>
    </xf>
    <xf numFmtId="0" fontId="45" fillId="0" borderId="0" xfId="0" applyFont="1" applyProtection="1">
      <protection locked="0"/>
    </xf>
    <xf numFmtId="209" fontId="45" fillId="0" borderId="0" xfId="0" applyNumberFormat="1" applyFont="1" applyAlignment="1" applyProtection="1">
      <alignment horizontal="center" vertical="center"/>
      <protection hidden="1"/>
    </xf>
    <xf numFmtId="0" fontId="45" fillId="0" borderId="0" xfId="0" applyFont="1" applyAlignment="1" applyProtection="1">
      <alignment horizontal="center"/>
      <protection locked="0"/>
    </xf>
    <xf numFmtId="14" fontId="18" fillId="0" borderId="0" xfId="0" applyNumberFormat="1" applyFont="1" applyAlignment="1" applyProtection="1">
      <alignment horizontal="center"/>
      <protection locked="0"/>
    </xf>
    <xf numFmtId="179" fontId="14" fillId="62" borderId="343" xfId="2" applyNumberFormat="1" applyFont="1" applyFill="1" applyBorder="1" applyAlignment="1" applyProtection="1">
      <alignment horizontal="right"/>
      <protection locked="0"/>
    </xf>
    <xf numFmtId="197" fontId="0" fillId="0" borderId="0" xfId="0" applyNumberFormat="1" applyAlignment="1" applyProtection="1">
      <alignment horizontal="center"/>
      <protection locked="0"/>
    </xf>
    <xf numFmtId="14" fontId="5" fillId="0" borderId="0" xfId="3" applyNumberFormat="1" applyAlignment="1" applyProtection="1">
      <alignment horizontal="right"/>
      <protection locked="0"/>
    </xf>
    <xf numFmtId="197" fontId="5" fillId="0" borderId="0" xfId="3" applyNumberFormat="1" applyAlignment="1" applyProtection="1">
      <alignment horizontal="center"/>
      <protection hidden="1"/>
    </xf>
    <xf numFmtId="0" fontId="18" fillId="0" borderId="0" xfId="0" applyFont="1" applyAlignment="1" applyProtection="1">
      <alignment horizontal="center" wrapText="1"/>
      <protection hidden="1"/>
    </xf>
    <xf numFmtId="0" fontId="18" fillId="0" borderId="0" xfId="0" applyFont="1" applyAlignment="1" applyProtection="1">
      <alignment horizontal="center" vertical="center"/>
      <protection hidden="1"/>
    </xf>
    <xf numFmtId="0" fontId="147" fillId="0" borderId="0" xfId="0" applyFont="1" applyAlignment="1" applyProtection="1">
      <alignment horizontal="center"/>
      <protection hidden="1"/>
    </xf>
    <xf numFmtId="0" fontId="28" fillId="0" borderId="147" xfId="0" applyFont="1" applyBorder="1" applyAlignment="1" applyProtection="1">
      <alignment horizontal="center"/>
      <protection hidden="1"/>
    </xf>
    <xf numFmtId="0" fontId="28" fillId="0" borderId="148" xfId="0" applyFont="1" applyBorder="1" applyAlignment="1" applyProtection="1">
      <alignment horizontal="center"/>
      <protection hidden="1"/>
    </xf>
    <xf numFmtId="0" fontId="28" fillId="0" borderId="149" xfId="0" applyFont="1" applyBorder="1" applyAlignment="1" applyProtection="1">
      <alignment horizontal="center"/>
      <protection hidden="1"/>
    </xf>
    <xf numFmtId="0" fontId="28" fillId="0" borderId="155" xfId="0" applyFont="1" applyBorder="1" applyAlignment="1" applyProtection="1">
      <alignment horizontal="center"/>
      <protection hidden="1"/>
    </xf>
    <xf numFmtId="0" fontId="28" fillId="0" borderId="156" xfId="0" applyFont="1" applyBorder="1" applyAlignment="1" applyProtection="1">
      <alignment horizontal="center"/>
      <protection hidden="1"/>
    </xf>
    <xf numFmtId="0" fontId="28" fillId="0" borderId="157" xfId="0" applyFont="1" applyBorder="1" applyAlignment="1" applyProtection="1">
      <alignment horizontal="center"/>
      <protection hidden="1"/>
    </xf>
    <xf numFmtId="0" fontId="28" fillId="0" borderId="158" xfId="0" applyFont="1" applyBorder="1" applyAlignment="1" applyProtection="1">
      <alignment horizontal="center"/>
      <protection hidden="1"/>
    </xf>
    <xf numFmtId="0" fontId="28" fillId="0" borderId="0" xfId="0" applyFont="1" applyAlignment="1" applyProtection="1">
      <alignment horizontal="center"/>
      <protection hidden="1"/>
    </xf>
    <xf numFmtId="0" fontId="28" fillId="0" borderId="159" xfId="0" applyFont="1" applyBorder="1" applyAlignment="1" applyProtection="1">
      <alignment horizontal="center"/>
      <protection hidden="1"/>
    </xf>
    <xf numFmtId="0" fontId="18" fillId="0" borderId="0" xfId="3" applyFont="1" applyAlignment="1" applyProtection="1">
      <alignment horizontal="center"/>
      <protection hidden="1"/>
    </xf>
    <xf numFmtId="0" fontId="18" fillId="49" borderId="205" xfId="3" applyFont="1" applyFill="1" applyBorder="1" applyAlignment="1" applyProtection="1">
      <alignment horizontal="center"/>
      <protection hidden="1"/>
    </xf>
    <xf numFmtId="0" fontId="18" fillId="52" borderId="0" xfId="3" applyFont="1" applyFill="1" applyAlignment="1" applyProtection="1">
      <alignment horizontal="center"/>
      <protection hidden="1"/>
    </xf>
    <xf numFmtId="0" fontId="18" fillId="52" borderId="205" xfId="3" applyFont="1" applyFill="1" applyBorder="1" applyAlignment="1" applyProtection="1">
      <alignment horizontal="center"/>
      <protection hidden="1"/>
    </xf>
    <xf numFmtId="0" fontId="5" fillId="0" borderId="205" xfId="3" applyBorder="1" applyAlignment="1" applyProtection="1">
      <alignment horizontal="center"/>
      <protection hidden="1"/>
    </xf>
    <xf numFmtId="0" fontId="35" fillId="0" borderId="0" xfId="3" applyFont="1" applyAlignment="1" applyProtection="1">
      <alignment horizontal="right" vertical="center"/>
      <protection hidden="1"/>
    </xf>
    <xf numFmtId="14" fontId="28" fillId="0" borderId="0" xfId="3" applyNumberFormat="1" applyFont="1" applyAlignment="1" applyProtection="1">
      <alignment horizontal="center" vertical="center"/>
      <protection hidden="1"/>
    </xf>
    <xf numFmtId="14" fontId="18" fillId="0" borderId="0" xfId="3" applyNumberFormat="1" applyFont="1" applyAlignment="1" applyProtection="1">
      <alignment horizontal="center" vertical="center"/>
      <protection hidden="1"/>
    </xf>
    <xf numFmtId="0" fontId="0" fillId="0" borderId="0" xfId="3" applyFont="1" applyAlignment="1" applyProtection="1">
      <alignment horizontal="right" vertical="center" wrapText="1"/>
      <protection hidden="1"/>
    </xf>
    <xf numFmtId="0" fontId="17" fillId="0" borderId="0" xfId="3" applyFont="1" applyAlignment="1" applyProtection="1">
      <alignment horizontal="right" vertical="center" wrapText="1"/>
      <protection hidden="1"/>
    </xf>
    <xf numFmtId="0" fontId="184" fillId="0" borderId="0" xfId="0" applyFont="1" applyAlignment="1" applyProtection="1">
      <alignment horizontal="center"/>
      <protection hidden="1"/>
    </xf>
    <xf numFmtId="14" fontId="185" fillId="0" borderId="0" xfId="0" applyNumberFormat="1" applyFont="1" applyAlignment="1" applyProtection="1">
      <alignment horizontal="center"/>
      <protection hidden="1"/>
    </xf>
    <xf numFmtId="0" fontId="0" fillId="0" borderId="18" xfId="0" applyBorder="1" applyAlignment="1" applyProtection="1">
      <alignment horizontal="right"/>
      <protection hidden="1"/>
    </xf>
    <xf numFmtId="0" fontId="0" fillId="0" borderId="19" xfId="0" applyBorder="1" applyAlignment="1" applyProtection="1">
      <alignment horizontal="right"/>
      <protection hidden="1"/>
    </xf>
    <xf numFmtId="0" fontId="0" fillId="0" borderId="20" xfId="0" applyBorder="1" applyAlignment="1" applyProtection="1">
      <alignment horizontal="right"/>
      <protection hidden="1"/>
    </xf>
    <xf numFmtId="0" fontId="164" fillId="0" borderId="0" xfId="0" applyFont="1" applyAlignment="1" applyProtection="1">
      <alignment horizontal="left"/>
      <protection hidden="1"/>
    </xf>
    <xf numFmtId="0" fontId="39" fillId="30" borderId="18" xfId="0" applyFont="1" applyFill="1" applyBorder="1" applyAlignment="1" applyProtection="1">
      <alignment horizontal="center"/>
      <protection hidden="1"/>
    </xf>
    <xf numFmtId="0" fontId="39" fillId="30" borderId="19" xfId="0" applyFont="1" applyFill="1" applyBorder="1" applyAlignment="1" applyProtection="1">
      <alignment horizontal="center"/>
      <protection hidden="1"/>
    </xf>
    <xf numFmtId="0" fontId="39" fillId="30" borderId="20" xfId="0" applyFont="1" applyFill="1" applyBorder="1" applyAlignment="1" applyProtection="1">
      <alignment horizontal="center"/>
      <protection hidden="1"/>
    </xf>
    <xf numFmtId="0" fontId="39" fillId="29" borderId="18" xfId="0" applyFont="1" applyFill="1" applyBorder="1" applyAlignment="1" applyProtection="1">
      <alignment horizontal="center"/>
      <protection hidden="1"/>
    </xf>
    <xf numFmtId="0" fontId="39" fillId="29" borderId="19" xfId="0" applyFont="1" applyFill="1" applyBorder="1" applyAlignment="1" applyProtection="1">
      <alignment horizontal="center"/>
      <protection hidden="1"/>
    </xf>
    <xf numFmtId="0" fontId="39" fillId="29" borderId="20" xfId="0" applyFont="1" applyFill="1" applyBorder="1" applyAlignment="1" applyProtection="1">
      <alignment horizontal="center"/>
      <protection hidden="1"/>
    </xf>
    <xf numFmtId="0" fontId="39" fillId="0" borderId="18" xfId="0" applyFont="1" applyBorder="1" applyAlignment="1" applyProtection="1">
      <alignment horizontal="center"/>
      <protection hidden="1"/>
    </xf>
    <xf numFmtId="0" fontId="39" fillId="0" borderId="19" xfId="0" applyFont="1" applyBorder="1" applyAlignment="1" applyProtection="1">
      <alignment horizontal="center"/>
      <protection hidden="1"/>
    </xf>
    <xf numFmtId="0" fontId="39" fillId="0" borderId="20" xfId="0" applyFont="1" applyBorder="1" applyAlignment="1" applyProtection="1">
      <alignment horizontal="center"/>
      <protection hidden="1"/>
    </xf>
    <xf numFmtId="0" fontId="39" fillId="34" borderId="18" xfId="0" applyFont="1" applyFill="1" applyBorder="1" applyAlignment="1" applyProtection="1">
      <alignment horizontal="center"/>
      <protection hidden="1"/>
    </xf>
    <xf numFmtId="0" fontId="39" fillId="34" borderId="19" xfId="0" applyFont="1" applyFill="1" applyBorder="1" applyAlignment="1" applyProtection="1">
      <alignment horizontal="center"/>
      <protection hidden="1"/>
    </xf>
    <xf numFmtId="0" fontId="39" fillId="34" borderId="20" xfId="0" applyFont="1" applyFill="1" applyBorder="1" applyAlignment="1" applyProtection="1">
      <alignment horizontal="center"/>
      <protection hidden="1"/>
    </xf>
    <xf numFmtId="0" fontId="39" fillId="33" borderId="18" xfId="0" applyFont="1" applyFill="1" applyBorder="1" applyAlignment="1" applyProtection="1">
      <alignment horizontal="center"/>
      <protection hidden="1"/>
    </xf>
    <xf numFmtId="0" fontId="39" fillId="33" borderId="19" xfId="0" applyFont="1" applyFill="1" applyBorder="1" applyAlignment="1" applyProtection="1">
      <alignment horizontal="center"/>
      <protection hidden="1"/>
    </xf>
    <xf numFmtId="0" fontId="39" fillId="33" borderId="20" xfId="0" applyFont="1" applyFill="1" applyBorder="1" applyAlignment="1" applyProtection="1">
      <alignment horizontal="center"/>
      <protection hidden="1"/>
    </xf>
    <xf numFmtId="0" fontId="39" fillId="32" borderId="18" xfId="0" applyFont="1" applyFill="1" applyBorder="1" applyAlignment="1" applyProtection="1">
      <alignment horizontal="center"/>
      <protection hidden="1"/>
    </xf>
    <xf numFmtId="0" fontId="39" fillId="32" borderId="19" xfId="0" applyFont="1" applyFill="1" applyBorder="1" applyAlignment="1" applyProtection="1">
      <alignment horizontal="center"/>
      <protection hidden="1"/>
    </xf>
    <xf numFmtId="0" fontId="39" fillId="32" borderId="20" xfId="0" applyFont="1" applyFill="1" applyBorder="1" applyAlignment="1" applyProtection="1">
      <alignment horizontal="center"/>
      <protection hidden="1"/>
    </xf>
    <xf numFmtId="0" fontId="39" fillId="28" borderId="18" xfId="0" applyFont="1" applyFill="1" applyBorder="1" applyAlignment="1" applyProtection="1">
      <alignment horizontal="center"/>
      <protection hidden="1"/>
    </xf>
    <xf numFmtId="0" fontId="39" fillId="28" borderId="19" xfId="0" applyFont="1" applyFill="1" applyBorder="1" applyAlignment="1" applyProtection="1">
      <alignment horizontal="center"/>
      <protection hidden="1"/>
    </xf>
    <xf numFmtId="0" fontId="39" fillId="28" borderId="20" xfId="0" applyFont="1" applyFill="1" applyBorder="1" applyAlignment="1" applyProtection="1">
      <alignment horizontal="center"/>
      <protection hidden="1"/>
    </xf>
    <xf numFmtId="0" fontId="39" fillId="31" borderId="18" xfId="0" applyFont="1" applyFill="1" applyBorder="1" applyAlignment="1" applyProtection="1">
      <alignment horizontal="center"/>
      <protection hidden="1"/>
    </xf>
    <xf numFmtId="0" fontId="39" fillId="31" borderId="19" xfId="0" applyFont="1" applyFill="1" applyBorder="1" applyAlignment="1" applyProtection="1">
      <alignment horizontal="center"/>
      <protection hidden="1"/>
    </xf>
    <xf numFmtId="0" fontId="39" fillId="31" borderId="20" xfId="0" applyFont="1" applyFill="1" applyBorder="1" applyAlignment="1" applyProtection="1">
      <alignment horizontal="center"/>
      <protection hidden="1"/>
    </xf>
    <xf numFmtId="0" fontId="186" fillId="0" borderId="18" xfId="0" applyFont="1" applyBorder="1" applyAlignment="1" applyProtection="1">
      <alignment horizontal="center"/>
      <protection hidden="1"/>
    </xf>
    <xf numFmtId="0" fontId="186" fillId="0" borderId="19" xfId="0" applyFont="1" applyBorder="1" applyAlignment="1" applyProtection="1">
      <alignment horizontal="center"/>
      <protection hidden="1"/>
    </xf>
    <xf numFmtId="0" fontId="186" fillId="0" borderId="20" xfId="0" applyFont="1" applyBorder="1" applyAlignment="1" applyProtection="1">
      <alignment horizontal="center"/>
      <protection hidden="1"/>
    </xf>
    <xf numFmtId="0" fontId="18" fillId="0" borderId="0" xfId="3" applyFont="1" applyAlignment="1" applyProtection="1">
      <alignment horizontal="right" vertical="center" wrapText="1"/>
      <protection hidden="1"/>
    </xf>
    <xf numFmtId="14" fontId="185" fillId="53" borderId="0" xfId="0" applyNumberFormat="1" applyFont="1" applyFill="1" applyAlignment="1" applyProtection="1">
      <alignment horizontal="center"/>
      <protection locked="0" hidden="1"/>
    </xf>
    <xf numFmtId="14" fontId="38" fillId="0" borderId="0" xfId="0" applyNumberFormat="1" applyFont="1" applyAlignment="1" applyProtection="1">
      <alignment horizontal="center"/>
      <protection locked="0" hidden="1"/>
    </xf>
    <xf numFmtId="0" fontId="204" fillId="63" borderId="0" xfId="0" applyFont="1" applyFill="1" applyAlignment="1" applyProtection="1">
      <alignment horizontal="left"/>
      <protection locked="0"/>
    </xf>
    <xf numFmtId="0" fontId="165" fillId="0" borderId="0" xfId="0" applyFont="1" applyAlignment="1" applyProtection="1">
      <alignment horizontal="left"/>
      <protection hidden="1"/>
    </xf>
    <xf numFmtId="14" fontId="38" fillId="53" borderId="0" xfId="0" applyNumberFormat="1" applyFont="1" applyFill="1" applyAlignment="1" applyProtection="1">
      <alignment horizontal="center"/>
      <protection locked="0" hidden="1"/>
    </xf>
    <xf numFmtId="0" fontId="0" fillId="53" borderId="196" xfId="0" applyFill="1" applyBorder="1" applyAlignment="1" applyProtection="1">
      <alignment horizontal="left"/>
      <protection locked="0"/>
    </xf>
    <xf numFmtId="0" fontId="0" fillId="53" borderId="194" xfId="0" applyFill="1" applyBorder="1" applyAlignment="1" applyProtection="1">
      <alignment horizontal="left"/>
      <protection locked="0"/>
    </xf>
    <xf numFmtId="0" fontId="0" fillId="53" borderId="197" xfId="0" applyFill="1" applyBorder="1" applyAlignment="1" applyProtection="1">
      <alignment horizontal="left"/>
      <protection locked="0"/>
    </xf>
    <xf numFmtId="0" fontId="0" fillId="53" borderId="201" xfId="0" applyFill="1" applyBorder="1" applyAlignment="1" applyProtection="1">
      <alignment horizontal="left"/>
      <protection locked="0"/>
    </xf>
    <xf numFmtId="0" fontId="0" fillId="53" borderId="199" xfId="0" applyFill="1" applyBorder="1" applyAlignment="1" applyProtection="1">
      <alignment horizontal="left"/>
      <protection locked="0"/>
    </xf>
    <xf numFmtId="0" fontId="0" fillId="53" borderId="202" xfId="0" applyFill="1" applyBorder="1" applyAlignment="1" applyProtection="1">
      <alignment horizontal="left"/>
      <protection locked="0"/>
    </xf>
    <xf numFmtId="0" fontId="183" fillId="0" borderId="191" xfId="0" applyFont="1" applyBorder="1" applyAlignment="1" applyProtection="1">
      <alignment horizontal="left"/>
      <protection hidden="1"/>
    </xf>
    <xf numFmtId="0" fontId="183" fillId="0" borderId="192" xfId="0" applyFont="1" applyBorder="1" applyAlignment="1" applyProtection="1">
      <alignment horizontal="left"/>
      <protection hidden="1"/>
    </xf>
    <xf numFmtId="0" fontId="189" fillId="15" borderId="0" xfId="3" applyFont="1" applyFill="1" applyAlignment="1" applyProtection="1">
      <alignment horizontal="center"/>
      <protection hidden="1"/>
    </xf>
    <xf numFmtId="14" fontId="18" fillId="0" borderId="0" xfId="0" applyNumberFormat="1" applyFont="1" applyAlignment="1" applyProtection="1">
      <alignment horizontal="left"/>
      <protection hidden="1"/>
    </xf>
    <xf numFmtId="0" fontId="18" fillId="0" borderId="0" xfId="0" applyFont="1" applyAlignment="1" applyProtection="1">
      <alignment horizontal="left"/>
      <protection hidden="1"/>
    </xf>
    <xf numFmtId="0" fontId="18" fillId="23" borderId="0" xfId="0" applyFont="1" applyFill="1" applyAlignment="1" applyProtection="1">
      <alignment horizontal="center"/>
      <protection hidden="1"/>
    </xf>
    <xf numFmtId="0" fontId="18" fillId="25" borderId="0" xfId="0" applyFont="1" applyFill="1" applyAlignment="1" applyProtection="1">
      <alignment horizontal="center"/>
      <protection hidden="1"/>
    </xf>
    <xf numFmtId="167" fontId="18" fillId="12" borderId="0" xfId="0" applyNumberFormat="1" applyFont="1" applyFill="1" applyAlignment="1" applyProtection="1">
      <alignment horizontal="center"/>
      <protection hidden="1"/>
    </xf>
    <xf numFmtId="0" fontId="77" fillId="0" borderId="29" xfId="0" applyFont="1" applyBorder="1" applyAlignment="1" applyProtection="1">
      <alignment horizontal="left" vertical="center" wrapText="1"/>
      <protection hidden="1"/>
    </xf>
    <xf numFmtId="0" fontId="77" fillId="0" borderId="30" xfId="0" applyFont="1" applyBorder="1" applyAlignment="1" applyProtection="1">
      <alignment horizontal="left" vertical="center" wrapText="1"/>
      <protection hidden="1"/>
    </xf>
    <xf numFmtId="0" fontId="77" fillId="0" borderId="31" xfId="0" applyFont="1" applyBorder="1" applyAlignment="1" applyProtection="1">
      <alignment horizontal="left" vertical="center" wrapText="1"/>
      <protection hidden="1"/>
    </xf>
    <xf numFmtId="0" fontId="77" fillId="0" borderId="25" xfId="0" applyFont="1" applyBorder="1" applyAlignment="1" applyProtection="1">
      <alignment horizontal="left" vertical="center" wrapText="1"/>
      <protection hidden="1"/>
    </xf>
    <xf numFmtId="0" fontId="77" fillId="0" borderId="0" xfId="0" applyFont="1" applyAlignment="1" applyProtection="1">
      <alignment horizontal="left" vertical="center" wrapText="1"/>
      <protection hidden="1"/>
    </xf>
    <xf numFmtId="0" fontId="77" fillId="0" borderId="92" xfId="0" applyFont="1" applyBorder="1" applyAlignment="1" applyProtection="1">
      <alignment horizontal="left" vertical="center" wrapText="1"/>
      <protection hidden="1"/>
    </xf>
    <xf numFmtId="0" fontId="0" fillId="53" borderId="95" xfId="0" applyFill="1" applyBorder="1" applyAlignment="1" applyProtection="1">
      <alignment horizontal="left" vertical="top" wrapText="1"/>
      <protection locked="0"/>
    </xf>
    <xf numFmtId="0" fontId="0" fillId="53" borderId="0" xfId="0" applyFill="1" applyAlignment="1" applyProtection="1">
      <alignment horizontal="left" vertical="top" wrapText="1"/>
      <protection locked="0"/>
    </xf>
    <xf numFmtId="0" fontId="0" fillId="53" borderId="121" xfId="0" applyFill="1" applyBorder="1" applyAlignment="1" applyProtection="1">
      <alignment horizontal="left" vertical="top" wrapText="1"/>
      <protection locked="0"/>
    </xf>
    <xf numFmtId="0" fontId="0" fillId="53" borderId="122" xfId="0" applyFill="1" applyBorder="1" applyAlignment="1" applyProtection="1">
      <alignment horizontal="left" vertical="top" wrapText="1"/>
      <protection locked="0"/>
    </xf>
    <xf numFmtId="0" fontId="0" fillId="53" borderId="123" xfId="0" applyFill="1" applyBorder="1" applyAlignment="1" applyProtection="1">
      <alignment horizontal="left" vertical="top" wrapText="1"/>
      <protection locked="0"/>
    </xf>
    <xf numFmtId="0" fontId="0" fillId="53" borderId="124" xfId="0" applyFill="1" applyBorder="1" applyAlignment="1" applyProtection="1">
      <alignment horizontal="left" vertical="top" wrapText="1"/>
      <protection locked="0"/>
    </xf>
    <xf numFmtId="0" fontId="0" fillId="0" borderId="0" xfId="0" applyAlignment="1" applyProtection="1">
      <alignment horizontal="left"/>
      <protection hidden="1"/>
    </xf>
    <xf numFmtId="0" fontId="12" fillId="0" borderId="86" xfId="3" applyFont="1" applyBorder="1" applyAlignment="1" applyProtection="1">
      <alignment horizontal="center" vertical="center"/>
      <protection hidden="1"/>
    </xf>
    <xf numFmtId="0" fontId="12" fillId="0" borderId="61" xfId="3" applyFont="1" applyBorder="1" applyAlignment="1" applyProtection="1">
      <alignment horizontal="center" vertical="center"/>
      <protection hidden="1"/>
    </xf>
    <xf numFmtId="0" fontId="206" fillId="0" borderId="0" xfId="3" applyFont="1" applyAlignment="1" applyProtection="1">
      <alignment horizontal="center" wrapText="1"/>
      <protection hidden="1"/>
    </xf>
    <xf numFmtId="177" fontId="13" fillId="0" borderId="25" xfId="3" applyNumberFormat="1" applyFont="1" applyBorder="1" applyAlignment="1" applyProtection="1">
      <alignment horizontal="center"/>
      <protection hidden="1"/>
    </xf>
    <xf numFmtId="177" fontId="13" fillId="0" borderId="0" xfId="3" applyNumberFormat="1" applyFont="1" applyAlignment="1" applyProtection="1">
      <alignment horizontal="center"/>
      <protection hidden="1"/>
    </xf>
    <xf numFmtId="177" fontId="13" fillId="0" borderId="256" xfId="3" applyNumberFormat="1" applyFont="1" applyBorder="1" applyAlignment="1" applyProtection="1">
      <alignment horizontal="center"/>
      <protection hidden="1"/>
    </xf>
    <xf numFmtId="171" fontId="14" fillId="0" borderId="25" xfId="3" applyNumberFormat="1" applyFont="1" applyBorder="1" applyAlignment="1" applyProtection="1">
      <alignment horizontal="right"/>
      <protection hidden="1"/>
    </xf>
    <xf numFmtId="171" fontId="14" fillId="0" borderId="0" xfId="3" applyNumberFormat="1" applyFont="1" applyAlignment="1" applyProtection="1">
      <alignment horizontal="right"/>
      <protection hidden="1"/>
    </xf>
    <xf numFmtId="171" fontId="14" fillId="0" borderId="330" xfId="3" applyNumberFormat="1" applyFont="1" applyBorder="1" applyAlignment="1" applyProtection="1">
      <alignment horizontal="right"/>
      <protection hidden="1"/>
    </xf>
    <xf numFmtId="179" fontId="14" fillId="0" borderId="25" xfId="2" applyNumberFormat="1" applyFont="1" applyBorder="1" applyAlignment="1" applyProtection="1">
      <alignment horizontal="right"/>
      <protection hidden="1"/>
    </xf>
    <xf numFmtId="179" fontId="14" fillId="0" borderId="0" xfId="2" applyNumberFormat="1" applyFont="1" applyAlignment="1" applyProtection="1">
      <alignment horizontal="right"/>
      <protection hidden="1"/>
    </xf>
    <xf numFmtId="179" fontId="14" fillId="0" borderId="6" xfId="2" applyNumberFormat="1" applyFont="1" applyBorder="1" applyAlignment="1" applyProtection="1">
      <alignment horizontal="right"/>
      <protection hidden="1"/>
    </xf>
    <xf numFmtId="0" fontId="18" fillId="0" borderId="18" xfId="3" applyFont="1" applyBorder="1" applyAlignment="1" applyProtection="1">
      <alignment horizontal="center"/>
      <protection hidden="1"/>
    </xf>
    <xf numFmtId="0" fontId="18" fillId="0" borderId="19" xfId="3" applyFont="1" applyBorder="1" applyAlignment="1" applyProtection="1">
      <alignment horizontal="center"/>
      <protection hidden="1"/>
    </xf>
    <xf numFmtId="0" fontId="18" fillId="0" borderId="20" xfId="3" applyFont="1" applyBorder="1" applyAlignment="1" applyProtection="1">
      <alignment horizontal="center"/>
      <protection hidden="1"/>
    </xf>
    <xf numFmtId="171" fontId="14" fillId="0" borderId="324" xfId="3" applyNumberFormat="1" applyFont="1" applyBorder="1" applyProtection="1">
      <protection hidden="1"/>
    </xf>
    <xf numFmtId="171" fontId="14" fillId="0" borderId="285" xfId="3" applyNumberFormat="1" applyFont="1" applyBorder="1" applyProtection="1">
      <protection hidden="1"/>
    </xf>
    <xf numFmtId="171" fontId="14" fillId="0" borderId="277" xfId="3" applyNumberFormat="1" applyFont="1" applyBorder="1" applyProtection="1">
      <protection hidden="1"/>
    </xf>
    <xf numFmtId="169" fontId="12" fillId="0" borderId="5" xfId="3" applyNumberFormat="1" applyFont="1" applyBorder="1" applyAlignment="1" applyProtection="1">
      <alignment horizontal="center"/>
      <protection hidden="1"/>
    </xf>
    <xf numFmtId="171" fontId="15" fillId="0" borderId="7" xfId="3" applyNumberFormat="1" applyFont="1" applyBorder="1" applyAlignment="1" applyProtection="1">
      <alignment horizontal="right"/>
      <protection hidden="1"/>
    </xf>
    <xf numFmtId="171" fontId="15" fillId="0" borderId="12" xfId="3" applyNumberFormat="1" applyFont="1" applyBorder="1" applyAlignment="1" applyProtection="1">
      <alignment horizontal="right"/>
      <protection hidden="1"/>
    </xf>
    <xf numFmtId="171" fontId="15" fillId="0" borderId="9" xfId="3" applyNumberFormat="1" applyFont="1" applyBorder="1" applyAlignment="1" applyProtection="1">
      <alignment horizontal="right"/>
      <protection hidden="1"/>
    </xf>
    <xf numFmtId="0" fontId="5" fillId="0" borderId="0" xfId="3" applyAlignment="1" applyProtection="1">
      <alignment horizontal="center" wrapText="1"/>
      <protection hidden="1"/>
    </xf>
    <xf numFmtId="171" fontId="13" fillId="0" borderId="25" xfId="3" applyNumberFormat="1" applyFont="1" applyBorder="1" applyAlignment="1" applyProtection="1">
      <alignment horizontal="right" vertical="center"/>
      <protection hidden="1"/>
    </xf>
    <xf numFmtId="0" fontId="0" fillId="0" borderId="0" xfId="0" applyAlignment="1">
      <alignment horizontal="right" vertical="center"/>
    </xf>
    <xf numFmtId="0" fontId="0" fillId="0" borderId="256" xfId="0" applyBorder="1" applyAlignment="1">
      <alignment horizontal="right" vertical="center"/>
    </xf>
    <xf numFmtId="169" fontId="13" fillId="0" borderId="25" xfId="3" applyNumberFormat="1" applyFont="1" applyBorder="1" applyAlignment="1" applyProtection="1">
      <alignment horizontal="right" vertical="center"/>
      <protection hidden="1"/>
    </xf>
    <xf numFmtId="171" fontId="13" fillId="0" borderId="4" xfId="3" applyNumberFormat="1" applyFont="1" applyBorder="1" applyProtection="1">
      <protection hidden="1"/>
    </xf>
    <xf numFmtId="171" fontId="13" fillId="0" borderId="0" xfId="3" applyNumberFormat="1" applyFont="1" applyProtection="1">
      <protection hidden="1"/>
    </xf>
    <xf numFmtId="171" fontId="13" fillId="0" borderId="6" xfId="3" applyNumberFormat="1" applyFont="1" applyBorder="1" applyProtection="1">
      <protection hidden="1"/>
    </xf>
    <xf numFmtId="172" fontId="12" fillId="0" borderId="94" xfId="3" applyNumberFormat="1" applyFont="1" applyBorder="1" applyAlignment="1" applyProtection="1">
      <alignment horizontal="right"/>
      <protection hidden="1"/>
    </xf>
    <xf numFmtId="172" fontId="12" fillId="0" borderId="6" xfId="3" applyNumberFormat="1" applyFont="1" applyBorder="1" applyAlignment="1" applyProtection="1">
      <alignment horizontal="right"/>
      <protection hidden="1"/>
    </xf>
    <xf numFmtId="171" fontId="14" fillId="0" borderId="4" xfId="3" applyNumberFormat="1" applyFont="1" applyBorder="1" applyProtection="1">
      <protection hidden="1"/>
    </xf>
    <xf numFmtId="171" fontId="14" fillId="0" borderId="0" xfId="3" applyNumberFormat="1" applyFont="1" applyProtection="1">
      <protection hidden="1"/>
    </xf>
    <xf numFmtId="171" fontId="14" fillId="0" borderId="6" xfId="3" applyNumberFormat="1" applyFont="1" applyBorder="1" applyProtection="1">
      <protection hidden="1"/>
    </xf>
    <xf numFmtId="179" fontId="14" fillId="0" borderId="4" xfId="2" applyNumberFormat="1" applyFont="1" applyBorder="1" applyProtection="1">
      <protection hidden="1"/>
    </xf>
    <xf numFmtId="179" fontId="14" fillId="0" borderId="0" xfId="2" applyNumberFormat="1" applyFont="1" applyProtection="1">
      <protection hidden="1"/>
    </xf>
    <xf numFmtId="179" fontId="14" fillId="0" borderId="6" xfId="2" applyNumberFormat="1" applyFont="1" applyBorder="1" applyProtection="1">
      <protection hidden="1"/>
    </xf>
    <xf numFmtId="0" fontId="13" fillId="0" borderId="107" xfId="3" applyFont="1" applyBorder="1" applyAlignment="1" applyProtection="1">
      <alignment horizontal="center"/>
      <protection hidden="1"/>
    </xf>
    <xf numFmtId="0" fontId="13" fillId="0" borderId="33" xfId="3" applyFont="1" applyBorder="1" applyAlignment="1" applyProtection="1">
      <alignment horizontal="center"/>
      <protection hidden="1"/>
    </xf>
    <xf numFmtId="0" fontId="13" fillId="0" borderId="108" xfId="3" applyFont="1" applyBorder="1" applyAlignment="1" applyProtection="1">
      <alignment horizontal="center"/>
      <protection hidden="1"/>
    </xf>
    <xf numFmtId="0" fontId="5" fillId="0" borderId="0" xfId="3" applyAlignment="1" applyProtection="1">
      <alignment horizontal="center" vertical="center" wrapText="1"/>
      <protection hidden="1"/>
    </xf>
    <xf numFmtId="14" fontId="137" fillId="0" borderId="228" xfId="3" applyNumberFormat="1" applyFont="1" applyBorder="1" applyAlignment="1" applyProtection="1">
      <alignment horizontal="left"/>
      <protection hidden="1"/>
    </xf>
    <xf numFmtId="171" fontId="13" fillId="0" borderId="4" xfId="3" applyNumberFormat="1" applyFont="1" applyBorder="1" applyAlignment="1" applyProtection="1">
      <alignment horizontal="right"/>
      <protection hidden="1"/>
    </xf>
    <xf numFmtId="171" fontId="13" fillId="0" borderId="0" xfId="3" applyNumberFormat="1" applyFont="1" applyAlignment="1" applyProtection="1">
      <alignment horizontal="right"/>
      <protection hidden="1"/>
    </xf>
    <xf numFmtId="171" fontId="13" fillId="0" borderId="6" xfId="3" applyNumberFormat="1" applyFont="1" applyBorder="1" applyAlignment="1" applyProtection="1">
      <alignment horizontal="right"/>
      <protection hidden="1"/>
    </xf>
    <xf numFmtId="0" fontId="12" fillId="0" borderId="0" xfId="3" applyFont="1" applyAlignment="1" applyProtection="1">
      <alignment horizontal="left"/>
      <protection hidden="1"/>
    </xf>
    <xf numFmtId="0" fontId="121" fillId="0" borderId="0" xfId="3" applyFont="1" applyAlignment="1" applyProtection="1">
      <alignment horizontal="left"/>
      <protection hidden="1"/>
    </xf>
    <xf numFmtId="176" fontId="12" fillId="0" borderId="0" xfId="3" applyNumberFormat="1" applyFont="1" applyAlignment="1" applyProtection="1">
      <alignment horizontal="right"/>
      <protection hidden="1"/>
    </xf>
    <xf numFmtId="179" fontId="13" fillId="0" borderId="4" xfId="2" applyNumberFormat="1" applyFont="1" applyBorder="1" applyProtection="1">
      <protection hidden="1"/>
    </xf>
    <xf numFmtId="179" fontId="13" fillId="0" borderId="0" xfId="2" applyNumberFormat="1" applyFont="1" applyProtection="1">
      <protection hidden="1"/>
    </xf>
    <xf numFmtId="179" fontId="13" fillId="0" borderId="6" xfId="2" applyNumberFormat="1" applyFont="1" applyBorder="1" applyProtection="1">
      <protection hidden="1"/>
    </xf>
    <xf numFmtId="0" fontId="12" fillId="0" borderId="284" xfId="3" applyFont="1" applyBorder="1" applyAlignment="1" applyProtection="1">
      <alignment horizontal="center" vertical="center" wrapText="1"/>
      <protection hidden="1"/>
    </xf>
    <xf numFmtId="0" fontId="12" fillId="0" borderId="61" xfId="3" applyFont="1" applyBorder="1" applyAlignment="1" applyProtection="1">
      <alignment horizontal="center" vertical="center" wrapText="1"/>
      <protection hidden="1"/>
    </xf>
    <xf numFmtId="169" fontId="12" fillId="0" borderId="134" xfId="3" applyNumberFormat="1" applyFont="1" applyBorder="1" applyAlignment="1" applyProtection="1">
      <alignment horizontal="center"/>
      <protection hidden="1"/>
    </xf>
    <xf numFmtId="171" fontId="13" fillId="54" borderId="25" xfId="3" applyNumberFormat="1" applyFont="1" applyFill="1" applyBorder="1" applyAlignment="1" applyProtection="1">
      <alignment horizontal="right" vertical="center"/>
      <protection locked="0"/>
    </xf>
    <xf numFmtId="0" fontId="0" fillId="0" borderId="0" xfId="0" applyAlignment="1" applyProtection="1">
      <alignment horizontal="right" vertical="center"/>
      <protection locked="0"/>
    </xf>
    <xf numFmtId="0" fontId="0" fillId="0" borderId="256" xfId="0" applyBorder="1" applyAlignment="1" applyProtection="1">
      <alignment horizontal="right" vertical="center"/>
      <protection locked="0"/>
    </xf>
    <xf numFmtId="171" fontId="13" fillId="0" borderId="324" xfId="3" applyNumberFormat="1" applyFont="1" applyBorder="1" applyAlignment="1" applyProtection="1">
      <alignment horizontal="right"/>
      <protection hidden="1"/>
    </xf>
    <xf numFmtId="171" fontId="13" fillId="0" borderId="285" xfId="3" applyNumberFormat="1" applyFont="1" applyBorder="1" applyAlignment="1" applyProtection="1">
      <alignment horizontal="right"/>
      <protection hidden="1"/>
    </xf>
    <xf numFmtId="171" fontId="13" fillId="0" borderId="277" xfId="3" applyNumberFormat="1" applyFont="1" applyBorder="1" applyAlignment="1" applyProtection="1">
      <alignment horizontal="right"/>
      <protection hidden="1"/>
    </xf>
    <xf numFmtId="172" fontId="12" fillId="0" borderId="4" xfId="3" applyNumberFormat="1" applyFont="1" applyBorder="1" applyAlignment="1" applyProtection="1">
      <alignment horizontal="right"/>
      <protection hidden="1"/>
    </xf>
    <xf numFmtId="0" fontId="13" fillId="0" borderId="29" xfId="3" applyFont="1" applyBorder="1" applyAlignment="1" applyProtection="1">
      <alignment horizontal="center" vertical="center" wrapText="1"/>
      <protection hidden="1"/>
    </xf>
    <xf numFmtId="0" fontId="13" fillId="0" borderId="31" xfId="3" applyFont="1" applyBorder="1" applyAlignment="1" applyProtection="1">
      <alignment horizontal="center" vertical="center" wrapText="1"/>
      <protection hidden="1"/>
    </xf>
    <xf numFmtId="0" fontId="13" fillId="0" borderId="26" xfId="3" applyFont="1" applyBorder="1" applyAlignment="1" applyProtection="1">
      <alignment horizontal="center" vertical="center" wrapText="1"/>
      <protection hidden="1"/>
    </xf>
    <xf numFmtId="0" fontId="13" fillId="0" borderId="28" xfId="3" applyFont="1" applyBorder="1" applyAlignment="1" applyProtection="1">
      <alignment horizontal="center" vertical="center" wrapText="1"/>
      <protection hidden="1"/>
    </xf>
    <xf numFmtId="0" fontId="13" fillId="0" borderId="86" xfId="3" applyFont="1" applyBorder="1" applyAlignment="1" applyProtection="1">
      <alignment horizontal="center" vertical="center" wrapText="1"/>
      <protection hidden="1"/>
    </xf>
    <xf numFmtId="0" fontId="13" fillId="0" borderId="61" xfId="3" applyFont="1" applyBorder="1" applyAlignment="1" applyProtection="1">
      <alignment horizontal="center" vertical="center" wrapText="1"/>
      <protection hidden="1"/>
    </xf>
    <xf numFmtId="0" fontId="5" fillId="0" borderId="0" xfId="3" applyAlignment="1" applyProtection="1">
      <alignment horizontal="left"/>
      <protection hidden="1"/>
    </xf>
    <xf numFmtId="0" fontId="5" fillId="0" borderId="25" xfId="3" applyBorder="1" applyAlignment="1" applyProtection="1">
      <alignment horizontal="left"/>
      <protection hidden="1"/>
    </xf>
    <xf numFmtId="0" fontId="5" fillId="0" borderId="330" xfId="3" applyBorder="1" applyAlignment="1" applyProtection="1">
      <alignment horizontal="left"/>
      <protection hidden="1"/>
    </xf>
    <xf numFmtId="0" fontId="18" fillId="0" borderId="26" xfId="3" applyFont="1" applyBorder="1" applyAlignment="1" applyProtection="1">
      <alignment horizontal="left"/>
      <protection hidden="1"/>
    </xf>
    <xf numFmtId="0" fontId="18" fillId="0" borderId="27" xfId="3" applyFont="1" applyBorder="1" applyAlignment="1" applyProtection="1">
      <alignment horizontal="left"/>
      <protection hidden="1"/>
    </xf>
    <xf numFmtId="0" fontId="18" fillId="0" borderId="28" xfId="3" applyFont="1" applyBorder="1" applyAlignment="1" applyProtection="1">
      <alignment horizontal="left"/>
      <protection hidden="1"/>
    </xf>
    <xf numFmtId="0" fontId="5" fillId="0" borderId="281" xfId="3" applyBorder="1" applyAlignment="1" applyProtection="1">
      <alignment horizontal="left"/>
      <protection hidden="1"/>
    </xf>
    <xf numFmtId="0" fontId="5" fillId="0" borderId="282" xfId="3" applyBorder="1" applyAlignment="1" applyProtection="1">
      <alignment horizontal="left"/>
      <protection hidden="1"/>
    </xf>
    <xf numFmtId="0" fontId="5" fillId="0" borderId="283" xfId="3" applyBorder="1" applyAlignment="1" applyProtection="1">
      <alignment horizontal="left"/>
      <protection hidden="1"/>
    </xf>
    <xf numFmtId="181" fontId="5" fillId="53" borderId="0" xfId="3" applyNumberFormat="1" applyFill="1" applyAlignment="1" applyProtection="1">
      <alignment horizontal="center"/>
      <protection locked="0"/>
    </xf>
    <xf numFmtId="177" fontId="13" fillId="0" borderId="254" xfId="3" applyNumberFormat="1" applyFont="1" applyBorder="1" applyAlignment="1" applyProtection="1">
      <alignment horizontal="center"/>
      <protection hidden="1"/>
    </xf>
    <xf numFmtId="177" fontId="13" fillId="0" borderId="255" xfId="3" applyNumberFormat="1" applyFont="1" applyBorder="1" applyAlignment="1" applyProtection="1">
      <alignment horizontal="center"/>
      <protection hidden="1"/>
    </xf>
    <xf numFmtId="177" fontId="13" fillId="0" borderId="244" xfId="3" applyNumberFormat="1" applyFont="1" applyBorder="1" applyAlignment="1" applyProtection="1">
      <alignment horizontal="center"/>
      <protection hidden="1"/>
    </xf>
    <xf numFmtId="0" fontId="168" fillId="0" borderId="0" xfId="3" applyFont="1" applyAlignment="1" applyProtection="1">
      <alignment horizontal="right"/>
      <protection hidden="1"/>
    </xf>
    <xf numFmtId="0" fontId="169" fillId="57" borderId="0" xfId="3" applyFont="1" applyFill="1" applyAlignment="1" applyProtection="1">
      <alignment horizontal="center"/>
      <protection locked="0"/>
    </xf>
    <xf numFmtId="217" fontId="13" fillId="0" borderId="288" xfId="3" applyNumberFormat="1" applyFont="1" applyBorder="1" applyAlignment="1" applyProtection="1">
      <alignment horizontal="right" vertical="center"/>
      <protection hidden="1"/>
    </xf>
    <xf numFmtId="181" fontId="22" fillId="0" borderId="0" xfId="3" applyNumberFormat="1" applyFont="1" applyAlignment="1">
      <alignment horizontal="center"/>
    </xf>
    <xf numFmtId="181" fontId="22" fillId="0" borderId="126" xfId="3" applyNumberFormat="1" applyFont="1" applyBorder="1" applyAlignment="1">
      <alignment horizontal="center"/>
    </xf>
    <xf numFmtId="0" fontId="99" fillId="0" borderId="135" xfId="3" applyFont="1" applyBorder="1" applyAlignment="1" applyProtection="1">
      <alignment horizontal="left" vertical="top" wrapText="1"/>
      <protection hidden="1"/>
    </xf>
    <xf numFmtId="0" fontId="99" fillId="0" borderId="136" xfId="3" applyFont="1" applyBorder="1" applyAlignment="1" applyProtection="1">
      <alignment horizontal="left" vertical="top" wrapText="1"/>
      <protection hidden="1"/>
    </xf>
    <xf numFmtId="0" fontId="99" fillId="0" borderId="137" xfId="3" applyFont="1" applyBorder="1" applyAlignment="1" applyProtection="1">
      <alignment horizontal="left" vertical="top" wrapText="1"/>
      <protection hidden="1"/>
    </xf>
    <xf numFmtId="0" fontId="99" fillId="0" borderId="138" xfId="3" applyFont="1" applyBorder="1" applyAlignment="1" applyProtection="1">
      <alignment horizontal="left" vertical="top" wrapText="1"/>
      <protection hidden="1"/>
    </xf>
    <xf numFmtId="0" fontId="99" fillId="0" borderId="0" xfId="3" applyFont="1" applyAlignment="1" applyProtection="1">
      <alignment horizontal="left" vertical="top" wrapText="1"/>
      <protection hidden="1"/>
    </xf>
    <xf numFmtId="0" fontId="99" fillId="0" borderId="139" xfId="3" applyFont="1" applyBorder="1" applyAlignment="1" applyProtection="1">
      <alignment horizontal="left" vertical="top" wrapText="1"/>
      <protection hidden="1"/>
    </xf>
    <xf numFmtId="0" fontId="99" fillId="0" borderId="140" xfId="3" applyFont="1" applyBorder="1" applyAlignment="1" applyProtection="1">
      <alignment horizontal="left" vertical="top" wrapText="1"/>
      <protection hidden="1"/>
    </xf>
    <xf numFmtId="0" fontId="99" fillId="0" borderId="141" xfId="3" applyFont="1" applyBorder="1" applyAlignment="1" applyProtection="1">
      <alignment horizontal="left" vertical="top" wrapText="1"/>
      <protection hidden="1"/>
    </xf>
    <xf numFmtId="0" fontId="99" fillId="0" borderId="142" xfId="3" applyFont="1" applyBorder="1" applyAlignment="1" applyProtection="1">
      <alignment horizontal="left" vertical="top" wrapText="1"/>
      <protection hidden="1"/>
    </xf>
    <xf numFmtId="8" fontId="125" fillId="0" borderId="0" xfId="3" applyNumberFormat="1" applyFont="1" applyAlignment="1" applyProtection="1">
      <alignment horizontal="right"/>
      <protection hidden="1"/>
    </xf>
    <xf numFmtId="14" fontId="5" fillId="54" borderId="0" xfId="3" applyNumberFormat="1" applyFill="1" applyAlignment="1" applyProtection="1">
      <alignment horizontal="center" vertical="center"/>
      <protection locked="0"/>
    </xf>
    <xf numFmtId="0" fontId="5" fillId="0" borderId="0" xfId="3" applyAlignment="1" applyProtection="1">
      <alignment horizontal="right" vertical="center"/>
      <protection hidden="1"/>
    </xf>
    <xf numFmtId="0" fontId="139" fillId="57" borderId="231" xfId="3" applyFont="1" applyFill="1" applyBorder="1" applyAlignment="1" applyProtection="1">
      <alignment horizontal="center"/>
      <protection locked="0"/>
    </xf>
    <xf numFmtId="211" fontId="12" fillId="0" borderId="0" xfId="3" applyNumberFormat="1" applyFont="1" applyAlignment="1" applyProtection="1">
      <alignment horizontal="center"/>
      <protection hidden="1"/>
    </xf>
    <xf numFmtId="211" fontId="12" fillId="0" borderId="219" xfId="3" applyNumberFormat="1" applyFont="1" applyBorder="1" applyAlignment="1" applyProtection="1">
      <alignment horizontal="center"/>
      <protection hidden="1"/>
    </xf>
    <xf numFmtId="211" fontId="12" fillId="0" borderId="221" xfId="3" applyNumberFormat="1" applyFont="1" applyBorder="1" applyAlignment="1" applyProtection="1">
      <alignment horizontal="center"/>
      <protection hidden="1"/>
    </xf>
    <xf numFmtId="171" fontId="13" fillId="0" borderId="288" xfId="3" applyNumberFormat="1" applyFont="1" applyBorder="1" applyAlignment="1" applyProtection="1">
      <alignment horizontal="right" vertical="center"/>
      <protection hidden="1"/>
    </xf>
    <xf numFmtId="177" fontId="155" fillId="0" borderId="254" xfId="3" applyNumberFormat="1" applyFont="1" applyBorder="1" applyAlignment="1" applyProtection="1">
      <alignment horizontal="center"/>
      <protection hidden="1"/>
    </xf>
    <xf numFmtId="177" fontId="155" fillId="0" borderId="255" xfId="3" applyNumberFormat="1" applyFont="1" applyBorder="1" applyAlignment="1" applyProtection="1">
      <alignment horizontal="center"/>
      <protection hidden="1"/>
    </xf>
    <xf numFmtId="177" fontId="155" fillId="0" borderId="244" xfId="3" applyNumberFormat="1" applyFont="1" applyBorder="1" applyAlignment="1" applyProtection="1">
      <alignment horizontal="center"/>
      <protection hidden="1"/>
    </xf>
    <xf numFmtId="171" fontId="12" fillId="0" borderId="0" xfId="1" applyFont="1"/>
    <xf numFmtId="174" fontId="13" fillId="0" borderId="279" xfId="3" applyNumberFormat="1" applyFont="1" applyBorder="1" applyAlignment="1" applyProtection="1">
      <alignment horizontal="right"/>
      <protection hidden="1"/>
    </xf>
    <xf numFmtId="14" fontId="12" fillId="0" borderId="218" xfId="3" applyNumberFormat="1" applyFont="1" applyBorder="1" applyAlignment="1" applyProtection="1">
      <alignment horizontal="center"/>
      <protection hidden="1"/>
    </xf>
    <xf numFmtId="0" fontId="12" fillId="0" borderId="0" xfId="3" applyFont="1" applyAlignment="1" applyProtection="1">
      <alignment horizontal="center"/>
      <protection hidden="1"/>
    </xf>
    <xf numFmtId="0" fontId="16" fillId="0" borderId="0" xfId="3" applyFont="1" applyAlignment="1" applyProtection="1">
      <alignment horizontal="right" vertical="center"/>
      <protection hidden="1"/>
    </xf>
    <xf numFmtId="171" fontId="15" fillId="0" borderId="18" xfId="3" applyNumberFormat="1" applyFont="1" applyBorder="1" applyAlignment="1" applyProtection="1">
      <alignment horizontal="center" vertical="center"/>
      <protection hidden="1"/>
    </xf>
    <xf numFmtId="171" fontId="15" fillId="0" borderId="19" xfId="3" applyNumberFormat="1" applyFont="1" applyBorder="1" applyAlignment="1" applyProtection="1">
      <alignment horizontal="center" vertical="center"/>
      <protection hidden="1"/>
    </xf>
    <xf numFmtId="171" fontId="15" fillId="0" borderId="20" xfId="3" applyNumberFormat="1" applyFont="1" applyBorder="1" applyAlignment="1" applyProtection="1">
      <alignment horizontal="center" vertical="center"/>
      <protection hidden="1"/>
    </xf>
    <xf numFmtId="0" fontId="15" fillId="0" borderId="35" xfId="3" applyFont="1" applyBorder="1" applyAlignment="1" applyProtection="1">
      <alignment horizontal="right"/>
      <protection hidden="1"/>
    </xf>
    <xf numFmtId="0" fontId="15" fillId="0" borderId="36" xfId="3" applyFont="1" applyBorder="1" applyAlignment="1" applyProtection="1">
      <alignment horizontal="right"/>
      <protection hidden="1"/>
    </xf>
    <xf numFmtId="0" fontId="15" fillId="0" borderId="111" xfId="3" applyFont="1" applyBorder="1" applyAlignment="1" applyProtection="1">
      <alignment horizontal="right"/>
      <protection hidden="1"/>
    </xf>
    <xf numFmtId="0" fontId="5" fillId="0" borderId="254" xfId="3" applyBorder="1" applyAlignment="1" applyProtection="1">
      <alignment horizontal="right"/>
      <protection hidden="1"/>
    </xf>
    <xf numFmtId="0" fontId="5" fillId="0" borderId="255" xfId="3" applyBorder="1" applyAlignment="1" applyProtection="1">
      <alignment horizontal="right"/>
      <protection hidden="1"/>
    </xf>
    <xf numFmtId="0" fontId="5" fillId="0" borderId="244" xfId="3" applyBorder="1" applyAlignment="1" applyProtection="1">
      <alignment horizontal="right"/>
      <protection hidden="1"/>
    </xf>
    <xf numFmtId="0" fontId="24" fillId="0" borderId="25" xfId="3" applyFont="1" applyBorder="1" applyAlignment="1" applyProtection="1">
      <alignment horizontal="left"/>
      <protection hidden="1"/>
    </xf>
    <xf numFmtId="0" fontId="24" fillId="0" borderId="0" xfId="3" applyFont="1" applyAlignment="1" applyProtection="1">
      <alignment horizontal="left"/>
      <protection hidden="1"/>
    </xf>
    <xf numFmtId="0" fontId="24" fillId="0" borderId="330" xfId="3" applyFont="1" applyBorder="1" applyAlignment="1" applyProtection="1">
      <alignment horizontal="left"/>
      <protection hidden="1"/>
    </xf>
    <xf numFmtId="0" fontId="14" fillId="0" borderId="25" xfId="3" applyFont="1" applyBorder="1" applyAlignment="1" applyProtection="1">
      <alignment horizontal="left"/>
      <protection hidden="1"/>
    </xf>
    <xf numFmtId="0" fontId="14" fillId="0" borderId="0" xfId="3" applyFont="1" applyAlignment="1" applyProtection="1">
      <alignment horizontal="left"/>
      <protection hidden="1"/>
    </xf>
    <xf numFmtId="0" fontId="14" fillId="0" borderId="330" xfId="3" applyFont="1" applyBorder="1" applyAlignment="1" applyProtection="1">
      <alignment horizontal="left"/>
      <protection hidden="1"/>
    </xf>
    <xf numFmtId="0" fontId="25" fillId="0" borderId="25" xfId="3" applyFont="1" applyBorder="1" applyAlignment="1" applyProtection="1">
      <alignment horizontal="left"/>
      <protection hidden="1"/>
    </xf>
    <xf numFmtId="0" fontId="25" fillId="0" borderId="0" xfId="3" applyFont="1" applyAlignment="1" applyProtection="1">
      <alignment horizontal="left"/>
      <protection hidden="1"/>
    </xf>
    <xf numFmtId="0" fontId="25" fillId="0" borderId="330" xfId="3" applyFont="1" applyBorder="1" applyAlignment="1" applyProtection="1">
      <alignment horizontal="left"/>
      <protection hidden="1"/>
    </xf>
    <xf numFmtId="171" fontId="13" fillId="0" borderId="25" xfId="3" applyNumberFormat="1" applyFont="1" applyBorder="1" applyAlignment="1" applyProtection="1">
      <alignment horizontal="right"/>
      <protection hidden="1"/>
    </xf>
    <xf numFmtId="171" fontId="13" fillId="0" borderId="330" xfId="3" applyNumberFormat="1" applyFont="1" applyBorder="1" applyAlignment="1" applyProtection="1">
      <alignment horizontal="right"/>
      <protection hidden="1"/>
    </xf>
    <xf numFmtId="0" fontId="13" fillId="0" borderId="4" xfId="3" applyFont="1" applyBorder="1" applyProtection="1">
      <protection hidden="1"/>
    </xf>
    <xf numFmtId="0" fontId="13" fillId="0" borderId="0" xfId="3" applyFont="1" applyProtection="1">
      <protection hidden="1"/>
    </xf>
    <xf numFmtId="0" fontId="13" fillId="0" borderId="6" xfId="3" applyFont="1" applyBorder="1" applyProtection="1">
      <protection hidden="1"/>
    </xf>
    <xf numFmtId="173" fontId="13" fillId="0" borderId="4" xfId="2" applyNumberFormat="1" applyFont="1" applyBorder="1" applyProtection="1">
      <protection hidden="1"/>
    </xf>
    <xf numFmtId="173" fontId="13" fillId="0" borderId="0" xfId="2" applyNumberFormat="1" applyFont="1" applyProtection="1">
      <protection hidden="1"/>
    </xf>
    <xf numFmtId="173" fontId="13" fillId="0" borderId="6" xfId="2" applyNumberFormat="1" applyFont="1" applyBorder="1" applyProtection="1">
      <protection hidden="1"/>
    </xf>
    <xf numFmtId="0" fontId="5" fillId="0" borderId="0" xfId="3"/>
    <xf numFmtId="0" fontId="5" fillId="0" borderId="6" xfId="3" applyBorder="1"/>
    <xf numFmtId="171" fontId="13" fillId="0" borderId="5" xfId="3" applyNumberFormat="1" applyFont="1" applyBorder="1" applyAlignment="1" applyProtection="1">
      <alignment horizontal="right"/>
      <protection hidden="1"/>
    </xf>
    <xf numFmtId="171" fontId="13" fillId="54" borderId="54" xfId="3" applyNumberFormat="1" applyFont="1" applyFill="1" applyBorder="1" applyAlignment="1" applyProtection="1">
      <alignment horizontal="right"/>
      <protection locked="0"/>
    </xf>
    <xf numFmtId="0" fontId="5" fillId="0" borderId="27" xfId="3" applyBorder="1" applyProtection="1">
      <protection hidden="1"/>
    </xf>
    <xf numFmtId="0" fontId="5" fillId="0" borderId="278" xfId="3" applyBorder="1" applyProtection="1">
      <protection hidden="1"/>
    </xf>
    <xf numFmtId="178" fontId="13" fillId="54" borderId="5" xfId="3" applyNumberFormat="1" applyFont="1" applyFill="1" applyBorder="1" applyAlignment="1" applyProtection="1">
      <alignment horizontal="right"/>
      <protection locked="0"/>
    </xf>
    <xf numFmtId="0" fontId="5" fillId="0" borderId="1" xfId="3" applyBorder="1" applyAlignment="1" applyProtection="1">
      <alignment horizontal="center"/>
      <protection hidden="1"/>
    </xf>
    <xf numFmtId="179" fontId="14" fillId="0" borderId="26" xfId="2" applyNumberFormat="1" applyFont="1" applyBorder="1" applyAlignment="1" applyProtection="1">
      <alignment horizontal="right"/>
      <protection hidden="1"/>
    </xf>
    <xf numFmtId="179" fontId="14" fillId="0" borderId="27" xfId="2" applyNumberFormat="1" applyFont="1" applyBorder="1" applyAlignment="1" applyProtection="1">
      <alignment horizontal="right"/>
      <protection hidden="1"/>
    </xf>
    <xf numFmtId="179" fontId="14" fillId="0" borderId="278" xfId="2" applyNumberFormat="1" applyFont="1" applyBorder="1" applyAlignment="1" applyProtection="1">
      <alignment horizontal="right"/>
      <protection hidden="1"/>
    </xf>
    <xf numFmtId="0" fontId="13" fillId="0" borderId="26" xfId="3" applyFont="1" applyBorder="1" applyAlignment="1" applyProtection="1">
      <alignment horizontal="left"/>
      <protection hidden="1"/>
    </xf>
    <xf numFmtId="0" fontId="13" fillId="0" borderId="27" xfId="3" applyFont="1" applyBorder="1" applyAlignment="1" applyProtection="1">
      <alignment horizontal="left"/>
      <protection hidden="1"/>
    </xf>
    <xf numFmtId="0" fontId="13" fillId="0" borderId="28" xfId="3" applyFont="1" applyBorder="1" applyAlignment="1" applyProtection="1">
      <alignment horizontal="left"/>
      <protection hidden="1"/>
    </xf>
    <xf numFmtId="0" fontId="121" fillId="0" borderId="30" xfId="3" applyFont="1" applyBorder="1" applyAlignment="1" applyProtection="1">
      <alignment horizontal="left"/>
      <protection hidden="1"/>
    </xf>
    <xf numFmtId="171" fontId="15" fillId="0" borderId="8" xfId="3" applyNumberFormat="1" applyFont="1" applyBorder="1" applyProtection="1">
      <protection hidden="1"/>
    </xf>
    <xf numFmtId="171" fontId="13" fillId="0" borderId="11" xfId="3" applyNumberFormat="1" applyFont="1" applyBorder="1" applyAlignment="1" applyProtection="1">
      <alignment horizontal="right"/>
      <protection hidden="1"/>
    </xf>
    <xf numFmtId="0" fontId="13" fillId="0" borderId="7" xfId="3" applyFont="1" applyBorder="1" applyProtection="1">
      <protection hidden="1"/>
    </xf>
    <xf numFmtId="0" fontId="13" fillId="0" borderId="12" xfId="3" applyFont="1" applyBorder="1" applyProtection="1">
      <protection hidden="1"/>
    </xf>
    <xf numFmtId="0" fontId="13" fillId="0" borderId="9" xfId="3" applyFont="1" applyBorder="1" applyProtection="1">
      <protection hidden="1"/>
    </xf>
    <xf numFmtId="0" fontId="15" fillId="0" borderId="7" xfId="3" applyFont="1" applyBorder="1" applyAlignment="1" applyProtection="1">
      <alignment horizontal="right"/>
      <protection hidden="1"/>
    </xf>
    <xf numFmtId="213" fontId="13" fillId="0" borderId="5" xfId="2" applyNumberFormat="1" applyFont="1" applyBorder="1" applyAlignment="1" applyProtection="1">
      <alignment horizontal="right"/>
      <protection hidden="1"/>
    </xf>
    <xf numFmtId="173" fontId="5" fillId="0" borderId="54" xfId="2" applyNumberFormat="1" applyBorder="1" applyAlignment="1" applyProtection="1">
      <alignment horizontal="right"/>
      <protection hidden="1"/>
    </xf>
    <xf numFmtId="0" fontId="16" fillId="0" borderId="330" xfId="3" applyFont="1" applyBorder="1" applyAlignment="1" applyProtection="1">
      <alignment horizontal="right" vertical="center"/>
      <protection hidden="1"/>
    </xf>
    <xf numFmtId="0" fontId="5" fillId="0" borderId="0" xfId="3" applyProtection="1">
      <protection hidden="1"/>
    </xf>
    <xf numFmtId="0" fontId="5" fillId="0" borderId="6" xfId="3" applyBorder="1" applyProtection="1">
      <protection hidden="1"/>
    </xf>
    <xf numFmtId="174" fontId="13" fillId="0" borderId="5" xfId="3" applyNumberFormat="1" applyFont="1" applyBorder="1" applyAlignment="1" applyProtection="1">
      <alignment horizontal="right"/>
      <protection hidden="1"/>
    </xf>
    <xf numFmtId="171" fontId="13" fillId="0" borderId="5" xfId="2" applyNumberFormat="1" applyFont="1" applyBorder="1" applyAlignment="1" applyProtection="1">
      <alignment horizontal="right"/>
      <protection hidden="1"/>
    </xf>
    <xf numFmtId="171" fontId="13" fillId="54" borderId="5" xfId="2" applyNumberFormat="1" applyFont="1" applyFill="1" applyBorder="1" applyAlignment="1" applyProtection="1">
      <alignment horizontal="right"/>
      <protection locked="0"/>
    </xf>
    <xf numFmtId="0" fontId="13" fillId="0" borderId="284" xfId="3" quotePrefix="1" applyFont="1" applyBorder="1" applyAlignment="1">
      <alignment horizontal="center" vertical="center"/>
    </xf>
    <xf numFmtId="0" fontId="13" fillId="0" borderId="93" xfId="3" applyFont="1" applyBorder="1" applyAlignment="1">
      <alignment horizontal="center" vertical="center"/>
    </xf>
    <xf numFmtId="0" fontId="13" fillId="0" borderId="61" xfId="3" applyFont="1" applyBorder="1" applyAlignment="1">
      <alignment horizontal="center" vertical="center"/>
    </xf>
    <xf numFmtId="169" fontId="13" fillId="0" borderId="5" xfId="3" applyNumberFormat="1" applyFont="1" applyBorder="1" applyAlignment="1" applyProtection="1">
      <alignment horizontal="right"/>
      <protection hidden="1"/>
    </xf>
    <xf numFmtId="0" fontId="5" fillId="54" borderId="27" xfId="3" applyFill="1" applyBorder="1" applyAlignment="1" applyProtection="1">
      <alignment horizontal="center"/>
      <protection locked="0"/>
    </xf>
    <xf numFmtId="0" fontId="5" fillId="54" borderId="278" xfId="3" applyFill="1" applyBorder="1" applyAlignment="1" applyProtection="1">
      <alignment horizontal="center"/>
      <protection locked="0"/>
    </xf>
    <xf numFmtId="0" fontId="5" fillId="0" borderId="285" xfId="3" applyBorder="1" applyProtection="1">
      <protection hidden="1"/>
    </xf>
    <xf numFmtId="0" fontId="5" fillId="0" borderId="276" xfId="3" applyBorder="1" applyProtection="1">
      <protection hidden="1"/>
    </xf>
    <xf numFmtId="0" fontId="5" fillId="0" borderId="277" xfId="3" applyBorder="1" applyProtection="1">
      <protection hidden="1"/>
    </xf>
    <xf numFmtId="171" fontId="15" fillId="0" borderId="22" xfId="3" applyNumberFormat="1" applyFont="1" applyBorder="1" applyProtection="1">
      <protection hidden="1"/>
    </xf>
    <xf numFmtId="171" fontId="15" fillId="0" borderId="23" xfId="3" applyNumberFormat="1" applyFont="1" applyBorder="1" applyProtection="1">
      <protection hidden="1"/>
    </xf>
    <xf numFmtId="0" fontId="18" fillId="0" borderId="279" xfId="3" applyFont="1" applyBorder="1" applyAlignment="1" applyProtection="1">
      <alignment horizontal="center"/>
      <protection hidden="1"/>
    </xf>
    <xf numFmtId="0" fontId="18" fillId="0" borderId="1" xfId="3" applyFont="1" applyBorder="1" applyAlignment="1" applyProtection="1">
      <alignment horizontal="center"/>
      <protection hidden="1"/>
    </xf>
    <xf numFmtId="0" fontId="15" fillId="0" borderId="18" xfId="3" applyFont="1" applyBorder="1" applyAlignment="1" applyProtection="1">
      <alignment horizontal="right"/>
      <protection hidden="1"/>
    </xf>
    <xf numFmtId="0" fontId="15" fillId="0" borderId="21" xfId="3" applyFont="1" applyBorder="1" applyAlignment="1" applyProtection="1">
      <alignment horizontal="right"/>
      <protection hidden="1"/>
    </xf>
    <xf numFmtId="171" fontId="15" fillId="0" borderId="63" xfId="3" applyNumberFormat="1" applyFont="1" applyBorder="1" applyProtection="1">
      <protection hidden="1"/>
    </xf>
    <xf numFmtId="171" fontId="15" fillId="0" borderId="36" xfId="3" applyNumberFormat="1" applyFont="1" applyBorder="1" applyProtection="1">
      <protection hidden="1"/>
    </xf>
    <xf numFmtId="171" fontId="15" fillId="0" borderId="37" xfId="3" applyNumberFormat="1" applyFont="1" applyBorder="1" applyProtection="1">
      <protection hidden="1"/>
    </xf>
    <xf numFmtId="171" fontId="13" fillId="0" borderId="346" xfId="3" applyNumberFormat="1" applyFont="1" applyBorder="1" applyAlignment="1" applyProtection="1">
      <alignment horizontal="right"/>
      <protection hidden="1"/>
    </xf>
    <xf numFmtId="171" fontId="13" fillId="0" borderId="27" xfId="3" applyNumberFormat="1" applyFont="1" applyBorder="1" applyAlignment="1" applyProtection="1">
      <alignment horizontal="right"/>
      <protection hidden="1"/>
    </xf>
    <xf numFmtId="171" fontId="13" fillId="0" borderId="278" xfId="3" applyNumberFormat="1" applyFont="1" applyBorder="1" applyAlignment="1" applyProtection="1">
      <alignment horizontal="right"/>
      <protection hidden="1"/>
    </xf>
    <xf numFmtId="179" fontId="13" fillId="0" borderId="25" xfId="2" applyNumberFormat="1" applyFont="1" applyBorder="1" applyAlignment="1" applyProtection="1">
      <alignment horizontal="right"/>
      <protection hidden="1"/>
    </xf>
    <xf numFmtId="179" fontId="13" fillId="0" borderId="0" xfId="2" applyNumberFormat="1" applyFont="1" applyAlignment="1" applyProtection="1">
      <alignment horizontal="right"/>
      <protection hidden="1"/>
    </xf>
    <xf numFmtId="179" fontId="13" fillId="0" borderId="6" xfId="2" applyNumberFormat="1" applyFont="1" applyBorder="1" applyAlignment="1" applyProtection="1">
      <alignment horizontal="right"/>
      <protection hidden="1"/>
    </xf>
    <xf numFmtId="171" fontId="13" fillId="0" borderId="26" xfId="3" applyNumberFormat="1" applyFont="1" applyBorder="1" applyAlignment="1" applyProtection="1">
      <alignment horizontal="right"/>
      <protection hidden="1"/>
    </xf>
    <xf numFmtId="171" fontId="13" fillId="0" borderId="28" xfId="3" applyNumberFormat="1" applyFont="1" applyBorder="1" applyAlignment="1" applyProtection="1">
      <alignment horizontal="right"/>
      <protection hidden="1"/>
    </xf>
    <xf numFmtId="14" fontId="12" fillId="0" borderId="216" xfId="3" applyNumberFormat="1" applyFont="1" applyBorder="1" applyAlignment="1" applyProtection="1">
      <alignment horizontal="center"/>
      <protection hidden="1"/>
    </xf>
    <xf numFmtId="0" fontId="12" fillId="0" borderId="216" xfId="3" applyFont="1" applyBorder="1" applyAlignment="1" applyProtection="1">
      <alignment horizontal="center"/>
      <protection hidden="1"/>
    </xf>
    <xf numFmtId="174" fontId="12" fillId="0" borderId="0" xfId="3" quotePrefix="1" applyNumberFormat="1" applyFont="1" applyAlignment="1" applyProtection="1">
      <alignment horizontal="right"/>
      <protection hidden="1"/>
    </xf>
    <xf numFmtId="174" fontId="12" fillId="0" borderId="0" xfId="3" applyNumberFormat="1" applyFont="1" applyAlignment="1" applyProtection="1">
      <alignment horizontal="right"/>
      <protection hidden="1"/>
    </xf>
    <xf numFmtId="171" fontId="49" fillId="0" borderId="0" xfId="1" applyFont="1" applyAlignment="1">
      <alignment horizontal="center"/>
    </xf>
    <xf numFmtId="181" fontId="125" fillId="0" borderId="0" xfId="3" applyNumberFormat="1" applyFont="1" applyAlignment="1" applyProtection="1">
      <alignment horizontal="right"/>
      <protection hidden="1"/>
    </xf>
    <xf numFmtId="0" fontId="5" fillId="0" borderId="336" xfId="3" quotePrefix="1" applyBorder="1" applyAlignment="1" applyProtection="1">
      <alignment horizontal="left"/>
      <protection locked="0"/>
    </xf>
    <xf numFmtId="0" fontId="5" fillId="0" borderId="337" xfId="3" quotePrefix="1" applyBorder="1" applyAlignment="1" applyProtection="1">
      <alignment horizontal="left"/>
      <protection locked="0"/>
    </xf>
    <xf numFmtId="0" fontId="5" fillId="0" borderId="338" xfId="3" quotePrefix="1" applyBorder="1" applyAlignment="1" applyProtection="1">
      <alignment horizontal="left"/>
      <protection locked="0"/>
    </xf>
    <xf numFmtId="171" fontId="13" fillId="0" borderId="256" xfId="3" applyNumberFormat="1" applyFont="1" applyBorder="1" applyAlignment="1" applyProtection="1">
      <alignment horizontal="right"/>
      <protection hidden="1"/>
    </xf>
    <xf numFmtId="0" fontId="5" fillId="54" borderId="0" xfId="3" applyFill="1" applyAlignment="1" applyProtection="1">
      <alignment horizontal="center" vertical="center"/>
      <protection locked="0"/>
    </xf>
    <xf numFmtId="171" fontId="5" fillId="0" borderId="336" xfId="2" applyNumberFormat="1" applyBorder="1" applyAlignment="1" applyProtection="1">
      <alignment horizontal="right"/>
      <protection locked="0"/>
    </xf>
    <xf numFmtId="171" fontId="5" fillId="0" borderId="337" xfId="2" applyNumberFormat="1" applyBorder="1" applyAlignment="1" applyProtection="1">
      <alignment horizontal="right"/>
      <protection locked="0"/>
    </xf>
    <xf numFmtId="171" fontId="5" fillId="0" borderId="338" xfId="2" applyNumberFormat="1" applyBorder="1" applyAlignment="1" applyProtection="1">
      <alignment horizontal="right"/>
      <protection locked="0"/>
    </xf>
    <xf numFmtId="177" fontId="13" fillId="0" borderId="203" xfId="3" applyNumberFormat="1" applyFont="1" applyBorder="1" applyAlignment="1" applyProtection="1">
      <alignment horizontal="center"/>
      <protection hidden="1"/>
    </xf>
    <xf numFmtId="177" fontId="13" fillId="0" borderId="207" xfId="3" applyNumberFormat="1" applyFont="1" applyBorder="1" applyAlignment="1" applyProtection="1">
      <alignment horizontal="center"/>
      <protection hidden="1"/>
    </xf>
    <xf numFmtId="177" fontId="13" fillId="0" borderId="211" xfId="3" applyNumberFormat="1" applyFont="1" applyBorder="1" applyAlignment="1" applyProtection="1">
      <alignment horizontal="center"/>
      <protection hidden="1"/>
    </xf>
    <xf numFmtId="211" fontId="12" fillId="0" borderId="222" xfId="3" applyNumberFormat="1" applyFont="1" applyBorder="1" applyAlignment="1" applyProtection="1">
      <alignment horizontal="center"/>
      <protection hidden="1"/>
    </xf>
    <xf numFmtId="0" fontId="13" fillId="0" borderId="25" xfId="3" applyFont="1" applyBorder="1" applyAlignment="1" applyProtection="1">
      <alignment horizontal="left"/>
      <protection hidden="1"/>
    </xf>
    <xf numFmtId="0" fontId="13" fillId="0" borderId="0" xfId="3" applyFont="1" applyAlignment="1" applyProtection="1">
      <alignment horizontal="left"/>
      <protection hidden="1"/>
    </xf>
    <xf numFmtId="0" fontId="13" fillId="0" borderId="330" xfId="3" applyFont="1" applyBorder="1" applyAlignment="1" applyProtection="1">
      <alignment horizontal="left"/>
      <protection hidden="1"/>
    </xf>
    <xf numFmtId="171" fontId="177" fillId="0" borderId="25" xfId="3" applyNumberFormat="1" applyFont="1" applyBorder="1" applyAlignment="1" applyProtection="1">
      <alignment horizontal="right"/>
      <protection hidden="1"/>
    </xf>
    <xf numFmtId="171" fontId="177" fillId="0" borderId="0" xfId="3" applyNumberFormat="1" applyFont="1" applyAlignment="1" applyProtection="1">
      <alignment horizontal="right"/>
      <protection hidden="1"/>
    </xf>
    <xf numFmtId="171" fontId="177" fillId="0" borderId="256" xfId="3" applyNumberFormat="1" applyFont="1" applyBorder="1" applyAlignment="1" applyProtection="1">
      <alignment horizontal="right"/>
      <protection hidden="1"/>
    </xf>
    <xf numFmtId="171" fontId="13" fillId="54" borderId="5" xfId="3" applyNumberFormat="1" applyFont="1" applyFill="1" applyBorder="1" applyAlignment="1" applyProtection="1">
      <alignment horizontal="right"/>
      <protection locked="0"/>
    </xf>
    <xf numFmtId="173" fontId="5" fillId="0" borderId="5" xfId="2" applyNumberFormat="1" applyBorder="1" applyAlignment="1" applyProtection="1">
      <alignment horizontal="right"/>
      <protection hidden="1"/>
    </xf>
    <xf numFmtId="0" fontId="85" fillId="0" borderId="0" xfId="3" applyFont="1" applyAlignment="1" applyProtection="1">
      <alignment horizontal="left"/>
      <protection hidden="1"/>
    </xf>
    <xf numFmtId="0" fontId="69" fillId="0" borderId="0" xfId="3" applyFont="1" applyAlignment="1" applyProtection="1">
      <alignment horizontal="center" vertical="center" wrapText="1"/>
      <protection hidden="1"/>
    </xf>
    <xf numFmtId="0" fontId="49" fillId="0" borderId="0" xfId="3" applyFont="1" applyAlignment="1" applyProtection="1">
      <alignment horizontal="center" vertical="center"/>
      <protection hidden="1"/>
    </xf>
    <xf numFmtId="0" fontId="18" fillId="0" borderId="51" xfId="3" applyFont="1" applyBorder="1" applyAlignment="1" applyProtection="1">
      <alignment horizontal="center" vertical="center" wrapText="1"/>
      <protection hidden="1"/>
    </xf>
    <xf numFmtId="0" fontId="18" fillId="0" borderId="109" xfId="3" applyFont="1" applyBorder="1" applyAlignment="1" applyProtection="1">
      <alignment horizontal="center" vertical="center" wrapText="1"/>
      <protection hidden="1"/>
    </xf>
    <xf numFmtId="0" fontId="170" fillId="0" borderId="0" xfId="3" applyFont="1" applyAlignment="1" applyProtection="1">
      <alignment horizontal="right"/>
      <protection hidden="1"/>
    </xf>
    <xf numFmtId="0" fontId="170" fillId="0" borderId="0" xfId="3" applyFont="1" applyAlignment="1" applyProtection="1">
      <alignment horizontal="right"/>
      <protection locked="0" hidden="1"/>
    </xf>
    <xf numFmtId="0" fontId="5" fillId="0" borderId="30" xfId="3" applyBorder="1" applyAlignment="1" applyProtection="1">
      <alignment horizontal="left"/>
      <protection hidden="1"/>
    </xf>
    <xf numFmtId="0" fontId="5" fillId="0" borderId="31" xfId="3" applyBorder="1" applyAlignment="1" applyProtection="1">
      <alignment horizontal="left"/>
      <protection hidden="1"/>
    </xf>
    <xf numFmtId="0" fontId="5" fillId="0" borderId="92" xfId="3" applyBorder="1" applyAlignment="1" applyProtection="1">
      <alignment horizontal="left"/>
      <protection hidden="1"/>
    </xf>
    <xf numFmtId="205" fontId="13" fillId="53" borderId="25" xfId="3" applyNumberFormat="1" applyFont="1" applyFill="1" applyBorder="1" applyAlignment="1" applyProtection="1">
      <alignment horizontal="right" vertical="center"/>
      <protection locked="0"/>
    </xf>
    <xf numFmtId="205" fontId="13" fillId="53" borderId="0" xfId="3" applyNumberFormat="1" applyFont="1" applyFill="1" applyAlignment="1" applyProtection="1">
      <alignment horizontal="right" vertical="center"/>
      <protection locked="0"/>
    </xf>
    <xf numFmtId="205" fontId="13" fillId="53" borderId="256" xfId="3" applyNumberFormat="1" applyFont="1" applyFill="1" applyBorder="1" applyAlignment="1" applyProtection="1">
      <alignment horizontal="right" vertical="center"/>
      <protection locked="0"/>
    </xf>
    <xf numFmtId="0" fontId="12" fillId="54" borderId="17" xfId="3" applyFont="1" applyFill="1" applyBorder="1" applyAlignment="1" applyProtection="1">
      <alignment horizontal="center" vertical="center" wrapText="1"/>
      <protection hidden="1"/>
    </xf>
    <xf numFmtId="0" fontId="12" fillId="0" borderId="86" xfId="3" applyFont="1" applyBorder="1" applyAlignment="1" applyProtection="1">
      <alignment horizontal="center" vertical="center" wrapText="1"/>
      <protection hidden="1"/>
    </xf>
    <xf numFmtId="0" fontId="5" fillId="0" borderId="254" xfId="3" applyBorder="1" applyAlignment="1" applyProtection="1">
      <alignment horizontal="left"/>
      <protection hidden="1"/>
    </xf>
    <xf numFmtId="0" fontId="5" fillId="0" borderId="255" xfId="3" applyBorder="1" applyAlignment="1" applyProtection="1">
      <alignment horizontal="left"/>
      <protection hidden="1"/>
    </xf>
    <xf numFmtId="0" fontId="5" fillId="0" borderId="244" xfId="3" applyBorder="1" applyAlignment="1" applyProtection="1">
      <alignment horizontal="left"/>
      <protection hidden="1"/>
    </xf>
    <xf numFmtId="171" fontId="14" fillId="0" borderId="25" xfId="3" applyNumberFormat="1" applyFont="1" applyBorder="1" applyAlignment="1" applyProtection="1">
      <alignment horizontal="right" vertical="center"/>
      <protection hidden="1"/>
    </xf>
    <xf numFmtId="171" fontId="14" fillId="0" borderId="0" xfId="3" applyNumberFormat="1" applyFont="1" applyAlignment="1" applyProtection="1">
      <alignment horizontal="right" vertical="center"/>
      <protection hidden="1"/>
    </xf>
    <xf numFmtId="171" fontId="14" fillId="0" borderId="256" xfId="3" applyNumberFormat="1" applyFont="1" applyBorder="1" applyAlignment="1" applyProtection="1">
      <alignment horizontal="right" vertical="center"/>
      <protection hidden="1"/>
    </xf>
    <xf numFmtId="171" fontId="13" fillId="0" borderId="0" xfId="3" applyNumberFormat="1" applyFont="1" applyAlignment="1" applyProtection="1">
      <alignment horizontal="right" vertical="center"/>
      <protection hidden="1"/>
    </xf>
    <xf numFmtId="171" fontId="13" fillId="0" borderId="256" xfId="3" applyNumberFormat="1" applyFont="1" applyBorder="1" applyAlignment="1" applyProtection="1">
      <alignment horizontal="right" vertical="center"/>
      <protection hidden="1"/>
    </xf>
    <xf numFmtId="171" fontId="13" fillId="54" borderId="0" xfId="3" applyNumberFormat="1" applyFont="1" applyFill="1" applyAlignment="1" applyProtection="1">
      <alignment horizontal="right" vertical="center"/>
      <protection locked="0"/>
    </xf>
    <xf numFmtId="171" fontId="13" fillId="54" borderId="256" xfId="3" applyNumberFormat="1" applyFont="1" applyFill="1" applyBorder="1" applyAlignment="1" applyProtection="1">
      <alignment horizontal="right" vertical="center"/>
      <protection locked="0"/>
    </xf>
    <xf numFmtId="169" fontId="13" fillId="56" borderId="25" xfId="3" applyNumberFormat="1" applyFont="1" applyFill="1" applyBorder="1" applyAlignment="1" applyProtection="1">
      <alignment horizontal="right" vertical="center"/>
      <protection locked="0"/>
    </xf>
    <xf numFmtId="169" fontId="13" fillId="56" borderId="0" xfId="3" applyNumberFormat="1" applyFont="1" applyFill="1" applyAlignment="1" applyProtection="1">
      <alignment horizontal="right" vertical="center"/>
      <protection locked="0"/>
    </xf>
    <xf numFmtId="169" fontId="13" fillId="56" borderId="256" xfId="3" applyNumberFormat="1" applyFont="1" applyFill="1" applyBorder="1" applyAlignment="1" applyProtection="1">
      <alignment horizontal="right" vertical="center"/>
      <protection locked="0"/>
    </xf>
    <xf numFmtId="171" fontId="13" fillId="0" borderId="330" xfId="3" applyNumberFormat="1" applyFont="1" applyBorder="1" applyAlignment="1" applyProtection="1">
      <alignment horizontal="right" vertical="center"/>
      <protection hidden="1"/>
    </xf>
    <xf numFmtId="205" fontId="13" fillId="0" borderId="25" xfId="3" applyNumberFormat="1" applyFont="1" applyBorder="1" applyAlignment="1" applyProtection="1">
      <alignment horizontal="right" vertical="center"/>
      <protection hidden="1"/>
    </xf>
    <xf numFmtId="205" fontId="13" fillId="0" borderId="0" xfId="3" applyNumberFormat="1" applyFont="1" applyAlignment="1" applyProtection="1">
      <alignment horizontal="right" vertical="center"/>
      <protection hidden="1"/>
    </xf>
    <xf numFmtId="205" fontId="13" fillId="0" borderId="330" xfId="3" applyNumberFormat="1" applyFont="1" applyBorder="1" applyAlignment="1" applyProtection="1">
      <alignment horizontal="right" vertical="center"/>
      <protection hidden="1"/>
    </xf>
    <xf numFmtId="0" fontId="18" fillId="0" borderId="0" xfId="3" applyFont="1" applyAlignment="1" applyProtection="1">
      <alignment horizontal="right"/>
      <protection hidden="1"/>
    </xf>
    <xf numFmtId="0" fontId="99" fillId="0" borderId="0" xfId="3" quotePrefix="1" applyFont="1" applyAlignment="1" applyProtection="1">
      <alignment horizontal="left" vertical="center"/>
      <protection hidden="1"/>
    </xf>
    <xf numFmtId="0" fontId="99" fillId="0" borderId="0" xfId="3" quotePrefix="1" applyFont="1" applyAlignment="1" applyProtection="1">
      <alignment horizontal="left" vertical="top"/>
      <protection hidden="1"/>
    </xf>
    <xf numFmtId="0" fontId="99" fillId="0" borderId="0" xfId="3" quotePrefix="1" applyFont="1" applyAlignment="1" applyProtection="1">
      <alignment horizontal="right" vertical="center"/>
      <protection hidden="1"/>
    </xf>
    <xf numFmtId="0" fontId="5" fillId="0" borderId="0" xfId="3" applyAlignment="1" applyProtection="1">
      <alignment horizontal="right"/>
      <protection hidden="1"/>
    </xf>
    <xf numFmtId="0" fontId="18" fillId="0" borderId="241" xfId="3" applyFont="1" applyBorder="1" applyAlignment="1" applyProtection="1">
      <alignment horizontal="right"/>
      <protection hidden="1"/>
    </xf>
    <xf numFmtId="0" fontId="18" fillId="0" borderId="242" xfId="3" applyFont="1" applyBorder="1" applyAlignment="1" applyProtection="1">
      <alignment horizontal="right"/>
      <protection hidden="1"/>
    </xf>
    <xf numFmtId="0" fontId="18" fillId="0" borderId="0" xfId="3" applyFont="1" applyAlignment="1" applyProtection="1">
      <alignment horizontal="left"/>
      <protection hidden="1"/>
    </xf>
    <xf numFmtId="170" fontId="5" fillId="0" borderId="18" xfId="3" applyNumberFormat="1" applyBorder="1" applyAlignment="1" applyProtection="1">
      <alignment horizontal="center"/>
      <protection hidden="1"/>
    </xf>
    <xf numFmtId="170" fontId="5" fillId="0" borderId="19" xfId="3" applyNumberFormat="1" applyBorder="1" applyAlignment="1" applyProtection="1">
      <alignment horizontal="center"/>
      <protection hidden="1"/>
    </xf>
    <xf numFmtId="170" fontId="5" fillId="0" borderId="20" xfId="3" applyNumberFormat="1" applyBorder="1" applyAlignment="1" applyProtection="1">
      <alignment horizontal="center"/>
      <protection hidden="1"/>
    </xf>
    <xf numFmtId="0" fontId="99" fillId="0" borderId="0" xfId="3" quotePrefix="1" applyFont="1" applyAlignment="1" applyProtection="1">
      <alignment horizontal="left" vertical="center" wrapText="1"/>
      <protection hidden="1"/>
    </xf>
    <xf numFmtId="0" fontId="12" fillId="0" borderId="0" xfId="3" applyFont="1" applyAlignment="1" applyProtection="1">
      <alignment horizontal="center" vertical="center" wrapText="1"/>
      <protection hidden="1"/>
    </xf>
    <xf numFmtId="0" fontId="5" fillId="0" borderId="27" xfId="3" applyBorder="1" applyAlignment="1" applyProtection="1">
      <alignment horizontal="left"/>
      <protection hidden="1"/>
    </xf>
    <xf numFmtId="0" fontId="5" fillId="0" borderId="28" xfId="3" applyBorder="1" applyAlignment="1" applyProtection="1">
      <alignment horizontal="left"/>
      <protection hidden="1"/>
    </xf>
    <xf numFmtId="0" fontId="16" fillId="53" borderId="0" xfId="3" applyFont="1" applyFill="1" applyAlignment="1" applyProtection="1">
      <alignment horizontal="left"/>
      <protection locked="0"/>
    </xf>
    <xf numFmtId="0" fontId="12" fillId="27" borderId="27" xfId="3" applyFont="1" applyFill="1" applyBorder="1" applyAlignment="1" applyProtection="1">
      <alignment horizontal="center" vertical="center" wrapText="1"/>
      <protection hidden="1"/>
    </xf>
    <xf numFmtId="0" fontId="21" fillId="64" borderId="0" xfId="3" applyFont="1" applyFill="1" applyAlignment="1" applyProtection="1">
      <alignment horizontal="center"/>
      <protection hidden="1"/>
    </xf>
    <xf numFmtId="0" fontId="89" fillId="0" borderId="0" xfId="3" applyFont="1" applyAlignment="1" applyProtection="1">
      <alignment horizontal="left"/>
      <protection hidden="1"/>
    </xf>
    <xf numFmtId="0" fontId="90" fillId="0" borderId="0" xfId="3" quotePrefix="1" applyFont="1" applyAlignment="1" applyProtection="1">
      <alignment horizontal="right"/>
      <protection hidden="1"/>
    </xf>
    <xf numFmtId="0" fontId="90" fillId="0" borderId="0" xfId="3" applyFont="1" applyAlignment="1" applyProtection="1">
      <alignment horizontal="right"/>
      <protection hidden="1"/>
    </xf>
    <xf numFmtId="14" fontId="12" fillId="0" borderId="0" xfId="3" applyNumberFormat="1" applyFont="1" applyAlignment="1" applyProtection="1">
      <alignment horizontal="center"/>
      <protection hidden="1"/>
    </xf>
    <xf numFmtId="0" fontId="127" fillId="0" borderId="0" xfId="3" applyFont="1" applyAlignment="1" applyProtection="1">
      <alignment horizontal="left"/>
      <protection hidden="1"/>
    </xf>
    <xf numFmtId="0" fontId="13" fillId="0" borderId="284" xfId="3" applyFont="1" applyBorder="1" applyAlignment="1" applyProtection="1">
      <alignment horizontal="center" vertical="center" textRotation="90"/>
      <protection hidden="1"/>
    </xf>
    <xf numFmtId="0" fontId="13" fillId="0" borderId="110" xfId="3" applyFont="1" applyBorder="1" applyAlignment="1" applyProtection="1">
      <alignment horizontal="center" vertical="center" textRotation="90"/>
      <protection hidden="1"/>
    </xf>
    <xf numFmtId="0" fontId="13" fillId="0" borderId="61" xfId="3" applyFont="1" applyBorder="1" applyAlignment="1" applyProtection="1">
      <alignment horizontal="center" vertical="center" textRotation="90"/>
      <protection hidden="1"/>
    </xf>
    <xf numFmtId="0" fontId="193" fillId="0" borderId="0" xfId="3" applyFont="1" applyAlignment="1" applyProtection="1">
      <alignment horizontal="left"/>
      <protection hidden="1"/>
    </xf>
    <xf numFmtId="0" fontId="13" fillId="0" borderId="18" xfId="3" applyFont="1" applyBorder="1" applyAlignment="1" applyProtection="1">
      <alignment horizontal="right"/>
      <protection hidden="1"/>
    </xf>
    <xf numFmtId="0" fontId="13" fillId="0" borderId="19" xfId="3" applyFont="1" applyBorder="1" applyAlignment="1" applyProtection="1">
      <alignment horizontal="right"/>
      <protection hidden="1"/>
    </xf>
    <xf numFmtId="0" fontId="13" fillId="0" borderId="20" xfId="3" applyFont="1" applyBorder="1" applyAlignment="1" applyProtection="1">
      <alignment horizontal="right"/>
      <protection hidden="1"/>
    </xf>
    <xf numFmtId="169" fontId="13" fillId="0" borderId="17" xfId="3" applyNumberFormat="1" applyFont="1" applyBorder="1" applyAlignment="1" applyProtection="1">
      <alignment horizontal="center"/>
      <protection hidden="1"/>
    </xf>
    <xf numFmtId="171" fontId="127" fillId="0" borderId="0" xfId="3" applyNumberFormat="1" applyFont="1" applyAlignment="1" applyProtection="1">
      <alignment horizontal="center"/>
      <protection hidden="1"/>
    </xf>
    <xf numFmtId="177" fontId="13" fillId="0" borderId="17" xfId="3" applyNumberFormat="1" applyFont="1" applyBorder="1" applyAlignment="1" applyProtection="1">
      <alignment horizontal="center"/>
      <protection hidden="1"/>
    </xf>
    <xf numFmtId="0" fontId="18" fillId="0" borderId="52" xfId="3" applyFont="1" applyBorder="1" applyAlignment="1" applyProtection="1">
      <alignment horizontal="center" vertical="center" wrapText="1"/>
      <protection hidden="1"/>
    </xf>
    <xf numFmtId="0" fontId="18" fillId="0" borderId="56" xfId="3" applyFont="1" applyBorder="1" applyAlignment="1" applyProtection="1">
      <alignment horizontal="center" vertical="center" wrapText="1"/>
      <protection hidden="1"/>
    </xf>
    <xf numFmtId="0" fontId="18" fillId="0" borderId="101" xfId="3" applyFont="1" applyBorder="1" applyAlignment="1" applyProtection="1">
      <alignment horizontal="center" vertical="center" wrapText="1"/>
      <protection hidden="1"/>
    </xf>
    <xf numFmtId="0" fontId="12" fillId="53" borderId="86" xfId="3" applyFont="1" applyFill="1" applyBorder="1" applyAlignment="1" applyProtection="1">
      <alignment horizontal="center" wrapText="1"/>
      <protection hidden="1"/>
    </xf>
    <xf numFmtId="0" fontId="12" fillId="53" borderId="93" xfId="3" applyFont="1" applyFill="1" applyBorder="1" applyAlignment="1" applyProtection="1">
      <alignment horizontal="center" wrapText="1"/>
      <protection hidden="1"/>
    </xf>
    <xf numFmtId="0" fontId="12" fillId="54" borderId="284" xfId="3" applyFont="1" applyFill="1" applyBorder="1" applyAlignment="1" applyProtection="1">
      <alignment horizontal="center" vertical="center"/>
      <protection hidden="1"/>
    </xf>
    <xf numFmtId="0" fontId="12" fillId="54" borderId="61" xfId="3" applyFont="1" applyFill="1" applyBorder="1" applyAlignment="1" applyProtection="1">
      <alignment horizontal="center" vertical="center"/>
      <protection hidden="1"/>
    </xf>
    <xf numFmtId="169" fontId="12" fillId="0" borderId="223" xfId="3" applyNumberFormat="1" applyFont="1" applyBorder="1" applyAlignment="1" applyProtection="1">
      <alignment horizontal="center"/>
      <protection hidden="1"/>
    </xf>
    <xf numFmtId="169" fontId="12" fillId="0" borderId="224" xfId="3" applyNumberFormat="1" applyFont="1" applyBorder="1" applyAlignment="1" applyProtection="1">
      <alignment horizontal="center"/>
      <protection hidden="1"/>
    </xf>
    <xf numFmtId="211" fontId="12" fillId="0" borderId="216" xfId="3" applyNumberFormat="1" applyFont="1" applyBorder="1" applyAlignment="1" applyProtection="1">
      <alignment horizontal="center"/>
      <protection hidden="1"/>
    </xf>
    <xf numFmtId="0" fontId="170" fillId="53" borderId="272" xfId="3" applyFont="1" applyFill="1" applyBorder="1" applyAlignment="1" applyProtection="1">
      <alignment horizontal="center"/>
      <protection locked="0"/>
    </xf>
    <xf numFmtId="0" fontId="170" fillId="53" borderId="262" xfId="3" applyFont="1" applyFill="1" applyBorder="1" applyAlignment="1" applyProtection="1">
      <alignment horizontal="center"/>
      <protection locked="0"/>
    </xf>
    <xf numFmtId="0" fontId="170" fillId="53" borderId="263" xfId="3" applyFont="1" applyFill="1" applyBorder="1" applyAlignment="1" applyProtection="1">
      <alignment horizontal="center"/>
      <protection locked="0"/>
    </xf>
    <xf numFmtId="172" fontId="12" fillId="0" borderId="7" xfId="3" applyNumberFormat="1" applyFont="1" applyBorder="1" applyAlignment="1" applyProtection="1">
      <alignment horizontal="right"/>
      <protection hidden="1"/>
    </xf>
    <xf numFmtId="172" fontId="12" fillId="0" borderId="9" xfId="3" applyNumberFormat="1" applyFont="1" applyBorder="1" applyAlignment="1" applyProtection="1">
      <alignment horizontal="right"/>
      <protection hidden="1"/>
    </xf>
    <xf numFmtId="171" fontId="78" fillId="0" borderId="0" xfId="2" applyNumberFormat="1" applyFont="1" applyAlignment="1" applyProtection="1">
      <alignment horizontal="center" vertical="center" wrapText="1"/>
      <protection locked="0" hidden="1"/>
    </xf>
    <xf numFmtId="0" fontId="170" fillId="54" borderId="267" xfId="3" applyFont="1" applyFill="1" applyBorder="1" applyAlignment="1" applyProtection="1">
      <alignment horizontal="center"/>
      <protection locked="0"/>
    </xf>
    <xf numFmtId="0" fontId="170" fillId="54" borderId="268" xfId="3" applyFont="1" applyFill="1" applyBorder="1" applyAlignment="1" applyProtection="1">
      <alignment horizontal="center"/>
      <protection locked="0"/>
    </xf>
    <xf numFmtId="0" fontId="170" fillId="53" borderId="271" xfId="3" applyFont="1" applyFill="1" applyBorder="1" applyAlignment="1" applyProtection="1">
      <alignment horizontal="center"/>
      <protection locked="0"/>
    </xf>
    <xf numFmtId="0" fontId="170" fillId="53" borderId="260" xfId="3" applyFont="1" applyFill="1" applyBorder="1" applyAlignment="1" applyProtection="1">
      <alignment horizontal="center"/>
      <protection locked="0"/>
    </xf>
    <xf numFmtId="0" fontId="170" fillId="53" borderId="261" xfId="3" applyFont="1" applyFill="1" applyBorder="1" applyAlignment="1" applyProtection="1">
      <alignment horizontal="center"/>
      <protection locked="0"/>
    </xf>
    <xf numFmtId="0" fontId="170" fillId="54" borderId="265" xfId="3" applyFont="1" applyFill="1" applyBorder="1" applyAlignment="1" applyProtection="1">
      <alignment horizontal="center"/>
      <protection locked="0"/>
    </xf>
    <xf numFmtId="0" fontId="170" fillId="54" borderId="266" xfId="3" applyFont="1" applyFill="1" applyBorder="1" applyAlignment="1" applyProtection="1">
      <alignment horizontal="center"/>
      <protection locked="0"/>
    </xf>
    <xf numFmtId="14" fontId="12" fillId="0" borderId="220" xfId="3" applyNumberFormat="1" applyFont="1" applyBorder="1" applyAlignment="1" applyProtection="1">
      <alignment horizontal="center"/>
      <protection hidden="1"/>
    </xf>
    <xf numFmtId="14" fontId="12" fillId="0" borderId="221" xfId="3" applyNumberFormat="1" applyFont="1" applyBorder="1" applyAlignment="1" applyProtection="1">
      <alignment horizontal="center"/>
      <protection hidden="1"/>
    </xf>
    <xf numFmtId="0" fontId="12" fillId="0" borderId="221" xfId="3" applyFont="1" applyBorder="1" applyAlignment="1" applyProtection="1">
      <alignment horizontal="center"/>
      <protection hidden="1"/>
    </xf>
    <xf numFmtId="165" fontId="5" fillId="0" borderId="286" xfId="2" applyBorder="1" applyAlignment="1" applyProtection="1">
      <alignment horizontal="center"/>
      <protection hidden="1"/>
    </xf>
    <xf numFmtId="165" fontId="5" fillId="0" borderId="287" xfId="2" applyBorder="1" applyAlignment="1" applyProtection="1">
      <alignment horizontal="center"/>
      <protection hidden="1"/>
    </xf>
    <xf numFmtId="0" fontId="5" fillId="0" borderId="6" xfId="3" applyBorder="1" applyAlignment="1" applyProtection="1">
      <alignment horizontal="right"/>
      <protection hidden="1"/>
    </xf>
    <xf numFmtId="0" fontId="6" fillId="0" borderId="281" xfId="3" applyFont="1" applyBorder="1" applyAlignment="1" applyProtection="1">
      <alignment horizontal="center"/>
      <protection hidden="1"/>
    </xf>
    <xf numFmtId="0" fontId="6" fillId="0" borderId="282" xfId="3" applyFont="1" applyBorder="1" applyAlignment="1" applyProtection="1">
      <alignment horizontal="center"/>
      <protection hidden="1"/>
    </xf>
    <xf numFmtId="0" fontId="6" fillId="0" borderId="283" xfId="3" applyFont="1" applyBorder="1" applyAlignment="1" applyProtection="1">
      <alignment horizontal="center"/>
      <protection hidden="1"/>
    </xf>
    <xf numFmtId="0" fontId="12" fillId="0" borderId="224" xfId="3" applyFont="1" applyBorder="1" applyAlignment="1" applyProtection="1">
      <alignment horizontal="center"/>
      <protection hidden="1"/>
    </xf>
    <xf numFmtId="0" fontId="12" fillId="0" borderId="225" xfId="3" applyFont="1" applyBorder="1" applyAlignment="1" applyProtection="1">
      <alignment horizontal="center"/>
      <protection hidden="1"/>
    </xf>
    <xf numFmtId="14" fontId="12" fillId="0" borderId="215" xfId="3" applyNumberFormat="1" applyFont="1" applyBorder="1" applyAlignment="1" applyProtection="1">
      <alignment horizontal="center"/>
      <protection hidden="1"/>
    </xf>
    <xf numFmtId="169" fontId="12" fillId="0" borderId="42" xfId="3" applyNumberFormat="1" applyFont="1" applyBorder="1" applyAlignment="1" applyProtection="1">
      <alignment horizontal="center"/>
      <protection hidden="1"/>
    </xf>
    <xf numFmtId="169" fontId="12" fillId="0" borderId="43" xfId="3" applyNumberFormat="1" applyFont="1" applyBorder="1" applyAlignment="1" applyProtection="1">
      <alignment horizontal="center"/>
      <protection hidden="1"/>
    </xf>
    <xf numFmtId="169" fontId="12" fillId="0" borderId="44" xfId="3" applyNumberFormat="1" applyFont="1" applyBorder="1" applyAlignment="1" applyProtection="1">
      <alignment horizontal="center"/>
      <protection hidden="1"/>
    </xf>
    <xf numFmtId="171" fontId="12" fillId="0" borderId="0" xfId="3" applyNumberFormat="1" applyFont="1" applyAlignment="1" applyProtection="1">
      <alignment horizontal="right"/>
      <protection hidden="1"/>
    </xf>
    <xf numFmtId="211" fontId="12" fillId="0" borderId="217" xfId="3" applyNumberFormat="1" applyFont="1" applyBorder="1" applyAlignment="1" applyProtection="1">
      <alignment horizontal="center"/>
      <protection hidden="1"/>
    </xf>
    <xf numFmtId="0" fontId="99" fillId="0" borderId="143" xfId="3" applyFont="1" applyBorder="1" applyAlignment="1" applyProtection="1">
      <alignment horizontal="center" vertical="center"/>
      <protection hidden="1"/>
    </xf>
    <xf numFmtId="0" fontId="99" fillId="0" borderId="144" xfId="3" applyFont="1" applyBorder="1" applyAlignment="1" applyProtection="1">
      <alignment horizontal="center" vertical="center"/>
      <protection hidden="1"/>
    </xf>
    <xf numFmtId="0" fontId="99" fillId="0" borderId="145" xfId="3" applyFont="1" applyBorder="1" applyAlignment="1" applyProtection="1">
      <alignment horizontal="center" vertical="center"/>
      <protection hidden="1"/>
    </xf>
    <xf numFmtId="171" fontId="36" fillId="0" borderId="0" xfId="3" applyNumberFormat="1" applyFont="1" applyAlignment="1" applyProtection="1">
      <alignment horizontal="right"/>
      <protection hidden="1"/>
    </xf>
    <xf numFmtId="14" fontId="137" fillId="0" borderId="227" xfId="3" applyNumberFormat="1" applyFont="1" applyBorder="1" applyAlignment="1" applyProtection="1">
      <alignment horizontal="right"/>
      <protection hidden="1"/>
    </xf>
    <xf numFmtId="14" fontId="137" fillId="0" borderId="228" xfId="3" applyNumberFormat="1" applyFont="1" applyBorder="1" applyAlignment="1" applyProtection="1">
      <alignment horizontal="right"/>
      <protection hidden="1"/>
    </xf>
    <xf numFmtId="0" fontId="12" fillId="0" borderId="95" xfId="3" applyFont="1" applyBorder="1" applyAlignment="1" applyProtection="1">
      <alignment horizontal="center" vertical="center"/>
      <protection hidden="1"/>
    </xf>
    <xf numFmtId="0" fontId="12" fillId="0" borderId="0" xfId="3" applyFont="1" applyAlignment="1" applyProtection="1">
      <alignment horizontal="center" vertical="center"/>
      <protection hidden="1"/>
    </xf>
    <xf numFmtId="0" fontId="5" fillId="0" borderId="254" xfId="3" applyBorder="1" applyAlignment="1" applyProtection="1">
      <alignment horizontal="center" vertical="center" wrapText="1"/>
      <protection hidden="1"/>
    </xf>
    <xf numFmtId="0" fontId="5" fillId="0" borderId="255" xfId="3" applyBorder="1" applyAlignment="1" applyProtection="1">
      <alignment horizontal="center" vertical="center" wrapText="1"/>
      <protection hidden="1"/>
    </xf>
    <xf numFmtId="0" fontId="5" fillId="0" borderId="244" xfId="3" applyBorder="1" applyAlignment="1" applyProtection="1">
      <alignment horizontal="center" vertical="center" wrapText="1"/>
      <protection hidden="1"/>
    </xf>
    <xf numFmtId="0" fontId="5" fillId="0" borderId="25" xfId="3" applyBorder="1" applyAlignment="1" applyProtection="1">
      <alignment horizontal="center" vertical="center" wrapText="1"/>
      <protection hidden="1"/>
    </xf>
    <xf numFmtId="0" fontId="5" fillId="0" borderId="256" xfId="3" applyBorder="1" applyAlignment="1" applyProtection="1">
      <alignment horizontal="center" vertical="center" wrapText="1"/>
      <protection hidden="1"/>
    </xf>
    <xf numFmtId="0" fontId="5" fillId="0" borderId="26" xfId="3" applyBorder="1" applyAlignment="1" applyProtection="1">
      <alignment horizontal="center" vertical="center" wrapText="1"/>
      <protection hidden="1"/>
    </xf>
    <xf numFmtId="0" fontId="5" fillId="0" borderId="27" xfId="3" applyBorder="1" applyAlignment="1" applyProtection="1">
      <alignment horizontal="center" vertical="center" wrapText="1"/>
      <protection hidden="1"/>
    </xf>
    <xf numFmtId="0" fontId="5" fillId="0" borderId="28" xfId="3" applyBorder="1" applyAlignment="1" applyProtection="1">
      <alignment horizontal="center" vertical="center" wrapText="1"/>
      <protection hidden="1"/>
    </xf>
    <xf numFmtId="0" fontId="13" fillId="0" borderId="254" xfId="3" applyFont="1" applyBorder="1" applyAlignment="1" applyProtection="1">
      <alignment horizontal="center"/>
      <protection hidden="1"/>
    </xf>
    <xf numFmtId="0" fontId="13" fillId="0" borderId="255" xfId="3" applyFont="1" applyBorder="1" applyAlignment="1" applyProtection="1">
      <alignment horizontal="center"/>
      <protection hidden="1"/>
    </xf>
    <xf numFmtId="0" fontId="13" fillId="0" borderId="244" xfId="3" applyFont="1" applyBorder="1" applyAlignment="1" applyProtection="1">
      <alignment horizontal="center"/>
      <protection hidden="1"/>
    </xf>
    <xf numFmtId="0" fontId="114" fillId="0" borderId="0" xfId="3" applyFont="1" applyAlignment="1" applyProtection="1">
      <alignment horizontal="left"/>
      <protection hidden="1"/>
    </xf>
    <xf numFmtId="0" fontId="13" fillId="0" borderId="25" xfId="3" applyFont="1" applyBorder="1" applyAlignment="1" applyProtection="1">
      <alignment horizontal="center"/>
      <protection hidden="1"/>
    </xf>
    <xf numFmtId="0" fontId="13" fillId="0" borderId="0" xfId="3" applyFont="1" applyAlignment="1" applyProtection="1">
      <alignment horizontal="center"/>
      <protection hidden="1"/>
    </xf>
    <xf numFmtId="0" fontId="13" fillId="0" borderId="256" xfId="3" applyFont="1" applyBorder="1" applyAlignment="1" applyProtection="1">
      <alignment horizontal="center"/>
      <protection hidden="1"/>
    </xf>
    <xf numFmtId="0" fontId="12" fillId="53" borderId="45" xfId="3" applyFont="1" applyFill="1" applyBorder="1" applyAlignment="1" applyProtection="1">
      <alignment horizontal="left" vertical="top" wrapText="1"/>
      <protection locked="0"/>
    </xf>
    <xf numFmtId="0" fontId="12" fillId="53" borderId="46" xfId="3" applyFont="1" applyFill="1" applyBorder="1" applyAlignment="1" applyProtection="1">
      <alignment horizontal="left" vertical="top" wrapText="1"/>
      <protection locked="0"/>
    </xf>
    <xf numFmtId="0" fontId="12" fillId="53" borderId="47" xfId="3" applyFont="1" applyFill="1" applyBorder="1" applyAlignment="1" applyProtection="1">
      <alignment horizontal="left" vertical="top" wrapText="1"/>
      <protection locked="0"/>
    </xf>
    <xf numFmtId="0" fontId="12" fillId="53" borderId="48" xfId="3" applyFont="1" applyFill="1" applyBorder="1" applyAlignment="1" applyProtection="1">
      <alignment horizontal="left" vertical="top" wrapText="1"/>
      <protection locked="0"/>
    </xf>
    <xf numFmtId="0" fontId="12" fillId="53" borderId="49" xfId="3" applyFont="1" applyFill="1" applyBorder="1" applyAlignment="1" applyProtection="1">
      <alignment horizontal="left" vertical="top" wrapText="1"/>
      <protection locked="0"/>
    </xf>
    <xf numFmtId="0" fontId="12" fillId="53" borderId="50" xfId="3" applyFont="1" applyFill="1" applyBorder="1" applyAlignment="1" applyProtection="1">
      <alignment horizontal="left" vertical="top" wrapText="1"/>
      <protection locked="0"/>
    </xf>
    <xf numFmtId="0" fontId="5" fillId="0" borderId="26" xfId="3" applyBorder="1" applyAlignment="1" applyProtection="1">
      <alignment horizontal="left"/>
      <protection hidden="1"/>
    </xf>
    <xf numFmtId="181" fontId="84" fillId="0" borderId="58" xfId="3" applyNumberFormat="1" applyFont="1" applyBorder="1" applyAlignment="1" applyProtection="1">
      <alignment horizontal="center" vertical="center"/>
      <protection hidden="1"/>
    </xf>
    <xf numFmtId="181" fontId="84" fillId="0" borderId="59" xfId="3" applyNumberFormat="1" applyFont="1" applyBorder="1" applyAlignment="1" applyProtection="1">
      <alignment horizontal="center" vertical="center"/>
      <protection hidden="1"/>
    </xf>
    <xf numFmtId="204" fontId="84" fillId="0" borderId="62" xfId="3" applyNumberFormat="1" applyFont="1" applyBorder="1" applyAlignment="1" applyProtection="1">
      <alignment horizontal="center" vertical="center"/>
      <protection hidden="1"/>
    </xf>
    <xf numFmtId="204" fontId="84" fillId="0" borderId="55" xfId="3" applyNumberFormat="1" applyFont="1" applyBorder="1" applyAlignment="1" applyProtection="1">
      <alignment horizontal="center" vertical="center"/>
      <protection hidden="1"/>
    </xf>
    <xf numFmtId="169" fontId="84" fillId="0" borderId="38" xfId="3" applyNumberFormat="1" applyFont="1" applyBorder="1" applyAlignment="1" applyProtection="1">
      <alignment horizontal="center" vertical="center"/>
      <protection hidden="1"/>
    </xf>
    <xf numFmtId="169" fontId="84" fillId="0" borderId="39" xfId="3" applyNumberFormat="1" applyFont="1" applyBorder="1" applyAlignment="1" applyProtection="1">
      <alignment horizontal="center" vertical="center"/>
      <protection hidden="1"/>
    </xf>
    <xf numFmtId="204" fontId="84" fillId="0" borderId="56" xfId="3" applyNumberFormat="1" applyFont="1" applyBorder="1" applyAlignment="1" applyProtection="1">
      <alignment horizontal="center" vertical="center"/>
      <protection hidden="1"/>
    </xf>
    <xf numFmtId="0" fontId="87" fillId="0" borderId="29" xfId="3" applyFont="1" applyBorder="1" applyAlignment="1" applyProtection="1">
      <alignment horizontal="center" vertical="center"/>
      <protection hidden="1"/>
    </xf>
    <xf numFmtId="0" fontId="87" fillId="0" borderId="31" xfId="3" applyFont="1" applyBorder="1" applyAlignment="1" applyProtection="1">
      <alignment horizontal="center" vertical="center"/>
      <protection hidden="1"/>
    </xf>
    <xf numFmtId="169" fontId="12" fillId="0" borderId="41" xfId="3" applyNumberFormat="1" applyFont="1" applyBorder="1" applyAlignment="1" applyProtection="1">
      <alignment horizontal="center"/>
      <protection hidden="1"/>
    </xf>
    <xf numFmtId="181" fontId="84" fillId="0" borderId="61" xfId="3" applyNumberFormat="1" applyFont="1" applyBorder="1" applyAlignment="1" applyProtection="1">
      <alignment horizontal="center" vertical="center"/>
      <protection hidden="1"/>
    </xf>
    <xf numFmtId="0" fontId="84" fillId="0" borderId="29" xfId="3" applyFont="1" applyBorder="1" applyAlignment="1" applyProtection="1">
      <alignment horizontal="right" vertical="center"/>
      <protection hidden="1"/>
    </xf>
    <xf numFmtId="0" fontId="84" fillId="0" borderId="31" xfId="3" applyFont="1" applyBorder="1" applyAlignment="1" applyProtection="1">
      <alignment horizontal="right" vertical="center"/>
      <protection hidden="1"/>
    </xf>
    <xf numFmtId="0" fontId="84" fillId="0" borderId="26" xfId="3" applyFont="1" applyBorder="1" applyAlignment="1" applyProtection="1">
      <alignment horizontal="right" vertical="center"/>
      <protection hidden="1"/>
    </xf>
    <xf numFmtId="0" fontId="84" fillId="0" borderId="28" xfId="3" applyFont="1" applyBorder="1" applyAlignment="1" applyProtection="1">
      <alignment horizontal="right" vertical="center"/>
      <protection hidden="1"/>
    </xf>
    <xf numFmtId="174" fontId="84" fillId="0" borderId="11" xfId="3" applyNumberFormat="1" applyFont="1" applyBorder="1" applyAlignment="1" applyProtection="1">
      <alignment horizontal="center" vertical="center"/>
      <protection hidden="1"/>
    </xf>
    <xf numFmtId="174" fontId="84" fillId="0" borderId="8" xfId="3" applyNumberFormat="1" applyFont="1" applyBorder="1" applyAlignment="1" applyProtection="1">
      <alignment horizontal="center" vertical="center"/>
      <protection hidden="1"/>
    </xf>
    <xf numFmtId="0" fontId="5" fillId="0" borderId="18" xfId="3" applyBorder="1" applyAlignment="1" applyProtection="1">
      <alignment horizontal="right"/>
      <protection hidden="1"/>
    </xf>
    <xf numFmtId="0" fontId="5" fillId="0" borderId="19" xfId="3" applyBorder="1" applyAlignment="1" applyProtection="1">
      <alignment horizontal="right"/>
      <protection hidden="1"/>
    </xf>
    <xf numFmtId="0" fontId="5" fillId="0" borderId="20" xfId="3" applyBorder="1" applyAlignment="1" applyProtection="1">
      <alignment horizontal="right"/>
      <protection hidden="1"/>
    </xf>
    <xf numFmtId="0" fontId="56" fillId="0" borderId="0" xfId="3" applyFont="1" applyAlignment="1" applyProtection="1">
      <alignment horizontal="center" vertical="center"/>
      <protection hidden="1"/>
    </xf>
    <xf numFmtId="0" fontId="56" fillId="0" borderId="12" xfId="3" applyFont="1" applyBorder="1" applyAlignment="1" applyProtection="1">
      <alignment horizontal="center" vertical="center"/>
      <protection hidden="1"/>
    </xf>
    <xf numFmtId="0" fontId="83" fillId="0" borderId="0" xfId="3" applyFont="1" applyAlignment="1" applyProtection="1">
      <alignment horizontal="left"/>
      <protection hidden="1"/>
    </xf>
    <xf numFmtId="171" fontId="15" fillId="0" borderId="18" xfId="3" applyNumberFormat="1" applyFont="1" applyBorder="1" applyAlignment="1" applyProtection="1">
      <alignment horizontal="right" vertical="center"/>
      <protection hidden="1"/>
    </xf>
    <xf numFmtId="171" fontId="15" fillId="0" borderId="19" xfId="3" applyNumberFormat="1" applyFont="1" applyBorder="1" applyAlignment="1" applyProtection="1">
      <alignment horizontal="right" vertical="center"/>
      <protection hidden="1"/>
    </xf>
    <xf numFmtId="171" fontId="15" fillId="0" borderId="20" xfId="3" applyNumberFormat="1" applyFont="1" applyBorder="1" applyAlignment="1" applyProtection="1">
      <alignment horizontal="right" vertical="center"/>
      <protection hidden="1"/>
    </xf>
    <xf numFmtId="179" fontId="14" fillId="0" borderId="344" xfId="2" applyNumberFormat="1" applyFont="1" applyBorder="1" applyAlignment="1" applyProtection="1">
      <alignment horizontal="right"/>
      <protection hidden="1"/>
    </xf>
    <xf numFmtId="179" fontId="14" fillId="0" borderId="285" xfId="2" applyNumberFormat="1" applyFont="1" applyBorder="1" applyAlignment="1" applyProtection="1">
      <alignment horizontal="right"/>
      <protection hidden="1"/>
    </xf>
    <xf numFmtId="179" fontId="14" fillId="0" borderId="277" xfId="2" applyNumberFormat="1" applyFont="1" applyBorder="1" applyAlignment="1" applyProtection="1">
      <alignment horizontal="right"/>
      <protection hidden="1"/>
    </xf>
    <xf numFmtId="0" fontId="11" fillId="0" borderId="25" xfId="3" applyFont="1" applyBorder="1" applyAlignment="1" applyProtection="1">
      <alignment horizontal="left" vertical="center"/>
      <protection hidden="1"/>
    </xf>
    <xf numFmtId="0" fontId="0" fillId="0" borderId="0" xfId="0" applyAlignment="1">
      <alignment horizontal="left" vertical="center"/>
    </xf>
    <xf numFmtId="0" fontId="0" fillId="0" borderId="256" xfId="0" applyBorder="1" applyAlignment="1">
      <alignment horizontal="left" vertical="center"/>
    </xf>
    <xf numFmtId="169" fontId="13" fillId="0" borderId="26" xfId="3" applyNumberFormat="1" applyFont="1" applyBorder="1" applyAlignment="1" applyProtection="1">
      <alignment horizontal="right" vertical="center"/>
      <protection hidden="1"/>
    </xf>
    <xf numFmtId="0" fontId="0" fillId="0" borderId="27" xfId="0" applyBorder="1" applyAlignment="1">
      <alignment horizontal="right" vertical="center"/>
    </xf>
    <xf numFmtId="0" fontId="0" fillId="0" borderId="28" xfId="0" applyBorder="1" applyAlignment="1">
      <alignment horizontal="right" vertical="center"/>
    </xf>
    <xf numFmtId="171" fontId="14" fillId="0" borderId="344" xfId="3" applyNumberFormat="1" applyFont="1" applyBorder="1" applyAlignment="1" applyProtection="1">
      <alignment horizontal="right"/>
      <protection hidden="1"/>
    </xf>
    <xf numFmtId="171" fontId="14" fillId="0" borderId="285" xfId="3" applyNumberFormat="1" applyFont="1" applyBorder="1" applyAlignment="1" applyProtection="1">
      <alignment horizontal="right"/>
      <protection hidden="1"/>
    </xf>
    <xf numFmtId="171" fontId="14" fillId="0" borderId="345" xfId="3" applyNumberFormat="1" applyFont="1" applyBorder="1" applyAlignment="1" applyProtection="1">
      <alignment horizontal="right"/>
      <protection hidden="1"/>
    </xf>
    <xf numFmtId="0" fontId="25" fillId="0" borderId="254" xfId="3" applyFont="1" applyBorder="1" applyAlignment="1" applyProtection="1">
      <alignment horizontal="left"/>
      <protection hidden="1"/>
    </xf>
    <xf numFmtId="0" fontId="25" fillId="0" borderId="255" xfId="3" applyFont="1" applyBorder="1" applyAlignment="1" applyProtection="1">
      <alignment horizontal="left"/>
      <protection hidden="1"/>
    </xf>
    <xf numFmtId="0" fontId="25" fillId="0" borderId="244" xfId="3" applyFont="1" applyBorder="1" applyAlignment="1" applyProtection="1">
      <alignment horizontal="left"/>
      <protection hidden="1"/>
    </xf>
    <xf numFmtId="0" fontId="13" fillId="0" borderId="328" xfId="3" applyFont="1" applyBorder="1" applyAlignment="1" applyProtection="1">
      <alignment horizontal="center"/>
      <protection hidden="1"/>
    </xf>
    <xf numFmtId="0" fontId="13" fillId="0" borderId="327" xfId="3" applyFont="1" applyBorder="1" applyAlignment="1" applyProtection="1">
      <alignment horizontal="center"/>
      <protection hidden="1"/>
    </xf>
    <xf numFmtId="0" fontId="13" fillId="0" borderId="329" xfId="3" applyFont="1" applyBorder="1" applyAlignment="1" applyProtection="1">
      <alignment horizontal="center"/>
      <protection hidden="1"/>
    </xf>
    <xf numFmtId="0" fontId="8" fillId="0" borderId="18" xfId="3" applyFont="1" applyBorder="1" applyAlignment="1" applyProtection="1">
      <alignment horizontal="center"/>
      <protection hidden="1"/>
    </xf>
    <xf numFmtId="0" fontId="8" fillId="0" borderId="19" xfId="3" applyFont="1" applyBorder="1" applyAlignment="1" applyProtection="1">
      <alignment horizontal="center"/>
      <protection hidden="1"/>
    </xf>
    <xf numFmtId="0" fontId="8" fillId="0" borderId="20" xfId="3" applyFont="1" applyBorder="1" applyAlignment="1" applyProtection="1">
      <alignment horizontal="center"/>
      <protection hidden="1"/>
    </xf>
    <xf numFmtId="0" fontId="8" fillId="0" borderId="18" xfId="3" applyFont="1" applyBorder="1" applyAlignment="1" applyProtection="1">
      <alignment horizontal="right"/>
      <protection hidden="1"/>
    </xf>
    <xf numFmtId="0" fontId="8" fillId="0" borderId="19" xfId="3" applyFont="1" applyBorder="1" applyAlignment="1" applyProtection="1">
      <alignment horizontal="right"/>
      <protection hidden="1"/>
    </xf>
    <xf numFmtId="0" fontId="8" fillId="0" borderId="20" xfId="3" applyFont="1" applyBorder="1" applyAlignment="1" applyProtection="1">
      <alignment horizontal="right"/>
      <protection hidden="1"/>
    </xf>
    <xf numFmtId="171" fontId="13" fillId="54" borderId="26" xfId="3" applyNumberFormat="1" applyFont="1" applyFill="1" applyBorder="1" applyAlignment="1" applyProtection="1">
      <alignment horizontal="right" vertical="center"/>
      <protection locked="0"/>
    </xf>
    <xf numFmtId="0" fontId="0" fillId="0" borderId="27" xfId="0" applyBorder="1" applyAlignment="1" applyProtection="1">
      <alignment horizontal="right" vertical="center"/>
      <protection locked="0"/>
    </xf>
    <xf numFmtId="0" fontId="0" fillId="0" borderId="28" xfId="0" applyBorder="1" applyAlignment="1" applyProtection="1">
      <alignment horizontal="right" vertical="center"/>
      <protection locked="0"/>
    </xf>
    <xf numFmtId="0" fontId="176" fillId="0" borderId="25" xfId="3" applyFont="1" applyBorder="1" applyAlignment="1" applyProtection="1">
      <alignment horizontal="left"/>
      <protection hidden="1"/>
    </xf>
    <xf numFmtId="0" fontId="176" fillId="0" borderId="0" xfId="3" applyFont="1" applyAlignment="1" applyProtection="1">
      <alignment horizontal="left"/>
      <protection hidden="1"/>
    </xf>
    <xf numFmtId="0" fontId="176" fillId="0" borderId="92" xfId="3" applyFont="1" applyBorder="1" applyAlignment="1" applyProtection="1">
      <alignment horizontal="left"/>
      <protection hidden="1"/>
    </xf>
    <xf numFmtId="0" fontId="13" fillId="0" borderId="25" xfId="3" applyFont="1" applyBorder="1" applyAlignment="1" applyProtection="1">
      <alignment horizontal="right" vertical="center"/>
      <protection hidden="1"/>
    </xf>
    <xf numFmtId="0" fontId="13" fillId="0" borderId="0" xfId="3" applyFont="1" applyAlignment="1" applyProtection="1">
      <alignment horizontal="right" vertical="center"/>
      <protection hidden="1"/>
    </xf>
    <xf numFmtId="0" fontId="13" fillId="0" borderId="256" xfId="3" applyFont="1" applyBorder="1" applyAlignment="1" applyProtection="1">
      <alignment horizontal="right" vertical="center"/>
      <protection hidden="1"/>
    </xf>
    <xf numFmtId="169" fontId="13" fillId="0" borderId="0" xfId="3" applyNumberFormat="1" applyFont="1" applyAlignment="1" applyProtection="1">
      <alignment horizontal="right" vertical="center"/>
      <protection hidden="1"/>
    </xf>
    <xf numFmtId="169" fontId="13" fillId="0" borderId="256" xfId="3" applyNumberFormat="1" applyFont="1" applyBorder="1" applyAlignment="1" applyProtection="1">
      <alignment horizontal="right" vertical="center"/>
      <protection hidden="1"/>
    </xf>
    <xf numFmtId="0" fontId="50" fillId="14" borderId="0" xfId="3" applyFont="1" applyFill="1" applyAlignment="1" applyProtection="1">
      <alignment horizontal="center"/>
      <protection hidden="1"/>
    </xf>
    <xf numFmtId="0" fontId="12" fillId="54" borderId="18" xfId="3" applyFont="1" applyFill="1" applyBorder="1" applyAlignment="1" applyProtection="1">
      <alignment horizontal="center" vertical="center" wrapText="1"/>
      <protection hidden="1"/>
    </xf>
    <xf numFmtId="0" fontId="12" fillId="0" borderId="88" xfId="3" applyFont="1" applyBorder="1" applyAlignment="1" applyProtection="1">
      <alignment horizontal="center" vertical="center"/>
      <protection hidden="1"/>
    </xf>
    <xf numFmtId="0" fontId="12" fillId="0" borderId="8" xfId="3" applyFont="1" applyBorder="1" applyAlignment="1" applyProtection="1">
      <alignment horizontal="center" vertical="center"/>
      <protection hidden="1"/>
    </xf>
    <xf numFmtId="0" fontId="12" fillId="0" borderId="29" xfId="3" applyFont="1" applyBorder="1" applyAlignment="1" applyProtection="1">
      <alignment horizontal="center" vertical="center"/>
      <protection hidden="1"/>
    </xf>
    <xf numFmtId="0" fontId="12" fillId="0" borderId="26" xfId="3" applyFont="1" applyBorder="1" applyAlignment="1" applyProtection="1">
      <alignment horizontal="center" vertical="center"/>
      <protection hidden="1"/>
    </xf>
    <xf numFmtId="172" fontId="12" fillId="0" borderId="13" xfId="3" applyNumberFormat="1" applyFont="1" applyBorder="1" applyAlignment="1" applyProtection="1">
      <alignment horizontal="right"/>
      <protection hidden="1"/>
    </xf>
    <xf numFmtId="172" fontId="12" fillId="0" borderId="15" xfId="3" applyNumberFormat="1" applyFont="1" applyBorder="1" applyAlignment="1" applyProtection="1">
      <alignment horizontal="right"/>
      <protection hidden="1"/>
    </xf>
    <xf numFmtId="49" fontId="5" fillId="0" borderId="0" xfId="3" applyNumberFormat="1" applyAlignment="1" applyProtection="1">
      <alignment horizontal="left"/>
      <protection hidden="1"/>
    </xf>
    <xf numFmtId="49" fontId="5" fillId="0" borderId="92" xfId="3" applyNumberFormat="1" applyBorder="1" applyAlignment="1" applyProtection="1">
      <alignment horizontal="left"/>
      <protection hidden="1"/>
    </xf>
    <xf numFmtId="0" fontId="11" fillId="0" borderId="0" xfId="3" applyFont="1" applyAlignment="1" applyProtection="1">
      <alignment horizontal="right"/>
      <protection hidden="1"/>
    </xf>
    <xf numFmtId="0" fontId="11" fillId="0" borderId="24" xfId="3" applyFont="1" applyBorder="1" applyAlignment="1" applyProtection="1">
      <alignment horizontal="right"/>
      <protection hidden="1"/>
    </xf>
    <xf numFmtId="201" fontId="13" fillId="0" borderId="254" xfId="3" applyNumberFormat="1" applyFont="1" applyBorder="1" applyAlignment="1" applyProtection="1">
      <alignment horizontal="right" vertical="center"/>
      <protection hidden="1"/>
    </xf>
    <xf numFmtId="201" fontId="13" fillId="0" borderId="255" xfId="3" applyNumberFormat="1" applyFont="1" applyBorder="1" applyAlignment="1" applyProtection="1">
      <alignment horizontal="right" vertical="center"/>
      <protection hidden="1"/>
    </xf>
    <xf numFmtId="201" fontId="13" fillId="0" borderId="244" xfId="3" applyNumberFormat="1" applyFont="1" applyBorder="1" applyAlignment="1" applyProtection="1">
      <alignment horizontal="right" vertical="center"/>
      <protection hidden="1"/>
    </xf>
    <xf numFmtId="0" fontId="5" fillId="0" borderId="35" xfId="3" applyBorder="1" applyAlignment="1" applyProtection="1">
      <alignment horizontal="center"/>
      <protection hidden="1"/>
    </xf>
    <xf numFmtId="0" fontId="5" fillId="0" borderId="36" xfId="3" applyBorder="1" applyAlignment="1" applyProtection="1">
      <alignment horizontal="center"/>
      <protection hidden="1"/>
    </xf>
    <xf numFmtId="0" fontId="5" fillId="0" borderId="111" xfId="3" applyBorder="1" applyAlignment="1" applyProtection="1">
      <alignment horizontal="center"/>
      <protection hidden="1"/>
    </xf>
    <xf numFmtId="0" fontId="5" fillId="0" borderId="63" xfId="3" applyBorder="1" applyAlignment="1" applyProtection="1">
      <alignment horizontal="center"/>
      <protection hidden="1"/>
    </xf>
    <xf numFmtId="205" fontId="13" fillId="0" borderId="254" xfId="3" applyNumberFormat="1" applyFont="1" applyBorder="1" applyAlignment="1" applyProtection="1">
      <alignment horizontal="right" vertical="center"/>
      <protection hidden="1"/>
    </xf>
    <xf numFmtId="205" fontId="13" fillId="0" borderId="255" xfId="3" applyNumberFormat="1" applyFont="1" applyBorder="1" applyAlignment="1" applyProtection="1">
      <alignment horizontal="right" vertical="center"/>
      <protection hidden="1"/>
    </xf>
    <xf numFmtId="205" fontId="13" fillId="0" borderId="244" xfId="3" applyNumberFormat="1" applyFont="1" applyBorder="1" applyAlignment="1" applyProtection="1">
      <alignment horizontal="right" vertical="center"/>
      <protection hidden="1"/>
    </xf>
    <xf numFmtId="0" fontId="5" fillId="0" borderId="18" xfId="3" applyBorder="1" applyAlignment="1" applyProtection="1">
      <alignment horizontal="center"/>
      <protection hidden="1"/>
    </xf>
    <xf numFmtId="0" fontId="5" fillId="0" borderId="19" xfId="3" applyBorder="1" applyAlignment="1" applyProtection="1">
      <alignment horizontal="center"/>
      <protection hidden="1"/>
    </xf>
    <xf numFmtId="0" fontId="5" fillId="0" borderId="20" xfId="3" applyBorder="1" applyAlignment="1" applyProtection="1">
      <alignment horizontal="center"/>
      <protection hidden="1"/>
    </xf>
    <xf numFmtId="201" fontId="5" fillId="0" borderId="281" xfId="3" applyNumberFormat="1" applyBorder="1" applyAlignment="1" applyProtection="1">
      <alignment horizontal="center"/>
      <protection hidden="1"/>
    </xf>
    <xf numFmtId="201" fontId="5" fillId="0" borderId="282" xfId="3" applyNumberFormat="1" applyBorder="1" applyAlignment="1" applyProtection="1">
      <alignment horizontal="center"/>
      <protection hidden="1"/>
    </xf>
    <xf numFmtId="201" fontId="5" fillId="0" borderId="283" xfId="3" applyNumberFormat="1" applyBorder="1" applyAlignment="1" applyProtection="1">
      <alignment horizontal="center"/>
      <protection hidden="1"/>
    </xf>
    <xf numFmtId="0" fontId="12" fillId="0" borderId="88" xfId="3" applyFont="1" applyBorder="1" applyAlignment="1" applyProtection="1">
      <alignment horizontal="center" vertical="center" wrapText="1"/>
      <protection hidden="1"/>
    </xf>
    <xf numFmtId="0" fontId="12" fillId="0" borderId="8" xfId="3" applyFont="1" applyBorder="1" applyAlignment="1" applyProtection="1">
      <alignment horizontal="center" vertical="center" wrapText="1"/>
      <protection hidden="1"/>
    </xf>
    <xf numFmtId="171" fontId="13" fillId="0" borderId="254" xfId="3" applyNumberFormat="1" applyFont="1" applyBorder="1" applyAlignment="1" applyProtection="1">
      <alignment horizontal="right" vertical="center"/>
      <protection hidden="1"/>
    </xf>
    <xf numFmtId="171" fontId="13" fillId="0" borderId="255" xfId="3" applyNumberFormat="1" applyFont="1" applyBorder="1" applyAlignment="1" applyProtection="1">
      <alignment horizontal="right" vertical="center"/>
      <protection hidden="1"/>
    </xf>
    <xf numFmtId="171" fontId="13" fillId="0" borderId="244" xfId="3" applyNumberFormat="1" applyFont="1" applyBorder="1" applyAlignment="1" applyProtection="1">
      <alignment horizontal="right" vertical="center"/>
      <protection hidden="1"/>
    </xf>
    <xf numFmtId="0" fontId="8" fillId="0" borderId="18" xfId="3" applyFont="1" applyBorder="1" applyAlignment="1" applyProtection="1">
      <alignment horizontal="left"/>
      <protection hidden="1"/>
    </xf>
    <xf numFmtId="0" fontId="8" fillId="0" borderId="19" xfId="3" applyFont="1" applyBorder="1" applyAlignment="1" applyProtection="1">
      <alignment horizontal="left"/>
      <protection hidden="1"/>
    </xf>
    <xf numFmtId="0" fontId="8" fillId="0" borderId="20" xfId="3" applyFont="1" applyBorder="1" applyAlignment="1" applyProtection="1">
      <alignment horizontal="left"/>
      <protection hidden="1"/>
    </xf>
    <xf numFmtId="0" fontId="10" fillId="0" borderId="0" xfId="3" applyFont="1" applyAlignment="1" applyProtection="1">
      <alignment horizontal="center" vertical="center"/>
      <protection hidden="1"/>
    </xf>
    <xf numFmtId="0" fontId="5" fillId="0" borderId="29" xfId="3" applyBorder="1" applyAlignment="1" applyProtection="1">
      <alignment horizontal="center"/>
      <protection hidden="1"/>
    </xf>
    <xf numFmtId="0" fontId="5" fillId="0" borderId="30" xfId="3" applyBorder="1" applyAlignment="1" applyProtection="1">
      <alignment horizontal="center"/>
      <protection hidden="1"/>
    </xf>
    <xf numFmtId="0" fontId="5" fillId="0" borderId="31" xfId="3" applyBorder="1" applyAlignment="1" applyProtection="1">
      <alignment horizontal="center"/>
      <protection hidden="1"/>
    </xf>
    <xf numFmtId="168" fontId="5" fillId="0" borderId="18" xfId="3" applyNumberFormat="1" applyBorder="1" applyAlignment="1" applyProtection="1">
      <alignment horizontal="center"/>
      <protection hidden="1"/>
    </xf>
    <xf numFmtId="168" fontId="5" fillId="0" borderId="19" xfId="3" applyNumberFormat="1" applyBorder="1" applyAlignment="1" applyProtection="1">
      <alignment horizontal="center"/>
      <protection hidden="1"/>
    </xf>
    <xf numFmtId="168" fontId="5" fillId="0" borderId="20" xfId="3" applyNumberFormat="1" applyBorder="1" applyAlignment="1" applyProtection="1">
      <alignment horizontal="center"/>
      <protection hidden="1"/>
    </xf>
    <xf numFmtId="167" fontId="18" fillId="0" borderId="32" xfId="3" applyNumberFormat="1" applyFont="1" applyBorder="1" applyAlignment="1" applyProtection="1">
      <alignment horizontal="center"/>
      <protection hidden="1"/>
    </xf>
    <xf numFmtId="167" fontId="18" fillId="0" borderId="33" xfId="3" applyNumberFormat="1" applyFont="1" applyBorder="1" applyAlignment="1" applyProtection="1">
      <alignment horizontal="center"/>
      <protection hidden="1"/>
    </xf>
    <xf numFmtId="167" fontId="18" fillId="0" borderId="34" xfId="3" applyNumberFormat="1" applyFont="1" applyBorder="1" applyAlignment="1" applyProtection="1">
      <alignment horizontal="center"/>
      <protection hidden="1"/>
    </xf>
    <xf numFmtId="0" fontId="18" fillId="0" borderId="103" xfId="3" applyFont="1" applyBorder="1" applyAlignment="1" applyProtection="1">
      <alignment horizontal="center"/>
      <protection hidden="1"/>
    </xf>
    <xf numFmtId="0" fontId="18" fillId="0" borderId="14" xfId="3" applyFont="1" applyBorder="1" applyAlignment="1" applyProtection="1">
      <alignment horizontal="center"/>
      <protection hidden="1"/>
    </xf>
    <xf numFmtId="0" fontId="18" fillId="0" borderId="102" xfId="3" applyFont="1" applyBorder="1" applyAlignment="1" applyProtection="1">
      <alignment horizontal="center"/>
      <protection hidden="1"/>
    </xf>
    <xf numFmtId="0" fontId="12" fillId="0" borderId="87" xfId="3" applyFont="1" applyBorder="1" applyAlignment="1" applyProtection="1">
      <alignment horizontal="center" vertical="center"/>
      <protection hidden="1"/>
    </xf>
    <xf numFmtId="0" fontId="12" fillId="0" borderId="91" xfId="3" applyFont="1" applyBorder="1" applyAlignment="1" applyProtection="1">
      <alignment horizontal="center" vertical="center"/>
      <protection hidden="1"/>
    </xf>
    <xf numFmtId="0" fontId="12" fillId="0" borderId="89" xfId="3" applyFont="1" applyBorder="1" applyAlignment="1" applyProtection="1">
      <alignment horizontal="center" vertical="center" wrapText="1"/>
      <protection hidden="1"/>
    </xf>
    <xf numFmtId="0" fontId="12" fillId="0" borderId="90" xfId="3" applyFont="1" applyBorder="1" applyAlignment="1" applyProtection="1">
      <alignment horizontal="center" vertical="center" wrapText="1"/>
      <protection hidden="1"/>
    </xf>
    <xf numFmtId="0" fontId="5" fillId="0" borderId="256" xfId="3" applyBorder="1" applyAlignment="1" applyProtection="1">
      <alignment horizontal="right"/>
      <protection hidden="1"/>
    </xf>
    <xf numFmtId="201" fontId="5" fillId="0" borderId="273" xfId="3" applyNumberFormat="1" applyBorder="1" applyAlignment="1" applyProtection="1">
      <alignment horizontal="center"/>
      <protection hidden="1"/>
    </xf>
    <xf numFmtId="201" fontId="5" fillId="0" borderId="274" xfId="3" applyNumberFormat="1" applyBorder="1" applyAlignment="1" applyProtection="1">
      <alignment horizontal="center"/>
      <protection hidden="1"/>
    </xf>
    <xf numFmtId="201" fontId="5" fillId="0" borderId="275" xfId="3" applyNumberFormat="1" applyBorder="1" applyAlignment="1" applyProtection="1">
      <alignment horizontal="center"/>
      <protection hidden="1"/>
    </xf>
    <xf numFmtId="201" fontId="14" fillId="0" borderId="25" xfId="3" applyNumberFormat="1" applyFont="1" applyBorder="1" applyAlignment="1" applyProtection="1">
      <alignment horizontal="right" vertical="center"/>
      <protection hidden="1"/>
    </xf>
    <xf numFmtId="201" fontId="14" fillId="0" borderId="0" xfId="3" applyNumberFormat="1" applyFont="1" applyAlignment="1" applyProtection="1">
      <alignment horizontal="right" vertical="center"/>
      <protection hidden="1"/>
    </xf>
    <xf numFmtId="201" fontId="14" fillId="0" borderId="330" xfId="3" applyNumberFormat="1" applyFont="1" applyBorder="1" applyAlignment="1" applyProtection="1">
      <alignment horizontal="right" vertical="center"/>
      <protection hidden="1"/>
    </xf>
    <xf numFmtId="0" fontId="5" fillId="0" borderId="29" xfId="3" applyBorder="1" applyAlignment="1" applyProtection="1">
      <alignment horizontal="left"/>
      <protection hidden="1"/>
    </xf>
    <xf numFmtId="193" fontId="18" fillId="0" borderId="18" xfId="3" applyNumberFormat="1" applyFont="1" applyBorder="1" applyAlignment="1" applyProtection="1">
      <alignment horizontal="center"/>
      <protection hidden="1"/>
    </xf>
    <xf numFmtId="193" fontId="18" fillId="0" borderId="19" xfId="3" applyNumberFormat="1" applyFont="1" applyBorder="1" applyAlignment="1" applyProtection="1">
      <alignment horizontal="center"/>
      <protection hidden="1"/>
    </xf>
    <xf numFmtId="0" fontId="6" fillId="0" borderId="18" xfId="3" applyFont="1" applyBorder="1" applyAlignment="1" applyProtection="1">
      <alignment horizontal="center"/>
      <protection hidden="1"/>
    </xf>
    <xf numFmtId="0" fontId="6" fillId="0" borderId="19" xfId="3" applyFont="1" applyBorder="1" applyAlignment="1" applyProtection="1">
      <alignment horizontal="center"/>
      <protection hidden="1"/>
    </xf>
    <xf numFmtId="0" fontId="6" fillId="0" borderId="20" xfId="3" applyFont="1" applyBorder="1" applyAlignment="1" applyProtection="1">
      <alignment horizontal="center"/>
      <protection hidden="1"/>
    </xf>
    <xf numFmtId="193" fontId="18" fillId="0" borderId="20" xfId="3" applyNumberFormat="1" applyFont="1" applyBorder="1" applyAlignment="1" applyProtection="1">
      <alignment horizontal="center"/>
      <protection hidden="1"/>
    </xf>
    <xf numFmtId="172" fontId="12" fillId="0" borderId="131" xfId="3" applyNumberFormat="1" applyFont="1" applyBorder="1" applyAlignment="1" applyProtection="1">
      <alignment horizontal="right"/>
      <protection hidden="1"/>
    </xf>
    <xf numFmtId="9" fontId="177" fillId="0" borderId="25" xfId="3" applyNumberFormat="1" applyFont="1" applyBorder="1" applyAlignment="1" applyProtection="1">
      <alignment horizontal="right"/>
      <protection hidden="1"/>
    </xf>
    <xf numFmtId="9" fontId="177" fillId="0" borderId="0" xfId="3" applyNumberFormat="1" applyFont="1" applyAlignment="1" applyProtection="1">
      <alignment horizontal="right"/>
      <protection hidden="1"/>
    </xf>
    <xf numFmtId="9" fontId="177" fillId="0" borderId="256" xfId="3" applyNumberFormat="1" applyFont="1" applyBorder="1" applyAlignment="1" applyProtection="1">
      <alignment horizontal="right"/>
      <protection hidden="1"/>
    </xf>
    <xf numFmtId="179" fontId="14" fillId="0" borderId="324" xfId="2" applyNumberFormat="1" applyFont="1" applyBorder="1" applyProtection="1">
      <protection hidden="1"/>
    </xf>
    <xf numFmtId="179" fontId="14" fillId="0" borderId="285" xfId="2" applyNumberFormat="1" applyFont="1" applyBorder="1" applyProtection="1">
      <protection hidden="1"/>
    </xf>
    <xf numFmtId="179" fontId="14" fillId="0" borderId="277" xfId="2" applyNumberFormat="1" applyFont="1" applyBorder="1" applyProtection="1">
      <protection hidden="1"/>
    </xf>
    <xf numFmtId="171" fontId="13" fillId="0" borderId="324" xfId="3" applyNumberFormat="1" applyFont="1" applyBorder="1" applyProtection="1">
      <protection hidden="1"/>
    </xf>
    <xf numFmtId="171" fontId="13" fillId="0" borderId="285" xfId="3" applyNumberFormat="1" applyFont="1" applyBorder="1" applyProtection="1">
      <protection hidden="1"/>
    </xf>
    <xf numFmtId="171" fontId="13" fillId="0" borderId="277" xfId="3" applyNumberFormat="1" applyFont="1" applyBorder="1" applyProtection="1">
      <protection hidden="1"/>
    </xf>
    <xf numFmtId="0" fontId="19" fillId="0" borderId="86" xfId="3" quotePrefix="1" applyFont="1" applyBorder="1" applyAlignment="1" applyProtection="1">
      <alignment horizontal="center" vertical="center" textRotation="255" shrinkToFit="1"/>
      <protection hidden="1"/>
    </xf>
    <xf numFmtId="0" fontId="19" fillId="0" borderId="61" xfId="3" quotePrefix="1" applyFont="1" applyBorder="1" applyAlignment="1" applyProtection="1">
      <alignment horizontal="center" vertical="center" textRotation="255" shrinkToFit="1"/>
      <protection hidden="1"/>
    </xf>
    <xf numFmtId="0" fontId="50" fillId="0" borderId="0" xfId="3" applyFont="1" applyAlignment="1" applyProtection="1">
      <alignment horizontal="left"/>
      <protection hidden="1"/>
    </xf>
    <xf numFmtId="0" fontId="12" fillId="0" borderId="244" xfId="3" applyFont="1" applyBorder="1" applyAlignment="1" applyProtection="1">
      <alignment horizontal="center" vertical="center"/>
      <protection hidden="1"/>
    </xf>
    <xf numFmtId="0" fontId="12" fillId="0" borderId="28" xfId="3" applyFont="1" applyBorder="1" applyAlignment="1" applyProtection="1">
      <alignment horizontal="center" vertical="center"/>
      <protection hidden="1"/>
    </xf>
    <xf numFmtId="0" fontId="12" fillId="54" borderId="206" xfId="3" applyFont="1" applyFill="1" applyBorder="1" applyAlignment="1" applyProtection="1">
      <alignment horizontal="center" vertical="center" wrapText="1"/>
      <protection hidden="1"/>
    </xf>
    <xf numFmtId="0" fontId="12" fillId="54" borderId="86" xfId="3" applyFont="1" applyFill="1" applyBorder="1" applyAlignment="1" applyProtection="1">
      <alignment horizontal="center" vertical="center" wrapText="1"/>
      <protection hidden="1"/>
    </xf>
    <xf numFmtId="0" fontId="12" fillId="54" borderId="61" xfId="3" applyFont="1" applyFill="1" applyBorder="1" applyAlignment="1" applyProtection="1">
      <alignment horizontal="center" vertical="center" wrapText="1"/>
      <protection hidden="1"/>
    </xf>
    <xf numFmtId="0" fontId="50" fillId="53" borderId="0" xfId="3" applyFont="1" applyFill="1" applyAlignment="1" applyProtection="1">
      <alignment horizontal="center" vertical="center"/>
      <protection locked="0"/>
    </xf>
    <xf numFmtId="14" fontId="17" fillId="53" borderId="0" xfId="3" applyNumberFormat="1" applyFont="1" applyFill="1" applyAlignment="1" applyProtection="1">
      <alignment horizontal="center"/>
      <protection locked="0"/>
    </xf>
    <xf numFmtId="14" fontId="5" fillId="53" borderId="0" xfId="3" applyNumberFormat="1" applyFill="1" applyAlignment="1" applyProtection="1">
      <alignment horizontal="center"/>
      <protection locked="0"/>
    </xf>
    <xf numFmtId="0" fontId="12" fillId="0" borderId="40" xfId="3" applyFont="1" applyBorder="1" applyAlignment="1" applyProtection="1">
      <alignment horizontal="center"/>
      <protection hidden="1"/>
    </xf>
    <xf numFmtId="0" fontId="87" fillId="53" borderId="26" xfId="3" applyFont="1" applyFill="1" applyBorder="1" applyAlignment="1" applyProtection="1">
      <alignment horizontal="center" vertical="center"/>
      <protection locked="0"/>
    </xf>
    <xf numFmtId="0" fontId="87" fillId="53" borderId="28" xfId="3" applyFont="1" applyFill="1" applyBorder="1" applyAlignment="1" applyProtection="1">
      <alignment horizontal="center" vertical="center"/>
      <protection locked="0"/>
    </xf>
    <xf numFmtId="165" fontId="5" fillId="0" borderId="281" xfId="2" applyBorder="1" applyAlignment="1" applyProtection="1">
      <alignment horizontal="center"/>
      <protection hidden="1"/>
    </xf>
    <xf numFmtId="165" fontId="5" fillId="0" borderId="283" xfId="2" applyBorder="1" applyAlignment="1" applyProtection="1">
      <alignment horizontal="center"/>
      <protection hidden="1"/>
    </xf>
    <xf numFmtId="169" fontId="14" fillId="0" borderId="25" xfId="3" applyNumberFormat="1" applyFont="1" applyBorder="1" applyAlignment="1" applyProtection="1">
      <alignment horizontal="right" vertical="center"/>
      <protection hidden="1"/>
    </xf>
    <xf numFmtId="169" fontId="14" fillId="0" borderId="0" xfId="3" applyNumberFormat="1" applyFont="1" applyAlignment="1" applyProtection="1">
      <alignment horizontal="right" vertical="center"/>
      <protection hidden="1"/>
    </xf>
    <xf numFmtId="169" fontId="14" fillId="0" borderId="330" xfId="3" applyNumberFormat="1" applyFont="1" applyBorder="1" applyAlignment="1" applyProtection="1">
      <alignment horizontal="right" vertical="center"/>
      <protection hidden="1"/>
    </xf>
    <xf numFmtId="0" fontId="15" fillId="0" borderId="11" xfId="3" applyFont="1" applyBorder="1" applyAlignment="1" applyProtection="1">
      <alignment horizontal="center"/>
      <protection hidden="1"/>
    </xf>
    <xf numFmtId="0" fontId="15" fillId="0" borderId="324" xfId="3" applyFont="1" applyBorder="1" applyAlignment="1" applyProtection="1">
      <alignment horizontal="center"/>
      <protection hidden="1"/>
    </xf>
    <xf numFmtId="171" fontId="13" fillId="53" borderId="25" xfId="3" applyNumberFormat="1" applyFont="1" applyFill="1" applyBorder="1" applyAlignment="1" applyProtection="1">
      <alignment horizontal="right" vertical="center"/>
      <protection locked="0"/>
    </xf>
    <xf numFmtId="0" fontId="20" fillId="0" borderId="284" xfId="3" quotePrefix="1" applyFont="1" applyBorder="1" applyAlignment="1" applyProtection="1">
      <alignment horizontal="center" vertical="center" textRotation="255" shrinkToFit="1"/>
      <protection hidden="1"/>
    </xf>
    <xf numFmtId="0" fontId="20" fillId="0" borderId="61" xfId="3" quotePrefix="1" applyFont="1" applyBorder="1" applyAlignment="1" applyProtection="1">
      <alignment horizontal="center" vertical="center" textRotation="255" shrinkToFit="1"/>
      <protection hidden="1"/>
    </xf>
    <xf numFmtId="0" fontId="19" fillId="0" borderId="284" xfId="3" applyFont="1" applyBorder="1" applyAlignment="1" applyProtection="1">
      <alignment horizontal="center" vertical="center" textRotation="255" shrinkToFit="1"/>
      <protection hidden="1"/>
    </xf>
    <xf numFmtId="0" fontId="19" fillId="0" borderId="93" xfId="3" applyFont="1" applyBorder="1" applyAlignment="1" applyProtection="1">
      <alignment horizontal="center" vertical="center" textRotation="255" shrinkToFit="1"/>
      <protection hidden="1"/>
    </xf>
    <xf numFmtId="0" fontId="19" fillId="0" borderId="61" xfId="3" applyFont="1" applyBorder="1" applyAlignment="1" applyProtection="1">
      <alignment horizontal="center" vertical="center" textRotation="255" shrinkToFit="1"/>
      <protection hidden="1"/>
    </xf>
    <xf numFmtId="0" fontId="11" fillId="0" borderId="0" xfId="3" applyFont="1" applyAlignment="1" applyProtection="1">
      <alignment horizontal="left" vertical="center"/>
      <protection hidden="1"/>
    </xf>
    <xf numFmtId="0" fontId="11" fillId="0" borderId="256" xfId="3" applyFont="1" applyBorder="1" applyAlignment="1" applyProtection="1">
      <alignment horizontal="left" vertical="center"/>
      <protection hidden="1"/>
    </xf>
    <xf numFmtId="0" fontId="11" fillId="0" borderId="26" xfId="3" applyFont="1"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11" fillId="0" borderId="29" xfId="3" applyFont="1" applyBorder="1" applyAlignment="1" applyProtection="1">
      <alignment horizontal="left"/>
      <protection hidden="1"/>
    </xf>
    <xf numFmtId="0" fontId="11" fillId="0" borderId="30" xfId="3" applyFont="1" applyBorder="1" applyAlignment="1" applyProtection="1">
      <alignment horizontal="left"/>
      <protection hidden="1"/>
    </xf>
    <xf numFmtId="0" fontId="11" fillId="0" borderId="31" xfId="3" applyFont="1" applyBorder="1" applyAlignment="1" applyProtection="1">
      <alignment horizontal="left"/>
      <protection hidden="1"/>
    </xf>
    <xf numFmtId="0" fontId="11" fillId="0" borderId="26" xfId="3" applyFont="1" applyBorder="1" applyAlignment="1" applyProtection="1">
      <alignment horizontal="left"/>
      <protection hidden="1"/>
    </xf>
    <xf numFmtId="0" fontId="11" fillId="0" borderId="27" xfId="3" applyFont="1" applyBorder="1" applyAlignment="1" applyProtection="1">
      <alignment horizontal="left"/>
      <protection hidden="1"/>
    </xf>
    <xf numFmtId="0" fontId="11" fillId="0" borderId="28" xfId="3" applyFont="1" applyBorder="1" applyAlignment="1" applyProtection="1">
      <alignment horizontal="left"/>
      <protection hidden="1"/>
    </xf>
    <xf numFmtId="0" fontId="5" fillId="0" borderId="256" xfId="3" applyBorder="1" applyAlignment="1" applyProtection="1">
      <alignment horizontal="left"/>
      <protection hidden="1"/>
    </xf>
    <xf numFmtId="205" fontId="13" fillId="0" borderId="256" xfId="3" applyNumberFormat="1" applyFont="1" applyBorder="1" applyAlignment="1" applyProtection="1">
      <alignment horizontal="right" vertical="center"/>
      <protection hidden="1"/>
    </xf>
    <xf numFmtId="0" fontId="5" fillId="0" borderId="25" xfId="3" applyBorder="1" applyAlignment="1" applyProtection="1">
      <alignment horizontal="right" vertical="center"/>
      <protection hidden="1"/>
    </xf>
    <xf numFmtId="0" fontId="5" fillId="0" borderId="256" xfId="3" applyBorder="1" applyAlignment="1" applyProtection="1">
      <alignment horizontal="right" vertical="center"/>
      <protection hidden="1"/>
    </xf>
    <xf numFmtId="0" fontId="57" fillId="0" borderId="284" xfId="3" quotePrefix="1" applyFont="1" applyBorder="1" applyAlignment="1" applyProtection="1">
      <alignment horizontal="center" textRotation="255" shrinkToFit="1"/>
      <protection hidden="1"/>
    </xf>
    <xf numFmtId="0" fontId="57" fillId="0" borderId="61" xfId="3" quotePrefix="1" applyFont="1" applyBorder="1" applyAlignment="1" applyProtection="1">
      <alignment horizontal="center" textRotation="255" shrinkToFit="1"/>
      <protection hidden="1"/>
    </xf>
    <xf numFmtId="0" fontId="11" fillId="53" borderId="29" xfId="3" applyFont="1" applyFill="1" applyBorder="1" applyAlignment="1" applyProtection="1">
      <alignment horizontal="left"/>
      <protection locked="0"/>
    </xf>
    <xf numFmtId="0" fontId="11" fillId="53" borderId="30" xfId="3" applyFont="1" applyFill="1" applyBorder="1" applyAlignment="1" applyProtection="1">
      <alignment horizontal="left"/>
      <protection locked="0"/>
    </xf>
    <xf numFmtId="0" fontId="11" fillId="53" borderId="31" xfId="3" applyFont="1" applyFill="1" applyBorder="1" applyAlignment="1" applyProtection="1">
      <alignment horizontal="left"/>
      <protection locked="0"/>
    </xf>
    <xf numFmtId="0" fontId="5" fillId="0" borderId="25" xfId="3" applyBorder="1" applyAlignment="1" applyProtection="1">
      <alignment horizontal="right"/>
      <protection hidden="1"/>
    </xf>
    <xf numFmtId="171" fontId="13" fillId="0" borderId="54" xfId="3" applyNumberFormat="1" applyFont="1" applyBorder="1" applyAlignment="1" applyProtection="1">
      <alignment horizontal="right"/>
      <protection hidden="1"/>
    </xf>
    <xf numFmtId="181" fontId="5" fillId="14" borderId="0" xfId="3" applyNumberFormat="1" applyFill="1" applyAlignment="1" applyProtection="1">
      <alignment horizontal="center"/>
      <protection hidden="1"/>
    </xf>
    <xf numFmtId="0" fontId="109" fillId="0" borderId="0" xfId="3" applyFont="1" applyAlignment="1" applyProtection="1">
      <alignment horizontal="center" vertical="center"/>
      <protection hidden="1"/>
    </xf>
    <xf numFmtId="0" fontId="109" fillId="0" borderId="141" xfId="3" applyFont="1" applyBorder="1" applyAlignment="1" applyProtection="1">
      <alignment horizontal="center" vertical="center"/>
      <protection hidden="1"/>
    </xf>
    <xf numFmtId="0" fontId="125" fillId="0" borderId="0" xfId="3" applyFont="1" applyAlignment="1" applyProtection="1">
      <alignment horizontal="right"/>
      <protection hidden="1"/>
    </xf>
    <xf numFmtId="0" fontId="36" fillId="0" borderId="281" xfId="3" applyFont="1" applyBorder="1" applyAlignment="1" applyProtection="1">
      <alignment horizontal="right" vertical="center"/>
      <protection hidden="1"/>
    </xf>
    <xf numFmtId="0" fontId="36" fillId="0" borderId="282" xfId="3" applyFont="1" applyBorder="1" applyAlignment="1" applyProtection="1">
      <alignment horizontal="right" vertical="center"/>
      <protection hidden="1"/>
    </xf>
    <xf numFmtId="0" fontId="36" fillId="0" borderId="283" xfId="3" applyFont="1" applyBorder="1" applyAlignment="1" applyProtection="1">
      <alignment horizontal="right" vertical="center"/>
      <protection hidden="1"/>
    </xf>
    <xf numFmtId="0" fontId="13" fillId="0" borderId="281" xfId="3" applyFont="1" applyBorder="1" applyAlignment="1" applyProtection="1">
      <alignment horizontal="right" vertical="center"/>
      <protection hidden="1"/>
    </xf>
    <xf numFmtId="0" fontId="13" fillId="0" borderId="282" xfId="3" applyFont="1" applyBorder="1" applyAlignment="1" applyProtection="1">
      <alignment horizontal="right" vertical="center"/>
      <protection hidden="1"/>
    </xf>
    <xf numFmtId="0" fontId="13" fillId="0" borderId="283" xfId="3" applyFont="1" applyBorder="1" applyAlignment="1" applyProtection="1">
      <alignment horizontal="right" vertical="center"/>
      <protection hidden="1"/>
    </xf>
    <xf numFmtId="0" fontId="36" fillId="0" borderId="284" xfId="3" applyFont="1" applyBorder="1" applyAlignment="1" applyProtection="1">
      <alignment horizontal="center" vertical="center" textRotation="90"/>
      <protection hidden="1"/>
    </xf>
    <xf numFmtId="0" fontId="36" fillId="0" borderId="110" xfId="3" applyFont="1" applyBorder="1" applyAlignment="1" applyProtection="1">
      <alignment horizontal="center" vertical="center" textRotation="90"/>
      <protection hidden="1"/>
    </xf>
    <xf numFmtId="0" fontId="36" fillId="0" borderId="61" xfId="3" applyFont="1" applyBorder="1" applyAlignment="1" applyProtection="1">
      <alignment horizontal="center" vertical="center" textRotation="90"/>
      <protection hidden="1"/>
    </xf>
    <xf numFmtId="0" fontId="13" fillId="0" borderId="203" xfId="3" applyFont="1" applyBorder="1" applyAlignment="1" applyProtection="1">
      <alignment horizontal="left"/>
      <protection hidden="1"/>
    </xf>
    <xf numFmtId="0" fontId="13" fillId="0" borderId="207" xfId="3" applyFont="1" applyBorder="1" applyAlignment="1" applyProtection="1">
      <alignment horizontal="left"/>
      <protection hidden="1"/>
    </xf>
    <xf numFmtId="0" fontId="13" fillId="0" borderId="211" xfId="3" applyFont="1" applyBorder="1" applyAlignment="1" applyProtection="1">
      <alignment horizontal="left"/>
      <protection hidden="1"/>
    </xf>
    <xf numFmtId="171" fontId="13" fillId="0" borderId="29" xfId="3" applyNumberFormat="1" applyFont="1" applyBorder="1" applyAlignment="1" applyProtection="1">
      <alignment horizontal="right"/>
      <protection hidden="1"/>
    </xf>
    <xf numFmtId="171" fontId="13" fillId="0" borderId="30" xfId="3" applyNumberFormat="1" applyFont="1" applyBorder="1" applyAlignment="1" applyProtection="1">
      <alignment horizontal="right"/>
      <protection hidden="1"/>
    </xf>
    <xf numFmtId="171" fontId="13" fillId="0" borderId="31" xfId="3" applyNumberFormat="1" applyFont="1" applyBorder="1" applyAlignment="1" applyProtection="1">
      <alignment horizontal="right"/>
      <protection hidden="1"/>
    </xf>
    <xf numFmtId="0" fontId="5" fillId="14" borderId="0" xfId="3" applyFill="1" applyAlignment="1" applyProtection="1">
      <alignment horizontal="center"/>
      <protection locked="0" hidden="1"/>
    </xf>
    <xf numFmtId="0" fontId="22" fillId="0" borderId="0" xfId="3" applyFont="1" applyAlignment="1" applyProtection="1">
      <alignment horizontal="center"/>
      <protection hidden="1"/>
    </xf>
    <xf numFmtId="0" fontId="13" fillId="53" borderId="0" xfId="2" applyNumberFormat="1" applyFont="1" applyFill="1" applyAlignment="1" applyProtection="1">
      <alignment horizontal="left"/>
      <protection locked="0"/>
    </xf>
    <xf numFmtId="1" fontId="5" fillId="14" borderId="0" xfId="3" applyNumberFormat="1" applyFill="1" applyAlignment="1" applyProtection="1">
      <alignment horizontal="center"/>
      <protection hidden="1"/>
    </xf>
    <xf numFmtId="0" fontId="5" fillId="14" borderId="0" xfId="3" applyFill="1" applyAlignment="1" applyProtection="1">
      <alignment horizontal="center"/>
      <protection hidden="1"/>
    </xf>
    <xf numFmtId="181" fontId="5" fillId="63" borderId="0" xfId="3" applyNumberFormat="1" applyFill="1" applyAlignment="1" applyProtection="1">
      <alignment horizontal="center"/>
      <protection locked="0"/>
    </xf>
    <xf numFmtId="201" fontId="5" fillId="53" borderId="0" xfId="3" applyNumberFormat="1" applyFill="1" applyAlignment="1" applyProtection="1">
      <alignment horizontal="center"/>
      <protection locked="0" hidden="1"/>
    </xf>
    <xf numFmtId="201" fontId="5" fillId="53" borderId="126" xfId="3" applyNumberFormat="1" applyFill="1" applyBorder="1" applyAlignment="1" applyProtection="1">
      <alignment horizontal="center"/>
      <protection locked="0" hidden="1"/>
    </xf>
    <xf numFmtId="0" fontId="22" fillId="0" borderId="0" xfId="3" quotePrefix="1" applyFont="1" applyAlignment="1" applyProtection="1">
      <alignment horizontal="center"/>
      <protection hidden="1"/>
    </xf>
    <xf numFmtId="171" fontId="13" fillId="0" borderId="17" xfId="3" applyNumberFormat="1" applyFont="1" applyBorder="1" applyAlignment="1" applyProtection="1">
      <alignment horizontal="center"/>
      <protection hidden="1"/>
    </xf>
    <xf numFmtId="173" fontId="13" fillId="0" borderId="17" xfId="2" applyNumberFormat="1" applyFont="1" applyBorder="1" applyAlignment="1" applyProtection="1">
      <alignment horizontal="center"/>
      <protection hidden="1"/>
    </xf>
    <xf numFmtId="0" fontId="21" fillId="0" borderId="95" xfId="3" applyFont="1" applyBorder="1" applyAlignment="1" applyProtection="1">
      <alignment horizontal="left"/>
      <protection hidden="1"/>
    </xf>
    <xf numFmtId="0" fontId="21" fillId="0" borderId="0" xfId="3" applyFont="1" applyAlignment="1" applyProtection="1">
      <alignment horizontal="left"/>
      <protection hidden="1"/>
    </xf>
    <xf numFmtId="173" fontId="13" fillId="54" borderId="17" xfId="2" applyNumberFormat="1" applyFont="1" applyFill="1" applyBorder="1" applyAlignment="1" applyProtection="1">
      <alignment horizontal="center" vertical="center"/>
      <protection locked="0" hidden="1"/>
    </xf>
    <xf numFmtId="171" fontId="135" fillId="0" borderId="212" xfId="3" applyNumberFormat="1" applyFont="1" applyBorder="1" applyAlignment="1" applyProtection="1">
      <alignment horizontal="left"/>
      <protection hidden="1"/>
    </xf>
    <xf numFmtId="171" fontId="135" fillId="0" borderId="213" xfId="3" applyNumberFormat="1" applyFont="1" applyBorder="1" applyAlignment="1" applyProtection="1">
      <alignment horizontal="left"/>
      <protection hidden="1"/>
    </xf>
    <xf numFmtId="171" fontId="135" fillId="0" borderId="214" xfId="3" applyNumberFormat="1" applyFont="1" applyBorder="1" applyAlignment="1" applyProtection="1">
      <alignment horizontal="left"/>
      <protection hidden="1"/>
    </xf>
    <xf numFmtId="171" fontId="134" fillId="0" borderId="212" xfId="3" applyNumberFormat="1" applyFont="1" applyBorder="1" applyAlignment="1" applyProtection="1">
      <alignment horizontal="left"/>
      <protection hidden="1"/>
    </xf>
    <xf numFmtId="171" fontId="134" fillId="0" borderId="213" xfId="3" applyNumberFormat="1" applyFont="1" applyBorder="1" applyAlignment="1" applyProtection="1">
      <alignment horizontal="left"/>
      <protection hidden="1"/>
    </xf>
    <xf numFmtId="171" fontId="134" fillId="0" borderId="214" xfId="3" applyNumberFormat="1" applyFont="1" applyBorder="1" applyAlignment="1" applyProtection="1">
      <alignment horizontal="left"/>
      <protection hidden="1"/>
    </xf>
    <xf numFmtId="0" fontId="157" fillId="0" borderId="0" xfId="3" applyFont="1" applyAlignment="1" applyProtection="1">
      <alignment horizontal="right" vertical="center"/>
      <protection hidden="1"/>
    </xf>
    <xf numFmtId="0" fontId="157" fillId="0" borderId="330" xfId="3" applyFont="1" applyBorder="1" applyAlignment="1" applyProtection="1">
      <alignment horizontal="right" vertical="center"/>
      <protection hidden="1"/>
    </xf>
    <xf numFmtId="177" fontId="5" fillId="0" borderId="18" xfId="3" applyNumberFormat="1" applyBorder="1" applyAlignment="1" applyProtection="1">
      <alignment horizontal="center"/>
      <protection hidden="1"/>
    </xf>
    <xf numFmtId="177" fontId="5" fillId="0" borderId="19" xfId="3" applyNumberFormat="1" applyBorder="1" applyAlignment="1" applyProtection="1">
      <alignment horizontal="center"/>
      <protection hidden="1"/>
    </xf>
    <xf numFmtId="177" fontId="5" fillId="0" borderId="20" xfId="3" applyNumberFormat="1" applyBorder="1" applyAlignment="1" applyProtection="1">
      <alignment horizontal="center"/>
      <protection hidden="1"/>
    </xf>
    <xf numFmtId="44" fontId="13" fillId="0" borderId="130" xfId="3" applyNumberFormat="1" applyFont="1" applyBorder="1" applyAlignment="1" applyProtection="1">
      <alignment horizontal="right"/>
      <protection hidden="1"/>
    </xf>
    <xf numFmtId="44" fontId="13" fillId="0" borderId="22" xfId="3" applyNumberFormat="1" applyFont="1" applyBorder="1" applyAlignment="1" applyProtection="1">
      <alignment horizontal="right"/>
      <protection hidden="1"/>
    </xf>
    <xf numFmtId="44" fontId="13" fillId="0" borderId="23" xfId="3" applyNumberFormat="1" applyFont="1" applyBorder="1" applyAlignment="1" applyProtection="1">
      <alignment horizontal="right"/>
      <protection hidden="1"/>
    </xf>
    <xf numFmtId="181" fontId="5" fillId="0" borderId="0" xfId="3" applyNumberFormat="1" applyAlignment="1" applyProtection="1">
      <alignment horizontal="center"/>
      <protection hidden="1"/>
    </xf>
    <xf numFmtId="177" fontId="5" fillId="53" borderId="17" xfId="3" applyNumberFormat="1" applyFill="1" applyBorder="1" applyAlignment="1" applyProtection="1">
      <alignment horizontal="center"/>
      <protection locked="0" hidden="1"/>
    </xf>
    <xf numFmtId="0" fontId="155" fillId="0" borderId="211" xfId="3" applyFont="1" applyBorder="1" applyAlignment="1" applyProtection="1">
      <alignment horizontal="center"/>
      <protection hidden="1"/>
    </xf>
    <xf numFmtId="0" fontId="155" fillId="0" borderId="205" xfId="3" applyFont="1" applyBorder="1" applyAlignment="1" applyProtection="1">
      <alignment horizontal="center"/>
      <protection hidden="1"/>
    </xf>
    <xf numFmtId="14" fontId="5" fillId="0" borderId="0" xfId="3" applyNumberFormat="1" applyAlignment="1" applyProtection="1">
      <alignment horizontal="left"/>
      <protection hidden="1"/>
    </xf>
    <xf numFmtId="44" fontId="5" fillId="53" borderId="17" xfId="3" applyNumberFormat="1" applyFill="1" applyBorder="1" applyAlignment="1" applyProtection="1">
      <alignment horizontal="center"/>
      <protection locked="0" hidden="1"/>
    </xf>
    <xf numFmtId="0" fontId="5" fillId="0" borderId="330" xfId="3" applyBorder="1" applyAlignment="1" applyProtection="1">
      <alignment horizontal="right" vertical="center"/>
      <protection hidden="1"/>
    </xf>
    <xf numFmtId="0" fontId="5" fillId="0" borderId="336" xfId="3" applyBorder="1" applyAlignment="1" applyProtection="1">
      <alignment horizontal="left"/>
      <protection locked="0"/>
    </xf>
    <xf numFmtId="0" fontId="5" fillId="0" borderId="337" xfId="3" applyBorder="1" applyAlignment="1" applyProtection="1">
      <alignment horizontal="left"/>
      <protection locked="0"/>
    </xf>
    <xf numFmtId="0" fontId="5" fillId="0" borderId="338" xfId="3" applyBorder="1" applyAlignment="1" applyProtection="1">
      <alignment horizontal="left"/>
      <protection locked="0"/>
    </xf>
    <xf numFmtId="0" fontId="5" fillId="0" borderId="26" xfId="3" applyBorder="1" applyAlignment="1" applyProtection="1">
      <alignment horizontal="right"/>
      <protection hidden="1"/>
    </xf>
    <xf numFmtId="0" fontId="5" fillId="0" borderId="27" xfId="3" applyBorder="1" applyAlignment="1" applyProtection="1">
      <alignment horizontal="right"/>
      <protection hidden="1"/>
    </xf>
    <xf numFmtId="0" fontId="5" fillId="0" borderId="28" xfId="3" applyBorder="1" applyAlignment="1" applyProtection="1">
      <alignment horizontal="right"/>
      <protection hidden="1"/>
    </xf>
    <xf numFmtId="0" fontId="107" fillId="0" borderId="0" xfId="3" quotePrefix="1" applyFont="1" applyAlignment="1" applyProtection="1">
      <alignment horizontal="left" vertical="center" wrapText="1"/>
      <protection hidden="1"/>
    </xf>
    <xf numFmtId="0" fontId="87" fillId="0" borderId="29" xfId="3" applyFont="1" applyBorder="1" applyAlignment="1" applyProtection="1">
      <alignment horizontal="center" vertical="center"/>
      <protection locked="0" hidden="1"/>
    </xf>
    <xf numFmtId="0" fontId="87" fillId="0" borderId="31" xfId="3" applyFont="1" applyBorder="1" applyAlignment="1" applyProtection="1">
      <alignment horizontal="center" vertical="center"/>
      <protection locked="0" hidden="1"/>
    </xf>
    <xf numFmtId="0" fontId="24" fillId="0" borderId="109" xfId="3" applyFont="1" applyBorder="1" applyAlignment="1" applyProtection="1">
      <alignment horizontal="left"/>
      <protection hidden="1"/>
    </xf>
    <xf numFmtId="0" fontId="24" fillId="0" borderId="5" xfId="3" applyFont="1" applyBorder="1" applyAlignment="1" applyProtection="1">
      <alignment horizontal="left"/>
      <protection hidden="1"/>
    </xf>
    <xf numFmtId="0" fontId="24" fillId="0" borderId="53" xfId="3" applyFont="1" applyBorder="1" applyAlignment="1" applyProtection="1">
      <alignment horizontal="left"/>
      <protection hidden="1"/>
    </xf>
    <xf numFmtId="0" fontId="25" fillId="0" borderId="256" xfId="3" applyFont="1" applyBorder="1" applyAlignment="1" applyProtection="1">
      <alignment horizontal="left"/>
      <protection hidden="1"/>
    </xf>
    <xf numFmtId="171" fontId="14" fillId="0" borderId="109" xfId="3" applyNumberFormat="1" applyFont="1" applyBorder="1" applyAlignment="1" applyProtection="1">
      <alignment horizontal="right"/>
      <protection hidden="1"/>
    </xf>
    <xf numFmtId="171" fontId="14" fillId="0" borderId="5" xfId="3" applyNumberFormat="1" applyFont="1" applyBorder="1" applyAlignment="1" applyProtection="1">
      <alignment horizontal="right"/>
      <protection hidden="1"/>
    </xf>
    <xf numFmtId="171" fontId="14" fillId="0" borderId="53" xfId="3" applyNumberFormat="1" applyFont="1" applyBorder="1" applyAlignment="1" applyProtection="1">
      <alignment horizontal="right"/>
      <protection hidden="1"/>
    </xf>
    <xf numFmtId="179" fontId="14" fillId="0" borderId="5" xfId="2" applyNumberFormat="1" applyFont="1" applyBorder="1" applyAlignment="1" applyProtection="1">
      <alignment horizontal="right"/>
      <protection hidden="1"/>
    </xf>
    <xf numFmtId="171" fontId="13" fillId="0" borderId="109" xfId="3" applyNumberFormat="1" applyFont="1" applyBorder="1" applyAlignment="1" applyProtection="1">
      <alignment horizontal="right"/>
      <protection hidden="1"/>
    </xf>
    <xf numFmtId="171" fontId="13" fillId="0" borderId="53" xfId="3" applyNumberFormat="1" applyFont="1" applyBorder="1" applyAlignment="1" applyProtection="1">
      <alignment horizontal="right"/>
      <protection hidden="1"/>
    </xf>
    <xf numFmtId="171" fontId="14" fillId="0" borderId="256" xfId="3" applyNumberFormat="1" applyFont="1" applyBorder="1" applyAlignment="1" applyProtection="1">
      <alignment horizontal="right"/>
      <protection hidden="1"/>
    </xf>
    <xf numFmtId="173" fontId="13" fillId="54" borderId="17" xfId="2" applyNumberFormat="1" applyFont="1" applyFill="1" applyBorder="1" applyAlignment="1" applyProtection="1">
      <alignment horizontal="center"/>
      <protection locked="0" hidden="1"/>
    </xf>
    <xf numFmtId="0" fontId="12" fillId="0" borderId="95" xfId="3" applyFont="1" applyBorder="1" applyAlignment="1" applyProtection="1">
      <alignment horizontal="right"/>
      <protection hidden="1"/>
    </xf>
    <xf numFmtId="0" fontId="12" fillId="0" borderId="0" xfId="3" applyFont="1" applyAlignment="1" applyProtection="1">
      <alignment horizontal="right"/>
      <protection hidden="1"/>
    </xf>
    <xf numFmtId="171" fontId="13" fillId="0" borderId="5" xfId="3" applyNumberFormat="1" applyFont="1" applyBorder="1" applyProtection="1">
      <protection hidden="1"/>
    </xf>
    <xf numFmtId="176" fontId="100" fillId="0" borderId="143" xfId="3" applyNumberFormat="1" applyFont="1" applyBorder="1" applyAlignment="1" applyProtection="1">
      <alignment horizontal="center" vertical="center"/>
      <protection hidden="1"/>
    </xf>
    <xf numFmtId="176" fontId="100" fillId="0" borderId="144" xfId="3" applyNumberFormat="1" applyFont="1" applyBorder="1" applyAlignment="1" applyProtection="1">
      <alignment horizontal="center" vertical="center"/>
      <protection hidden="1"/>
    </xf>
    <xf numFmtId="176" fontId="100" fillId="0" borderId="145" xfId="3" applyNumberFormat="1" applyFont="1" applyBorder="1" applyAlignment="1" applyProtection="1">
      <alignment horizontal="center" vertical="center"/>
      <protection hidden="1"/>
    </xf>
    <xf numFmtId="171" fontId="14" fillId="0" borderId="5" xfId="3" applyNumberFormat="1" applyFont="1" applyBorder="1" applyProtection="1">
      <protection hidden="1"/>
    </xf>
    <xf numFmtId="179" fontId="14" fillId="0" borderId="5" xfId="2" applyNumberFormat="1" applyFont="1" applyBorder="1" applyProtection="1">
      <protection hidden="1"/>
    </xf>
    <xf numFmtId="179" fontId="13" fillId="0" borderId="5" xfId="2" applyNumberFormat="1" applyFont="1" applyBorder="1" applyProtection="1">
      <protection hidden="1"/>
    </xf>
    <xf numFmtId="0" fontId="107" fillId="0" borderId="0" xfId="3" quotePrefix="1" applyFont="1" applyAlignment="1" applyProtection="1">
      <alignment horizontal="left" vertical="center"/>
      <protection hidden="1"/>
    </xf>
    <xf numFmtId="0" fontId="107" fillId="0" borderId="0" xfId="3" quotePrefix="1" applyFont="1" applyAlignment="1" applyProtection="1">
      <alignment horizontal="left" vertical="top"/>
      <protection hidden="1"/>
    </xf>
    <xf numFmtId="0" fontId="25" fillId="0" borderId="109" xfId="3" applyFont="1" applyBorder="1" applyAlignment="1" applyProtection="1">
      <alignment horizontal="left"/>
      <protection hidden="1"/>
    </xf>
    <xf numFmtId="0" fontId="25" fillId="0" borderId="5" xfId="3" applyFont="1" applyBorder="1" applyAlignment="1" applyProtection="1">
      <alignment horizontal="left"/>
      <protection hidden="1"/>
    </xf>
    <xf numFmtId="0" fontId="25" fillId="0" borderId="53" xfId="3" applyFont="1" applyBorder="1" applyAlignment="1" applyProtection="1">
      <alignment horizontal="left"/>
      <protection hidden="1"/>
    </xf>
    <xf numFmtId="0" fontId="13" fillId="0" borderId="5" xfId="3" applyFont="1" applyBorder="1" applyProtection="1">
      <protection hidden="1"/>
    </xf>
    <xf numFmtId="173" fontId="13" fillId="0" borderId="5" xfId="2" applyNumberFormat="1" applyFont="1" applyBorder="1" applyProtection="1">
      <protection hidden="1"/>
    </xf>
    <xf numFmtId="0" fontId="13" fillId="0" borderId="8" xfId="3" applyFont="1" applyBorder="1" applyProtection="1">
      <protection hidden="1"/>
    </xf>
    <xf numFmtId="171" fontId="13" fillId="0" borderId="39" xfId="3" applyNumberFormat="1" applyFont="1" applyBorder="1" applyAlignment="1" applyProtection="1">
      <alignment horizontal="right"/>
      <protection hidden="1"/>
    </xf>
    <xf numFmtId="171" fontId="13" fillId="0" borderId="55" xfId="3" applyNumberFormat="1" applyFont="1" applyBorder="1" applyAlignment="1" applyProtection="1">
      <alignment horizontal="right"/>
      <protection hidden="1"/>
    </xf>
    <xf numFmtId="179" fontId="13" fillId="0" borderId="5" xfId="2" applyNumberFormat="1" applyFont="1" applyBorder="1" applyAlignment="1" applyProtection="1">
      <alignment horizontal="right"/>
      <protection hidden="1"/>
    </xf>
    <xf numFmtId="0" fontId="14" fillId="0" borderId="256" xfId="3" applyFont="1" applyBorder="1" applyAlignment="1" applyProtection="1">
      <alignment horizontal="left"/>
      <protection hidden="1"/>
    </xf>
    <xf numFmtId="0" fontId="5" fillId="0" borderId="128" xfId="3" applyBorder="1" applyAlignment="1" applyProtection="1">
      <alignment horizontal="right"/>
      <protection hidden="1"/>
    </xf>
    <xf numFmtId="0" fontId="13" fillId="0" borderId="0" xfId="3" applyFont="1" applyAlignment="1" applyProtection="1">
      <alignment horizontal="right"/>
      <protection hidden="1"/>
    </xf>
    <xf numFmtId="14" fontId="5" fillId="0" borderId="0" xfId="3" applyNumberFormat="1" applyAlignment="1" applyProtection="1">
      <alignment horizontal="center"/>
      <protection hidden="1"/>
    </xf>
    <xf numFmtId="44" fontId="5" fillId="0" borderId="18" xfId="3" applyNumberFormat="1" applyBorder="1" applyAlignment="1" applyProtection="1">
      <alignment horizontal="center"/>
      <protection hidden="1"/>
    </xf>
    <xf numFmtId="8" fontId="13" fillId="0" borderId="0" xfId="3" applyNumberFormat="1" applyFont="1" applyAlignment="1" applyProtection="1">
      <alignment horizontal="right"/>
      <protection hidden="1"/>
    </xf>
    <xf numFmtId="181" fontId="13" fillId="0" borderId="0" xfId="3" applyNumberFormat="1" applyFont="1" applyAlignment="1" applyProtection="1">
      <alignment horizontal="right"/>
      <protection hidden="1"/>
    </xf>
    <xf numFmtId="0" fontId="16" fillId="0" borderId="0" xfId="3" applyFont="1" applyAlignment="1" applyProtection="1">
      <alignment horizontal="left"/>
      <protection hidden="1"/>
    </xf>
    <xf numFmtId="0" fontId="5" fillId="53" borderId="0" xfId="3" applyFill="1" applyAlignment="1" applyProtection="1">
      <alignment horizontal="left"/>
      <protection locked="0"/>
    </xf>
    <xf numFmtId="0" fontId="25" fillId="0" borderId="208" xfId="3" applyFont="1" applyBorder="1" applyAlignment="1" applyProtection="1">
      <alignment horizontal="left"/>
      <protection hidden="1"/>
    </xf>
    <xf numFmtId="0" fontId="25" fillId="0" borderId="326" xfId="3" applyFont="1" applyBorder="1" applyAlignment="1" applyProtection="1">
      <alignment horizontal="left"/>
      <protection hidden="1"/>
    </xf>
    <xf numFmtId="0" fontId="25" fillId="0" borderId="209" xfId="3" applyFont="1" applyBorder="1" applyAlignment="1" applyProtection="1">
      <alignment horizontal="left"/>
      <protection hidden="1"/>
    </xf>
    <xf numFmtId="171" fontId="13" fillId="53" borderId="0" xfId="2" applyNumberFormat="1" applyFont="1" applyFill="1" applyAlignment="1" applyProtection="1">
      <alignment horizontal="left"/>
      <protection locked="0"/>
    </xf>
    <xf numFmtId="0" fontId="156" fillId="0" borderId="0" xfId="0" applyFont="1" applyAlignment="1" applyProtection="1">
      <alignment horizontal="left" vertical="center"/>
      <protection hidden="1"/>
    </xf>
    <xf numFmtId="0" fontId="164" fillId="0" borderId="0" xfId="0" applyFont="1" applyAlignment="1" applyProtection="1">
      <alignment horizontal="center"/>
      <protection hidden="1"/>
    </xf>
    <xf numFmtId="0" fontId="18" fillId="0" borderId="0" xfId="0" applyFont="1" applyAlignment="1" applyProtection="1">
      <alignment horizontal="center"/>
      <protection hidden="1"/>
    </xf>
    <xf numFmtId="0" fontId="0" fillId="0" borderId="0" xfId="0" applyAlignment="1" applyProtection="1">
      <alignment horizontal="center"/>
      <protection hidden="1"/>
    </xf>
    <xf numFmtId="0" fontId="18" fillId="0" borderId="281" xfId="0" applyFont="1" applyBorder="1" applyAlignment="1" applyProtection="1">
      <alignment horizontal="right"/>
      <protection hidden="1"/>
    </xf>
    <xf numFmtId="0" fontId="18" fillId="0" borderId="282" xfId="0" applyFont="1" applyBorder="1" applyAlignment="1" applyProtection="1">
      <alignment horizontal="right"/>
      <protection hidden="1"/>
    </xf>
    <xf numFmtId="0" fontId="18" fillId="0" borderId="283" xfId="0" applyFont="1" applyBorder="1" applyAlignment="1" applyProtection="1">
      <alignment horizontal="right"/>
      <protection hidden="1"/>
    </xf>
    <xf numFmtId="0" fontId="55" fillId="0" borderId="0" xfId="0" applyFont="1" applyAlignment="1" applyProtection="1">
      <alignment horizontal="left" vertical="center" wrapText="1"/>
      <protection hidden="1"/>
    </xf>
    <xf numFmtId="0" fontId="52" fillId="0" borderId="112" xfId="0" applyFont="1" applyBorder="1" applyAlignment="1" applyProtection="1">
      <alignment horizontal="right" vertical="top"/>
      <protection hidden="1"/>
    </xf>
    <xf numFmtId="0" fontId="52" fillId="0" borderId="113" xfId="0" applyFont="1" applyBorder="1" applyAlignment="1" applyProtection="1">
      <alignment horizontal="right" vertical="top"/>
      <protection hidden="1"/>
    </xf>
    <xf numFmtId="0" fontId="52" fillId="0" borderId="114" xfId="0" applyFont="1" applyBorder="1" applyAlignment="1" applyProtection="1">
      <alignment horizontal="right" vertical="top"/>
      <protection hidden="1"/>
    </xf>
    <xf numFmtId="0" fontId="52" fillId="0" borderId="115" xfId="0" applyFont="1" applyBorder="1" applyAlignment="1" applyProtection="1">
      <alignment horizontal="right" vertical="top"/>
      <protection hidden="1"/>
    </xf>
    <xf numFmtId="0" fontId="52" fillId="0" borderId="116" xfId="0" applyFont="1" applyBorder="1" applyAlignment="1" applyProtection="1">
      <alignment horizontal="right" vertical="top"/>
      <protection hidden="1"/>
    </xf>
    <xf numFmtId="0" fontId="52" fillId="0" borderId="117" xfId="0" applyFont="1" applyBorder="1" applyAlignment="1" applyProtection="1">
      <alignment horizontal="right" vertical="top"/>
      <protection hidden="1"/>
    </xf>
    <xf numFmtId="0" fontId="0" fillId="0" borderId="292" xfId="0" applyBorder="1" applyAlignment="1" applyProtection="1">
      <alignment horizontal="center"/>
      <protection hidden="1"/>
    </xf>
    <xf numFmtId="0" fontId="0" fillId="0" borderId="0" xfId="0" applyAlignment="1" applyProtection="1">
      <alignment horizontal="right" wrapText="1"/>
      <protection hidden="1"/>
    </xf>
    <xf numFmtId="0" fontId="18" fillId="0" borderId="0" xfId="0" applyFont="1" applyAlignment="1" applyProtection="1">
      <alignment horizontal="right"/>
      <protection hidden="1"/>
    </xf>
    <xf numFmtId="0" fontId="29" fillId="16" borderId="0" xfId="0" applyFont="1" applyFill="1" applyAlignment="1" applyProtection="1">
      <alignment horizontal="right"/>
      <protection hidden="1"/>
    </xf>
    <xf numFmtId="0" fontId="21" fillId="0" borderId="25" xfId="0" applyFont="1" applyBorder="1" applyAlignment="1" applyProtection="1">
      <alignment horizontal="left" vertical="center"/>
      <protection hidden="1"/>
    </xf>
    <xf numFmtId="0" fontId="21" fillId="0" borderId="0" xfId="0" applyFont="1" applyAlignment="1" applyProtection="1">
      <alignment horizontal="left" vertical="center"/>
      <protection hidden="1"/>
    </xf>
    <xf numFmtId="0" fontId="21" fillId="0" borderId="293" xfId="0" applyFont="1" applyBorder="1" applyAlignment="1" applyProtection="1">
      <alignment horizontal="left" vertical="center"/>
      <protection hidden="1"/>
    </xf>
    <xf numFmtId="0" fontId="72" fillId="16" borderId="18" xfId="0" applyFont="1" applyFill="1" applyBorder="1" applyAlignment="1" applyProtection="1">
      <alignment horizontal="right"/>
      <protection hidden="1"/>
    </xf>
    <xf numFmtId="0" fontId="72" fillId="16" borderId="20" xfId="0" applyFont="1" applyFill="1" applyBorder="1" applyAlignment="1" applyProtection="1">
      <alignment horizontal="right"/>
      <protection hidden="1"/>
    </xf>
    <xf numFmtId="0" fontId="72" fillId="16" borderId="0" xfId="0" applyFont="1" applyFill="1" applyAlignment="1" applyProtection="1">
      <alignment horizontal="center" wrapText="1"/>
      <protection hidden="1"/>
    </xf>
    <xf numFmtId="0" fontId="29" fillId="16" borderId="292" xfId="0" applyFont="1" applyFill="1" applyBorder="1" applyAlignment="1" applyProtection="1">
      <alignment horizontal="right"/>
      <protection hidden="1"/>
    </xf>
    <xf numFmtId="0" fontId="0" fillId="0" borderId="292" xfId="0" applyBorder="1" applyAlignment="1" applyProtection="1">
      <alignment horizontal="right"/>
      <protection hidden="1"/>
    </xf>
    <xf numFmtId="0" fontId="0" fillId="0" borderId="0" xfId="0" applyAlignment="1" applyProtection="1">
      <alignment horizontal="right"/>
      <protection hidden="1"/>
    </xf>
    <xf numFmtId="0" fontId="29" fillId="16" borderId="17" xfId="0" applyFont="1" applyFill="1" applyBorder="1" applyAlignment="1" applyProtection="1">
      <alignment horizontal="right"/>
      <protection hidden="1"/>
    </xf>
    <xf numFmtId="0" fontId="29" fillId="16" borderId="18" xfId="0" applyFont="1" applyFill="1" applyBorder="1" applyAlignment="1" applyProtection="1">
      <alignment horizontal="right"/>
      <protection hidden="1"/>
    </xf>
    <xf numFmtId="0" fontId="29" fillId="16" borderId="19" xfId="0" applyFont="1" applyFill="1" applyBorder="1" applyAlignment="1" applyProtection="1">
      <alignment horizontal="right"/>
      <protection hidden="1"/>
    </xf>
    <xf numFmtId="0" fontId="29" fillId="16" borderId="20" xfId="0" applyFont="1" applyFill="1" applyBorder="1" applyAlignment="1" applyProtection="1">
      <alignment horizontal="right"/>
      <protection hidden="1"/>
    </xf>
    <xf numFmtId="0" fontId="0" fillId="0" borderId="17" xfId="0" applyBorder="1" applyAlignment="1" applyProtection="1">
      <alignment horizontal="right"/>
      <protection hidden="1"/>
    </xf>
    <xf numFmtId="0" fontId="18" fillId="0" borderId="17" xfId="0" applyFont="1" applyBorder="1" applyAlignment="1" applyProtection="1">
      <alignment horizontal="right"/>
      <protection hidden="1"/>
    </xf>
    <xf numFmtId="44" fontId="5" fillId="0" borderId="19" xfId="3" applyNumberFormat="1" applyBorder="1" applyAlignment="1" applyProtection="1">
      <alignment horizontal="center"/>
      <protection hidden="1"/>
    </xf>
    <xf numFmtId="44" fontId="5" fillId="0" borderId="20" xfId="3" applyNumberFormat="1" applyBorder="1" applyAlignment="1" applyProtection="1">
      <alignment horizontal="center"/>
      <protection hidden="1"/>
    </xf>
    <xf numFmtId="0" fontId="13" fillId="2" borderId="254" xfId="3" applyFont="1" applyFill="1" applyBorder="1" applyAlignment="1" applyProtection="1">
      <alignment horizontal="center"/>
      <protection hidden="1"/>
    </xf>
    <xf numFmtId="0" fontId="13" fillId="2" borderId="255" xfId="3" applyFont="1" applyFill="1" applyBorder="1" applyAlignment="1" applyProtection="1">
      <alignment horizontal="center"/>
      <protection hidden="1"/>
    </xf>
    <xf numFmtId="0" fontId="13" fillId="2" borderId="244" xfId="3" applyFont="1" applyFill="1" applyBorder="1" applyAlignment="1" applyProtection="1">
      <alignment horizontal="center"/>
      <protection hidden="1"/>
    </xf>
    <xf numFmtId="177" fontId="5" fillId="0" borderId="0" xfId="3" applyNumberFormat="1" applyAlignment="1" applyProtection="1">
      <alignment horizontal="center"/>
      <protection hidden="1"/>
    </xf>
    <xf numFmtId="177" fontId="5" fillId="0" borderId="92" xfId="3" applyNumberFormat="1" applyBorder="1" applyAlignment="1" applyProtection="1">
      <alignment horizontal="center"/>
      <protection hidden="1"/>
    </xf>
    <xf numFmtId="0" fontId="113" fillId="22" borderId="0" xfId="0" applyFont="1" applyFill="1" applyAlignment="1" applyProtection="1">
      <alignment horizontal="center"/>
      <protection hidden="1"/>
    </xf>
    <xf numFmtId="0" fontId="113" fillId="14" borderId="0" xfId="0" applyFont="1" applyFill="1" applyAlignment="1" applyProtection="1">
      <alignment horizontal="center"/>
      <protection hidden="1"/>
    </xf>
    <xf numFmtId="177" fontId="5" fillId="53" borderId="27" xfId="3" applyNumberFormat="1" applyFill="1" applyBorder="1" applyAlignment="1" applyProtection="1">
      <alignment horizontal="center"/>
      <protection locked="0" hidden="1"/>
    </xf>
    <xf numFmtId="0" fontId="5" fillId="53" borderId="27" xfId="3" applyFill="1" applyBorder="1" applyAlignment="1" applyProtection="1">
      <alignment horizontal="center"/>
      <protection locked="0" hidden="1"/>
    </xf>
    <xf numFmtId="0" fontId="5" fillId="0" borderId="0" xfId="3" applyAlignment="1" applyProtection="1">
      <alignment horizontal="center"/>
      <protection hidden="1"/>
    </xf>
    <xf numFmtId="0" fontId="5" fillId="0" borderId="92" xfId="3" applyBorder="1" applyAlignment="1" applyProtection="1">
      <alignment horizontal="center"/>
      <protection hidden="1"/>
    </xf>
    <xf numFmtId="177" fontId="5" fillId="0" borderId="27" xfId="3" applyNumberFormat="1" applyBorder="1" applyAlignment="1" applyProtection="1">
      <alignment horizontal="center"/>
      <protection hidden="1"/>
    </xf>
    <xf numFmtId="0" fontId="5" fillId="0" borderId="27" xfId="3" applyBorder="1" applyAlignment="1" applyProtection="1">
      <alignment horizontal="center"/>
      <protection hidden="1"/>
    </xf>
    <xf numFmtId="0" fontId="5" fillId="0" borderId="28" xfId="3" applyBorder="1" applyAlignment="1" applyProtection="1">
      <alignment horizontal="center"/>
      <protection hidden="1"/>
    </xf>
    <xf numFmtId="0" fontId="46" fillId="0" borderId="0" xfId="3" applyFont="1" applyAlignment="1" applyProtection="1">
      <alignment horizontal="left" vertical="center"/>
      <protection hidden="1"/>
    </xf>
    <xf numFmtId="0" fontId="164" fillId="0" borderId="0" xfId="3" applyFont="1" applyAlignment="1" applyProtection="1">
      <alignment horizontal="center"/>
      <protection hidden="1"/>
    </xf>
    <xf numFmtId="0" fontId="92" fillId="0" borderId="0" xfId="0" applyFont="1" applyAlignment="1" applyProtection="1">
      <alignment horizontal="right"/>
      <protection hidden="1"/>
    </xf>
    <xf numFmtId="0" fontId="93" fillId="0" borderId="0" xfId="0" applyFont="1" applyAlignment="1" applyProtection="1">
      <alignment horizontal="right"/>
      <protection hidden="1"/>
    </xf>
    <xf numFmtId="0" fontId="17" fillId="0" borderId="0" xfId="0" applyFont="1" applyAlignment="1" applyProtection="1">
      <alignment horizontal="right"/>
      <protection hidden="1"/>
    </xf>
    <xf numFmtId="0" fontId="94" fillId="0" borderId="0" xfId="0" applyFont="1" applyAlignment="1" applyProtection="1">
      <alignment horizontal="right"/>
      <protection hidden="1"/>
    </xf>
    <xf numFmtId="0" fontId="95" fillId="0" borderId="0" xfId="0" applyFont="1" applyAlignment="1" applyProtection="1">
      <alignment horizontal="right"/>
      <protection hidden="1"/>
    </xf>
    <xf numFmtId="44" fontId="18" fillId="43" borderId="0" xfId="0" applyNumberFormat="1" applyFont="1" applyFill="1" applyAlignment="1" applyProtection="1">
      <alignment horizontal="right"/>
      <protection hidden="1"/>
    </xf>
    <xf numFmtId="44" fontId="0" fillId="16" borderId="0" xfId="0" applyNumberFormat="1" applyFill="1" applyAlignment="1" applyProtection="1">
      <alignment horizontal="right"/>
      <protection hidden="1"/>
    </xf>
    <xf numFmtId="0" fontId="18" fillId="7" borderId="0" xfId="0" applyFont="1" applyFill="1" applyAlignment="1" applyProtection="1">
      <alignment horizontal="right" vertical="center" wrapText="1"/>
      <protection hidden="1"/>
    </xf>
    <xf numFmtId="0" fontId="0" fillId="7" borderId="0" xfId="0" applyFill="1" applyAlignment="1" applyProtection="1">
      <alignment horizontal="right"/>
      <protection hidden="1"/>
    </xf>
    <xf numFmtId="182" fontId="17" fillId="0" borderId="78" xfId="0" applyNumberFormat="1" applyFont="1" applyBorder="1" applyAlignment="1" applyProtection="1">
      <alignment horizontal="center"/>
      <protection hidden="1"/>
    </xf>
    <xf numFmtId="182" fontId="0" fillId="0" borderId="79" xfId="0" applyNumberFormat="1" applyBorder="1" applyAlignment="1" applyProtection="1">
      <alignment horizontal="center"/>
      <protection hidden="1"/>
    </xf>
    <xf numFmtId="182" fontId="18" fillId="8" borderId="78" xfId="0" applyNumberFormat="1" applyFont="1" applyFill="1" applyBorder="1" applyAlignment="1" applyProtection="1">
      <alignment horizontal="center"/>
      <protection hidden="1"/>
    </xf>
    <xf numFmtId="182" fontId="18" fillId="8" borderId="79" xfId="0" applyNumberFormat="1" applyFont="1" applyFill="1" applyBorder="1" applyAlignment="1" applyProtection="1">
      <alignment horizontal="center"/>
      <protection hidden="1"/>
    </xf>
    <xf numFmtId="182" fontId="18" fillId="8" borderId="80" xfId="0" applyNumberFormat="1" applyFont="1" applyFill="1" applyBorder="1" applyAlignment="1" applyProtection="1">
      <alignment horizontal="center"/>
      <protection hidden="1"/>
    </xf>
    <xf numFmtId="14" fontId="0" fillId="0" borderId="0" xfId="0" applyNumberFormat="1" applyAlignment="1" applyProtection="1">
      <alignment horizontal="center"/>
      <protection hidden="1"/>
    </xf>
    <xf numFmtId="0" fontId="0" fillId="0" borderId="203" xfId="0" applyBorder="1" applyAlignment="1" applyProtection="1">
      <alignment horizontal="center" vertical="center"/>
      <protection hidden="1"/>
    </xf>
    <xf numFmtId="0" fontId="0" fillId="0" borderId="211" xfId="0" applyBorder="1" applyAlignment="1" applyProtection="1">
      <alignment horizontal="center" vertical="center"/>
      <protection hidden="1"/>
    </xf>
    <xf numFmtId="0" fontId="129" fillId="53" borderId="26" xfId="0" applyFont="1" applyFill="1" applyBorder="1" applyAlignment="1" applyProtection="1">
      <alignment horizontal="center"/>
      <protection locked="0"/>
    </xf>
    <xf numFmtId="0" fontId="129" fillId="53" borderId="28" xfId="0" applyFont="1" applyFill="1" applyBorder="1" applyAlignment="1" applyProtection="1">
      <alignment horizontal="center"/>
      <protection locked="0"/>
    </xf>
    <xf numFmtId="0" fontId="47" fillId="0" borderId="0" xfId="0" applyFont="1" applyAlignment="1" applyProtection="1">
      <alignment horizontal="center"/>
      <protection hidden="1"/>
    </xf>
    <xf numFmtId="0" fontId="18" fillId="53" borderId="0" xfId="0" applyFont="1" applyFill="1" applyAlignment="1" applyProtection="1">
      <alignment horizontal="center"/>
      <protection locked="0"/>
    </xf>
    <xf numFmtId="0" fontId="0" fillId="0" borderId="203" xfId="0" applyBorder="1" applyAlignment="1" applyProtection="1">
      <alignment horizontal="center"/>
      <protection hidden="1"/>
    </xf>
    <xf numFmtId="0" fontId="0" fillId="0" borderId="211" xfId="0" applyBorder="1" applyAlignment="1" applyProtection="1">
      <alignment horizontal="center"/>
      <protection hidden="1"/>
    </xf>
    <xf numFmtId="0" fontId="18" fillId="0" borderId="25" xfId="0" applyFont="1" applyBorder="1" applyAlignment="1" applyProtection="1">
      <alignment horizontal="center"/>
      <protection hidden="1"/>
    </xf>
    <xf numFmtId="0" fontId="18" fillId="0" borderId="210" xfId="0" applyFont="1" applyBorder="1" applyAlignment="1" applyProtection="1">
      <alignment horizontal="center"/>
      <protection hidden="1"/>
    </xf>
    <xf numFmtId="0" fontId="18" fillId="0" borderId="210" xfId="0" applyFont="1" applyBorder="1" applyAlignment="1" applyProtection="1">
      <alignment horizontal="right" vertical="center"/>
      <protection hidden="1"/>
    </xf>
    <xf numFmtId="0" fontId="41" fillId="0" borderId="25" xfId="0" applyFont="1" applyBorder="1" applyAlignment="1" applyProtection="1">
      <alignment horizontal="center" vertical="center" wrapText="1"/>
      <protection hidden="1"/>
    </xf>
    <xf numFmtId="0" fontId="41" fillId="0" borderId="0" xfId="0" applyFont="1" applyAlignment="1" applyProtection="1">
      <alignment horizontal="center" vertical="center" wrapText="1"/>
      <protection hidden="1"/>
    </xf>
    <xf numFmtId="0" fontId="0" fillId="0" borderId="256" xfId="0" applyBorder="1" applyAlignment="1" applyProtection="1">
      <alignment horizontal="right"/>
      <protection hidden="1"/>
    </xf>
    <xf numFmtId="44" fontId="0" fillId="0" borderId="284" xfId="0" applyNumberFormat="1" applyBorder="1" applyAlignment="1" applyProtection="1">
      <alignment horizontal="center" vertical="center" wrapText="1"/>
      <protection hidden="1"/>
    </xf>
    <xf numFmtId="44" fontId="0" fillId="0" borderId="61" xfId="0" applyNumberFormat="1" applyBorder="1" applyAlignment="1" applyProtection="1">
      <alignment horizontal="center" vertical="center" wrapText="1"/>
      <protection hidden="1"/>
    </xf>
    <xf numFmtId="171" fontId="0" fillId="63" borderId="284" xfId="1" applyFont="1" applyFill="1" applyBorder="1" applyAlignment="1" applyProtection="1">
      <alignment horizontal="center" vertical="center"/>
      <protection locked="0"/>
    </xf>
    <xf numFmtId="171" fontId="0" fillId="63" borderId="61" xfId="1" applyFont="1" applyFill="1" applyBorder="1" applyAlignment="1" applyProtection="1">
      <alignment horizontal="center" vertical="center"/>
      <protection locked="0"/>
    </xf>
    <xf numFmtId="0" fontId="0" fillId="0" borderId="20" xfId="0" applyBorder="1" applyAlignment="1" applyProtection="1">
      <alignment horizontal="center" vertical="center" wrapText="1"/>
      <protection hidden="1"/>
    </xf>
    <xf numFmtId="0" fontId="0" fillId="0" borderId="31"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86" xfId="0" applyBorder="1" applyAlignment="1" applyProtection="1">
      <alignment horizontal="center" vertical="center" wrapText="1"/>
      <protection hidden="1"/>
    </xf>
    <xf numFmtId="0" fontId="0" fillId="0" borderId="18" xfId="0" applyBorder="1" applyAlignment="1" applyProtection="1">
      <alignment horizontal="center" vertical="center" wrapText="1"/>
      <protection hidden="1"/>
    </xf>
    <xf numFmtId="0" fontId="0" fillId="0" borderId="29" xfId="0" applyBorder="1" applyAlignment="1" applyProtection="1">
      <alignment horizontal="center" vertical="center" wrapText="1"/>
      <protection hidden="1"/>
    </xf>
    <xf numFmtId="0" fontId="52" fillId="0" borderId="112" xfId="0" applyFont="1" applyBorder="1" applyAlignment="1" applyProtection="1">
      <alignment horizontal="right"/>
      <protection hidden="1"/>
    </xf>
    <xf numFmtId="0" fontId="52" fillId="0" borderId="113" xfId="0" applyFont="1" applyBorder="1" applyAlignment="1" applyProtection="1">
      <alignment horizontal="right"/>
      <protection hidden="1"/>
    </xf>
    <xf numFmtId="0" fontId="52" fillId="0" borderId="114" xfId="0" applyFont="1" applyBorder="1" applyAlignment="1" applyProtection="1">
      <alignment horizontal="right"/>
      <protection hidden="1"/>
    </xf>
    <xf numFmtId="0" fontId="18" fillId="0" borderId="18" xfId="0" applyFont="1" applyBorder="1" applyAlignment="1" applyProtection="1">
      <alignment horizontal="right"/>
      <protection hidden="1"/>
    </xf>
    <xf numFmtId="0" fontId="18" fillId="0" borderId="19" xfId="0" applyFont="1" applyBorder="1" applyAlignment="1" applyProtection="1">
      <alignment horizontal="right"/>
      <protection hidden="1"/>
    </xf>
    <xf numFmtId="0" fontId="18" fillId="0" borderId="20" xfId="0" applyFont="1" applyBorder="1" applyAlignment="1" applyProtection="1">
      <alignment horizontal="right"/>
      <protection hidden="1"/>
    </xf>
    <xf numFmtId="0" fontId="0" fillId="10" borderId="18" xfId="0" applyFill="1" applyBorder="1" applyAlignment="1" applyProtection="1">
      <alignment horizontal="center"/>
      <protection hidden="1"/>
    </xf>
    <xf numFmtId="0" fontId="0" fillId="10" borderId="19" xfId="0" applyFill="1" applyBorder="1" applyAlignment="1" applyProtection="1">
      <alignment horizontal="center"/>
      <protection hidden="1"/>
    </xf>
    <xf numFmtId="0" fontId="0" fillId="10" borderId="20" xfId="0" applyFill="1" applyBorder="1" applyAlignment="1" applyProtection="1">
      <alignment horizontal="center"/>
      <protection hidden="1"/>
    </xf>
    <xf numFmtId="0" fontId="0" fillId="9" borderId="18" xfId="0" applyFill="1" applyBorder="1" applyAlignment="1" applyProtection="1">
      <alignment horizontal="center"/>
      <protection hidden="1"/>
    </xf>
    <xf numFmtId="0" fontId="0" fillId="9" borderId="19" xfId="0" applyFill="1" applyBorder="1" applyAlignment="1" applyProtection="1">
      <alignment horizontal="center"/>
      <protection hidden="1"/>
    </xf>
    <xf numFmtId="0" fontId="0" fillId="9" borderId="20" xfId="0" applyFill="1" applyBorder="1" applyAlignment="1" applyProtection="1">
      <alignment horizontal="center"/>
      <protection hidden="1"/>
    </xf>
    <xf numFmtId="0" fontId="18" fillId="0" borderId="18" xfId="0" applyFont="1" applyBorder="1" applyAlignment="1" applyProtection="1">
      <alignment horizontal="center"/>
      <protection hidden="1"/>
    </xf>
    <xf numFmtId="0" fontId="18" fillId="0" borderId="19" xfId="0" applyFont="1" applyBorder="1" applyAlignment="1" applyProtection="1">
      <alignment horizontal="center"/>
      <protection hidden="1"/>
    </xf>
    <xf numFmtId="0" fontId="18" fillId="0" borderId="20" xfId="0" applyFont="1" applyBorder="1" applyAlignment="1" applyProtection="1">
      <alignment horizontal="center"/>
      <protection hidden="1"/>
    </xf>
    <xf numFmtId="210" fontId="0" fillId="53" borderId="26" xfId="0" applyNumberFormat="1" applyFill="1" applyBorder="1" applyAlignment="1" applyProtection="1">
      <alignment horizontal="center"/>
      <protection locked="0"/>
    </xf>
    <xf numFmtId="210" fontId="0" fillId="53" borderId="28" xfId="0" applyNumberFormat="1" applyFill="1" applyBorder="1" applyAlignment="1" applyProtection="1">
      <alignment horizontal="center"/>
      <protection locked="0"/>
    </xf>
    <xf numFmtId="0" fontId="0" fillId="53" borderId="27" xfId="0" applyFill="1" applyBorder="1" applyAlignment="1" applyProtection="1">
      <alignment horizontal="left"/>
      <protection locked="0"/>
    </xf>
    <xf numFmtId="0" fontId="0" fillId="53" borderId="28" xfId="0" applyFill="1" applyBorder="1" applyAlignment="1" applyProtection="1">
      <alignment horizontal="left"/>
      <protection locked="0"/>
    </xf>
    <xf numFmtId="210" fontId="0" fillId="53" borderId="25" xfId="0" applyNumberFormat="1" applyFill="1" applyBorder="1" applyAlignment="1" applyProtection="1">
      <alignment horizontal="center"/>
      <protection locked="0"/>
    </xf>
    <xf numFmtId="210" fontId="0" fillId="53" borderId="92" xfId="0" applyNumberFormat="1" applyFill="1" applyBorder="1" applyAlignment="1" applyProtection="1">
      <alignment horizontal="center"/>
      <protection locked="0"/>
    </xf>
    <xf numFmtId="0" fontId="0" fillId="0" borderId="92" xfId="0" applyBorder="1" applyAlignment="1" applyProtection="1">
      <alignment horizontal="left"/>
      <protection hidden="1"/>
    </xf>
    <xf numFmtId="0" fontId="0" fillId="53" borderId="0" xfId="0" applyFill="1" applyAlignment="1" applyProtection="1">
      <alignment horizontal="left"/>
      <protection locked="0"/>
    </xf>
    <xf numFmtId="0" fontId="0" fillId="53" borderId="92" xfId="0" applyFill="1" applyBorder="1" applyAlignment="1" applyProtection="1">
      <alignment horizontal="left"/>
      <protection locked="0"/>
    </xf>
    <xf numFmtId="210" fontId="0" fillId="0" borderId="25" xfId="0" applyNumberFormat="1" applyBorder="1" applyAlignment="1" applyProtection="1">
      <alignment horizontal="center"/>
      <protection hidden="1"/>
    </xf>
    <xf numFmtId="210" fontId="0" fillId="0" borderId="92" xfId="0" applyNumberFormat="1" applyBorder="1" applyAlignment="1" applyProtection="1">
      <alignment horizontal="center"/>
      <protection hidden="1"/>
    </xf>
    <xf numFmtId="0" fontId="150" fillId="0" borderId="0" xfId="0" applyFont="1" applyAlignment="1" applyProtection="1">
      <alignment horizontal="left" vertical="center"/>
      <protection hidden="1"/>
    </xf>
    <xf numFmtId="0" fontId="150" fillId="0" borderId="27" xfId="0" applyFont="1" applyBorder="1" applyAlignment="1" applyProtection="1">
      <alignment horizontal="left" vertical="center"/>
      <protection hidden="1"/>
    </xf>
    <xf numFmtId="0" fontId="0" fillId="53" borderId="0" xfId="0" applyFill="1" applyAlignment="1" applyProtection="1">
      <alignment horizontal="center"/>
      <protection locked="0"/>
    </xf>
    <xf numFmtId="176" fontId="0" fillId="0" borderId="104" xfId="0" applyNumberFormat="1" applyBorder="1" applyAlignment="1" applyProtection="1">
      <alignment horizontal="center"/>
      <protection hidden="1"/>
    </xf>
    <xf numFmtId="174" fontId="0" fillId="0" borderId="104" xfId="0" applyNumberFormat="1" applyBorder="1" applyAlignment="1" applyProtection="1">
      <alignment horizontal="center"/>
      <protection hidden="1"/>
    </xf>
    <xf numFmtId="0" fontId="0" fillId="53" borderId="104" xfId="0" applyFill="1" applyBorder="1" applyAlignment="1" applyProtection="1">
      <alignment horizontal="left" vertical="center" wrapText="1"/>
      <protection locked="0"/>
    </xf>
    <xf numFmtId="0" fontId="0" fillId="53" borderId="106" xfId="0" applyFill="1" applyBorder="1" applyAlignment="1" applyProtection="1">
      <alignment horizontal="left" vertical="center" wrapText="1"/>
      <protection locked="0"/>
    </xf>
    <xf numFmtId="176" fontId="118" fillId="53" borderId="115" xfId="0" applyNumberFormat="1" applyFont="1" applyFill="1" applyBorder="1" applyAlignment="1" applyProtection="1">
      <alignment horizontal="center"/>
      <protection locked="0"/>
    </xf>
    <xf numFmtId="176" fontId="118" fillId="53" borderId="117" xfId="0" applyNumberFormat="1" applyFont="1" applyFill="1" applyBorder="1" applyAlignment="1" applyProtection="1">
      <alignment horizontal="center"/>
      <protection locked="0"/>
    </xf>
    <xf numFmtId="174" fontId="118" fillId="53" borderId="106" xfId="0" applyNumberFormat="1" applyFont="1" applyFill="1" applyBorder="1" applyAlignment="1" applyProtection="1">
      <alignment horizontal="center"/>
      <protection locked="0"/>
    </xf>
    <xf numFmtId="0" fontId="0" fillId="0" borderId="104"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192" fillId="0" borderId="0" xfId="0" applyFont="1" applyAlignment="1" applyProtection="1">
      <alignment horizontal="center"/>
      <protection hidden="1"/>
    </xf>
    <xf numFmtId="0" fontId="0" fillId="0" borderId="0" xfId="0" applyAlignment="1">
      <alignment horizontal="left"/>
    </xf>
    <xf numFmtId="0" fontId="0" fillId="0" borderId="0" xfId="0" applyAlignment="1" applyProtection="1">
      <alignment horizontal="center" vertical="center" wrapText="1"/>
      <protection hidden="1"/>
    </xf>
    <xf numFmtId="0" fontId="0" fillId="0" borderId="112" xfId="0" applyBorder="1" applyAlignment="1" applyProtection="1">
      <alignment horizontal="center" vertical="center"/>
      <protection hidden="1"/>
    </xf>
    <xf numFmtId="0" fontId="0" fillId="0" borderId="114" xfId="0" applyBorder="1" applyAlignment="1" applyProtection="1">
      <alignment horizontal="center" vertical="center"/>
      <protection hidden="1"/>
    </xf>
    <xf numFmtId="0" fontId="0" fillId="0" borderId="113" xfId="0" applyBorder="1" applyAlignment="1" applyProtection="1">
      <alignment horizontal="center" vertical="center" wrapText="1"/>
      <protection hidden="1"/>
    </xf>
    <xf numFmtId="0" fontId="0" fillId="0" borderId="116" xfId="0" applyBorder="1" applyAlignment="1" applyProtection="1">
      <alignment horizontal="center" vertical="center" wrapText="1"/>
      <protection hidden="1"/>
    </xf>
    <xf numFmtId="0" fontId="0" fillId="0" borderId="112" xfId="0" applyBorder="1" applyAlignment="1" applyProtection="1">
      <alignment horizontal="center" vertical="center" wrapText="1"/>
      <protection hidden="1"/>
    </xf>
    <xf numFmtId="0" fontId="0" fillId="0" borderId="114"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0" fontId="0" fillId="0" borderId="117" xfId="0" applyBorder="1" applyAlignment="1" applyProtection="1">
      <alignment horizontal="center" vertical="center" wrapText="1"/>
      <protection hidden="1"/>
    </xf>
    <xf numFmtId="0" fontId="0" fillId="0" borderId="0" xfId="0" applyAlignment="1">
      <alignment horizontal="right" wrapText="1"/>
    </xf>
    <xf numFmtId="0" fontId="145" fillId="0" borderId="0" xfId="0" applyFont="1" applyAlignment="1" applyProtection="1">
      <alignment horizontal="center"/>
      <protection hidden="1"/>
    </xf>
    <xf numFmtId="176" fontId="0" fillId="0" borderId="112" xfId="0" applyNumberFormat="1" applyBorder="1" applyAlignment="1" applyProtection="1">
      <alignment horizontal="center"/>
      <protection hidden="1"/>
    </xf>
    <xf numFmtId="176" fontId="0" fillId="0" borderId="113" xfId="0" applyNumberFormat="1" applyBorder="1" applyAlignment="1" applyProtection="1">
      <alignment horizontal="center"/>
      <protection hidden="1"/>
    </xf>
    <xf numFmtId="176" fontId="0" fillId="0" borderId="114" xfId="0" applyNumberFormat="1" applyBorder="1" applyAlignment="1" applyProtection="1">
      <alignment horizontal="center"/>
      <protection hidden="1"/>
    </xf>
    <xf numFmtId="0" fontId="0" fillId="0" borderId="0" xfId="0" applyAlignment="1" applyProtection="1">
      <alignment horizontal="left" vertical="center" wrapText="1"/>
      <protection locked="0"/>
    </xf>
    <xf numFmtId="14" fontId="118" fillId="53" borderId="106" xfId="0" applyNumberFormat="1" applyFont="1" applyFill="1" applyBorder="1" applyAlignment="1" applyProtection="1">
      <alignment horizontal="center"/>
      <protection locked="0"/>
    </xf>
    <xf numFmtId="176" fontId="118" fillId="53" borderId="106" xfId="0" applyNumberFormat="1" applyFont="1" applyFill="1" applyBorder="1" applyAlignment="1" applyProtection="1">
      <alignment horizontal="center"/>
      <protection locked="0"/>
    </xf>
    <xf numFmtId="14" fontId="0" fillId="0" borderId="112" xfId="0" applyNumberFormat="1" applyBorder="1" applyAlignment="1">
      <alignment horizontal="center"/>
    </xf>
    <xf numFmtId="14" fontId="0" fillId="0" borderId="114" xfId="0" applyNumberFormat="1" applyBorder="1" applyAlignment="1">
      <alignment horizontal="center"/>
    </xf>
    <xf numFmtId="0" fontId="0" fillId="0" borderId="123" xfId="0" applyBorder="1" applyAlignment="1">
      <alignment horizontal="left"/>
    </xf>
    <xf numFmtId="0" fontId="0" fillId="0" borderId="119" xfId="0" applyBorder="1" applyAlignment="1">
      <alignment horizontal="left"/>
    </xf>
    <xf numFmtId="0" fontId="0" fillId="0" borderId="0" xfId="0" applyAlignment="1" applyProtection="1">
      <alignment horizontal="left" vertical="center" wrapText="1"/>
      <protection hidden="1"/>
    </xf>
    <xf numFmtId="0" fontId="66" fillId="0" borderId="0" xfId="0" applyFont="1" applyAlignment="1" applyProtection="1">
      <alignment horizontal="center" vertical="center"/>
      <protection hidden="1"/>
    </xf>
    <xf numFmtId="0" fontId="29" fillId="0" borderId="0" xfId="0" applyFont="1" applyAlignment="1" applyProtection="1">
      <alignment horizontal="left" wrapText="1"/>
      <protection hidden="1"/>
    </xf>
    <xf numFmtId="0" fontId="29" fillId="0" borderId="121" xfId="0" applyFont="1" applyBorder="1" applyAlignment="1" applyProtection="1">
      <alignment horizontal="left" wrapText="1"/>
      <protection hidden="1"/>
    </xf>
    <xf numFmtId="0" fontId="29" fillId="16" borderId="0" xfId="0" applyFont="1" applyFill="1" applyAlignment="1" applyProtection="1">
      <alignment horizontal="left" wrapText="1"/>
      <protection hidden="1"/>
    </xf>
    <xf numFmtId="0" fontId="5" fillId="0" borderId="203" xfId="3" applyBorder="1" applyAlignment="1" applyProtection="1">
      <alignment horizontal="right"/>
      <protection hidden="1"/>
    </xf>
    <xf numFmtId="0" fontId="5" fillId="0" borderId="207" xfId="3" applyBorder="1" applyAlignment="1" applyProtection="1">
      <alignment horizontal="right"/>
      <protection hidden="1"/>
    </xf>
    <xf numFmtId="0" fontId="5" fillId="0" borderId="204" xfId="3" applyBorder="1" applyAlignment="1" applyProtection="1">
      <alignment horizontal="right"/>
      <protection hidden="1"/>
    </xf>
    <xf numFmtId="0" fontId="0" fillId="0" borderId="125" xfId="0" applyBorder="1" applyAlignment="1" applyProtection="1">
      <alignment horizontal="right"/>
      <protection hidden="1"/>
    </xf>
    <xf numFmtId="0" fontId="29" fillId="16" borderId="0" xfId="3" applyFont="1" applyFill="1" applyAlignment="1" applyProtection="1">
      <alignment horizontal="right"/>
      <protection hidden="1"/>
    </xf>
    <xf numFmtId="0" fontId="72" fillId="16" borderId="0" xfId="3" applyFont="1" applyFill="1" applyAlignment="1" applyProtection="1">
      <alignment horizontal="center" vertical="center" wrapText="1"/>
      <protection hidden="1"/>
    </xf>
    <xf numFmtId="0" fontId="0" fillId="0" borderId="96" xfId="0" applyBorder="1" applyAlignment="1" applyProtection="1">
      <alignment horizontal="center" vertical="center" wrapText="1"/>
      <protection hidden="1"/>
    </xf>
    <xf numFmtId="0" fontId="0" fillId="0" borderId="258" xfId="0" applyBorder="1" applyAlignment="1" applyProtection="1">
      <alignment horizontal="center" vertical="center" wrapText="1"/>
      <protection hidden="1"/>
    </xf>
    <xf numFmtId="0" fontId="60" fillId="0" borderId="17" xfId="0" applyFont="1" applyBorder="1" applyAlignment="1" applyProtection="1">
      <alignment horizontal="center" vertical="center" wrapText="1"/>
      <protection hidden="1"/>
    </xf>
    <xf numFmtId="0" fontId="60" fillId="0" borderId="86" xfId="0" applyFont="1" applyBorder="1" applyAlignment="1" applyProtection="1">
      <alignment horizontal="center" vertical="center" wrapText="1"/>
      <protection hidden="1"/>
    </xf>
    <xf numFmtId="0" fontId="18" fillId="0" borderId="206" xfId="3" applyFont="1" applyBorder="1" applyAlignment="1" applyProtection="1">
      <alignment horizontal="center" vertical="center" wrapText="1"/>
      <protection hidden="1"/>
    </xf>
    <xf numFmtId="0" fontId="18" fillId="0" borderId="59" xfId="3" applyFont="1" applyBorder="1" applyAlignment="1" applyProtection="1">
      <alignment horizontal="center" vertical="center" wrapText="1"/>
      <protection hidden="1"/>
    </xf>
    <xf numFmtId="0" fontId="18" fillId="0" borderId="208" xfId="3" applyFont="1" applyBorder="1" applyAlignment="1" applyProtection="1">
      <alignment horizontal="center" vertical="center" wrapText="1"/>
      <protection hidden="1"/>
    </xf>
    <xf numFmtId="0" fontId="18" fillId="0" borderId="39" xfId="3" applyFont="1" applyBorder="1" applyAlignment="1" applyProtection="1">
      <alignment horizontal="center" vertical="center" wrapText="1"/>
      <protection hidden="1"/>
    </xf>
    <xf numFmtId="0" fontId="18" fillId="0" borderId="209" xfId="3" applyFont="1" applyBorder="1" applyAlignment="1" applyProtection="1">
      <alignment horizontal="center" vertical="center" wrapText="1"/>
      <protection hidden="1"/>
    </xf>
    <xf numFmtId="0" fontId="18" fillId="0" borderId="55" xfId="3" applyFont="1" applyBorder="1" applyAlignment="1" applyProtection="1">
      <alignment horizontal="center" vertical="center" wrapText="1"/>
      <protection hidden="1"/>
    </xf>
    <xf numFmtId="182" fontId="0" fillId="0" borderId="65" xfId="0" applyNumberFormat="1" applyBorder="1" applyAlignment="1" applyProtection="1">
      <alignment horizontal="center"/>
      <protection hidden="1"/>
    </xf>
    <xf numFmtId="182" fontId="0" fillId="0" borderId="66" xfId="0" applyNumberFormat="1" applyBorder="1" applyAlignment="1" applyProtection="1">
      <alignment horizontal="center"/>
      <protection hidden="1"/>
    </xf>
    <xf numFmtId="182" fontId="0" fillId="0" borderId="67" xfId="0" applyNumberFormat="1" applyBorder="1" applyAlignment="1" applyProtection="1">
      <alignment horizontal="center"/>
      <protection hidden="1"/>
    </xf>
    <xf numFmtId="0" fontId="72" fillId="16" borderId="0" xfId="0" applyFont="1" applyFill="1" applyAlignment="1" applyProtection="1">
      <alignment horizontal="center" vertical="center" wrapText="1"/>
      <protection hidden="1"/>
    </xf>
    <xf numFmtId="0" fontId="29" fillId="16" borderId="0" xfId="0" applyFont="1" applyFill="1" applyAlignment="1" applyProtection="1">
      <alignment horizontal="center" vertical="center" wrapText="1"/>
      <protection hidden="1"/>
    </xf>
    <xf numFmtId="190" fontId="72" fillId="16" borderId="0" xfId="0" applyNumberFormat="1" applyFont="1" applyFill="1" applyAlignment="1" applyProtection="1">
      <alignment horizontal="center"/>
      <protection hidden="1"/>
    </xf>
    <xf numFmtId="0" fontId="29" fillId="16" borderId="0" xfId="0" applyFont="1" applyFill="1" applyAlignment="1" applyProtection="1">
      <alignment horizontal="center" vertical="center"/>
      <protection hidden="1"/>
    </xf>
    <xf numFmtId="0" fontId="29" fillId="0" borderId="125" xfId="0" applyFont="1" applyBorder="1" applyAlignment="1" applyProtection="1">
      <alignment horizontal="right"/>
      <protection hidden="1"/>
    </xf>
    <xf numFmtId="0" fontId="29" fillId="0" borderId="0" xfId="0" applyFont="1" applyAlignment="1" applyProtection="1">
      <alignment horizontal="right"/>
      <protection hidden="1"/>
    </xf>
    <xf numFmtId="182" fontId="0" fillId="0" borderId="98" xfId="0" applyNumberFormat="1" applyBorder="1" applyAlignment="1" applyProtection="1">
      <alignment horizontal="center"/>
      <protection hidden="1"/>
    </xf>
    <xf numFmtId="182" fontId="0" fillId="0" borderId="99" xfId="0" applyNumberFormat="1" applyBorder="1" applyAlignment="1" applyProtection="1">
      <alignment horizontal="center"/>
      <protection hidden="1"/>
    </xf>
    <xf numFmtId="182" fontId="0" fillId="0" borderId="100" xfId="0" applyNumberFormat="1" applyBorder="1" applyAlignment="1" applyProtection="1">
      <alignment horizontal="center"/>
      <protection hidden="1"/>
    </xf>
    <xf numFmtId="0" fontId="72" fillId="16" borderId="0" xfId="0" applyFont="1" applyFill="1" applyAlignment="1" applyProtection="1">
      <alignment horizontal="center"/>
      <protection hidden="1"/>
    </xf>
    <xf numFmtId="182" fontId="0" fillId="0" borderId="98" xfId="0" applyNumberFormat="1" applyBorder="1" applyAlignment="1" applyProtection="1">
      <alignment horizontal="center" vertical="center"/>
      <protection hidden="1"/>
    </xf>
    <xf numFmtId="182" fontId="0" fillId="0" borderId="99" xfId="0" applyNumberFormat="1" applyBorder="1" applyAlignment="1" applyProtection="1">
      <alignment horizontal="center" vertical="center"/>
      <protection hidden="1"/>
    </xf>
    <xf numFmtId="182" fontId="0" fillId="0" borderId="100" xfId="0" applyNumberFormat="1" applyBorder="1" applyAlignment="1" applyProtection="1">
      <alignment horizontal="center" vertical="center"/>
      <protection hidden="1"/>
    </xf>
    <xf numFmtId="0" fontId="0" fillId="0" borderId="97" xfId="0" applyBorder="1" applyAlignment="1" applyProtection="1">
      <alignment horizontal="center" vertical="center" wrapText="1"/>
      <protection hidden="1"/>
    </xf>
    <xf numFmtId="182" fontId="0" fillId="0" borderId="104" xfId="0" applyNumberFormat="1" applyBorder="1" applyAlignment="1" applyProtection="1">
      <alignment horizontal="center" vertical="center"/>
      <protection hidden="1"/>
    </xf>
    <xf numFmtId="182" fontId="0" fillId="0" borderId="106" xfId="0" applyNumberFormat="1" applyBorder="1" applyAlignment="1" applyProtection="1">
      <alignment horizontal="center" vertical="center"/>
      <protection hidden="1"/>
    </xf>
    <xf numFmtId="0" fontId="17" fillId="0" borderId="96" xfId="0" applyFont="1" applyBorder="1" applyAlignment="1" applyProtection="1">
      <alignment horizontal="center" vertical="center" wrapText="1"/>
      <protection hidden="1"/>
    </xf>
    <xf numFmtId="0" fontId="17" fillId="0" borderId="97" xfId="0" applyFont="1" applyBorder="1" applyAlignment="1" applyProtection="1">
      <alignment horizontal="center" vertical="center" wrapText="1"/>
      <protection hidden="1"/>
    </xf>
    <xf numFmtId="0" fontId="5" fillId="0" borderId="211" xfId="3" applyBorder="1" applyAlignment="1" applyProtection="1">
      <alignment horizontal="right"/>
      <protection hidden="1"/>
    </xf>
    <xf numFmtId="0" fontId="0" fillId="0" borderId="0" xfId="0" applyAlignment="1" applyProtection="1">
      <alignment horizontal="left" vertical="center"/>
      <protection hidden="1"/>
    </xf>
  </cellXfs>
  <cellStyles count="5">
    <cellStyle name="Excel Built-in Normal" xfId="3" xr:uid="{00000000-0005-0000-0000-000000000000}"/>
    <cellStyle name="Milliers" xfId="4" builtinId="3"/>
    <cellStyle name="Monétaire" xfId="1" builtinId="4"/>
    <cellStyle name="Normal" xfId="0" builtinId="0"/>
    <cellStyle name="Pourcentage" xfId="2" builtinId="5"/>
  </cellStyles>
  <dxfs count="4099">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ont>
        <color auto="1"/>
      </font>
      <fill>
        <patternFill>
          <bgColor theme="3"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2" tint="-0.2499465926084170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ont>
        <color auto="1"/>
      </font>
      <fill>
        <patternFill>
          <bgColor theme="3"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2" tint="-0.2499465926084170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ill>
        <patternFill>
          <bgColor rgb="FFFF0000"/>
        </patternFill>
      </fill>
    </dxf>
    <dxf>
      <font>
        <u val="double"/>
        <color rgb="FFFF0000"/>
      </font>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5" tint="0.59996337778862885"/>
        </patternFill>
      </fill>
    </dxf>
    <dxf>
      <font>
        <color auto="1"/>
      </font>
      <fill>
        <patternFill>
          <bgColor theme="3"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ill>
        <patternFill>
          <bgColor theme="2" tint="-0.2499465926084170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7" tint="0.59996337778862885"/>
        </patternFill>
      </fill>
    </dxf>
    <dxf>
      <font>
        <b/>
        <i val="0"/>
      </font>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ill>
        <patternFill>
          <bgColor theme="9"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bgColor rgb="FFFF0000"/>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ont>
        <b/>
        <i val="0"/>
      </font>
    </dxf>
    <dxf>
      <fill>
        <patternFill>
          <bgColor theme="7" tint="0.59996337778862885"/>
        </patternFill>
      </fill>
    </dxf>
    <dxf>
      <fill>
        <patternFill>
          <bgColor theme="9"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ont>
        <color theme="0" tint="-0.34998626667073579"/>
      </font>
      <fill>
        <patternFill>
          <bgColor theme="0" tint="-0.34998626667073579"/>
        </patternFill>
      </fill>
    </dxf>
    <dxf>
      <fill>
        <patternFill>
          <bgColor theme="0"/>
        </patternFill>
      </fill>
    </dxf>
    <dxf>
      <fill>
        <patternFill>
          <bgColor theme="7"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ont>
        <color auto="1"/>
      </font>
      <fill>
        <patternFill>
          <bgColor theme="3" tint="0.59996337778862885"/>
        </patternFill>
      </fill>
    </dxf>
    <dxf>
      <fill>
        <patternFill>
          <bgColor theme="8"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7"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ont>
        <color theme="1" tint="0.34998626667073579"/>
      </font>
      <fill>
        <patternFill>
          <bgColor theme="0" tint="-0.34998626667073579"/>
        </patternFill>
      </fill>
    </dxf>
    <dxf>
      <font>
        <b val="0"/>
        <condense val="0"/>
        <extend val="0"/>
        <color indexed="42"/>
      </font>
    </dxf>
    <dxf>
      <font>
        <color theme="0"/>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9" tint="0.59996337778862885"/>
        </patternFill>
      </fill>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174" formatCode="0&quot; jrs&quot;"/>
    </dxf>
    <dxf>
      <numFmt numFmtId="174" formatCode="0&quot; jrs&quot;"/>
    </dxf>
    <dxf>
      <numFmt numFmtId="0" formatCode="General"/>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rgb="FF00FF00"/>
      </font>
    </dxf>
    <dxf>
      <font>
        <color rgb="FF00FF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dxf>
    <dxf>
      <font>
        <color theme="0"/>
      </font>
    </dxf>
    <dxf>
      <fill>
        <patternFill patternType="gray0625">
          <fgColor rgb="FFFABDBC"/>
          <bgColor indexed="65"/>
        </patternFill>
      </fill>
    </dxf>
    <dxf>
      <font>
        <color theme="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ont>
        <color rgb="FF00FF00"/>
      </font>
    </dxf>
    <dxf>
      <font>
        <b val="0"/>
        <i val="0"/>
        <color theme="0"/>
      </font>
      <fill>
        <patternFill patternType="none">
          <bgColor auto="1"/>
        </patternFill>
      </fill>
      <border>
        <left/>
        <right/>
        <top/>
        <bottom/>
        <vertical/>
        <horizontal/>
      </border>
    </dxf>
    <dxf>
      <font>
        <color auto="1"/>
      </font>
      <fill>
        <patternFill>
          <bgColor rgb="FFFFFF00"/>
        </patternFill>
      </fill>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ill>
        <patternFill>
          <bgColor theme="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bgColor theme="0"/>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ill>
        <patternFill>
          <bgColor theme="0"/>
        </patternFill>
      </fill>
    </dxf>
    <dxf>
      <font>
        <color theme="0" tint="-0.34998626667073579"/>
      </font>
      <fill>
        <patternFill>
          <bgColor theme="0" tint="-0.34998626667073579"/>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5" tint="0.59996337778862885"/>
        </patternFill>
      </fill>
    </dxf>
    <dxf>
      <font>
        <color auto="1"/>
      </font>
      <fill>
        <patternFill>
          <bgColor theme="3" tint="0.59996337778862885"/>
        </patternFill>
      </fill>
    </dxf>
    <dxf>
      <fill>
        <patternFill>
          <bgColor theme="6"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69" formatCode="0.00&quot; hrs&quot;"/>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color rgb="FF00FF00"/>
      </font>
    </dxf>
    <dxf>
      <font>
        <color rgb="FF00FF00"/>
      </font>
    </dxf>
    <dxf>
      <font>
        <u val="double"/>
        <color rgb="FFFF0000"/>
      </font>
    </dxf>
    <dxf>
      <font>
        <color theme="0"/>
      </font>
      <fill>
        <patternFill patternType="none">
          <bgColor auto="1"/>
        </patternFill>
      </fill>
    </dxf>
    <dxf>
      <fill>
        <patternFill>
          <bgColor rgb="FFFF0000"/>
        </patternFill>
      </fill>
    </dxf>
    <dxf>
      <fill>
        <patternFill>
          <bgColor rgb="FFFF0000"/>
        </patternFill>
      </fill>
    </dxf>
    <dxf>
      <font>
        <u val="double"/>
        <color rgb="FFFF0000"/>
      </font>
    </dxf>
    <dxf>
      <font>
        <color theme="0"/>
      </font>
      <fill>
        <patternFill patternType="none">
          <bgColor auto="1"/>
        </patternFill>
      </fill>
    </dxf>
    <dxf>
      <fill>
        <patternFill>
          <bgColor rgb="FFFF0000"/>
        </patternFill>
      </fill>
    </dxf>
    <dxf>
      <font>
        <u val="double"/>
        <color rgb="FFFF0000"/>
      </font>
    </dxf>
    <dxf>
      <fill>
        <patternFill>
          <bgColor rgb="FFFF0000"/>
        </patternFill>
      </fill>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b val="0"/>
        <condense val="0"/>
        <extend val="0"/>
        <color indexed="16"/>
      </font>
      <fill>
        <patternFill patternType="solid">
          <fgColor indexed="26"/>
          <bgColor indexed="47"/>
        </patternFill>
      </fill>
    </dxf>
    <dxf>
      <font>
        <b val="0"/>
        <condense val="0"/>
        <extend val="0"/>
        <color indexed="17"/>
      </font>
      <fill>
        <patternFill patternType="solid">
          <fgColor indexed="42"/>
          <bgColor indexed="27"/>
        </patternFill>
      </fill>
    </dxf>
    <dxf>
      <font>
        <color auto="1"/>
      </font>
      <fill>
        <patternFill>
          <bgColor rgb="FFFF0000"/>
        </patternFill>
      </fill>
    </dxf>
    <dxf>
      <font>
        <color theme="0"/>
      </font>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ill>
        <patternFill>
          <bgColor theme="0"/>
        </patternFill>
      </fill>
    </dxf>
    <dxf>
      <font>
        <color theme="0"/>
      </font>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ill>
        <patternFill>
          <bgColor theme="9" tint="0.59996337778862885"/>
        </patternFill>
      </fill>
    </dxf>
    <dxf>
      <font>
        <b/>
        <i val="0"/>
      </font>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2" tint="-0.24994659260841701"/>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5" tint="0.59996337778862885"/>
        </patternFill>
      </fill>
    </dxf>
    <dxf>
      <fill>
        <patternFill>
          <bgColor theme="3" tint="0.59996337778862885"/>
        </patternFill>
      </fill>
    </dxf>
    <dxf>
      <fill>
        <patternFill>
          <bgColor theme="7"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ill>
        <patternFill>
          <bgColor theme="7" tint="0.59996337778862885"/>
        </patternFill>
      </fill>
    </dxf>
    <dxf>
      <font>
        <b/>
        <i val="0"/>
      </font>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0" formatCode="General"/>
    </dxf>
    <dxf>
      <numFmt numFmtId="174" formatCode="0&quot; jrs&quot;"/>
    </dxf>
    <dxf>
      <numFmt numFmtId="174" formatCode="0&quot; jrs&quot;"/>
    </dxf>
    <dxf>
      <numFmt numFmtId="169" formatCode="0.00&quot; hrs&quot;"/>
    </dxf>
    <dxf>
      <numFmt numFmtId="0" formatCode="General"/>
    </dxf>
    <dxf>
      <numFmt numFmtId="201" formatCode="0.00##&quot; hrs&quo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fill>
        <patternFill patternType="none">
          <bgColor auto="1"/>
        </patternFill>
      </fill>
    </dxf>
    <dxf>
      <fill>
        <patternFill>
          <bgColor rgb="FFFF0000"/>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ont>
        <u val="double"/>
        <color rgb="FFFF0000"/>
      </font>
    </dxf>
    <dxf>
      <fill>
        <patternFill patternType="solid">
          <bgColor rgb="FFF15C5A"/>
        </patternFill>
      </fill>
    </dxf>
    <dxf>
      <fill>
        <patternFill>
          <bgColor rgb="FFFF0000"/>
        </patternFill>
      </fill>
    </dxf>
    <dxf>
      <fill>
        <patternFill patternType="solid">
          <bgColor rgb="FFF15C5A"/>
        </patternFill>
      </fill>
    </dxf>
    <dxf>
      <fill>
        <patternFill>
          <bgColor rgb="FFFF0000"/>
        </patternFill>
      </fill>
    </dxf>
    <dxf>
      <font>
        <b val="0"/>
        <condense val="0"/>
        <extend val="0"/>
        <color indexed="17"/>
      </font>
      <fill>
        <patternFill patternType="solid">
          <fgColor indexed="42"/>
          <bgColor indexed="27"/>
        </patternFill>
      </fill>
    </dxf>
    <dxf>
      <font>
        <b val="0"/>
        <condense val="0"/>
        <extend val="0"/>
        <color indexed="16"/>
      </font>
      <fill>
        <patternFill patternType="solid">
          <fgColor indexed="26"/>
          <bgColor indexed="47"/>
        </patternFill>
      </fill>
    </dxf>
    <dxf>
      <font>
        <color auto="1"/>
      </font>
      <fill>
        <patternFill>
          <bgColor rgb="FFFF0000"/>
        </patternFill>
      </fill>
    </dxf>
    <dxf>
      <fill>
        <patternFill>
          <bgColor rgb="FFFF0000"/>
        </patternFill>
      </fill>
    </dxf>
    <dxf>
      <fill>
        <patternFill>
          <bgColor rgb="FFFF0000"/>
        </patternFill>
      </fill>
    </dxf>
    <dxf>
      <fill>
        <patternFill patternType="none">
          <bgColor auto="1"/>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ill>
        <patternFill>
          <bgColor theme="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9" tint="0.59996337778862885"/>
        </patternFill>
      </fill>
    </dxf>
    <dxf>
      <font>
        <color theme="0" tint="-0.34998626667073579"/>
      </font>
      <fill>
        <patternFill>
          <bgColor theme="0" tint="-0.34998626667073579"/>
        </patternFill>
      </fill>
    </dxf>
    <dxf>
      <fill>
        <patternFill>
          <bgColor theme="0"/>
        </patternFill>
      </fill>
    </dxf>
    <dxf>
      <font>
        <color theme="0"/>
      </font>
      <fill>
        <patternFill>
          <bgColor theme="0"/>
        </patternFill>
      </fill>
    </dxf>
    <dxf>
      <fill>
        <patternFill>
          <bgColor rgb="FFFF0000"/>
        </patternFill>
      </fill>
    </dxf>
    <dxf>
      <fill>
        <patternFill>
          <bgColor theme="0"/>
        </patternFill>
      </fill>
    </dxf>
    <dxf>
      <font>
        <color theme="0" tint="-0.34998626667073579"/>
      </font>
      <fill>
        <patternFill>
          <bgColor theme="0" tint="-0.34998626667073579"/>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7"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ill>
        <patternFill>
          <bgColor theme="0"/>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2" tint="-0.24994659260841701"/>
        </patternFill>
      </fill>
    </dxf>
    <dxf>
      <fill>
        <patternFill>
          <bgColor theme="9" tint="0.59996337778862885"/>
        </patternFill>
      </fill>
    </dxf>
    <dxf>
      <fill>
        <patternFill>
          <bgColor theme="8" tint="0.59996337778862885"/>
        </patternFill>
      </fill>
    </dxf>
    <dxf>
      <fill>
        <patternFill>
          <bgColor theme="7" tint="0.59996337778862885"/>
        </patternFill>
      </fill>
    </dxf>
    <dxf>
      <fill>
        <patternFill>
          <bgColor theme="6" tint="0.59996337778862885"/>
        </patternFill>
      </fill>
    </dxf>
    <dxf>
      <fill>
        <patternFill>
          <bgColor theme="3" tint="0.59996337778862885"/>
        </patternFill>
      </fill>
    </dxf>
    <dxf>
      <font>
        <color theme="1" tint="0.34998626667073579"/>
      </font>
      <fill>
        <patternFill>
          <bgColor theme="0" tint="-0.34998626667073579"/>
        </patternFill>
      </fill>
    </dxf>
    <dxf>
      <font>
        <color theme="0"/>
      </font>
    </dxf>
    <dxf>
      <fill>
        <patternFill>
          <bgColor rgb="FFFFFF00"/>
        </patternFill>
      </fill>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ill>
        <patternFill>
          <bgColor rgb="FFFFFF00"/>
        </patternFill>
      </fill>
    </dxf>
    <dxf>
      <font>
        <color theme="0" tint="-0.34998626667073579"/>
      </font>
      <fill>
        <patternFill>
          <bgColor theme="0" tint="-0.34998626667073579"/>
        </patternFill>
      </fill>
    </dxf>
    <dxf>
      <font>
        <color theme="1" tint="0.34998626667073579"/>
      </font>
      <fill>
        <patternFill>
          <bgColor theme="0" tint="-0.34998626667073579"/>
        </patternFill>
      </fill>
    </dxf>
    <dxf>
      <font>
        <color theme="0"/>
      </font>
    </dxf>
    <dxf>
      <font>
        <b/>
        <i val="0"/>
      </font>
    </dxf>
    <dxf>
      <fill>
        <patternFill>
          <bgColor theme="7"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color theme="0"/>
      </font>
    </dxf>
    <dxf>
      <font>
        <color theme="0"/>
      </font>
    </dxf>
    <dxf>
      <fill>
        <patternFill patternType="gray0625">
          <fgColor rgb="FFFABDBC"/>
          <bgColor indexed="65"/>
        </patternFill>
      </fill>
    </dxf>
    <dxf>
      <fill>
        <patternFill patternType="gray0625">
          <fgColor rgb="FFFABDBC"/>
          <bgColor indexed="65"/>
        </patternFill>
      </fill>
    </dxf>
    <dxf>
      <numFmt numFmtId="174" formatCode="0&quot; jrs&quot;"/>
    </dxf>
    <dxf>
      <numFmt numFmtId="174" formatCode="0&quot; jrs&quot;"/>
    </dxf>
    <dxf>
      <numFmt numFmtId="0" formatCode="General"/>
    </dxf>
    <dxf>
      <numFmt numFmtId="169" formatCode="0.00&quot; hrs&quot;"/>
    </dxf>
    <dxf>
      <font>
        <color theme="0"/>
      </font>
    </dxf>
    <dxf>
      <numFmt numFmtId="201" formatCode="0.00##&quot; hrs&quot;"/>
    </dxf>
    <dxf>
      <numFmt numFmtId="0" formatCode="General"/>
    </dxf>
    <dxf>
      <font>
        <color auto="1"/>
      </font>
      <fill>
        <patternFill>
          <bgColor rgb="FFFFFF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ill>
        <patternFill>
          <bgColor rgb="FFFF0000"/>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theme="7" tint="0.39994506668294322"/>
        </patternFill>
      </fill>
    </dxf>
    <dxf>
      <fill>
        <patternFill>
          <bgColor rgb="FFFF0000"/>
        </patternFill>
      </fill>
    </dxf>
    <dxf>
      <font>
        <color theme="0"/>
      </font>
      <fill>
        <patternFill patternType="none">
          <bgColor auto="1"/>
        </patternFill>
      </fill>
    </dxf>
    <dxf>
      <font>
        <color theme="0"/>
      </font>
      <fill>
        <patternFill patternType="none">
          <bgColor auto="1"/>
        </patternFill>
      </fill>
    </dxf>
    <dxf>
      <fill>
        <patternFill>
          <bgColor rgb="FFFF0000"/>
        </patternFill>
      </fill>
    </dxf>
    <dxf>
      <fill>
        <patternFill>
          <bgColor theme="7" tint="0.39994506668294322"/>
        </patternFill>
      </fill>
    </dxf>
    <dxf>
      <font>
        <color theme="0"/>
      </font>
      <fill>
        <patternFill patternType="none">
          <bgColor auto="1"/>
        </patternFill>
      </fill>
    </dxf>
    <dxf>
      <fill>
        <patternFill>
          <bgColor rgb="FFFF0000"/>
        </patternFill>
      </fill>
    </dxf>
    <dxf>
      <fill>
        <patternFill>
          <bgColor theme="7" tint="0.39994506668294322"/>
        </patternFill>
      </fill>
    </dxf>
    <dxf>
      <fill>
        <patternFill>
          <bgColor theme="7" tint="0.39994506668294322"/>
        </patternFill>
      </fill>
    </dxf>
    <dxf>
      <font>
        <color theme="0"/>
      </font>
      <fill>
        <patternFill patternType="none">
          <bgColor auto="1"/>
        </patternFill>
      </fill>
    </dxf>
    <dxf>
      <fill>
        <patternFill>
          <bgColor rgb="FFFF0000"/>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b/>
        <i val="0"/>
      </font>
    </dxf>
    <dxf>
      <fill>
        <patternFill>
          <bgColor theme="9"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7" tint="0.59996337778862885"/>
        </patternFill>
      </fill>
    </dxf>
    <dxf>
      <font>
        <b/>
        <i val="0"/>
      </font>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rgb="FFFF000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rgb="FFFF0000"/>
      </font>
    </dxf>
    <dxf>
      <font>
        <color theme="0"/>
      </font>
    </dxf>
    <dxf>
      <font>
        <color theme="1" tint="0.34998626667073579"/>
      </font>
      <fill>
        <patternFill>
          <bgColor theme="0" tint="-0.34998626667073579"/>
        </patternFill>
      </fill>
    </dxf>
    <dxf>
      <font>
        <color rgb="FFFF0000"/>
      </font>
    </dxf>
    <dxf>
      <font>
        <color theme="0"/>
      </font>
    </dxf>
    <dxf>
      <font>
        <color theme="0"/>
      </font>
    </dxf>
    <dxf>
      <font>
        <color theme="1" tint="0.34998626667073579"/>
      </font>
      <fill>
        <patternFill>
          <bgColor theme="0" tint="-0.34998626667073579"/>
        </patternFill>
      </fill>
    </dxf>
    <dxf>
      <font>
        <color rgb="FFFF000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rgb="FFFF0000"/>
      </font>
    </dxf>
    <dxf>
      <font>
        <color theme="0"/>
      </font>
    </dxf>
    <dxf>
      <font>
        <color rgb="FFFF0000"/>
      </font>
    </dxf>
    <dxf>
      <font>
        <color theme="0"/>
      </font>
    </dxf>
    <dxf>
      <font>
        <color theme="1" tint="0.34998626667073579"/>
      </font>
      <fill>
        <patternFill>
          <bgColor theme="0" tint="-0.34998626667073579"/>
        </patternFill>
      </fill>
    </dxf>
    <dxf>
      <font>
        <color theme="0"/>
      </font>
    </dxf>
    <dxf>
      <font>
        <color rgb="FFFF0000"/>
      </font>
    </dxf>
    <dxf>
      <font>
        <color theme="1"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ont>
        <color auto="1"/>
      </font>
      <fill>
        <patternFill>
          <bgColor rgb="FFFF0000"/>
        </patternFill>
      </fill>
    </dxf>
    <dxf>
      <font>
        <color theme="0" tint="-0.34998626667073579"/>
      </font>
      <fill>
        <patternFill>
          <bgColor theme="0" tint="-0.34998626667073579"/>
        </patternFill>
      </fill>
    </dxf>
    <dxf>
      <fill>
        <patternFill patternType="none">
          <bgColor auto="1"/>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0" tint="-0.34998626667073579"/>
      </font>
      <fill>
        <patternFill>
          <bgColor theme="0" tint="-0.34998626667073579"/>
        </patternFill>
      </fill>
    </dxf>
    <dxf>
      <fill>
        <patternFill patternType="none">
          <bgColor auto="1"/>
        </patternFill>
      </fill>
    </dxf>
    <dxf>
      <font>
        <color auto="1"/>
      </font>
      <fill>
        <patternFill>
          <bgColor rgb="FFFF0000"/>
        </patternFill>
      </fill>
    </dxf>
    <dxf>
      <font>
        <color theme="0" tint="-0.34998626667073579"/>
      </font>
      <fill>
        <patternFill>
          <bgColor theme="0" tint="-0.34998626667073579"/>
        </patternFill>
      </fill>
    </dxf>
    <dxf>
      <font>
        <color auto="1"/>
      </font>
      <fill>
        <patternFill>
          <bgColor rgb="FFFF0000"/>
        </patternFill>
      </fill>
    </dxf>
    <dxf>
      <fill>
        <patternFill patternType="none">
          <bgColor auto="1"/>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1" tint="0.34998626667073579"/>
      </font>
      <fill>
        <patternFill>
          <bgColor theme="0" tint="-0.34998626667073579"/>
        </patternFill>
      </fill>
    </dxf>
    <dxf>
      <font>
        <color theme="0"/>
      </font>
    </dxf>
    <dxf>
      <font>
        <color theme="0"/>
      </font>
    </dxf>
    <dxf>
      <font>
        <color theme="1" tint="0.34998626667073579"/>
      </font>
      <fill>
        <patternFill>
          <bgColor theme="0" tint="-0.34998626667073579"/>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ont>
        <color theme="0" tint="-0.14996795556505021"/>
      </font>
      <fill>
        <patternFill>
          <bgColor theme="0" tint="-0.34998626667073579"/>
        </patternFill>
      </fill>
    </dxf>
    <dxf>
      <font>
        <color theme="0"/>
      </font>
    </dxf>
    <dxf>
      <font>
        <color theme="0"/>
      </font>
    </dxf>
    <dxf>
      <font>
        <color theme="0" tint="-0.14996795556505021"/>
      </font>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tint="-0.14996795556505021"/>
      </font>
      <fill>
        <patternFill>
          <bgColor theme="0" tint="-0.34998626667073579"/>
        </patternFill>
      </fill>
    </dxf>
    <dxf>
      <font>
        <color theme="0"/>
      </font>
    </dxf>
    <dxf>
      <fill>
        <patternFill>
          <bgColor theme="0" tint="-0.34998626667073579"/>
        </patternFill>
      </fill>
    </dxf>
    <dxf>
      <font>
        <color theme="0"/>
      </font>
    </dxf>
    <dxf>
      <font>
        <color theme="0" tint="-0.14996795556505021"/>
      </font>
      <fill>
        <patternFill>
          <bgColor theme="0" tint="-0.34998626667073579"/>
        </patternFill>
      </fill>
    </dxf>
    <dxf>
      <fill>
        <patternFill>
          <bgColor theme="0" tint="-0.34998626667073579"/>
        </patternFill>
      </fill>
    </dxf>
    <dxf>
      <font>
        <color theme="0"/>
      </font>
    </dxf>
    <dxf>
      <font>
        <color theme="0" tint="-0.14996795556505021"/>
      </font>
      <fill>
        <patternFill>
          <bgColor theme="0" tint="-0.34998626667073579"/>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ill>
        <patternFill>
          <bgColor theme="9" tint="0.59996337778862885"/>
        </patternFill>
      </fill>
    </dxf>
    <dxf>
      <font>
        <b/>
        <i val="0"/>
      </font>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ont>
        <b/>
        <i val="0"/>
      </font>
    </dxf>
    <dxf>
      <fill>
        <patternFill>
          <bgColor theme="9" tint="0.59996337778862885"/>
        </patternFill>
      </fill>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b/>
        <i val="0"/>
      </font>
    </dxf>
    <dxf>
      <fill>
        <patternFill>
          <bgColor theme="9" tint="0.59996337778862885"/>
        </patternFill>
      </fill>
    </dxf>
    <dxf>
      <font>
        <b/>
        <i val="0"/>
      </font>
    </dxf>
    <dxf>
      <fill>
        <patternFill>
          <bgColor theme="7" tint="0.59996337778862885"/>
        </patternFill>
      </fill>
    </dxf>
    <dxf>
      <fill>
        <patternFill>
          <bgColor theme="9"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ill>
        <patternFill>
          <bgColor theme="9" tint="0.59996337778862885"/>
        </patternFill>
      </fill>
    </dxf>
    <dxf>
      <font>
        <b/>
        <i val="0"/>
      </font>
    </dxf>
    <dxf>
      <fill>
        <patternFill>
          <bgColor theme="7" tint="0.59996337778862885"/>
        </patternFill>
      </fill>
    </dxf>
    <dxf>
      <font>
        <color theme="0"/>
      </font>
    </dxf>
    <dxf>
      <font>
        <color rgb="FFFFFFFF"/>
      </font>
      <fill>
        <patternFill>
          <bgColor theme="0"/>
        </patternFill>
      </fill>
    </dxf>
    <dxf>
      <font>
        <color rgb="FFFFFFFF"/>
      </font>
      <fill>
        <patternFill>
          <bgColor theme="0"/>
        </patternFill>
      </fill>
    </dxf>
    <dxf>
      <font>
        <color theme="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ont>
        <color rgb="FF00FF00"/>
      </font>
    </dxf>
    <dxf>
      <fill>
        <patternFill patternType="gray0625">
          <fgColor rgb="FFFABDBC"/>
          <bgColor indexed="65"/>
        </patternFill>
      </fill>
    </dxf>
    <dxf>
      <fill>
        <patternFill patternType="gray0625">
          <fgColor rgb="FFFABDBC"/>
          <bgColor indexed="6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ill>
        <patternFill patternType="gray0625">
          <fgColor rgb="FFFABDBC"/>
          <bgColor indexed="65"/>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ont>
        <color theme="0"/>
      </font>
      <fill>
        <patternFill patternType="none">
          <bgColor auto="1"/>
        </patternFill>
      </fill>
    </dxf>
    <dxf>
      <font>
        <color auto="1"/>
      </font>
      <fill>
        <patternFill>
          <bgColor rgb="FFFF0000"/>
        </patternFill>
      </fill>
    </dxf>
    <dxf>
      <font>
        <color theme="0"/>
      </font>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ont>
        <color theme="0"/>
      </font>
      <border>
        <left/>
        <right/>
        <top style="thin">
          <color auto="1"/>
        </top>
        <bottom/>
        <vertical/>
        <horizontal/>
      </border>
    </dxf>
    <dxf>
      <fill>
        <patternFill>
          <bgColor rgb="FFFF0000"/>
        </patternFill>
      </fill>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border>
        <left/>
        <right/>
        <top style="thin">
          <color auto="1"/>
        </top>
        <bottom/>
        <vertical/>
        <horizontal/>
      </border>
    </dxf>
    <dxf>
      <fill>
        <patternFill patternType="gray0625">
          <fgColor rgb="FFFABDBC"/>
          <bgColor indexed="65"/>
        </patternFill>
      </fill>
    </dxf>
    <dxf>
      <fill>
        <patternFill>
          <bgColor rgb="FFFF0000"/>
        </patternFill>
      </fill>
    </dxf>
    <dxf>
      <font>
        <color theme="0"/>
      </font>
      <border>
        <left/>
        <right/>
        <top style="thin">
          <color auto="1"/>
        </top>
        <bottom/>
        <vertical/>
        <horizontal/>
      </border>
    </dxf>
    <dxf>
      <font>
        <color rgb="FF9C0006"/>
      </font>
      <fill>
        <patternFill>
          <bgColor rgb="FFFFC7CE"/>
        </patternFill>
      </fill>
    </dxf>
    <dxf>
      <font>
        <color rgb="FF9C0006"/>
      </font>
      <fill>
        <patternFill>
          <bgColor rgb="FFFFC7CE"/>
        </patternFill>
      </fill>
    </dxf>
    <dxf>
      <font>
        <color theme="0"/>
      </font>
    </dxf>
    <dxf>
      <font>
        <color theme="0"/>
      </font>
      <border>
        <left/>
        <right/>
        <top/>
        <bottom/>
        <vertical/>
        <horizontal/>
      </border>
    </dxf>
    <dxf>
      <font>
        <color theme="0"/>
      </font>
    </dxf>
    <dxf>
      <fill>
        <patternFill patternType="gray0625">
          <fgColor rgb="FFFABDBC"/>
          <bgColor indexed="65"/>
        </patternFill>
      </fill>
    </dxf>
    <dxf>
      <font>
        <color theme="0"/>
      </font>
    </dxf>
    <dxf>
      <font>
        <color theme="0"/>
      </font>
    </dxf>
    <dxf>
      <font>
        <color theme="0"/>
      </font>
    </dxf>
    <dxf>
      <font>
        <color theme="0"/>
      </font>
    </dxf>
    <dxf>
      <font>
        <color theme="0"/>
      </font>
      <border>
        <left/>
        <right/>
        <top style="thin">
          <color auto="1"/>
        </top>
        <bottom/>
        <vertical/>
        <horizontal/>
      </border>
    </dxf>
    <dxf>
      <font>
        <color theme="0"/>
      </font>
      <border>
        <left/>
        <right/>
        <top style="thin">
          <color auto="1"/>
        </top>
        <bottom/>
        <vertical/>
        <horizontal/>
      </border>
    </dxf>
    <dxf>
      <fill>
        <patternFill patternType="gray0625">
          <fgColor rgb="FFFABDBC"/>
          <bgColor indexed="65"/>
        </patternFill>
      </fill>
    </dxf>
    <dxf>
      <font>
        <color theme="0"/>
      </font>
      <fill>
        <patternFill patternType="none">
          <bgColor auto="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00FF00"/>
      </font>
    </dxf>
    <dxf>
      <font>
        <color rgb="FF00FF00"/>
      </font>
    </dxf>
    <dxf>
      <font>
        <color rgb="FFFF0000"/>
      </font>
      <fill>
        <patternFill patternType="none">
          <bgColor auto="1"/>
        </patternFill>
      </fill>
    </dxf>
    <dxf>
      <font>
        <color rgb="FF00FF00"/>
      </font>
    </dxf>
    <dxf>
      <font>
        <color rgb="FF00FF00"/>
      </font>
    </dxf>
    <dxf>
      <fill>
        <patternFill>
          <bgColor rgb="FFFF0000"/>
        </patternFill>
      </fill>
    </dxf>
    <dxf>
      <fill>
        <patternFill>
          <bgColor rgb="FFFF0000"/>
        </patternFill>
      </fill>
    </dxf>
    <dxf>
      <fill>
        <patternFill>
          <bgColor rgb="FFF15C5A"/>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indexed="6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ont>
        <color theme="0"/>
      </font>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9" tint="0.39994506668294322"/>
        </patternFill>
      </fill>
    </dxf>
    <dxf>
      <fill>
        <patternFill>
          <bgColor theme="9" tint="0.59996337778862885"/>
        </patternFill>
      </fill>
    </dxf>
    <dxf>
      <fill>
        <patternFill>
          <bgColor theme="9" tint="0.59996337778862885"/>
        </patternFill>
      </fill>
    </dxf>
    <dxf>
      <font>
        <color theme="0"/>
      </font>
    </dxf>
    <dxf>
      <fill>
        <patternFill>
          <bgColor theme="9" tint="0.59996337778862885"/>
        </patternFill>
      </fill>
    </dxf>
    <dxf>
      <fill>
        <patternFill>
          <bgColor theme="9" tint="0.59996337778862885"/>
        </patternFill>
      </fill>
    </dxf>
    <dxf>
      <font>
        <color theme="0"/>
      </font>
    </dxf>
    <dxf>
      <font>
        <color theme="0"/>
      </font>
      <fill>
        <patternFill patternType="none">
          <bgColor auto="1"/>
        </patternFill>
      </fill>
    </dxf>
    <dxf>
      <font>
        <color theme="0"/>
      </font>
    </dxf>
    <dxf>
      <fill>
        <patternFill>
          <bgColor theme="9" tint="0.399945066682943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ill>
        <patternFill>
          <bgColor rgb="FFFFFF00"/>
        </patternFill>
      </fill>
    </dxf>
    <dxf>
      <font>
        <color theme="0"/>
      </font>
      <fill>
        <patternFill patternType="none">
          <bgColor auto="1"/>
        </patternFill>
      </fill>
    </dxf>
    <dxf>
      <fill>
        <patternFill>
          <bgColor rgb="FFFFFF00"/>
        </patternFill>
      </fill>
    </dxf>
    <dxf>
      <fill>
        <patternFill>
          <bgColor rgb="FFFFFF00"/>
        </patternFill>
      </fill>
    </dxf>
    <dxf>
      <fill>
        <patternFill>
          <bgColor rgb="FFFFFF00"/>
        </patternFill>
      </fill>
    </dxf>
    <dxf>
      <font>
        <color rgb="FFCCFFCC"/>
      </font>
    </dxf>
    <dxf>
      <font>
        <color rgb="FFCCFFCC"/>
      </font>
    </dxf>
    <dxf>
      <font>
        <color rgb="FFCCFFCC"/>
      </font>
    </dxf>
    <dxf>
      <font>
        <color rgb="FF00FF00"/>
      </font>
    </dxf>
    <dxf>
      <font>
        <color rgb="FF00FF00"/>
      </font>
    </dxf>
    <dxf>
      <font>
        <color rgb="FF00FF00"/>
      </font>
    </dxf>
    <dxf>
      <font>
        <color rgb="FF00FF00"/>
      </font>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rgb="FFFFFF00"/>
        </patternFill>
      </fill>
    </dxf>
    <dxf>
      <fill>
        <patternFill>
          <bgColor rgb="FFFFFF00"/>
        </patternFill>
      </fill>
    </dxf>
    <dxf>
      <font>
        <color rgb="FF00FF00"/>
      </font>
    </dxf>
    <dxf>
      <fill>
        <patternFill>
          <bgColor theme="9" tint="-0.2499465926084170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fgColor auto="1"/>
          <bgColor rgb="FFFF0000"/>
        </patternFill>
      </fill>
    </dxf>
    <dxf>
      <font>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vertical/>
        <horizontal/>
      </border>
    </dxf>
    <dxf>
      <font>
        <color rgb="FF00FF00"/>
      </font>
    </dxf>
    <dxf>
      <fill>
        <patternFill>
          <bgColor rgb="FFFFFF00"/>
        </patternFill>
      </fill>
    </dxf>
    <dxf>
      <font>
        <color rgb="FF00FF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00FF00"/>
      </font>
    </dxf>
    <dxf>
      <fill>
        <patternFill>
          <bgColor rgb="FFFFFF00"/>
        </patternFill>
      </fill>
    </dxf>
    <dxf>
      <fill>
        <patternFill>
          <bgColor rgb="FFFFFF00"/>
        </patternFill>
      </fill>
    </dxf>
    <dxf>
      <font>
        <color rgb="FF00FF00"/>
      </font>
    </dxf>
    <dxf>
      <fill>
        <patternFill>
          <bgColor rgb="FFFFFF0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fgColor theme="0"/>
          <bgColor theme="0"/>
        </patternFill>
      </fill>
      <border>
        <left/>
        <right/>
        <top/>
        <bottom/>
        <vertical/>
        <horizontal/>
      </border>
    </dxf>
    <dxf>
      <fill>
        <patternFill>
          <bgColor rgb="FFFFFF00"/>
        </patternFill>
      </fill>
    </dxf>
    <dxf>
      <font>
        <color theme="0"/>
      </font>
    </dxf>
    <dxf>
      <fill>
        <patternFill>
          <bgColor rgb="FFFF0000"/>
        </patternFill>
      </fill>
    </dxf>
    <dxf>
      <font>
        <color theme="0"/>
      </font>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rgb="FF00FF00"/>
      </font>
    </dxf>
    <dxf>
      <font>
        <color theme="0"/>
      </font>
      <fill>
        <patternFill patternType="none">
          <bgColor auto="1"/>
        </patternFill>
      </fill>
      <border>
        <left/>
        <right/>
        <top/>
        <bottom/>
      </border>
    </dxf>
    <dxf>
      <font>
        <b val="0"/>
        <i val="0"/>
        <color theme="0"/>
      </font>
      <fill>
        <patternFill patternType="none">
          <bgColor auto="1"/>
        </patternFill>
      </fill>
      <border>
        <left/>
        <right/>
        <top/>
        <bottom/>
        <vertical/>
        <horizontal/>
      </border>
    </dxf>
    <dxf>
      <font>
        <color rgb="FF00FF00"/>
      </font>
    </dxf>
    <dxf>
      <font>
        <b val="0"/>
        <i val="0"/>
        <color theme="0"/>
      </font>
      <fill>
        <patternFill patternType="none">
          <bgColor auto="1"/>
        </patternFill>
      </fill>
      <border>
        <left/>
        <right/>
        <top/>
        <bottom/>
        <vertical/>
        <horizontal/>
      </border>
    </dxf>
    <dxf>
      <font>
        <color rgb="FF00FF00"/>
      </font>
    </dxf>
    <dxf>
      <font>
        <color rgb="FF00FF00"/>
      </font>
    </dxf>
    <dxf>
      <font>
        <b val="0"/>
        <i val="0"/>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b val="0"/>
        <i val="0"/>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auto="1"/>
      </font>
      <fill>
        <patternFill>
          <bgColor rgb="FF7030A0"/>
        </patternFill>
      </fill>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theme="0"/>
      </font>
    </dxf>
    <dxf>
      <font>
        <b/>
        <i val="0"/>
        <color auto="1"/>
      </font>
      <fill>
        <patternFill>
          <bgColor rgb="FF7030A0"/>
        </patternFill>
      </fill>
    </dxf>
    <dxf>
      <font>
        <color theme="0"/>
      </font>
      <fill>
        <patternFill patternType="none">
          <bgColor auto="1"/>
        </patternFill>
      </fill>
      <border>
        <left/>
        <right/>
        <top/>
        <bottom/>
        <vertical/>
        <horizontal/>
      </border>
    </dxf>
    <dxf>
      <font>
        <color rgb="FF00FF00"/>
      </font>
    </dxf>
    <dxf>
      <fill>
        <patternFill patternType="gray0625">
          <fgColor rgb="FFFABDBC"/>
          <bgColor indexed="65"/>
        </patternFill>
      </fill>
    </dxf>
    <dxf>
      <fill>
        <patternFill patternType="gray0625">
          <fgColor rgb="FFFABDBC"/>
          <bgColor indexed="65"/>
        </patternFill>
      </fill>
    </dxf>
    <dxf>
      <font>
        <b val="0"/>
        <condense val="0"/>
        <extend val="0"/>
        <color indexed="17"/>
      </font>
      <fill>
        <patternFill patternType="solid">
          <fgColor indexed="42"/>
          <bgColor indexed="27"/>
        </patternFill>
      </fill>
    </dxf>
    <dxf>
      <fill>
        <patternFill patternType="solid">
          <fgColor indexed="26"/>
          <bgColor indexed="47"/>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color theme="0"/>
      </font>
    </dxf>
    <dxf>
      <font>
        <color theme="0"/>
      </font>
    </dxf>
    <dxf>
      <font>
        <color theme="0"/>
      </font>
    </dxf>
    <dxf>
      <font>
        <color theme="0"/>
      </font>
      <fill>
        <patternFill patternType="none">
          <bgColor auto="1"/>
        </patternFill>
      </fill>
    </dxf>
    <dxf>
      <fill>
        <patternFill patternType="solid">
          <bgColor rgb="FFF15C5A"/>
        </patternFill>
      </fill>
    </dxf>
    <dxf>
      <fill>
        <patternFill patternType="solid">
          <bgColor rgb="FFF15C5A"/>
        </patternFill>
      </fill>
    </dxf>
    <dxf>
      <font>
        <color rgb="FF00FF00"/>
      </font>
    </dxf>
    <dxf>
      <font>
        <color rgb="FF00FF00"/>
      </font>
    </dxf>
    <dxf>
      <fill>
        <patternFill>
          <bgColor rgb="FFFF0000"/>
        </patternFill>
      </fill>
    </dxf>
    <dxf>
      <fill>
        <patternFill>
          <bgColor rgb="FFFF0000"/>
        </patternFill>
      </fill>
    </dxf>
    <dxf>
      <font>
        <color theme="0"/>
      </font>
      <fill>
        <patternFill patternType="none">
          <bgColor auto="1"/>
        </patternFill>
      </fill>
    </dxf>
    <dxf>
      <font>
        <u val="double"/>
        <color rgb="FFFF0000"/>
      </font>
    </dxf>
    <dxf>
      <fill>
        <patternFill>
          <bgColor rgb="FFFF0000"/>
        </patternFill>
      </fill>
    </dxf>
    <dxf>
      <font>
        <u val="double"/>
        <color rgb="FFFF0000"/>
      </font>
    </dxf>
    <dxf>
      <font>
        <color theme="0"/>
      </font>
      <fill>
        <patternFill patternType="none">
          <bgColor auto="1"/>
        </patternFill>
      </fill>
    </dxf>
    <dxf>
      <font>
        <u val="double"/>
        <color rgb="FFFF0000"/>
      </font>
    </dxf>
    <dxf>
      <font>
        <color theme="0"/>
      </font>
      <fill>
        <patternFill patternType="none">
          <bgColor auto="1"/>
        </patternFill>
      </fill>
      <border>
        <left/>
        <right/>
        <top/>
        <bottom/>
        <vertical/>
        <horizontal/>
      </border>
    </dxf>
    <dxf>
      <fill>
        <patternFill>
          <bgColor rgb="FFFF0000"/>
        </patternFill>
      </fill>
    </dxf>
    <dxf>
      <fill>
        <patternFill patternType="none">
          <bgColor auto="1"/>
        </patternFill>
      </fill>
    </dxf>
    <dxf>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auto="1"/>
      </font>
      <fill>
        <patternFill>
          <bgColor rgb="FFFF0000"/>
        </patternFill>
      </fill>
    </dxf>
    <dxf>
      <fill>
        <patternFill>
          <bgColor rgb="FFFF0000"/>
        </patternFill>
      </fill>
    </dxf>
    <dxf>
      <fill>
        <patternFill patternType="none">
          <bgColor auto="1"/>
        </patternFill>
      </fill>
    </dxf>
    <dxf>
      <fill>
        <patternFill>
          <bgColor rgb="FFFF0000"/>
        </patternFill>
      </fill>
    </dxf>
    <dxf>
      <fill>
        <patternFill patternType="none">
          <bgColor auto="1"/>
        </patternFill>
      </fill>
    </dxf>
    <dxf>
      <fill>
        <patternFill>
          <bgColor rgb="FFFF0000"/>
        </patternFill>
      </fill>
    </dxf>
    <dxf>
      <font>
        <color rgb="FF00FF00"/>
      </font>
    </dxf>
    <dxf>
      <font>
        <color theme="0"/>
      </font>
      <fill>
        <patternFill patternType="none">
          <bgColor auto="1"/>
        </patternFill>
      </fill>
      <border>
        <left/>
        <right/>
        <top/>
        <bottom/>
        <vertical/>
        <horizontal/>
      </border>
    </dxf>
    <dxf>
      <fill>
        <patternFill patternType="solid">
          <bgColor theme="7" tint="0.59996337778862885"/>
        </patternFill>
      </fill>
    </dxf>
    <dxf>
      <fill>
        <patternFill>
          <bgColor theme="7" tint="0.59996337778862885"/>
        </patternFill>
      </fill>
    </dxf>
    <dxf>
      <font>
        <color theme="0"/>
      </font>
    </dxf>
    <dxf>
      <font>
        <color theme="0"/>
      </font>
    </dxf>
    <dxf>
      <fill>
        <patternFill>
          <bgColor theme="0"/>
        </patternFill>
      </fill>
    </dxf>
    <dxf>
      <font>
        <color theme="0"/>
      </font>
    </dxf>
    <dxf>
      <font>
        <color theme="0" tint="-0.34998626667073579"/>
      </font>
      <fill>
        <patternFill>
          <bgColor theme="0" tint="-0.34998626667073579"/>
        </patternFill>
      </fill>
    </dxf>
    <dxf>
      <font>
        <color theme="0"/>
      </font>
    </dxf>
    <dxf>
      <font>
        <color theme="0"/>
      </font>
    </dxf>
    <dxf>
      <font>
        <color theme="0"/>
      </font>
    </dxf>
    <dxf>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patternType="none">
          <bgColor auto="1"/>
        </patternFill>
      </fill>
    </dxf>
    <dxf>
      <fill>
        <patternFill patternType="none">
          <bgColor auto="1"/>
        </patternFill>
      </fill>
    </dxf>
    <dxf>
      <font>
        <color theme="0" tint="-0.34998626667073579"/>
      </font>
      <fill>
        <patternFill>
          <bgColor theme="0" tint="-0.34998626667073579"/>
        </patternFill>
      </fill>
    </dxf>
    <dxf>
      <fill>
        <patternFill>
          <bgColor theme="0"/>
        </patternFill>
      </fill>
    </dxf>
    <dxf>
      <fill>
        <patternFill>
          <bgColor rgb="FFFF0000"/>
        </patternFill>
      </fill>
    </dxf>
    <dxf>
      <fill>
        <patternFill>
          <bgColor rgb="FFFF0000"/>
        </patternFill>
      </fill>
    </dxf>
    <dxf>
      <font>
        <color theme="0" tint="-0.34998626667073579"/>
      </font>
      <fill>
        <patternFill>
          <bgColor theme="0" tint="-0.34998626667073579"/>
        </patternFill>
      </fill>
    </dxf>
    <dxf>
      <fill>
        <patternFill>
          <bgColor theme="0"/>
        </patternFill>
      </fill>
    </dxf>
    <dxf>
      <fill>
        <patternFill patternType="none">
          <bgColor auto="1"/>
        </patternFill>
      </fill>
    </dxf>
    <dxf>
      <fill>
        <patternFill patternType="none">
          <bgColor auto="1"/>
        </patternFill>
      </fill>
    </dxf>
    <dxf>
      <font>
        <b/>
        <i val="0"/>
      </font>
    </dxf>
    <dxf>
      <fill>
        <patternFill>
          <bgColor theme="9" tint="0.59996337778862885"/>
        </patternFill>
      </fill>
    </dxf>
    <dxf>
      <fill>
        <patternFill>
          <bgColor theme="7" tint="0.59996337778862885"/>
        </patternFill>
      </fill>
    </dxf>
    <dxf>
      <font>
        <color theme="0" tint="-0.34998626667073579"/>
      </font>
      <fill>
        <patternFill>
          <bgColor theme="0" tint="-0.34998626667073579"/>
        </patternFill>
      </fill>
    </dxf>
    <dxf>
      <fill>
        <patternFill>
          <bgColor theme="0"/>
        </patternFill>
      </fill>
    </dxf>
    <dxf>
      <fill>
        <patternFill>
          <bgColor rgb="FFFF0000"/>
        </patternFill>
      </fill>
    </dxf>
    <dxf>
      <font>
        <color theme="0"/>
      </font>
      <fill>
        <patternFill>
          <bgColor theme="0"/>
        </patternFill>
      </fill>
    </dxf>
    <dxf>
      <fill>
        <patternFill>
          <bgColor theme="0"/>
        </patternFill>
      </fill>
    </dxf>
    <dxf>
      <font>
        <color theme="0" tint="-0.34998626667073579"/>
      </font>
      <fill>
        <patternFill>
          <bgColor theme="0" tint="-0.34998626667073579"/>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ont>
        <color auto="1"/>
      </font>
      <fill>
        <patternFill>
          <bgColor theme="3" tint="0.59996337778862885"/>
        </patternFill>
      </fill>
    </dxf>
    <dxf>
      <fill>
        <patternFill>
          <bgColor theme="5" tint="0.59996337778862885"/>
        </patternFill>
      </fill>
    </dxf>
    <dxf>
      <fill>
        <patternFill>
          <bgColor theme="6" tint="0.59996337778862885"/>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theme="0" tint="-0.34998626667073579"/>
      </font>
      <fill>
        <patternFill>
          <bgColor theme="0" tint="-0.34998626667073579"/>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bgColor theme="5" tint="0.59996337778862885"/>
        </patternFill>
      </fill>
    </dxf>
    <dxf>
      <fill>
        <patternFill>
          <bgColor theme="7" tint="0.59996337778862885"/>
        </patternFill>
      </fill>
    </dxf>
    <dxf>
      <fill>
        <patternFill>
          <bgColor theme="8" tint="0.59996337778862885"/>
        </patternFill>
      </fill>
    </dxf>
    <dxf>
      <fill>
        <patternFill>
          <bgColor theme="9" tint="0.59996337778862885"/>
        </patternFill>
      </fill>
    </dxf>
    <dxf>
      <fill>
        <patternFill>
          <bgColor theme="2" tint="-0.24994659260841701"/>
        </patternFill>
      </fill>
    </dxf>
    <dxf>
      <fill>
        <patternFill>
          <bgColor theme="6" tint="0.59996337778862885"/>
        </patternFill>
      </fill>
    </dxf>
    <dxf>
      <fill>
        <patternFill>
          <bgColor theme="3" tint="0.59996337778862885"/>
        </patternFill>
      </fill>
    </dxf>
    <dxf>
      <font>
        <color theme="1" tint="0.34998626667073579"/>
      </font>
      <fill>
        <patternFill>
          <bgColor theme="0" tint="-0.34998626667073579"/>
        </patternFill>
      </fill>
    </dxf>
    <dxf>
      <font>
        <b val="0"/>
        <condense val="0"/>
        <extend val="0"/>
        <color indexed="42"/>
      </font>
    </dxf>
    <dxf>
      <font>
        <color theme="0"/>
      </font>
    </dxf>
    <dxf>
      <font>
        <b val="0"/>
        <condense val="0"/>
        <extend val="0"/>
        <color indexed="9"/>
      </font>
    </dxf>
    <dxf>
      <font>
        <color theme="0" tint="-0.34998626667073579"/>
      </font>
      <fill>
        <patternFill>
          <bgColor theme="0" tint="-0.34998626667073579"/>
        </patternFill>
      </fill>
    </dxf>
    <dxf>
      <fill>
        <patternFill>
          <bgColor rgb="FFFF0000"/>
        </patternFill>
      </fill>
    </dxf>
    <dxf>
      <font>
        <color theme="0"/>
      </font>
    </dxf>
    <dxf>
      <font>
        <color theme="0"/>
      </font>
    </dxf>
    <dxf>
      <font>
        <color theme="0"/>
      </font>
    </dxf>
    <dxf>
      <font>
        <b val="0"/>
        <condense val="0"/>
        <extend val="0"/>
        <color indexed="9"/>
      </font>
    </dxf>
    <dxf>
      <font>
        <color theme="0" tint="-0.34998626667073579"/>
      </font>
      <fill>
        <patternFill>
          <bgColor theme="0" tint="-0.34998626667073579"/>
        </patternFill>
      </fill>
    </dxf>
    <dxf>
      <font>
        <color theme="0"/>
      </font>
    </dxf>
    <dxf>
      <font>
        <color theme="1" tint="0.34998626667073579"/>
      </font>
      <fill>
        <patternFill>
          <bgColor theme="0" tint="-0.34998626667073579"/>
        </patternFill>
      </fill>
    </dxf>
    <dxf>
      <font>
        <b/>
        <i val="0"/>
      </font>
    </dxf>
    <dxf>
      <fill>
        <patternFill>
          <bgColor theme="7" tint="0.59996337778862885"/>
        </patternFill>
      </fill>
    </dxf>
    <dxf>
      <fill>
        <patternFill>
          <bgColor theme="9" tint="0.59996337778862885"/>
        </patternFill>
      </fill>
    </dxf>
    <dxf>
      <font>
        <color theme="0"/>
      </font>
      <fill>
        <patternFill patternType="none">
          <bgColor auto="1"/>
        </patternFill>
      </fill>
      <border>
        <left/>
        <right/>
        <top/>
        <bottom/>
        <vertical/>
        <horizontal/>
      </border>
    </dxf>
    <dxf>
      <fill>
        <patternFill patternType="gray0625">
          <fgColor rgb="FFFABDBC"/>
          <bgColor auto="1"/>
        </patternFill>
      </fill>
    </dxf>
    <dxf>
      <font>
        <color theme="0"/>
      </font>
      <border>
        <left/>
        <right/>
        <top/>
        <bottom/>
        <vertical/>
        <horizontal/>
      </border>
    </dxf>
    <dxf>
      <font>
        <color theme="0"/>
      </font>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ill>
        <patternFill>
          <bgColor rgb="FFFF0000"/>
        </patternFill>
      </fill>
    </dxf>
    <dxf>
      <fill>
        <patternFill>
          <bgColor rgb="FFFF0000"/>
        </patternFill>
      </fill>
    </dxf>
    <dxf>
      <font>
        <color theme="0"/>
      </font>
      <fill>
        <patternFill patternType="none">
          <bgColor auto="1"/>
        </patternFill>
      </fill>
      <border>
        <left/>
        <right/>
        <top/>
        <bottom/>
        <vertical/>
        <horizontal/>
      </border>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border>
        <left/>
        <right/>
        <top/>
        <bottom/>
        <vertical/>
        <horizontal/>
      </border>
    </dxf>
    <dxf>
      <font>
        <color theme="0"/>
      </font>
    </dxf>
    <dxf>
      <font>
        <color theme="0"/>
      </font>
      <fill>
        <patternFill patternType="none">
          <bgColor auto="1"/>
        </patternFill>
      </fill>
      <border>
        <left/>
        <right/>
        <top/>
        <bottom/>
        <vertical/>
        <horizontal/>
      </border>
    </dxf>
    <dxf>
      <font>
        <color theme="0"/>
      </font>
    </dxf>
    <dxf>
      <font>
        <color theme="0"/>
      </font>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dxf>
    <dxf>
      <fill>
        <patternFill patternType="gray0625">
          <fgColor rgb="FFFABDBC"/>
          <bgColor indexed="65"/>
        </patternFill>
      </fill>
    </dxf>
    <dxf>
      <font>
        <color theme="0"/>
      </font>
    </dxf>
    <dxf>
      <font>
        <color theme="0"/>
      </font>
    </dxf>
    <dxf>
      <fill>
        <patternFill patternType="gray0625">
          <fgColor rgb="FFFABDBC"/>
          <bgColor indexed="65"/>
        </patternFill>
      </fill>
    </dxf>
    <dxf>
      <numFmt numFmtId="169" formatCode="0.00&quot; hrs&quot;"/>
    </dxf>
    <dxf>
      <numFmt numFmtId="0" formatCode="General"/>
    </dxf>
    <dxf>
      <numFmt numFmtId="174" formatCode="0&quot; jrs&quot;"/>
    </dxf>
    <dxf>
      <numFmt numFmtId="174" formatCode="0&quot; jrs&quot;"/>
    </dxf>
    <dxf>
      <numFmt numFmtId="201" formatCode="0.00##&quot; hrs&quot;"/>
    </dxf>
    <dxf>
      <numFmt numFmtId="0" formatCode="Genera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ill>
        <patternFill patternType="gray0625">
          <fgColor rgb="FFFABDBC"/>
          <bgColor indexed="65"/>
        </patternFill>
      </fill>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9C0006"/>
      <rgbColor rgb="00006100"/>
      <rgbColor rgb="00000080"/>
      <rgbColor rgb="00808000"/>
      <rgbColor rgb="00800080"/>
      <rgbColor rgb="00008080"/>
      <rgbColor rgb="00C3D69B"/>
      <rgbColor rgb="00808080"/>
      <rgbColor rgb="009999FF"/>
      <rgbColor rgb="00993366"/>
      <rgbColor rgb="00D7E4BD"/>
      <rgbColor rgb="00C6EFCE"/>
      <rgbColor rgb="00660066"/>
      <rgbColor rgb="00FF8080"/>
      <rgbColor rgb="000066CC"/>
      <rgbColor rgb="00B7DEE8"/>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7CE"/>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15C5A"/>
      <color rgb="FFF79D9B"/>
      <color rgb="FFFABDBC"/>
      <color rgb="FFF26360"/>
      <color rgb="FFEF433F"/>
      <color rgb="FFFBCECD"/>
      <color rgb="FFEAABEB"/>
      <color rgb="FFF48784"/>
      <color rgb="FFF47F7C"/>
      <color rgb="FFCD4C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jp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g"/></Relationships>
</file>

<file path=xl/drawings/_rels/drawing2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g"/></Relationships>
</file>

<file path=xl/drawings/_rels/drawing3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g"/></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10.jpeg"/><Relationship Id="rId1" Type="http://schemas.openxmlformats.org/officeDocument/2006/relationships/image" Target="../media/image1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323849</xdr:colOff>
      <xdr:row>3</xdr:row>
      <xdr:rowOff>38100</xdr:rowOff>
    </xdr:from>
    <xdr:to>
      <xdr:col>14</xdr:col>
      <xdr:colOff>495300</xdr:colOff>
      <xdr:row>34</xdr:row>
      <xdr:rowOff>127000</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323849" y="514350"/>
          <a:ext cx="10839451" cy="5010150"/>
        </a:xfrm>
        <a:prstGeom prst="rect">
          <a:avLst/>
        </a:prstGeom>
        <a:solidFill>
          <a:schemeClr val="bg1"/>
        </a:solidFill>
        <a:ln w="38100" cmpd="sng">
          <a:solidFill>
            <a:srgbClr val="5E257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Bonjour,</a:t>
          </a:r>
        </a:p>
        <a:p>
          <a:endParaRPr lang="fr-FR" sz="1100"/>
        </a:p>
        <a:p>
          <a:r>
            <a:rPr lang="fr-FR" sz="1100"/>
            <a:t>Voici</a:t>
          </a:r>
          <a:r>
            <a:rPr lang="fr-FR" sz="1100" baseline="0"/>
            <a:t> quelques conseils d'utilisation du fichier des Bulletins de salaires.</a:t>
          </a:r>
        </a:p>
        <a:p>
          <a:endParaRPr lang="fr-FR" sz="1100" baseline="0"/>
        </a:p>
        <a:p>
          <a:r>
            <a:rPr lang="fr-FR" sz="1100" baseline="0"/>
            <a:t>- Pour que le fichier fonctionne </a:t>
          </a:r>
          <a:r>
            <a:rPr lang="fr-FR" sz="1100" baseline="0">
              <a:solidFill>
                <a:srgbClr val="FF0000"/>
              </a:solidFill>
            </a:rPr>
            <a:t>il faut utiliser la version </a:t>
          </a:r>
          <a:r>
            <a:rPr lang="fr-FR" sz="1100" b="1" u="sng" baseline="0">
              <a:solidFill>
                <a:srgbClr val="FF0000"/>
              </a:solidFill>
            </a:rPr>
            <a:t>Excel 2013</a:t>
          </a:r>
          <a:r>
            <a:rPr lang="fr-FR" sz="1100" u="sng" baseline="0">
              <a:solidFill>
                <a:srgbClr val="FF0000"/>
              </a:solidFill>
            </a:rPr>
            <a:t> </a:t>
          </a:r>
          <a:r>
            <a:rPr lang="fr-FR" sz="1100" baseline="0">
              <a:solidFill>
                <a:srgbClr val="FF0000"/>
              </a:solidFill>
            </a:rPr>
            <a:t>au minimum ou </a:t>
          </a:r>
          <a:r>
            <a:rPr lang="fr-FR" sz="1100" b="1" u="sng" baseline="0">
              <a:solidFill>
                <a:srgbClr val="FF0000"/>
              </a:solidFill>
            </a:rPr>
            <a:t>Libre Office</a:t>
          </a:r>
          <a:r>
            <a:rPr lang="fr-FR" sz="1100" baseline="0">
              <a:solidFill>
                <a:srgbClr val="FF0000"/>
              </a:solidFill>
            </a:rPr>
            <a:t> (mais pas Open Office)</a:t>
          </a:r>
        </a:p>
        <a:p>
          <a:endParaRPr lang="fr-FR" sz="1100" baseline="0">
            <a:solidFill>
              <a:srgbClr val="FF0000"/>
            </a:solidFill>
          </a:endParaRPr>
        </a:p>
        <a:p>
          <a:r>
            <a:rPr lang="fr-FR" sz="1100" baseline="0">
              <a:solidFill>
                <a:srgbClr val="FF0000"/>
              </a:solidFill>
            </a:rPr>
            <a:t>- Les cellules remplissables et modifiables sont de ces couleurs :                                </a:t>
          </a:r>
        </a:p>
        <a:p>
          <a:r>
            <a:rPr lang="fr-FR" sz="1100" baseline="0"/>
            <a:t> </a:t>
          </a:r>
        </a:p>
        <a:p>
          <a:r>
            <a:rPr lang="fr-FR" sz="1100" b="1" baseline="0"/>
            <a:t> </a:t>
          </a:r>
          <a:r>
            <a:rPr lang="fr-FR" sz="1100" b="0" baseline="0">
              <a:solidFill>
                <a:sysClr val="windowText" lastClr="000000"/>
              </a:solidFill>
            </a:rPr>
            <a:t>Quelques remarques importantes :</a:t>
          </a:r>
        </a:p>
        <a:p>
          <a:r>
            <a:rPr lang="fr-FR" sz="1100" b="0" baseline="0">
              <a:solidFill>
                <a:sysClr val="windowText" lastClr="000000"/>
              </a:solidFill>
            </a:rPr>
            <a:t>Pour des facilités d'écriture, malgré le changement de nomenclatures avec la nouvelle CCN 2022, nous utilisons toujours les termes  :</a:t>
          </a:r>
        </a:p>
        <a:p>
          <a:r>
            <a:rPr lang="fr-FR" sz="1100" b="0" baseline="0">
              <a:solidFill>
                <a:sysClr val="windowText" lastClr="000000"/>
              </a:solidFill>
            </a:rPr>
            <a:t>Année complète - à la place d'accueil sur 52 semaines </a:t>
          </a:r>
        </a:p>
        <a:p>
          <a:r>
            <a:rPr lang="fr-FR" sz="1100" b="0" baseline="0">
              <a:solidFill>
                <a:sysClr val="windowText" lastClr="000000"/>
              </a:solidFill>
            </a:rPr>
            <a:t>Année incomplète -  à la place d'accueil sur 46 semaines ou moins</a:t>
          </a:r>
        </a:p>
        <a:p>
          <a:endParaRPr lang="fr-FR" sz="1100" b="0" baseline="0">
            <a:solidFill>
              <a:sysClr val="windowText" lastClr="000000"/>
            </a:solidFill>
          </a:endParaRPr>
        </a:p>
        <a:p>
          <a:r>
            <a:rPr lang="fr-FR" sz="1100" b="0" baseline="0">
              <a:solidFill>
                <a:sysClr val="windowText" lastClr="000000"/>
              </a:solidFill>
            </a:rPr>
            <a:t>- Si vous souhaitez masquer des onglets ou feuilles (exemple : fiche info Avenant 2...). Faire un clic droit sur l'onglet ou la feuille que vous souhaitez masquer et sélectionnez la fonction "Masquer".</a:t>
          </a:r>
        </a:p>
        <a:p>
          <a:r>
            <a:rPr lang="fr-FR" sz="1100" b="0" baseline="0">
              <a:solidFill>
                <a:sysClr val="windowText" lastClr="000000"/>
              </a:solidFill>
            </a:rPr>
            <a:t>- Si à l'inverse vous souhaitez refaire afficher les onglets ou feuilles masqués. Faire un clic droit sur n'importe quel onglet ou feuilles et sélectionnez "Afficher" et choisir l'onglet ou feuille que vous désirez.</a:t>
          </a:r>
        </a:p>
        <a:p>
          <a:r>
            <a:rPr lang="fr-FR" sz="1100" b="0" baseline="0">
              <a:solidFill>
                <a:sysClr val="windowText" lastClr="000000"/>
              </a:solidFill>
            </a:rPr>
            <a:t>- Le taux de prélèvement à la source est défini dans l'onglet "Identification" mais en cas de changement en cours d'année vous pouvez directement le changer sur le bulletin pour les mois concernés (AR78)</a:t>
          </a:r>
        </a:p>
        <a:p>
          <a:r>
            <a:rPr lang="fr-FR" sz="1100" b="0" baseline="0">
              <a:solidFill>
                <a:sysClr val="windowText" lastClr="000000"/>
              </a:solidFill>
            </a:rPr>
            <a:t>- En cas d'avenant pour une modification du nombre de jours de travail ou de semaines vous pouvez utiliser les onglets ou feuilles "Fiche info Avenant 1", "Fiche info Avenant 2"...jusqu'à "Fiche info Avenant 10"</a:t>
          </a:r>
        </a:p>
        <a:p>
          <a:endParaRPr lang="fr-FR" sz="1100" b="1" baseline="0">
            <a:solidFill>
              <a:srgbClr val="FF0000"/>
            </a:solidFill>
          </a:endParaRPr>
        </a:p>
        <a:p>
          <a:endParaRPr lang="fr-FR" sz="1100" b="1" baseline="0">
            <a:solidFill>
              <a:srgbClr val="FF0000"/>
            </a:solidFill>
          </a:endParaRPr>
        </a:p>
        <a:p>
          <a:r>
            <a:rPr lang="fr-FR" sz="1100" b="1" baseline="0">
              <a:solidFill>
                <a:srgbClr val="FF0000"/>
              </a:solidFill>
            </a:rPr>
            <a:t>Si vous avez des questions n'hésitez pas à nous contacter. </a:t>
          </a:r>
        </a:p>
        <a:p>
          <a:r>
            <a:rPr lang="fr-FR" sz="1100" b="1" baseline="0">
              <a:solidFill>
                <a:srgbClr val="FF0000"/>
              </a:solidFill>
            </a:rPr>
            <a:t>par mail : fo.outils@gmail.com</a:t>
          </a:r>
        </a:p>
        <a:p>
          <a:r>
            <a:rPr lang="fr-FR" sz="1100" b="1" baseline="0">
              <a:solidFill>
                <a:srgbClr val="FF0000"/>
              </a:solidFill>
            </a:rPr>
            <a:t>ou </a:t>
          </a:r>
        </a:p>
        <a:p>
          <a:r>
            <a:rPr lang="fr-FR" sz="1100" b="1" baseline="0">
              <a:solidFill>
                <a:srgbClr val="FF0000"/>
              </a:solidFill>
            </a:rPr>
            <a:t>par téléphone : David au 06-06-46-29-37 (l'après midi entre 13h30 et 15h30 ou le soir)</a:t>
          </a:r>
        </a:p>
        <a:p>
          <a:r>
            <a:rPr lang="fr-FR" sz="1100" b="1" baseline="0">
              <a:solidFill>
                <a:srgbClr val="FF0000"/>
              </a:solidFill>
            </a:rPr>
            <a:t>Merci</a:t>
          </a:r>
          <a:endParaRPr lang="fr-FR" sz="1100" baseline="0"/>
        </a:p>
        <a:p>
          <a:endParaRPr lang="fr-FR" sz="1100"/>
        </a:p>
      </xdr:txBody>
    </xdr:sp>
    <xdr:clientData/>
  </xdr:twoCellAnchor>
  <xdr:twoCellAnchor>
    <xdr:from>
      <xdr:col>4</xdr:col>
      <xdr:colOff>728141</xdr:colOff>
      <xdr:row>9</xdr:row>
      <xdr:rowOff>104775</xdr:rowOff>
    </xdr:from>
    <xdr:to>
      <xdr:col>5</xdr:col>
      <xdr:colOff>670991</xdr:colOff>
      <xdr:row>11</xdr:row>
      <xdr:rowOff>9525</xdr:rowOff>
    </xdr:to>
    <xdr:sp macro="" textlink="">
      <xdr:nvSpPr>
        <xdr:cNvPr id="3" name="Rectangle 2">
          <a:extLst>
            <a:ext uri="{FF2B5EF4-FFF2-40B4-BE49-F238E27FC236}">
              <a16:creationId xmlns:a16="http://schemas.microsoft.com/office/drawing/2014/main" id="{4175C286-E021-457E-A248-467C57EF113E}"/>
            </a:ext>
          </a:extLst>
        </xdr:cNvPr>
        <xdr:cNvSpPr/>
      </xdr:nvSpPr>
      <xdr:spPr bwMode="auto">
        <a:xfrm>
          <a:off x="4093641" y="1671108"/>
          <a:ext cx="704850" cy="222250"/>
        </a:xfrm>
        <a:prstGeom prst="rect">
          <a:avLst/>
        </a:prstGeom>
        <a:solidFill>
          <a:srgbClr val="F15C5A"/>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8</xdr:col>
      <xdr:colOff>57149</xdr:colOff>
      <xdr:row>9</xdr:row>
      <xdr:rowOff>95249</xdr:rowOff>
    </xdr:from>
    <xdr:to>
      <xdr:col>8</xdr:col>
      <xdr:colOff>761999</xdr:colOff>
      <xdr:row>10</xdr:row>
      <xdr:rowOff>158749</xdr:rowOff>
    </xdr:to>
    <xdr:sp macro="" textlink="">
      <xdr:nvSpPr>
        <xdr:cNvPr id="5" name="Rectangle 4">
          <a:extLst>
            <a:ext uri="{FF2B5EF4-FFF2-40B4-BE49-F238E27FC236}">
              <a16:creationId xmlns:a16="http://schemas.microsoft.com/office/drawing/2014/main" id="{40F313D4-9EB9-4A1F-A572-B78A546F7778}"/>
            </a:ext>
          </a:extLst>
        </xdr:cNvPr>
        <xdr:cNvSpPr/>
      </xdr:nvSpPr>
      <xdr:spPr bwMode="auto">
        <a:xfrm>
          <a:off x="6470649" y="1661582"/>
          <a:ext cx="704850" cy="222250"/>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10</xdr:col>
      <xdr:colOff>116417</xdr:colOff>
      <xdr:row>4</xdr:row>
      <xdr:rowOff>10583</xdr:rowOff>
    </xdr:from>
    <xdr:to>
      <xdr:col>15</xdr:col>
      <xdr:colOff>539750</xdr:colOff>
      <xdr:row>13</xdr:row>
      <xdr:rowOff>10583</xdr:rowOff>
    </xdr:to>
    <xdr:sp macro="" textlink="">
      <xdr:nvSpPr>
        <xdr:cNvPr id="6" name="ZoneTexte 5">
          <a:extLst>
            <a:ext uri="{FF2B5EF4-FFF2-40B4-BE49-F238E27FC236}">
              <a16:creationId xmlns:a16="http://schemas.microsoft.com/office/drawing/2014/main" id="{6B2CFA43-B331-77A8-C3A0-EB84E5C702F2}"/>
            </a:ext>
          </a:extLst>
        </xdr:cNvPr>
        <xdr:cNvSpPr txBox="1"/>
      </xdr:nvSpPr>
      <xdr:spPr>
        <a:xfrm>
          <a:off x="7736417" y="645583"/>
          <a:ext cx="4233333" cy="1428750"/>
        </a:xfrm>
        <a:prstGeom prst="rect">
          <a:avLst/>
        </a:prstGeom>
        <a:solidFill>
          <a:schemeClr val="lt1"/>
        </a:solidFill>
        <a:ln w="476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2000" b="1">
              <a:solidFill>
                <a:srgbClr val="FF0000"/>
              </a:solidFill>
            </a:rPr>
            <a:t>Pour</a:t>
          </a:r>
          <a:r>
            <a:rPr lang="fr-FR" sz="2000" b="1" baseline="0">
              <a:solidFill>
                <a:srgbClr val="FF0000"/>
              </a:solidFill>
            </a:rPr>
            <a:t> récupérer les données de l'année précédente bien lire la Procédure du report 2025 vers 2026</a:t>
          </a:r>
          <a:endParaRPr lang="fr-FR" sz="2000" b="1">
            <a:solidFill>
              <a:srgbClr val="FF0000"/>
            </a:solidFill>
          </a:endParaRPr>
        </a:p>
      </xdr:txBody>
    </xdr:sp>
    <xdr:clientData/>
  </xdr:twoCellAnchor>
  <xdr:twoCellAnchor editAs="oneCell">
    <xdr:from>
      <xdr:col>3</xdr:col>
      <xdr:colOff>63500</xdr:colOff>
      <xdr:row>0</xdr:row>
      <xdr:rowOff>0</xdr:rowOff>
    </xdr:from>
    <xdr:to>
      <xdr:col>3</xdr:col>
      <xdr:colOff>645583</xdr:colOff>
      <xdr:row>2</xdr:row>
      <xdr:rowOff>127000</xdr:rowOff>
    </xdr:to>
    <xdr:pic>
      <xdr:nvPicPr>
        <xdr:cNvPr id="8" name="Image 7">
          <a:extLst>
            <a:ext uri="{FF2B5EF4-FFF2-40B4-BE49-F238E27FC236}">
              <a16:creationId xmlns:a16="http://schemas.microsoft.com/office/drawing/2014/main" id="{FD3C153B-92BC-657F-69CD-A762EDA313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0" y="0"/>
          <a:ext cx="582083" cy="582083"/>
        </a:xfrm>
        <a:prstGeom prst="rect">
          <a:avLst/>
        </a:prstGeom>
      </xdr:spPr>
    </xdr:pic>
    <xdr:clientData/>
  </xdr:twoCellAnchor>
  <xdr:twoCellAnchor>
    <xdr:from>
      <xdr:col>5</xdr:col>
      <xdr:colOff>749309</xdr:colOff>
      <xdr:row>9</xdr:row>
      <xdr:rowOff>91017</xdr:rowOff>
    </xdr:from>
    <xdr:to>
      <xdr:col>6</xdr:col>
      <xdr:colOff>692159</xdr:colOff>
      <xdr:row>10</xdr:row>
      <xdr:rowOff>154517</xdr:rowOff>
    </xdr:to>
    <xdr:sp macro="" textlink="">
      <xdr:nvSpPr>
        <xdr:cNvPr id="4" name="Rectangle 3">
          <a:extLst>
            <a:ext uri="{FF2B5EF4-FFF2-40B4-BE49-F238E27FC236}">
              <a16:creationId xmlns:a16="http://schemas.microsoft.com/office/drawing/2014/main" id="{3FF4EA98-18A0-4B20-B25F-42A77649CF53}"/>
            </a:ext>
          </a:extLst>
        </xdr:cNvPr>
        <xdr:cNvSpPr/>
      </xdr:nvSpPr>
      <xdr:spPr bwMode="auto">
        <a:xfrm>
          <a:off x="4876809" y="1657350"/>
          <a:ext cx="704850" cy="222250"/>
        </a:xfrm>
        <a:prstGeom prst="rect">
          <a:avLst/>
        </a:prstGeom>
        <a:pattFill prst="pct5">
          <a:fgClr>
            <a:srgbClr val="FABDBC"/>
          </a:fgClr>
          <a:bgClr>
            <a:schemeClr val="bg1"/>
          </a:bgClr>
        </a:patt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twoCellAnchor>
    <xdr:from>
      <xdr:col>7</xdr:col>
      <xdr:colOff>8466</xdr:colOff>
      <xdr:row>9</xdr:row>
      <xdr:rowOff>99483</xdr:rowOff>
    </xdr:from>
    <xdr:to>
      <xdr:col>7</xdr:col>
      <xdr:colOff>713316</xdr:colOff>
      <xdr:row>11</xdr:row>
      <xdr:rowOff>4233</xdr:rowOff>
    </xdr:to>
    <xdr:sp macro="" textlink="">
      <xdr:nvSpPr>
        <xdr:cNvPr id="7" name="Rectangle 6">
          <a:extLst>
            <a:ext uri="{FF2B5EF4-FFF2-40B4-BE49-F238E27FC236}">
              <a16:creationId xmlns:a16="http://schemas.microsoft.com/office/drawing/2014/main" id="{393A11A7-C594-49D8-9647-1D95B58AF899}"/>
            </a:ext>
          </a:extLst>
        </xdr:cNvPr>
        <xdr:cNvSpPr/>
      </xdr:nvSpPr>
      <xdr:spPr bwMode="auto">
        <a:xfrm>
          <a:off x="5659966" y="1665816"/>
          <a:ext cx="704850" cy="222250"/>
        </a:xfrm>
        <a:prstGeom prst="rect">
          <a:avLst/>
        </a:prstGeom>
        <a:blipFill>
          <a:blip xmlns:r="http://schemas.openxmlformats.org/officeDocument/2006/relationships" r:embed="rId2"/>
          <a:stretch>
            <a:fillRect/>
          </a:stretch>
        </a:blip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lang="fr-FR" sz="1100"/>
        </a:p>
      </xdr:txBody>
    </xdr:sp>
    <xdr:clientData/>
  </xdr:twoCellAnchor>
  <xdr:oneCellAnchor>
    <xdr:from>
      <xdr:col>5</xdr:col>
      <xdr:colOff>101599</xdr:colOff>
      <xdr:row>3</xdr:row>
      <xdr:rowOff>101600</xdr:rowOff>
    </xdr:from>
    <xdr:ext cx="3238500" cy="530658"/>
    <xdr:sp macro="" textlink="">
      <xdr:nvSpPr>
        <xdr:cNvPr id="9" name="Rectangle 8">
          <a:extLst>
            <a:ext uri="{FF2B5EF4-FFF2-40B4-BE49-F238E27FC236}">
              <a16:creationId xmlns:a16="http://schemas.microsoft.com/office/drawing/2014/main" id="{17F11064-788A-4445-89CC-19F240A1CFD9}"/>
            </a:ext>
          </a:extLst>
        </xdr:cNvPr>
        <xdr:cNvSpPr/>
      </xdr:nvSpPr>
      <xdr:spPr>
        <a:xfrm>
          <a:off x="4229099" y="715433"/>
          <a:ext cx="3238500" cy="530658"/>
        </a:xfrm>
        <a:prstGeom prst="rect">
          <a:avLst/>
        </a:prstGeom>
        <a:noFill/>
      </xdr:spPr>
      <xdr:txBody>
        <a:bodyPr wrap="square" lIns="91440" tIns="45720" rIns="91440" bIns="45720">
          <a:sp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Mayotte</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1A65FAC4-05E4-4EE9-9511-6A3EAAFFA1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6217E136-AA79-46F4-915C-F834BDE523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523875</xdr:colOff>
      <xdr:row>1</xdr:row>
      <xdr:rowOff>47625</xdr:rowOff>
    </xdr:from>
    <xdr:to>
      <xdr:col>4</xdr:col>
      <xdr:colOff>1000125</xdr:colOff>
      <xdr:row>3</xdr:row>
      <xdr:rowOff>123825</xdr:rowOff>
    </xdr:to>
    <xdr:pic>
      <xdr:nvPicPr>
        <xdr:cNvPr id="3" name="Image 2">
          <a:extLst>
            <a:ext uri="{FF2B5EF4-FFF2-40B4-BE49-F238E27FC236}">
              <a16:creationId xmlns:a16="http://schemas.microsoft.com/office/drawing/2014/main" id="{1547A7A1-AF8E-4A9F-AD63-6179C9C05F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42900"/>
          <a:ext cx="476250" cy="476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552450</xdr:colOff>
      <xdr:row>1</xdr:row>
      <xdr:rowOff>28575</xdr:rowOff>
    </xdr:from>
    <xdr:to>
      <xdr:col>4</xdr:col>
      <xdr:colOff>1028700</xdr:colOff>
      <xdr:row>3</xdr:row>
      <xdr:rowOff>104775</xdr:rowOff>
    </xdr:to>
    <xdr:pic>
      <xdr:nvPicPr>
        <xdr:cNvPr id="3" name="Image 2">
          <a:extLst>
            <a:ext uri="{FF2B5EF4-FFF2-40B4-BE49-F238E27FC236}">
              <a16:creationId xmlns:a16="http://schemas.microsoft.com/office/drawing/2014/main" id="{A99FB5FD-C5F8-478C-BFAB-0D6640230E1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71900" y="323850"/>
          <a:ext cx="476250" cy="476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689834EB-DB1F-4E0D-BE39-64026F5946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533400</xdr:colOff>
      <xdr:row>1</xdr:row>
      <xdr:rowOff>47625</xdr:rowOff>
    </xdr:from>
    <xdr:to>
      <xdr:col>4</xdr:col>
      <xdr:colOff>1009650</xdr:colOff>
      <xdr:row>3</xdr:row>
      <xdr:rowOff>123825</xdr:rowOff>
    </xdr:to>
    <xdr:pic>
      <xdr:nvPicPr>
        <xdr:cNvPr id="3" name="Image 2">
          <a:extLst>
            <a:ext uri="{FF2B5EF4-FFF2-40B4-BE49-F238E27FC236}">
              <a16:creationId xmlns:a16="http://schemas.microsoft.com/office/drawing/2014/main" id="{DB00DF3F-05EA-4FB9-BB18-9839098BCB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42900"/>
          <a:ext cx="476250" cy="476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656166</xdr:colOff>
      <xdr:row>1</xdr:row>
      <xdr:rowOff>10584</xdr:rowOff>
    </xdr:from>
    <xdr:to>
      <xdr:col>4</xdr:col>
      <xdr:colOff>1132416</xdr:colOff>
      <xdr:row>3</xdr:row>
      <xdr:rowOff>84667</xdr:rowOff>
    </xdr:to>
    <xdr:pic>
      <xdr:nvPicPr>
        <xdr:cNvPr id="3" name="Image 2">
          <a:extLst>
            <a:ext uri="{FF2B5EF4-FFF2-40B4-BE49-F238E27FC236}">
              <a16:creationId xmlns:a16="http://schemas.microsoft.com/office/drawing/2014/main" id="{098EB5FB-DE1C-42D3-A650-1F3E523A50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4083" y="306917"/>
          <a:ext cx="476250" cy="4762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634999</xdr:colOff>
      <xdr:row>1</xdr:row>
      <xdr:rowOff>10584</xdr:rowOff>
    </xdr:from>
    <xdr:to>
      <xdr:col>4</xdr:col>
      <xdr:colOff>1111249</xdr:colOff>
      <xdr:row>3</xdr:row>
      <xdr:rowOff>84667</xdr:rowOff>
    </xdr:to>
    <xdr:pic>
      <xdr:nvPicPr>
        <xdr:cNvPr id="3" name="Image 2">
          <a:extLst>
            <a:ext uri="{FF2B5EF4-FFF2-40B4-BE49-F238E27FC236}">
              <a16:creationId xmlns:a16="http://schemas.microsoft.com/office/drawing/2014/main" id="{D965CD95-79C0-432F-A550-A02873813B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306917"/>
          <a:ext cx="476250" cy="4762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634999</xdr:colOff>
      <xdr:row>1</xdr:row>
      <xdr:rowOff>0</xdr:rowOff>
    </xdr:from>
    <xdr:to>
      <xdr:col>4</xdr:col>
      <xdr:colOff>1111249</xdr:colOff>
      <xdr:row>3</xdr:row>
      <xdr:rowOff>74083</xdr:rowOff>
    </xdr:to>
    <xdr:pic>
      <xdr:nvPicPr>
        <xdr:cNvPr id="3" name="Image 2">
          <a:extLst>
            <a:ext uri="{FF2B5EF4-FFF2-40B4-BE49-F238E27FC236}">
              <a16:creationId xmlns:a16="http://schemas.microsoft.com/office/drawing/2014/main" id="{5D68E3F8-11D7-44CF-9C5F-34078A1655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62916" y="296333"/>
          <a:ext cx="476250" cy="4762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1026583</xdr:colOff>
      <xdr:row>2</xdr:row>
      <xdr:rowOff>74083</xdr:rowOff>
    </xdr:from>
    <xdr:to>
      <xdr:col>2</xdr:col>
      <xdr:colOff>624417</xdr:colOff>
      <xdr:row>7</xdr:row>
      <xdr:rowOff>84667</xdr:rowOff>
    </xdr:to>
    <xdr:pic>
      <xdr:nvPicPr>
        <xdr:cNvPr id="2" name="Image 1">
          <a:extLst>
            <a:ext uri="{FF2B5EF4-FFF2-40B4-BE49-F238E27FC236}">
              <a16:creationId xmlns:a16="http://schemas.microsoft.com/office/drawing/2014/main" id="{4BB3F0BA-7C79-47DF-B46D-4321EA952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47333" y="433916"/>
          <a:ext cx="804334" cy="804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438150</xdr:colOff>
      <xdr:row>1</xdr:row>
      <xdr:rowOff>285750</xdr:rowOff>
    </xdr:from>
    <xdr:to>
      <xdr:col>7</xdr:col>
      <xdr:colOff>47625</xdr:colOff>
      <xdr:row>36</xdr:row>
      <xdr:rowOff>66675</xdr:rowOff>
    </xdr:to>
    <xdr:sp macro="" textlink="">
      <xdr:nvSpPr>
        <xdr:cNvPr id="2" name="ZoneTexte 1">
          <a:extLst>
            <a:ext uri="{FF2B5EF4-FFF2-40B4-BE49-F238E27FC236}">
              <a16:creationId xmlns:a16="http://schemas.microsoft.com/office/drawing/2014/main" id="{00000000-0008-0000-0100-000002000000}"/>
            </a:ext>
          </a:extLst>
        </xdr:cNvPr>
        <xdr:cNvSpPr txBox="1"/>
      </xdr:nvSpPr>
      <xdr:spPr>
        <a:xfrm>
          <a:off x="9563100" y="447675"/>
          <a:ext cx="1895475" cy="5629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Excel)</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rPr>
            <a:t>- Allez ensuite sur votre nouveau fichier et placez vous sur la cellule </a:t>
          </a:r>
          <a:r>
            <a:rPr lang="fr-FR" sz="1200" b="1" baseline="0">
              <a:solidFill>
                <a:srgbClr val="FF0000"/>
              </a:solidFill>
            </a:rPr>
            <a:t>D8</a:t>
          </a:r>
          <a:r>
            <a:rPr lang="fr-FR" sz="1200" baseline="0">
              <a:solidFill>
                <a:srgbClr val="FF0000"/>
              </a:solidFill>
            </a:rPr>
            <a:t> puis clic droit sur la souris et sélectionnez "Collage spécial" et vous choisissez l'icone "Valeur" </a:t>
          </a:r>
          <a:endParaRPr lang="fr-FR" sz="1200">
            <a:solidFill>
              <a:srgbClr val="FF0000"/>
            </a:solidFill>
          </a:endParaRPr>
        </a:p>
      </xdr:txBody>
    </xdr:sp>
    <xdr:clientData/>
  </xdr:twoCellAnchor>
  <xdr:twoCellAnchor>
    <xdr:from>
      <xdr:col>7</xdr:col>
      <xdr:colOff>219075</xdr:colOff>
      <xdr:row>1</xdr:row>
      <xdr:rowOff>285750</xdr:rowOff>
    </xdr:from>
    <xdr:to>
      <xdr:col>9</xdr:col>
      <xdr:colOff>590550</xdr:colOff>
      <xdr:row>43</xdr:row>
      <xdr:rowOff>148167</xdr:rowOff>
    </xdr:to>
    <xdr:sp macro="" textlink="">
      <xdr:nvSpPr>
        <xdr:cNvPr id="3" name="ZoneTexte 2">
          <a:extLst>
            <a:ext uri="{FF2B5EF4-FFF2-40B4-BE49-F238E27FC236}">
              <a16:creationId xmlns:a16="http://schemas.microsoft.com/office/drawing/2014/main" id="{00000000-0008-0000-0100-000003000000}"/>
            </a:ext>
          </a:extLst>
        </xdr:cNvPr>
        <xdr:cNvSpPr txBox="1"/>
      </xdr:nvSpPr>
      <xdr:spPr>
        <a:xfrm>
          <a:off x="11627908" y="444500"/>
          <a:ext cx="1895475" cy="6561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200">
              <a:solidFill>
                <a:srgbClr val="FF0000"/>
              </a:solidFill>
            </a:rPr>
            <a:t>Méthode</a:t>
          </a:r>
          <a:r>
            <a:rPr lang="fr-FR" sz="1200" baseline="0">
              <a:solidFill>
                <a:srgbClr val="FF0000"/>
              </a:solidFill>
            </a:rPr>
            <a:t> pour faire un report : </a:t>
          </a:r>
          <a:r>
            <a:rPr lang="fr-FR" sz="1200" baseline="0">
              <a:solidFill>
                <a:schemeClr val="accent5">
                  <a:lumMod val="50000"/>
                </a:schemeClr>
              </a:solidFill>
            </a:rPr>
            <a:t>(sur Libre Office)</a:t>
          </a:r>
        </a:p>
        <a:p>
          <a:endParaRPr lang="fr-FR" sz="1200" baseline="0">
            <a:solidFill>
              <a:srgbClr val="FF0000"/>
            </a:solidFill>
          </a:endParaRPr>
        </a:p>
        <a:p>
          <a:r>
            <a:rPr lang="fr-FR" sz="1200" baseline="0">
              <a:solidFill>
                <a:srgbClr val="FF0000"/>
              </a:solidFill>
            </a:rPr>
            <a:t>- Sur le fichier d'origine sélectionnez l'année de votre prochain fichier bulletin (Si vous souhaitez juste faire un report pour une nouvelle version choisir l'année actuelle, si c'est pour l'année suivante choisir l'année suivante).</a:t>
          </a:r>
        </a:p>
        <a:p>
          <a:endParaRPr lang="fr-FR" sz="1200" baseline="0">
            <a:solidFill>
              <a:srgbClr val="FF0000"/>
            </a:solidFill>
          </a:endParaRPr>
        </a:p>
        <a:p>
          <a:r>
            <a:rPr lang="fr-FR" sz="1200">
              <a:solidFill>
                <a:srgbClr val="FF0000"/>
              </a:solidFill>
            </a:rPr>
            <a:t>- Sur le fichier d'origine, sélectionnez tout le </a:t>
          </a:r>
          <a:r>
            <a:rPr lang="fr-FR" sz="1200" b="1">
              <a:solidFill>
                <a:srgbClr val="FF0000"/>
              </a:solidFill>
            </a:rPr>
            <a:t>cadre rose</a:t>
          </a:r>
          <a:r>
            <a:rPr lang="fr-FR" sz="1200">
              <a:solidFill>
                <a:srgbClr val="FF0000"/>
              </a:solidFill>
            </a:rPr>
            <a:t> et faites</a:t>
          </a:r>
          <a:r>
            <a:rPr lang="fr-FR" sz="1200" baseline="0">
              <a:solidFill>
                <a:srgbClr val="FF0000"/>
              </a:solidFill>
            </a:rPr>
            <a:t> clic droit sur la souris et sélectionnez "Copier"</a:t>
          </a:r>
        </a:p>
        <a:p>
          <a:endParaRPr lang="fr-FR" sz="1200" baseline="0">
            <a:solidFill>
              <a:srgbClr val="FF0000"/>
            </a:solidFill>
          </a:endParaRPr>
        </a:p>
        <a:p>
          <a:r>
            <a:rPr lang="fr-FR" sz="1200" baseline="0">
              <a:solidFill>
                <a:srgbClr val="FF0000"/>
              </a:solidFill>
              <a:effectLst/>
              <a:latin typeface="+mn-lt"/>
              <a:ea typeface="+mn-ea"/>
              <a:cs typeface="+mn-cs"/>
            </a:rPr>
            <a:t>- Allez ensuite sur votre nouveau fichier et placez vous sur la cellule </a:t>
          </a:r>
          <a:r>
            <a:rPr lang="fr-FR" sz="1200" b="1" baseline="0">
              <a:solidFill>
                <a:srgbClr val="FF0000"/>
              </a:solidFill>
              <a:effectLst/>
              <a:latin typeface="+mn-lt"/>
              <a:ea typeface="+mn-ea"/>
              <a:cs typeface="+mn-cs"/>
            </a:rPr>
            <a:t>D8</a:t>
          </a:r>
          <a:r>
            <a:rPr lang="fr-FR" sz="1200" baseline="0">
              <a:solidFill>
                <a:srgbClr val="FF0000"/>
              </a:solidFill>
              <a:effectLst/>
              <a:latin typeface="+mn-lt"/>
              <a:ea typeface="+mn-ea"/>
              <a:cs typeface="+mn-cs"/>
            </a:rPr>
            <a:t> puis clic droit sur la souris et sélectionnez "Collage spécial" et choisir de nouveau "Collage spécial".</a:t>
          </a:r>
          <a:endParaRPr lang="fr-FR" sz="1200">
            <a:solidFill>
              <a:srgbClr val="FF0000"/>
            </a:solidFill>
            <a:effectLst/>
          </a:endParaRPr>
        </a:p>
        <a:p>
          <a:r>
            <a:rPr lang="fr-FR" sz="1200">
              <a:solidFill>
                <a:srgbClr val="FF0000"/>
              </a:solidFill>
              <a:effectLst/>
              <a:latin typeface="+mn-lt"/>
              <a:ea typeface="+mn-ea"/>
              <a:cs typeface="+mn-cs"/>
            </a:rPr>
            <a:t>Une nouvelle</a:t>
          </a:r>
          <a:r>
            <a:rPr lang="fr-FR" sz="1200" baseline="0">
              <a:solidFill>
                <a:srgbClr val="FF0000"/>
              </a:solidFill>
              <a:effectLst/>
              <a:latin typeface="+mn-lt"/>
              <a:ea typeface="+mn-ea"/>
              <a:cs typeface="+mn-cs"/>
            </a:rPr>
            <a:t> fenêtre s'ouvre et cocher "texte" "nombre" "Date" puis OK</a:t>
          </a:r>
          <a:endParaRPr lang="fr-FR" sz="1200">
            <a:solidFill>
              <a:srgbClr val="FF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95250</xdr:colOff>
      <xdr:row>2</xdr:row>
      <xdr:rowOff>95251</xdr:rowOff>
    </xdr:from>
    <xdr:to>
      <xdr:col>9</xdr:col>
      <xdr:colOff>412750</xdr:colOff>
      <xdr:row>21</xdr:row>
      <xdr:rowOff>105834</xdr:rowOff>
    </xdr:to>
    <xdr:pic>
      <xdr:nvPicPr>
        <xdr:cNvPr id="3" name="Image 2">
          <a:extLst>
            <a:ext uri="{FF2B5EF4-FFF2-40B4-BE49-F238E27FC236}">
              <a16:creationId xmlns:a16="http://schemas.microsoft.com/office/drawing/2014/main" id="{651C0465-678A-4D02-9FAE-7C924DB181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18917" y="486834"/>
          <a:ext cx="3365500" cy="3365500"/>
        </a:xfrm>
        <a:prstGeom prst="rect">
          <a:avLst/>
        </a:prstGeom>
      </xdr:spPr>
    </xdr:pic>
    <xdr:clientData/>
  </xdr:twoCellAnchor>
  <xdr:oneCellAnchor>
    <xdr:from>
      <xdr:col>4</xdr:col>
      <xdr:colOff>444500</xdr:colOff>
      <xdr:row>0</xdr:row>
      <xdr:rowOff>74083</xdr:rowOff>
    </xdr:from>
    <xdr:ext cx="3238500" cy="530658"/>
    <xdr:sp macro="" textlink="">
      <xdr:nvSpPr>
        <xdr:cNvPr id="2" name="Rectangle 1">
          <a:extLst>
            <a:ext uri="{FF2B5EF4-FFF2-40B4-BE49-F238E27FC236}">
              <a16:creationId xmlns:a16="http://schemas.microsoft.com/office/drawing/2014/main" id="{9BC73BCA-21D3-4F94-B4C0-D8889699F2CC}"/>
            </a:ext>
          </a:extLst>
        </xdr:cNvPr>
        <xdr:cNvSpPr/>
      </xdr:nvSpPr>
      <xdr:spPr>
        <a:xfrm>
          <a:off x="8837083" y="74083"/>
          <a:ext cx="3238500" cy="530658"/>
        </a:xfrm>
        <a:prstGeom prst="rect">
          <a:avLst/>
        </a:prstGeom>
        <a:noFill/>
      </xdr:spPr>
      <xdr:txBody>
        <a:bodyPr wrap="square" lIns="91440" tIns="45720" rIns="91440" bIns="45720">
          <a:spAutoFit/>
        </a:bodyPr>
        <a:lstStyle/>
        <a:p>
          <a:pPr algn="ctr"/>
          <a:r>
            <a:rPr lang="fr-FR" sz="2800" b="1" cap="none" spc="0">
              <a:ln w="22225">
                <a:solidFill>
                  <a:schemeClr val="accent2"/>
                </a:solidFill>
                <a:prstDash val="solid"/>
              </a:ln>
              <a:solidFill>
                <a:schemeClr val="accent2">
                  <a:lumMod val="40000"/>
                  <a:lumOff val="60000"/>
                </a:schemeClr>
              </a:solidFill>
              <a:effectLst/>
            </a:rPr>
            <a:t>Version</a:t>
          </a:r>
          <a:r>
            <a:rPr lang="fr-FR" sz="2800" b="1" cap="none" spc="0" baseline="0">
              <a:ln w="22225">
                <a:solidFill>
                  <a:schemeClr val="accent2"/>
                </a:solidFill>
                <a:prstDash val="solid"/>
              </a:ln>
              <a:solidFill>
                <a:schemeClr val="accent2">
                  <a:lumMod val="40000"/>
                  <a:lumOff val="60000"/>
                </a:schemeClr>
              </a:solidFill>
              <a:effectLst/>
            </a:rPr>
            <a:t> Mayotte</a:t>
          </a:r>
          <a:endParaRPr lang="fr-FR" sz="28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46</xdr:col>
      <xdr:colOff>476250</xdr:colOff>
      <xdr:row>0</xdr:row>
      <xdr:rowOff>95250</xdr:rowOff>
    </xdr:from>
    <xdr:to>
      <xdr:col>51</xdr:col>
      <xdr:colOff>571500</xdr:colOff>
      <xdr:row>5</xdr:row>
      <xdr:rowOff>142876</xdr:rowOff>
    </xdr:to>
    <xdr:sp macro="" textlink="">
      <xdr:nvSpPr>
        <xdr:cNvPr id="2" name="ZoneTexte 1">
          <a:extLst>
            <a:ext uri="{FF2B5EF4-FFF2-40B4-BE49-F238E27FC236}">
              <a16:creationId xmlns:a16="http://schemas.microsoft.com/office/drawing/2014/main" id="{00000000-0008-0000-1600-000002000000}"/>
            </a:ext>
          </a:extLst>
        </xdr:cNvPr>
        <xdr:cNvSpPr txBox="1"/>
      </xdr:nvSpPr>
      <xdr:spPr>
        <a:xfrm>
          <a:off x="20955000" y="95250"/>
          <a:ext cx="2857500" cy="1095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45</xdr:row>
      <xdr:rowOff>214312</xdr:rowOff>
    </xdr:from>
    <xdr:to>
      <xdr:col>51</xdr:col>
      <xdr:colOff>666750</xdr:colOff>
      <xdr:row>51</xdr:row>
      <xdr:rowOff>95251</xdr:rowOff>
    </xdr:to>
    <xdr:sp macro="" textlink="">
      <xdr:nvSpPr>
        <xdr:cNvPr id="3" name="ZoneTexte 2">
          <a:extLst>
            <a:ext uri="{FF2B5EF4-FFF2-40B4-BE49-F238E27FC236}">
              <a16:creationId xmlns:a16="http://schemas.microsoft.com/office/drawing/2014/main" id="{00000000-0008-0000-1600-000003000000}"/>
            </a:ext>
          </a:extLst>
        </xdr:cNvPr>
        <xdr:cNvSpPr txBox="1"/>
      </xdr:nvSpPr>
      <xdr:spPr>
        <a:xfrm>
          <a:off x="20955000" y="9453562"/>
          <a:ext cx="295275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solidFill>
                <a:srgbClr val="FF0000"/>
              </a:solidFill>
              <a:latin typeface="Arial" panose="020B0604020202020204" pitchFamily="34" charset="0"/>
              <a:cs typeface="Arial" panose="020B0604020202020204" pitchFamily="34" charset="0"/>
            </a:rPr>
            <a:t>Avant</a:t>
          </a:r>
          <a:r>
            <a:rPr lang="fr-FR" sz="1400" baseline="0">
              <a:solidFill>
                <a:srgbClr val="FF0000"/>
              </a:solidFill>
              <a:latin typeface="Arial" panose="020B0604020202020204" pitchFamily="34" charset="0"/>
              <a:cs typeface="Arial" panose="020B0604020202020204" pitchFamily="34" charset="0"/>
            </a:rPr>
            <a:t> de remplir la feuille de présence : compléter l'Etape 1, l'Etape 2 et l'Etape 3 du mois correspondant</a:t>
          </a:r>
          <a:endParaRPr lang="fr-FR" sz="1400">
            <a:solidFill>
              <a:srgbClr val="FF0000"/>
            </a:solidFill>
            <a:latin typeface="Arial" panose="020B0604020202020204" pitchFamily="34" charset="0"/>
            <a:cs typeface="Arial" panose="020B0604020202020204" pitchFamily="34" charset="0"/>
          </a:endParaRPr>
        </a:p>
      </xdr:txBody>
    </xdr:sp>
    <xdr:clientData/>
  </xdr:twoCellAnchor>
  <xdr:twoCellAnchor>
    <xdr:from>
      <xdr:col>46</xdr:col>
      <xdr:colOff>476250</xdr:colOff>
      <xdr:row>90</xdr:row>
      <xdr:rowOff>164307</xdr:rowOff>
    </xdr:from>
    <xdr:to>
      <xdr:col>51</xdr:col>
      <xdr:colOff>571500</xdr:colOff>
      <xdr:row>96</xdr:row>
      <xdr:rowOff>45245</xdr:rowOff>
    </xdr:to>
    <xdr:sp macro="" textlink="">
      <xdr:nvSpPr>
        <xdr:cNvPr id="4" name="ZoneTexte 3">
          <a:extLst>
            <a:ext uri="{FF2B5EF4-FFF2-40B4-BE49-F238E27FC236}">
              <a16:creationId xmlns:a16="http://schemas.microsoft.com/office/drawing/2014/main" id="{00000000-0008-0000-1600-000004000000}"/>
            </a:ext>
          </a:extLst>
        </xdr:cNvPr>
        <xdr:cNvSpPr txBox="1"/>
      </xdr:nvSpPr>
      <xdr:spPr>
        <a:xfrm>
          <a:off x="20955000" y="18547557"/>
          <a:ext cx="285750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135</xdr:row>
      <xdr:rowOff>245268</xdr:rowOff>
    </xdr:from>
    <xdr:to>
      <xdr:col>51</xdr:col>
      <xdr:colOff>571500</xdr:colOff>
      <xdr:row>141</xdr:row>
      <xdr:rowOff>126207</xdr:rowOff>
    </xdr:to>
    <xdr:sp macro="" textlink="">
      <xdr:nvSpPr>
        <xdr:cNvPr id="5" name="ZoneTexte 4">
          <a:extLst>
            <a:ext uri="{FF2B5EF4-FFF2-40B4-BE49-F238E27FC236}">
              <a16:creationId xmlns:a16="http://schemas.microsoft.com/office/drawing/2014/main" id="{00000000-0008-0000-1600-000005000000}"/>
            </a:ext>
          </a:extLst>
        </xdr:cNvPr>
        <xdr:cNvSpPr txBox="1"/>
      </xdr:nvSpPr>
      <xdr:spPr>
        <a:xfrm>
          <a:off x="20955000" y="27772518"/>
          <a:ext cx="2857500" cy="11191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476250</xdr:colOff>
      <xdr:row>180</xdr:row>
      <xdr:rowOff>183357</xdr:rowOff>
    </xdr:from>
    <xdr:to>
      <xdr:col>51</xdr:col>
      <xdr:colOff>666750</xdr:colOff>
      <xdr:row>186</xdr:row>
      <xdr:rowOff>64295</xdr:rowOff>
    </xdr:to>
    <xdr:sp macro="" textlink="">
      <xdr:nvSpPr>
        <xdr:cNvPr id="6" name="ZoneTexte 5">
          <a:extLst>
            <a:ext uri="{FF2B5EF4-FFF2-40B4-BE49-F238E27FC236}">
              <a16:creationId xmlns:a16="http://schemas.microsoft.com/office/drawing/2014/main" id="{00000000-0008-0000-1600-000006000000}"/>
            </a:ext>
          </a:extLst>
        </xdr:cNvPr>
        <xdr:cNvSpPr txBox="1"/>
      </xdr:nvSpPr>
      <xdr:spPr>
        <a:xfrm>
          <a:off x="20955000" y="36854607"/>
          <a:ext cx="2952750" cy="1119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225</xdr:row>
      <xdr:rowOff>204787</xdr:rowOff>
    </xdr:from>
    <xdr:to>
      <xdr:col>51</xdr:col>
      <xdr:colOff>825500</xdr:colOff>
      <xdr:row>231</xdr:row>
      <xdr:rowOff>85726</xdr:rowOff>
    </xdr:to>
    <xdr:sp macro="" textlink="">
      <xdr:nvSpPr>
        <xdr:cNvPr id="7" name="ZoneTexte 6">
          <a:extLst>
            <a:ext uri="{FF2B5EF4-FFF2-40B4-BE49-F238E27FC236}">
              <a16:creationId xmlns:a16="http://schemas.microsoft.com/office/drawing/2014/main" id="{00000000-0008-0000-1600-000007000000}"/>
            </a:ext>
          </a:extLst>
        </xdr:cNvPr>
        <xdr:cNvSpPr txBox="1"/>
      </xdr:nvSpPr>
      <xdr:spPr>
        <a:xfrm>
          <a:off x="21272500" y="39193787"/>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270</xdr:row>
      <xdr:rowOff>226218</xdr:rowOff>
    </xdr:from>
    <xdr:to>
      <xdr:col>51</xdr:col>
      <xdr:colOff>825500</xdr:colOff>
      <xdr:row>276</xdr:row>
      <xdr:rowOff>107156</xdr:rowOff>
    </xdr:to>
    <xdr:sp macro="" textlink="">
      <xdr:nvSpPr>
        <xdr:cNvPr id="8" name="ZoneTexte 7">
          <a:extLst>
            <a:ext uri="{FF2B5EF4-FFF2-40B4-BE49-F238E27FC236}">
              <a16:creationId xmlns:a16="http://schemas.microsoft.com/office/drawing/2014/main" id="{00000000-0008-0000-1600-000008000000}"/>
            </a:ext>
          </a:extLst>
        </xdr:cNvPr>
        <xdr:cNvSpPr txBox="1"/>
      </xdr:nvSpPr>
      <xdr:spPr>
        <a:xfrm>
          <a:off x="21272500" y="46993968"/>
          <a:ext cx="292100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315</xdr:row>
      <xdr:rowOff>152399</xdr:rowOff>
    </xdr:from>
    <xdr:to>
      <xdr:col>51</xdr:col>
      <xdr:colOff>825500</xdr:colOff>
      <xdr:row>321</xdr:row>
      <xdr:rowOff>33338</xdr:rowOff>
    </xdr:to>
    <xdr:sp macro="" textlink="">
      <xdr:nvSpPr>
        <xdr:cNvPr id="9" name="ZoneTexte 8">
          <a:extLst>
            <a:ext uri="{FF2B5EF4-FFF2-40B4-BE49-F238E27FC236}">
              <a16:creationId xmlns:a16="http://schemas.microsoft.com/office/drawing/2014/main" id="{00000000-0008-0000-1600-000009000000}"/>
            </a:ext>
          </a:extLst>
        </xdr:cNvPr>
        <xdr:cNvSpPr txBox="1"/>
      </xdr:nvSpPr>
      <xdr:spPr>
        <a:xfrm>
          <a:off x="21272500" y="54698899"/>
          <a:ext cx="292100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360</xdr:row>
      <xdr:rowOff>150019</xdr:rowOff>
    </xdr:from>
    <xdr:to>
      <xdr:col>51</xdr:col>
      <xdr:colOff>825500</xdr:colOff>
      <xdr:row>366</xdr:row>
      <xdr:rowOff>30957</xdr:rowOff>
    </xdr:to>
    <xdr:sp macro="" textlink="">
      <xdr:nvSpPr>
        <xdr:cNvPr id="10" name="ZoneTexte 9">
          <a:extLst>
            <a:ext uri="{FF2B5EF4-FFF2-40B4-BE49-F238E27FC236}">
              <a16:creationId xmlns:a16="http://schemas.microsoft.com/office/drawing/2014/main" id="{00000000-0008-0000-1600-00000A000000}"/>
            </a:ext>
          </a:extLst>
        </xdr:cNvPr>
        <xdr:cNvSpPr txBox="1"/>
      </xdr:nvSpPr>
      <xdr:spPr>
        <a:xfrm>
          <a:off x="21367750" y="62475269"/>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635000</xdr:colOff>
      <xdr:row>405</xdr:row>
      <xdr:rowOff>159543</xdr:rowOff>
    </xdr:from>
    <xdr:to>
      <xdr:col>51</xdr:col>
      <xdr:colOff>730250</xdr:colOff>
      <xdr:row>411</xdr:row>
      <xdr:rowOff>40482</xdr:rowOff>
    </xdr:to>
    <xdr:sp macro="" textlink="">
      <xdr:nvSpPr>
        <xdr:cNvPr id="11" name="ZoneTexte 10">
          <a:extLst>
            <a:ext uri="{FF2B5EF4-FFF2-40B4-BE49-F238E27FC236}">
              <a16:creationId xmlns:a16="http://schemas.microsoft.com/office/drawing/2014/main" id="{00000000-0008-0000-1600-00000B000000}"/>
            </a:ext>
          </a:extLst>
        </xdr:cNvPr>
        <xdr:cNvSpPr txBox="1"/>
      </xdr:nvSpPr>
      <xdr:spPr>
        <a:xfrm>
          <a:off x="21272500" y="70263543"/>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450</xdr:row>
      <xdr:rowOff>240506</xdr:rowOff>
    </xdr:from>
    <xdr:to>
      <xdr:col>51</xdr:col>
      <xdr:colOff>825500</xdr:colOff>
      <xdr:row>456</xdr:row>
      <xdr:rowOff>121444</xdr:rowOff>
    </xdr:to>
    <xdr:sp macro="" textlink="">
      <xdr:nvSpPr>
        <xdr:cNvPr id="12" name="ZoneTexte 11">
          <a:extLst>
            <a:ext uri="{FF2B5EF4-FFF2-40B4-BE49-F238E27FC236}">
              <a16:creationId xmlns:a16="http://schemas.microsoft.com/office/drawing/2014/main" id="{00000000-0008-0000-1600-00000C000000}"/>
            </a:ext>
          </a:extLst>
        </xdr:cNvPr>
        <xdr:cNvSpPr txBox="1"/>
      </xdr:nvSpPr>
      <xdr:spPr>
        <a:xfrm>
          <a:off x="21367750" y="78123256"/>
          <a:ext cx="2825750" cy="960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twoCellAnchor>
    <xdr:from>
      <xdr:col>46</xdr:col>
      <xdr:colOff>730250</xdr:colOff>
      <xdr:row>495</xdr:row>
      <xdr:rowOff>226217</xdr:rowOff>
    </xdr:from>
    <xdr:to>
      <xdr:col>51</xdr:col>
      <xdr:colOff>825500</xdr:colOff>
      <xdr:row>501</xdr:row>
      <xdr:rowOff>107156</xdr:rowOff>
    </xdr:to>
    <xdr:sp macro="" textlink="">
      <xdr:nvSpPr>
        <xdr:cNvPr id="13" name="ZoneTexte 12">
          <a:extLst>
            <a:ext uri="{FF2B5EF4-FFF2-40B4-BE49-F238E27FC236}">
              <a16:creationId xmlns:a16="http://schemas.microsoft.com/office/drawing/2014/main" id="{00000000-0008-0000-1600-00000D000000}"/>
            </a:ext>
          </a:extLst>
        </xdr:cNvPr>
        <xdr:cNvSpPr txBox="1"/>
      </xdr:nvSpPr>
      <xdr:spPr>
        <a:xfrm>
          <a:off x="21367750" y="85887717"/>
          <a:ext cx="2825750" cy="960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FR" sz="1400" b="0" i="0" u="none" strike="noStrike" kern="0" cap="none" spc="0" normalizeH="0" baseline="0" noProof="0">
              <a:ln>
                <a:noFill/>
              </a:ln>
              <a:solidFill>
                <a:srgbClr val="FF0000"/>
              </a:solidFill>
              <a:effectLst/>
              <a:uLnTx/>
              <a:uFillTx/>
              <a:latin typeface="Arial" panose="020B0604020202020204" pitchFamily="34" charset="0"/>
              <a:cs typeface="Arial" panose="020B0604020202020204" pitchFamily="34" charset="0"/>
            </a:rPr>
            <a:t>Avant de remplir la feuille de présence : compléter l'Etape 1, l'Etape 2 et l'Etape 3 du mois correspondant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55</xdr:col>
      <xdr:colOff>0</xdr:colOff>
      <xdr:row>0</xdr:row>
      <xdr:rowOff>137584</xdr:rowOff>
    </xdr:from>
    <xdr:to>
      <xdr:col>57</xdr:col>
      <xdr:colOff>433917</xdr:colOff>
      <xdr:row>9</xdr:row>
      <xdr:rowOff>105834</xdr:rowOff>
    </xdr:to>
    <xdr:pic>
      <xdr:nvPicPr>
        <xdr:cNvPr id="3" name="Image 2">
          <a:extLst>
            <a:ext uri="{FF2B5EF4-FFF2-40B4-BE49-F238E27FC236}">
              <a16:creationId xmlns:a16="http://schemas.microsoft.com/office/drawing/2014/main" id="{EDDC5F5B-BFC7-4C5B-9C9F-D30AF90E864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2417" y="137584"/>
          <a:ext cx="1682750" cy="16827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55</xdr:col>
      <xdr:colOff>31751</xdr:colOff>
      <xdr:row>0</xdr:row>
      <xdr:rowOff>63500</xdr:rowOff>
    </xdr:from>
    <xdr:to>
      <xdr:col>57</xdr:col>
      <xdr:colOff>465668</xdr:colOff>
      <xdr:row>9</xdr:row>
      <xdr:rowOff>31750</xdr:rowOff>
    </xdr:to>
    <xdr:pic>
      <xdr:nvPicPr>
        <xdr:cNvPr id="3" name="Image 2">
          <a:extLst>
            <a:ext uri="{FF2B5EF4-FFF2-40B4-BE49-F238E27FC236}">
              <a16:creationId xmlns:a16="http://schemas.microsoft.com/office/drawing/2014/main" id="{E740F335-A031-40A3-B361-7307A3CA50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4" y="63500"/>
          <a:ext cx="1682750" cy="16827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55</xdr:col>
      <xdr:colOff>42334</xdr:colOff>
      <xdr:row>0</xdr:row>
      <xdr:rowOff>63501</xdr:rowOff>
    </xdr:from>
    <xdr:to>
      <xdr:col>57</xdr:col>
      <xdr:colOff>476251</xdr:colOff>
      <xdr:row>9</xdr:row>
      <xdr:rowOff>31751</xdr:rowOff>
    </xdr:to>
    <xdr:pic>
      <xdr:nvPicPr>
        <xdr:cNvPr id="3" name="Image 2">
          <a:extLst>
            <a:ext uri="{FF2B5EF4-FFF2-40B4-BE49-F238E27FC236}">
              <a16:creationId xmlns:a16="http://schemas.microsoft.com/office/drawing/2014/main" id="{944F4FE4-8181-45D0-8E2B-BF0087B8F9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70667" y="63501"/>
          <a:ext cx="1682750" cy="1682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55</xdr:col>
      <xdr:colOff>31750</xdr:colOff>
      <xdr:row>0</xdr:row>
      <xdr:rowOff>95249</xdr:rowOff>
    </xdr:from>
    <xdr:to>
      <xdr:col>57</xdr:col>
      <xdr:colOff>465667</xdr:colOff>
      <xdr:row>9</xdr:row>
      <xdr:rowOff>63499</xdr:rowOff>
    </xdr:to>
    <xdr:pic>
      <xdr:nvPicPr>
        <xdr:cNvPr id="3" name="Image 2">
          <a:extLst>
            <a:ext uri="{FF2B5EF4-FFF2-40B4-BE49-F238E27FC236}">
              <a16:creationId xmlns:a16="http://schemas.microsoft.com/office/drawing/2014/main" id="{AFB24390-D459-4ABE-B78A-1C73659EA3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60083" y="95249"/>
          <a:ext cx="1682750" cy="16827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55</xdr:col>
      <xdr:colOff>21167</xdr:colOff>
      <xdr:row>0</xdr:row>
      <xdr:rowOff>116417</xdr:rowOff>
    </xdr:from>
    <xdr:to>
      <xdr:col>57</xdr:col>
      <xdr:colOff>455084</xdr:colOff>
      <xdr:row>9</xdr:row>
      <xdr:rowOff>84667</xdr:rowOff>
    </xdr:to>
    <xdr:pic>
      <xdr:nvPicPr>
        <xdr:cNvPr id="3" name="Image 2">
          <a:extLst>
            <a:ext uri="{FF2B5EF4-FFF2-40B4-BE49-F238E27FC236}">
              <a16:creationId xmlns:a16="http://schemas.microsoft.com/office/drawing/2014/main" id="{D565B6D1-F826-4F14-95DF-442ACA91BC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49500" y="116417"/>
          <a:ext cx="1682750" cy="16827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116419</xdr:colOff>
      <xdr:row>2</xdr:row>
      <xdr:rowOff>105834</xdr:rowOff>
    </xdr:from>
    <xdr:to>
      <xdr:col>10</xdr:col>
      <xdr:colOff>1005419</xdr:colOff>
      <xdr:row>8</xdr:row>
      <xdr:rowOff>42334</xdr:rowOff>
    </xdr:to>
    <xdr:pic>
      <xdr:nvPicPr>
        <xdr:cNvPr id="3" name="Image 2">
          <a:extLst>
            <a:ext uri="{FF2B5EF4-FFF2-40B4-BE49-F238E27FC236}">
              <a16:creationId xmlns:a16="http://schemas.microsoft.com/office/drawing/2014/main" id="{3245EBF4-5CCA-4D41-9E14-19584E4C7F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34502" y="560917"/>
          <a:ext cx="889000" cy="88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497417</xdr:colOff>
      <xdr:row>2</xdr:row>
      <xdr:rowOff>31750</xdr:rowOff>
    </xdr:from>
    <xdr:to>
      <xdr:col>11</xdr:col>
      <xdr:colOff>381001</xdr:colOff>
      <xdr:row>7</xdr:row>
      <xdr:rowOff>137584</xdr:rowOff>
    </xdr:to>
    <xdr:pic>
      <xdr:nvPicPr>
        <xdr:cNvPr id="3" name="Image 2">
          <a:extLst>
            <a:ext uri="{FF2B5EF4-FFF2-40B4-BE49-F238E27FC236}">
              <a16:creationId xmlns:a16="http://schemas.microsoft.com/office/drawing/2014/main" id="{A29B8C0A-4685-4E47-9DEE-ECDFBD634D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37334" y="486833"/>
          <a:ext cx="963084" cy="96308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54</xdr:col>
      <xdr:colOff>666749</xdr:colOff>
      <xdr:row>0</xdr:row>
      <xdr:rowOff>74083</xdr:rowOff>
    </xdr:from>
    <xdr:to>
      <xdr:col>57</xdr:col>
      <xdr:colOff>423333</xdr:colOff>
      <xdr:row>9</xdr:row>
      <xdr:rowOff>21166</xdr:rowOff>
    </xdr:to>
    <xdr:pic>
      <xdr:nvPicPr>
        <xdr:cNvPr id="3" name="Image 2">
          <a:extLst>
            <a:ext uri="{FF2B5EF4-FFF2-40B4-BE49-F238E27FC236}">
              <a16:creationId xmlns:a16="http://schemas.microsoft.com/office/drawing/2014/main" id="{91AE6FAD-9428-4FB5-96D4-604F37983F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81249" y="74083"/>
          <a:ext cx="1682750" cy="1682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560917</xdr:colOff>
      <xdr:row>0</xdr:row>
      <xdr:rowOff>1</xdr:rowOff>
    </xdr:from>
    <xdr:to>
      <xdr:col>1</xdr:col>
      <xdr:colOff>1037166</xdr:colOff>
      <xdr:row>1</xdr:row>
      <xdr:rowOff>169333</xdr:rowOff>
    </xdr:to>
    <xdr:pic>
      <xdr:nvPicPr>
        <xdr:cNvPr id="3" name="Image 2">
          <a:extLst>
            <a:ext uri="{FF2B5EF4-FFF2-40B4-BE49-F238E27FC236}">
              <a16:creationId xmlns:a16="http://schemas.microsoft.com/office/drawing/2014/main" id="{B2F27CA1-1BAB-44F0-8EFF-539FFA0724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9584" y="1"/>
          <a:ext cx="476249" cy="47624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E3CB4B83-3B18-4F33-B91B-B3A6892FD0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55</xdr:col>
      <xdr:colOff>0</xdr:colOff>
      <xdr:row>0</xdr:row>
      <xdr:rowOff>84667</xdr:rowOff>
    </xdr:from>
    <xdr:to>
      <xdr:col>57</xdr:col>
      <xdr:colOff>433917</xdr:colOff>
      <xdr:row>9</xdr:row>
      <xdr:rowOff>31750</xdr:rowOff>
    </xdr:to>
    <xdr:pic>
      <xdr:nvPicPr>
        <xdr:cNvPr id="3" name="Image 2">
          <a:extLst>
            <a:ext uri="{FF2B5EF4-FFF2-40B4-BE49-F238E27FC236}">
              <a16:creationId xmlns:a16="http://schemas.microsoft.com/office/drawing/2014/main" id="{10F5A131-3252-476C-9E16-2EB33325A1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84667"/>
          <a:ext cx="1682750" cy="16827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55</xdr:col>
      <xdr:colOff>0</xdr:colOff>
      <xdr:row>0</xdr:row>
      <xdr:rowOff>127000</xdr:rowOff>
    </xdr:from>
    <xdr:to>
      <xdr:col>57</xdr:col>
      <xdr:colOff>433917</xdr:colOff>
      <xdr:row>9</xdr:row>
      <xdr:rowOff>74083</xdr:rowOff>
    </xdr:to>
    <xdr:pic>
      <xdr:nvPicPr>
        <xdr:cNvPr id="3" name="Image 2">
          <a:extLst>
            <a:ext uri="{FF2B5EF4-FFF2-40B4-BE49-F238E27FC236}">
              <a16:creationId xmlns:a16="http://schemas.microsoft.com/office/drawing/2014/main" id="{E912CFAE-35B3-4005-B627-FC81C119A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091833" y="127000"/>
          <a:ext cx="1682750" cy="16827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55</xdr:col>
      <xdr:colOff>21167</xdr:colOff>
      <xdr:row>0</xdr:row>
      <xdr:rowOff>95250</xdr:rowOff>
    </xdr:from>
    <xdr:to>
      <xdr:col>57</xdr:col>
      <xdr:colOff>455084</xdr:colOff>
      <xdr:row>9</xdr:row>
      <xdr:rowOff>42333</xdr:rowOff>
    </xdr:to>
    <xdr:pic>
      <xdr:nvPicPr>
        <xdr:cNvPr id="3" name="Image 2">
          <a:extLst>
            <a:ext uri="{FF2B5EF4-FFF2-40B4-BE49-F238E27FC236}">
              <a16:creationId xmlns:a16="http://schemas.microsoft.com/office/drawing/2014/main" id="{B7E55242-0EBA-415A-9C6C-4A52BAA3443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3000" y="95250"/>
          <a:ext cx="1682750" cy="16827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54</xdr:col>
      <xdr:colOff>677332</xdr:colOff>
      <xdr:row>0</xdr:row>
      <xdr:rowOff>95251</xdr:rowOff>
    </xdr:from>
    <xdr:to>
      <xdr:col>57</xdr:col>
      <xdr:colOff>433916</xdr:colOff>
      <xdr:row>9</xdr:row>
      <xdr:rowOff>42334</xdr:rowOff>
    </xdr:to>
    <xdr:pic>
      <xdr:nvPicPr>
        <xdr:cNvPr id="3" name="Image 2">
          <a:extLst>
            <a:ext uri="{FF2B5EF4-FFF2-40B4-BE49-F238E27FC236}">
              <a16:creationId xmlns:a16="http://schemas.microsoft.com/office/drawing/2014/main" id="{1F7387E0-D0BC-4BE0-98DD-A8D30ECC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23582" y="95251"/>
          <a:ext cx="1682750" cy="16827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55</xdr:col>
      <xdr:colOff>42334</xdr:colOff>
      <xdr:row>0</xdr:row>
      <xdr:rowOff>95250</xdr:rowOff>
    </xdr:from>
    <xdr:to>
      <xdr:col>57</xdr:col>
      <xdr:colOff>476251</xdr:colOff>
      <xdr:row>9</xdr:row>
      <xdr:rowOff>42333</xdr:rowOff>
    </xdr:to>
    <xdr:pic>
      <xdr:nvPicPr>
        <xdr:cNvPr id="3" name="Image 2">
          <a:extLst>
            <a:ext uri="{FF2B5EF4-FFF2-40B4-BE49-F238E27FC236}">
              <a16:creationId xmlns:a16="http://schemas.microsoft.com/office/drawing/2014/main" id="{8B72B0EF-467A-4951-98CC-3DD754BACE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34167" y="95250"/>
          <a:ext cx="1682750" cy="16827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18</xdr:row>
      <xdr:rowOff>104775</xdr:rowOff>
    </xdr:from>
    <xdr:to>
      <xdr:col>12</xdr:col>
      <xdr:colOff>419099</xdr:colOff>
      <xdr:row>24</xdr:row>
      <xdr:rowOff>28575</xdr:rowOff>
    </xdr:to>
    <xdr:sp macro="" textlink="">
      <xdr:nvSpPr>
        <xdr:cNvPr id="2" name="Rectangle avec flèche vers le haut 1">
          <a:extLst>
            <a:ext uri="{FF2B5EF4-FFF2-40B4-BE49-F238E27FC236}">
              <a16:creationId xmlns:a16="http://schemas.microsoft.com/office/drawing/2014/main" id="{00000000-0008-0000-2500-000002000000}"/>
            </a:ext>
          </a:extLst>
        </xdr:cNvPr>
        <xdr:cNvSpPr/>
      </xdr:nvSpPr>
      <xdr:spPr bwMode="auto">
        <a:xfrm>
          <a:off x="828675" y="5076825"/>
          <a:ext cx="8477249" cy="895350"/>
        </a:xfrm>
        <a:prstGeom prst="upArrowCallout">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lang="fr-FR" sz="1400" b="1">
              <a:solidFill>
                <a:srgbClr val="FF0000"/>
              </a:solidFill>
            </a:rPr>
            <a:t>Faite</a:t>
          </a:r>
          <a:r>
            <a:rPr lang="fr-FR" sz="1400" b="1" baseline="0">
              <a:solidFill>
                <a:srgbClr val="FF0000"/>
              </a:solidFill>
            </a:rPr>
            <a:t> un copier coller de ce tableau dans l'outil de calcul des impôts</a:t>
          </a:r>
          <a:endParaRPr lang="fr-FR" sz="1400" b="1">
            <a:solidFill>
              <a:srgbClr val="FF0000"/>
            </a:solidFill>
          </a:endParaRPr>
        </a:p>
      </xdr:txBody>
    </xdr:sp>
    <xdr:clientData fPrintsWithSheet="0"/>
  </xdr:twoCellAnchor>
  <xdr:twoCellAnchor editAs="oneCell">
    <xdr:from>
      <xdr:col>4</xdr:col>
      <xdr:colOff>1153584</xdr:colOff>
      <xdr:row>0</xdr:row>
      <xdr:rowOff>0</xdr:rowOff>
    </xdr:from>
    <xdr:to>
      <xdr:col>5</xdr:col>
      <xdr:colOff>370417</xdr:colOff>
      <xdr:row>2</xdr:row>
      <xdr:rowOff>105833</xdr:rowOff>
    </xdr:to>
    <xdr:pic>
      <xdr:nvPicPr>
        <xdr:cNvPr id="4" name="Image 3">
          <a:extLst>
            <a:ext uri="{FF2B5EF4-FFF2-40B4-BE49-F238E27FC236}">
              <a16:creationId xmlns:a16="http://schemas.microsoft.com/office/drawing/2014/main" id="{C36333E3-997A-46F5-8F29-90634F5FD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23417" y="0"/>
          <a:ext cx="635000" cy="635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3</xdr:col>
      <xdr:colOff>141229</xdr:colOff>
      <xdr:row>103</xdr:row>
      <xdr:rowOff>133917</xdr:rowOff>
    </xdr:from>
    <xdr:to>
      <xdr:col>11</xdr:col>
      <xdr:colOff>448036</xdr:colOff>
      <xdr:row>113</xdr:row>
      <xdr:rowOff>19988</xdr:rowOff>
    </xdr:to>
    <xdr:sp macro="" textlink="">
      <xdr:nvSpPr>
        <xdr:cNvPr id="5" name="Organigramme : Alternative 4">
          <a:extLst>
            <a:ext uri="{FF2B5EF4-FFF2-40B4-BE49-F238E27FC236}">
              <a16:creationId xmlns:a16="http://schemas.microsoft.com/office/drawing/2014/main" id="{00000000-0008-0000-2600-000005000000}"/>
            </a:ext>
          </a:extLst>
        </xdr:cNvPr>
        <xdr:cNvSpPr/>
      </xdr:nvSpPr>
      <xdr:spPr bwMode="auto">
        <a:xfrm>
          <a:off x="2543646" y="12590500"/>
          <a:ext cx="4476640" cy="1473571"/>
        </a:xfrm>
        <a:prstGeom prst="flowChartAlternateProcess">
          <a:avLst/>
        </a:prstGeom>
        <a:solidFill>
          <a:sysClr val="window" lastClr="FFFFFF"/>
        </a:solidFill>
        <a:ln w="25400"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r>
            <a:rPr lang="fr-FR" sz="1400" b="1">
              <a:solidFill>
                <a:srgbClr val="FF0000"/>
              </a:solidFill>
            </a:rPr>
            <a:t>Etape</a:t>
          </a:r>
          <a:r>
            <a:rPr lang="fr-FR" sz="1400" b="1" baseline="0">
              <a:solidFill>
                <a:srgbClr val="FF0000"/>
              </a:solidFill>
            </a:rPr>
            <a:t> 1 : </a:t>
          </a:r>
        </a:p>
        <a:p>
          <a:pPr marL="0" marR="0" indent="0" algn="l" defTabSz="914400" eaLnBrk="1" fontAlgn="auto" latinLnBrk="0" hangingPunct="1">
            <a:lnSpc>
              <a:spcPct val="100000"/>
            </a:lnSpc>
            <a:spcBef>
              <a:spcPts val="0"/>
            </a:spcBef>
            <a:spcAft>
              <a:spcPts val="0"/>
            </a:spcAft>
            <a:buClrTx/>
            <a:buSzTx/>
            <a:buFontTx/>
            <a:buNone/>
            <a:tabLst/>
            <a:defRPr/>
          </a:pPr>
          <a:r>
            <a:rPr lang="fr-FR" sz="1400" b="1" baseline="0">
              <a:solidFill>
                <a:srgbClr val="FF0000"/>
              </a:solidFill>
            </a:rPr>
            <a:t>Si le contrat a commencé l'année précédente reportez dans cette case </a:t>
          </a:r>
          <a:r>
            <a:rPr lang="fr-FR" sz="1400" b="1" baseline="0">
              <a:solidFill>
                <a:srgbClr val="FF0000"/>
              </a:solidFill>
              <a:effectLst/>
              <a:latin typeface="+mn-lt"/>
              <a:ea typeface="+mn-ea"/>
              <a:cs typeface="+mn-cs"/>
            </a:rPr>
            <a:t>le solde en euros </a:t>
          </a:r>
          <a:r>
            <a:rPr lang="fr-FR" sz="1400" b="1" baseline="0">
              <a:solidFill>
                <a:srgbClr val="00B0F0"/>
              </a:solidFill>
              <a:effectLst/>
              <a:latin typeface="+mn-lt"/>
              <a:ea typeface="+mn-ea"/>
              <a:cs typeface="+mn-cs"/>
            </a:rPr>
            <a:t>(AM89) </a:t>
          </a:r>
          <a:endParaRPr lang="fr-FR" sz="1400">
            <a:solidFill>
              <a:srgbClr val="00B0F0"/>
            </a:solidFill>
            <a:effectLst/>
          </a:endParaRPr>
        </a:p>
        <a:p>
          <a:pPr algn="l"/>
          <a:endParaRPr lang="fr-FR" sz="1400" b="1">
            <a:solidFill>
              <a:srgbClr val="FF0000"/>
            </a:solidFill>
          </a:endParaRPr>
        </a:p>
      </xdr:txBody>
    </xdr:sp>
    <xdr:clientData fPrintsWithSheet="0"/>
  </xdr:twoCellAnchor>
  <xdr:twoCellAnchor>
    <xdr:from>
      <xdr:col>6</xdr:col>
      <xdr:colOff>115799</xdr:colOff>
      <xdr:row>79</xdr:row>
      <xdr:rowOff>45450</xdr:rowOff>
    </xdr:from>
    <xdr:to>
      <xdr:col>7</xdr:col>
      <xdr:colOff>103188</xdr:colOff>
      <xdr:row>103</xdr:row>
      <xdr:rowOff>111125</xdr:rowOff>
    </xdr:to>
    <xdr:cxnSp macro="">
      <xdr:nvCxnSpPr>
        <xdr:cNvPr id="8" name="Connecteur en angle 7">
          <a:extLst>
            <a:ext uri="{FF2B5EF4-FFF2-40B4-BE49-F238E27FC236}">
              <a16:creationId xmlns:a16="http://schemas.microsoft.com/office/drawing/2014/main" id="{00000000-0008-0000-2600-000008000000}"/>
            </a:ext>
          </a:extLst>
        </xdr:cNvPr>
        <xdr:cNvCxnSpPr/>
      </xdr:nvCxnSpPr>
      <xdr:spPr bwMode="auto">
        <a:xfrm rot="16200000" flipV="1">
          <a:off x="1486356" y="11295518"/>
          <a:ext cx="3951875" cy="406489"/>
        </a:xfrm>
        <a:prstGeom prst="bentConnector3">
          <a:avLst>
            <a:gd name="adj1" fmla="val 99972"/>
          </a:avLst>
        </a:prstGeom>
        <a:solidFill>
          <a:srgbClr xmlns:mc="http://schemas.openxmlformats.org/markup-compatibility/2006" xmlns:a14="http://schemas.microsoft.com/office/drawing/2010/main" val="FFFFFF" mc:Ignorable="a14" a14:legacySpreadsheetColorIndex="9"/>
        </a:solidFill>
        <a:ln w="25400"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fPrintsWithSheet="0"/>
  </xdr:twoCellAnchor>
  <xdr:twoCellAnchor editAs="oneCell">
    <xdr:from>
      <xdr:col>0</xdr:col>
      <xdr:colOff>338666</xdr:colOff>
      <xdr:row>37</xdr:row>
      <xdr:rowOff>0</xdr:rowOff>
    </xdr:from>
    <xdr:to>
      <xdr:col>2</xdr:col>
      <xdr:colOff>349249</xdr:colOff>
      <xdr:row>66</xdr:row>
      <xdr:rowOff>84667</xdr:rowOff>
    </xdr:to>
    <xdr:pic>
      <xdr:nvPicPr>
        <xdr:cNvPr id="6" name="Image 5">
          <a:extLst>
            <a:ext uri="{FF2B5EF4-FFF2-40B4-BE49-F238E27FC236}">
              <a16:creationId xmlns:a16="http://schemas.microsoft.com/office/drawing/2014/main" id="{F15EB582-03EF-46E6-92D8-1421876636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8666" y="6053667"/>
          <a:ext cx="1682750" cy="1682750"/>
        </a:xfrm>
        <a:prstGeom prst="rect">
          <a:avLst/>
        </a:prstGeom>
      </xdr:spPr>
    </xdr:pic>
    <xdr:clientData/>
  </xdr:twoCellAnchor>
  <xdr:twoCellAnchor editAs="oneCell">
    <xdr:from>
      <xdr:col>0</xdr:col>
      <xdr:colOff>328084</xdr:colOff>
      <xdr:row>0</xdr:row>
      <xdr:rowOff>190499</xdr:rowOff>
    </xdr:from>
    <xdr:to>
      <xdr:col>2</xdr:col>
      <xdr:colOff>338667</xdr:colOff>
      <xdr:row>10</xdr:row>
      <xdr:rowOff>105832</xdr:rowOff>
    </xdr:to>
    <xdr:pic>
      <xdr:nvPicPr>
        <xdr:cNvPr id="11" name="Image 10">
          <a:extLst>
            <a:ext uri="{FF2B5EF4-FFF2-40B4-BE49-F238E27FC236}">
              <a16:creationId xmlns:a16="http://schemas.microsoft.com/office/drawing/2014/main" id="{909F4039-EA98-4808-B66D-0B0E375FC9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8084" y="190499"/>
          <a:ext cx="1682750" cy="16827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2</xdr:col>
      <xdr:colOff>317499</xdr:colOff>
      <xdr:row>0</xdr:row>
      <xdr:rowOff>0</xdr:rowOff>
    </xdr:from>
    <xdr:to>
      <xdr:col>2</xdr:col>
      <xdr:colOff>846666</xdr:colOff>
      <xdr:row>2</xdr:row>
      <xdr:rowOff>116417</xdr:rowOff>
    </xdr:to>
    <xdr:pic>
      <xdr:nvPicPr>
        <xdr:cNvPr id="3" name="Image 2">
          <a:extLst>
            <a:ext uri="{FF2B5EF4-FFF2-40B4-BE49-F238E27FC236}">
              <a16:creationId xmlns:a16="http://schemas.microsoft.com/office/drawing/2014/main" id="{69387CE4-3BBA-4226-B673-719B6FA9C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78666" y="0"/>
          <a:ext cx="529167" cy="52916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550333</xdr:colOff>
      <xdr:row>2</xdr:row>
      <xdr:rowOff>84666</xdr:rowOff>
    </xdr:from>
    <xdr:to>
      <xdr:col>10</xdr:col>
      <xdr:colOff>783167</xdr:colOff>
      <xdr:row>8</xdr:row>
      <xdr:rowOff>127000</xdr:rowOff>
    </xdr:to>
    <xdr:pic>
      <xdr:nvPicPr>
        <xdr:cNvPr id="3" name="Image 2">
          <a:extLst>
            <a:ext uri="{FF2B5EF4-FFF2-40B4-BE49-F238E27FC236}">
              <a16:creationId xmlns:a16="http://schemas.microsoft.com/office/drawing/2014/main" id="{6F2433C3-C29E-4305-A8AD-C7E55C5F5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59333" y="539749"/>
          <a:ext cx="994834" cy="9948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116417</xdr:colOff>
      <xdr:row>6</xdr:row>
      <xdr:rowOff>42333</xdr:rowOff>
    </xdr:from>
    <xdr:to>
      <xdr:col>7</xdr:col>
      <xdr:colOff>465667</xdr:colOff>
      <xdr:row>27</xdr:row>
      <xdr:rowOff>105833</xdr:rowOff>
    </xdr:to>
    <xdr:pic>
      <xdr:nvPicPr>
        <xdr:cNvPr id="4" name="Image 3">
          <a:extLst>
            <a:ext uri="{FF2B5EF4-FFF2-40B4-BE49-F238E27FC236}">
              <a16:creationId xmlns:a16="http://schemas.microsoft.com/office/drawing/2014/main" id="{D5BC4460-1306-2E25-E88D-3FEA036CDE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0" y="1079500"/>
          <a:ext cx="3397250" cy="3397250"/>
        </a:xfrm>
        <a:prstGeom prst="rect">
          <a:avLst/>
        </a:prstGeom>
      </xdr:spPr>
    </xdr:pic>
    <xdr:clientData/>
  </xdr:twoCellAnchor>
  <xdr:oneCellAnchor>
    <xdr:from>
      <xdr:col>2</xdr:col>
      <xdr:colOff>444500</xdr:colOff>
      <xdr:row>1</xdr:row>
      <xdr:rowOff>105833</xdr:rowOff>
    </xdr:from>
    <xdr:ext cx="5011821" cy="937629"/>
    <xdr:sp macro="" textlink="">
      <xdr:nvSpPr>
        <xdr:cNvPr id="2" name="Rectangle 1">
          <a:extLst>
            <a:ext uri="{FF2B5EF4-FFF2-40B4-BE49-F238E27FC236}">
              <a16:creationId xmlns:a16="http://schemas.microsoft.com/office/drawing/2014/main" id="{A654F29D-4DE9-4A46-AECE-9C0769B776A5}"/>
            </a:ext>
          </a:extLst>
        </xdr:cNvPr>
        <xdr:cNvSpPr/>
      </xdr:nvSpPr>
      <xdr:spPr>
        <a:xfrm>
          <a:off x="6233583" y="264583"/>
          <a:ext cx="5011821" cy="937629"/>
        </a:xfrm>
        <a:prstGeom prst="rect">
          <a:avLst/>
        </a:prstGeom>
        <a:noFill/>
      </xdr:spPr>
      <xdr:txBody>
        <a:bodyPr wrap="none" lIns="91440" tIns="45720" rIns="91440" bIns="45720">
          <a:spAutoFit/>
        </a:bodyPr>
        <a:lstStyle/>
        <a:p>
          <a:pPr algn="ctr"/>
          <a:r>
            <a:rPr lang="fr-FR" sz="5400" b="1" cap="none" spc="0">
              <a:ln w="22225">
                <a:solidFill>
                  <a:schemeClr val="accent2"/>
                </a:solidFill>
                <a:prstDash val="solid"/>
              </a:ln>
              <a:solidFill>
                <a:schemeClr val="accent2">
                  <a:lumMod val="40000"/>
                  <a:lumOff val="60000"/>
                </a:schemeClr>
              </a:solidFill>
              <a:effectLst/>
            </a:rPr>
            <a:t>Version</a:t>
          </a:r>
          <a:r>
            <a:rPr lang="fr-FR" sz="5400" b="1" cap="none" spc="0" baseline="0">
              <a:ln w="22225">
                <a:solidFill>
                  <a:schemeClr val="accent2"/>
                </a:solidFill>
                <a:prstDash val="solid"/>
              </a:ln>
              <a:solidFill>
                <a:schemeClr val="accent2">
                  <a:lumMod val="40000"/>
                  <a:lumOff val="60000"/>
                </a:schemeClr>
              </a:solidFill>
              <a:effectLst/>
            </a:rPr>
            <a:t> Mayotte</a:t>
          </a:r>
          <a:endParaRPr lang="fr-FR" sz="5400" b="1" cap="none" spc="0">
            <a:ln w="22225">
              <a:solidFill>
                <a:schemeClr val="accent2"/>
              </a:solidFill>
              <a:prstDash val="solid"/>
            </a:ln>
            <a:solidFill>
              <a:schemeClr val="accent2">
                <a:lumMod val="40000"/>
                <a:lumOff val="60000"/>
              </a:schemeClr>
            </a:solidFill>
            <a:effectLst/>
          </a:endParaRPr>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10</xdr:col>
      <xdr:colOff>179915</xdr:colOff>
      <xdr:row>2</xdr:row>
      <xdr:rowOff>84667</xdr:rowOff>
    </xdr:from>
    <xdr:to>
      <xdr:col>10</xdr:col>
      <xdr:colOff>1174749</xdr:colOff>
      <xdr:row>8</xdr:row>
      <xdr:rowOff>127001</xdr:rowOff>
    </xdr:to>
    <xdr:pic>
      <xdr:nvPicPr>
        <xdr:cNvPr id="3" name="Image 2">
          <a:extLst>
            <a:ext uri="{FF2B5EF4-FFF2-40B4-BE49-F238E27FC236}">
              <a16:creationId xmlns:a16="http://schemas.microsoft.com/office/drawing/2014/main" id="{257A1A3E-9C65-49E5-BEEC-A29BD33CC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28665" y="539750"/>
          <a:ext cx="994834" cy="99483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148166</xdr:colOff>
      <xdr:row>0</xdr:row>
      <xdr:rowOff>21167</xdr:rowOff>
    </xdr:from>
    <xdr:to>
      <xdr:col>6</xdr:col>
      <xdr:colOff>772583</xdr:colOff>
      <xdr:row>3</xdr:row>
      <xdr:rowOff>95251</xdr:rowOff>
    </xdr:to>
    <xdr:pic>
      <xdr:nvPicPr>
        <xdr:cNvPr id="3" name="Image 2">
          <a:extLst>
            <a:ext uri="{FF2B5EF4-FFF2-40B4-BE49-F238E27FC236}">
              <a16:creationId xmlns:a16="http://schemas.microsoft.com/office/drawing/2014/main" id="{BCBE5B42-68EE-46F7-991F-7DBE74C841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45666" y="21167"/>
          <a:ext cx="624417" cy="6244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8</xdr:col>
      <xdr:colOff>740833</xdr:colOff>
      <xdr:row>0</xdr:row>
      <xdr:rowOff>21167</xdr:rowOff>
    </xdr:from>
    <xdr:to>
      <xdr:col>8</xdr:col>
      <xdr:colOff>1322916</xdr:colOff>
      <xdr:row>3</xdr:row>
      <xdr:rowOff>42333</xdr:rowOff>
    </xdr:to>
    <xdr:pic>
      <xdr:nvPicPr>
        <xdr:cNvPr id="3" name="Image 2">
          <a:extLst>
            <a:ext uri="{FF2B5EF4-FFF2-40B4-BE49-F238E27FC236}">
              <a16:creationId xmlns:a16="http://schemas.microsoft.com/office/drawing/2014/main" id="{F837D58E-FBFC-4EDF-A21E-6D40346DE0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9166" y="21167"/>
          <a:ext cx="582083" cy="58208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158750</xdr:colOff>
      <xdr:row>0</xdr:row>
      <xdr:rowOff>0</xdr:rowOff>
    </xdr:from>
    <xdr:to>
      <xdr:col>0</xdr:col>
      <xdr:colOff>931333</xdr:colOff>
      <xdr:row>3</xdr:row>
      <xdr:rowOff>63500</xdr:rowOff>
    </xdr:to>
    <xdr:pic>
      <xdr:nvPicPr>
        <xdr:cNvPr id="4" name="Image 3">
          <a:extLst>
            <a:ext uri="{FF2B5EF4-FFF2-40B4-BE49-F238E27FC236}">
              <a16:creationId xmlns:a16="http://schemas.microsoft.com/office/drawing/2014/main" id="{BCB817DF-1A08-4FA9-A675-F7CA61D084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0"/>
          <a:ext cx="772583" cy="772583"/>
        </a:xfrm>
        <a:prstGeom prst="rect">
          <a:avLst/>
        </a:prstGeom>
      </xdr:spPr>
    </xdr:pic>
    <xdr:clientData/>
  </xdr:twoCellAnchor>
  <xdr:twoCellAnchor editAs="oneCell">
    <xdr:from>
      <xdr:col>0</xdr:col>
      <xdr:colOff>105833</xdr:colOff>
      <xdr:row>19</xdr:row>
      <xdr:rowOff>95251</xdr:rowOff>
    </xdr:from>
    <xdr:to>
      <xdr:col>0</xdr:col>
      <xdr:colOff>1100667</xdr:colOff>
      <xdr:row>25</xdr:row>
      <xdr:rowOff>127001</xdr:rowOff>
    </xdr:to>
    <xdr:pic>
      <xdr:nvPicPr>
        <xdr:cNvPr id="5" name="Image 4">
          <a:extLst>
            <a:ext uri="{FF2B5EF4-FFF2-40B4-BE49-F238E27FC236}">
              <a16:creationId xmlns:a16="http://schemas.microsoft.com/office/drawing/2014/main" id="{C94ADF82-1399-419B-B67D-BE5BBB81C6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3" y="4042834"/>
          <a:ext cx="994834" cy="994834"/>
        </a:xfrm>
        <a:prstGeom prst="rect">
          <a:avLst/>
        </a:prstGeom>
      </xdr:spPr>
    </xdr:pic>
    <xdr:clientData/>
  </xdr:twoCellAnchor>
  <xdr:twoCellAnchor editAs="oneCell">
    <xdr:from>
      <xdr:col>2</xdr:col>
      <xdr:colOff>381000</xdr:colOff>
      <xdr:row>0</xdr:row>
      <xdr:rowOff>0</xdr:rowOff>
    </xdr:from>
    <xdr:to>
      <xdr:col>2</xdr:col>
      <xdr:colOff>899584</xdr:colOff>
      <xdr:row>1</xdr:row>
      <xdr:rowOff>359834</xdr:rowOff>
    </xdr:to>
    <xdr:pic>
      <xdr:nvPicPr>
        <xdr:cNvPr id="6" name="Image 5">
          <a:extLst>
            <a:ext uri="{FF2B5EF4-FFF2-40B4-BE49-F238E27FC236}">
              <a16:creationId xmlns:a16="http://schemas.microsoft.com/office/drawing/2014/main" id="{80DAA635-8231-4DF4-BD31-3D8612E1B38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19917" y="0"/>
          <a:ext cx="518584" cy="51858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142875</xdr:colOff>
      <xdr:row>0</xdr:row>
      <xdr:rowOff>59531</xdr:rowOff>
    </xdr:from>
    <xdr:to>
      <xdr:col>3</xdr:col>
      <xdr:colOff>71437</xdr:colOff>
      <xdr:row>5</xdr:row>
      <xdr:rowOff>59531</xdr:rowOff>
    </xdr:to>
    <xdr:pic>
      <xdr:nvPicPr>
        <xdr:cNvPr id="3" name="Image 2">
          <a:extLst>
            <a:ext uri="{FF2B5EF4-FFF2-40B4-BE49-F238E27FC236}">
              <a16:creationId xmlns:a16="http://schemas.microsoft.com/office/drawing/2014/main" id="{FE18C916-012B-4EC9-A806-2197F72970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9531"/>
          <a:ext cx="1238250" cy="12382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83342</xdr:colOff>
      <xdr:row>0</xdr:row>
      <xdr:rowOff>83342</xdr:rowOff>
    </xdr:from>
    <xdr:to>
      <xdr:col>3</xdr:col>
      <xdr:colOff>11904</xdr:colOff>
      <xdr:row>5</xdr:row>
      <xdr:rowOff>83342</xdr:rowOff>
    </xdr:to>
    <xdr:pic>
      <xdr:nvPicPr>
        <xdr:cNvPr id="3" name="Image 2">
          <a:extLst>
            <a:ext uri="{FF2B5EF4-FFF2-40B4-BE49-F238E27FC236}">
              <a16:creationId xmlns:a16="http://schemas.microsoft.com/office/drawing/2014/main" id="{462020AF-5F66-42E4-94FD-1603D0E8A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2" y="83342"/>
          <a:ext cx="1238250" cy="12382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71438</xdr:colOff>
      <xdr:row>0</xdr:row>
      <xdr:rowOff>83343</xdr:rowOff>
    </xdr:from>
    <xdr:to>
      <xdr:col>3</xdr:col>
      <xdr:colOff>0</xdr:colOff>
      <xdr:row>5</xdr:row>
      <xdr:rowOff>83343</xdr:rowOff>
    </xdr:to>
    <xdr:pic>
      <xdr:nvPicPr>
        <xdr:cNvPr id="3" name="Image 2">
          <a:extLst>
            <a:ext uri="{FF2B5EF4-FFF2-40B4-BE49-F238E27FC236}">
              <a16:creationId xmlns:a16="http://schemas.microsoft.com/office/drawing/2014/main" id="{106720DA-8FB2-4301-9CD6-7AAA4F9A21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83343"/>
          <a:ext cx="1238250" cy="12382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166688</xdr:colOff>
      <xdr:row>0</xdr:row>
      <xdr:rowOff>83344</xdr:rowOff>
    </xdr:from>
    <xdr:to>
      <xdr:col>3</xdr:col>
      <xdr:colOff>95250</xdr:colOff>
      <xdr:row>5</xdr:row>
      <xdr:rowOff>83344</xdr:rowOff>
    </xdr:to>
    <xdr:pic>
      <xdr:nvPicPr>
        <xdr:cNvPr id="3" name="Image 2">
          <a:extLst>
            <a:ext uri="{FF2B5EF4-FFF2-40B4-BE49-F238E27FC236}">
              <a16:creationId xmlns:a16="http://schemas.microsoft.com/office/drawing/2014/main" id="{63B60F9D-45C6-49B3-A312-523A4022C2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83344"/>
          <a:ext cx="1238250" cy="12382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142875</xdr:colOff>
      <xdr:row>0</xdr:row>
      <xdr:rowOff>119063</xdr:rowOff>
    </xdr:from>
    <xdr:to>
      <xdr:col>3</xdr:col>
      <xdr:colOff>71437</xdr:colOff>
      <xdr:row>5</xdr:row>
      <xdr:rowOff>119063</xdr:rowOff>
    </xdr:to>
    <xdr:pic>
      <xdr:nvPicPr>
        <xdr:cNvPr id="3" name="Image 2">
          <a:extLst>
            <a:ext uri="{FF2B5EF4-FFF2-40B4-BE49-F238E27FC236}">
              <a16:creationId xmlns:a16="http://schemas.microsoft.com/office/drawing/2014/main" id="{9A620312-FABE-4607-8A0E-16F716C2CD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119063"/>
          <a:ext cx="1238250" cy="12382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119063</xdr:colOff>
      <xdr:row>0</xdr:row>
      <xdr:rowOff>166688</xdr:rowOff>
    </xdr:from>
    <xdr:to>
      <xdr:col>3</xdr:col>
      <xdr:colOff>47625</xdr:colOff>
      <xdr:row>5</xdr:row>
      <xdr:rowOff>166688</xdr:rowOff>
    </xdr:to>
    <xdr:pic>
      <xdr:nvPicPr>
        <xdr:cNvPr id="3" name="Image 2">
          <a:extLst>
            <a:ext uri="{FF2B5EF4-FFF2-40B4-BE49-F238E27FC236}">
              <a16:creationId xmlns:a16="http://schemas.microsoft.com/office/drawing/2014/main" id="{8AC08787-6B0D-4599-97D0-FB8EB051DC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3" y="166688"/>
          <a:ext cx="1238250" cy="12382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529168</xdr:colOff>
      <xdr:row>1</xdr:row>
      <xdr:rowOff>63502</xdr:rowOff>
    </xdr:from>
    <xdr:to>
      <xdr:col>4</xdr:col>
      <xdr:colOff>1005418</xdr:colOff>
      <xdr:row>3</xdr:row>
      <xdr:rowOff>137585</xdr:rowOff>
    </xdr:to>
    <xdr:pic>
      <xdr:nvPicPr>
        <xdr:cNvPr id="3" name="Image 2">
          <a:extLst>
            <a:ext uri="{FF2B5EF4-FFF2-40B4-BE49-F238E27FC236}">
              <a16:creationId xmlns:a16="http://schemas.microsoft.com/office/drawing/2014/main" id="{43FFE98C-3226-4EDC-B729-9893ECE7C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7085" y="359835"/>
          <a:ext cx="476250" cy="47625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95250</xdr:colOff>
      <xdr:row>0</xdr:row>
      <xdr:rowOff>107156</xdr:rowOff>
    </xdr:from>
    <xdr:to>
      <xdr:col>3</xdr:col>
      <xdr:colOff>23812</xdr:colOff>
      <xdr:row>5</xdr:row>
      <xdr:rowOff>107156</xdr:rowOff>
    </xdr:to>
    <xdr:pic>
      <xdr:nvPicPr>
        <xdr:cNvPr id="3" name="Image 2">
          <a:extLst>
            <a:ext uri="{FF2B5EF4-FFF2-40B4-BE49-F238E27FC236}">
              <a16:creationId xmlns:a16="http://schemas.microsoft.com/office/drawing/2014/main" id="{F2656A01-EC19-4444-89B2-31DE3CA93B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7156"/>
          <a:ext cx="1238250" cy="12382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71438</xdr:colOff>
      <xdr:row>0</xdr:row>
      <xdr:rowOff>59532</xdr:rowOff>
    </xdr:from>
    <xdr:to>
      <xdr:col>3</xdr:col>
      <xdr:colOff>0</xdr:colOff>
      <xdr:row>5</xdr:row>
      <xdr:rowOff>59532</xdr:rowOff>
    </xdr:to>
    <xdr:pic>
      <xdr:nvPicPr>
        <xdr:cNvPr id="3" name="Image 2">
          <a:extLst>
            <a:ext uri="{FF2B5EF4-FFF2-40B4-BE49-F238E27FC236}">
              <a16:creationId xmlns:a16="http://schemas.microsoft.com/office/drawing/2014/main" id="{6E1939BB-B00F-4D3E-8B1C-1D6CCFA9B6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8" y="59532"/>
          <a:ext cx="1238250" cy="123825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59531</xdr:colOff>
      <xdr:row>0</xdr:row>
      <xdr:rowOff>47625</xdr:rowOff>
    </xdr:from>
    <xdr:to>
      <xdr:col>2</xdr:col>
      <xdr:colOff>404812</xdr:colOff>
      <xdr:row>5</xdr:row>
      <xdr:rowOff>47625</xdr:rowOff>
    </xdr:to>
    <xdr:pic>
      <xdr:nvPicPr>
        <xdr:cNvPr id="3" name="Image 2">
          <a:extLst>
            <a:ext uri="{FF2B5EF4-FFF2-40B4-BE49-F238E27FC236}">
              <a16:creationId xmlns:a16="http://schemas.microsoft.com/office/drawing/2014/main" id="{513FE3BE-BE14-4B0D-B140-51E8905F81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1" y="47625"/>
          <a:ext cx="1238250" cy="123825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107156</xdr:colOff>
      <xdr:row>0</xdr:row>
      <xdr:rowOff>119062</xdr:rowOff>
    </xdr:from>
    <xdr:to>
      <xdr:col>3</xdr:col>
      <xdr:colOff>35718</xdr:colOff>
      <xdr:row>5</xdr:row>
      <xdr:rowOff>119062</xdr:rowOff>
    </xdr:to>
    <xdr:pic>
      <xdr:nvPicPr>
        <xdr:cNvPr id="3" name="Image 2">
          <a:extLst>
            <a:ext uri="{FF2B5EF4-FFF2-40B4-BE49-F238E27FC236}">
              <a16:creationId xmlns:a16="http://schemas.microsoft.com/office/drawing/2014/main" id="{A5DCE74F-D98A-4375-BC91-50B31E7C65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156" y="119062"/>
          <a:ext cx="1238250" cy="123825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71437</xdr:colOff>
      <xdr:row>0</xdr:row>
      <xdr:rowOff>71437</xdr:rowOff>
    </xdr:from>
    <xdr:to>
      <xdr:col>3</xdr:col>
      <xdr:colOff>-1</xdr:colOff>
      <xdr:row>5</xdr:row>
      <xdr:rowOff>71437</xdr:rowOff>
    </xdr:to>
    <xdr:pic>
      <xdr:nvPicPr>
        <xdr:cNvPr id="3" name="Image 2">
          <a:extLst>
            <a:ext uri="{FF2B5EF4-FFF2-40B4-BE49-F238E27FC236}">
              <a16:creationId xmlns:a16="http://schemas.microsoft.com/office/drawing/2014/main" id="{C30C9C7D-57B8-4A2A-97E0-63CFAFE946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7" y="71437"/>
          <a:ext cx="1238250" cy="12382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83343</xdr:colOff>
      <xdr:row>0</xdr:row>
      <xdr:rowOff>107156</xdr:rowOff>
    </xdr:from>
    <xdr:to>
      <xdr:col>3</xdr:col>
      <xdr:colOff>11905</xdr:colOff>
      <xdr:row>5</xdr:row>
      <xdr:rowOff>107156</xdr:rowOff>
    </xdr:to>
    <xdr:pic>
      <xdr:nvPicPr>
        <xdr:cNvPr id="3" name="Image 2">
          <a:extLst>
            <a:ext uri="{FF2B5EF4-FFF2-40B4-BE49-F238E27FC236}">
              <a16:creationId xmlns:a16="http://schemas.microsoft.com/office/drawing/2014/main" id="{5D537914-2B14-41C5-B2B8-389DA9935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343" y="107156"/>
          <a:ext cx="1238250" cy="12382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2</xdr:col>
      <xdr:colOff>751416</xdr:colOff>
      <xdr:row>0</xdr:row>
      <xdr:rowOff>0</xdr:rowOff>
    </xdr:from>
    <xdr:to>
      <xdr:col>3</xdr:col>
      <xdr:colOff>370417</xdr:colOff>
      <xdr:row>3</xdr:row>
      <xdr:rowOff>63501</xdr:rowOff>
    </xdr:to>
    <xdr:pic>
      <xdr:nvPicPr>
        <xdr:cNvPr id="3" name="Image 2">
          <a:extLst>
            <a:ext uri="{FF2B5EF4-FFF2-40B4-BE49-F238E27FC236}">
              <a16:creationId xmlns:a16="http://schemas.microsoft.com/office/drawing/2014/main" id="{CFB6E28A-F098-4969-8C20-D184284594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5833" y="0"/>
          <a:ext cx="613834" cy="613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518582</xdr:colOff>
      <xdr:row>1</xdr:row>
      <xdr:rowOff>31751</xdr:rowOff>
    </xdr:from>
    <xdr:to>
      <xdr:col>4</xdr:col>
      <xdr:colOff>994832</xdr:colOff>
      <xdr:row>3</xdr:row>
      <xdr:rowOff>105834</xdr:rowOff>
    </xdr:to>
    <xdr:pic>
      <xdr:nvPicPr>
        <xdr:cNvPr id="3" name="Image 2">
          <a:extLst>
            <a:ext uri="{FF2B5EF4-FFF2-40B4-BE49-F238E27FC236}">
              <a16:creationId xmlns:a16="http://schemas.microsoft.com/office/drawing/2014/main" id="{4D4E1ADC-E710-45AF-8C30-513DCACCE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6499" y="328084"/>
          <a:ext cx="476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457200</xdr:colOff>
      <xdr:row>1</xdr:row>
      <xdr:rowOff>47625</xdr:rowOff>
    </xdr:from>
    <xdr:to>
      <xdr:col>4</xdr:col>
      <xdr:colOff>933450</xdr:colOff>
      <xdr:row>3</xdr:row>
      <xdr:rowOff>123825</xdr:rowOff>
    </xdr:to>
    <xdr:pic>
      <xdr:nvPicPr>
        <xdr:cNvPr id="3" name="Image 2">
          <a:extLst>
            <a:ext uri="{FF2B5EF4-FFF2-40B4-BE49-F238E27FC236}">
              <a16:creationId xmlns:a16="http://schemas.microsoft.com/office/drawing/2014/main" id="{1A6DEF07-9557-4356-9256-E979E04A2C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6650" y="342900"/>
          <a:ext cx="476250" cy="4762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533400</xdr:colOff>
      <xdr:row>1</xdr:row>
      <xdr:rowOff>57150</xdr:rowOff>
    </xdr:from>
    <xdr:to>
      <xdr:col>4</xdr:col>
      <xdr:colOff>1009650</xdr:colOff>
      <xdr:row>3</xdr:row>
      <xdr:rowOff>133350</xdr:rowOff>
    </xdr:to>
    <xdr:pic>
      <xdr:nvPicPr>
        <xdr:cNvPr id="3" name="Image 2">
          <a:extLst>
            <a:ext uri="{FF2B5EF4-FFF2-40B4-BE49-F238E27FC236}">
              <a16:creationId xmlns:a16="http://schemas.microsoft.com/office/drawing/2014/main" id="{44F68D5D-A5B2-4FCD-8153-C377A6F4BE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52850" y="352425"/>
          <a:ext cx="476250" cy="47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523875</xdr:colOff>
      <xdr:row>1</xdr:row>
      <xdr:rowOff>66675</xdr:rowOff>
    </xdr:from>
    <xdr:to>
      <xdr:col>4</xdr:col>
      <xdr:colOff>1000125</xdr:colOff>
      <xdr:row>3</xdr:row>
      <xdr:rowOff>142875</xdr:rowOff>
    </xdr:to>
    <xdr:pic>
      <xdr:nvPicPr>
        <xdr:cNvPr id="3" name="Image 2">
          <a:extLst>
            <a:ext uri="{FF2B5EF4-FFF2-40B4-BE49-F238E27FC236}">
              <a16:creationId xmlns:a16="http://schemas.microsoft.com/office/drawing/2014/main" id="{9D624059-9C80-407D-928F-DFE1CAEC0B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43325" y="361950"/>
          <a:ext cx="476250" cy="47625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26.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27.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2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2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3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42.bin"/><Relationship Id="rId4" Type="http://schemas.openxmlformats.org/officeDocument/2006/relationships/comments" Target="../comments3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FF"/>
  </sheetPr>
  <dimension ref="B2:AS80"/>
  <sheetViews>
    <sheetView showGridLines="0" tabSelected="1" zoomScale="90" zoomScaleNormal="90" workbookViewId="0">
      <selection activeCell="Q3" sqref="Q3"/>
    </sheetView>
  </sheetViews>
  <sheetFormatPr baseColWidth="10" defaultColWidth="11.42578125" defaultRowHeight="12.75" x14ac:dyDescent="0.2"/>
  <cols>
    <col min="1" max="2" width="11.42578125" style="16"/>
    <col min="3" max="3" width="16.140625" style="16" customWidth="1"/>
    <col min="4" max="16384" width="11.42578125" style="16"/>
  </cols>
  <sheetData>
    <row r="2" spans="2:13" ht="23.25" x14ac:dyDescent="0.35">
      <c r="B2" s="16" t="s">
        <v>1719</v>
      </c>
      <c r="E2" s="1035" t="s">
        <v>1739</v>
      </c>
      <c r="F2" s="989"/>
      <c r="G2" s="989"/>
      <c r="H2" s="989"/>
      <c r="M2" s="1356" t="str">
        <f>+"Année : "&amp;Identification!B60</f>
        <v>Année : 2026</v>
      </c>
    </row>
    <row r="80" spans="45:45" x14ac:dyDescent="0.2">
      <c r="AS80" s="29"/>
    </row>
  </sheetData>
  <sheetProtection algorithmName="SHA-512" hashValue="XQ+6g9eASTnytP/Ml4vumw1/tb6n4Ic09yLuBtgrm5RztPJPjvt+MrauGvmScAndyU3yTauxCnxv7tudav9yog==" saltValue="jS050xCnCho802FZVi66qA==" spinCount="100000" sheet="1" objects="1" scenarios="1" formatCells="0" formatColumns="0" formatRows="0" insertColumns="0" insertRows="0" insertHyperlinks="0" sort="0" autoFilter="0" pivotTables="0"/>
  <pageMargins left="0.7" right="0.7" top="0.75" bottom="0.75" header="0.3" footer="0.3"/>
  <pageSetup paperSize="9" scale="52"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503</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0C7DufEMpXWnoVvMtx1MmOr1BRTjQewB+aOCKgXpfX1DBtaV/y3A3dhIbT7E8lvhboE+VFWccPFnMTo4ZVEDKQ==" saltValue="A5b0R8JAv/GSqmWilTJIwA=="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202" priority="21" operator="greaterThan">
      <formula>0</formula>
    </cfRule>
  </conditionalFormatting>
  <conditionalFormatting sqref="B17:J17">
    <cfRule type="expression" dxfId="3201" priority="60">
      <formula>K17=0</formula>
    </cfRule>
  </conditionalFormatting>
  <conditionalFormatting sqref="B22:J22">
    <cfRule type="expression" dxfId="3200" priority="52">
      <formula>K22=0</formula>
    </cfRule>
  </conditionalFormatting>
  <conditionalFormatting sqref="D40">
    <cfRule type="expression" dxfId="3199" priority="124">
      <formula>$E$40=0</formula>
    </cfRule>
  </conditionalFormatting>
  <conditionalFormatting sqref="D49">
    <cfRule type="expression" dxfId="3198" priority="123">
      <formula>$E$49=0</formula>
    </cfRule>
  </conditionalFormatting>
  <conditionalFormatting sqref="D58:E58">
    <cfRule type="expression" dxfId="3197" priority="66">
      <formula>$E$49&gt;0</formula>
    </cfRule>
  </conditionalFormatting>
  <conditionalFormatting sqref="E35">
    <cfRule type="cellIs" dxfId="3195" priority="5" operator="greaterThan">
      <formula>0</formula>
    </cfRule>
  </conditionalFormatting>
  <conditionalFormatting sqref="E40">
    <cfRule type="cellIs" dxfId="3194" priority="125" operator="equal">
      <formula>0</formula>
    </cfRule>
  </conditionalFormatting>
  <conditionalFormatting sqref="E49">
    <cfRule type="cellIs" dxfId="3193" priority="122" operator="equal">
      <formula>0</formula>
    </cfRule>
  </conditionalFormatting>
  <conditionalFormatting sqref="E50">
    <cfRule type="expression" dxfId="3192" priority="121">
      <formula>$E$49=0</formula>
    </cfRule>
  </conditionalFormatting>
  <conditionalFormatting sqref="E29:I29">
    <cfRule type="cellIs" dxfId="3191" priority="65" operator="between">
      <formula>46.9999999999</formula>
      <formula>51.99999</formula>
    </cfRule>
    <cfRule type="cellIs" dxfId="3190" priority="64" operator="greaterThanOrEqual">
      <formula>52.0000001</formula>
    </cfRule>
  </conditionalFormatting>
  <conditionalFormatting sqref="K17">
    <cfRule type="cellIs" dxfId="3189" priority="61" operator="equal">
      <formula>0</formula>
    </cfRule>
  </conditionalFormatting>
  <conditionalFormatting sqref="K19">
    <cfRule type="cellIs" dxfId="3188" priority="19" operator="greaterThan">
      <formula>0</formula>
    </cfRule>
    <cfRule type="expression" dxfId="3187" priority="29">
      <formula>OR(AND($E$29&gt;=47,$E$29&lt;=51,K14&gt;0),K19&gt;52,AND($E$29&gt;52,K14&gt;0),AND(K19&gt;=1,K14=0))</formula>
    </cfRule>
  </conditionalFormatting>
  <conditionalFormatting sqref="K22">
    <cfRule type="cellIs" dxfId="3186" priority="51" operator="equal">
      <formula>0</formula>
    </cfRule>
  </conditionalFormatting>
  <conditionalFormatting sqref="M7:T13">
    <cfRule type="cellIs" dxfId="3185" priority="20" operator="greaterThan">
      <formula>0</formula>
    </cfRule>
  </conditionalFormatting>
  <conditionalFormatting sqref="M17:U17">
    <cfRule type="expression" dxfId="3184" priority="43">
      <formula>V17=0</formula>
    </cfRule>
  </conditionalFormatting>
  <conditionalFormatting sqref="M22:U22">
    <cfRule type="expression" dxfId="3183" priority="36">
      <formula>V22=0</formula>
    </cfRule>
  </conditionalFormatting>
  <conditionalFormatting sqref="N31">
    <cfRule type="expression" dxfId="3182" priority="63">
      <formula>$EB$2="ROUGE"</formula>
    </cfRule>
  </conditionalFormatting>
  <conditionalFormatting sqref="N34">
    <cfRule type="cellIs" dxfId="3181" priority="4" operator="greaterThan">
      <formula>0</formula>
    </cfRule>
  </conditionalFormatting>
  <conditionalFormatting sqref="P39">
    <cfRule type="expression" dxfId="3180" priority="158">
      <formula>EB2="faux"</formula>
    </cfRule>
  </conditionalFormatting>
  <conditionalFormatting sqref="V17">
    <cfRule type="cellIs" dxfId="3179" priority="59" operator="equal">
      <formula>0</formula>
    </cfRule>
  </conditionalFormatting>
  <conditionalFormatting sqref="V19">
    <cfRule type="cellIs" dxfId="3178" priority="18" operator="greaterThan">
      <formula>0</formula>
    </cfRule>
    <cfRule type="expression" dxfId="3177" priority="28">
      <formula>OR(AND($E$29&gt;=47,$E$29&lt;=51,V14&gt;0),V19&gt;52,AND($E$29&gt;52,V14&gt;0),AND(V19&gt;=1,V14=0))</formula>
    </cfRule>
  </conditionalFormatting>
  <conditionalFormatting sqref="V22">
    <cfRule type="cellIs" dxfId="3176" priority="50" operator="equal">
      <formula>0</formula>
    </cfRule>
  </conditionalFormatting>
  <conditionalFormatting sqref="W31">
    <cfRule type="expression" dxfId="3175" priority="62">
      <formula>$EB$3="ROUGE"</formula>
    </cfRule>
  </conditionalFormatting>
  <conditionalFormatting sqref="W34">
    <cfRule type="cellIs" dxfId="3174" priority="1" operator="greaterThan">
      <formula>0</formula>
    </cfRule>
  </conditionalFormatting>
  <conditionalFormatting sqref="X7:AE13">
    <cfRule type="cellIs" dxfId="3173" priority="17" operator="greaterThan">
      <formula>0</formula>
    </cfRule>
  </conditionalFormatting>
  <conditionalFormatting sqref="X17:AF17">
    <cfRule type="expression" dxfId="3172" priority="42">
      <formula>AG17=0</formula>
    </cfRule>
  </conditionalFormatting>
  <conditionalFormatting sqref="X22:AF22">
    <cfRule type="expression" dxfId="3171" priority="35">
      <formula>AG22=0</formula>
    </cfRule>
  </conditionalFormatting>
  <conditionalFormatting sqref="AG17">
    <cfRule type="cellIs" dxfId="3170" priority="58" operator="equal">
      <formula>0</formula>
    </cfRule>
  </conditionalFormatting>
  <conditionalFormatting sqref="AG19">
    <cfRule type="cellIs" dxfId="3169" priority="16" operator="greaterThan">
      <formula>0</formula>
    </cfRule>
    <cfRule type="expression" dxfId="3168" priority="27">
      <formula>OR(AND($E$29&gt;=47,$E$29&lt;=51,AG14&gt;0),AG19&gt;52,AND($E$29&gt;52,AG14&gt;0),AND(AG19&gt;=1,AG14=0))</formula>
    </cfRule>
  </conditionalFormatting>
  <conditionalFormatting sqref="AG22">
    <cfRule type="cellIs" dxfId="3167" priority="49" operator="equal">
      <formula>0</formula>
    </cfRule>
  </conditionalFormatting>
  <conditionalFormatting sqref="AI7:AP13">
    <cfRule type="cellIs" dxfId="3166" priority="15" operator="greaterThan">
      <formula>0</formula>
    </cfRule>
  </conditionalFormatting>
  <conditionalFormatting sqref="AI17:AQ17">
    <cfRule type="expression" dxfId="3165" priority="41">
      <formula>AR17=0</formula>
    </cfRule>
  </conditionalFormatting>
  <conditionalFormatting sqref="AI22:AQ22">
    <cfRule type="expression" dxfId="3164" priority="34">
      <formula>AR22=0</formula>
    </cfRule>
  </conditionalFormatting>
  <conditionalFormatting sqref="AR17">
    <cfRule type="cellIs" dxfId="3163" priority="57" operator="equal">
      <formula>0</formula>
    </cfRule>
  </conditionalFormatting>
  <conditionalFormatting sqref="AR19">
    <cfRule type="cellIs" dxfId="3162" priority="14" operator="greaterThan">
      <formula>0</formula>
    </cfRule>
    <cfRule type="expression" dxfId="3161" priority="26">
      <formula>OR(AND($E$29&gt;=47,$E$29&lt;=51,AR14&gt;0),AR19&gt;52,AND($E$29&gt;52,AR14&gt;0),AND(AR19&gt;=1,AR14=0))</formula>
    </cfRule>
  </conditionalFormatting>
  <conditionalFormatting sqref="AR22">
    <cfRule type="cellIs" dxfId="3160" priority="48" operator="equal">
      <formula>0</formula>
    </cfRule>
  </conditionalFormatting>
  <conditionalFormatting sqref="AT7:BA13">
    <cfRule type="cellIs" dxfId="3159" priority="13" operator="greaterThan">
      <formula>0</formula>
    </cfRule>
  </conditionalFormatting>
  <conditionalFormatting sqref="AT17:BB17">
    <cfRule type="expression" dxfId="3158" priority="40">
      <formula>BC17=0</formula>
    </cfRule>
  </conditionalFormatting>
  <conditionalFormatting sqref="AT22:BB22">
    <cfRule type="expression" dxfId="3157" priority="33">
      <formula>BC22=0</formula>
    </cfRule>
  </conditionalFormatting>
  <conditionalFormatting sqref="BC17">
    <cfRule type="cellIs" dxfId="3156" priority="56" operator="equal">
      <formula>0</formula>
    </cfRule>
  </conditionalFormatting>
  <conditionalFormatting sqref="BC19">
    <cfRule type="expression" dxfId="3155" priority="25">
      <formula>OR(AND($E$29&gt;=47,$E$29&lt;=51,BC14&gt;0),BC19&gt;52,AND($E$29&gt;52,BC14&gt;0),AND(BC19&gt;=1,BC14=0))</formula>
    </cfRule>
    <cfRule type="cellIs" dxfId="3154" priority="12" operator="greaterThan">
      <formula>0</formula>
    </cfRule>
  </conditionalFormatting>
  <conditionalFormatting sqref="BC22">
    <cfRule type="cellIs" dxfId="3153" priority="47" operator="equal">
      <formula>0</formula>
    </cfRule>
  </conditionalFormatting>
  <conditionalFormatting sqref="BE7:BL13">
    <cfRule type="cellIs" dxfId="3152" priority="11" operator="greaterThan">
      <formula>0</formula>
    </cfRule>
  </conditionalFormatting>
  <conditionalFormatting sqref="BE17:BM17">
    <cfRule type="expression" dxfId="3151" priority="39">
      <formula>BN17=0</formula>
    </cfRule>
  </conditionalFormatting>
  <conditionalFormatting sqref="BE22:BM22">
    <cfRule type="expression" dxfId="3150" priority="32">
      <formula>BN22=0</formula>
    </cfRule>
  </conditionalFormatting>
  <conditionalFormatting sqref="BN17">
    <cfRule type="cellIs" dxfId="3149" priority="55" operator="equal">
      <formula>0</formula>
    </cfRule>
  </conditionalFormatting>
  <conditionalFormatting sqref="BN19">
    <cfRule type="expression" dxfId="3148" priority="24">
      <formula>OR(AND($E$29&gt;=47,$E$29&lt;=51,BN14&gt;0),BN19&gt;52,AND($E$29&gt;52,BN14&gt;0),AND(BN19&gt;=1,BN14=0))</formula>
    </cfRule>
    <cfRule type="cellIs" dxfId="3147" priority="10" operator="greaterThan">
      <formula>0</formula>
    </cfRule>
  </conditionalFormatting>
  <conditionalFormatting sqref="BN22">
    <cfRule type="cellIs" dxfId="3146" priority="46" operator="equal">
      <formula>0</formula>
    </cfRule>
  </conditionalFormatting>
  <conditionalFormatting sqref="BP7:BW13">
    <cfRule type="cellIs" dxfId="3145" priority="9" operator="greaterThan">
      <formula>0</formula>
    </cfRule>
  </conditionalFormatting>
  <conditionalFormatting sqref="BP17:BX17">
    <cfRule type="expression" dxfId="3144" priority="38">
      <formula>BY17=0</formula>
    </cfRule>
  </conditionalFormatting>
  <conditionalFormatting sqref="BP22:BX22">
    <cfRule type="expression" dxfId="3143" priority="31">
      <formula>BY22=0</formula>
    </cfRule>
  </conditionalFormatting>
  <conditionalFormatting sqref="BY17">
    <cfRule type="cellIs" dxfId="3142" priority="54" operator="equal">
      <formula>0</formula>
    </cfRule>
  </conditionalFormatting>
  <conditionalFormatting sqref="BY19">
    <cfRule type="cellIs" dxfId="3141" priority="8" operator="greaterThan">
      <formula>0</formula>
    </cfRule>
    <cfRule type="expression" dxfId="3140" priority="23">
      <formula>OR(AND($E$29&gt;=47,$E$29&lt;=51,BY14&gt;0),BY19&gt;52,AND($E$29&gt;52,BY14&gt;0),AND(BY19&gt;=1,BY14=0))</formula>
    </cfRule>
  </conditionalFormatting>
  <conditionalFormatting sqref="BY22">
    <cfRule type="cellIs" dxfId="3139" priority="45" operator="equal">
      <formula>0</formula>
    </cfRule>
  </conditionalFormatting>
  <conditionalFormatting sqref="CA7:CH13">
    <cfRule type="cellIs" dxfId="3138" priority="7" operator="greaterThan">
      <formula>0</formula>
    </cfRule>
  </conditionalFormatting>
  <conditionalFormatting sqref="CA17:CI17">
    <cfRule type="expression" dxfId="3137" priority="37">
      <formula>CJ17=0</formula>
    </cfRule>
  </conditionalFormatting>
  <conditionalFormatting sqref="CA22:CI22">
    <cfRule type="expression" dxfId="3136" priority="30">
      <formula>CJ22=0</formula>
    </cfRule>
  </conditionalFormatting>
  <conditionalFormatting sqref="CJ17">
    <cfRule type="cellIs" dxfId="3135" priority="53" operator="equal">
      <formula>0</formula>
    </cfRule>
  </conditionalFormatting>
  <conditionalFormatting sqref="CJ19">
    <cfRule type="expression" dxfId="3134" priority="22">
      <formula>OR(AND($E$29&gt;=47,$E$29&lt;=51,CJ14&gt;0),CJ19&gt;52,AND($E$29&gt;52,CJ14&gt;0),AND(CJ19&gt;=1,CJ14=0))</formula>
    </cfRule>
    <cfRule type="cellIs" dxfId="3133" priority="6" operator="greaterThan">
      <formula>0</formula>
    </cfRule>
  </conditionalFormatting>
  <conditionalFormatting sqref="CJ22">
    <cfRule type="cellIs" dxfId="3132" priority="44" operator="equal">
      <formula>0</formula>
    </cfRule>
  </conditionalFormatting>
  <dataValidations count="6">
    <dataValidation errorStyle="information" allowBlank="1" showErrorMessage="1" errorTitle="Ne peut ête supérieure à 52 sem" sqref="E29:I29" xr:uid="{00000000-0002-0000-0900-000000000000}"/>
    <dataValidation type="list" allowBlank="1" showInputMessage="1" showErrorMessage="1" sqref="N31 W31" xr:uid="{00000000-0002-0000-0900-000001000000}">
      <formula1>"OUI,NON"</formula1>
    </dataValidation>
    <dataValidation type="list" allowBlank="1" showInputMessage="1" showErrorMessage="1" sqref="P49" xr:uid="{00000000-0002-0000-0900-000003000000}">
      <formula1>Table_méthode_abs_CP</formula1>
    </dataValidation>
    <dataValidation type="list" showInputMessage="1" showErrorMessage="1" sqref="C77" xr:uid="{00000000-0002-0000-0900-000004000000}">
      <formula1>"0,1,2,3,4"</formula1>
    </dataValidation>
    <dataValidation type="list" allowBlank="1" showInputMessage="1" showErrorMessage="1" sqref="P39" xr:uid="{FD4F83EE-B404-42A0-AE13-D71BD23FB541}">
      <formula1>Table_méthode_retenue</formula1>
    </dataValidation>
    <dataValidation type="list" allowBlank="1" showInputMessage="1" showErrorMessage="1" sqref="Y38" xr:uid="{3CDFE4A8-7069-4EC0-B8E6-A7975B2392F0}">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B5A8872-571B-43C0-B51E-12B7997C13A4}">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326651-544B-4D5D-8A46-635633DC98FC}">
          <x14:formula1>
            <xm:f>S.CAL!$DE$3:$DE$13</xm:f>
          </x14:formula1>
          <xm:sqref>K1:M1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504</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Vd3TsIxjJ92uiADqWAzoy5soFGWf9NgPeV+1zc+XH3KGdiyRpvDnJTvNRnpZaF5J+FTXowNE2UCN3m+27zxctA==" saltValue="00CBsOZ/5v2v1Jzg7JkgNA=="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131" priority="21" operator="greaterThan">
      <formula>0</formula>
    </cfRule>
  </conditionalFormatting>
  <conditionalFormatting sqref="B17:J17">
    <cfRule type="expression" dxfId="3130" priority="60">
      <formula>K17=0</formula>
    </cfRule>
  </conditionalFormatting>
  <conditionalFormatting sqref="B22:J22">
    <cfRule type="expression" dxfId="3129" priority="52">
      <formula>K22=0</formula>
    </cfRule>
  </conditionalFormatting>
  <conditionalFormatting sqref="D40">
    <cfRule type="expression" dxfId="3128" priority="124">
      <formula>$E$40=0</formula>
    </cfRule>
  </conditionalFormatting>
  <conditionalFormatting sqref="D49">
    <cfRule type="expression" dxfId="3127" priority="123">
      <formula>$E$49=0</formula>
    </cfRule>
  </conditionalFormatting>
  <conditionalFormatting sqref="D58:E58">
    <cfRule type="expression" dxfId="3126" priority="66">
      <formula>$E$49&gt;0</formula>
    </cfRule>
  </conditionalFormatting>
  <conditionalFormatting sqref="E35">
    <cfRule type="cellIs" dxfId="3124" priority="5" operator="greaterThan">
      <formula>0</formula>
    </cfRule>
  </conditionalFormatting>
  <conditionalFormatting sqref="E40">
    <cfRule type="cellIs" dxfId="3123" priority="125" operator="equal">
      <formula>0</formula>
    </cfRule>
  </conditionalFormatting>
  <conditionalFormatting sqref="E49">
    <cfRule type="cellIs" dxfId="3122" priority="122" operator="equal">
      <formula>0</formula>
    </cfRule>
  </conditionalFormatting>
  <conditionalFormatting sqref="E50">
    <cfRule type="expression" dxfId="3121" priority="121">
      <formula>$E$49=0</formula>
    </cfRule>
  </conditionalFormatting>
  <conditionalFormatting sqref="E29:I29">
    <cfRule type="cellIs" dxfId="3120" priority="65" operator="between">
      <formula>46.9999999999</formula>
      <formula>51.99999</formula>
    </cfRule>
    <cfRule type="cellIs" dxfId="3119" priority="64" operator="greaterThanOrEqual">
      <formula>52.0000001</formula>
    </cfRule>
  </conditionalFormatting>
  <conditionalFormatting sqref="K17">
    <cfRule type="cellIs" dxfId="3118" priority="61" operator="equal">
      <formula>0</formula>
    </cfRule>
  </conditionalFormatting>
  <conditionalFormatting sqref="K19">
    <cfRule type="cellIs" dxfId="3117" priority="19" operator="greaterThan">
      <formula>0</formula>
    </cfRule>
    <cfRule type="expression" dxfId="3116" priority="29">
      <formula>OR(AND($E$29&gt;=47,$E$29&lt;=51,K14&gt;0),K19&gt;52,AND($E$29&gt;52,K14&gt;0),AND(K19&gt;=1,K14=0))</formula>
    </cfRule>
  </conditionalFormatting>
  <conditionalFormatting sqref="K22">
    <cfRule type="cellIs" dxfId="3115" priority="51" operator="equal">
      <formula>0</formula>
    </cfRule>
  </conditionalFormatting>
  <conditionalFormatting sqref="M7:T13">
    <cfRule type="cellIs" dxfId="3114" priority="20" operator="greaterThan">
      <formula>0</formula>
    </cfRule>
  </conditionalFormatting>
  <conditionalFormatting sqref="M17:U17">
    <cfRule type="expression" dxfId="3113" priority="43">
      <formula>V17=0</formula>
    </cfRule>
  </conditionalFormatting>
  <conditionalFormatting sqref="M22:U22">
    <cfRule type="expression" dxfId="3112" priority="36">
      <formula>V22=0</formula>
    </cfRule>
  </conditionalFormatting>
  <conditionalFormatting sqref="N31">
    <cfRule type="expression" dxfId="3111" priority="63">
      <formula>$EB$2="ROUGE"</formula>
    </cfRule>
  </conditionalFormatting>
  <conditionalFormatting sqref="N34">
    <cfRule type="cellIs" dxfId="3110" priority="4" operator="greaterThan">
      <formula>0</formula>
    </cfRule>
  </conditionalFormatting>
  <conditionalFormatting sqref="P39">
    <cfRule type="expression" dxfId="3109" priority="158">
      <formula>EB2="faux"</formula>
    </cfRule>
  </conditionalFormatting>
  <conditionalFormatting sqref="V17">
    <cfRule type="cellIs" dxfId="3108" priority="59" operator="equal">
      <formula>0</formula>
    </cfRule>
  </conditionalFormatting>
  <conditionalFormatting sqref="V19">
    <cfRule type="cellIs" dxfId="3107" priority="18" operator="greaterThan">
      <formula>0</formula>
    </cfRule>
    <cfRule type="expression" dxfId="3106" priority="28">
      <formula>OR(AND($E$29&gt;=47,$E$29&lt;=51,V14&gt;0),V19&gt;52,AND($E$29&gt;52,V14&gt;0),AND(V19&gt;=1,V14=0))</formula>
    </cfRule>
  </conditionalFormatting>
  <conditionalFormatting sqref="V22">
    <cfRule type="cellIs" dxfId="3105" priority="50" operator="equal">
      <formula>0</formula>
    </cfRule>
  </conditionalFormatting>
  <conditionalFormatting sqref="W31">
    <cfRule type="expression" dxfId="3104" priority="62">
      <formula>$EB$3="ROUGE"</formula>
    </cfRule>
  </conditionalFormatting>
  <conditionalFormatting sqref="W34">
    <cfRule type="cellIs" dxfId="3103" priority="1" operator="greaterThan">
      <formula>0</formula>
    </cfRule>
  </conditionalFormatting>
  <conditionalFormatting sqref="X7:AE13">
    <cfRule type="cellIs" dxfId="3102" priority="17" operator="greaterThan">
      <formula>0</formula>
    </cfRule>
  </conditionalFormatting>
  <conditionalFormatting sqref="X17:AF17">
    <cfRule type="expression" dxfId="3101" priority="42">
      <formula>AG17=0</formula>
    </cfRule>
  </conditionalFormatting>
  <conditionalFormatting sqref="X22:AF22">
    <cfRule type="expression" dxfId="3100" priority="35">
      <formula>AG22=0</formula>
    </cfRule>
  </conditionalFormatting>
  <conditionalFormatting sqref="AG17">
    <cfRule type="cellIs" dxfId="3099" priority="58" operator="equal">
      <formula>0</formula>
    </cfRule>
  </conditionalFormatting>
  <conditionalFormatting sqref="AG19">
    <cfRule type="cellIs" dxfId="3098" priority="16" operator="greaterThan">
      <formula>0</formula>
    </cfRule>
    <cfRule type="expression" dxfId="3097" priority="27">
      <formula>OR(AND($E$29&gt;=47,$E$29&lt;=51,AG14&gt;0),AG19&gt;52,AND($E$29&gt;52,AG14&gt;0),AND(AG19&gt;=1,AG14=0))</formula>
    </cfRule>
  </conditionalFormatting>
  <conditionalFormatting sqref="AG22">
    <cfRule type="cellIs" dxfId="3096" priority="49" operator="equal">
      <formula>0</formula>
    </cfRule>
  </conditionalFormatting>
  <conditionalFormatting sqref="AI7:AP13">
    <cfRule type="cellIs" dxfId="3095" priority="15" operator="greaterThan">
      <formula>0</formula>
    </cfRule>
  </conditionalFormatting>
  <conditionalFormatting sqref="AI17:AQ17">
    <cfRule type="expression" dxfId="3094" priority="41">
      <formula>AR17=0</formula>
    </cfRule>
  </conditionalFormatting>
  <conditionalFormatting sqref="AI22:AQ22">
    <cfRule type="expression" dxfId="3093" priority="34">
      <formula>AR22=0</formula>
    </cfRule>
  </conditionalFormatting>
  <conditionalFormatting sqref="AR17">
    <cfRule type="cellIs" dxfId="3092" priority="57" operator="equal">
      <formula>0</formula>
    </cfRule>
  </conditionalFormatting>
  <conditionalFormatting sqref="AR19">
    <cfRule type="cellIs" dxfId="3091" priority="14" operator="greaterThan">
      <formula>0</formula>
    </cfRule>
    <cfRule type="expression" dxfId="3090" priority="26">
      <formula>OR(AND($E$29&gt;=47,$E$29&lt;=51,AR14&gt;0),AR19&gt;52,AND($E$29&gt;52,AR14&gt;0),AND(AR19&gt;=1,AR14=0))</formula>
    </cfRule>
  </conditionalFormatting>
  <conditionalFormatting sqref="AR22">
    <cfRule type="cellIs" dxfId="3089" priority="48" operator="equal">
      <formula>0</formula>
    </cfRule>
  </conditionalFormatting>
  <conditionalFormatting sqref="AT7:BA13">
    <cfRule type="cellIs" dxfId="3088" priority="13" operator="greaterThan">
      <formula>0</formula>
    </cfRule>
  </conditionalFormatting>
  <conditionalFormatting sqref="AT17:BB17">
    <cfRule type="expression" dxfId="3087" priority="40">
      <formula>BC17=0</formula>
    </cfRule>
  </conditionalFormatting>
  <conditionalFormatting sqref="AT22:BB22">
    <cfRule type="expression" dxfId="3086" priority="33">
      <formula>BC22=0</formula>
    </cfRule>
  </conditionalFormatting>
  <conditionalFormatting sqref="BC17">
    <cfRule type="cellIs" dxfId="3085" priority="56" operator="equal">
      <formula>0</formula>
    </cfRule>
  </conditionalFormatting>
  <conditionalFormatting sqref="BC19">
    <cfRule type="expression" dxfId="3084" priority="25">
      <formula>OR(AND($E$29&gt;=47,$E$29&lt;=51,BC14&gt;0),BC19&gt;52,AND($E$29&gt;52,BC14&gt;0),AND(BC19&gt;=1,BC14=0))</formula>
    </cfRule>
    <cfRule type="cellIs" dxfId="3083" priority="12" operator="greaterThan">
      <formula>0</formula>
    </cfRule>
  </conditionalFormatting>
  <conditionalFormatting sqref="BC22">
    <cfRule type="cellIs" dxfId="3082" priority="47" operator="equal">
      <formula>0</formula>
    </cfRule>
  </conditionalFormatting>
  <conditionalFormatting sqref="BE7:BL13">
    <cfRule type="cellIs" dxfId="3081" priority="11" operator="greaterThan">
      <formula>0</formula>
    </cfRule>
  </conditionalFormatting>
  <conditionalFormatting sqref="BE17:BM17">
    <cfRule type="expression" dxfId="3080" priority="39">
      <formula>BN17=0</formula>
    </cfRule>
  </conditionalFormatting>
  <conditionalFormatting sqref="BE22:BM22">
    <cfRule type="expression" dxfId="3079" priority="32">
      <formula>BN22=0</formula>
    </cfRule>
  </conditionalFormatting>
  <conditionalFormatting sqref="BN17">
    <cfRule type="cellIs" dxfId="3078" priority="55" operator="equal">
      <formula>0</formula>
    </cfRule>
  </conditionalFormatting>
  <conditionalFormatting sqref="BN19">
    <cfRule type="expression" dxfId="3077" priority="24">
      <formula>OR(AND($E$29&gt;=47,$E$29&lt;=51,BN14&gt;0),BN19&gt;52,AND($E$29&gt;52,BN14&gt;0),AND(BN19&gt;=1,BN14=0))</formula>
    </cfRule>
    <cfRule type="cellIs" dxfId="3076" priority="10" operator="greaterThan">
      <formula>0</formula>
    </cfRule>
  </conditionalFormatting>
  <conditionalFormatting sqref="BN22">
    <cfRule type="cellIs" dxfId="3075" priority="46" operator="equal">
      <formula>0</formula>
    </cfRule>
  </conditionalFormatting>
  <conditionalFormatting sqref="BP7:BW13">
    <cfRule type="cellIs" dxfId="3074" priority="9" operator="greaterThan">
      <formula>0</formula>
    </cfRule>
  </conditionalFormatting>
  <conditionalFormatting sqref="BP17:BX17">
    <cfRule type="expression" dxfId="3073" priority="38">
      <formula>BY17=0</formula>
    </cfRule>
  </conditionalFormatting>
  <conditionalFormatting sqref="BP22:BX22">
    <cfRule type="expression" dxfId="3072" priority="31">
      <formula>BY22=0</formula>
    </cfRule>
  </conditionalFormatting>
  <conditionalFormatting sqref="BY17">
    <cfRule type="cellIs" dxfId="3071" priority="54" operator="equal">
      <formula>0</formula>
    </cfRule>
  </conditionalFormatting>
  <conditionalFormatting sqref="BY19">
    <cfRule type="cellIs" dxfId="3070" priority="8" operator="greaterThan">
      <formula>0</formula>
    </cfRule>
    <cfRule type="expression" dxfId="3069" priority="23">
      <formula>OR(AND($E$29&gt;=47,$E$29&lt;=51,BY14&gt;0),BY19&gt;52,AND($E$29&gt;52,BY14&gt;0),AND(BY19&gt;=1,BY14=0))</formula>
    </cfRule>
  </conditionalFormatting>
  <conditionalFormatting sqref="BY22">
    <cfRule type="cellIs" dxfId="3068" priority="45" operator="equal">
      <formula>0</formula>
    </cfRule>
  </conditionalFormatting>
  <conditionalFormatting sqref="CA7:CH13">
    <cfRule type="cellIs" dxfId="3067" priority="7" operator="greaterThan">
      <formula>0</formula>
    </cfRule>
  </conditionalFormatting>
  <conditionalFormatting sqref="CA17:CI17">
    <cfRule type="expression" dxfId="3066" priority="37">
      <formula>CJ17=0</formula>
    </cfRule>
  </conditionalFormatting>
  <conditionalFormatting sqref="CA22:CI22">
    <cfRule type="expression" dxfId="3065" priority="30">
      <formula>CJ22=0</formula>
    </cfRule>
  </conditionalFormatting>
  <conditionalFormatting sqref="CJ17">
    <cfRule type="cellIs" dxfId="3064" priority="53" operator="equal">
      <formula>0</formula>
    </cfRule>
  </conditionalFormatting>
  <conditionalFormatting sqref="CJ19">
    <cfRule type="expression" dxfId="3063" priority="22">
      <formula>OR(AND($E$29&gt;=47,$E$29&lt;=51,CJ14&gt;0),CJ19&gt;52,AND($E$29&gt;52,CJ14&gt;0),AND(CJ19&gt;=1,CJ14=0))</formula>
    </cfRule>
    <cfRule type="cellIs" dxfId="3062" priority="6" operator="greaterThan">
      <formula>0</formula>
    </cfRule>
  </conditionalFormatting>
  <conditionalFormatting sqref="CJ22">
    <cfRule type="cellIs" dxfId="3061" priority="44" operator="equal">
      <formula>0</formula>
    </cfRule>
  </conditionalFormatting>
  <dataValidations count="6">
    <dataValidation type="list" allowBlank="1" showInputMessage="1" showErrorMessage="1" sqref="N31 W31" xr:uid="{00000000-0002-0000-0A00-000000000000}">
      <formula1>"OUI,NON"</formula1>
    </dataValidation>
    <dataValidation errorStyle="information" allowBlank="1" showErrorMessage="1" errorTitle="Ne peut ête supérieure à 52 sem" sqref="E29:I29" xr:uid="{00000000-0002-0000-0A00-000001000000}"/>
    <dataValidation type="list" allowBlank="1" showInputMessage="1" showErrorMessage="1" sqref="P49" xr:uid="{00000000-0002-0000-0A00-000003000000}">
      <formula1>Table_méthode_abs_CP</formula1>
    </dataValidation>
    <dataValidation type="list" showInputMessage="1" showErrorMessage="1" sqref="C77" xr:uid="{00000000-0002-0000-0A00-000004000000}">
      <formula1>"0,1,2,3,4"</formula1>
    </dataValidation>
    <dataValidation type="list" allowBlank="1" showInputMessage="1" showErrorMessage="1" sqref="P39" xr:uid="{E578740E-267D-4253-89A7-BCE48097A713}">
      <formula1>Table_méthode_retenue</formula1>
    </dataValidation>
    <dataValidation type="list" allowBlank="1" showInputMessage="1" showErrorMessage="1" sqref="Y38" xr:uid="{7E09E093-E000-44E4-A536-4A53A0B99A32}">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830CD286-3D51-4721-8188-AA5EA8692636}">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E5473C2-6DA7-44B0-8DD5-C6C768E45D35}">
          <x14:formula1>
            <xm:f>S.CAL!$DE$3:$DE$13</xm:f>
          </x14:formula1>
          <xm:sqref>K1:M1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505</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yuLuvAu7wnBbSFJO8uq5+3VaGtt729851L3Om0XQ/mg9XJqR8QOUxn3Iy1K5Rn1wqQmEF8H+8XOJ9vNp1UMwEA==" saltValue="mP/wCwNGwIh7RWeS+/vNeA=="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060" priority="21" operator="greaterThan">
      <formula>0</formula>
    </cfRule>
  </conditionalFormatting>
  <conditionalFormatting sqref="B17:J17">
    <cfRule type="expression" dxfId="3059" priority="60">
      <formula>K17=0</formula>
    </cfRule>
  </conditionalFormatting>
  <conditionalFormatting sqref="B22:J22">
    <cfRule type="expression" dxfId="3058" priority="52">
      <formula>K22=0</formula>
    </cfRule>
  </conditionalFormatting>
  <conditionalFormatting sqref="D40">
    <cfRule type="expression" dxfId="3057" priority="124">
      <formula>$E$40=0</formula>
    </cfRule>
  </conditionalFormatting>
  <conditionalFormatting sqref="D49">
    <cfRule type="expression" dxfId="3056" priority="123">
      <formula>$E$49=0</formula>
    </cfRule>
  </conditionalFormatting>
  <conditionalFormatting sqref="D58:E58">
    <cfRule type="expression" dxfId="3055" priority="66">
      <formula>$E$49&gt;0</formula>
    </cfRule>
  </conditionalFormatting>
  <conditionalFormatting sqref="E35">
    <cfRule type="cellIs" dxfId="3053" priority="5" operator="greaterThan">
      <formula>0</formula>
    </cfRule>
  </conditionalFormatting>
  <conditionalFormatting sqref="E40">
    <cfRule type="cellIs" dxfId="3052" priority="125" operator="equal">
      <formula>0</formula>
    </cfRule>
  </conditionalFormatting>
  <conditionalFormatting sqref="E49">
    <cfRule type="cellIs" dxfId="3051" priority="122" operator="equal">
      <formula>0</formula>
    </cfRule>
  </conditionalFormatting>
  <conditionalFormatting sqref="E50">
    <cfRule type="expression" dxfId="3050" priority="121">
      <formula>$E$49=0</formula>
    </cfRule>
  </conditionalFormatting>
  <conditionalFormatting sqref="E29:I29">
    <cfRule type="cellIs" dxfId="3049" priority="65" operator="between">
      <formula>46.9999999999</formula>
      <formula>51.99999</formula>
    </cfRule>
    <cfRule type="cellIs" dxfId="3048" priority="64" operator="greaterThanOrEqual">
      <formula>52.0000001</formula>
    </cfRule>
  </conditionalFormatting>
  <conditionalFormatting sqref="K17">
    <cfRule type="cellIs" dxfId="3047" priority="61" operator="equal">
      <formula>0</formula>
    </cfRule>
  </conditionalFormatting>
  <conditionalFormatting sqref="K19">
    <cfRule type="cellIs" dxfId="3046" priority="19" operator="greaterThan">
      <formula>0</formula>
    </cfRule>
    <cfRule type="expression" dxfId="3045" priority="29">
      <formula>OR(AND($E$29&gt;=47,$E$29&lt;=51,K14&gt;0),K19&gt;52,AND($E$29&gt;52,K14&gt;0),AND(K19&gt;=1,K14=0))</formula>
    </cfRule>
  </conditionalFormatting>
  <conditionalFormatting sqref="K22">
    <cfRule type="cellIs" dxfId="3044" priority="51" operator="equal">
      <formula>0</formula>
    </cfRule>
  </conditionalFormatting>
  <conditionalFormatting sqref="M7:T13">
    <cfRule type="cellIs" dxfId="3043" priority="20" operator="greaterThan">
      <formula>0</formula>
    </cfRule>
  </conditionalFormatting>
  <conditionalFormatting sqref="M17:U17">
    <cfRule type="expression" dxfId="3042" priority="43">
      <formula>V17=0</formula>
    </cfRule>
  </conditionalFormatting>
  <conditionalFormatting sqref="M22:U22">
    <cfRule type="expression" dxfId="3041" priority="36">
      <formula>V22=0</formula>
    </cfRule>
  </conditionalFormatting>
  <conditionalFormatting sqref="N31">
    <cfRule type="expression" dxfId="3040" priority="63">
      <formula>$EB$2="ROUGE"</formula>
    </cfRule>
  </conditionalFormatting>
  <conditionalFormatting sqref="N34">
    <cfRule type="cellIs" dxfId="3039" priority="4" operator="greaterThan">
      <formula>0</formula>
    </cfRule>
  </conditionalFormatting>
  <conditionalFormatting sqref="P39">
    <cfRule type="expression" dxfId="3038" priority="158">
      <formula>EB2="faux"</formula>
    </cfRule>
  </conditionalFormatting>
  <conditionalFormatting sqref="V17">
    <cfRule type="cellIs" dxfId="3037" priority="59" operator="equal">
      <formula>0</formula>
    </cfRule>
  </conditionalFormatting>
  <conditionalFormatting sqref="V19">
    <cfRule type="cellIs" dxfId="3036" priority="18" operator="greaterThan">
      <formula>0</formula>
    </cfRule>
    <cfRule type="expression" dxfId="3035" priority="28">
      <formula>OR(AND($E$29&gt;=47,$E$29&lt;=51,V14&gt;0),V19&gt;52,AND($E$29&gt;52,V14&gt;0),AND(V19&gt;=1,V14=0))</formula>
    </cfRule>
  </conditionalFormatting>
  <conditionalFormatting sqref="V22">
    <cfRule type="cellIs" dxfId="3034" priority="50" operator="equal">
      <formula>0</formula>
    </cfRule>
  </conditionalFormatting>
  <conditionalFormatting sqref="W31">
    <cfRule type="expression" dxfId="3033" priority="62">
      <formula>$EB$3="ROUGE"</formula>
    </cfRule>
  </conditionalFormatting>
  <conditionalFormatting sqref="W34">
    <cfRule type="cellIs" dxfId="3032" priority="1" operator="greaterThan">
      <formula>0</formula>
    </cfRule>
  </conditionalFormatting>
  <conditionalFormatting sqref="X7:AE13">
    <cfRule type="cellIs" dxfId="3031" priority="17" operator="greaterThan">
      <formula>0</formula>
    </cfRule>
  </conditionalFormatting>
  <conditionalFormatting sqref="X17:AF17">
    <cfRule type="expression" dxfId="3030" priority="42">
      <formula>AG17=0</formula>
    </cfRule>
  </conditionalFormatting>
  <conditionalFormatting sqref="X22:AF22">
    <cfRule type="expression" dxfId="3029" priority="35">
      <formula>AG22=0</formula>
    </cfRule>
  </conditionalFormatting>
  <conditionalFormatting sqref="AG17">
    <cfRule type="cellIs" dxfId="3028" priority="58" operator="equal">
      <formula>0</formula>
    </cfRule>
  </conditionalFormatting>
  <conditionalFormatting sqref="AG19">
    <cfRule type="cellIs" dxfId="3027" priority="16" operator="greaterThan">
      <formula>0</formula>
    </cfRule>
    <cfRule type="expression" dxfId="3026" priority="27">
      <formula>OR(AND($E$29&gt;=47,$E$29&lt;=51,AG14&gt;0),AG19&gt;52,AND($E$29&gt;52,AG14&gt;0),AND(AG19&gt;=1,AG14=0))</formula>
    </cfRule>
  </conditionalFormatting>
  <conditionalFormatting sqref="AG22">
    <cfRule type="cellIs" dxfId="3025" priority="49" operator="equal">
      <formula>0</formula>
    </cfRule>
  </conditionalFormatting>
  <conditionalFormatting sqref="AI7:AP13">
    <cfRule type="cellIs" dxfId="3024" priority="15" operator="greaterThan">
      <formula>0</formula>
    </cfRule>
  </conditionalFormatting>
  <conditionalFormatting sqref="AI17:AQ17">
    <cfRule type="expression" dxfId="3023" priority="41">
      <formula>AR17=0</formula>
    </cfRule>
  </conditionalFormatting>
  <conditionalFormatting sqref="AI22:AQ22">
    <cfRule type="expression" dxfId="3022" priority="34">
      <formula>AR22=0</formula>
    </cfRule>
  </conditionalFormatting>
  <conditionalFormatting sqref="AR17">
    <cfRule type="cellIs" dxfId="3021" priority="57" operator="equal">
      <formula>0</formula>
    </cfRule>
  </conditionalFormatting>
  <conditionalFormatting sqref="AR19">
    <cfRule type="cellIs" dxfId="3020" priority="14" operator="greaterThan">
      <formula>0</formula>
    </cfRule>
    <cfRule type="expression" dxfId="3019" priority="26">
      <formula>OR(AND($E$29&gt;=47,$E$29&lt;=51,AR14&gt;0),AR19&gt;52,AND($E$29&gt;52,AR14&gt;0),AND(AR19&gt;=1,AR14=0))</formula>
    </cfRule>
  </conditionalFormatting>
  <conditionalFormatting sqref="AR22">
    <cfRule type="cellIs" dxfId="3018" priority="48" operator="equal">
      <formula>0</formula>
    </cfRule>
  </conditionalFormatting>
  <conditionalFormatting sqref="AT7:BA13">
    <cfRule type="cellIs" dxfId="3017" priority="13" operator="greaterThan">
      <formula>0</formula>
    </cfRule>
  </conditionalFormatting>
  <conditionalFormatting sqref="AT17:BB17">
    <cfRule type="expression" dxfId="3016" priority="40">
      <formula>BC17=0</formula>
    </cfRule>
  </conditionalFormatting>
  <conditionalFormatting sqref="AT22:BB22">
    <cfRule type="expression" dxfId="3015" priority="33">
      <formula>BC22=0</formula>
    </cfRule>
  </conditionalFormatting>
  <conditionalFormatting sqref="BC17">
    <cfRule type="cellIs" dxfId="3014" priority="56" operator="equal">
      <formula>0</formula>
    </cfRule>
  </conditionalFormatting>
  <conditionalFormatting sqref="BC19">
    <cfRule type="expression" dxfId="3013" priority="25">
      <formula>OR(AND($E$29&gt;=47,$E$29&lt;=51,BC14&gt;0),BC19&gt;52,AND($E$29&gt;52,BC14&gt;0),AND(BC19&gt;=1,BC14=0))</formula>
    </cfRule>
    <cfRule type="cellIs" dxfId="3012" priority="12" operator="greaterThan">
      <formula>0</formula>
    </cfRule>
  </conditionalFormatting>
  <conditionalFormatting sqref="BC22">
    <cfRule type="cellIs" dxfId="3011" priority="47" operator="equal">
      <formula>0</formula>
    </cfRule>
  </conditionalFormatting>
  <conditionalFormatting sqref="BE7:BL13">
    <cfRule type="cellIs" dxfId="3010" priority="11" operator="greaterThan">
      <formula>0</formula>
    </cfRule>
  </conditionalFormatting>
  <conditionalFormatting sqref="BE17:BM17">
    <cfRule type="expression" dxfId="3009" priority="39">
      <formula>BN17=0</formula>
    </cfRule>
  </conditionalFormatting>
  <conditionalFormatting sqref="BE22:BM22">
    <cfRule type="expression" dxfId="3008" priority="32">
      <formula>BN22=0</formula>
    </cfRule>
  </conditionalFormatting>
  <conditionalFormatting sqref="BN17">
    <cfRule type="cellIs" dxfId="3007" priority="55" operator="equal">
      <formula>0</formula>
    </cfRule>
  </conditionalFormatting>
  <conditionalFormatting sqref="BN19">
    <cfRule type="expression" dxfId="3006" priority="24">
      <formula>OR(AND($E$29&gt;=47,$E$29&lt;=51,BN14&gt;0),BN19&gt;52,AND($E$29&gt;52,BN14&gt;0),AND(BN19&gt;=1,BN14=0))</formula>
    </cfRule>
    <cfRule type="cellIs" dxfId="3005" priority="10" operator="greaterThan">
      <formula>0</formula>
    </cfRule>
  </conditionalFormatting>
  <conditionalFormatting sqref="BN22">
    <cfRule type="cellIs" dxfId="3004" priority="46" operator="equal">
      <formula>0</formula>
    </cfRule>
  </conditionalFormatting>
  <conditionalFormatting sqref="BP7:BW13">
    <cfRule type="cellIs" dxfId="3003" priority="9" operator="greaterThan">
      <formula>0</formula>
    </cfRule>
  </conditionalFormatting>
  <conditionalFormatting sqref="BP17:BX17">
    <cfRule type="expression" dxfId="3002" priority="38">
      <formula>BY17=0</formula>
    </cfRule>
  </conditionalFormatting>
  <conditionalFormatting sqref="BP22:BX22">
    <cfRule type="expression" dxfId="3001" priority="31">
      <formula>BY22=0</formula>
    </cfRule>
  </conditionalFormatting>
  <conditionalFormatting sqref="BY17">
    <cfRule type="cellIs" dxfId="3000" priority="54" operator="equal">
      <formula>0</formula>
    </cfRule>
  </conditionalFormatting>
  <conditionalFormatting sqref="BY19">
    <cfRule type="cellIs" dxfId="2999" priority="8" operator="greaterThan">
      <formula>0</formula>
    </cfRule>
    <cfRule type="expression" dxfId="2998" priority="23">
      <formula>OR(AND($E$29&gt;=47,$E$29&lt;=51,BY14&gt;0),BY19&gt;52,AND($E$29&gt;52,BY14&gt;0),AND(BY19&gt;=1,BY14=0))</formula>
    </cfRule>
  </conditionalFormatting>
  <conditionalFormatting sqref="BY22">
    <cfRule type="cellIs" dxfId="2997" priority="45" operator="equal">
      <formula>0</formula>
    </cfRule>
  </conditionalFormatting>
  <conditionalFormatting sqref="CA7:CH13">
    <cfRule type="cellIs" dxfId="2996" priority="7" operator="greaterThan">
      <formula>0</formula>
    </cfRule>
  </conditionalFormatting>
  <conditionalFormatting sqref="CA17:CI17">
    <cfRule type="expression" dxfId="2995" priority="37">
      <formula>CJ17=0</formula>
    </cfRule>
  </conditionalFormatting>
  <conditionalFormatting sqref="CA22:CI22">
    <cfRule type="expression" dxfId="2994" priority="30">
      <formula>CJ22=0</formula>
    </cfRule>
  </conditionalFormatting>
  <conditionalFormatting sqref="CJ17">
    <cfRule type="cellIs" dxfId="2993" priority="53" operator="equal">
      <formula>0</formula>
    </cfRule>
  </conditionalFormatting>
  <conditionalFormatting sqref="CJ19">
    <cfRule type="expression" dxfId="2992" priority="22">
      <formula>OR(AND($E$29&gt;=47,$E$29&lt;=51,CJ14&gt;0),CJ19&gt;52,AND($E$29&gt;52,CJ14&gt;0),AND(CJ19&gt;=1,CJ14=0))</formula>
    </cfRule>
    <cfRule type="cellIs" dxfId="2991" priority="6" operator="greaterThan">
      <formula>0</formula>
    </cfRule>
  </conditionalFormatting>
  <conditionalFormatting sqref="CJ22">
    <cfRule type="cellIs" dxfId="2990" priority="44" operator="equal">
      <formula>0</formula>
    </cfRule>
  </conditionalFormatting>
  <dataValidations count="6">
    <dataValidation errorStyle="information" allowBlank="1" showErrorMessage="1" errorTitle="Ne peut ête supérieure à 52 sem" sqref="E29:I29" xr:uid="{00000000-0002-0000-0B00-000000000000}"/>
    <dataValidation type="list" allowBlank="1" showInputMessage="1" showErrorMessage="1" sqref="N31 W31" xr:uid="{00000000-0002-0000-0B00-000001000000}">
      <formula1>"OUI,NON"</formula1>
    </dataValidation>
    <dataValidation type="list" allowBlank="1" showInputMessage="1" showErrorMessage="1" sqref="P49" xr:uid="{00000000-0002-0000-0B00-000003000000}">
      <formula1>Table_méthode_abs_CP</formula1>
    </dataValidation>
    <dataValidation type="list" showInputMessage="1" showErrorMessage="1" sqref="C77" xr:uid="{00000000-0002-0000-0B00-000004000000}">
      <formula1>"0,1,2,3,4"</formula1>
    </dataValidation>
    <dataValidation type="list" allowBlank="1" showInputMessage="1" showErrorMessage="1" sqref="P39" xr:uid="{75253631-E165-4F31-B8BF-5E03663C56C6}">
      <formula1>Table_méthode_retenue</formula1>
    </dataValidation>
    <dataValidation type="list" allowBlank="1" showInputMessage="1" showErrorMessage="1" sqref="Y38" xr:uid="{CFE96C2C-82BE-44A8-AC8C-0329004EC314}">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663062BA-99F4-4328-B4E9-2EE20984ED4C}">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BE43DA-0EDD-428E-AC6A-04F745BC66FF}">
          <x14:formula1>
            <xm:f>S.CAL!$DE$3:$DE$13</xm:f>
          </x14:formula1>
          <xm:sqref>K1:M1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760</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YaR4OTtCVgsuvcu7c1M0Or5lKtCjwvLFK89DM349CMXFhn35GzIyoOG76TipRUdNp1CSMP3gr0K91tqa1BWfXw==" saltValue="7zsTNNaT5MOPVaMqgCQ1Wg=="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2989" priority="21" operator="greaterThan">
      <formula>0</formula>
    </cfRule>
  </conditionalFormatting>
  <conditionalFormatting sqref="B17:J17">
    <cfRule type="expression" dxfId="2988" priority="60">
      <formula>K17=0</formula>
    </cfRule>
  </conditionalFormatting>
  <conditionalFormatting sqref="B22:J22">
    <cfRule type="expression" dxfId="2987" priority="52">
      <formula>K22=0</formula>
    </cfRule>
  </conditionalFormatting>
  <conditionalFormatting sqref="D40">
    <cfRule type="expression" dxfId="2986" priority="124">
      <formula>$E$40=0</formula>
    </cfRule>
  </conditionalFormatting>
  <conditionalFormatting sqref="D49">
    <cfRule type="expression" dxfId="2985" priority="123">
      <formula>$E$49=0</formula>
    </cfRule>
  </conditionalFormatting>
  <conditionalFormatting sqref="D58:E58">
    <cfRule type="expression" dxfId="2984" priority="66">
      <formula>$E$49&gt;0</formula>
    </cfRule>
  </conditionalFormatting>
  <conditionalFormatting sqref="E35">
    <cfRule type="cellIs" dxfId="2982" priority="5" operator="greaterThan">
      <formula>0</formula>
    </cfRule>
  </conditionalFormatting>
  <conditionalFormatting sqref="E40">
    <cfRule type="cellIs" dxfId="2981" priority="125" operator="equal">
      <formula>0</formula>
    </cfRule>
  </conditionalFormatting>
  <conditionalFormatting sqref="E49">
    <cfRule type="cellIs" dxfId="2980" priority="122" operator="equal">
      <formula>0</formula>
    </cfRule>
  </conditionalFormatting>
  <conditionalFormatting sqref="E50">
    <cfRule type="expression" dxfId="2979" priority="121">
      <formula>$E$49=0</formula>
    </cfRule>
  </conditionalFormatting>
  <conditionalFormatting sqref="E29:I29">
    <cfRule type="cellIs" dxfId="2978" priority="65" operator="between">
      <formula>46.9999999999</formula>
      <formula>51.99999</formula>
    </cfRule>
    <cfRule type="cellIs" dxfId="2977" priority="64" operator="greaterThanOrEqual">
      <formula>52.0000001</formula>
    </cfRule>
  </conditionalFormatting>
  <conditionalFormatting sqref="K17">
    <cfRule type="cellIs" dxfId="2976" priority="61" operator="equal">
      <formula>0</formula>
    </cfRule>
  </conditionalFormatting>
  <conditionalFormatting sqref="K19">
    <cfRule type="cellIs" dxfId="2975" priority="19" operator="greaterThan">
      <formula>0</formula>
    </cfRule>
    <cfRule type="expression" dxfId="2974" priority="29">
      <formula>OR(AND($E$29&gt;=47,$E$29&lt;=51,K14&gt;0),K19&gt;52,AND($E$29&gt;52,K14&gt;0),AND(K19&gt;=1,K14=0))</formula>
    </cfRule>
  </conditionalFormatting>
  <conditionalFormatting sqref="K22">
    <cfRule type="cellIs" dxfId="2973" priority="51" operator="equal">
      <formula>0</formula>
    </cfRule>
  </conditionalFormatting>
  <conditionalFormatting sqref="M7:T13">
    <cfRule type="cellIs" dxfId="2972" priority="20" operator="greaterThan">
      <formula>0</formula>
    </cfRule>
  </conditionalFormatting>
  <conditionalFormatting sqref="M17:U17">
    <cfRule type="expression" dxfId="2971" priority="43">
      <formula>V17=0</formula>
    </cfRule>
  </conditionalFormatting>
  <conditionalFormatting sqref="M22:U22">
    <cfRule type="expression" dxfId="2970" priority="36">
      <formula>V22=0</formula>
    </cfRule>
  </conditionalFormatting>
  <conditionalFormatting sqref="N31">
    <cfRule type="expression" dxfId="2969" priority="63">
      <formula>$EB$2="ROUGE"</formula>
    </cfRule>
  </conditionalFormatting>
  <conditionalFormatting sqref="N34">
    <cfRule type="cellIs" dxfId="2968" priority="4" operator="greaterThan">
      <formula>0</formula>
    </cfRule>
  </conditionalFormatting>
  <conditionalFormatting sqref="P39">
    <cfRule type="expression" dxfId="2967" priority="158">
      <formula>EB2="faux"</formula>
    </cfRule>
  </conditionalFormatting>
  <conditionalFormatting sqref="V17">
    <cfRule type="cellIs" dxfId="2966" priority="59" operator="equal">
      <formula>0</formula>
    </cfRule>
  </conditionalFormatting>
  <conditionalFormatting sqref="V19">
    <cfRule type="cellIs" dxfId="2965" priority="18" operator="greaterThan">
      <formula>0</formula>
    </cfRule>
    <cfRule type="expression" dxfId="2964" priority="28">
      <formula>OR(AND($E$29&gt;=47,$E$29&lt;=51,V14&gt;0),V19&gt;52,AND($E$29&gt;52,V14&gt;0),AND(V19&gt;=1,V14=0))</formula>
    </cfRule>
  </conditionalFormatting>
  <conditionalFormatting sqref="V22">
    <cfRule type="cellIs" dxfId="2963" priority="50" operator="equal">
      <formula>0</formula>
    </cfRule>
  </conditionalFormatting>
  <conditionalFormatting sqref="W31">
    <cfRule type="expression" dxfId="2962" priority="62">
      <formula>$EB$3="ROUGE"</formula>
    </cfRule>
  </conditionalFormatting>
  <conditionalFormatting sqref="W34">
    <cfRule type="cellIs" dxfId="2961" priority="1" operator="greaterThan">
      <formula>0</formula>
    </cfRule>
  </conditionalFormatting>
  <conditionalFormatting sqref="X7:AE13">
    <cfRule type="cellIs" dxfId="2960" priority="17" operator="greaterThan">
      <formula>0</formula>
    </cfRule>
  </conditionalFormatting>
  <conditionalFormatting sqref="X17:AF17">
    <cfRule type="expression" dxfId="2959" priority="42">
      <formula>AG17=0</formula>
    </cfRule>
  </conditionalFormatting>
  <conditionalFormatting sqref="X22:AF22">
    <cfRule type="expression" dxfId="2958" priority="35">
      <formula>AG22=0</formula>
    </cfRule>
  </conditionalFormatting>
  <conditionalFormatting sqref="AG17">
    <cfRule type="cellIs" dxfId="2957" priority="58" operator="equal">
      <formula>0</formula>
    </cfRule>
  </conditionalFormatting>
  <conditionalFormatting sqref="AG19">
    <cfRule type="cellIs" dxfId="2956" priority="16" operator="greaterThan">
      <formula>0</formula>
    </cfRule>
    <cfRule type="expression" dxfId="2955" priority="27">
      <formula>OR(AND($E$29&gt;=47,$E$29&lt;=51,AG14&gt;0),AG19&gt;52,AND($E$29&gt;52,AG14&gt;0),AND(AG19&gt;=1,AG14=0))</formula>
    </cfRule>
  </conditionalFormatting>
  <conditionalFormatting sqref="AG22">
    <cfRule type="cellIs" dxfId="2954" priority="49" operator="equal">
      <formula>0</formula>
    </cfRule>
  </conditionalFormatting>
  <conditionalFormatting sqref="AI7:AP13">
    <cfRule type="cellIs" dxfId="2953" priority="15" operator="greaterThan">
      <formula>0</formula>
    </cfRule>
  </conditionalFormatting>
  <conditionalFormatting sqref="AI17:AQ17">
    <cfRule type="expression" dxfId="2952" priority="41">
      <formula>AR17=0</formula>
    </cfRule>
  </conditionalFormatting>
  <conditionalFormatting sqref="AI22:AQ22">
    <cfRule type="expression" dxfId="2951" priority="34">
      <formula>AR22=0</formula>
    </cfRule>
  </conditionalFormatting>
  <conditionalFormatting sqref="AR17">
    <cfRule type="cellIs" dxfId="2950" priority="57" operator="equal">
      <formula>0</formula>
    </cfRule>
  </conditionalFormatting>
  <conditionalFormatting sqref="AR19">
    <cfRule type="cellIs" dxfId="2949" priority="14" operator="greaterThan">
      <formula>0</formula>
    </cfRule>
    <cfRule type="expression" dxfId="2948" priority="26">
      <formula>OR(AND($E$29&gt;=47,$E$29&lt;=51,AR14&gt;0),AR19&gt;52,AND($E$29&gt;52,AR14&gt;0),AND(AR19&gt;=1,AR14=0))</formula>
    </cfRule>
  </conditionalFormatting>
  <conditionalFormatting sqref="AR22">
    <cfRule type="cellIs" dxfId="2947" priority="48" operator="equal">
      <formula>0</formula>
    </cfRule>
  </conditionalFormatting>
  <conditionalFormatting sqref="AT7:BA13">
    <cfRule type="cellIs" dxfId="2946" priority="13" operator="greaterThan">
      <formula>0</formula>
    </cfRule>
  </conditionalFormatting>
  <conditionalFormatting sqref="AT17:BB17">
    <cfRule type="expression" dxfId="2945" priority="40">
      <formula>BC17=0</formula>
    </cfRule>
  </conditionalFormatting>
  <conditionalFormatting sqref="AT22:BB22">
    <cfRule type="expression" dxfId="2944" priority="33">
      <formula>BC22=0</formula>
    </cfRule>
  </conditionalFormatting>
  <conditionalFormatting sqref="BC17">
    <cfRule type="cellIs" dxfId="2943" priority="56" operator="equal">
      <formula>0</formula>
    </cfRule>
  </conditionalFormatting>
  <conditionalFormatting sqref="BC19">
    <cfRule type="expression" dxfId="2942" priority="25">
      <formula>OR(AND($E$29&gt;=47,$E$29&lt;=51,BC14&gt;0),BC19&gt;52,AND($E$29&gt;52,BC14&gt;0),AND(BC19&gt;=1,BC14=0))</formula>
    </cfRule>
    <cfRule type="cellIs" dxfId="2941" priority="12" operator="greaterThan">
      <formula>0</formula>
    </cfRule>
  </conditionalFormatting>
  <conditionalFormatting sqref="BC22">
    <cfRule type="cellIs" dxfId="2940" priority="47" operator="equal">
      <formula>0</formula>
    </cfRule>
  </conditionalFormatting>
  <conditionalFormatting sqref="BE7:BL13">
    <cfRule type="cellIs" dxfId="2939" priority="11" operator="greaterThan">
      <formula>0</formula>
    </cfRule>
  </conditionalFormatting>
  <conditionalFormatting sqref="BE17:BM17">
    <cfRule type="expression" dxfId="2938" priority="39">
      <formula>BN17=0</formula>
    </cfRule>
  </conditionalFormatting>
  <conditionalFormatting sqref="BE22:BM22">
    <cfRule type="expression" dxfId="2937" priority="32">
      <formula>BN22=0</formula>
    </cfRule>
  </conditionalFormatting>
  <conditionalFormatting sqref="BN17">
    <cfRule type="cellIs" dxfId="2936" priority="55" operator="equal">
      <formula>0</formula>
    </cfRule>
  </conditionalFormatting>
  <conditionalFormatting sqref="BN19">
    <cfRule type="expression" dxfId="2935" priority="24">
      <formula>OR(AND($E$29&gt;=47,$E$29&lt;=51,BN14&gt;0),BN19&gt;52,AND($E$29&gt;52,BN14&gt;0),AND(BN19&gt;=1,BN14=0))</formula>
    </cfRule>
    <cfRule type="cellIs" dxfId="2934" priority="10" operator="greaterThan">
      <formula>0</formula>
    </cfRule>
  </conditionalFormatting>
  <conditionalFormatting sqref="BN22">
    <cfRule type="cellIs" dxfId="2933" priority="46" operator="equal">
      <formula>0</formula>
    </cfRule>
  </conditionalFormatting>
  <conditionalFormatting sqref="BP7:BW13">
    <cfRule type="cellIs" dxfId="2932" priority="9" operator="greaterThan">
      <formula>0</formula>
    </cfRule>
  </conditionalFormatting>
  <conditionalFormatting sqref="BP17:BX17">
    <cfRule type="expression" dxfId="2931" priority="38">
      <formula>BY17=0</formula>
    </cfRule>
  </conditionalFormatting>
  <conditionalFormatting sqref="BP22:BX22">
    <cfRule type="expression" dxfId="2930" priority="31">
      <formula>BY22=0</formula>
    </cfRule>
  </conditionalFormatting>
  <conditionalFormatting sqref="BY17">
    <cfRule type="cellIs" dxfId="2929" priority="54" operator="equal">
      <formula>0</formula>
    </cfRule>
  </conditionalFormatting>
  <conditionalFormatting sqref="BY19">
    <cfRule type="cellIs" dxfId="2928" priority="8" operator="greaterThan">
      <formula>0</formula>
    </cfRule>
    <cfRule type="expression" dxfId="2927" priority="23">
      <formula>OR(AND($E$29&gt;=47,$E$29&lt;=51,BY14&gt;0),BY19&gt;52,AND($E$29&gt;52,BY14&gt;0),AND(BY19&gt;=1,BY14=0))</formula>
    </cfRule>
  </conditionalFormatting>
  <conditionalFormatting sqref="BY22">
    <cfRule type="cellIs" dxfId="2926" priority="45" operator="equal">
      <formula>0</formula>
    </cfRule>
  </conditionalFormatting>
  <conditionalFormatting sqref="CA7:CH13">
    <cfRule type="cellIs" dxfId="2925" priority="7" operator="greaterThan">
      <formula>0</formula>
    </cfRule>
  </conditionalFormatting>
  <conditionalFormatting sqref="CA17:CI17">
    <cfRule type="expression" dxfId="2924" priority="37">
      <formula>CJ17=0</formula>
    </cfRule>
  </conditionalFormatting>
  <conditionalFormatting sqref="CA22:CI22">
    <cfRule type="expression" dxfId="2923" priority="30">
      <formula>CJ22=0</formula>
    </cfRule>
  </conditionalFormatting>
  <conditionalFormatting sqref="CJ17">
    <cfRule type="cellIs" dxfId="2922" priority="53" operator="equal">
      <formula>0</formula>
    </cfRule>
  </conditionalFormatting>
  <conditionalFormatting sqref="CJ19">
    <cfRule type="expression" dxfId="2921" priority="22">
      <formula>OR(AND($E$29&gt;=47,$E$29&lt;=51,CJ14&gt;0),CJ19&gt;52,AND($E$29&gt;52,CJ14&gt;0),AND(CJ19&gt;=1,CJ14=0))</formula>
    </cfRule>
    <cfRule type="cellIs" dxfId="2920" priority="6" operator="greaterThan">
      <formula>0</formula>
    </cfRule>
  </conditionalFormatting>
  <conditionalFormatting sqref="CJ22">
    <cfRule type="cellIs" dxfId="2919" priority="44" operator="equal">
      <formula>0</formula>
    </cfRule>
  </conditionalFormatting>
  <dataValidations count="6">
    <dataValidation type="list" showInputMessage="1" showErrorMessage="1" sqref="C77" xr:uid="{00000000-0002-0000-0C00-000000000000}">
      <formula1>"0,1,2,3,4"</formula1>
    </dataValidation>
    <dataValidation type="list" allowBlank="1" showInputMessage="1" showErrorMessage="1" sqref="P49" xr:uid="{00000000-0002-0000-0C00-000001000000}">
      <formula1>Table_méthode_abs_CP</formula1>
    </dataValidation>
    <dataValidation type="list" allowBlank="1" showInputMessage="1" showErrorMessage="1" sqref="N31 W31" xr:uid="{00000000-0002-0000-0C00-000003000000}">
      <formula1>"OUI,NON"</formula1>
    </dataValidation>
    <dataValidation errorStyle="information" allowBlank="1" showErrorMessage="1" errorTitle="Ne peut ête supérieure à 52 sem" sqref="E29:I29" xr:uid="{00000000-0002-0000-0C00-000004000000}"/>
    <dataValidation type="list" allowBlank="1" showInputMessage="1" showErrorMessage="1" sqref="P39" xr:uid="{9E905735-8A43-4FA5-9499-6DE118BCAA60}">
      <formula1>Table_méthode_retenue</formula1>
    </dataValidation>
    <dataValidation type="list" allowBlank="1" showInputMessage="1" showErrorMessage="1" sqref="Y38" xr:uid="{3380ABE7-D54B-464E-B0A0-80B5A49EFC97}">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D4A3D6DE-20D1-4A2D-9E5B-98E2D3415C5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F60C4C52-1FE5-4161-B991-B622B16C665F}">
          <x14:formula1>
            <xm:f>S.CAL!$DE$3:$DE$13</xm:f>
          </x14:formula1>
          <xm:sqref>K1:M1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761</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9f5ygIRrUEORcEk5vOrcfBPcMA2NcrHpGLPHYgW586TfCgQjG8R0d6WxfNDPSZnrBd1vM2a3djV6RYnGhhi5NQ==" saltValue="+ZGQ/ip5bWNU0F1/PT4sHQ=="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2918" priority="21" operator="greaterThan">
      <formula>0</formula>
    </cfRule>
  </conditionalFormatting>
  <conditionalFormatting sqref="B17:J17">
    <cfRule type="expression" dxfId="2917" priority="60">
      <formula>K17=0</formula>
    </cfRule>
  </conditionalFormatting>
  <conditionalFormatting sqref="B22:J22">
    <cfRule type="expression" dxfId="2916" priority="52">
      <formula>K22=0</formula>
    </cfRule>
  </conditionalFormatting>
  <conditionalFormatting sqref="D40">
    <cfRule type="expression" dxfId="2915" priority="124">
      <formula>$E$40=0</formula>
    </cfRule>
  </conditionalFormatting>
  <conditionalFormatting sqref="D49">
    <cfRule type="expression" dxfId="2914" priority="123">
      <formula>$E$49=0</formula>
    </cfRule>
  </conditionalFormatting>
  <conditionalFormatting sqref="D58:E58">
    <cfRule type="expression" dxfId="2913" priority="66">
      <formula>$E$49&gt;0</formula>
    </cfRule>
  </conditionalFormatting>
  <conditionalFormatting sqref="E35">
    <cfRule type="cellIs" dxfId="2911" priority="5" operator="greaterThan">
      <formula>0</formula>
    </cfRule>
  </conditionalFormatting>
  <conditionalFormatting sqref="E40">
    <cfRule type="cellIs" dxfId="2910" priority="125" operator="equal">
      <formula>0</formula>
    </cfRule>
  </conditionalFormatting>
  <conditionalFormatting sqref="E49">
    <cfRule type="cellIs" dxfId="2909" priority="122" operator="equal">
      <formula>0</formula>
    </cfRule>
  </conditionalFormatting>
  <conditionalFormatting sqref="E50">
    <cfRule type="expression" dxfId="2908" priority="121">
      <formula>$E$49=0</formula>
    </cfRule>
  </conditionalFormatting>
  <conditionalFormatting sqref="E29:I29">
    <cfRule type="cellIs" dxfId="2907" priority="65" operator="between">
      <formula>46.9999999999</formula>
      <formula>51.99999</formula>
    </cfRule>
    <cfRule type="cellIs" dxfId="2906" priority="64" operator="greaterThanOrEqual">
      <formula>52.0000001</formula>
    </cfRule>
  </conditionalFormatting>
  <conditionalFormatting sqref="K17">
    <cfRule type="cellIs" dxfId="2905" priority="61" operator="equal">
      <formula>0</formula>
    </cfRule>
  </conditionalFormatting>
  <conditionalFormatting sqref="K19">
    <cfRule type="cellIs" dxfId="2904" priority="19" operator="greaterThan">
      <formula>0</formula>
    </cfRule>
    <cfRule type="expression" dxfId="2903" priority="29">
      <formula>OR(AND($E$29&gt;=47,$E$29&lt;=51,K14&gt;0),K19&gt;52,AND($E$29&gt;52,K14&gt;0),AND(K19&gt;=1,K14=0))</formula>
    </cfRule>
  </conditionalFormatting>
  <conditionalFormatting sqref="K22">
    <cfRule type="cellIs" dxfId="2902" priority="51" operator="equal">
      <formula>0</formula>
    </cfRule>
  </conditionalFormatting>
  <conditionalFormatting sqref="M7:T13">
    <cfRule type="cellIs" dxfId="2901" priority="20" operator="greaterThan">
      <formula>0</formula>
    </cfRule>
  </conditionalFormatting>
  <conditionalFormatting sqref="M17:U17">
    <cfRule type="expression" dxfId="2900" priority="43">
      <formula>V17=0</formula>
    </cfRule>
  </conditionalFormatting>
  <conditionalFormatting sqref="M22:U22">
    <cfRule type="expression" dxfId="2899" priority="36">
      <formula>V22=0</formula>
    </cfRule>
  </conditionalFormatting>
  <conditionalFormatting sqref="N31">
    <cfRule type="expression" dxfId="2898" priority="63">
      <formula>$EB$2="ROUGE"</formula>
    </cfRule>
  </conditionalFormatting>
  <conditionalFormatting sqref="N34">
    <cfRule type="cellIs" dxfId="2897" priority="4" operator="greaterThan">
      <formula>0</formula>
    </cfRule>
  </conditionalFormatting>
  <conditionalFormatting sqref="P39">
    <cfRule type="expression" dxfId="2896" priority="158">
      <formula>EB2="faux"</formula>
    </cfRule>
  </conditionalFormatting>
  <conditionalFormatting sqref="V17">
    <cfRule type="cellIs" dxfId="2895" priority="59" operator="equal">
      <formula>0</formula>
    </cfRule>
  </conditionalFormatting>
  <conditionalFormatting sqref="V19">
    <cfRule type="cellIs" dxfId="2894" priority="18" operator="greaterThan">
      <formula>0</formula>
    </cfRule>
    <cfRule type="expression" dxfId="2893" priority="28">
      <formula>OR(AND($E$29&gt;=47,$E$29&lt;=51,V14&gt;0),V19&gt;52,AND($E$29&gt;52,V14&gt;0),AND(V19&gt;=1,V14=0))</formula>
    </cfRule>
  </conditionalFormatting>
  <conditionalFormatting sqref="V22">
    <cfRule type="cellIs" dxfId="2892" priority="50" operator="equal">
      <formula>0</formula>
    </cfRule>
  </conditionalFormatting>
  <conditionalFormatting sqref="W31">
    <cfRule type="expression" dxfId="2891" priority="62">
      <formula>$EB$3="ROUGE"</formula>
    </cfRule>
  </conditionalFormatting>
  <conditionalFormatting sqref="W34">
    <cfRule type="cellIs" dxfId="2890" priority="1" operator="greaterThan">
      <formula>0</formula>
    </cfRule>
  </conditionalFormatting>
  <conditionalFormatting sqref="X7:AE13">
    <cfRule type="cellIs" dxfId="2889" priority="17" operator="greaterThan">
      <formula>0</formula>
    </cfRule>
  </conditionalFormatting>
  <conditionalFormatting sqref="X17:AF17">
    <cfRule type="expression" dxfId="2888" priority="42">
      <formula>AG17=0</formula>
    </cfRule>
  </conditionalFormatting>
  <conditionalFormatting sqref="X22:AF22">
    <cfRule type="expression" dxfId="2887" priority="35">
      <formula>AG22=0</formula>
    </cfRule>
  </conditionalFormatting>
  <conditionalFormatting sqref="AG17">
    <cfRule type="cellIs" dxfId="2886" priority="58" operator="equal">
      <formula>0</formula>
    </cfRule>
  </conditionalFormatting>
  <conditionalFormatting sqref="AG19">
    <cfRule type="cellIs" dxfId="2885" priority="16" operator="greaterThan">
      <formula>0</formula>
    </cfRule>
    <cfRule type="expression" dxfId="2884" priority="27">
      <formula>OR(AND($E$29&gt;=47,$E$29&lt;=51,AG14&gt;0),AG19&gt;52,AND($E$29&gt;52,AG14&gt;0),AND(AG19&gt;=1,AG14=0))</formula>
    </cfRule>
  </conditionalFormatting>
  <conditionalFormatting sqref="AG22">
    <cfRule type="cellIs" dxfId="2883" priority="49" operator="equal">
      <formula>0</formula>
    </cfRule>
  </conditionalFormatting>
  <conditionalFormatting sqref="AI7:AP13">
    <cfRule type="cellIs" dxfId="2882" priority="15" operator="greaterThan">
      <formula>0</formula>
    </cfRule>
  </conditionalFormatting>
  <conditionalFormatting sqref="AI17:AQ17">
    <cfRule type="expression" dxfId="2881" priority="41">
      <formula>AR17=0</formula>
    </cfRule>
  </conditionalFormatting>
  <conditionalFormatting sqref="AI22:AQ22">
    <cfRule type="expression" dxfId="2880" priority="34">
      <formula>AR22=0</formula>
    </cfRule>
  </conditionalFormatting>
  <conditionalFormatting sqref="AR17">
    <cfRule type="cellIs" dxfId="2879" priority="57" operator="equal">
      <formula>0</formula>
    </cfRule>
  </conditionalFormatting>
  <conditionalFormatting sqref="AR19">
    <cfRule type="cellIs" dxfId="2878" priority="14" operator="greaterThan">
      <formula>0</formula>
    </cfRule>
    <cfRule type="expression" dxfId="2877" priority="26">
      <formula>OR(AND($E$29&gt;=47,$E$29&lt;=51,AR14&gt;0),AR19&gt;52,AND($E$29&gt;52,AR14&gt;0),AND(AR19&gt;=1,AR14=0))</formula>
    </cfRule>
  </conditionalFormatting>
  <conditionalFormatting sqref="AR22">
    <cfRule type="cellIs" dxfId="2876" priority="48" operator="equal">
      <formula>0</formula>
    </cfRule>
  </conditionalFormatting>
  <conditionalFormatting sqref="AT7:BA13">
    <cfRule type="cellIs" dxfId="2875" priority="13" operator="greaterThan">
      <formula>0</formula>
    </cfRule>
  </conditionalFormatting>
  <conditionalFormatting sqref="AT17:BB17">
    <cfRule type="expression" dxfId="2874" priority="40">
      <formula>BC17=0</formula>
    </cfRule>
  </conditionalFormatting>
  <conditionalFormatting sqref="AT22:BB22">
    <cfRule type="expression" dxfId="2873" priority="33">
      <formula>BC22=0</formula>
    </cfRule>
  </conditionalFormatting>
  <conditionalFormatting sqref="BC17">
    <cfRule type="cellIs" dxfId="2872" priority="56" operator="equal">
      <formula>0</formula>
    </cfRule>
  </conditionalFormatting>
  <conditionalFormatting sqref="BC19">
    <cfRule type="expression" dxfId="2871" priority="25">
      <formula>OR(AND($E$29&gt;=47,$E$29&lt;=51,BC14&gt;0),BC19&gt;52,AND($E$29&gt;52,BC14&gt;0),AND(BC19&gt;=1,BC14=0))</formula>
    </cfRule>
    <cfRule type="cellIs" dxfId="2870" priority="12" operator="greaterThan">
      <formula>0</formula>
    </cfRule>
  </conditionalFormatting>
  <conditionalFormatting sqref="BC22">
    <cfRule type="cellIs" dxfId="2869" priority="47" operator="equal">
      <formula>0</formula>
    </cfRule>
  </conditionalFormatting>
  <conditionalFormatting sqref="BE7:BL13">
    <cfRule type="cellIs" dxfId="2868" priority="11" operator="greaterThan">
      <formula>0</formula>
    </cfRule>
  </conditionalFormatting>
  <conditionalFormatting sqref="BE17:BM17">
    <cfRule type="expression" dxfId="2867" priority="39">
      <formula>BN17=0</formula>
    </cfRule>
  </conditionalFormatting>
  <conditionalFormatting sqref="BE22:BM22">
    <cfRule type="expression" dxfId="2866" priority="32">
      <formula>BN22=0</formula>
    </cfRule>
  </conditionalFormatting>
  <conditionalFormatting sqref="BN17">
    <cfRule type="cellIs" dxfId="2865" priority="55" operator="equal">
      <formula>0</formula>
    </cfRule>
  </conditionalFormatting>
  <conditionalFormatting sqref="BN19">
    <cfRule type="expression" dxfId="2864" priority="24">
      <formula>OR(AND($E$29&gt;=47,$E$29&lt;=51,BN14&gt;0),BN19&gt;52,AND($E$29&gt;52,BN14&gt;0),AND(BN19&gt;=1,BN14=0))</formula>
    </cfRule>
    <cfRule type="cellIs" dxfId="2863" priority="10" operator="greaterThan">
      <formula>0</formula>
    </cfRule>
  </conditionalFormatting>
  <conditionalFormatting sqref="BN22">
    <cfRule type="cellIs" dxfId="2862" priority="46" operator="equal">
      <formula>0</formula>
    </cfRule>
  </conditionalFormatting>
  <conditionalFormatting sqref="BP7:BW13">
    <cfRule type="cellIs" dxfId="2861" priority="9" operator="greaterThan">
      <formula>0</formula>
    </cfRule>
  </conditionalFormatting>
  <conditionalFormatting sqref="BP17:BX17">
    <cfRule type="expression" dxfId="2860" priority="38">
      <formula>BY17=0</formula>
    </cfRule>
  </conditionalFormatting>
  <conditionalFormatting sqref="BP22:BX22">
    <cfRule type="expression" dxfId="2859" priority="31">
      <formula>BY22=0</formula>
    </cfRule>
  </conditionalFormatting>
  <conditionalFormatting sqref="BY17">
    <cfRule type="cellIs" dxfId="2858" priority="54" operator="equal">
      <formula>0</formula>
    </cfRule>
  </conditionalFormatting>
  <conditionalFormatting sqref="BY19">
    <cfRule type="cellIs" dxfId="2857" priority="8" operator="greaterThan">
      <formula>0</formula>
    </cfRule>
    <cfRule type="expression" dxfId="2856" priority="23">
      <formula>OR(AND($E$29&gt;=47,$E$29&lt;=51,BY14&gt;0),BY19&gt;52,AND($E$29&gt;52,BY14&gt;0),AND(BY19&gt;=1,BY14=0))</formula>
    </cfRule>
  </conditionalFormatting>
  <conditionalFormatting sqref="BY22">
    <cfRule type="cellIs" dxfId="2855" priority="45" operator="equal">
      <formula>0</formula>
    </cfRule>
  </conditionalFormatting>
  <conditionalFormatting sqref="CA7:CH13">
    <cfRule type="cellIs" dxfId="2854" priority="7" operator="greaterThan">
      <formula>0</formula>
    </cfRule>
  </conditionalFormatting>
  <conditionalFormatting sqref="CA17:CI17">
    <cfRule type="expression" dxfId="2853" priority="37">
      <formula>CJ17=0</formula>
    </cfRule>
  </conditionalFormatting>
  <conditionalFormatting sqref="CA22:CI22">
    <cfRule type="expression" dxfId="2852" priority="30">
      <formula>CJ22=0</formula>
    </cfRule>
  </conditionalFormatting>
  <conditionalFormatting sqref="CJ17">
    <cfRule type="cellIs" dxfId="2851" priority="53" operator="equal">
      <formula>0</formula>
    </cfRule>
  </conditionalFormatting>
  <conditionalFormatting sqref="CJ19">
    <cfRule type="expression" dxfId="2850" priority="22">
      <formula>OR(AND($E$29&gt;=47,$E$29&lt;=51,CJ14&gt;0),CJ19&gt;52,AND($E$29&gt;52,CJ14&gt;0),AND(CJ19&gt;=1,CJ14=0))</formula>
    </cfRule>
    <cfRule type="cellIs" dxfId="2849" priority="6" operator="greaterThan">
      <formula>0</formula>
    </cfRule>
  </conditionalFormatting>
  <conditionalFormatting sqref="CJ22">
    <cfRule type="cellIs" dxfId="2848" priority="44" operator="equal">
      <formula>0</formula>
    </cfRule>
  </conditionalFormatting>
  <dataValidations count="6">
    <dataValidation errorStyle="information" allowBlank="1" showErrorMessage="1" errorTitle="Ne peut ête supérieure à 52 sem" sqref="E29:I29" xr:uid="{00000000-0002-0000-0D00-000000000000}"/>
    <dataValidation type="list" allowBlank="1" showInputMessage="1" showErrorMessage="1" sqref="N31 W31" xr:uid="{00000000-0002-0000-0D00-000001000000}">
      <formula1>"OUI,NON"</formula1>
    </dataValidation>
    <dataValidation type="list" allowBlank="1" showInputMessage="1" showErrorMessage="1" sqref="P49" xr:uid="{00000000-0002-0000-0D00-000003000000}">
      <formula1>Table_méthode_abs_CP</formula1>
    </dataValidation>
    <dataValidation type="list" showInputMessage="1" showErrorMessage="1" sqref="C77" xr:uid="{00000000-0002-0000-0D00-000004000000}">
      <formula1>"0,1,2,3,4"</formula1>
    </dataValidation>
    <dataValidation type="list" allowBlank="1" showInputMessage="1" showErrorMessage="1" sqref="P39" xr:uid="{9A3B370D-3DAE-42CF-9BA9-BF4EFB1F23AB}">
      <formula1>Table_méthode_retenue</formula1>
    </dataValidation>
    <dataValidation type="list" allowBlank="1" showInputMessage="1" showErrorMessage="1" sqref="Y38" xr:uid="{8B36E4E9-417D-4921-A0CC-0688FA2045BA}">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93873A54-FAE0-43B1-94BA-230478B27B11}">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2AB41E6-3361-4D5C-9CD2-260D65E17538}">
          <x14:formula1>
            <xm:f>S.CAL!$DE$3:$DE$13</xm:f>
          </x14:formula1>
          <xm:sqref>K1:M1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762</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Vb8e3zFIwGKtHcH8Qcb3I3NrfO6fHeKGSe+xgQc5+Qefnw7lNT6XFLv80iKxldshiGVgwOoTp2jbBpfRoQ57gQ==" saltValue="h6NEktE+46+202gLQ6h+zw=="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2847" priority="21" operator="greaterThan">
      <formula>0</formula>
    </cfRule>
  </conditionalFormatting>
  <conditionalFormatting sqref="B17:J17">
    <cfRule type="expression" dxfId="2846" priority="60">
      <formula>K17=0</formula>
    </cfRule>
  </conditionalFormatting>
  <conditionalFormatting sqref="B22:J22">
    <cfRule type="expression" dxfId="2845" priority="52">
      <formula>K22=0</formula>
    </cfRule>
  </conditionalFormatting>
  <conditionalFormatting sqref="D40">
    <cfRule type="expression" dxfId="2844" priority="124">
      <formula>$E$40=0</formula>
    </cfRule>
  </conditionalFormatting>
  <conditionalFormatting sqref="D49">
    <cfRule type="expression" dxfId="2843" priority="123">
      <formula>$E$49=0</formula>
    </cfRule>
  </conditionalFormatting>
  <conditionalFormatting sqref="D58:E58">
    <cfRule type="expression" dxfId="2842" priority="66">
      <formula>$E$49&gt;0</formula>
    </cfRule>
  </conditionalFormatting>
  <conditionalFormatting sqref="E35">
    <cfRule type="cellIs" dxfId="2840" priority="5" operator="greaterThan">
      <formula>0</formula>
    </cfRule>
  </conditionalFormatting>
  <conditionalFormatting sqref="E40">
    <cfRule type="cellIs" dxfId="2839" priority="125" operator="equal">
      <formula>0</formula>
    </cfRule>
  </conditionalFormatting>
  <conditionalFormatting sqref="E49">
    <cfRule type="cellIs" dxfId="2838" priority="122" operator="equal">
      <formula>0</formula>
    </cfRule>
  </conditionalFormatting>
  <conditionalFormatting sqref="E50">
    <cfRule type="expression" dxfId="2837" priority="121">
      <formula>$E$49=0</formula>
    </cfRule>
  </conditionalFormatting>
  <conditionalFormatting sqref="E29:I29">
    <cfRule type="cellIs" dxfId="2836" priority="65" operator="between">
      <formula>46.9999999999</formula>
      <formula>51.99999</formula>
    </cfRule>
    <cfRule type="cellIs" dxfId="2835" priority="64" operator="greaterThanOrEqual">
      <formula>52.0000001</formula>
    </cfRule>
  </conditionalFormatting>
  <conditionalFormatting sqref="K17">
    <cfRule type="cellIs" dxfId="2834" priority="61" operator="equal">
      <formula>0</formula>
    </cfRule>
  </conditionalFormatting>
  <conditionalFormatting sqref="K19">
    <cfRule type="cellIs" dxfId="2833" priority="19" operator="greaterThan">
      <formula>0</formula>
    </cfRule>
    <cfRule type="expression" dxfId="2832" priority="29">
      <formula>OR(AND($E$29&gt;=47,$E$29&lt;=51,K14&gt;0),K19&gt;52,AND($E$29&gt;52,K14&gt;0),AND(K19&gt;=1,K14=0))</formula>
    </cfRule>
  </conditionalFormatting>
  <conditionalFormatting sqref="K22">
    <cfRule type="cellIs" dxfId="2831" priority="51" operator="equal">
      <formula>0</formula>
    </cfRule>
  </conditionalFormatting>
  <conditionalFormatting sqref="M7:T13">
    <cfRule type="cellIs" dxfId="2830" priority="20" operator="greaterThan">
      <formula>0</formula>
    </cfRule>
  </conditionalFormatting>
  <conditionalFormatting sqref="M17:U17">
    <cfRule type="expression" dxfId="2829" priority="43">
      <formula>V17=0</formula>
    </cfRule>
  </conditionalFormatting>
  <conditionalFormatting sqref="M22:U22">
    <cfRule type="expression" dxfId="2828" priority="36">
      <formula>V22=0</formula>
    </cfRule>
  </conditionalFormatting>
  <conditionalFormatting sqref="N31">
    <cfRule type="expression" dxfId="2827" priority="63">
      <formula>$EB$2="ROUGE"</formula>
    </cfRule>
  </conditionalFormatting>
  <conditionalFormatting sqref="N34">
    <cfRule type="cellIs" dxfId="2826" priority="4" operator="greaterThan">
      <formula>0</formula>
    </cfRule>
  </conditionalFormatting>
  <conditionalFormatting sqref="P39">
    <cfRule type="expression" dxfId="2825" priority="158">
      <formula>EB2="faux"</formula>
    </cfRule>
  </conditionalFormatting>
  <conditionalFormatting sqref="V17">
    <cfRule type="cellIs" dxfId="2824" priority="59" operator="equal">
      <formula>0</formula>
    </cfRule>
  </conditionalFormatting>
  <conditionalFormatting sqref="V19">
    <cfRule type="cellIs" dxfId="2823" priority="18" operator="greaterThan">
      <formula>0</formula>
    </cfRule>
    <cfRule type="expression" dxfId="2822" priority="28">
      <formula>OR(AND($E$29&gt;=47,$E$29&lt;=51,V14&gt;0),V19&gt;52,AND($E$29&gt;52,V14&gt;0),AND(V19&gt;=1,V14=0))</formula>
    </cfRule>
  </conditionalFormatting>
  <conditionalFormatting sqref="V22">
    <cfRule type="cellIs" dxfId="2821" priority="50" operator="equal">
      <formula>0</formula>
    </cfRule>
  </conditionalFormatting>
  <conditionalFormatting sqref="W31">
    <cfRule type="expression" dxfId="2820" priority="62">
      <formula>$EB$3="ROUGE"</formula>
    </cfRule>
  </conditionalFormatting>
  <conditionalFormatting sqref="W34">
    <cfRule type="cellIs" dxfId="2819" priority="1" operator="greaterThan">
      <formula>0</formula>
    </cfRule>
  </conditionalFormatting>
  <conditionalFormatting sqref="X7:AE13">
    <cfRule type="cellIs" dxfId="2818" priority="17" operator="greaterThan">
      <formula>0</formula>
    </cfRule>
  </conditionalFormatting>
  <conditionalFormatting sqref="X17:AF17">
    <cfRule type="expression" dxfId="2817" priority="42">
      <formula>AG17=0</formula>
    </cfRule>
  </conditionalFormatting>
  <conditionalFormatting sqref="X22:AF22">
    <cfRule type="expression" dxfId="2816" priority="35">
      <formula>AG22=0</formula>
    </cfRule>
  </conditionalFormatting>
  <conditionalFormatting sqref="AG17">
    <cfRule type="cellIs" dxfId="2815" priority="58" operator="equal">
      <formula>0</formula>
    </cfRule>
  </conditionalFormatting>
  <conditionalFormatting sqref="AG19">
    <cfRule type="cellIs" dxfId="2814" priority="16" operator="greaterThan">
      <formula>0</formula>
    </cfRule>
    <cfRule type="expression" dxfId="2813" priority="27">
      <formula>OR(AND($E$29&gt;=47,$E$29&lt;=51,AG14&gt;0),AG19&gt;52,AND($E$29&gt;52,AG14&gt;0),AND(AG19&gt;=1,AG14=0))</formula>
    </cfRule>
  </conditionalFormatting>
  <conditionalFormatting sqref="AG22">
    <cfRule type="cellIs" dxfId="2812" priority="49" operator="equal">
      <formula>0</formula>
    </cfRule>
  </conditionalFormatting>
  <conditionalFormatting sqref="AI7:AP13">
    <cfRule type="cellIs" dxfId="2811" priority="15" operator="greaterThan">
      <formula>0</formula>
    </cfRule>
  </conditionalFormatting>
  <conditionalFormatting sqref="AI17:AQ17">
    <cfRule type="expression" dxfId="2810" priority="41">
      <formula>AR17=0</formula>
    </cfRule>
  </conditionalFormatting>
  <conditionalFormatting sqref="AI22:AQ22">
    <cfRule type="expression" dxfId="2809" priority="34">
      <formula>AR22=0</formula>
    </cfRule>
  </conditionalFormatting>
  <conditionalFormatting sqref="AR17">
    <cfRule type="cellIs" dxfId="2808" priority="57" operator="equal">
      <formula>0</formula>
    </cfRule>
  </conditionalFormatting>
  <conditionalFormatting sqref="AR19">
    <cfRule type="cellIs" dxfId="2807" priority="14" operator="greaterThan">
      <formula>0</formula>
    </cfRule>
    <cfRule type="expression" dxfId="2806" priority="26">
      <formula>OR(AND($E$29&gt;=47,$E$29&lt;=51,AR14&gt;0),AR19&gt;52,AND($E$29&gt;52,AR14&gt;0),AND(AR19&gt;=1,AR14=0))</formula>
    </cfRule>
  </conditionalFormatting>
  <conditionalFormatting sqref="AR22">
    <cfRule type="cellIs" dxfId="2805" priority="48" operator="equal">
      <formula>0</formula>
    </cfRule>
  </conditionalFormatting>
  <conditionalFormatting sqref="AT7:BA13">
    <cfRule type="cellIs" dxfId="2804" priority="13" operator="greaterThan">
      <formula>0</formula>
    </cfRule>
  </conditionalFormatting>
  <conditionalFormatting sqref="AT17:BB17">
    <cfRule type="expression" dxfId="2803" priority="40">
      <formula>BC17=0</formula>
    </cfRule>
  </conditionalFormatting>
  <conditionalFormatting sqref="AT22:BB22">
    <cfRule type="expression" dxfId="2802" priority="33">
      <formula>BC22=0</formula>
    </cfRule>
  </conditionalFormatting>
  <conditionalFormatting sqref="BC17">
    <cfRule type="cellIs" dxfId="2801" priority="56" operator="equal">
      <formula>0</formula>
    </cfRule>
  </conditionalFormatting>
  <conditionalFormatting sqref="BC19">
    <cfRule type="expression" dxfId="2800" priority="25">
      <formula>OR(AND($E$29&gt;=47,$E$29&lt;=51,BC14&gt;0),BC19&gt;52,AND($E$29&gt;52,BC14&gt;0),AND(BC19&gt;=1,BC14=0))</formula>
    </cfRule>
    <cfRule type="cellIs" dxfId="2799" priority="12" operator="greaterThan">
      <formula>0</formula>
    </cfRule>
  </conditionalFormatting>
  <conditionalFormatting sqref="BC22">
    <cfRule type="cellIs" dxfId="2798" priority="47" operator="equal">
      <formula>0</formula>
    </cfRule>
  </conditionalFormatting>
  <conditionalFormatting sqref="BE7:BL13">
    <cfRule type="cellIs" dxfId="2797" priority="11" operator="greaterThan">
      <formula>0</formula>
    </cfRule>
  </conditionalFormatting>
  <conditionalFormatting sqref="BE17:BM17">
    <cfRule type="expression" dxfId="2796" priority="39">
      <formula>BN17=0</formula>
    </cfRule>
  </conditionalFormatting>
  <conditionalFormatting sqref="BE22:BM22">
    <cfRule type="expression" dxfId="2795" priority="32">
      <formula>BN22=0</formula>
    </cfRule>
  </conditionalFormatting>
  <conditionalFormatting sqref="BN17">
    <cfRule type="cellIs" dxfId="2794" priority="55" operator="equal">
      <formula>0</formula>
    </cfRule>
  </conditionalFormatting>
  <conditionalFormatting sqref="BN19">
    <cfRule type="expression" dxfId="2793" priority="24">
      <formula>OR(AND($E$29&gt;=47,$E$29&lt;=51,BN14&gt;0),BN19&gt;52,AND($E$29&gt;52,BN14&gt;0),AND(BN19&gt;=1,BN14=0))</formula>
    </cfRule>
    <cfRule type="cellIs" dxfId="2792" priority="10" operator="greaterThan">
      <formula>0</formula>
    </cfRule>
  </conditionalFormatting>
  <conditionalFormatting sqref="BN22">
    <cfRule type="cellIs" dxfId="2791" priority="46" operator="equal">
      <formula>0</formula>
    </cfRule>
  </conditionalFormatting>
  <conditionalFormatting sqref="BP7:BW13">
    <cfRule type="cellIs" dxfId="2790" priority="9" operator="greaterThan">
      <formula>0</formula>
    </cfRule>
  </conditionalFormatting>
  <conditionalFormatting sqref="BP17:BX17">
    <cfRule type="expression" dxfId="2789" priority="38">
      <formula>BY17=0</formula>
    </cfRule>
  </conditionalFormatting>
  <conditionalFormatting sqref="BP22:BX22">
    <cfRule type="expression" dxfId="2788" priority="31">
      <formula>BY22=0</formula>
    </cfRule>
  </conditionalFormatting>
  <conditionalFormatting sqref="BY17">
    <cfRule type="cellIs" dxfId="2787" priority="54" operator="equal">
      <formula>0</formula>
    </cfRule>
  </conditionalFormatting>
  <conditionalFormatting sqref="BY19">
    <cfRule type="cellIs" dxfId="2786" priority="8" operator="greaterThan">
      <formula>0</formula>
    </cfRule>
    <cfRule type="expression" dxfId="2785" priority="23">
      <formula>OR(AND($E$29&gt;=47,$E$29&lt;=51,BY14&gt;0),BY19&gt;52,AND($E$29&gt;52,BY14&gt;0),AND(BY19&gt;=1,BY14=0))</formula>
    </cfRule>
  </conditionalFormatting>
  <conditionalFormatting sqref="BY22">
    <cfRule type="cellIs" dxfId="2784" priority="45" operator="equal">
      <formula>0</formula>
    </cfRule>
  </conditionalFormatting>
  <conditionalFormatting sqref="CA7:CH13">
    <cfRule type="cellIs" dxfId="2783" priority="7" operator="greaterThan">
      <formula>0</formula>
    </cfRule>
  </conditionalFormatting>
  <conditionalFormatting sqref="CA17:CI17">
    <cfRule type="expression" dxfId="2782" priority="37">
      <formula>CJ17=0</formula>
    </cfRule>
  </conditionalFormatting>
  <conditionalFormatting sqref="CA22:CI22">
    <cfRule type="expression" dxfId="2781" priority="30">
      <formula>CJ22=0</formula>
    </cfRule>
  </conditionalFormatting>
  <conditionalFormatting sqref="CJ17">
    <cfRule type="cellIs" dxfId="2780" priority="53" operator="equal">
      <formula>0</formula>
    </cfRule>
  </conditionalFormatting>
  <conditionalFormatting sqref="CJ19">
    <cfRule type="expression" dxfId="2779" priority="22">
      <formula>OR(AND($E$29&gt;=47,$E$29&lt;=51,CJ14&gt;0),CJ19&gt;52,AND($E$29&gt;52,CJ14&gt;0),AND(CJ19&gt;=1,CJ14=0))</formula>
    </cfRule>
    <cfRule type="cellIs" dxfId="2778" priority="6" operator="greaterThan">
      <formula>0</formula>
    </cfRule>
  </conditionalFormatting>
  <conditionalFormatting sqref="CJ22">
    <cfRule type="cellIs" dxfId="2777" priority="44" operator="equal">
      <formula>0</formula>
    </cfRule>
  </conditionalFormatting>
  <dataValidations count="6">
    <dataValidation type="list" showInputMessage="1" showErrorMessage="1" sqref="C77" xr:uid="{00000000-0002-0000-0E00-000000000000}">
      <formula1>"0,1,2,3,4"</formula1>
    </dataValidation>
    <dataValidation type="list" allowBlank="1" showInputMessage="1" showErrorMessage="1" sqref="P49" xr:uid="{00000000-0002-0000-0E00-000001000000}">
      <formula1>Table_méthode_abs_CP</formula1>
    </dataValidation>
    <dataValidation type="list" allowBlank="1" showInputMessage="1" showErrorMessage="1" sqref="N31 W31" xr:uid="{00000000-0002-0000-0E00-000003000000}">
      <formula1>"OUI,NON"</formula1>
    </dataValidation>
    <dataValidation errorStyle="information" allowBlank="1" showErrorMessage="1" errorTitle="Ne peut ête supérieure à 52 sem" sqref="E29:I29" xr:uid="{00000000-0002-0000-0E00-000004000000}"/>
    <dataValidation type="list" allowBlank="1" showInputMessage="1" showErrorMessage="1" sqref="P39" xr:uid="{B60A0F0B-EDBA-4817-880B-7A5C30205C0B}">
      <formula1>Table_méthode_retenue</formula1>
    </dataValidation>
    <dataValidation type="list" allowBlank="1" showInputMessage="1" showErrorMessage="1" sqref="Y38" xr:uid="{3B6281C5-E641-433B-BE93-F8BD963811C8}">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793B161E-C5B6-4719-8731-9A47FE317D23}">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338C49-43CF-4AE6-BFBB-DD976EC5F5C9}">
          <x14:formula1>
            <xm:f>S.CAL!$DE$3:$DE$13</xm:f>
          </x14:formula1>
          <xm:sqref>K1:M1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763</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frYYbFTXOeYAHdji5TCIbl8hnS+PMng2F88TlrY4sIkevpp2kWMR/HO3W9SHDP+q0dFLS1ra82+CPMZVMjgM4g==" saltValue="mEoLyAIoYyv1jVzW/LB18w=="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2776" priority="21" operator="greaterThan">
      <formula>0</formula>
    </cfRule>
  </conditionalFormatting>
  <conditionalFormatting sqref="B17:J17">
    <cfRule type="expression" dxfId="2775" priority="60">
      <formula>K17=0</formula>
    </cfRule>
  </conditionalFormatting>
  <conditionalFormatting sqref="B22:J22">
    <cfRule type="expression" dxfId="2774" priority="52">
      <formula>K22=0</formula>
    </cfRule>
  </conditionalFormatting>
  <conditionalFormatting sqref="D40">
    <cfRule type="expression" dxfId="2773" priority="124">
      <formula>$E$40=0</formula>
    </cfRule>
  </conditionalFormatting>
  <conditionalFormatting sqref="D49">
    <cfRule type="expression" dxfId="2772" priority="123">
      <formula>$E$49=0</formula>
    </cfRule>
  </conditionalFormatting>
  <conditionalFormatting sqref="D58:E58">
    <cfRule type="expression" dxfId="2771" priority="66">
      <formula>$E$49&gt;0</formula>
    </cfRule>
  </conditionalFormatting>
  <conditionalFormatting sqref="E35">
    <cfRule type="cellIs" dxfId="2769" priority="5" operator="greaterThan">
      <formula>0</formula>
    </cfRule>
  </conditionalFormatting>
  <conditionalFormatting sqref="E40">
    <cfRule type="cellIs" dxfId="2768" priority="125" operator="equal">
      <formula>0</formula>
    </cfRule>
  </conditionalFormatting>
  <conditionalFormatting sqref="E49">
    <cfRule type="cellIs" dxfId="2767" priority="122" operator="equal">
      <formula>0</formula>
    </cfRule>
  </conditionalFormatting>
  <conditionalFormatting sqref="E50">
    <cfRule type="expression" dxfId="2766" priority="121">
      <formula>$E$49=0</formula>
    </cfRule>
  </conditionalFormatting>
  <conditionalFormatting sqref="E29:I29">
    <cfRule type="cellIs" dxfId="2765" priority="65" operator="between">
      <formula>46.9999999999</formula>
      <formula>51.99999</formula>
    </cfRule>
    <cfRule type="cellIs" dxfId="2764" priority="64" operator="greaterThanOrEqual">
      <formula>52.0000001</formula>
    </cfRule>
  </conditionalFormatting>
  <conditionalFormatting sqref="K17">
    <cfRule type="cellIs" dxfId="2763" priority="61" operator="equal">
      <formula>0</formula>
    </cfRule>
  </conditionalFormatting>
  <conditionalFormatting sqref="K19">
    <cfRule type="cellIs" dxfId="2762" priority="19" operator="greaterThan">
      <formula>0</formula>
    </cfRule>
    <cfRule type="expression" dxfId="2761" priority="29">
      <formula>OR(AND($E$29&gt;=47,$E$29&lt;=51,K14&gt;0),K19&gt;52,AND($E$29&gt;52,K14&gt;0),AND(K19&gt;=1,K14=0))</formula>
    </cfRule>
  </conditionalFormatting>
  <conditionalFormatting sqref="K22">
    <cfRule type="cellIs" dxfId="2760" priority="51" operator="equal">
      <formula>0</formula>
    </cfRule>
  </conditionalFormatting>
  <conditionalFormatting sqref="M7:T13">
    <cfRule type="cellIs" dxfId="2759" priority="20" operator="greaterThan">
      <formula>0</formula>
    </cfRule>
  </conditionalFormatting>
  <conditionalFormatting sqref="M17:U17">
    <cfRule type="expression" dxfId="2758" priority="43">
      <formula>V17=0</formula>
    </cfRule>
  </conditionalFormatting>
  <conditionalFormatting sqref="M22:U22">
    <cfRule type="expression" dxfId="2757" priority="36">
      <formula>V22=0</formula>
    </cfRule>
  </conditionalFormatting>
  <conditionalFormatting sqref="N31">
    <cfRule type="expression" dxfId="2756" priority="63">
      <formula>$EB$2="ROUGE"</formula>
    </cfRule>
  </conditionalFormatting>
  <conditionalFormatting sqref="N34">
    <cfRule type="cellIs" dxfId="2755" priority="4" operator="greaterThan">
      <formula>0</formula>
    </cfRule>
  </conditionalFormatting>
  <conditionalFormatting sqref="P39">
    <cfRule type="expression" dxfId="2754" priority="158">
      <formula>EB2="faux"</formula>
    </cfRule>
  </conditionalFormatting>
  <conditionalFormatting sqref="V17">
    <cfRule type="cellIs" dxfId="2753" priority="59" operator="equal">
      <formula>0</formula>
    </cfRule>
  </conditionalFormatting>
  <conditionalFormatting sqref="V19">
    <cfRule type="cellIs" dxfId="2752" priority="18" operator="greaterThan">
      <formula>0</formula>
    </cfRule>
    <cfRule type="expression" dxfId="2751" priority="28">
      <formula>OR(AND($E$29&gt;=47,$E$29&lt;=51,V14&gt;0),V19&gt;52,AND($E$29&gt;52,V14&gt;0),AND(V19&gt;=1,V14=0))</formula>
    </cfRule>
  </conditionalFormatting>
  <conditionalFormatting sqref="V22">
    <cfRule type="cellIs" dxfId="2750" priority="50" operator="equal">
      <formula>0</formula>
    </cfRule>
  </conditionalFormatting>
  <conditionalFormatting sqref="W31">
    <cfRule type="expression" dxfId="2749" priority="62">
      <formula>$EB$3="ROUGE"</formula>
    </cfRule>
  </conditionalFormatting>
  <conditionalFormatting sqref="W34">
    <cfRule type="cellIs" dxfId="2748" priority="1" operator="greaterThan">
      <formula>0</formula>
    </cfRule>
  </conditionalFormatting>
  <conditionalFormatting sqref="X7:AE13">
    <cfRule type="cellIs" dxfId="2747" priority="17" operator="greaterThan">
      <formula>0</formula>
    </cfRule>
  </conditionalFormatting>
  <conditionalFormatting sqref="X17:AF17">
    <cfRule type="expression" dxfId="2746" priority="42">
      <formula>AG17=0</formula>
    </cfRule>
  </conditionalFormatting>
  <conditionalFormatting sqref="X22:AF22">
    <cfRule type="expression" dxfId="2745" priority="35">
      <formula>AG22=0</formula>
    </cfRule>
  </conditionalFormatting>
  <conditionalFormatting sqref="AG17">
    <cfRule type="cellIs" dxfId="2744" priority="58" operator="equal">
      <formula>0</formula>
    </cfRule>
  </conditionalFormatting>
  <conditionalFormatting sqref="AG19">
    <cfRule type="cellIs" dxfId="2743" priority="16" operator="greaterThan">
      <formula>0</formula>
    </cfRule>
    <cfRule type="expression" dxfId="2742" priority="27">
      <formula>OR(AND($E$29&gt;=47,$E$29&lt;=51,AG14&gt;0),AG19&gt;52,AND($E$29&gt;52,AG14&gt;0),AND(AG19&gt;=1,AG14=0))</formula>
    </cfRule>
  </conditionalFormatting>
  <conditionalFormatting sqref="AG22">
    <cfRule type="cellIs" dxfId="2741" priority="49" operator="equal">
      <formula>0</formula>
    </cfRule>
  </conditionalFormatting>
  <conditionalFormatting sqref="AI7:AP13">
    <cfRule type="cellIs" dxfId="2740" priority="15" operator="greaterThan">
      <formula>0</formula>
    </cfRule>
  </conditionalFormatting>
  <conditionalFormatting sqref="AI17:AQ17">
    <cfRule type="expression" dxfId="2739" priority="41">
      <formula>AR17=0</formula>
    </cfRule>
  </conditionalFormatting>
  <conditionalFormatting sqref="AI22:AQ22">
    <cfRule type="expression" dxfId="2738" priority="34">
      <formula>AR22=0</formula>
    </cfRule>
  </conditionalFormatting>
  <conditionalFormatting sqref="AR17">
    <cfRule type="cellIs" dxfId="2737" priority="57" operator="equal">
      <formula>0</formula>
    </cfRule>
  </conditionalFormatting>
  <conditionalFormatting sqref="AR19">
    <cfRule type="cellIs" dxfId="2736" priority="14" operator="greaterThan">
      <formula>0</formula>
    </cfRule>
    <cfRule type="expression" dxfId="2735" priority="26">
      <formula>OR(AND($E$29&gt;=47,$E$29&lt;=51,AR14&gt;0),AR19&gt;52,AND($E$29&gt;52,AR14&gt;0),AND(AR19&gt;=1,AR14=0))</formula>
    </cfRule>
  </conditionalFormatting>
  <conditionalFormatting sqref="AR22">
    <cfRule type="cellIs" dxfId="2734" priority="48" operator="equal">
      <formula>0</formula>
    </cfRule>
  </conditionalFormatting>
  <conditionalFormatting sqref="AT7:BA13">
    <cfRule type="cellIs" dxfId="2733" priority="13" operator="greaterThan">
      <formula>0</formula>
    </cfRule>
  </conditionalFormatting>
  <conditionalFormatting sqref="AT17:BB17">
    <cfRule type="expression" dxfId="2732" priority="40">
      <formula>BC17=0</formula>
    </cfRule>
  </conditionalFormatting>
  <conditionalFormatting sqref="AT22:BB22">
    <cfRule type="expression" dxfId="2731" priority="33">
      <formula>BC22=0</formula>
    </cfRule>
  </conditionalFormatting>
  <conditionalFormatting sqref="BC17">
    <cfRule type="cellIs" dxfId="2730" priority="56" operator="equal">
      <formula>0</formula>
    </cfRule>
  </conditionalFormatting>
  <conditionalFormatting sqref="BC19">
    <cfRule type="expression" dxfId="2729" priority="25">
      <formula>OR(AND($E$29&gt;=47,$E$29&lt;=51,BC14&gt;0),BC19&gt;52,AND($E$29&gt;52,BC14&gt;0),AND(BC19&gt;=1,BC14=0))</formula>
    </cfRule>
    <cfRule type="cellIs" dxfId="2728" priority="12" operator="greaterThan">
      <formula>0</formula>
    </cfRule>
  </conditionalFormatting>
  <conditionalFormatting sqref="BC22">
    <cfRule type="cellIs" dxfId="2727" priority="47" operator="equal">
      <formula>0</formula>
    </cfRule>
  </conditionalFormatting>
  <conditionalFormatting sqref="BE7:BL13">
    <cfRule type="cellIs" dxfId="2726" priority="11" operator="greaterThan">
      <formula>0</formula>
    </cfRule>
  </conditionalFormatting>
  <conditionalFormatting sqref="BE17:BM17">
    <cfRule type="expression" dxfId="2725" priority="39">
      <formula>BN17=0</formula>
    </cfRule>
  </conditionalFormatting>
  <conditionalFormatting sqref="BE22:BM22">
    <cfRule type="expression" dxfId="2724" priority="32">
      <formula>BN22=0</formula>
    </cfRule>
  </conditionalFormatting>
  <conditionalFormatting sqref="BN17">
    <cfRule type="cellIs" dxfId="2723" priority="55" operator="equal">
      <formula>0</formula>
    </cfRule>
  </conditionalFormatting>
  <conditionalFormatting sqref="BN19">
    <cfRule type="expression" dxfId="2722" priority="24">
      <formula>OR(AND($E$29&gt;=47,$E$29&lt;=51,BN14&gt;0),BN19&gt;52,AND($E$29&gt;52,BN14&gt;0),AND(BN19&gt;=1,BN14=0))</formula>
    </cfRule>
    <cfRule type="cellIs" dxfId="2721" priority="10" operator="greaterThan">
      <formula>0</formula>
    </cfRule>
  </conditionalFormatting>
  <conditionalFormatting sqref="BN22">
    <cfRule type="cellIs" dxfId="2720" priority="46" operator="equal">
      <formula>0</formula>
    </cfRule>
  </conditionalFormatting>
  <conditionalFormatting sqref="BP7:BW13">
    <cfRule type="cellIs" dxfId="2719" priority="9" operator="greaterThan">
      <formula>0</formula>
    </cfRule>
  </conditionalFormatting>
  <conditionalFormatting sqref="BP17:BX17">
    <cfRule type="expression" dxfId="2718" priority="38">
      <formula>BY17=0</formula>
    </cfRule>
  </conditionalFormatting>
  <conditionalFormatting sqref="BP22:BX22">
    <cfRule type="expression" dxfId="2717" priority="31">
      <formula>BY22=0</formula>
    </cfRule>
  </conditionalFormatting>
  <conditionalFormatting sqref="BY17">
    <cfRule type="cellIs" dxfId="2716" priority="54" operator="equal">
      <formula>0</formula>
    </cfRule>
  </conditionalFormatting>
  <conditionalFormatting sqref="BY19">
    <cfRule type="cellIs" dxfId="2715" priority="8" operator="greaterThan">
      <formula>0</formula>
    </cfRule>
    <cfRule type="expression" dxfId="2714" priority="23">
      <formula>OR(AND($E$29&gt;=47,$E$29&lt;=51,BY14&gt;0),BY19&gt;52,AND($E$29&gt;52,BY14&gt;0),AND(BY19&gt;=1,BY14=0))</formula>
    </cfRule>
  </conditionalFormatting>
  <conditionalFormatting sqref="BY22">
    <cfRule type="cellIs" dxfId="2713" priority="45" operator="equal">
      <formula>0</formula>
    </cfRule>
  </conditionalFormatting>
  <conditionalFormatting sqref="CA7:CH13">
    <cfRule type="cellIs" dxfId="2712" priority="7" operator="greaterThan">
      <formula>0</formula>
    </cfRule>
  </conditionalFormatting>
  <conditionalFormatting sqref="CA17:CI17">
    <cfRule type="expression" dxfId="2711" priority="37">
      <formula>CJ17=0</formula>
    </cfRule>
  </conditionalFormatting>
  <conditionalFormatting sqref="CA22:CI22">
    <cfRule type="expression" dxfId="2710" priority="30">
      <formula>CJ22=0</formula>
    </cfRule>
  </conditionalFormatting>
  <conditionalFormatting sqref="CJ17">
    <cfRule type="cellIs" dxfId="2709" priority="53" operator="equal">
      <formula>0</formula>
    </cfRule>
  </conditionalFormatting>
  <conditionalFormatting sqref="CJ19">
    <cfRule type="expression" dxfId="2708" priority="22">
      <formula>OR(AND($E$29&gt;=47,$E$29&lt;=51,CJ14&gt;0),CJ19&gt;52,AND($E$29&gt;52,CJ14&gt;0),AND(CJ19&gt;=1,CJ14=0))</formula>
    </cfRule>
    <cfRule type="cellIs" dxfId="2707" priority="6" operator="greaterThan">
      <formula>0</formula>
    </cfRule>
  </conditionalFormatting>
  <conditionalFormatting sqref="CJ22">
    <cfRule type="cellIs" dxfId="2706" priority="44" operator="equal">
      <formula>0</formula>
    </cfRule>
  </conditionalFormatting>
  <dataValidations count="6">
    <dataValidation errorStyle="information" allowBlank="1" showErrorMessage="1" errorTitle="Ne peut ête supérieure à 52 sem" sqref="E29:I29" xr:uid="{00000000-0002-0000-0F00-000000000000}"/>
    <dataValidation type="list" allowBlank="1" showInputMessage="1" showErrorMessage="1" sqref="N31 W31" xr:uid="{00000000-0002-0000-0F00-000001000000}">
      <formula1>"OUI,NON"</formula1>
    </dataValidation>
    <dataValidation type="list" allowBlank="1" showInputMessage="1" showErrorMessage="1" sqref="P49" xr:uid="{00000000-0002-0000-0F00-000003000000}">
      <formula1>Table_méthode_abs_CP</formula1>
    </dataValidation>
    <dataValidation type="list" showInputMessage="1" showErrorMessage="1" sqref="C77" xr:uid="{00000000-0002-0000-0F00-000004000000}">
      <formula1>"0,1,2,3,4"</formula1>
    </dataValidation>
    <dataValidation type="list" allowBlank="1" showInputMessage="1" showErrorMessage="1" sqref="P39" xr:uid="{19A3B4BD-7ACB-49A0-AAA4-C24E8DCC84C3}">
      <formula1>Table_méthode_retenue</formula1>
    </dataValidation>
    <dataValidation type="list" allowBlank="1" showInputMessage="1" showErrorMessage="1" sqref="Y38" xr:uid="{9E708625-2530-4ED8-A469-250AED9948BD}">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1078A456-3FD8-4CC0-8590-C816127873DF}">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DA00E7E-48D5-40B3-83F6-252302AB4BB9}">
          <x14:formula1>
            <xm:f>S.CAL!$DE$3:$DE$13</xm:f>
          </x14:formula1>
          <xm:sqref>K1:M1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764</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4K5KIdh0eTW4U8wqEKJu8FcbnfhnS2cNhX6N3T+k7g50hky3tPBC69Rs449RE3U7RwPNP854cdlM2p9FdUR2JQ==" saltValue="4ALDE9Ty4lzqfyNxvCwOvg==" spinCount="100000" sheet="1" objects="1" scenarios="1" formatCells="0" formatColumns="0" formatRows="0" insertColumns="0" insertRows="0" insertHyperlinks="0" sort="0" autoFilter="0" pivotTables="0"/>
  <mergeCells count="70">
    <mergeCell ref="BD5:BN5"/>
    <mergeCell ref="BO5:BY5"/>
    <mergeCell ref="BZ5:CJ5"/>
    <mergeCell ref="A27:E27"/>
    <mergeCell ref="A1:D1"/>
    <mergeCell ref="K1:M1"/>
    <mergeCell ref="A5:K5"/>
    <mergeCell ref="L5:V5"/>
    <mergeCell ref="W5:AG5"/>
    <mergeCell ref="BE14:BM14"/>
    <mergeCell ref="BP14:BX14"/>
    <mergeCell ref="CA14:CI14"/>
    <mergeCell ref="CA16:CI16"/>
    <mergeCell ref="CA17:CI17"/>
    <mergeCell ref="CA19:CI19"/>
    <mergeCell ref="CA21:CI21"/>
    <mergeCell ref="A44:E44"/>
    <mergeCell ref="A69:B69"/>
    <mergeCell ref="AH5:AR5"/>
    <mergeCell ref="AS5:BC5"/>
    <mergeCell ref="B14:J14"/>
    <mergeCell ref="M14:U14"/>
    <mergeCell ref="X14:AF14"/>
    <mergeCell ref="AI14:AQ14"/>
    <mergeCell ref="AT14:BB14"/>
    <mergeCell ref="AT24:BB24"/>
    <mergeCell ref="AT22:BB22"/>
    <mergeCell ref="AT21:BB21"/>
    <mergeCell ref="AT19:BB19"/>
    <mergeCell ref="AT17:BB17"/>
    <mergeCell ref="AT16:BB16"/>
    <mergeCell ref="AI16:AQ16"/>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X16:AF16"/>
    <mergeCell ref="AI24:AQ24"/>
    <mergeCell ref="AI22:AQ22"/>
    <mergeCell ref="AI21:AQ21"/>
    <mergeCell ref="AI19:AQ19"/>
    <mergeCell ref="AI17:AQ17"/>
    <mergeCell ref="X24:AF24"/>
    <mergeCell ref="X22:AF22"/>
    <mergeCell ref="X21:AF21"/>
    <mergeCell ref="X19:AF19"/>
    <mergeCell ref="X17:AF17"/>
    <mergeCell ref="J3:P3"/>
    <mergeCell ref="B17:J17"/>
    <mergeCell ref="B16:J16"/>
    <mergeCell ref="M24:U24"/>
    <mergeCell ref="B24:J24"/>
    <mergeCell ref="B22:J22"/>
    <mergeCell ref="B21:J21"/>
    <mergeCell ref="B19:J19"/>
    <mergeCell ref="M16:U16"/>
    <mergeCell ref="M17:U17"/>
    <mergeCell ref="M19:U19"/>
    <mergeCell ref="M21:U21"/>
    <mergeCell ref="M22:U22"/>
  </mergeCells>
  <conditionalFormatting sqref="B7:I13">
    <cfRule type="cellIs" dxfId="2705" priority="21" operator="greaterThan">
      <formula>0</formula>
    </cfRule>
  </conditionalFormatting>
  <conditionalFormatting sqref="B17:J17">
    <cfRule type="expression" dxfId="2704" priority="60">
      <formula>K17=0</formula>
    </cfRule>
  </conditionalFormatting>
  <conditionalFormatting sqref="B22:J22">
    <cfRule type="expression" dxfId="2703" priority="52">
      <formula>K22=0</formula>
    </cfRule>
  </conditionalFormatting>
  <conditionalFormatting sqref="D40">
    <cfRule type="expression" dxfId="2702" priority="124">
      <formula>$E$40=0</formula>
    </cfRule>
  </conditionalFormatting>
  <conditionalFormatting sqref="D49">
    <cfRule type="expression" dxfId="2701" priority="123">
      <formula>$E$49=0</formula>
    </cfRule>
  </conditionalFormatting>
  <conditionalFormatting sqref="D58:E58">
    <cfRule type="expression" dxfId="2700" priority="66">
      <formula>$E$49&gt;0</formula>
    </cfRule>
  </conditionalFormatting>
  <conditionalFormatting sqref="E35">
    <cfRule type="cellIs" dxfId="2698" priority="5" operator="greaterThan">
      <formula>0</formula>
    </cfRule>
  </conditionalFormatting>
  <conditionalFormatting sqref="E40">
    <cfRule type="cellIs" dxfId="2697" priority="125" operator="equal">
      <formula>0</formula>
    </cfRule>
  </conditionalFormatting>
  <conditionalFormatting sqref="E49">
    <cfRule type="cellIs" dxfId="2696" priority="122" operator="equal">
      <formula>0</formula>
    </cfRule>
  </conditionalFormatting>
  <conditionalFormatting sqref="E50">
    <cfRule type="expression" dxfId="2695" priority="121">
      <formula>$E$49=0</formula>
    </cfRule>
  </conditionalFormatting>
  <conditionalFormatting sqref="E29:I29">
    <cfRule type="cellIs" dxfId="2694" priority="65" operator="between">
      <formula>46.9999999999</formula>
      <formula>51.99999</formula>
    </cfRule>
    <cfRule type="cellIs" dxfId="2693" priority="64" operator="greaterThanOrEqual">
      <formula>52.0000001</formula>
    </cfRule>
  </conditionalFormatting>
  <conditionalFormatting sqref="K17">
    <cfRule type="cellIs" dxfId="2692" priority="61" operator="equal">
      <formula>0</formula>
    </cfRule>
  </conditionalFormatting>
  <conditionalFormatting sqref="K19">
    <cfRule type="cellIs" dxfId="2691" priority="19" operator="greaterThan">
      <formula>0</formula>
    </cfRule>
    <cfRule type="expression" dxfId="2690" priority="29">
      <formula>OR(AND($E$29&gt;=47,$E$29&lt;=51,K14&gt;0),K19&gt;52,AND($E$29&gt;52,K14&gt;0),AND(K19&gt;=1,K14=0))</formula>
    </cfRule>
  </conditionalFormatting>
  <conditionalFormatting sqref="K22">
    <cfRule type="cellIs" dxfId="2689" priority="51" operator="equal">
      <formula>0</formula>
    </cfRule>
  </conditionalFormatting>
  <conditionalFormatting sqref="M7:T13">
    <cfRule type="cellIs" dxfId="2688" priority="20" operator="greaterThan">
      <formula>0</formula>
    </cfRule>
  </conditionalFormatting>
  <conditionalFormatting sqref="M17:U17">
    <cfRule type="expression" dxfId="2687" priority="43">
      <formula>V17=0</formula>
    </cfRule>
  </conditionalFormatting>
  <conditionalFormatting sqref="M22:U22">
    <cfRule type="expression" dxfId="2686" priority="36">
      <formula>V22=0</formula>
    </cfRule>
  </conditionalFormatting>
  <conditionalFormatting sqref="N31">
    <cfRule type="expression" dxfId="2685" priority="63">
      <formula>$EB$2="ROUGE"</formula>
    </cfRule>
  </conditionalFormatting>
  <conditionalFormatting sqref="N34">
    <cfRule type="cellIs" dxfId="2684" priority="4" operator="greaterThan">
      <formula>0</formula>
    </cfRule>
  </conditionalFormatting>
  <conditionalFormatting sqref="P39">
    <cfRule type="expression" dxfId="2683" priority="158">
      <formula>EB2="faux"</formula>
    </cfRule>
  </conditionalFormatting>
  <conditionalFormatting sqref="V17">
    <cfRule type="cellIs" dxfId="2682" priority="59" operator="equal">
      <formula>0</formula>
    </cfRule>
  </conditionalFormatting>
  <conditionalFormatting sqref="V19">
    <cfRule type="cellIs" dxfId="2681" priority="18" operator="greaterThan">
      <formula>0</formula>
    </cfRule>
    <cfRule type="expression" dxfId="2680" priority="28">
      <formula>OR(AND($E$29&gt;=47,$E$29&lt;=51,V14&gt;0),V19&gt;52,AND($E$29&gt;52,V14&gt;0),AND(V19&gt;=1,V14=0))</formula>
    </cfRule>
  </conditionalFormatting>
  <conditionalFormatting sqref="V22">
    <cfRule type="cellIs" dxfId="2679" priority="50" operator="equal">
      <formula>0</formula>
    </cfRule>
  </conditionalFormatting>
  <conditionalFormatting sqref="W31">
    <cfRule type="expression" dxfId="2678" priority="62">
      <formula>$EB$3="ROUGE"</formula>
    </cfRule>
  </conditionalFormatting>
  <conditionalFormatting sqref="W34">
    <cfRule type="cellIs" dxfId="2677" priority="1" operator="greaterThan">
      <formula>0</formula>
    </cfRule>
  </conditionalFormatting>
  <conditionalFormatting sqref="X7:AE13">
    <cfRule type="cellIs" dxfId="2676" priority="17" operator="greaterThan">
      <formula>0</formula>
    </cfRule>
  </conditionalFormatting>
  <conditionalFormatting sqref="X17:AF17">
    <cfRule type="expression" dxfId="2675" priority="42">
      <formula>AG17=0</formula>
    </cfRule>
  </conditionalFormatting>
  <conditionalFormatting sqref="X22:AF22">
    <cfRule type="expression" dxfId="2674" priority="35">
      <formula>AG22=0</formula>
    </cfRule>
  </conditionalFormatting>
  <conditionalFormatting sqref="AG17">
    <cfRule type="cellIs" dxfId="2673" priority="58" operator="equal">
      <formula>0</formula>
    </cfRule>
  </conditionalFormatting>
  <conditionalFormatting sqref="AG19">
    <cfRule type="cellIs" dxfId="2672" priority="16" operator="greaterThan">
      <formula>0</formula>
    </cfRule>
    <cfRule type="expression" dxfId="2671" priority="27">
      <formula>OR(AND($E$29&gt;=47,$E$29&lt;=51,AG14&gt;0),AG19&gt;52,AND($E$29&gt;52,AG14&gt;0),AND(AG19&gt;=1,AG14=0))</formula>
    </cfRule>
  </conditionalFormatting>
  <conditionalFormatting sqref="AG22">
    <cfRule type="cellIs" dxfId="2670" priority="49" operator="equal">
      <formula>0</formula>
    </cfRule>
  </conditionalFormatting>
  <conditionalFormatting sqref="AI7:AP13">
    <cfRule type="cellIs" dxfId="2669" priority="15" operator="greaterThan">
      <formula>0</formula>
    </cfRule>
  </conditionalFormatting>
  <conditionalFormatting sqref="AI17:AQ17">
    <cfRule type="expression" dxfId="2668" priority="41">
      <formula>AR17=0</formula>
    </cfRule>
  </conditionalFormatting>
  <conditionalFormatting sqref="AI22:AQ22">
    <cfRule type="expression" dxfId="2667" priority="34">
      <formula>AR22=0</formula>
    </cfRule>
  </conditionalFormatting>
  <conditionalFormatting sqref="AR17">
    <cfRule type="cellIs" dxfId="2666" priority="57" operator="equal">
      <formula>0</formula>
    </cfRule>
  </conditionalFormatting>
  <conditionalFormatting sqref="AR19">
    <cfRule type="cellIs" dxfId="2665" priority="14" operator="greaterThan">
      <formula>0</formula>
    </cfRule>
    <cfRule type="expression" dxfId="2664" priority="26">
      <formula>OR(AND($E$29&gt;=47,$E$29&lt;=51,AR14&gt;0),AR19&gt;52,AND($E$29&gt;52,AR14&gt;0),AND(AR19&gt;=1,AR14=0))</formula>
    </cfRule>
  </conditionalFormatting>
  <conditionalFormatting sqref="AR22">
    <cfRule type="cellIs" dxfId="2663" priority="48" operator="equal">
      <formula>0</formula>
    </cfRule>
  </conditionalFormatting>
  <conditionalFormatting sqref="AT7:BA13">
    <cfRule type="cellIs" dxfId="2662" priority="13" operator="greaterThan">
      <formula>0</formula>
    </cfRule>
  </conditionalFormatting>
  <conditionalFormatting sqref="AT17:BB17">
    <cfRule type="expression" dxfId="2661" priority="40">
      <formula>BC17=0</formula>
    </cfRule>
  </conditionalFormatting>
  <conditionalFormatting sqref="AT22:BB22">
    <cfRule type="expression" dxfId="2660" priority="33">
      <formula>BC22=0</formula>
    </cfRule>
  </conditionalFormatting>
  <conditionalFormatting sqref="BC17">
    <cfRule type="cellIs" dxfId="2659" priority="56" operator="equal">
      <formula>0</formula>
    </cfRule>
  </conditionalFormatting>
  <conditionalFormatting sqref="BC19">
    <cfRule type="expression" dxfId="2658" priority="25">
      <formula>OR(AND($E$29&gt;=47,$E$29&lt;=51,BC14&gt;0),BC19&gt;52,AND($E$29&gt;52,BC14&gt;0),AND(BC19&gt;=1,BC14=0))</formula>
    </cfRule>
    <cfRule type="cellIs" dxfId="2657" priority="12" operator="greaterThan">
      <formula>0</formula>
    </cfRule>
  </conditionalFormatting>
  <conditionalFormatting sqref="BC22">
    <cfRule type="cellIs" dxfId="2656" priority="47" operator="equal">
      <formula>0</formula>
    </cfRule>
  </conditionalFormatting>
  <conditionalFormatting sqref="BE7:BL13">
    <cfRule type="cellIs" dxfId="2655" priority="11" operator="greaterThan">
      <formula>0</formula>
    </cfRule>
  </conditionalFormatting>
  <conditionalFormatting sqref="BE17:BM17">
    <cfRule type="expression" dxfId="2654" priority="39">
      <formula>BN17=0</formula>
    </cfRule>
  </conditionalFormatting>
  <conditionalFormatting sqref="BE22:BM22">
    <cfRule type="expression" dxfId="2653" priority="32">
      <formula>BN22=0</formula>
    </cfRule>
  </conditionalFormatting>
  <conditionalFormatting sqref="BN17">
    <cfRule type="cellIs" dxfId="2652" priority="55" operator="equal">
      <formula>0</formula>
    </cfRule>
  </conditionalFormatting>
  <conditionalFormatting sqref="BN19">
    <cfRule type="expression" dxfId="2651" priority="24">
      <formula>OR(AND($E$29&gt;=47,$E$29&lt;=51,BN14&gt;0),BN19&gt;52,AND($E$29&gt;52,BN14&gt;0),AND(BN19&gt;=1,BN14=0))</formula>
    </cfRule>
    <cfRule type="cellIs" dxfId="2650" priority="10" operator="greaterThan">
      <formula>0</formula>
    </cfRule>
  </conditionalFormatting>
  <conditionalFormatting sqref="BN22">
    <cfRule type="cellIs" dxfId="2649" priority="46" operator="equal">
      <formula>0</formula>
    </cfRule>
  </conditionalFormatting>
  <conditionalFormatting sqref="BP7:BW13">
    <cfRule type="cellIs" dxfId="2648" priority="9" operator="greaterThan">
      <formula>0</formula>
    </cfRule>
  </conditionalFormatting>
  <conditionalFormatting sqref="BP17:BX17">
    <cfRule type="expression" dxfId="2647" priority="38">
      <formula>BY17=0</formula>
    </cfRule>
  </conditionalFormatting>
  <conditionalFormatting sqref="BP22:BX22">
    <cfRule type="expression" dxfId="2646" priority="31">
      <formula>BY22=0</formula>
    </cfRule>
  </conditionalFormatting>
  <conditionalFormatting sqref="BY17">
    <cfRule type="cellIs" dxfId="2645" priority="54" operator="equal">
      <formula>0</formula>
    </cfRule>
  </conditionalFormatting>
  <conditionalFormatting sqref="BY19">
    <cfRule type="cellIs" dxfId="2644" priority="8" operator="greaterThan">
      <formula>0</formula>
    </cfRule>
    <cfRule type="expression" dxfId="2643" priority="23">
      <formula>OR(AND($E$29&gt;=47,$E$29&lt;=51,BY14&gt;0),BY19&gt;52,AND($E$29&gt;52,BY14&gt;0),AND(BY19&gt;=1,BY14=0))</formula>
    </cfRule>
  </conditionalFormatting>
  <conditionalFormatting sqref="BY22">
    <cfRule type="cellIs" dxfId="2642" priority="45" operator="equal">
      <formula>0</formula>
    </cfRule>
  </conditionalFormatting>
  <conditionalFormatting sqref="CA7:CH13">
    <cfRule type="cellIs" dxfId="2641" priority="7" operator="greaterThan">
      <formula>0</formula>
    </cfRule>
  </conditionalFormatting>
  <conditionalFormatting sqref="CA17:CI17">
    <cfRule type="expression" dxfId="2640" priority="37">
      <formula>CJ17=0</formula>
    </cfRule>
  </conditionalFormatting>
  <conditionalFormatting sqref="CA22:CI22">
    <cfRule type="expression" dxfId="2639" priority="30">
      <formula>CJ22=0</formula>
    </cfRule>
  </conditionalFormatting>
  <conditionalFormatting sqref="CJ17">
    <cfRule type="cellIs" dxfId="2638" priority="53" operator="equal">
      <formula>0</formula>
    </cfRule>
  </conditionalFormatting>
  <conditionalFormatting sqref="CJ19">
    <cfRule type="expression" dxfId="2637" priority="22">
      <formula>OR(AND($E$29&gt;=47,$E$29&lt;=51,CJ14&gt;0),CJ19&gt;52,AND($E$29&gt;52,CJ14&gt;0),AND(CJ19&gt;=1,CJ14=0))</formula>
    </cfRule>
    <cfRule type="cellIs" dxfId="2636" priority="6" operator="greaterThan">
      <formula>0</formula>
    </cfRule>
  </conditionalFormatting>
  <conditionalFormatting sqref="CJ22">
    <cfRule type="cellIs" dxfId="2635" priority="44" operator="equal">
      <formula>0</formula>
    </cfRule>
  </conditionalFormatting>
  <dataValidations count="6">
    <dataValidation type="list" showInputMessage="1" showErrorMessage="1" sqref="C77" xr:uid="{00000000-0002-0000-1000-000000000000}">
      <formula1>"0,1,2,3,4"</formula1>
    </dataValidation>
    <dataValidation type="list" allowBlank="1" showInputMessage="1" showErrorMessage="1" sqref="P49" xr:uid="{00000000-0002-0000-1000-000001000000}">
      <formula1>Table_méthode_abs_CP</formula1>
    </dataValidation>
    <dataValidation type="list" allowBlank="1" showInputMessage="1" showErrorMessage="1" sqref="N31 W31" xr:uid="{00000000-0002-0000-1000-000003000000}">
      <formula1>"OUI,NON"</formula1>
    </dataValidation>
    <dataValidation errorStyle="information" allowBlank="1" showErrorMessage="1" errorTitle="Ne peut ête supérieure à 52 sem" sqref="E29:I29" xr:uid="{00000000-0002-0000-1000-000004000000}"/>
    <dataValidation type="list" allowBlank="1" showInputMessage="1" showErrorMessage="1" sqref="P39" xr:uid="{5BB9AEC6-EFCE-488A-83F6-20F3079523EE}">
      <formula1>Table_méthode_retenue</formula1>
    </dataValidation>
    <dataValidation type="list" allowBlank="1" showInputMessage="1" showErrorMessage="1" sqref="Y38" xr:uid="{3A9504AA-FFA5-4E82-9542-EDC59170C0F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9" id="{C07405A1-D872-49CF-AB4D-03E5700FD17D}">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1A7C686E-5558-4D21-B16A-8D48BA23511D}">
          <x14:formula1>
            <xm:f>S.CAL!$DE$3:$DE$13</xm:f>
          </x14:formula1>
          <xm:sqref>K1:M1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213" t="s">
        <v>1597</v>
      </c>
      <c r="B1" s="275"/>
      <c r="C1" s="275"/>
      <c r="D1" s="275"/>
      <c r="E1" s="275"/>
      <c r="F1" s="275"/>
      <c r="G1" s="275"/>
      <c r="H1" s="275"/>
      <c r="I1" s="275"/>
      <c r="J1" s="1213"/>
      <c r="K1" s="275"/>
      <c r="L1" s="1214" t="s">
        <v>1594</v>
      </c>
      <c r="M1" s="1700" t="s">
        <v>1590</v>
      </c>
      <c r="N1" s="1700"/>
      <c r="P1" s="1214" t="s">
        <v>199</v>
      </c>
      <c r="U1" s="1699">
        <f>+IF(Identification!B28&lt;=Identification!B61,Identification!B61,DATE(YEAR(Identification!B28),MONTH(Identification!B28),1))</f>
        <v>46023</v>
      </c>
      <c r="V1" s="1699"/>
      <c r="W1" s="1699"/>
      <c r="EF1" s="16" t="s">
        <v>863</v>
      </c>
      <c r="EG1" s="16" t="str">
        <f>+IF(M1=S.CAL!GC3,"OUI",IF(M1=S.CAL!GC4,"OUI","NON"))</f>
        <v>NON</v>
      </c>
    </row>
    <row r="2" spans="1:137" s="16" customFormat="1" x14ac:dyDescent="0.2">
      <c r="J2" s="1669" t="str">
        <f>+'Mode d''utilisation'!E2</f>
        <v>Syndicat National FO des Emplois de la Famille         www.emploisdelafamille-fo.fr</v>
      </c>
      <c r="K2" s="1669"/>
      <c r="L2" s="1669"/>
      <c r="M2" s="1669"/>
      <c r="N2" s="1669"/>
      <c r="O2" s="1669"/>
      <c r="P2" s="1669"/>
      <c r="EF2" s="16" t="s">
        <v>1595</v>
      </c>
      <c r="EG2" s="16" t="str">
        <f>+IF(AND(EG1="NON",P3&lt;&gt;""),"ERR","BON")</f>
        <v>BON</v>
      </c>
    </row>
    <row r="3" spans="1:137" s="16" customFormat="1" ht="18.75" x14ac:dyDescent="0.3">
      <c r="A3" s="1211" t="s">
        <v>181</v>
      </c>
      <c r="E3" s="1035"/>
      <c r="F3" s="1035"/>
      <c r="G3" s="1035"/>
      <c r="H3" s="1035"/>
      <c r="I3" s="1035"/>
      <c r="J3" s="1035"/>
      <c r="L3" s="29" t="s">
        <v>535</v>
      </c>
      <c r="M3" s="85">
        <f>Identification!B28</f>
        <v>0</v>
      </c>
      <c r="O3" s="29" t="s">
        <v>536</v>
      </c>
      <c r="P3" s="1511"/>
      <c r="EF3" s="16" t="s">
        <v>1596</v>
      </c>
      <c r="EG3" s="16" t="str">
        <f>+IF(M1=S.CAL!GC5,"OUI","NON")</f>
        <v>NON</v>
      </c>
    </row>
    <row r="4" spans="1:137" s="16" customFormat="1" x14ac:dyDescent="0.2">
      <c r="EB4" s="16" t="str">
        <f>+IF(AND(Identification!B3="Méthode 2",P39="Méthode 1"),"faux","")</f>
        <v>faux</v>
      </c>
      <c r="EF4" s="29" t="s">
        <v>1601</v>
      </c>
      <c r="EG4" s="16" t="str">
        <f>+VLOOKUP(M1,S.CAL!GC2:GD5,2,FALSE)</f>
        <v>OUI</v>
      </c>
    </row>
    <row r="5" spans="1:137" s="16"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7"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7"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7" s="16" customFormat="1" x14ac:dyDescent="0.2">
      <c r="A8" s="91" t="s">
        <v>18</v>
      </c>
      <c r="B8" s="1070"/>
      <c r="C8" s="1070"/>
      <c r="D8" s="1070"/>
      <c r="E8" s="1070"/>
      <c r="F8" s="1071"/>
      <c r="G8" s="1071"/>
      <c r="H8" s="1071"/>
      <c r="I8" s="1071"/>
      <c r="J8" s="277">
        <f t="shared" ref="J8:J13" si="0">+C8-B8+E8-D8+G8-F8+I8-H8</f>
        <v>0</v>
      </c>
      <c r="K8" s="409">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7"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7" s="16" customFormat="1" x14ac:dyDescent="0.2">
      <c r="A10" s="91" t="s">
        <v>20</v>
      </c>
      <c r="B10" s="1070"/>
      <c r="C10" s="1070"/>
      <c r="D10" s="1070"/>
      <c r="E10" s="151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7"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7"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7"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7"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7" s="16" customFormat="1" x14ac:dyDescent="0.2"/>
    <row r="16" spans="1:137"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f>+IF(Identification!B66="NON",VLOOKUP(O29,Identification!A71:B74,2,TRUE),VLOOKUP(O29,Identification!A78:B81,2,TRUE))</f>
        <v>0.88200000000000001</v>
      </c>
      <c r="O29" s="30">
        <f>+U1</f>
        <v>46023</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IF(EG3="OUI","AU REEL",IF(OR(E29=52,E29=N37),"COMPLETE",IF(E29&lt;47,"INCOMPLETE","ERREUR")))</f>
        <v>INCOMPLETE</v>
      </c>
      <c r="F31" s="280"/>
      <c r="G31" s="280"/>
      <c r="H31" s="280"/>
      <c r="I31" s="280"/>
      <c r="K31" s="24"/>
      <c r="L31" s="24"/>
      <c r="M31" s="181" t="s">
        <v>1427</v>
      </c>
      <c r="N31" s="1027" t="s">
        <v>137</v>
      </c>
      <c r="O31" s="24"/>
      <c r="P31" s="24"/>
      <c r="Q31" s="24"/>
      <c r="R31" s="24"/>
      <c r="S31" s="24"/>
      <c r="T31" s="24"/>
      <c r="U31" s="24"/>
      <c r="V31" s="181" t="s">
        <v>924</v>
      </c>
      <c r="W31" s="1027" t="s">
        <v>137</v>
      </c>
      <c r="X31" s="24"/>
    </row>
    <row r="32" spans="1:88" s="16" customFormat="1" x14ac:dyDescent="0.2">
      <c r="K32" s="24"/>
      <c r="L32" s="24"/>
      <c r="M32" s="1029" t="s">
        <v>913</v>
      </c>
      <c r="N32" s="24"/>
      <c r="O32" s="24"/>
      <c r="P32" s="24"/>
      <c r="Q32" s="24"/>
      <c r="R32" s="24"/>
      <c r="S32" s="24"/>
      <c r="T32" s="24"/>
      <c r="U32" s="24"/>
      <c r="V32" s="1030" t="s">
        <v>903</v>
      </c>
      <c r="W32" s="24"/>
      <c r="X32" s="24"/>
    </row>
    <row r="33" spans="1:35" s="16" customFormat="1" ht="15.75" thickBot="1" x14ac:dyDescent="0.3">
      <c r="D33" s="281" t="s">
        <v>506</v>
      </c>
      <c r="E33" s="280">
        <f>IF(EG3="OUI",0,IF(OR(E29=52,E29=N37),52,IF(E29&lt;47,E29,"ERREUR")))</f>
        <v>0</v>
      </c>
      <c r="F33" s="280"/>
      <c r="G33" s="280"/>
      <c r="H33" s="280"/>
      <c r="I33" s="280"/>
      <c r="M33" s="469"/>
      <c r="V33" s="470"/>
    </row>
    <row r="34" spans="1:35" s="16" customFormat="1" ht="13.5" thickBot="1" x14ac:dyDescent="0.25">
      <c r="M34" s="29" t="s">
        <v>838</v>
      </c>
      <c r="N34" s="1606">
        <v>0.1</v>
      </c>
      <c r="V34" s="29" t="s">
        <v>902</v>
      </c>
      <c r="W34" s="1606"/>
    </row>
    <row r="35" spans="1:35" s="16" customFormat="1" ht="15" x14ac:dyDescent="0.25">
      <c r="D35" s="29" t="s">
        <v>1439</v>
      </c>
      <c r="E35" s="1073"/>
      <c r="I35" s="280"/>
      <c r="W35" s="24">
        <f>+E35*(1+W34)</f>
        <v>0</v>
      </c>
    </row>
    <row r="36" spans="1:35" s="16" customFormat="1" x14ac:dyDescent="0.2">
      <c r="D36" s="29"/>
      <c r="K36" s="24"/>
      <c r="L36" s="24"/>
      <c r="M36" s="181" t="s">
        <v>191</v>
      </c>
      <c r="N36" s="282">
        <f>+IF(Identification!B3=S.CAL!AY2,E35*(1+N34),E35)</f>
        <v>0</v>
      </c>
      <c r="V36" s="29" t="s">
        <v>1693</v>
      </c>
      <c r="W36" s="1587" t="str">
        <f>+IF(Y36&lt;&gt;"",Y36,IF(M1=S.CAL!GC5,"OUI",IF(AND(M1=S.CAL!GC3,N37&gt;8.5),"NON","OUI")))</f>
        <v>OUI</v>
      </c>
      <c r="X36" s="1588" t="s">
        <v>1694</v>
      </c>
      <c r="Y36" s="1589"/>
    </row>
    <row r="37" spans="1:35" s="16" customFormat="1" x14ac:dyDescent="0.2">
      <c r="D37" s="29" t="s">
        <v>1440</v>
      </c>
      <c r="E37" s="283">
        <f>+E35*N29</f>
        <v>0</v>
      </c>
      <c r="F37" s="283"/>
      <c r="G37" s="283"/>
      <c r="H37" s="283"/>
      <c r="I37" s="283"/>
      <c r="M37" s="29" t="s">
        <v>537</v>
      </c>
      <c r="N37" s="16" t="str">
        <f>+IF(EG1="OUI",CEILING(CEILING(P3-M3,1)/7,1),"")</f>
        <v/>
      </c>
    </row>
    <row r="38" spans="1:35" s="16" customFormat="1" x14ac:dyDescent="0.2">
      <c r="D38" s="29"/>
      <c r="E38" s="283"/>
      <c r="F38" s="283"/>
      <c r="G38" s="283"/>
      <c r="H38" s="283"/>
      <c r="I38" s="283"/>
      <c r="M38" s="29"/>
      <c r="N38" s="284"/>
      <c r="V38" s="29" t="s">
        <v>1696</v>
      </c>
      <c r="W38" s="1587" t="str">
        <f>+IF(Y38&lt;&gt;"",Y38,IF(E31="INCOMPLETE","OUI","NON"))</f>
        <v>OUI</v>
      </c>
      <c r="X38" s="1588" t="s">
        <v>1694</v>
      </c>
      <c r="Y38" s="1589"/>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3" t="s">
        <v>1219</v>
      </c>
      <c r="Q40" s="880"/>
      <c r="R40" s="880"/>
      <c r="S40" s="880"/>
      <c r="T40" s="880"/>
      <c r="U40" s="1034" t="s">
        <v>353</v>
      </c>
      <c r="V40" s="1169" t="s">
        <v>1465</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3" t="s">
        <v>1367</v>
      </c>
      <c r="Q41" s="880"/>
      <c r="R41" s="880"/>
      <c r="S41" s="880"/>
      <c r="T41" s="880"/>
      <c r="U41" s="880"/>
      <c r="V41" s="1169" t="s">
        <v>1466</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3" t="s">
        <v>1219</v>
      </c>
      <c r="Q43" s="880"/>
      <c r="R43" s="880"/>
      <c r="S43" s="880"/>
      <c r="T43" s="880"/>
      <c r="U43" s="1034" t="s">
        <v>1218</v>
      </c>
      <c r="V43" s="1169" t="s">
        <v>1465</v>
      </c>
      <c r="W43" s="24"/>
      <c r="X43" s="24"/>
      <c r="Y43" s="24"/>
      <c r="Z43" s="24"/>
      <c r="AA43" s="24"/>
      <c r="AB43" s="24"/>
      <c r="AC43" s="24"/>
      <c r="AD43" s="24"/>
      <c r="AE43" s="24"/>
      <c r="AF43" s="24"/>
      <c r="AG43" s="24"/>
      <c r="AH43" s="24"/>
      <c r="AI43" s="24"/>
    </row>
    <row r="44" spans="1:35" s="16" customFormat="1" ht="18.75" x14ac:dyDescent="0.3">
      <c r="A44" s="1694" t="s">
        <v>192</v>
      </c>
      <c r="B44" s="1695"/>
      <c r="C44" s="1695"/>
      <c r="D44" s="1695"/>
      <c r="E44" s="1696"/>
      <c r="F44" s="279"/>
      <c r="G44" s="279"/>
      <c r="H44" s="279"/>
      <c r="I44" s="279"/>
      <c r="L44" s="24"/>
      <c r="M44" s="24"/>
      <c r="N44" s="24"/>
      <c r="O44" s="24"/>
      <c r="P44" s="1033" t="s">
        <v>1368</v>
      </c>
      <c r="Q44" s="880"/>
      <c r="R44" s="880"/>
      <c r="S44" s="880"/>
      <c r="T44" s="880"/>
      <c r="U44" s="880"/>
      <c r="V44" s="1169" t="s">
        <v>1467</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69" t="s">
        <v>1468</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3" t="s">
        <v>1336</v>
      </c>
      <c r="Q46" s="880"/>
      <c r="R46" s="880"/>
      <c r="S46" s="880"/>
      <c r="T46" s="880"/>
      <c r="U46" s="1034" t="s">
        <v>443</v>
      </c>
      <c r="V46" s="881"/>
    </row>
    <row r="47" spans="1:35" s="16" customFormat="1" x14ac:dyDescent="0.2">
      <c r="P47" s="1033" t="s">
        <v>1337</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1351</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998">
        <f>+E48</f>
        <v>0</v>
      </c>
      <c r="N52" s="468"/>
      <c r="O52" s="468"/>
    </row>
    <row r="53" spans="1:114" s="16" customFormat="1" x14ac:dyDescent="0.2"/>
    <row r="54" spans="1:114" s="16" customFormat="1" x14ac:dyDescent="0.2">
      <c r="D54" s="29" t="s">
        <v>195</v>
      </c>
      <c r="E54" s="288">
        <f>ROUND(+E52*N29,2)</f>
        <v>0</v>
      </c>
      <c r="F54" s="288"/>
      <c r="G54" s="288"/>
      <c r="H54" s="288"/>
      <c r="I54" s="288"/>
      <c r="L54" s="469" t="s">
        <v>1352</v>
      </c>
      <c r="M54" s="468" t="s">
        <v>1464</v>
      </c>
      <c r="N54" s="468"/>
    </row>
    <row r="55" spans="1:114" s="16" customFormat="1" x14ac:dyDescent="0.2">
      <c r="L55" s="469" t="s">
        <v>1352</v>
      </c>
      <c r="M55" s="468" t="str">
        <f>+E40&amp;" hrs / "&amp;N37&amp;" sem X 52 sem / 12 mois"</f>
        <v>0 hrs /  sem X 52 sem / 12 mois</v>
      </c>
      <c r="N55" s="468"/>
    </row>
    <row r="56" spans="1:114" s="16" customFormat="1" x14ac:dyDescent="0.2">
      <c r="D56" s="29" t="s">
        <v>196</v>
      </c>
      <c r="E56" s="288">
        <f>ROUND(+(E49*N36*0.1131),2)</f>
        <v>0</v>
      </c>
      <c r="F56" s="288"/>
      <c r="G56" s="288"/>
      <c r="H56" s="288"/>
      <c r="I56" s="288"/>
      <c r="L56" s="469" t="s">
        <v>1352</v>
      </c>
      <c r="M56" s="998">
        <f>+E49</f>
        <v>0</v>
      </c>
      <c r="N56" s="468"/>
    </row>
    <row r="57" spans="1:114" s="16" customFormat="1" x14ac:dyDescent="0.2"/>
    <row r="58" spans="1:114" s="16" customFormat="1" ht="15" x14ac:dyDescent="0.25">
      <c r="D58" s="289" t="s">
        <v>55</v>
      </c>
      <c r="E58" s="290">
        <f>ROUND(+E56+E54,2)</f>
        <v>0</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ODcX4hVZIf6sco1/uWNdZ0AmrX9PfyG59hGd/qRzKloVbMcW/4/q5hNtYjre+srm0+icjWfPrf1MPhJjl2DNXA==" saltValue="ni9eVUKEUe/0gbFQMUIRnA==" spinCount="100000" sheet="1" objects="1" scenarios="1" formatCells="0" formatColumns="0" formatRows="0" insertColumns="0" insertRows="0" insertHyperlinks="0" sort="0" autoFilter="0" pivotTables="0"/>
  <mergeCells count="70">
    <mergeCell ref="BP24:BX24"/>
    <mergeCell ref="BO5:BY5"/>
    <mergeCell ref="BZ5:CJ5"/>
    <mergeCell ref="A27:E27"/>
    <mergeCell ref="A44:E44"/>
    <mergeCell ref="A5:K5"/>
    <mergeCell ref="L5:V5"/>
    <mergeCell ref="W5:AG5"/>
    <mergeCell ref="AH5:AR5"/>
    <mergeCell ref="CA14:CI14"/>
    <mergeCell ref="CA16:CI16"/>
    <mergeCell ref="CA17:CI17"/>
    <mergeCell ref="CA19:CI19"/>
    <mergeCell ref="CA21:CI21"/>
    <mergeCell ref="CA22:CI22"/>
    <mergeCell ref="CA24:CI24"/>
    <mergeCell ref="BP17:BX17"/>
    <mergeCell ref="X14:AF14"/>
    <mergeCell ref="AI14:AQ14"/>
    <mergeCell ref="AT14:BB14"/>
    <mergeCell ref="BP22:BX22"/>
    <mergeCell ref="BP21:BX21"/>
    <mergeCell ref="BP19:BX19"/>
    <mergeCell ref="BP16:BX16"/>
    <mergeCell ref="BE14:BM14"/>
    <mergeCell ref="BP14:BX14"/>
    <mergeCell ref="A69:B69"/>
    <mergeCell ref="AS5:BC5"/>
    <mergeCell ref="BD5:BN5"/>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BE24:BM24"/>
    <mergeCell ref="BE22:BM22"/>
    <mergeCell ref="BE21:BM21"/>
    <mergeCell ref="BE19:BM19"/>
    <mergeCell ref="BE17:BM17"/>
    <mergeCell ref="M24:U24"/>
    <mergeCell ref="B24:J24"/>
    <mergeCell ref="B22:J22"/>
    <mergeCell ref="B21:J21"/>
    <mergeCell ref="X16:AF16"/>
    <mergeCell ref="M16:U16"/>
    <mergeCell ref="M17:U17"/>
    <mergeCell ref="M19:U19"/>
    <mergeCell ref="M21:U21"/>
    <mergeCell ref="X24:AF24"/>
    <mergeCell ref="X22:AF22"/>
    <mergeCell ref="X21:AF21"/>
    <mergeCell ref="X19:AF19"/>
    <mergeCell ref="X17:AF17"/>
    <mergeCell ref="U1:W1"/>
    <mergeCell ref="B19:J19"/>
    <mergeCell ref="B17:J17"/>
    <mergeCell ref="B16:J16"/>
    <mergeCell ref="M22:U22"/>
    <mergeCell ref="J2:P2"/>
    <mergeCell ref="B14:J14"/>
    <mergeCell ref="M14:U14"/>
    <mergeCell ref="M1:N1"/>
  </mergeCells>
  <conditionalFormatting sqref="A29:E29">
    <cfRule type="expression" dxfId="2633" priority="35">
      <formula>$EG$3="OUI"</formula>
    </cfRule>
  </conditionalFormatting>
  <conditionalFormatting sqref="A39:E69">
    <cfRule type="expression" dxfId="2632" priority="33">
      <formula>$EG$3="OUI"</formula>
    </cfRule>
  </conditionalFormatting>
  <conditionalFormatting sqref="A20:XFD25">
    <cfRule type="expression" dxfId="2631" priority="36">
      <formula>$EG$3="OUI"</formula>
    </cfRule>
  </conditionalFormatting>
  <conditionalFormatting sqref="B7:I13">
    <cfRule type="cellIs" dxfId="2630" priority="20" operator="greaterThan">
      <formula>0</formula>
    </cfRule>
  </conditionalFormatting>
  <conditionalFormatting sqref="B17:J17">
    <cfRule type="expression" dxfId="2629" priority="70">
      <formula>K17=0</formula>
    </cfRule>
  </conditionalFormatting>
  <conditionalFormatting sqref="B22:J22">
    <cfRule type="expression" dxfId="2628" priority="55">
      <formula>K22=0</formula>
    </cfRule>
  </conditionalFormatting>
  <conditionalFormatting sqref="D40">
    <cfRule type="expression" dxfId="2627" priority="84">
      <formula>$E$40=0</formula>
    </cfRule>
  </conditionalFormatting>
  <conditionalFormatting sqref="D49">
    <cfRule type="expression" dxfId="2626" priority="83">
      <formula>$E$49=0</formula>
    </cfRule>
  </conditionalFormatting>
  <conditionalFormatting sqref="D33:E33">
    <cfRule type="expression" dxfId="2625" priority="34">
      <formula>$EG$3="OUI"</formula>
    </cfRule>
  </conditionalFormatting>
  <conditionalFormatting sqref="E35">
    <cfRule type="cellIs" dxfId="2623" priority="4" operator="greaterThan">
      <formula>0</formula>
    </cfRule>
  </conditionalFormatting>
  <conditionalFormatting sqref="E40">
    <cfRule type="cellIs" dxfId="2622" priority="85" operator="equal">
      <formula>0</formula>
    </cfRule>
  </conditionalFormatting>
  <conditionalFormatting sqref="E49">
    <cfRule type="cellIs" dxfId="2621" priority="82" operator="equal">
      <formula>0</formula>
    </cfRule>
  </conditionalFormatting>
  <conditionalFormatting sqref="E50">
    <cfRule type="expression" dxfId="2620" priority="81">
      <formula>$E$49=0</formula>
    </cfRule>
  </conditionalFormatting>
  <conditionalFormatting sqref="E29:I29">
    <cfRule type="cellIs" dxfId="2619" priority="129" operator="greaterThanOrEqual">
      <formula>52.0000001</formula>
    </cfRule>
    <cfRule type="cellIs" dxfId="2618" priority="130" operator="between">
      <formula>46.9999999999</formula>
      <formula>51.99999</formula>
    </cfRule>
  </conditionalFormatting>
  <conditionalFormatting sqref="K17">
    <cfRule type="cellIs" dxfId="2617" priority="71" operator="equal">
      <formula>0</formula>
    </cfRule>
  </conditionalFormatting>
  <conditionalFormatting sqref="K19">
    <cfRule type="cellIs" dxfId="2616" priority="5" operator="greaterThan">
      <formula>0</formula>
    </cfRule>
    <cfRule type="expression" dxfId="2615" priority="28">
      <formula>OR(AND($E$29&gt;=47,$E$29&lt;=51,K14&gt;0),K19&gt;52,AND($E$29&gt;52,K14&gt;0),AND(K19&gt;=1,K14=0))</formula>
    </cfRule>
  </conditionalFormatting>
  <conditionalFormatting sqref="K22">
    <cfRule type="cellIs" dxfId="2614" priority="54" operator="equal">
      <formula>0</formula>
    </cfRule>
  </conditionalFormatting>
  <conditionalFormatting sqref="K49:W59">
    <cfRule type="expression" dxfId="2613" priority="31">
      <formula>$EG$1="NON"</formula>
    </cfRule>
  </conditionalFormatting>
  <conditionalFormatting sqref="L54:M56">
    <cfRule type="expression" dxfId="2612" priority="80">
      <formula>$E$49=0</formula>
    </cfRule>
  </conditionalFormatting>
  <conditionalFormatting sqref="M37">
    <cfRule type="expression" dxfId="2611" priority="32">
      <formula>$EG$1="NON"</formula>
    </cfRule>
  </conditionalFormatting>
  <conditionalFormatting sqref="M7:T13">
    <cfRule type="cellIs" dxfId="2610" priority="19" operator="greaterThan">
      <formula>0</formula>
    </cfRule>
  </conditionalFormatting>
  <conditionalFormatting sqref="M17:U17">
    <cfRule type="expression" dxfId="2609" priority="62">
      <formula>V17=0</formula>
    </cfRule>
  </conditionalFormatting>
  <conditionalFormatting sqref="M22:U22">
    <cfRule type="expression" dxfId="2608" priority="46">
      <formula>V22=0</formula>
    </cfRule>
  </conditionalFormatting>
  <conditionalFormatting sqref="N34">
    <cfRule type="cellIs" dxfId="2607" priority="3" operator="greaterThan">
      <formula>0</formula>
    </cfRule>
  </conditionalFormatting>
  <conditionalFormatting sqref="O3">
    <cfRule type="expression" dxfId="2606" priority="39">
      <formula>$EG$1="NON"</formula>
    </cfRule>
  </conditionalFormatting>
  <conditionalFormatting sqref="P3">
    <cfRule type="expression" dxfId="2605" priority="37">
      <formula>$EG$2="ERR"</formula>
    </cfRule>
    <cfRule type="expression" dxfId="2604" priority="38">
      <formula>$EG$1="NON"</formula>
    </cfRule>
  </conditionalFormatting>
  <conditionalFormatting sqref="P39">
    <cfRule type="expression" dxfId="2603" priority="118">
      <formula>EB2="faux"</formula>
    </cfRule>
  </conditionalFormatting>
  <conditionalFormatting sqref="V17">
    <cfRule type="cellIs" dxfId="2602" priority="69" operator="equal">
      <formula>0</formula>
    </cfRule>
  </conditionalFormatting>
  <conditionalFormatting sqref="V19">
    <cfRule type="expression" dxfId="2601" priority="27">
      <formula>OR(AND($E$29&gt;=47,$E$29&lt;=51,V14&gt;0),V19&gt;52,AND($E$29&gt;52,V14&gt;0),AND(V19&gt;=1,V14=0))</formula>
    </cfRule>
    <cfRule type="cellIs" dxfId="2600" priority="6" operator="greaterThan">
      <formula>0</formula>
    </cfRule>
  </conditionalFormatting>
  <conditionalFormatting sqref="V22">
    <cfRule type="cellIs" dxfId="2599" priority="53" operator="equal">
      <formula>0</formula>
    </cfRule>
  </conditionalFormatting>
  <conditionalFormatting sqref="W34">
    <cfRule type="cellIs" dxfId="2598" priority="1" operator="greaterThan">
      <formula>0</formula>
    </cfRule>
  </conditionalFormatting>
  <conditionalFormatting sqref="X7:AE13">
    <cfRule type="cellIs" dxfId="2597" priority="18" operator="greaterThan">
      <formula>0</formula>
    </cfRule>
  </conditionalFormatting>
  <conditionalFormatting sqref="X17:AF17">
    <cfRule type="expression" dxfId="2596" priority="61">
      <formula>AG17=0</formula>
    </cfRule>
  </conditionalFormatting>
  <conditionalFormatting sqref="X22:AF22">
    <cfRule type="expression" dxfId="2595" priority="45">
      <formula>AG22=0</formula>
    </cfRule>
  </conditionalFormatting>
  <conditionalFormatting sqref="AG17">
    <cfRule type="cellIs" dxfId="2594" priority="68" operator="equal">
      <formula>0</formula>
    </cfRule>
  </conditionalFormatting>
  <conditionalFormatting sqref="AG19">
    <cfRule type="cellIs" dxfId="2593" priority="7" operator="greaterThan">
      <formula>0</formula>
    </cfRule>
    <cfRule type="expression" dxfId="2592" priority="26">
      <formula>OR(AND($E$29&gt;=47,$E$29&lt;=51,AG14&gt;0),AG19&gt;52,AND($E$29&gt;52,AG14&gt;0),AND(AG19&gt;=1,AG14=0))</formula>
    </cfRule>
  </conditionalFormatting>
  <conditionalFormatting sqref="AG22">
    <cfRule type="cellIs" dxfId="2591" priority="52" operator="equal">
      <formula>0</formula>
    </cfRule>
  </conditionalFormatting>
  <conditionalFormatting sqref="AI7:AP13">
    <cfRule type="cellIs" dxfId="2590" priority="17" operator="greaterThan">
      <formula>0</formula>
    </cfRule>
  </conditionalFormatting>
  <conditionalFormatting sqref="AI17:AQ17">
    <cfRule type="expression" dxfId="2589" priority="60">
      <formula>AR17=0</formula>
    </cfRule>
  </conditionalFormatting>
  <conditionalFormatting sqref="AI22:AQ22">
    <cfRule type="expression" dxfId="2588" priority="44">
      <formula>AR22=0</formula>
    </cfRule>
  </conditionalFormatting>
  <conditionalFormatting sqref="AR17">
    <cfRule type="cellIs" dxfId="2587" priority="67" operator="equal">
      <formula>0</formula>
    </cfRule>
  </conditionalFormatting>
  <conditionalFormatting sqref="AR19">
    <cfRule type="cellIs" dxfId="2586" priority="8" operator="greaterThan">
      <formula>0</formula>
    </cfRule>
    <cfRule type="expression" dxfId="2585" priority="25">
      <formula>OR(AND($E$29&gt;=47,$E$29&lt;=51,AR14&gt;0),AR19&gt;52,AND($E$29&gt;52,AR14&gt;0),AND(AR19&gt;=1,AR14=0))</formula>
    </cfRule>
  </conditionalFormatting>
  <conditionalFormatting sqref="AR22">
    <cfRule type="cellIs" dxfId="2584" priority="51" operator="equal">
      <formula>0</formula>
    </cfRule>
  </conditionalFormatting>
  <conditionalFormatting sqref="AT7:BA13">
    <cfRule type="cellIs" dxfId="2583" priority="16" operator="greaterThan">
      <formula>0</formula>
    </cfRule>
  </conditionalFormatting>
  <conditionalFormatting sqref="AT17:BB17">
    <cfRule type="expression" dxfId="2582" priority="59">
      <formula>BC17=0</formula>
    </cfRule>
  </conditionalFormatting>
  <conditionalFormatting sqref="AT22:BB22">
    <cfRule type="expression" dxfId="2581" priority="43">
      <formula>BC22=0</formula>
    </cfRule>
  </conditionalFormatting>
  <conditionalFormatting sqref="BC17">
    <cfRule type="cellIs" dxfId="2580" priority="66" operator="equal">
      <formula>0</formula>
    </cfRule>
  </conditionalFormatting>
  <conditionalFormatting sqref="BC19">
    <cfRule type="cellIs" dxfId="2579" priority="9" operator="greaterThan">
      <formula>0</formula>
    </cfRule>
    <cfRule type="expression" dxfId="2578" priority="24">
      <formula>OR(AND($E$29&gt;=47,$E$29&lt;=51,BC14&gt;0),BC19&gt;52,AND($E$29&gt;52,BC14&gt;0),AND(BC19&gt;=1,BC14=0))</formula>
    </cfRule>
  </conditionalFormatting>
  <conditionalFormatting sqref="BC22">
    <cfRule type="cellIs" dxfId="2577" priority="50" operator="equal">
      <formula>0</formula>
    </cfRule>
  </conditionalFormatting>
  <conditionalFormatting sqref="BE7:BL13">
    <cfRule type="cellIs" dxfId="2576" priority="15" operator="greaterThan">
      <formula>0</formula>
    </cfRule>
  </conditionalFormatting>
  <conditionalFormatting sqref="BE17:BM17">
    <cfRule type="expression" dxfId="2575" priority="58">
      <formula>BN17=0</formula>
    </cfRule>
  </conditionalFormatting>
  <conditionalFormatting sqref="BE22:BM22">
    <cfRule type="expression" dxfId="2574" priority="42">
      <formula>BN22=0</formula>
    </cfRule>
  </conditionalFormatting>
  <conditionalFormatting sqref="BN17">
    <cfRule type="cellIs" dxfId="2573" priority="65" operator="equal">
      <formula>0</formula>
    </cfRule>
  </conditionalFormatting>
  <conditionalFormatting sqref="BN19">
    <cfRule type="expression" dxfId="2572" priority="23">
      <formula>OR(AND($E$29&gt;=47,$E$29&lt;=51,BN14&gt;0),BN19&gt;52,AND($E$29&gt;52,BN14&gt;0),AND(BN19&gt;=1,BN14=0))</formula>
    </cfRule>
    <cfRule type="cellIs" dxfId="2571" priority="10" operator="greaterThan">
      <formula>0</formula>
    </cfRule>
  </conditionalFormatting>
  <conditionalFormatting sqref="BN22">
    <cfRule type="cellIs" dxfId="2570" priority="49" operator="equal">
      <formula>0</formula>
    </cfRule>
  </conditionalFormatting>
  <conditionalFormatting sqref="BP7:BW13">
    <cfRule type="cellIs" dxfId="2569" priority="14" operator="greaterThan">
      <formula>0</formula>
    </cfRule>
  </conditionalFormatting>
  <conditionalFormatting sqref="BP17:BX17">
    <cfRule type="expression" dxfId="2568" priority="57">
      <formula>BY17=0</formula>
    </cfRule>
  </conditionalFormatting>
  <conditionalFormatting sqref="BP22:BX22">
    <cfRule type="expression" dxfId="2567" priority="41">
      <formula>BY22=0</formula>
    </cfRule>
  </conditionalFormatting>
  <conditionalFormatting sqref="BY17">
    <cfRule type="cellIs" dxfId="2566" priority="64" operator="equal">
      <formula>0</formula>
    </cfRule>
  </conditionalFormatting>
  <conditionalFormatting sqref="BY19">
    <cfRule type="expression" dxfId="2565" priority="22">
      <formula>OR(AND($E$29&gt;=47,$E$29&lt;=51,BY14&gt;0),BY19&gt;52,AND($E$29&gt;52,BY14&gt;0),AND(BY19&gt;=1,BY14=0))</formula>
    </cfRule>
    <cfRule type="cellIs" dxfId="2564" priority="11" operator="greaterThan">
      <formula>0</formula>
    </cfRule>
  </conditionalFormatting>
  <conditionalFormatting sqref="BY22">
    <cfRule type="cellIs" dxfId="2563" priority="48" operator="equal">
      <formula>0</formula>
    </cfRule>
  </conditionalFormatting>
  <conditionalFormatting sqref="CA7:CH13">
    <cfRule type="cellIs" dxfId="2562" priority="13" operator="greaterThan">
      <formula>0</formula>
    </cfRule>
  </conditionalFormatting>
  <conditionalFormatting sqref="CA17:CI17">
    <cfRule type="expression" dxfId="2561" priority="56">
      <formula>CJ17=0</formula>
    </cfRule>
  </conditionalFormatting>
  <conditionalFormatting sqref="CA22:CI22">
    <cfRule type="expression" dxfId="2560" priority="40">
      <formula>CJ22=0</formula>
    </cfRule>
  </conditionalFormatting>
  <conditionalFormatting sqref="CJ17">
    <cfRule type="cellIs" dxfId="2559" priority="63" operator="equal">
      <formula>0</formula>
    </cfRule>
  </conditionalFormatting>
  <conditionalFormatting sqref="CJ19">
    <cfRule type="expression" dxfId="2558" priority="21">
      <formula>OR(AND($E$29&gt;=47,$E$29&lt;=51,CJ14&gt;0),CJ19&gt;52,AND($E$29&gt;52,CJ14&gt;0),AND(CJ19&gt;=1,CJ14=0))</formula>
    </cfRule>
    <cfRule type="cellIs" dxfId="2557" priority="12" operator="greaterThan">
      <formula>0</formula>
    </cfRule>
  </conditionalFormatting>
  <conditionalFormatting sqref="CJ22">
    <cfRule type="cellIs" dxfId="2556" priority="47" operator="equal">
      <formula>0</formula>
    </cfRule>
  </conditionalFormatting>
  <dataValidations count="5">
    <dataValidation type="list" allowBlank="1" showInputMessage="1" showErrorMessage="1" sqref="N31 W31" xr:uid="{00000000-0002-0000-1100-000000000000}">
      <formula1>"OUI,NON"</formula1>
    </dataValidation>
    <dataValidation errorStyle="information" allowBlank="1" showErrorMessage="1" errorTitle="Ne peut ête supérieure à 52 sem" sqref="E29:I29" xr:uid="{00000000-0002-0000-1100-000001000000}"/>
    <dataValidation type="list" showInputMessage="1" showErrorMessage="1" sqref="C77" xr:uid="{00000000-0002-0000-1100-000003000000}">
      <formula1>"0,1,2,3,4"</formula1>
    </dataValidation>
    <dataValidation type="list" allowBlank="1" showInputMessage="1" showErrorMessage="1" sqref="P39" xr:uid="{93CCB283-D489-472A-9586-B763421EE020}">
      <formula1>Table_méthode_retenue</formula1>
    </dataValidation>
    <dataValidation type="list" allowBlank="1" showInputMessage="1" showErrorMessage="1" sqref="Y36 Y38" xr:uid="{BEBA342A-2C63-45D0-A3D2-5702D4E8B59B}">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8" id="{6C7A7702-3A66-4A0A-920F-0C9721DE262B}">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27" id="{5549B4AA-20FC-40A2-ADAA-5B5C999887CF}">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D0880B9-081B-43C9-A599-D29D4713F959}">
          <x14:formula1>
            <xm:f>S.CAL!$GC$2:$GC$5</xm:f>
          </x14:formula1>
          <xm:sqref>M1:N1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12" t="s">
        <v>1598</v>
      </c>
      <c r="B1" s="275"/>
      <c r="C1" s="275"/>
      <c r="D1" s="275"/>
      <c r="E1" s="275"/>
      <c r="F1" s="275"/>
      <c r="G1" s="275"/>
      <c r="H1" s="275"/>
      <c r="I1" s="275"/>
      <c r="J1" s="1213"/>
      <c r="K1" s="275"/>
      <c r="L1" s="1214" t="s">
        <v>1594</v>
      </c>
      <c r="M1" s="1700" t="s">
        <v>1591</v>
      </c>
      <c r="N1" s="1700"/>
      <c r="O1" s="275"/>
      <c r="P1" s="1214" t="s">
        <v>199</v>
      </c>
      <c r="Q1" s="275"/>
      <c r="R1" s="275"/>
      <c r="S1" s="275"/>
      <c r="T1" s="276" t="s">
        <v>199</v>
      </c>
      <c r="U1" s="1702"/>
      <c r="V1" s="1702"/>
      <c r="W1" s="1702"/>
      <c r="EF1" s="16" t="s">
        <v>863</v>
      </c>
      <c r="EG1" s="16" t="str">
        <f>+IF(M1=S.CAL!GC3,"OUI",IF(M1=S.CAL!GC4,"OUI","NON"))</f>
        <v>OUI</v>
      </c>
    </row>
    <row r="2" spans="1:137" s="16" customFormat="1" x14ac:dyDescent="0.2">
      <c r="J2" s="1701" t="str">
        <f>+'Mode d''utilisation'!E2</f>
        <v>Syndicat National FO des Emplois de la Famille         www.emploisdelafamille-fo.fr</v>
      </c>
      <c r="K2" s="1701"/>
      <c r="L2" s="1701"/>
      <c r="M2" s="1701"/>
      <c r="N2" s="1701"/>
      <c r="O2" s="1701"/>
      <c r="P2" s="1701"/>
      <c r="EF2" s="16" t="s">
        <v>1595</v>
      </c>
      <c r="EG2" s="16" t="str">
        <f>+IF(AND(EG1="NON",P3&lt;&gt;""),"ERR","BON")</f>
        <v>BON</v>
      </c>
    </row>
    <row r="3" spans="1:137" s="16" customFormat="1" ht="18.75" x14ac:dyDescent="0.3">
      <c r="A3" s="1211" t="s">
        <v>181</v>
      </c>
      <c r="D3" s="1037"/>
      <c r="E3" s="1037"/>
      <c r="F3" s="1037"/>
      <c r="G3" s="1037"/>
      <c r="H3" s="1037"/>
      <c r="I3" s="1037"/>
      <c r="J3" s="1037"/>
      <c r="L3" s="29" t="s">
        <v>535</v>
      </c>
      <c r="M3" s="85">
        <f>+U1</f>
        <v>0</v>
      </c>
      <c r="O3" s="29" t="s">
        <v>536</v>
      </c>
      <c r="P3" s="1511"/>
      <c r="EF3" s="16" t="s">
        <v>1596</v>
      </c>
      <c r="EG3" s="16" t="str">
        <f>+IF(M1=S.CAL!GC5,"OUI","NON")</f>
        <v>NON</v>
      </c>
    </row>
    <row r="4" spans="1:137" s="16" customFormat="1" x14ac:dyDescent="0.2">
      <c r="EB4" s="16" t="str">
        <f>+IF(AND(Identification!B3="Méthode 2",P39="Méthode 1"),"faux","")</f>
        <v>faux</v>
      </c>
      <c r="EF4" s="29" t="s">
        <v>1601</v>
      </c>
      <c r="EG4" s="16" t="str">
        <f>+VLOOKUP(M1,S.CAL!GC2:GD5,2,FALSE)</f>
        <v>OUI</v>
      </c>
    </row>
    <row r="5" spans="1:137" s="16"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7"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7"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7" s="16" customFormat="1" x14ac:dyDescent="0.2">
      <c r="A8" s="91" t="s">
        <v>18</v>
      </c>
      <c r="B8" s="1070"/>
      <c r="C8" s="1070"/>
      <c r="D8" s="1070"/>
      <c r="E8" s="1070"/>
      <c r="F8" s="1071"/>
      <c r="G8" s="1071"/>
      <c r="H8" s="1071"/>
      <c r="I8" s="1071"/>
      <c r="J8" s="277">
        <f t="shared" ref="J8:J13" si="0">+C8-B8+E8-D8+G8-F8+I8-H8</f>
        <v>0</v>
      </c>
      <c r="K8" s="409">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7"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7" s="16" customFormat="1" x14ac:dyDescent="0.2">
      <c r="A10" s="91" t="s">
        <v>20</v>
      </c>
      <c r="B10" s="1070"/>
      <c r="C10" s="1070"/>
      <c r="D10" s="1070"/>
      <c r="E10" s="151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7"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7"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7"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7"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7" s="16" customFormat="1" x14ac:dyDescent="0.2"/>
    <row r="16" spans="1:137"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+U1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IF(EG3="OUI","AU REEL",IF(OR(E29=52,E29=N37),"COMPLETE",IF(E29&lt;47,"INCOMPLETE","ERREUR")))</f>
        <v>COMPLETE</v>
      </c>
      <c r="F31" s="280"/>
      <c r="G31" s="280"/>
      <c r="H31" s="280"/>
      <c r="I31" s="280"/>
      <c r="K31" s="24"/>
      <c r="L31" s="24"/>
      <c r="M31" s="181" t="s">
        <v>1427</v>
      </c>
      <c r="N31" s="1027" t="s">
        <v>137</v>
      </c>
      <c r="O31" s="24"/>
      <c r="P31" s="24"/>
      <c r="Q31" s="24"/>
      <c r="R31" s="24"/>
      <c r="S31" s="24"/>
      <c r="T31" s="24"/>
      <c r="U31" s="24"/>
      <c r="V31" s="181" t="s">
        <v>924</v>
      </c>
      <c r="W31" s="1027" t="s">
        <v>137</v>
      </c>
      <c r="X31" s="24"/>
    </row>
    <row r="32" spans="1:88" s="16" customFormat="1" x14ac:dyDescent="0.2">
      <c r="K32" s="24"/>
      <c r="L32" s="24"/>
      <c r="M32" s="1029" t="s">
        <v>913</v>
      </c>
      <c r="N32" s="24"/>
      <c r="O32" s="24"/>
      <c r="P32" s="24"/>
      <c r="Q32" s="24"/>
      <c r="R32" s="24"/>
      <c r="S32" s="24"/>
      <c r="T32" s="24"/>
      <c r="U32" s="24"/>
      <c r="V32" s="1030" t="s">
        <v>903</v>
      </c>
      <c r="W32" s="24"/>
      <c r="X32" s="24"/>
    </row>
    <row r="33" spans="1:35" s="16" customFormat="1" ht="15.75" thickBot="1" x14ac:dyDescent="0.3">
      <c r="D33" s="281" t="s">
        <v>506</v>
      </c>
      <c r="E33" s="280">
        <f>IF(EG3="OUI",0,IF(OR(E29=52,E29=N37),52,IF(E29&lt;47,E29,"ERREUR")))</f>
        <v>52</v>
      </c>
      <c r="F33" s="280"/>
      <c r="G33" s="280"/>
      <c r="H33" s="280"/>
      <c r="I33" s="280"/>
      <c r="M33" s="469"/>
      <c r="V33" s="470"/>
    </row>
    <row r="34" spans="1:35" s="16" customFormat="1" ht="13.5" thickBot="1" x14ac:dyDescent="0.25">
      <c r="M34" s="29" t="s">
        <v>838</v>
      </c>
      <c r="N34" s="1606">
        <v>0.1</v>
      </c>
      <c r="V34" s="29" t="s">
        <v>902</v>
      </c>
      <c r="W34" s="1606"/>
    </row>
    <row r="35" spans="1:35" s="16" customFormat="1" ht="15" x14ac:dyDescent="0.25">
      <c r="D35" s="29" t="s">
        <v>1439</v>
      </c>
      <c r="E35" s="1073"/>
      <c r="I35" s="280"/>
      <c r="W35" s="24">
        <f>+E35*(1+W34)</f>
        <v>0</v>
      </c>
    </row>
    <row r="36" spans="1:35" s="16" customFormat="1" x14ac:dyDescent="0.2">
      <c r="D36" s="29"/>
      <c r="K36" s="24"/>
      <c r="L36" s="24"/>
      <c r="M36" s="181" t="s">
        <v>191</v>
      </c>
      <c r="N36" s="282">
        <f>+IF(Identification!B3=S.CAL!AY2,E35*(1+N34),E35)</f>
        <v>0</v>
      </c>
      <c r="V36" s="29" t="s">
        <v>1693</v>
      </c>
      <c r="W36" s="1587" t="str">
        <f>+IF(Y36&lt;&gt;"",Y36,IF(M1=S.CAL!GC5,"OUI",IF(AND(M1=S.CAL!GC3,N37&gt;8.5),"NON","OUI")))</f>
        <v>OUI</v>
      </c>
      <c r="X36" s="1588" t="s">
        <v>1694</v>
      </c>
      <c r="Y36" s="1589"/>
    </row>
    <row r="37" spans="1:35" s="16" customFormat="1" x14ac:dyDescent="0.2">
      <c r="D37" s="29" t="s">
        <v>1440</v>
      </c>
      <c r="E37" s="283" t="e">
        <f>+E35*N29</f>
        <v>#N/A</v>
      </c>
      <c r="F37" s="283"/>
      <c r="G37" s="283"/>
      <c r="H37" s="283"/>
      <c r="I37" s="283"/>
      <c r="M37" s="29" t="s">
        <v>537</v>
      </c>
      <c r="N37" s="16">
        <f>+IF(EG1="OUI",CEILING(CEILING(P3-M3,1)/7,1),"")</f>
        <v>0</v>
      </c>
    </row>
    <row r="38" spans="1:35" s="16" customFormat="1" x14ac:dyDescent="0.2">
      <c r="D38" s="29"/>
      <c r="E38" s="283"/>
      <c r="F38" s="283"/>
      <c r="G38" s="283"/>
      <c r="H38" s="283"/>
      <c r="I38" s="283"/>
      <c r="M38" s="29"/>
      <c r="N38" s="284"/>
      <c r="V38" s="29" t="s">
        <v>1696</v>
      </c>
      <c r="W38" s="1587" t="str">
        <f>+IF(Y38&lt;&gt;"",Y38,IF(E31="INCOMPLETE","OUI","NON"))</f>
        <v>NON</v>
      </c>
      <c r="X38" s="1588" t="s">
        <v>1694</v>
      </c>
      <c r="Y38" s="1589"/>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3" t="s">
        <v>1219</v>
      </c>
      <c r="Q40" s="880"/>
      <c r="R40" s="880"/>
      <c r="S40" s="880"/>
      <c r="T40" s="880"/>
      <c r="U40" s="1034" t="s">
        <v>353</v>
      </c>
      <c r="V40" s="1169" t="s">
        <v>1465</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3" t="s">
        <v>1220</v>
      </c>
      <c r="Q41" s="880"/>
      <c r="R41" s="880"/>
      <c r="S41" s="880"/>
      <c r="T41" s="880"/>
      <c r="U41" s="880"/>
      <c r="V41" s="1169" t="s">
        <v>1466</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3" t="s">
        <v>1219</v>
      </c>
      <c r="Q43" s="880"/>
      <c r="R43" s="880"/>
      <c r="S43" s="880"/>
      <c r="T43" s="880"/>
      <c r="U43" s="1034" t="s">
        <v>1218</v>
      </c>
      <c r="V43" s="1169" t="s">
        <v>1465</v>
      </c>
      <c r="W43" s="24"/>
      <c r="X43" s="24"/>
      <c r="Y43" s="24"/>
      <c r="Z43" s="24"/>
      <c r="AA43" s="24"/>
      <c r="AB43" s="24"/>
      <c r="AC43" s="24"/>
      <c r="AD43" s="24"/>
      <c r="AE43" s="24"/>
      <c r="AF43" s="24"/>
      <c r="AG43" s="24"/>
      <c r="AH43" s="24"/>
      <c r="AI43" s="24"/>
    </row>
    <row r="44" spans="1:35" s="16" customFormat="1" ht="18.75" x14ac:dyDescent="0.3">
      <c r="A44" s="1694" t="s">
        <v>192</v>
      </c>
      <c r="B44" s="1695"/>
      <c r="C44" s="1695"/>
      <c r="D44" s="1695"/>
      <c r="E44" s="1696"/>
      <c r="F44" s="279"/>
      <c r="G44" s="279"/>
      <c r="H44" s="279"/>
      <c r="I44" s="279"/>
      <c r="L44" s="24"/>
      <c r="M44" s="24"/>
      <c r="N44" s="24"/>
      <c r="O44" s="24"/>
      <c r="P44" s="1033" t="s">
        <v>1221</v>
      </c>
      <c r="Q44" s="880"/>
      <c r="R44" s="880"/>
      <c r="S44" s="880"/>
      <c r="T44" s="880"/>
      <c r="U44" s="880"/>
      <c r="V44" s="1169" t="s">
        <v>1467</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69" t="s">
        <v>1468</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3" t="s">
        <v>1336</v>
      </c>
      <c r="Q46" s="880"/>
      <c r="R46" s="880"/>
      <c r="S46" s="880"/>
      <c r="T46" s="880"/>
      <c r="U46" s="1034" t="s">
        <v>443</v>
      </c>
      <c r="V46" s="881"/>
    </row>
    <row r="47" spans="1:35" s="16" customFormat="1" x14ac:dyDescent="0.2">
      <c r="P47" s="1033" t="s">
        <v>1337</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1351</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0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998">
        <f>+E48</f>
        <v>0</v>
      </c>
      <c r="N52" s="468"/>
      <c r="O52" s="468"/>
    </row>
    <row r="53" spans="1:114" s="16" customFormat="1" x14ac:dyDescent="0.2"/>
    <row r="54" spans="1:114" s="16" customFormat="1" x14ac:dyDescent="0.2">
      <c r="D54" s="29" t="s">
        <v>195</v>
      </c>
      <c r="E54" s="288" t="e">
        <f>ROUND(+E52*N29,2)</f>
        <v>#N/A</v>
      </c>
      <c r="F54" s="288"/>
      <c r="G54" s="288"/>
      <c r="H54" s="288"/>
      <c r="I54" s="288"/>
      <c r="L54" s="469" t="s">
        <v>1352</v>
      </c>
      <c r="M54" s="468" t="s">
        <v>1464</v>
      </c>
      <c r="N54" s="468"/>
    </row>
    <row r="55" spans="1:114" s="16" customFormat="1" x14ac:dyDescent="0.2">
      <c r="L55" s="469" t="s">
        <v>1352</v>
      </c>
      <c r="M55" s="468" t="str">
        <f>+E40&amp;" hrs / "&amp;N37&amp;" sem X 52 sem / 12 mois"</f>
        <v>0 hrs / 0 sem X 52 sem / 12 mois</v>
      </c>
      <c r="N55" s="468"/>
    </row>
    <row r="56" spans="1:114" s="16" customFormat="1" x14ac:dyDescent="0.2">
      <c r="D56" s="29" t="s">
        <v>196</v>
      </c>
      <c r="E56" s="288">
        <f>ROUND(+(E49*N36*0.1131),2)</f>
        <v>0</v>
      </c>
      <c r="F56" s="288"/>
      <c r="G56" s="288"/>
      <c r="H56" s="288"/>
      <c r="I56" s="288"/>
      <c r="L56" s="469" t="s">
        <v>1352</v>
      </c>
      <c r="M56" s="998">
        <f>+E49</f>
        <v>0</v>
      </c>
      <c r="N56" s="468"/>
    </row>
    <row r="57" spans="1:114" s="16" customFormat="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12.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5Kk/DqQN0qRSzu2yZUXbyQeVhr3nzbdsJW3MqQLHXicRqghAkDahFGGV1ONOKrPbLdjBelzd4NTazBdOnsiLAA==" saltValue="1NrYHdZkpSg9h4EtwJFDAA=="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2554" priority="31">
      <formula>$EG$3="OUI"</formula>
    </cfRule>
  </conditionalFormatting>
  <conditionalFormatting sqref="A39:E69">
    <cfRule type="expression" dxfId="2553" priority="80">
      <formula>$EG$3="OUI"</formula>
    </cfRule>
  </conditionalFormatting>
  <conditionalFormatting sqref="A20:XFD25">
    <cfRule type="expression" dxfId="2552" priority="32">
      <formula>$EG$3="OUI"</formula>
    </cfRule>
  </conditionalFormatting>
  <conditionalFormatting sqref="B7:I13">
    <cfRule type="cellIs" dxfId="2551" priority="21" operator="greaterThan">
      <formula>0</formula>
    </cfRule>
  </conditionalFormatting>
  <conditionalFormatting sqref="B17:J17">
    <cfRule type="expression" dxfId="2550" priority="63">
      <formula>K17=0</formula>
    </cfRule>
  </conditionalFormatting>
  <conditionalFormatting sqref="B22:J22">
    <cfRule type="expression" dxfId="2549" priority="48">
      <formula>K22=0</formula>
    </cfRule>
  </conditionalFormatting>
  <conditionalFormatting sqref="D40">
    <cfRule type="expression" dxfId="2548" priority="84">
      <formula>$E$40=0</formula>
    </cfRule>
  </conditionalFormatting>
  <conditionalFormatting sqref="D49">
    <cfRule type="expression" dxfId="2547" priority="83">
      <formula>$E$49=0</formula>
    </cfRule>
  </conditionalFormatting>
  <conditionalFormatting sqref="D33:E33">
    <cfRule type="expression" dxfId="2546" priority="30">
      <formula>$EG$3="OUI"</formula>
    </cfRule>
  </conditionalFormatting>
  <conditionalFormatting sqref="E35">
    <cfRule type="cellIs" dxfId="2544" priority="5" operator="greaterThan">
      <formula>0</formula>
    </cfRule>
  </conditionalFormatting>
  <conditionalFormatting sqref="E40">
    <cfRule type="cellIs" dxfId="2543" priority="85" operator="equal">
      <formula>0</formula>
    </cfRule>
  </conditionalFormatting>
  <conditionalFormatting sqref="E49">
    <cfRule type="cellIs" dxfId="2542" priority="82" operator="equal">
      <formula>0</formula>
    </cfRule>
  </conditionalFormatting>
  <conditionalFormatting sqref="E50">
    <cfRule type="expression" dxfId="2541" priority="81">
      <formula>$E$49=0</formula>
    </cfRule>
  </conditionalFormatting>
  <conditionalFormatting sqref="E29:I29">
    <cfRule type="cellIs" dxfId="2540" priority="66" operator="between">
      <formula>46.9999999999</formula>
      <formula>51.99999</formula>
    </cfRule>
    <cfRule type="cellIs" dxfId="2539" priority="65" operator="greaterThanOrEqual">
      <formula>52.0000001</formula>
    </cfRule>
  </conditionalFormatting>
  <conditionalFormatting sqref="K17">
    <cfRule type="cellIs" dxfId="2538" priority="64" operator="equal">
      <formula>0</formula>
    </cfRule>
  </conditionalFormatting>
  <conditionalFormatting sqref="K19">
    <cfRule type="cellIs" dxfId="2537" priority="6" operator="greaterThan">
      <formula>0</formula>
    </cfRule>
    <cfRule type="expression" dxfId="2536" priority="29">
      <formula>OR(AND($E$29&gt;=47,$E$29&lt;=51,K14&gt;0),K19&gt;52,AND($E$29&gt;52,K14&gt;0),AND(K19&gt;=1,K14=0))</formula>
    </cfRule>
  </conditionalFormatting>
  <conditionalFormatting sqref="K22">
    <cfRule type="cellIs" dxfId="2535" priority="47" operator="equal">
      <formula>0</formula>
    </cfRule>
  </conditionalFormatting>
  <conditionalFormatting sqref="K49:W59">
    <cfRule type="expression" dxfId="2534" priority="78">
      <formula>$EG$1="NON"</formula>
    </cfRule>
  </conditionalFormatting>
  <conditionalFormatting sqref="L54:M56">
    <cfRule type="expression" dxfId="2533" priority="79">
      <formula>$E$49=0</formula>
    </cfRule>
  </conditionalFormatting>
  <conditionalFormatting sqref="M37">
    <cfRule type="expression" dxfId="2532" priority="77">
      <formula>$EG$1="NON"</formula>
    </cfRule>
  </conditionalFormatting>
  <conditionalFormatting sqref="M7:T13">
    <cfRule type="cellIs" dxfId="2531" priority="20" operator="greaterThan">
      <formula>0</formula>
    </cfRule>
  </conditionalFormatting>
  <conditionalFormatting sqref="M17:U17">
    <cfRule type="expression" dxfId="2530" priority="55">
      <formula>V17=0</formula>
    </cfRule>
  </conditionalFormatting>
  <conditionalFormatting sqref="M22:U22">
    <cfRule type="expression" dxfId="2529" priority="39">
      <formula>V22=0</formula>
    </cfRule>
  </conditionalFormatting>
  <conditionalFormatting sqref="N34">
    <cfRule type="cellIs" dxfId="2528" priority="4" operator="greaterThan">
      <formula>0</formula>
    </cfRule>
  </conditionalFormatting>
  <conditionalFormatting sqref="O3">
    <cfRule type="expression" dxfId="2527" priority="147">
      <formula>$EG$1="NON"</formula>
    </cfRule>
  </conditionalFormatting>
  <conditionalFormatting sqref="P3">
    <cfRule type="cellIs" dxfId="2526" priority="2" operator="greaterThan">
      <formula>0</formula>
    </cfRule>
    <cfRule type="expression" dxfId="2525" priority="145">
      <formula>$EG$2="ERR"</formula>
    </cfRule>
    <cfRule type="expression" dxfId="2524" priority="146">
      <formula>$EG$1="NON"</formula>
    </cfRule>
  </conditionalFormatting>
  <conditionalFormatting sqref="P39">
    <cfRule type="expression" dxfId="2523" priority="226">
      <formula>EB2="faux"</formula>
    </cfRule>
  </conditionalFormatting>
  <conditionalFormatting sqref="V17">
    <cfRule type="cellIs" dxfId="2522" priority="62" operator="equal">
      <formula>0</formula>
    </cfRule>
  </conditionalFormatting>
  <conditionalFormatting sqref="V19">
    <cfRule type="cellIs" dxfId="2521" priority="7" operator="greaterThan">
      <formula>0</formula>
    </cfRule>
    <cfRule type="expression" dxfId="2520" priority="28">
      <formula>OR(AND($E$29&gt;=47,$E$29&lt;=51,V14&gt;0),V19&gt;52,AND($E$29&gt;52,V14&gt;0),AND(V19&gt;=1,V14=0))</formula>
    </cfRule>
  </conditionalFormatting>
  <conditionalFormatting sqref="V22">
    <cfRule type="cellIs" dxfId="2519" priority="46" operator="equal">
      <formula>0</formula>
    </cfRule>
  </conditionalFormatting>
  <conditionalFormatting sqref="W34">
    <cfRule type="cellIs" dxfId="2518" priority="1" operator="greaterThan">
      <formula>0</formula>
    </cfRule>
  </conditionalFormatting>
  <conditionalFormatting sqref="X7:AE13">
    <cfRule type="cellIs" dxfId="2517" priority="19" operator="greaterThan">
      <formula>0</formula>
    </cfRule>
  </conditionalFormatting>
  <conditionalFormatting sqref="X17:AF17">
    <cfRule type="expression" dxfId="2516" priority="54">
      <formula>AG17=0</formula>
    </cfRule>
  </conditionalFormatting>
  <conditionalFormatting sqref="X22:AF22">
    <cfRule type="expression" dxfId="2515" priority="38">
      <formula>AG22=0</formula>
    </cfRule>
  </conditionalFormatting>
  <conditionalFormatting sqref="AG17">
    <cfRule type="cellIs" dxfId="2514" priority="61" operator="equal">
      <formula>0</formula>
    </cfRule>
  </conditionalFormatting>
  <conditionalFormatting sqref="AG19">
    <cfRule type="expression" dxfId="2513" priority="27">
      <formula>OR(AND($E$29&gt;=47,$E$29&lt;=51,AG14&gt;0),AG19&gt;52,AND($E$29&gt;52,AG14&gt;0),AND(AG19&gt;=1,AG14=0))</formula>
    </cfRule>
    <cfRule type="cellIs" dxfId="2512" priority="8" operator="greaterThan">
      <formula>0</formula>
    </cfRule>
  </conditionalFormatting>
  <conditionalFormatting sqref="AG22">
    <cfRule type="cellIs" dxfId="2511" priority="45" operator="equal">
      <formula>0</formula>
    </cfRule>
  </conditionalFormatting>
  <conditionalFormatting sqref="AI7:AP13">
    <cfRule type="cellIs" dxfId="2510" priority="18" operator="greaterThan">
      <formula>0</formula>
    </cfRule>
  </conditionalFormatting>
  <conditionalFormatting sqref="AI17:AQ17">
    <cfRule type="expression" dxfId="2509" priority="53">
      <formula>AR17=0</formula>
    </cfRule>
  </conditionalFormatting>
  <conditionalFormatting sqref="AI22:AQ22">
    <cfRule type="expression" dxfId="2508" priority="37">
      <formula>AR22=0</formula>
    </cfRule>
  </conditionalFormatting>
  <conditionalFormatting sqref="AR17">
    <cfRule type="cellIs" dxfId="2507" priority="60" operator="equal">
      <formula>0</formula>
    </cfRule>
  </conditionalFormatting>
  <conditionalFormatting sqref="AR19">
    <cfRule type="cellIs" dxfId="2506" priority="9" operator="greaterThan">
      <formula>0</formula>
    </cfRule>
    <cfRule type="expression" dxfId="2505" priority="26">
      <formula>OR(AND($E$29&gt;=47,$E$29&lt;=51,AR14&gt;0),AR19&gt;52,AND($E$29&gt;52,AR14&gt;0),AND(AR19&gt;=1,AR14=0))</formula>
    </cfRule>
  </conditionalFormatting>
  <conditionalFormatting sqref="AR22">
    <cfRule type="cellIs" dxfId="2504" priority="44" operator="equal">
      <formula>0</formula>
    </cfRule>
  </conditionalFormatting>
  <conditionalFormatting sqref="AT7:BA13">
    <cfRule type="cellIs" dxfId="2503" priority="17" operator="greaterThan">
      <formula>0</formula>
    </cfRule>
  </conditionalFormatting>
  <conditionalFormatting sqref="AT17:BB17">
    <cfRule type="expression" dxfId="2502" priority="52">
      <formula>BC17=0</formula>
    </cfRule>
  </conditionalFormatting>
  <conditionalFormatting sqref="AT22:BB22">
    <cfRule type="expression" dxfId="2501" priority="36">
      <formula>BC22=0</formula>
    </cfRule>
  </conditionalFormatting>
  <conditionalFormatting sqref="BC17">
    <cfRule type="cellIs" dxfId="2500" priority="59" operator="equal">
      <formula>0</formula>
    </cfRule>
  </conditionalFormatting>
  <conditionalFormatting sqref="BC19">
    <cfRule type="cellIs" dxfId="2499" priority="10" operator="greaterThan">
      <formula>0</formula>
    </cfRule>
    <cfRule type="expression" dxfId="2498" priority="25">
      <formula>OR(AND($E$29&gt;=47,$E$29&lt;=51,BC14&gt;0),BC19&gt;52,AND($E$29&gt;52,BC14&gt;0),AND(BC19&gt;=1,BC14=0))</formula>
    </cfRule>
  </conditionalFormatting>
  <conditionalFormatting sqref="BC22">
    <cfRule type="cellIs" dxfId="2497" priority="43" operator="equal">
      <formula>0</formula>
    </cfRule>
  </conditionalFormatting>
  <conditionalFormatting sqref="BE7:BL13">
    <cfRule type="cellIs" dxfId="2496" priority="16" operator="greaterThan">
      <formula>0</formula>
    </cfRule>
  </conditionalFormatting>
  <conditionalFormatting sqref="BE17:BM17">
    <cfRule type="expression" dxfId="2495" priority="51">
      <formula>BN17=0</formula>
    </cfRule>
  </conditionalFormatting>
  <conditionalFormatting sqref="BE22:BM22">
    <cfRule type="expression" dxfId="2494" priority="35">
      <formula>BN22=0</formula>
    </cfRule>
  </conditionalFormatting>
  <conditionalFormatting sqref="BN17">
    <cfRule type="cellIs" dxfId="2493" priority="58" operator="equal">
      <formula>0</formula>
    </cfRule>
  </conditionalFormatting>
  <conditionalFormatting sqref="BN19">
    <cfRule type="cellIs" dxfId="2492" priority="11" operator="greaterThan">
      <formula>0</formula>
    </cfRule>
    <cfRule type="expression" dxfId="2491" priority="24">
      <formula>OR(AND($E$29&gt;=47,$E$29&lt;=51,BN14&gt;0),BN19&gt;52,AND($E$29&gt;52,BN14&gt;0),AND(BN19&gt;=1,BN14=0))</formula>
    </cfRule>
  </conditionalFormatting>
  <conditionalFormatting sqref="BN22">
    <cfRule type="cellIs" dxfId="2490" priority="42" operator="equal">
      <formula>0</formula>
    </cfRule>
  </conditionalFormatting>
  <conditionalFormatting sqref="BP7:BW13">
    <cfRule type="cellIs" dxfId="2489" priority="15" operator="greaterThan">
      <formula>0</formula>
    </cfRule>
  </conditionalFormatting>
  <conditionalFormatting sqref="BP17:BX17">
    <cfRule type="expression" dxfId="2488" priority="50">
      <formula>BY17=0</formula>
    </cfRule>
  </conditionalFormatting>
  <conditionalFormatting sqref="BP22:BX22">
    <cfRule type="expression" dxfId="2487" priority="34">
      <formula>BY22=0</formula>
    </cfRule>
  </conditionalFormatting>
  <conditionalFormatting sqref="BY17">
    <cfRule type="cellIs" dxfId="2486" priority="57" operator="equal">
      <formula>0</formula>
    </cfRule>
  </conditionalFormatting>
  <conditionalFormatting sqref="BY19">
    <cfRule type="expression" dxfId="2485" priority="23">
      <formula>OR(AND($E$29&gt;=47,$E$29&lt;=51,BY14&gt;0),BY19&gt;52,AND($E$29&gt;52,BY14&gt;0),AND(BY19&gt;=1,BY14=0))</formula>
    </cfRule>
    <cfRule type="cellIs" dxfId="2484" priority="12" operator="greaterThan">
      <formula>0</formula>
    </cfRule>
  </conditionalFormatting>
  <conditionalFormatting sqref="BY22">
    <cfRule type="cellIs" dxfId="2483" priority="41" operator="equal">
      <formula>0</formula>
    </cfRule>
  </conditionalFormatting>
  <conditionalFormatting sqref="CA7:CH13">
    <cfRule type="cellIs" dxfId="2482" priority="14" operator="greaterThan">
      <formula>0</formula>
    </cfRule>
  </conditionalFormatting>
  <conditionalFormatting sqref="CA17:CI17">
    <cfRule type="expression" dxfId="2481" priority="49">
      <formula>CJ17=0</formula>
    </cfRule>
  </conditionalFormatting>
  <conditionalFormatting sqref="CA22:CI22">
    <cfRule type="expression" dxfId="2480" priority="33">
      <formula>CJ22=0</formula>
    </cfRule>
  </conditionalFormatting>
  <conditionalFormatting sqref="CJ17">
    <cfRule type="cellIs" dxfId="2479" priority="56" operator="equal">
      <formula>0</formula>
    </cfRule>
  </conditionalFormatting>
  <conditionalFormatting sqref="CJ19">
    <cfRule type="expression" dxfId="2478" priority="22">
      <formula>OR(AND($E$29&gt;=47,$E$29&lt;=51,CJ14&gt;0),CJ19&gt;52,AND($E$29&gt;52,CJ14&gt;0),AND(CJ19&gt;=1,CJ14=0))</formula>
    </cfRule>
    <cfRule type="cellIs" dxfId="2477" priority="13" operator="greaterThan">
      <formula>0</formula>
    </cfRule>
  </conditionalFormatting>
  <conditionalFormatting sqref="CJ22">
    <cfRule type="cellIs" dxfId="2476" priority="40" operator="equal">
      <formula>0</formula>
    </cfRule>
  </conditionalFormatting>
  <dataValidations count="5">
    <dataValidation errorStyle="information" allowBlank="1" showErrorMessage="1" errorTitle="Ne peut ête supérieure à 52 sem" sqref="E29:I29" xr:uid="{00000000-0002-0000-1200-000000000000}"/>
    <dataValidation type="list" allowBlank="1" showInputMessage="1" showErrorMessage="1" sqref="N31 W31" xr:uid="{00000000-0002-0000-1200-000001000000}">
      <formula1>"OUI,NON"</formula1>
    </dataValidation>
    <dataValidation type="list" showInputMessage="1" showErrorMessage="1" sqref="C77" xr:uid="{00000000-0002-0000-1200-000003000000}">
      <formula1>"0,1,2,3,4"</formula1>
    </dataValidation>
    <dataValidation type="list" allowBlank="1" showInputMessage="1" showErrorMessage="1" sqref="P39" xr:uid="{47B2D62E-0A54-4A5E-A222-AFAA0108E9F4}">
      <formula1>Table_méthode_retenue</formula1>
    </dataValidation>
    <dataValidation type="list" allowBlank="1" showInputMessage="1" showErrorMessage="1" sqref="Y36 Y38" xr:uid="{73E72E39-53DB-43E9-90D6-A9AABEA3537D}">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5481C644-87F4-4B12-9175-9BC7EFB5A3BC}">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B555D98B-AD2F-4C58-AF54-77A800E832BC}">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4000000}">
          <x14:formula1>
            <xm:f>S.CAL!$DE$3:$DE$13</xm:f>
          </x14:formula1>
          <xm:sqref>U1:W1</xm:sqref>
        </x14:dataValidation>
        <x14:dataValidation type="list" allowBlank="1" showInputMessage="1" showErrorMessage="1" xr:uid="{D1A27EAC-22A0-4C3B-896F-A21B00CE7944}">
          <x14:formula1>
            <xm:f>S.CAL!$GC$2:$GC$5</xm:f>
          </x14:formula1>
          <xm:sqref>M1:N1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sheetPr>
  <dimension ref="A1:M45"/>
  <sheetViews>
    <sheetView showGridLines="0" zoomScale="90" zoomScaleNormal="90" workbookViewId="0">
      <selection activeCell="A3" sqref="A3"/>
    </sheetView>
  </sheetViews>
  <sheetFormatPr baseColWidth="10" defaultColWidth="11.42578125" defaultRowHeight="12.75" x14ac:dyDescent="0.2"/>
  <cols>
    <col min="1" max="1" width="55.140625" style="16" customWidth="1"/>
    <col min="2" max="2" width="29.28515625" style="16" customWidth="1"/>
    <col min="3" max="3" width="11.42578125" style="16"/>
    <col min="4" max="4" width="41" style="16" customWidth="1"/>
    <col min="5" max="16384" width="11.42578125" style="16"/>
  </cols>
  <sheetData>
    <row r="1" spans="1:13" x14ac:dyDescent="0.2">
      <c r="A1" s="1357" t="str">
        <f>+'Mode d''utilisation'!M2</f>
        <v>Année : 2026</v>
      </c>
    </row>
    <row r="2" spans="1:13" ht="25.5" customHeight="1" x14ac:dyDescent="0.2">
      <c r="C2" s="305" t="s">
        <v>517</v>
      </c>
      <c r="D2" s="1042">
        <v>2027</v>
      </c>
    </row>
    <row r="3" spans="1:13" x14ac:dyDescent="0.2">
      <c r="L3" s="29" t="s">
        <v>216</v>
      </c>
      <c r="M3" s="306">
        <f>+S.CAL!BG2</f>
        <v>2026</v>
      </c>
    </row>
    <row r="4" spans="1:13" x14ac:dyDescent="0.2">
      <c r="L4" s="29" t="s">
        <v>534</v>
      </c>
      <c r="M4" s="306">
        <f>+S.CAL!BG3</f>
        <v>2027</v>
      </c>
    </row>
    <row r="5" spans="1:13" x14ac:dyDescent="0.2">
      <c r="B5" s="1643" t="s">
        <v>497</v>
      </c>
      <c r="D5" s="1642" t="s">
        <v>498</v>
      </c>
    </row>
    <row r="6" spans="1:13" x14ac:dyDescent="0.2">
      <c r="B6" s="1643"/>
      <c r="C6" s="27"/>
      <c r="D6" s="1642"/>
    </row>
    <row r="7" spans="1:13" ht="13.5" thickBot="1" x14ac:dyDescent="0.25"/>
    <row r="8" spans="1:13" x14ac:dyDescent="0.2">
      <c r="A8" s="131" t="s">
        <v>485</v>
      </c>
      <c r="B8" s="307">
        <f>+Identification!B7</f>
        <v>0</v>
      </c>
      <c r="D8" s="1043"/>
    </row>
    <row r="9" spans="1:13" x14ac:dyDescent="0.2">
      <c r="A9" s="131" t="s">
        <v>484</v>
      </c>
      <c r="B9" s="308">
        <f>+Identification!B10</f>
        <v>0</v>
      </c>
      <c r="D9" s="1043"/>
    </row>
    <row r="10" spans="1:13" x14ac:dyDescent="0.2">
      <c r="A10" s="131" t="s">
        <v>486</v>
      </c>
      <c r="B10" s="308">
        <f>+Identification!B13</f>
        <v>0</v>
      </c>
      <c r="D10" s="1043"/>
    </row>
    <row r="11" spans="1:13" x14ac:dyDescent="0.2">
      <c r="A11" s="131" t="s">
        <v>487</v>
      </c>
      <c r="B11" s="308">
        <f>+Identification!B16</f>
        <v>0</v>
      </c>
      <c r="D11" s="1043"/>
    </row>
    <row r="12" spans="1:13" x14ac:dyDescent="0.2">
      <c r="A12" s="131" t="s">
        <v>5</v>
      </c>
      <c r="B12" s="309">
        <f>+Identification!B19</f>
        <v>0</v>
      </c>
      <c r="D12" s="1044"/>
    </row>
    <row r="13" spans="1:13" x14ac:dyDescent="0.2">
      <c r="A13" s="131" t="s">
        <v>6</v>
      </c>
      <c r="B13" s="308" t="str">
        <f>+Identification!B22</f>
        <v>Le Puy-en-Velay</v>
      </c>
      <c r="D13" s="1043"/>
    </row>
    <row r="14" spans="1:13" x14ac:dyDescent="0.2">
      <c r="A14" s="131" t="s">
        <v>7</v>
      </c>
      <c r="B14" s="308">
        <f>+Identification!B25</f>
        <v>0</v>
      </c>
      <c r="D14" s="1043"/>
    </row>
    <row r="15" spans="1:13" x14ac:dyDescent="0.2">
      <c r="A15" s="131" t="s">
        <v>8</v>
      </c>
      <c r="B15" s="310">
        <f>+Identification!B28</f>
        <v>0</v>
      </c>
      <c r="D15" s="1045"/>
    </row>
    <row r="16" spans="1:13" x14ac:dyDescent="0.2">
      <c r="A16" s="131" t="s">
        <v>483</v>
      </c>
      <c r="B16" s="308">
        <f>+Identification!B34</f>
        <v>0</v>
      </c>
      <c r="D16" s="1043"/>
    </row>
    <row r="17" spans="1:4" x14ac:dyDescent="0.2">
      <c r="A17" s="131" t="s">
        <v>488</v>
      </c>
      <c r="B17" s="308">
        <f>+Identification!B37</f>
        <v>0</v>
      </c>
      <c r="D17" s="1043"/>
    </row>
    <row r="18" spans="1:4" x14ac:dyDescent="0.2">
      <c r="A18" s="131" t="s">
        <v>489</v>
      </c>
      <c r="B18" s="308">
        <f>+Identification!B40</f>
        <v>0</v>
      </c>
      <c r="D18" s="1043"/>
    </row>
    <row r="19" spans="1:4" x14ac:dyDescent="0.2">
      <c r="A19" s="131" t="s">
        <v>490</v>
      </c>
      <c r="B19" s="308">
        <f>+Identification!B43</f>
        <v>0</v>
      </c>
      <c r="D19" s="1043"/>
    </row>
    <row r="20" spans="1:4" x14ac:dyDescent="0.2">
      <c r="A20" s="131" t="s">
        <v>10</v>
      </c>
      <c r="B20" s="309">
        <f>+Identification!B46</f>
        <v>0</v>
      </c>
      <c r="D20" s="1044"/>
    </row>
    <row r="21" spans="1:4" x14ac:dyDescent="0.2">
      <c r="A21" s="131" t="s">
        <v>11</v>
      </c>
      <c r="B21" s="308">
        <f>+Identification!B57</f>
        <v>0</v>
      </c>
      <c r="D21" s="1043"/>
    </row>
    <row r="22" spans="1:4" x14ac:dyDescent="0.2">
      <c r="A22" s="131" t="s">
        <v>14</v>
      </c>
      <c r="B22" s="1003">
        <f>IF(D2=M4,Décembre!AL78,IF(D2=M3,Janvier!AL78,"ERREUR"))</f>
        <v>0</v>
      </c>
      <c r="D22" s="1046"/>
    </row>
    <row r="23" spans="1:4" x14ac:dyDescent="0.2">
      <c r="A23" s="131" t="s">
        <v>491</v>
      </c>
      <c r="B23" s="308" t="str">
        <f>+Identification!B66</f>
        <v>NON</v>
      </c>
      <c r="D23" s="1043" t="s">
        <v>137</v>
      </c>
    </row>
    <row r="24" spans="1:4" x14ac:dyDescent="0.2">
      <c r="A24" s="131" t="s">
        <v>493</v>
      </c>
      <c r="B24" s="311">
        <f>IF(D2=M4,Décembre!AH83,IF(D2=M3,Janvier!AH83,"ERREUR"))</f>
        <v>0</v>
      </c>
      <c r="D24" s="1043"/>
    </row>
    <row r="25" spans="1:4" x14ac:dyDescent="0.2">
      <c r="A25" s="131" t="s">
        <v>494</v>
      </c>
      <c r="B25" s="311">
        <f>IF(D2=M4,Décembre!AL83+Décembre!AL84,IF(D2=M3,Janvier!AL83,"ERREUR"))</f>
        <v>0</v>
      </c>
      <c r="D25" s="1043"/>
    </row>
    <row r="26" spans="1:4" x14ac:dyDescent="0.2">
      <c r="A26" s="131" t="s">
        <v>495</v>
      </c>
      <c r="B26" s="311">
        <f>IF(D2=M4,Décembre!AH89+Décembre!AH90,IF(D2=M3,Janvier!AH89,"ERREUR"))</f>
        <v>0</v>
      </c>
      <c r="D26" s="1043"/>
    </row>
    <row r="27" spans="1:4" x14ac:dyDescent="0.2">
      <c r="A27" s="131" t="s">
        <v>496</v>
      </c>
      <c r="B27" s="311">
        <f>IF(D2=M4,Décembre!AL89+Décembre!AL90,IF(D2=M3,Janvier!AL89,"ERREUR"))</f>
        <v>0</v>
      </c>
      <c r="D27" s="1043"/>
    </row>
    <row r="28" spans="1:4" x14ac:dyDescent="0.2">
      <c r="A28" s="131" t="s">
        <v>528</v>
      </c>
      <c r="B28" s="311">
        <f>IF(D2=M4,Décembre!AH87,IF(D2=M3,Janvier!AH87,"ERREUR"))</f>
        <v>0</v>
      </c>
      <c r="D28" s="1043"/>
    </row>
    <row r="29" spans="1:4" x14ac:dyDescent="0.2">
      <c r="A29" s="131" t="s">
        <v>529</v>
      </c>
      <c r="B29" s="311">
        <f>IF(D2=M4,Décembre!AH93,IF(D2=M3,Janvier!AH93,"ERREUR"))</f>
        <v>0</v>
      </c>
      <c r="D29" s="1043"/>
    </row>
    <row r="30" spans="1:4" x14ac:dyDescent="0.2">
      <c r="A30" s="131" t="s">
        <v>846</v>
      </c>
      <c r="B30" s="312"/>
      <c r="D30" s="1043"/>
    </row>
    <row r="31" spans="1:4" x14ac:dyDescent="0.2">
      <c r="A31" s="131" t="s">
        <v>651</v>
      </c>
      <c r="B31" s="312">
        <f ca="1">IF(D2=M4,'CP Année Complète au 31-05'!D57,IF(D2=M3,Janvier!G99,"ERREUR"))</f>
        <v>0</v>
      </c>
      <c r="D31" s="1047"/>
    </row>
    <row r="32" spans="1:4" x14ac:dyDescent="0.2">
      <c r="A32" s="131" t="s">
        <v>652</v>
      </c>
      <c r="B32" s="311">
        <f>IF(D2=M4,'CP Année Complète au 31-05'!F33,IF(D2=M3,Janvier!G100,"ERREUR"))</f>
        <v>0</v>
      </c>
      <c r="D32" s="1047"/>
    </row>
    <row r="33" spans="1:4" x14ac:dyDescent="0.2">
      <c r="A33" s="131" t="s">
        <v>769</v>
      </c>
      <c r="B33" s="311">
        <f ca="1">IF(D2=M4,Régularisation!AM89,IF(D2=M3,Régularisation!F80,"ERREUR"))</f>
        <v>0</v>
      </c>
      <c r="D33" s="1047"/>
    </row>
    <row r="34" spans="1:4" x14ac:dyDescent="0.2">
      <c r="A34" s="131" t="s">
        <v>911</v>
      </c>
      <c r="B34" s="311">
        <f>IF(D2=M4,Décembre!R90,IF(D2=M3,Janvier!R87,"ERREUR"))</f>
        <v>0</v>
      </c>
      <c r="D34" s="1047"/>
    </row>
    <row r="35" spans="1:4" x14ac:dyDescent="0.2">
      <c r="A35" s="131" t="s">
        <v>1227</v>
      </c>
      <c r="B35" s="311">
        <f ca="1">+IF(D2=M4,Décembre!CB34,IF(D2=M3,Janvier!CC28,"ERREUR"))</f>
        <v>0</v>
      </c>
      <c r="D35" s="1047"/>
    </row>
    <row r="36" spans="1:4" x14ac:dyDescent="0.2">
      <c r="A36" s="29" t="s">
        <v>1226</v>
      </c>
      <c r="B36" s="311">
        <f>+IF(D2=M4,Décembre!CB35,IF(D2=M3,Janvier!CE28,"ERREUR"))</f>
        <v>0</v>
      </c>
      <c r="D36" s="1047"/>
    </row>
    <row r="37" spans="1:4" x14ac:dyDescent="0.2">
      <c r="A37" s="29" t="s">
        <v>1230</v>
      </c>
      <c r="B37" s="311">
        <f>+IF(D2=M4,'Retenue Déc'!AC42,IF(D2=M3,'Retenue Janv'!AD34,"ERREUR"))</f>
        <v>0</v>
      </c>
      <c r="D37" s="1047"/>
    </row>
    <row r="38" spans="1:4" x14ac:dyDescent="0.2">
      <c r="A38" s="29" t="s">
        <v>1231</v>
      </c>
      <c r="B38" s="311">
        <f>+IF(D2=M4,'Retenue Déc'!AC56,IF(D2=M3,'Retenue Janv'!AD48,"ERREUR"))</f>
        <v>0</v>
      </c>
      <c r="D38" s="1047"/>
    </row>
    <row r="39" spans="1:4" x14ac:dyDescent="0.2">
      <c r="A39" s="29" t="s">
        <v>1312</v>
      </c>
      <c r="B39" s="310">
        <f>+Identification!B49</f>
        <v>0</v>
      </c>
      <c r="D39" s="1048"/>
    </row>
    <row r="40" spans="1:4" x14ac:dyDescent="0.2">
      <c r="A40" s="29" t="s">
        <v>1313</v>
      </c>
      <c r="B40" s="311" t="str">
        <f>+Identification!B52</f>
        <v>NON</v>
      </c>
      <c r="D40" s="1047" t="s">
        <v>137</v>
      </c>
    </row>
    <row r="41" spans="1:4" x14ac:dyDescent="0.2">
      <c r="A41" s="29" t="s">
        <v>1409</v>
      </c>
      <c r="B41" s="311">
        <f ca="1">+IF(D2=M4,+'CP Année Incomplète au 31-05'!G70,0)</f>
        <v>0</v>
      </c>
      <c r="D41" s="1047"/>
    </row>
    <row r="42" spans="1:4" x14ac:dyDescent="0.2">
      <c r="A42" s="29" t="s">
        <v>1408</v>
      </c>
      <c r="B42" s="311">
        <f>IF(D2=M4,+'CP Année Incomplète au 31-05'!D90,0)</f>
        <v>0</v>
      </c>
      <c r="D42" s="1047"/>
    </row>
    <row r="43" spans="1:4" x14ac:dyDescent="0.2">
      <c r="A43" s="29" t="s">
        <v>1640</v>
      </c>
      <c r="B43" s="1525">
        <f>+IF(D2=M4,Décembre!X3,IF(D2=M3,Janvier!X3,"ERREUR"))</f>
        <v>46357</v>
      </c>
      <c r="C43" s="1526"/>
      <c r="D43" s="1527"/>
    </row>
    <row r="44" spans="1:4" x14ac:dyDescent="0.2">
      <c r="A44" s="29" t="s">
        <v>1625</v>
      </c>
      <c r="B44" s="311">
        <f>IF(D2=M4,Décembre!AH86,IF(D2=M3,Janvier!AH86,"ERREUR"))</f>
        <v>0</v>
      </c>
      <c r="D44" s="1047"/>
    </row>
    <row r="45" spans="1:4" ht="13.5" thickBot="1" x14ac:dyDescent="0.25">
      <c r="A45" s="29" t="s">
        <v>1626</v>
      </c>
      <c r="B45" s="313">
        <f>IF(D2=M4,Décembre!AL86,IF(D2=M3,Janvier!AL86,"ERREUR"))</f>
        <v>0</v>
      </c>
      <c r="D45" s="1047"/>
    </row>
  </sheetData>
  <sheetProtection algorithmName="SHA-512" hashValue="B4jtpj5rFRzk00ZM/zgrRP60o9ILN3lDFm59zVb6X/UnyRqxDtTR430s8BN96zdDTNbYYItPkqhUp9kGTFyQww==" saltValue="BnRpSSorUQfVBI3Ho8posQ==" spinCount="100000" sheet="1" objects="1" scenarios="1" formatCells="0" formatColumns="0" formatRows="0" insertColumns="0" insertRows="0" insertHyperlinks="0" sort="0" autoFilter="0" pivotTables="0"/>
  <mergeCells count="2">
    <mergeCell ref="D5:D6"/>
    <mergeCell ref="B5:B6"/>
  </mergeCells>
  <pageMargins left="0.7" right="0.7" top="0.75" bottom="0.75" header="0.3" footer="0.3"/>
  <pageSetup paperSize="9" scale="65" orientation="portrait" horizontalDpi="1200" verticalDpi="1200" r:id="rId1"/>
  <colBreaks count="1" manualBreakCount="1">
    <brk id="4"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S.CAL!$BG$2:$BG$3</xm:f>
          </x14:formula1>
          <xm:sqref>D2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EG79"/>
  <sheetViews>
    <sheetView showGridLines="0" zoomScale="90" zoomScaleNormal="90" workbookViewId="0">
      <selection activeCell="J3" sqref="J3"/>
    </sheetView>
  </sheetViews>
  <sheetFormatPr baseColWidth="10" defaultColWidth="11.42578125" defaultRowHeight="12.75" outlineLevelCol="1" x14ac:dyDescent="0.2"/>
  <cols>
    <col min="1" max="1" width="12.7109375" style="129" customWidth="1"/>
    <col min="2" max="4" width="11.85546875" style="129" customWidth="1"/>
    <col min="5" max="5" width="17.5703125" style="129" customWidth="1"/>
    <col min="6" max="9" width="11.85546875" style="129" hidden="1" customWidth="1" outlineLevel="1"/>
    <col min="10" max="10" width="15.570312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3" width="0" style="129" hidden="1" customWidth="1"/>
    <col min="134" max="16384" width="11.42578125" style="129"/>
  </cols>
  <sheetData>
    <row r="1" spans="1:137" s="16" customFormat="1" ht="23.25" x14ac:dyDescent="0.35">
      <c r="A1" s="1512" t="s">
        <v>1599</v>
      </c>
      <c r="B1" s="275"/>
      <c r="C1" s="275"/>
      <c r="D1" s="275"/>
      <c r="E1" s="275"/>
      <c r="F1" s="275"/>
      <c r="G1" s="275"/>
      <c r="H1" s="275"/>
      <c r="I1" s="275"/>
      <c r="J1" s="1213"/>
      <c r="K1" s="275"/>
      <c r="L1" s="1214" t="s">
        <v>1594</v>
      </c>
      <c r="M1" s="1700" t="s">
        <v>1591</v>
      </c>
      <c r="N1" s="1700"/>
      <c r="O1" s="275"/>
      <c r="P1" s="1214" t="s">
        <v>199</v>
      </c>
      <c r="Q1" s="275"/>
      <c r="R1" s="275"/>
      <c r="S1" s="275"/>
      <c r="T1" s="276" t="s">
        <v>199</v>
      </c>
      <c r="U1" s="1702"/>
      <c r="V1" s="1702"/>
      <c r="W1" s="1702"/>
      <c r="EF1" s="16" t="s">
        <v>863</v>
      </c>
      <c r="EG1" s="16" t="str">
        <f>+IF(M1=S.CAL!GC3,"OUI",IF(M1=S.CAL!GC4,"OUI","NON"))</f>
        <v>OUI</v>
      </c>
    </row>
    <row r="2" spans="1:137" s="16" customFormat="1" x14ac:dyDescent="0.2">
      <c r="J2" s="1701" t="str">
        <f>+'Mode d''utilisation'!E2</f>
        <v>Syndicat National FO des Emplois de la Famille         www.emploisdelafamille-fo.fr</v>
      </c>
      <c r="K2" s="1701"/>
      <c r="L2" s="1701"/>
      <c r="M2" s="1701"/>
      <c r="N2" s="1701"/>
      <c r="O2" s="1701"/>
      <c r="P2" s="1701"/>
      <c r="EF2" s="16" t="s">
        <v>1595</v>
      </c>
      <c r="EG2" s="16" t="str">
        <f>+IF(AND(EG1="NON",P3&lt;&gt;""),"ERR","BON")</f>
        <v>BON</v>
      </c>
    </row>
    <row r="3" spans="1:137" s="16" customFormat="1" ht="18.75" x14ac:dyDescent="0.3">
      <c r="A3" s="1211" t="s">
        <v>181</v>
      </c>
      <c r="D3" s="1037"/>
      <c r="E3" s="1037"/>
      <c r="F3" s="1037"/>
      <c r="G3" s="1037"/>
      <c r="H3" s="1037"/>
      <c r="I3" s="1037"/>
      <c r="J3" s="1037"/>
      <c r="L3" s="29" t="s">
        <v>535</v>
      </c>
      <c r="M3" s="85">
        <f>+U1</f>
        <v>0</v>
      </c>
      <c r="O3" s="29" t="s">
        <v>536</v>
      </c>
      <c r="P3" s="1511"/>
      <c r="EF3" s="16" t="s">
        <v>1596</v>
      </c>
      <c r="EG3" s="16" t="str">
        <f>+IF(M1=S.CAL!GC5,"OUI","NON")</f>
        <v>NON</v>
      </c>
    </row>
    <row r="4" spans="1:137" s="16" customFormat="1" x14ac:dyDescent="0.2">
      <c r="EB4" s="16" t="str">
        <f>+IF(AND(Identification!B3="Méthode 2",P39="Méthode 1"),"faux","")</f>
        <v>faux</v>
      </c>
      <c r="EF4" s="29" t="s">
        <v>1601</v>
      </c>
      <c r="EG4" s="16" t="str">
        <f>+VLOOKUP(M1,S.CAL!GC2:GD5,2,FALSE)</f>
        <v>OUI</v>
      </c>
    </row>
    <row r="5" spans="1:137" s="16"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7"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7"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7" s="16" customFormat="1" x14ac:dyDescent="0.2">
      <c r="A8" s="91" t="s">
        <v>18</v>
      </c>
      <c r="B8" s="1070"/>
      <c r="C8" s="1070"/>
      <c r="D8" s="1070"/>
      <c r="E8" s="1070"/>
      <c r="F8" s="1071"/>
      <c r="G8" s="1071"/>
      <c r="H8" s="1071"/>
      <c r="I8" s="1071"/>
      <c r="J8" s="277">
        <f t="shared" ref="J8:J13" si="0">+C8-B8+E8-D8+G8-F8+I8-H8</f>
        <v>0</v>
      </c>
      <c r="K8" s="409">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7"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7" s="16" customFormat="1" x14ac:dyDescent="0.2">
      <c r="A10" s="91" t="s">
        <v>20</v>
      </c>
      <c r="B10" s="1070"/>
      <c r="C10" s="1070"/>
      <c r="D10" s="1070"/>
      <c r="E10" s="151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7"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7"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7"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7"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7" s="16" customFormat="1" x14ac:dyDescent="0.2"/>
    <row r="16" spans="1:137"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+U1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IF(EG3="OUI","AU REEL",IF(OR(E29=52,E29=N37),"COMPLETE",IF(E29&lt;47,"INCOMPLETE","ERREUR")))</f>
        <v>COMPLETE</v>
      </c>
      <c r="F31" s="280"/>
      <c r="G31" s="280"/>
      <c r="H31" s="280"/>
      <c r="I31" s="280"/>
      <c r="K31" s="24"/>
      <c r="L31" s="24"/>
      <c r="M31" s="181" t="s">
        <v>1427</v>
      </c>
      <c r="N31" s="1027" t="s">
        <v>137</v>
      </c>
      <c r="O31" s="24"/>
      <c r="P31" s="24"/>
      <c r="Q31" s="24"/>
      <c r="R31" s="24"/>
      <c r="S31" s="24"/>
      <c r="T31" s="24"/>
      <c r="U31" s="24"/>
      <c r="V31" s="181" t="s">
        <v>924</v>
      </c>
      <c r="W31" s="1027" t="s">
        <v>137</v>
      </c>
      <c r="X31" s="24"/>
    </row>
    <row r="32" spans="1:88" s="16" customFormat="1" x14ac:dyDescent="0.2">
      <c r="K32" s="24"/>
      <c r="L32" s="24"/>
      <c r="M32" s="1029" t="s">
        <v>913</v>
      </c>
      <c r="N32" s="24"/>
      <c r="O32" s="24"/>
      <c r="P32" s="24"/>
      <c r="Q32" s="24"/>
      <c r="R32" s="24"/>
      <c r="S32" s="24"/>
      <c r="T32" s="24"/>
      <c r="U32" s="24"/>
      <c r="V32" s="1030" t="s">
        <v>903</v>
      </c>
      <c r="W32" s="24"/>
      <c r="X32" s="24"/>
    </row>
    <row r="33" spans="1:35" s="16" customFormat="1" ht="15.75" thickBot="1" x14ac:dyDescent="0.3">
      <c r="D33" s="281" t="s">
        <v>506</v>
      </c>
      <c r="E33" s="280">
        <f>IF(EG3="OUI",0,IF(OR(E29=52,E29=N37),52,IF(E29&lt;47,E29,"ERREUR")))</f>
        <v>52</v>
      </c>
      <c r="F33" s="280"/>
      <c r="G33" s="280"/>
      <c r="H33" s="280"/>
      <c r="I33" s="280"/>
      <c r="M33" s="469"/>
      <c r="V33" s="470"/>
    </row>
    <row r="34" spans="1:35" s="16" customFormat="1" ht="13.5" thickBot="1" x14ac:dyDescent="0.25">
      <c r="M34" s="29" t="s">
        <v>838</v>
      </c>
      <c r="N34" s="1606">
        <v>0.1</v>
      </c>
      <c r="V34" s="29" t="s">
        <v>902</v>
      </c>
      <c r="W34" s="1606"/>
    </row>
    <row r="35" spans="1:35" s="16" customFormat="1" ht="15" x14ac:dyDescent="0.25">
      <c r="D35" s="29" t="s">
        <v>1439</v>
      </c>
      <c r="E35" s="1073"/>
      <c r="I35" s="280"/>
      <c r="W35" s="24">
        <f>+E35*(1+W34)</f>
        <v>0</v>
      </c>
    </row>
    <row r="36" spans="1:35" s="16" customFormat="1" x14ac:dyDescent="0.2">
      <c r="D36" s="29"/>
      <c r="K36" s="24"/>
      <c r="L36" s="24"/>
      <c r="M36" s="181" t="s">
        <v>191</v>
      </c>
      <c r="N36" s="282">
        <f>+IF(Identification!B3=S.CAL!AY2,E35*(1+N34),E35)</f>
        <v>0</v>
      </c>
      <c r="V36" s="29" t="s">
        <v>1693</v>
      </c>
      <c r="W36" s="1587" t="str">
        <f>+IF(Y36&lt;&gt;"",Y36,IF(M1=S.CAL!GC5,"OUI",IF(AND(M1=S.CAL!GC3,N37&gt;8.5),"NON","OUI")))</f>
        <v>OUI</v>
      </c>
      <c r="X36" s="1588" t="s">
        <v>1694</v>
      </c>
      <c r="Y36" s="1589"/>
    </row>
    <row r="37" spans="1:35" s="16" customFormat="1" x14ac:dyDescent="0.2">
      <c r="D37" s="29" t="s">
        <v>1440</v>
      </c>
      <c r="E37" s="283" t="e">
        <f>+E35*N29</f>
        <v>#N/A</v>
      </c>
      <c r="F37" s="283"/>
      <c r="G37" s="283"/>
      <c r="H37" s="283"/>
      <c r="I37" s="283"/>
      <c r="M37" s="29" t="s">
        <v>537</v>
      </c>
      <c r="N37" s="16">
        <f>+IF(EG1="OUI",CEILING(CEILING(P3-M3,1)/7,1),"")</f>
        <v>0</v>
      </c>
    </row>
    <row r="38" spans="1:35" s="16" customFormat="1" x14ac:dyDescent="0.2">
      <c r="D38" s="29"/>
      <c r="E38" s="283"/>
      <c r="F38" s="283"/>
      <c r="G38" s="283"/>
      <c r="H38" s="283"/>
      <c r="I38" s="283"/>
      <c r="M38" s="29"/>
      <c r="N38" s="284"/>
      <c r="V38" s="29" t="s">
        <v>1696</v>
      </c>
      <c r="W38" s="1587" t="str">
        <f>+IF(Y38&lt;&gt;"",Y38,IF(E31="INCOMPLETE","OUI","NON"))</f>
        <v>NON</v>
      </c>
      <c r="X38" s="1588" t="s">
        <v>1694</v>
      </c>
      <c r="Y38" s="1589"/>
    </row>
    <row r="39" spans="1:35" s="16" customFormat="1" ht="15.75" x14ac:dyDescent="0.25">
      <c r="D39" s="29" t="str">
        <f>+IF(E40=0,"Total annuel heures :","Total annuel heures (Inf. ou égales à 45 hrs / sem) :")</f>
        <v>Total annuel heures :</v>
      </c>
      <c r="E39" s="149">
        <f>IF(E29=N37,IF(E29,(K21+V21+AG21+AR21+BC21+BN21+BY21+CJ21)*N37/E29,0),IF(E29,(K21+V21+AG21+AR21+BC21+BN21+BY21+CJ21)*E33/E29,0))</f>
        <v>0</v>
      </c>
      <c r="F39" s="149"/>
      <c r="G39" s="149"/>
      <c r="H39" s="149"/>
      <c r="I39" s="149"/>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row>
    <row r="40" spans="1:35" s="16" customFormat="1" x14ac:dyDescent="0.2">
      <c r="D40" s="29" t="s">
        <v>837</v>
      </c>
      <c r="E40" s="149">
        <f>IF(E29=N37,IF(E29,(K22+V22+AG22+AR22+BC22+BN22+BY22+CJ22)*N37/E29,0),IF(E29,(K22+V22+AG22+AR22+BC22+BN22+BY22+CJ22)*E33/E29,0))</f>
        <v>0</v>
      </c>
      <c r="F40" s="149"/>
      <c r="G40" s="149"/>
      <c r="H40" s="149"/>
      <c r="I40" s="149"/>
      <c r="K40" s="24"/>
      <c r="L40" s="24"/>
      <c r="M40" s="181"/>
      <c r="N40" s="724"/>
      <c r="O40" s="24"/>
      <c r="P40" s="1033" t="s">
        <v>1219</v>
      </c>
      <c r="Q40" s="880"/>
      <c r="R40" s="880"/>
      <c r="S40" s="880"/>
      <c r="T40" s="880"/>
      <c r="U40" s="1034" t="s">
        <v>353</v>
      </c>
      <c r="V40" s="1169" t="s">
        <v>1465</v>
      </c>
      <c r="W40" s="24"/>
      <c r="X40" s="24"/>
      <c r="Y40" s="24"/>
      <c r="Z40" s="24"/>
      <c r="AA40" s="24"/>
      <c r="AB40" s="24"/>
      <c r="AC40" s="24"/>
      <c r="AD40" s="24"/>
      <c r="AE40" s="24"/>
      <c r="AF40" s="24"/>
      <c r="AG40" s="24"/>
      <c r="AH40" s="24"/>
      <c r="AI40" s="24"/>
    </row>
    <row r="41" spans="1:35" s="16" customFormat="1" x14ac:dyDescent="0.2">
      <c r="D41" s="29"/>
      <c r="E41" s="149"/>
      <c r="F41" s="149"/>
      <c r="G41" s="149"/>
      <c r="H41" s="149"/>
      <c r="I41" s="149"/>
      <c r="K41" s="24"/>
      <c r="L41" s="24"/>
      <c r="M41" s="24"/>
      <c r="N41" s="24"/>
      <c r="O41" s="24"/>
      <c r="P41" s="1033" t="s">
        <v>1220</v>
      </c>
      <c r="Q41" s="880"/>
      <c r="R41" s="880"/>
      <c r="S41" s="880"/>
      <c r="T41" s="880"/>
      <c r="U41" s="880"/>
      <c r="V41" s="1169" t="s">
        <v>1466</v>
      </c>
      <c r="W41" s="24"/>
      <c r="X41" s="24"/>
      <c r="Y41" s="24"/>
      <c r="Z41" s="24"/>
      <c r="AA41" s="24"/>
      <c r="AB41" s="24"/>
      <c r="AC41" s="24"/>
      <c r="AD41" s="24"/>
      <c r="AE41" s="24"/>
      <c r="AF41" s="24"/>
      <c r="AG41" s="24"/>
      <c r="AH41" s="24"/>
      <c r="AI41" s="24"/>
    </row>
    <row r="42" spans="1:35" s="16" customFormat="1" x14ac:dyDescent="0.2">
      <c r="D42" s="29" t="s">
        <v>187</v>
      </c>
      <c r="E42" s="285">
        <f>+K24+V24+AG24+AR24+BC24+BN24+BY24+CJ24</f>
        <v>0</v>
      </c>
      <c r="F42" s="285"/>
      <c r="G42" s="285"/>
      <c r="H42" s="285"/>
      <c r="I42" s="285"/>
      <c r="L42" s="24"/>
      <c r="M42" s="181"/>
      <c r="N42" s="724"/>
      <c r="O42" s="24"/>
      <c r="P42" s="880"/>
      <c r="Q42" s="880"/>
      <c r="R42" s="880"/>
      <c r="S42" s="880"/>
      <c r="T42" s="880"/>
      <c r="U42" s="880"/>
      <c r="V42" s="880"/>
      <c r="W42" s="24"/>
      <c r="X42" s="24"/>
      <c r="Y42" s="24"/>
      <c r="Z42" s="24"/>
      <c r="AA42" s="24"/>
      <c r="AB42" s="24"/>
      <c r="AC42" s="24"/>
      <c r="AD42" s="24"/>
      <c r="AE42" s="24"/>
      <c r="AF42" s="24"/>
      <c r="AG42" s="24"/>
      <c r="AH42" s="24"/>
      <c r="AI42" s="24"/>
    </row>
    <row r="43" spans="1:35" s="16" customFormat="1" x14ac:dyDescent="0.2">
      <c r="D43" s="29"/>
      <c r="E43" s="283"/>
      <c r="F43" s="283"/>
      <c r="G43" s="283"/>
      <c r="H43" s="283"/>
      <c r="I43" s="283"/>
      <c r="L43" s="24"/>
      <c r="M43" s="24"/>
      <c r="N43" s="24"/>
      <c r="O43" s="24"/>
      <c r="P43" s="1033" t="s">
        <v>1219</v>
      </c>
      <c r="Q43" s="880"/>
      <c r="R43" s="880"/>
      <c r="S43" s="880"/>
      <c r="T43" s="880"/>
      <c r="U43" s="1034" t="s">
        <v>1218</v>
      </c>
      <c r="V43" s="1169" t="s">
        <v>1465</v>
      </c>
      <c r="W43" s="24"/>
      <c r="X43" s="24"/>
      <c r="Y43" s="24"/>
      <c r="Z43" s="24"/>
      <c r="AA43" s="24"/>
      <c r="AB43" s="24"/>
      <c r="AC43" s="24"/>
      <c r="AD43" s="24"/>
      <c r="AE43" s="24"/>
      <c r="AF43" s="24"/>
      <c r="AG43" s="24"/>
      <c r="AH43" s="24"/>
      <c r="AI43" s="24"/>
    </row>
    <row r="44" spans="1:35" s="16" customFormat="1" ht="18.75" x14ac:dyDescent="0.3">
      <c r="A44" s="1694" t="s">
        <v>192</v>
      </c>
      <c r="B44" s="1695"/>
      <c r="C44" s="1695"/>
      <c r="D44" s="1695"/>
      <c r="E44" s="1696"/>
      <c r="F44" s="279"/>
      <c r="G44" s="279"/>
      <c r="H44" s="279"/>
      <c r="I44" s="279"/>
      <c r="L44" s="24"/>
      <c r="M44" s="24"/>
      <c r="N44" s="24"/>
      <c r="O44" s="24"/>
      <c r="P44" s="1033" t="s">
        <v>1221</v>
      </c>
      <c r="Q44" s="880"/>
      <c r="R44" s="880"/>
      <c r="S44" s="880"/>
      <c r="T44" s="880"/>
      <c r="U44" s="880"/>
      <c r="V44" s="1169" t="s">
        <v>1467</v>
      </c>
      <c r="W44" s="24"/>
      <c r="X44" s="24"/>
      <c r="Y44" s="24"/>
      <c r="Z44" s="24"/>
      <c r="AA44" s="24"/>
      <c r="AB44" s="24"/>
      <c r="AC44" s="24"/>
      <c r="AD44" s="24"/>
      <c r="AE44" s="24"/>
      <c r="AF44" s="24"/>
      <c r="AG44" s="24"/>
      <c r="AH44" s="24"/>
      <c r="AI44" s="24"/>
    </row>
    <row r="45" spans="1:35" s="16" customFormat="1" ht="18.75" x14ac:dyDescent="0.3">
      <c r="A45" s="279"/>
      <c r="B45" s="279"/>
      <c r="C45" s="279"/>
      <c r="D45" s="279"/>
      <c r="E45" s="279"/>
      <c r="F45" s="279"/>
      <c r="G45" s="279"/>
      <c r="H45" s="279"/>
      <c r="I45" s="279"/>
      <c r="L45" s="24"/>
      <c r="M45" s="24"/>
      <c r="N45" s="24"/>
      <c r="O45" s="24"/>
      <c r="P45" s="880"/>
      <c r="Q45" s="880"/>
      <c r="R45" s="880"/>
      <c r="S45" s="880"/>
      <c r="T45" s="880"/>
      <c r="U45" s="880"/>
      <c r="V45" s="1169" t="s">
        <v>1468</v>
      </c>
      <c r="W45" s="24"/>
      <c r="X45" s="24"/>
      <c r="Y45" s="24"/>
      <c r="Z45" s="24"/>
      <c r="AA45" s="24"/>
      <c r="AB45" s="24"/>
      <c r="AC45" s="24"/>
      <c r="AD45" s="24"/>
      <c r="AE45" s="24"/>
      <c r="AF45" s="24"/>
      <c r="AG45" s="24"/>
      <c r="AH45" s="24"/>
      <c r="AI45" s="24"/>
    </row>
    <row r="46" spans="1:35" s="16" customFormat="1" ht="18.75" x14ac:dyDescent="0.3">
      <c r="A46" s="279"/>
      <c r="D46" s="29" t="s">
        <v>193</v>
      </c>
      <c r="E46" s="285">
        <f>+IF(EG1="OUI",IF(N37,+E42*4.33/N37,0),+E42/12)</f>
        <v>0</v>
      </c>
      <c r="F46" s="285"/>
      <c r="G46" s="285"/>
      <c r="H46" s="285"/>
      <c r="I46" s="285"/>
      <c r="P46" s="1033" t="s">
        <v>1336</v>
      </c>
      <c r="Q46" s="880"/>
      <c r="R46" s="880"/>
      <c r="S46" s="880"/>
      <c r="T46" s="880"/>
      <c r="U46" s="1034" t="s">
        <v>443</v>
      </c>
      <c r="V46" s="881"/>
    </row>
    <row r="47" spans="1:35" s="16" customFormat="1" x14ac:dyDescent="0.2">
      <c r="P47" s="1033" t="s">
        <v>1337</v>
      </c>
      <c r="Q47" s="880"/>
      <c r="R47" s="880"/>
      <c r="S47" s="880"/>
      <c r="T47" s="880"/>
      <c r="U47" s="24"/>
      <c r="V47" s="881"/>
    </row>
    <row r="48" spans="1:35" s="16" customFormat="1" ht="15" x14ac:dyDescent="0.25">
      <c r="D48" s="281" t="str">
        <f>+IF(E49=0,"Nombre d'heures mensualisées :","Nbre d'heures mens. (Inf. ou égales à 45 hrs / sem)  :")</f>
        <v>Nombre d'heures mensualisées :</v>
      </c>
      <c r="E48" s="407">
        <f>+IF(EG1="OUI",IF(N37,ROUND((E39*52)/(N37*12),C77),0),ROUND(E39/12,C77))</f>
        <v>0</v>
      </c>
      <c r="F48" s="286"/>
      <c r="G48" s="286"/>
      <c r="H48" s="286"/>
      <c r="I48" s="286"/>
      <c r="P48" s="692"/>
      <c r="Q48" s="692"/>
      <c r="R48" s="692"/>
      <c r="S48" s="692"/>
      <c r="T48" s="692"/>
      <c r="U48" s="692"/>
      <c r="V48" s="881"/>
    </row>
    <row r="49" spans="1:114" s="16" customFormat="1" ht="15" x14ac:dyDescent="0.25">
      <c r="D49" s="281" t="s">
        <v>839</v>
      </c>
      <c r="E49" s="407">
        <f>+IF(EG1="OUI",IF(N37,ROUND((E40*52)/(N37*12),C77),0),ROUND(E40/12,C77))</f>
        <v>0</v>
      </c>
      <c r="F49" s="286"/>
      <c r="G49" s="286"/>
      <c r="H49" s="286"/>
      <c r="I49" s="286"/>
      <c r="L49" s="29" t="s">
        <v>1351</v>
      </c>
    </row>
    <row r="50" spans="1:114" s="16" customFormat="1" x14ac:dyDescent="0.2">
      <c r="D50" s="29"/>
      <c r="E50" s="408">
        <f>+E49+E48</f>
        <v>0</v>
      </c>
      <c r="F50" s="149"/>
      <c r="G50" s="149"/>
      <c r="H50" s="149"/>
      <c r="I50" s="149"/>
      <c r="K50" s="468"/>
      <c r="L50" s="469" t="str">
        <f>+IF(E49=0,"Nbre d'hrs mensualisées =","Nbre d'hrs mens. (&lt; ou = à 45 hrs / sem) =")</f>
        <v>Nbre d'hrs mensualisées =</v>
      </c>
      <c r="M50" s="468" t="str">
        <f>+IF(E49=0,"Heures totales prévues / Nbre de semaines calendaires du contrat X 52 semaines / 12 mois","Heures (&lt; ou = à 45 hrs / sem) totales prévues / Nbre de semaines calendaires du contrat X 52 semaines / 12 mois")</f>
        <v>Heures totales prévues / Nbre de semaines calendaires du contrat X 52 semaines / 12 mois</v>
      </c>
      <c r="N50" s="468"/>
      <c r="O50" s="468"/>
    </row>
    <row r="51" spans="1:114" s="16" customFormat="1" x14ac:dyDescent="0.2">
      <c r="K51" s="468"/>
      <c r="L51" s="469" t="str">
        <f>+L50</f>
        <v>Nbre d'hrs mensualisées =</v>
      </c>
      <c r="M51" s="468" t="str">
        <f>+E39&amp;" hrs / "&amp;N37&amp;" sem X 52 sem / 12 mois"</f>
        <v>0 hrs / 0 sem X 52 sem / 12 mois</v>
      </c>
      <c r="N51" s="468"/>
      <c r="O51" s="468"/>
    </row>
    <row r="52" spans="1:114" s="16" customFormat="1" ht="15" x14ac:dyDescent="0.25">
      <c r="C52" s="280"/>
      <c r="D52" s="281" t="s">
        <v>194</v>
      </c>
      <c r="E52" s="287">
        <f>+ROUND(ROUND((E48*E35),2)+ROUND((E49*N36),2),2)</f>
        <v>0</v>
      </c>
      <c r="F52" s="287"/>
      <c r="G52" s="287"/>
      <c r="H52" s="287"/>
      <c r="I52" s="287"/>
      <c r="K52" s="468"/>
      <c r="L52" s="469" t="str">
        <f>+L51</f>
        <v>Nbre d'hrs mensualisées =</v>
      </c>
      <c r="M52" s="998">
        <f>+E48</f>
        <v>0</v>
      </c>
      <c r="N52" s="468"/>
      <c r="O52" s="468"/>
    </row>
    <row r="53" spans="1:114" s="16" customFormat="1" x14ac:dyDescent="0.2"/>
    <row r="54" spans="1:114" s="16" customFormat="1" x14ac:dyDescent="0.2">
      <c r="D54" s="29" t="s">
        <v>195</v>
      </c>
      <c r="E54" s="288" t="e">
        <f>ROUND(+E52*N29,2)</f>
        <v>#N/A</v>
      </c>
      <c r="F54" s="288"/>
      <c r="G54" s="288"/>
      <c r="H54" s="288"/>
      <c r="I54" s="288"/>
      <c r="L54" s="469" t="s">
        <v>1352</v>
      </c>
      <c r="M54" s="468" t="s">
        <v>1464</v>
      </c>
      <c r="N54" s="468"/>
    </row>
    <row r="55" spans="1:114" s="16" customFormat="1" x14ac:dyDescent="0.2">
      <c r="L55" s="469" t="s">
        <v>1352</v>
      </c>
      <c r="M55" s="468" t="str">
        <f>+E40&amp;" hrs / "&amp;N37&amp;" sem X 52 sem / 12 mois"</f>
        <v>0 hrs / 0 sem X 52 sem / 12 mois</v>
      </c>
      <c r="N55" s="468"/>
    </row>
    <row r="56" spans="1:114" s="16" customFormat="1" x14ac:dyDescent="0.2">
      <c r="D56" s="29" t="s">
        <v>196</v>
      </c>
      <c r="E56" s="288">
        <f>ROUND(+(E49*N36*0.1131),2)</f>
        <v>0</v>
      </c>
      <c r="F56" s="288"/>
      <c r="G56" s="288"/>
      <c r="H56" s="288"/>
      <c r="I56" s="288"/>
      <c r="L56" s="469" t="s">
        <v>1352</v>
      </c>
      <c r="M56" s="998">
        <f>+E49</f>
        <v>0</v>
      </c>
      <c r="N56" s="468"/>
    </row>
    <row r="57" spans="1:114" s="16" customFormat="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+IF(EG1="OUI",IF(E29,ROUNDUP(E42*4.33/N37,0),0),IF(E29,ROUNDUP(E42/E29*E33/12,0),0))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12.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SovR5lbngymnfqKnRcYp4r2ibjwxxlUEnT7TKL6qzUsvltOQIaT8EEPNDpvFFrCUroAZpJXIw7pkawp+seEhMg==" saltValue="gstXZq+AN1N1fZsyTFA/kA==" spinCount="100000" sheet="1" objects="1" scenarios="1" formatCells="0" formatColumns="0" formatRows="0" insertColumns="0" insertRows="0" insertHyperlinks="0" sort="0" autoFilter="0" pivotTables="0"/>
  <mergeCells count="70">
    <mergeCell ref="BO5:BY5"/>
    <mergeCell ref="BZ5:CJ5"/>
    <mergeCell ref="A27:E27"/>
    <mergeCell ref="A44:E44"/>
    <mergeCell ref="A5:K5"/>
    <mergeCell ref="L5:V5"/>
    <mergeCell ref="W5:AG5"/>
    <mergeCell ref="AH5:AR5"/>
    <mergeCell ref="BP14:BX14"/>
    <mergeCell ref="CA14:CI14"/>
    <mergeCell ref="CA16:CI16"/>
    <mergeCell ref="CA17:CI17"/>
    <mergeCell ref="CA19:CI19"/>
    <mergeCell ref="CA21:CI21"/>
    <mergeCell ref="CA22:CI22"/>
    <mergeCell ref="CA24:CI24"/>
    <mergeCell ref="A69:B69"/>
    <mergeCell ref="U1:W1"/>
    <mergeCell ref="AS5:BC5"/>
    <mergeCell ref="BD5:BN5"/>
    <mergeCell ref="B14:J14"/>
    <mergeCell ref="M14:U14"/>
    <mergeCell ref="X14:AF14"/>
    <mergeCell ref="AI14:AQ14"/>
    <mergeCell ref="AT14:BB14"/>
    <mergeCell ref="BE14:BM14"/>
    <mergeCell ref="AT24:BB24"/>
    <mergeCell ref="AT22:BB22"/>
    <mergeCell ref="AT21:BB21"/>
    <mergeCell ref="AT19:BB19"/>
    <mergeCell ref="AT17:BB17"/>
    <mergeCell ref="AT16:BB16"/>
    <mergeCell ref="BP16:BX16"/>
    <mergeCell ref="BE24:BM24"/>
    <mergeCell ref="BE22:BM22"/>
    <mergeCell ref="BE21:BM21"/>
    <mergeCell ref="BE19:BM19"/>
    <mergeCell ref="BE17:BM17"/>
    <mergeCell ref="BE16:BM16"/>
    <mergeCell ref="BP24:BX24"/>
    <mergeCell ref="BP22:BX22"/>
    <mergeCell ref="BP21:BX21"/>
    <mergeCell ref="BP19:BX19"/>
    <mergeCell ref="BP17:BX17"/>
    <mergeCell ref="AI16:AQ16"/>
    <mergeCell ref="X24:AF24"/>
    <mergeCell ref="X22:AF22"/>
    <mergeCell ref="X21:AF21"/>
    <mergeCell ref="X19:AF19"/>
    <mergeCell ref="X17:AF17"/>
    <mergeCell ref="X16:AF16"/>
    <mergeCell ref="AI24:AQ24"/>
    <mergeCell ref="AI22:AQ22"/>
    <mergeCell ref="AI21:AQ21"/>
    <mergeCell ref="AI19:AQ19"/>
    <mergeCell ref="AI17:AQ17"/>
    <mergeCell ref="M1:N1"/>
    <mergeCell ref="J2:P2"/>
    <mergeCell ref="M22:U22"/>
    <mergeCell ref="M24:U24"/>
    <mergeCell ref="B24:J24"/>
    <mergeCell ref="B22:J22"/>
    <mergeCell ref="B21:J21"/>
    <mergeCell ref="M16:U16"/>
    <mergeCell ref="M17:U17"/>
    <mergeCell ref="M19:U19"/>
    <mergeCell ref="M21:U21"/>
    <mergeCell ref="B19:J19"/>
    <mergeCell ref="B17:J17"/>
    <mergeCell ref="B16:J16"/>
  </mergeCells>
  <conditionalFormatting sqref="A29:E29">
    <cfRule type="expression" dxfId="2474" priority="31">
      <formula>$EG$3="OUI"</formula>
    </cfRule>
  </conditionalFormatting>
  <conditionalFormatting sqref="A39:E69">
    <cfRule type="expression" dxfId="2473" priority="80">
      <formula>$EG$3="OUI"</formula>
    </cfRule>
  </conditionalFormatting>
  <conditionalFormatting sqref="A20:XFD25">
    <cfRule type="expression" dxfId="2472" priority="32">
      <formula>$EG$3="OUI"</formula>
    </cfRule>
  </conditionalFormatting>
  <conditionalFormatting sqref="B7:I13">
    <cfRule type="cellIs" dxfId="2471" priority="21" operator="greaterThan">
      <formula>0</formula>
    </cfRule>
  </conditionalFormatting>
  <conditionalFormatting sqref="B17:J17">
    <cfRule type="expression" dxfId="2470" priority="63">
      <formula>K17=0</formula>
    </cfRule>
  </conditionalFormatting>
  <conditionalFormatting sqref="B22:J22">
    <cfRule type="expression" dxfId="2469" priority="48">
      <formula>K22=0</formula>
    </cfRule>
  </conditionalFormatting>
  <conditionalFormatting sqref="D40">
    <cfRule type="expression" dxfId="2468" priority="84">
      <formula>$E$40=0</formula>
    </cfRule>
  </conditionalFormatting>
  <conditionalFormatting sqref="D49">
    <cfRule type="expression" dxfId="2467" priority="83">
      <formula>$E$49=0</formula>
    </cfRule>
  </conditionalFormatting>
  <conditionalFormatting sqref="D33:E33">
    <cfRule type="expression" dxfId="2466" priority="30">
      <formula>$EG$3="OUI"</formula>
    </cfRule>
  </conditionalFormatting>
  <conditionalFormatting sqref="E35">
    <cfRule type="cellIs" dxfId="2464" priority="5" operator="greaterThan">
      <formula>0</formula>
    </cfRule>
  </conditionalFormatting>
  <conditionalFormatting sqref="E40">
    <cfRule type="cellIs" dxfId="2463" priority="85" operator="equal">
      <formula>0</formula>
    </cfRule>
  </conditionalFormatting>
  <conditionalFormatting sqref="E49">
    <cfRule type="cellIs" dxfId="2462" priority="82" operator="equal">
      <formula>0</formula>
    </cfRule>
  </conditionalFormatting>
  <conditionalFormatting sqref="E50">
    <cfRule type="expression" dxfId="2461" priority="81">
      <formula>$E$49=0</formula>
    </cfRule>
  </conditionalFormatting>
  <conditionalFormatting sqref="E29:I29">
    <cfRule type="cellIs" dxfId="2460" priority="66" operator="between">
      <formula>46.9999999999</formula>
      <formula>51.99999</formula>
    </cfRule>
    <cfRule type="cellIs" dxfId="2459" priority="65" operator="greaterThanOrEqual">
      <formula>52.0000001</formula>
    </cfRule>
  </conditionalFormatting>
  <conditionalFormatting sqref="K17">
    <cfRule type="cellIs" dxfId="2458" priority="64" operator="equal">
      <formula>0</formula>
    </cfRule>
  </conditionalFormatting>
  <conditionalFormatting sqref="K19">
    <cfRule type="cellIs" dxfId="2457" priority="6" operator="greaterThan">
      <formula>0</formula>
    </cfRule>
    <cfRule type="expression" dxfId="2456" priority="29">
      <formula>OR(AND($E$29&gt;=47,$E$29&lt;=51,K14&gt;0),K19&gt;52,AND($E$29&gt;52,K14&gt;0),AND(K19&gt;=1,K14=0))</formula>
    </cfRule>
  </conditionalFormatting>
  <conditionalFormatting sqref="K22">
    <cfRule type="cellIs" dxfId="2455" priority="47" operator="equal">
      <formula>0</formula>
    </cfRule>
  </conditionalFormatting>
  <conditionalFormatting sqref="K49:W59">
    <cfRule type="expression" dxfId="2454" priority="78">
      <formula>$EG$1="NON"</formula>
    </cfRule>
  </conditionalFormatting>
  <conditionalFormatting sqref="L54:M56">
    <cfRule type="expression" dxfId="2453" priority="79">
      <formula>$E$49=0</formula>
    </cfRule>
  </conditionalFormatting>
  <conditionalFormatting sqref="M37">
    <cfRule type="expression" dxfId="2452" priority="77">
      <formula>$EG$1="NON"</formula>
    </cfRule>
  </conditionalFormatting>
  <conditionalFormatting sqref="M7:T13">
    <cfRule type="cellIs" dxfId="2451" priority="20" operator="greaterThan">
      <formula>0</formula>
    </cfRule>
  </conditionalFormatting>
  <conditionalFormatting sqref="M17:U17">
    <cfRule type="expression" dxfId="2450" priority="55">
      <formula>V17=0</formula>
    </cfRule>
  </conditionalFormatting>
  <conditionalFormatting sqref="M22:U22">
    <cfRule type="expression" dxfId="2449" priority="39">
      <formula>V22=0</formula>
    </cfRule>
  </conditionalFormatting>
  <conditionalFormatting sqref="N34">
    <cfRule type="cellIs" dxfId="2448" priority="4" operator="greaterThan">
      <formula>0</formula>
    </cfRule>
  </conditionalFormatting>
  <conditionalFormatting sqref="O3">
    <cfRule type="expression" dxfId="2447" priority="94">
      <formula>$EG$1="NON"</formula>
    </cfRule>
  </conditionalFormatting>
  <conditionalFormatting sqref="P3">
    <cfRule type="cellIs" dxfId="2446" priority="2" operator="greaterThan">
      <formula>0</formula>
    </cfRule>
    <cfRule type="expression" dxfId="2445" priority="92">
      <formula>$EG$2="ERR"</formula>
    </cfRule>
    <cfRule type="expression" dxfId="2444" priority="93">
      <formula>$EG$1="NON"</formula>
    </cfRule>
  </conditionalFormatting>
  <conditionalFormatting sqref="P39">
    <cfRule type="expression" dxfId="2443" priority="173">
      <formula>EB2="faux"</formula>
    </cfRule>
  </conditionalFormatting>
  <conditionalFormatting sqref="V17">
    <cfRule type="cellIs" dxfId="2442" priority="62" operator="equal">
      <formula>0</formula>
    </cfRule>
  </conditionalFormatting>
  <conditionalFormatting sqref="V19">
    <cfRule type="cellIs" dxfId="2441" priority="7" operator="greaterThan">
      <formula>0</formula>
    </cfRule>
    <cfRule type="expression" dxfId="2440" priority="28">
      <formula>OR(AND($E$29&gt;=47,$E$29&lt;=51,V14&gt;0),V19&gt;52,AND($E$29&gt;52,V14&gt;0),AND(V19&gt;=1,V14=0))</formula>
    </cfRule>
  </conditionalFormatting>
  <conditionalFormatting sqref="V22">
    <cfRule type="cellIs" dxfId="2439" priority="46" operator="equal">
      <formula>0</formula>
    </cfRule>
  </conditionalFormatting>
  <conditionalFormatting sqref="W34">
    <cfRule type="cellIs" dxfId="2438" priority="1" operator="greaterThan">
      <formula>0</formula>
    </cfRule>
  </conditionalFormatting>
  <conditionalFormatting sqref="X7:AE13">
    <cfRule type="cellIs" dxfId="2437" priority="19" operator="greaterThan">
      <formula>0</formula>
    </cfRule>
  </conditionalFormatting>
  <conditionalFormatting sqref="X17:AF17">
    <cfRule type="expression" dxfId="2436" priority="54">
      <formula>AG17=0</formula>
    </cfRule>
  </conditionalFormatting>
  <conditionalFormatting sqref="X22:AF22">
    <cfRule type="expression" dxfId="2435" priority="38">
      <formula>AG22=0</formula>
    </cfRule>
  </conditionalFormatting>
  <conditionalFormatting sqref="AG17">
    <cfRule type="cellIs" dxfId="2434" priority="61" operator="equal">
      <formula>0</formula>
    </cfRule>
  </conditionalFormatting>
  <conditionalFormatting sqref="AG19">
    <cfRule type="expression" dxfId="2433" priority="27">
      <formula>OR(AND($E$29&gt;=47,$E$29&lt;=51,AG14&gt;0),AG19&gt;52,AND($E$29&gt;52,AG14&gt;0),AND(AG19&gt;=1,AG14=0))</formula>
    </cfRule>
    <cfRule type="cellIs" dxfId="2432" priority="8" operator="greaterThan">
      <formula>0</formula>
    </cfRule>
  </conditionalFormatting>
  <conditionalFormatting sqref="AG22">
    <cfRule type="cellIs" dxfId="2431" priority="45" operator="equal">
      <formula>0</formula>
    </cfRule>
  </conditionalFormatting>
  <conditionalFormatting sqref="AI7:AP13">
    <cfRule type="cellIs" dxfId="2430" priority="18" operator="greaterThan">
      <formula>0</formula>
    </cfRule>
  </conditionalFormatting>
  <conditionalFormatting sqref="AI17:AQ17">
    <cfRule type="expression" dxfId="2429" priority="53">
      <formula>AR17=0</formula>
    </cfRule>
  </conditionalFormatting>
  <conditionalFormatting sqref="AI22:AQ22">
    <cfRule type="expression" dxfId="2428" priority="37">
      <formula>AR22=0</formula>
    </cfRule>
  </conditionalFormatting>
  <conditionalFormatting sqref="AR17">
    <cfRule type="cellIs" dxfId="2427" priority="60" operator="equal">
      <formula>0</formula>
    </cfRule>
  </conditionalFormatting>
  <conditionalFormatting sqref="AR19">
    <cfRule type="cellIs" dxfId="2426" priority="9" operator="greaterThan">
      <formula>0</formula>
    </cfRule>
    <cfRule type="expression" dxfId="2425" priority="26">
      <formula>OR(AND($E$29&gt;=47,$E$29&lt;=51,AR14&gt;0),AR19&gt;52,AND($E$29&gt;52,AR14&gt;0),AND(AR19&gt;=1,AR14=0))</formula>
    </cfRule>
  </conditionalFormatting>
  <conditionalFormatting sqref="AR22">
    <cfRule type="cellIs" dxfId="2424" priority="44" operator="equal">
      <formula>0</formula>
    </cfRule>
  </conditionalFormatting>
  <conditionalFormatting sqref="AT7:BA13">
    <cfRule type="cellIs" dxfId="2423" priority="17" operator="greaterThan">
      <formula>0</formula>
    </cfRule>
  </conditionalFormatting>
  <conditionalFormatting sqref="AT17:BB17">
    <cfRule type="expression" dxfId="2422" priority="52">
      <formula>BC17=0</formula>
    </cfRule>
  </conditionalFormatting>
  <conditionalFormatting sqref="AT22:BB22">
    <cfRule type="expression" dxfId="2421" priority="36">
      <formula>BC22=0</formula>
    </cfRule>
  </conditionalFormatting>
  <conditionalFormatting sqref="BC17">
    <cfRule type="cellIs" dxfId="2420" priority="59" operator="equal">
      <formula>0</formula>
    </cfRule>
  </conditionalFormatting>
  <conditionalFormatting sqref="BC19">
    <cfRule type="cellIs" dxfId="2419" priority="10" operator="greaterThan">
      <formula>0</formula>
    </cfRule>
    <cfRule type="expression" dxfId="2418" priority="25">
      <formula>OR(AND($E$29&gt;=47,$E$29&lt;=51,BC14&gt;0),BC19&gt;52,AND($E$29&gt;52,BC14&gt;0),AND(BC19&gt;=1,BC14=0))</formula>
    </cfRule>
  </conditionalFormatting>
  <conditionalFormatting sqref="BC22">
    <cfRule type="cellIs" dxfId="2417" priority="43" operator="equal">
      <formula>0</formula>
    </cfRule>
  </conditionalFormatting>
  <conditionalFormatting sqref="BE7:BL13">
    <cfRule type="cellIs" dxfId="2416" priority="16" operator="greaterThan">
      <formula>0</formula>
    </cfRule>
  </conditionalFormatting>
  <conditionalFormatting sqref="BE17:BM17">
    <cfRule type="expression" dxfId="2415" priority="51">
      <formula>BN17=0</formula>
    </cfRule>
  </conditionalFormatting>
  <conditionalFormatting sqref="BE22:BM22">
    <cfRule type="expression" dxfId="2414" priority="35">
      <formula>BN22=0</formula>
    </cfRule>
  </conditionalFormatting>
  <conditionalFormatting sqref="BN17">
    <cfRule type="cellIs" dxfId="2413" priority="58" operator="equal">
      <formula>0</formula>
    </cfRule>
  </conditionalFormatting>
  <conditionalFormatting sqref="BN19">
    <cfRule type="cellIs" dxfId="2412" priority="11" operator="greaterThan">
      <formula>0</formula>
    </cfRule>
    <cfRule type="expression" dxfId="2411" priority="24">
      <formula>OR(AND($E$29&gt;=47,$E$29&lt;=51,BN14&gt;0),BN19&gt;52,AND($E$29&gt;52,BN14&gt;0),AND(BN19&gt;=1,BN14=0))</formula>
    </cfRule>
  </conditionalFormatting>
  <conditionalFormatting sqref="BN22">
    <cfRule type="cellIs" dxfId="2410" priority="42" operator="equal">
      <formula>0</formula>
    </cfRule>
  </conditionalFormatting>
  <conditionalFormatting sqref="BP7:BW13">
    <cfRule type="cellIs" dxfId="2409" priority="15" operator="greaterThan">
      <formula>0</formula>
    </cfRule>
  </conditionalFormatting>
  <conditionalFormatting sqref="BP17:BX17">
    <cfRule type="expression" dxfId="2408" priority="50">
      <formula>BY17=0</formula>
    </cfRule>
  </conditionalFormatting>
  <conditionalFormatting sqref="BP22:BX22">
    <cfRule type="expression" dxfId="2407" priority="34">
      <formula>BY22=0</formula>
    </cfRule>
  </conditionalFormatting>
  <conditionalFormatting sqref="BY17">
    <cfRule type="cellIs" dxfId="2406" priority="57" operator="equal">
      <formula>0</formula>
    </cfRule>
  </conditionalFormatting>
  <conditionalFormatting sqref="BY19">
    <cfRule type="expression" dxfId="2405" priority="23">
      <formula>OR(AND($E$29&gt;=47,$E$29&lt;=51,BY14&gt;0),BY19&gt;52,AND($E$29&gt;52,BY14&gt;0),AND(BY19&gt;=1,BY14=0))</formula>
    </cfRule>
    <cfRule type="cellIs" dxfId="2404" priority="12" operator="greaterThan">
      <formula>0</formula>
    </cfRule>
  </conditionalFormatting>
  <conditionalFormatting sqref="BY22">
    <cfRule type="cellIs" dxfId="2403" priority="41" operator="equal">
      <formula>0</formula>
    </cfRule>
  </conditionalFormatting>
  <conditionalFormatting sqref="CA7:CH13">
    <cfRule type="cellIs" dxfId="2402" priority="14" operator="greaterThan">
      <formula>0</formula>
    </cfRule>
  </conditionalFormatting>
  <conditionalFormatting sqref="CA17:CI17">
    <cfRule type="expression" dxfId="2401" priority="49">
      <formula>CJ17=0</formula>
    </cfRule>
  </conditionalFormatting>
  <conditionalFormatting sqref="CA22:CI22">
    <cfRule type="expression" dxfId="2400" priority="33">
      <formula>CJ22=0</formula>
    </cfRule>
  </conditionalFormatting>
  <conditionalFormatting sqref="CJ17">
    <cfRule type="cellIs" dxfId="2399" priority="56" operator="equal">
      <formula>0</formula>
    </cfRule>
  </conditionalFormatting>
  <conditionalFormatting sqref="CJ19">
    <cfRule type="expression" dxfId="2398" priority="22">
      <formula>OR(AND($E$29&gt;=47,$E$29&lt;=51,CJ14&gt;0),CJ19&gt;52,AND($E$29&gt;52,CJ14&gt;0),AND(CJ19&gt;=1,CJ14=0))</formula>
    </cfRule>
    <cfRule type="cellIs" dxfId="2397" priority="13" operator="greaterThan">
      <formula>0</formula>
    </cfRule>
  </conditionalFormatting>
  <conditionalFormatting sqref="CJ22">
    <cfRule type="cellIs" dxfId="2396" priority="40" operator="equal">
      <formula>0</formula>
    </cfRule>
  </conditionalFormatting>
  <dataValidations count="5">
    <dataValidation type="list" allowBlank="1" showInputMessage="1" showErrorMessage="1" sqref="N31 W31" xr:uid="{00000000-0002-0000-1300-000000000000}">
      <formula1>"OUI,NON"</formula1>
    </dataValidation>
    <dataValidation errorStyle="information" allowBlank="1" showErrorMessage="1" errorTitle="Ne peut ête supérieure à 52 sem" sqref="E29:I29" xr:uid="{00000000-0002-0000-1300-000001000000}"/>
    <dataValidation type="list" showInputMessage="1" showErrorMessage="1" sqref="C77" xr:uid="{00000000-0002-0000-1300-000003000000}">
      <formula1>"0,1,2,3,4"</formula1>
    </dataValidation>
    <dataValidation type="list" allowBlank="1" showInputMessage="1" showErrorMessage="1" sqref="P39" xr:uid="{F3091FA3-92AD-4F7C-8F00-B3F00C34B338}">
      <formula1>Table_méthode_retenue</formula1>
    </dataValidation>
    <dataValidation type="list" allowBlank="1" showInputMessage="1" showErrorMessage="1" sqref="Y36 Y38" xr:uid="{49C1BC15-118B-48E1-AAD3-2BB4DD2B7167}">
      <formula1>liste_vide_oui_non</formula1>
    </dataValidation>
  </dataValidations>
  <pageMargins left="0.7" right="0.7" top="0.75" bottom="0.75" header="0.3" footer="0.3"/>
  <pageSetup paperSize="9" orientation="portrait" horizontalDpi="1200" verticalDpi="12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7" id="{D078E540-56E9-4602-9F71-48F1B0A9B692}">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86" id="{DFEEDB75-B90E-49AC-B023-AF88594A04B9}">
            <xm:f>Identification!$B$3=S.CAL!$AY$3</xm:f>
            <x14:dxf>
              <font>
                <color theme="0"/>
              </font>
            </x14:dxf>
          </x14:cfRule>
          <xm:sqref>D54:I58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4000000}">
          <x14:formula1>
            <xm:f>S.CAL!$DE$3:$DE$13</xm:f>
          </x14:formula1>
          <xm:sqref>U1:W1</xm:sqref>
        </x14:dataValidation>
        <x14:dataValidation type="list" allowBlank="1" showInputMessage="1" showErrorMessage="1" xr:uid="{9E1CE493-F64B-4C25-BB26-6ECAF1945921}">
          <x14:formula1>
            <xm:f>S.CAL!$GC$2:$GC$5</xm:f>
          </x14:formula1>
          <xm:sqref>M1:N1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2:J135"/>
  <sheetViews>
    <sheetView showGridLines="0" zoomScale="90" zoomScaleNormal="90" workbookViewId="0">
      <selection activeCell="B13" sqref="B13"/>
    </sheetView>
  </sheetViews>
  <sheetFormatPr baseColWidth="10" defaultColWidth="11.42578125" defaultRowHeight="12.75" x14ac:dyDescent="0.2"/>
  <cols>
    <col min="1" max="1" width="13.85546875" style="16" customWidth="1"/>
    <col min="2" max="2" width="18.140625" style="16" customWidth="1"/>
    <col min="3" max="3" width="16.42578125" style="16" customWidth="1"/>
    <col min="4" max="4" width="30.42578125" style="16" customWidth="1"/>
    <col min="5" max="5" width="13.85546875" style="16" customWidth="1"/>
    <col min="6" max="6" width="10.42578125" style="16" customWidth="1"/>
    <col min="7" max="19" width="13.85546875" style="16" customWidth="1"/>
    <col min="20" max="16384" width="11.42578125" style="16"/>
  </cols>
  <sheetData>
    <row r="2" spans="1:10" ht="15.75" x14ac:dyDescent="0.25">
      <c r="A2" s="1711" t="s">
        <v>24</v>
      </c>
      <c r="B2" s="1711"/>
      <c r="C2" s="1711"/>
      <c r="D2" s="1711"/>
      <c r="E2" s="1711"/>
      <c r="F2" s="1711"/>
      <c r="G2" s="1711"/>
      <c r="H2" s="1711"/>
      <c r="I2" s="1711"/>
      <c r="J2" s="1711"/>
    </row>
    <row r="5" spans="1:10" x14ac:dyDescent="0.2">
      <c r="D5" s="29" t="s">
        <v>25</v>
      </c>
      <c r="E5" s="1713">
        <f>+Identification!B25</f>
        <v>0</v>
      </c>
      <c r="F5" s="1713"/>
      <c r="G5" s="1713"/>
      <c r="H5" s="1713"/>
    </row>
    <row r="7" spans="1:10" x14ac:dyDescent="0.2">
      <c r="D7" s="29" t="s">
        <v>1160</v>
      </c>
      <c r="E7" s="1712">
        <f>+Identification!B28</f>
        <v>0</v>
      </c>
      <c r="F7" s="1712"/>
    </row>
    <row r="8" spans="1:10" ht="13.5" thickBot="1" x14ac:dyDescent="0.25"/>
    <row r="9" spans="1:10" ht="13.5" thickBot="1" x14ac:dyDescent="0.25">
      <c r="B9" s="817"/>
      <c r="C9" s="817"/>
      <c r="D9" s="817"/>
      <c r="E9" s="818" t="str">
        <f>"Nombre de jours Courte Absence (jrs travaillés) maximum "&amp;F9&amp;" jours pouvant être retiré : "</f>
        <v xml:space="preserve">Nombre de jours Courte Absence (jrs travaillés) maximum 5 jours pouvant être retiré : </v>
      </c>
      <c r="F9" s="1605">
        <v>5</v>
      </c>
      <c r="G9" s="16" t="s">
        <v>1161</v>
      </c>
    </row>
    <row r="10" spans="1:10" ht="13.5" thickBot="1" x14ac:dyDescent="0.25">
      <c r="F10" s="27"/>
    </row>
    <row r="11" spans="1:10" ht="13.5" thickBot="1" x14ac:dyDescent="0.25">
      <c r="B11" s="819"/>
      <c r="C11" s="819"/>
      <c r="D11" s="819"/>
      <c r="E11" s="820" t="str">
        <f>"Nombre de jours Longue Absence  ("&amp;F11&amp;" jrs calendaires) pouvant être retiré :"</f>
        <v>Nombre de jours Longue Absence  (14 jrs calendaires) pouvant être retiré :</v>
      </c>
      <c r="F11" s="1605">
        <v>14</v>
      </c>
      <c r="G11" s="16" t="s">
        <v>1161</v>
      </c>
    </row>
    <row r="14" spans="1:10" x14ac:dyDescent="0.2">
      <c r="C14" s="825"/>
      <c r="D14" s="826" t="s">
        <v>1164</v>
      </c>
      <c r="E14" s="827">
        <f>+E7</f>
        <v>0</v>
      </c>
      <c r="F14" s="828" t="s">
        <v>451</v>
      </c>
      <c r="G14" s="827">
        <f>+IF(G15="",EDATE(E14,12),G15)</f>
        <v>366</v>
      </c>
    </row>
    <row r="15" spans="1:10" x14ac:dyDescent="0.2">
      <c r="F15" s="816" t="s">
        <v>492</v>
      </c>
      <c r="G15" s="1082"/>
    </row>
    <row r="16" spans="1:10" ht="13.5" thickBot="1" x14ac:dyDescent="0.25"/>
    <row r="17" spans="2:10" ht="13.5" thickTop="1" x14ac:dyDescent="0.2">
      <c r="B17" s="1216" t="s">
        <v>26</v>
      </c>
      <c r="C17" s="1217" t="s">
        <v>1162</v>
      </c>
      <c r="D17" s="1217" t="s">
        <v>1163</v>
      </c>
      <c r="E17" s="1709" t="s">
        <v>795</v>
      </c>
      <c r="F17" s="1709"/>
      <c r="G17" s="1709"/>
      <c r="H17" s="1709"/>
      <c r="I17" s="1709"/>
      <c r="J17" s="1710"/>
    </row>
    <row r="18" spans="2:10" x14ac:dyDescent="0.2">
      <c r="B18" s="1074"/>
      <c r="C18" s="1075"/>
      <c r="D18" s="1076"/>
      <c r="E18" s="1703"/>
      <c r="F18" s="1704"/>
      <c r="G18" s="1704"/>
      <c r="H18" s="1704"/>
      <c r="I18" s="1704"/>
      <c r="J18" s="1705"/>
    </row>
    <row r="19" spans="2:10" x14ac:dyDescent="0.2">
      <c r="B19" s="1074"/>
      <c r="C19" s="1075"/>
      <c r="D19" s="1076"/>
      <c r="E19" s="1703"/>
      <c r="F19" s="1704"/>
      <c r="G19" s="1704"/>
      <c r="H19" s="1704"/>
      <c r="I19" s="1704"/>
      <c r="J19" s="1705"/>
    </row>
    <row r="20" spans="2:10" x14ac:dyDescent="0.2">
      <c r="B20" s="1074"/>
      <c r="C20" s="1075"/>
      <c r="D20" s="1076"/>
      <c r="E20" s="1703"/>
      <c r="F20" s="1704"/>
      <c r="G20" s="1704"/>
      <c r="H20" s="1704"/>
      <c r="I20" s="1704"/>
      <c r="J20" s="1705"/>
    </row>
    <row r="21" spans="2:10" x14ac:dyDescent="0.2">
      <c r="B21" s="1074"/>
      <c r="C21" s="1075"/>
      <c r="D21" s="1076"/>
      <c r="E21" s="1703"/>
      <c r="F21" s="1704"/>
      <c r="G21" s="1704"/>
      <c r="H21" s="1704"/>
      <c r="I21" s="1704"/>
      <c r="J21" s="1705"/>
    </row>
    <row r="22" spans="2:10" x14ac:dyDescent="0.2">
      <c r="B22" s="1074"/>
      <c r="C22" s="1075"/>
      <c r="D22" s="1076"/>
      <c r="E22" s="1703"/>
      <c r="F22" s="1704"/>
      <c r="G22" s="1704"/>
      <c r="H22" s="1704"/>
      <c r="I22" s="1704"/>
      <c r="J22" s="1705"/>
    </row>
    <row r="23" spans="2:10" x14ac:dyDescent="0.2">
      <c r="B23" s="1074"/>
      <c r="C23" s="1075"/>
      <c r="D23" s="1076"/>
      <c r="E23" s="1703"/>
      <c r="F23" s="1704"/>
      <c r="G23" s="1704"/>
      <c r="H23" s="1704"/>
      <c r="I23" s="1704"/>
      <c r="J23" s="1705"/>
    </row>
    <row r="24" spans="2:10" x14ac:dyDescent="0.2">
      <c r="B24" s="1074"/>
      <c r="C24" s="1075"/>
      <c r="D24" s="1076"/>
      <c r="E24" s="1703"/>
      <c r="F24" s="1704"/>
      <c r="G24" s="1704"/>
      <c r="H24" s="1704"/>
      <c r="I24" s="1704"/>
      <c r="J24" s="1705"/>
    </row>
    <row r="25" spans="2:10" x14ac:dyDescent="0.2">
      <c r="B25" s="1074"/>
      <c r="C25" s="1075"/>
      <c r="D25" s="1076"/>
      <c r="E25" s="1703"/>
      <c r="F25" s="1704"/>
      <c r="G25" s="1704"/>
      <c r="H25" s="1704"/>
      <c r="I25" s="1704"/>
      <c r="J25" s="1705"/>
    </row>
    <row r="26" spans="2:10" ht="13.5" thickBot="1" x14ac:dyDescent="0.25">
      <c r="B26" s="1077"/>
      <c r="C26" s="1078"/>
      <c r="D26" s="1079"/>
      <c r="E26" s="1706"/>
      <c r="F26" s="1707"/>
      <c r="G26" s="1707"/>
      <c r="H26" s="1707"/>
      <c r="I26" s="1707"/>
      <c r="J26" s="1708"/>
    </row>
    <row r="27" spans="2:10" ht="13.5" thickTop="1" x14ac:dyDescent="0.2"/>
    <row r="28" spans="2:10" x14ac:dyDescent="0.2">
      <c r="D28" s="818" t="s">
        <v>1717</v>
      </c>
      <c r="E28" s="821">
        <f>+SUMIF(D18:D26,"Courte Absence",C18:C26)</f>
        <v>0</v>
      </c>
      <c r="F28" s="29" t="s">
        <v>1165</v>
      </c>
      <c r="G28" s="822">
        <f>+F9-E28</f>
        <v>5</v>
      </c>
    </row>
    <row r="30" spans="2:10" x14ac:dyDescent="0.2">
      <c r="D30" s="820" t="s">
        <v>1718</v>
      </c>
      <c r="E30" s="821">
        <f>+SUMIF(D18:D26,"Longue Absence",C18:C26)</f>
        <v>0</v>
      </c>
      <c r="F30" s="29" t="s">
        <v>1165</v>
      </c>
      <c r="G30" s="822">
        <f>+F11-E30</f>
        <v>14</v>
      </c>
    </row>
    <row r="31" spans="2:10" x14ac:dyDescent="0.2">
      <c r="E31" s="18" t="str">
        <f>+IF(OR(E30=F11,E30=0),"","Le nombre de jours pour Longue Absence doit être de "&amp;F11&amp;" jours consécutifs")</f>
        <v/>
      </c>
    </row>
    <row r="32" spans="2:10" x14ac:dyDescent="0.2">
      <c r="C32" s="195" t="s">
        <v>1167</v>
      </c>
    </row>
    <row r="34" spans="2:10" x14ac:dyDescent="0.2">
      <c r="E34" s="823" t="s">
        <v>492</v>
      </c>
      <c r="F34" s="1081"/>
    </row>
    <row r="35" spans="2:10" x14ac:dyDescent="0.2">
      <c r="B35" s="817"/>
      <c r="C35" s="817"/>
      <c r="D35" s="817"/>
      <c r="E35" s="818" t="str">
        <f>"Nombre de jours Courte Absence (jrs travaillés) maximum "&amp;F35&amp;" jours pouvant être retiré : "</f>
        <v xml:space="preserve">Nombre de jours Courte Absence (jrs travaillés) maximum 5 jours pouvant être retiré : </v>
      </c>
      <c r="F35" s="821">
        <f>+IF(F34="",F9,F34)</f>
        <v>5</v>
      </c>
      <c r="G35" s="16" t="s">
        <v>1161</v>
      </c>
    </row>
    <row r="36" spans="2:10" x14ac:dyDescent="0.2">
      <c r="F36" s="27"/>
    </row>
    <row r="37" spans="2:10" x14ac:dyDescent="0.2">
      <c r="B37" s="819"/>
      <c r="C37" s="819"/>
      <c r="D37" s="819"/>
      <c r="E37" s="820" t="str">
        <f>"Nombre de jours Longue Absence  ("&amp;F37&amp;" jrs calendaires) pouvant être retiré :"</f>
        <v>Nombre de jours Longue Absence  (14 jrs calendaires) pouvant être retiré :</v>
      </c>
      <c r="F37" s="821">
        <f>+IF(F38="",F11,F38)</f>
        <v>14</v>
      </c>
      <c r="G37" s="16" t="s">
        <v>1161</v>
      </c>
    </row>
    <row r="38" spans="2:10" x14ac:dyDescent="0.2">
      <c r="E38" s="824" t="s">
        <v>492</v>
      </c>
      <c r="F38" s="1080"/>
    </row>
    <row r="40" spans="2:10" x14ac:dyDescent="0.2">
      <c r="C40" s="829"/>
      <c r="D40" s="830" t="s">
        <v>1166</v>
      </c>
      <c r="E40" s="831">
        <f>+G14</f>
        <v>366</v>
      </c>
      <c r="F40" s="832" t="s">
        <v>451</v>
      </c>
      <c r="G40" s="831">
        <f>+IF(G41="",EDATE(E40,12),G41)</f>
        <v>731</v>
      </c>
    </row>
    <row r="41" spans="2:10" x14ac:dyDescent="0.2">
      <c r="F41" s="816" t="s">
        <v>492</v>
      </c>
      <c r="G41" s="1082"/>
    </row>
    <row r="42" spans="2:10" ht="13.5" thickBot="1" x14ac:dyDescent="0.25"/>
    <row r="43" spans="2:10" ht="13.5" thickTop="1" x14ac:dyDescent="0.2">
      <c r="B43" s="1216" t="s">
        <v>26</v>
      </c>
      <c r="C43" s="1217" t="s">
        <v>1162</v>
      </c>
      <c r="D43" s="1217" t="s">
        <v>1163</v>
      </c>
      <c r="E43" s="1709" t="s">
        <v>795</v>
      </c>
      <c r="F43" s="1709"/>
      <c r="G43" s="1709"/>
      <c r="H43" s="1709"/>
      <c r="I43" s="1709"/>
      <c r="J43" s="1710"/>
    </row>
    <row r="44" spans="2:10" x14ac:dyDescent="0.2">
      <c r="B44" s="1074"/>
      <c r="C44" s="1075"/>
      <c r="D44" s="1076"/>
      <c r="E44" s="1703"/>
      <c r="F44" s="1704"/>
      <c r="G44" s="1704"/>
      <c r="H44" s="1704"/>
      <c r="I44" s="1704"/>
      <c r="J44" s="1705"/>
    </row>
    <row r="45" spans="2:10" x14ac:dyDescent="0.2">
      <c r="B45" s="1074"/>
      <c r="C45" s="1075"/>
      <c r="D45" s="1076"/>
      <c r="E45" s="1703"/>
      <c r="F45" s="1704"/>
      <c r="G45" s="1704"/>
      <c r="H45" s="1704"/>
      <c r="I45" s="1704"/>
      <c r="J45" s="1705"/>
    </row>
    <row r="46" spans="2:10" x14ac:dyDescent="0.2">
      <c r="B46" s="1074"/>
      <c r="C46" s="1075"/>
      <c r="D46" s="1076"/>
      <c r="E46" s="1703"/>
      <c r="F46" s="1704"/>
      <c r="G46" s="1704"/>
      <c r="H46" s="1704"/>
      <c r="I46" s="1704"/>
      <c r="J46" s="1705"/>
    </row>
    <row r="47" spans="2:10" x14ac:dyDescent="0.2">
      <c r="B47" s="1074"/>
      <c r="C47" s="1075"/>
      <c r="D47" s="1076"/>
      <c r="E47" s="1703"/>
      <c r="F47" s="1704"/>
      <c r="G47" s="1704"/>
      <c r="H47" s="1704"/>
      <c r="I47" s="1704"/>
      <c r="J47" s="1705"/>
    </row>
    <row r="48" spans="2:10" x14ac:dyDescent="0.2">
      <c r="B48" s="1074"/>
      <c r="C48" s="1075"/>
      <c r="D48" s="1076"/>
      <c r="E48" s="1703"/>
      <c r="F48" s="1704"/>
      <c r="G48" s="1704"/>
      <c r="H48" s="1704"/>
      <c r="I48" s="1704"/>
      <c r="J48" s="1705"/>
    </row>
    <row r="49" spans="2:10" x14ac:dyDescent="0.2">
      <c r="B49" s="1074"/>
      <c r="C49" s="1075"/>
      <c r="D49" s="1076"/>
      <c r="E49" s="1703"/>
      <c r="F49" s="1704"/>
      <c r="G49" s="1704"/>
      <c r="H49" s="1704"/>
      <c r="I49" s="1704"/>
      <c r="J49" s="1705"/>
    </row>
    <row r="50" spans="2:10" x14ac:dyDescent="0.2">
      <c r="B50" s="1074"/>
      <c r="C50" s="1075"/>
      <c r="D50" s="1076"/>
      <c r="E50" s="1703"/>
      <c r="F50" s="1704"/>
      <c r="G50" s="1704"/>
      <c r="H50" s="1704"/>
      <c r="I50" s="1704"/>
      <c r="J50" s="1705"/>
    </row>
    <row r="51" spans="2:10" x14ac:dyDescent="0.2">
      <c r="B51" s="1074"/>
      <c r="C51" s="1075"/>
      <c r="D51" s="1076"/>
      <c r="E51" s="1703"/>
      <c r="F51" s="1704"/>
      <c r="G51" s="1704"/>
      <c r="H51" s="1704"/>
      <c r="I51" s="1704"/>
      <c r="J51" s="1705"/>
    </row>
    <row r="52" spans="2:10" ht="13.5" thickBot="1" x14ac:dyDescent="0.25">
      <c r="B52" s="1077"/>
      <c r="C52" s="1078"/>
      <c r="D52" s="1079"/>
      <c r="E52" s="1706"/>
      <c r="F52" s="1707"/>
      <c r="G52" s="1707"/>
      <c r="H52" s="1707"/>
      <c r="I52" s="1707"/>
      <c r="J52" s="1708"/>
    </row>
    <row r="53" spans="2:10" ht="13.5" thickTop="1" x14ac:dyDescent="0.2"/>
    <row r="54" spans="2:10" x14ac:dyDescent="0.2">
      <c r="D54" s="818" t="s">
        <v>1717</v>
      </c>
      <c r="E54" s="821">
        <f>+SUMIF(D44:D52,"Courte Absence",C44:C52)</f>
        <v>0</v>
      </c>
      <c r="F54" s="29" t="s">
        <v>1165</v>
      </c>
      <c r="G54" s="822">
        <f>+F35-E54</f>
        <v>5</v>
      </c>
    </row>
    <row r="56" spans="2:10" x14ac:dyDescent="0.2">
      <c r="D56" s="820" t="s">
        <v>1718</v>
      </c>
      <c r="E56" s="821">
        <f>+SUMIF(D44:D52,"Longue Absence",C44:C52)</f>
        <v>0</v>
      </c>
      <c r="F56" s="29" t="s">
        <v>1165</v>
      </c>
      <c r="G56" s="822">
        <f>++F37-E56</f>
        <v>14</v>
      </c>
    </row>
    <row r="57" spans="2:10" x14ac:dyDescent="0.2">
      <c r="E57" s="18" t="str">
        <f>+IF(OR(E56=F37,E56=0),"","Le nombre de jours pour Longue Absence doit être de "&amp;F37&amp;" jours consécutifs")</f>
        <v/>
      </c>
    </row>
    <row r="58" spans="2:10" x14ac:dyDescent="0.2">
      <c r="C58" s="195" t="s">
        <v>1167</v>
      </c>
    </row>
    <row r="60" spans="2:10" x14ac:dyDescent="0.2">
      <c r="E60" s="823" t="s">
        <v>492</v>
      </c>
      <c r="F60" s="1081"/>
    </row>
    <row r="61" spans="2:10" x14ac:dyDescent="0.2">
      <c r="B61" s="817"/>
      <c r="C61" s="817"/>
      <c r="D61" s="817"/>
      <c r="E61" s="818" t="str">
        <f>"Nombre de jours Courte Absence (jrs travaillés) maximum "&amp;F61&amp;" jours pouvant être retiré : "</f>
        <v xml:space="preserve">Nombre de jours Courte Absence (jrs travaillés) maximum 5 jours pouvant être retiré : </v>
      </c>
      <c r="F61" s="821">
        <f>+IF(F60="",F35,F60)</f>
        <v>5</v>
      </c>
      <c r="G61" s="16" t="s">
        <v>1161</v>
      </c>
    </row>
    <row r="62" spans="2:10" x14ac:dyDescent="0.2">
      <c r="F62" s="27"/>
    </row>
    <row r="63" spans="2:10" x14ac:dyDescent="0.2">
      <c r="B63" s="819"/>
      <c r="C63" s="819"/>
      <c r="D63" s="819"/>
      <c r="E63" s="820" t="str">
        <f>"Nombre de jours Longue Absence  ("&amp;F63&amp;" jrs calendaires) pouvant être retiré :"</f>
        <v>Nombre de jours Longue Absence  (14 jrs calendaires) pouvant être retiré :</v>
      </c>
      <c r="F63" s="821">
        <f>+IF(F64="",F37,F64)</f>
        <v>14</v>
      </c>
      <c r="G63" s="16" t="s">
        <v>1161</v>
      </c>
    </row>
    <row r="64" spans="2:10" x14ac:dyDescent="0.2">
      <c r="E64" s="824" t="s">
        <v>492</v>
      </c>
      <c r="F64" s="1080"/>
    </row>
    <row r="66" spans="2:10" x14ac:dyDescent="0.2">
      <c r="C66" s="303"/>
      <c r="D66" s="833" t="s">
        <v>1168</v>
      </c>
      <c r="E66" s="834">
        <f>+G40</f>
        <v>731</v>
      </c>
      <c r="F66" s="835" t="s">
        <v>451</v>
      </c>
      <c r="G66" s="834">
        <f>+IF(G67="",EDATE(E66,12),G67)</f>
        <v>1096</v>
      </c>
    </row>
    <row r="67" spans="2:10" x14ac:dyDescent="0.2">
      <c r="F67" s="816" t="s">
        <v>492</v>
      </c>
      <c r="G67" s="1082"/>
    </row>
    <row r="68" spans="2:10" ht="13.5" thickBot="1" x14ac:dyDescent="0.25"/>
    <row r="69" spans="2:10" ht="13.5" thickTop="1" x14ac:dyDescent="0.2">
      <c r="B69" s="1216" t="s">
        <v>26</v>
      </c>
      <c r="C69" s="1217" t="s">
        <v>1162</v>
      </c>
      <c r="D69" s="1217" t="s">
        <v>1163</v>
      </c>
      <c r="E69" s="1709" t="s">
        <v>795</v>
      </c>
      <c r="F69" s="1709"/>
      <c r="G69" s="1709"/>
      <c r="H69" s="1709"/>
      <c r="I69" s="1709"/>
      <c r="J69" s="1710"/>
    </row>
    <row r="70" spans="2:10" x14ac:dyDescent="0.2">
      <c r="B70" s="1074"/>
      <c r="C70" s="1075"/>
      <c r="D70" s="1076"/>
      <c r="E70" s="1703"/>
      <c r="F70" s="1704"/>
      <c r="G70" s="1704"/>
      <c r="H70" s="1704"/>
      <c r="I70" s="1704"/>
      <c r="J70" s="1705"/>
    </row>
    <row r="71" spans="2:10" x14ac:dyDescent="0.2">
      <c r="B71" s="1074"/>
      <c r="C71" s="1075"/>
      <c r="D71" s="1076"/>
      <c r="E71" s="1703"/>
      <c r="F71" s="1704"/>
      <c r="G71" s="1704"/>
      <c r="H71" s="1704"/>
      <c r="I71" s="1704"/>
      <c r="J71" s="1705"/>
    </row>
    <row r="72" spans="2:10" x14ac:dyDescent="0.2">
      <c r="B72" s="1074"/>
      <c r="C72" s="1075"/>
      <c r="D72" s="1076"/>
      <c r="E72" s="1703"/>
      <c r="F72" s="1704"/>
      <c r="G72" s="1704"/>
      <c r="H72" s="1704"/>
      <c r="I72" s="1704"/>
      <c r="J72" s="1705"/>
    </row>
    <row r="73" spans="2:10" x14ac:dyDescent="0.2">
      <c r="B73" s="1074"/>
      <c r="C73" s="1075"/>
      <c r="D73" s="1076"/>
      <c r="E73" s="1703"/>
      <c r="F73" s="1704"/>
      <c r="G73" s="1704"/>
      <c r="H73" s="1704"/>
      <c r="I73" s="1704"/>
      <c r="J73" s="1705"/>
    </row>
    <row r="74" spans="2:10" x14ac:dyDescent="0.2">
      <c r="B74" s="1074"/>
      <c r="C74" s="1075"/>
      <c r="D74" s="1076"/>
      <c r="E74" s="1703"/>
      <c r="F74" s="1704"/>
      <c r="G74" s="1704"/>
      <c r="H74" s="1704"/>
      <c r="I74" s="1704"/>
      <c r="J74" s="1705"/>
    </row>
    <row r="75" spans="2:10" x14ac:dyDescent="0.2">
      <c r="B75" s="1074"/>
      <c r="C75" s="1075"/>
      <c r="D75" s="1076"/>
      <c r="E75" s="1703"/>
      <c r="F75" s="1704"/>
      <c r="G75" s="1704"/>
      <c r="H75" s="1704"/>
      <c r="I75" s="1704"/>
      <c r="J75" s="1705"/>
    </row>
    <row r="76" spans="2:10" x14ac:dyDescent="0.2">
      <c r="B76" s="1074"/>
      <c r="C76" s="1075"/>
      <c r="D76" s="1076"/>
      <c r="E76" s="1703"/>
      <c r="F76" s="1704"/>
      <c r="G76" s="1704"/>
      <c r="H76" s="1704"/>
      <c r="I76" s="1704"/>
      <c r="J76" s="1705"/>
    </row>
    <row r="77" spans="2:10" x14ac:dyDescent="0.2">
      <c r="B77" s="1074"/>
      <c r="C77" s="1075"/>
      <c r="D77" s="1076"/>
      <c r="E77" s="1703"/>
      <c r="F77" s="1704"/>
      <c r="G77" s="1704"/>
      <c r="H77" s="1704"/>
      <c r="I77" s="1704"/>
      <c r="J77" s="1705"/>
    </row>
    <row r="78" spans="2:10" ht="13.5" thickBot="1" x14ac:dyDescent="0.25">
      <c r="B78" s="1077"/>
      <c r="C78" s="1078"/>
      <c r="D78" s="1079"/>
      <c r="E78" s="1706"/>
      <c r="F78" s="1707"/>
      <c r="G78" s="1707"/>
      <c r="H78" s="1707"/>
      <c r="I78" s="1707"/>
      <c r="J78" s="1708"/>
    </row>
    <row r="79" spans="2:10" ht="13.5" thickTop="1" x14ac:dyDescent="0.2"/>
    <row r="80" spans="2:10" x14ac:dyDescent="0.2">
      <c r="D80" s="818" t="s">
        <v>1717</v>
      </c>
      <c r="E80" s="821">
        <f>+SUMIF(D70:D78,"Courte Absence",C70:C78)</f>
        <v>0</v>
      </c>
      <c r="F80" s="29" t="s">
        <v>1165</v>
      </c>
      <c r="G80" s="822">
        <f>+F61-E80</f>
        <v>5</v>
      </c>
    </row>
    <row r="82" spans="2:10" x14ac:dyDescent="0.2">
      <c r="D82" s="820" t="s">
        <v>1718</v>
      </c>
      <c r="E82" s="821">
        <f>+SUMIF(D70:D78,"Longue Absence",C70:C78)</f>
        <v>0</v>
      </c>
      <c r="F82" s="29" t="s">
        <v>1165</v>
      </c>
      <c r="G82" s="822">
        <f>++F63-E82</f>
        <v>14</v>
      </c>
    </row>
    <row r="83" spans="2:10" x14ac:dyDescent="0.2">
      <c r="E83" s="18" t="str">
        <f>+IF(OR(E82=F63,E82=0),"","Le nombre de jours pour Longue Absence doit être de "&amp;F63&amp;" jours consécutifs")</f>
        <v/>
      </c>
    </row>
    <row r="84" spans="2:10" x14ac:dyDescent="0.2">
      <c r="C84" s="195" t="s">
        <v>1167</v>
      </c>
    </row>
    <row r="86" spans="2:10" x14ac:dyDescent="0.2">
      <c r="E86" s="823" t="s">
        <v>492</v>
      </c>
      <c r="F86" s="1081"/>
    </row>
    <row r="87" spans="2:10" x14ac:dyDescent="0.2">
      <c r="B87" s="817"/>
      <c r="C87" s="817"/>
      <c r="D87" s="817"/>
      <c r="E87" s="818" t="str">
        <f>"Nombre de jours Courte Absence (jrs travaillés) maximum "&amp;F87&amp;" jours pouvant être retiré : "</f>
        <v xml:space="preserve">Nombre de jours Courte Absence (jrs travaillés) maximum 5 jours pouvant être retiré : </v>
      </c>
      <c r="F87" s="821">
        <f>+IF(F86="",F61,F86)</f>
        <v>5</v>
      </c>
      <c r="G87" s="16" t="s">
        <v>1161</v>
      </c>
    </row>
    <row r="88" spans="2:10" x14ac:dyDescent="0.2">
      <c r="F88" s="27"/>
    </row>
    <row r="89" spans="2:10" x14ac:dyDescent="0.2">
      <c r="B89" s="819"/>
      <c r="C89" s="819"/>
      <c r="D89" s="819"/>
      <c r="E89" s="820" t="str">
        <f>"Nombre de jours Longue Absence  ("&amp;F89&amp;" jrs calendaires) pouvant être retiré :"</f>
        <v>Nombre de jours Longue Absence  (14 jrs calendaires) pouvant être retiré :</v>
      </c>
      <c r="F89" s="821">
        <f>+IF(F90="",F63,F90)</f>
        <v>14</v>
      </c>
      <c r="G89" s="16" t="s">
        <v>1161</v>
      </c>
    </row>
    <row r="90" spans="2:10" x14ac:dyDescent="0.2">
      <c r="E90" s="824" t="s">
        <v>492</v>
      </c>
      <c r="F90" s="1080"/>
    </row>
    <row r="92" spans="2:10" x14ac:dyDescent="0.2">
      <c r="C92" s="836"/>
      <c r="D92" s="837" t="s">
        <v>1169</v>
      </c>
      <c r="E92" s="838">
        <f>+G66</f>
        <v>1096</v>
      </c>
      <c r="F92" s="839" t="s">
        <v>451</v>
      </c>
      <c r="G92" s="838">
        <f>+IF(G93="",EDATE(E92,12),G93)</f>
        <v>1461</v>
      </c>
    </row>
    <row r="93" spans="2:10" x14ac:dyDescent="0.2">
      <c r="F93" s="816" t="s">
        <v>492</v>
      </c>
      <c r="G93" s="1082"/>
    </row>
    <row r="94" spans="2:10" ht="13.5" thickBot="1" x14ac:dyDescent="0.25"/>
    <row r="95" spans="2:10" ht="13.5" thickTop="1" x14ac:dyDescent="0.2">
      <c r="B95" s="1216" t="s">
        <v>26</v>
      </c>
      <c r="C95" s="1217" t="s">
        <v>1162</v>
      </c>
      <c r="D95" s="1217" t="s">
        <v>1163</v>
      </c>
      <c r="E95" s="1709" t="s">
        <v>795</v>
      </c>
      <c r="F95" s="1709"/>
      <c r="G95" s="1709"/>
      <c r="H95" s="1709"/>
      <c r="I95" s="1709"/>
      <c r="J95" s="1710"/>
    </row>
    <row r="96" spans="2:10" x14ac:dyDescent="0.2">
      <c r="B96" s="1074"/>
      <c r="C96" s="1075"/>
      <c r="D96" s="1076"/>
      <c r="E96" s="1703"/>
      <c r="F96" s="1704"/>
      <c r="G96" s="1704"/>
      <c r="H96" s="1704"/>
      <c r="I96" s="1704"/>
      <c r="J96" s="1705"/>
    </row>
    <row r="97" spans="2:10" x14ac:dyDescent="0.2">
      <c r="B97" s="1074"/>
      <c r="C97" s="1075"/>
      <c r="D97" s="1076"/>
      <c r="E97" s="1703"/>
      <c r="F97" s="1704"/>
      <c r="G97" s="1704"/>
      <c r="H97" s="1704"/>
      <c r="I97" s="1704"/>
      <c r="J97" s="1705"/>
    </row>
    <row r="98" spans="2:10" x14ac:dyDescent="0.2">
      <c r="B98" s="1074"/>
      <c r="C98" s="1075"/>
      <c r="D98" s="1076"/>
      <c r="E98" s="1703"/>
      <c r="F98" s="1704"/>
      <c r="G98" s="1704"/>
      <c r="H98" s="1704"/>
      <c r="I98" s="1704"/>
      <c r="J98" s="1705"/>
    </row>
    <row r="99" spans="2:10" x14ac:dyDescent="0.2">
      <c r="B99" s="1074"/>
      <c r="C99" s="1075"/>
      <c r="D99" s="1076"/>
      <c r="E99" s="1703"/>
      <c r="F99" s="1704"/>
      <c r="G99" s="1704"/>
      <c r="H99" s="1704"/>
      <c r="I99" s="1704"/>
      <c r="J99" s="1705"/>
    </row>
    <row r="100" spans="2:10" x14ac:dyDescent="0.2">
      <c r="B100" s="1074"/>
      <c r="C100" s="1075"/>
      <c r="D100" s="1076"/>
      <c r="E100" s="1703"/>
      <c r="F100" s="1704"/>
      <c r="G100" s="1704"/>
      <c r="H100" s="1704"/>
      <c r="I100" s="1704"/>
      <c r="J100" s="1705"/>
    </row>
    <row r="101" spans="2:10" x14ac:dyDescent="0.2">
      <c r="B101" s="1074"/>
      <c r="C101" s="1075"/>
      <c r="D101" s="1076"/>
      <c r="E101" s="1703"/>
      <c r="F101" s="1704"/>
      <c r="G101" s="1704"/>
      <c r="H101" s="1704"/>
      <c r="I101" s="1704"/>
      <c r="J101" s="1705"/>
    </row>
    <row r="102" spans="2:10" x14ac:dyDescent="0.2">
      <c r="B102" s="1074"/>
      <c r="C102" s="1075"/>
      <c r="D102" s="1076"/>
      <c r="E102" s="1703"/>
      <c r="F102" s="1704"/>
      <c r="G102" s="1704"/>
      <c r="H102" s="1704"/>
      <c r="I102" s="1704"/>
      <c r="J102" s="1705"/>
    </row>
    <row r="103" spans="2:10" x14ac:dyDescent="0.2">
      <c r="B103" s="1074"/>
      <c r="C103" s="1075"/>
      <c r="D103" s="1076"/>
      <c r="E103" s="1703"/>
      <c r="F103" s="1704"/>
      <c r="G103" s="1704"/>
      <c r="H103" s="1704"/>
      <c r="I103" s="1704"/>
      <c r="J103" s="1705"/>
    </row>
    <row r="104" spans="2:10" ht="13.5" thickBot="1" x14ac:dyDescent="0.25">
      <c r="B104" s="1077"/>
      <c r="C104" s="1078"/>
      <c r="D104" s="1079"/>
      <c r="E104" s="1706"/>
      <c r="F104" s="1707"/>
      <c r="G104" s="1707"/>
      <c r="H104" s="1707"/>
      <c r="I104" s="1707"/>
      <c r="J104" s="1708"/>
    </row>
    <row r="105" spans="2:10" ht="13.5" thickTop="1" x14ac:dyDescent="0.2"/>
    <row r="106" spans="2:10" x14ac:dyDescent="0.2">
      <c r="D106" s="818" t="s">
        <v>1717</v>
      </c>
      <c r="E106" s="821">
        <f>+SUMIF(D96:D104,"Courte Absence",C96:C104)</f>
        <v>0</v>
      </c>
      <c r="F106" s="29" t="s">
        <v>1165</v>
      </c>
      <c r="G106" s="822">
        <f>+F87-E106</f>
        <v>5</v>
      </c>
    </row>
    <row r="108" spans="2:10" x14ac:dyDescent="0.2">
      <c r="D108" s="820" t="s">
        <v>1718</v>
      </c>
      <c r="E108" s="821">
        <f>+SUMIF(D96:D104,"Longue Absence",C96:C104)</f>
        <v>0</v>
      </c>
      <c r="F108" s="29" t="s">
        <v>1165</v>
      </c>
      <c r="G108" s="822">
        <f>++F89-E108</f>
        <v>14</v>
      </c>
    </row>
    <row r="109" spans="2:10" x14ac:dyDescent="0.2">
      <c r="E109" s="18" t="str">
        <f>+IF(OR(E108=F89,E108=0),"","Le nombre de jours pour Longue Absence doit être de "&amp;F89&amp;" jours consécutifs")</f>
        <v/>
      </c>
    </row>
    <row r="110" spans="2:10" x14ac:dyDescent="0.2">
      <c r="C110" s="195" t="s">
        <v>1167</v>
      </c>
    </row>
    <row r="112" spans="2:10" x14ac:dyDescent="0.2">
      <c r="E112" s="823" t="s">
        <v>492</v>
      </c>
      <c r="F112" s="1081"/>
    </row>
    <row r="113" spans="2:10" x14ac:dyDescent="0.2">
      <c r="B113" s="817"/>
      <c r="C113" s="817"/>
      <c r="D113" s="817"/>
      <c r="E113" s="818" t="str">
        <f>"Nombre de jours Courte Absence (jrs travaillés) maximum "&amp;F113&amp;" jours pouvant être retiré : "</f>
        <v xml:space="preserve">Nombre de jours Courte Absence (jrs travaillés) maximum 5 jours pouvant être retiré : </v>
      </c>
      <c r="F113" s="821">
        <f>+IF(F112="",F87,F112)</f>
        <v>5</v>
      </c>
      <c r="G113" s="16" t="s">
        <v>1161</v>
      </c>
    </row>
    <row r="114" spans="2:10" x14ac:dyDescent="0.2">
      <c r="F114" s="27"/>
    </row>
    <row r="115" spans="2:10" x14ac:dyDescent="0.2">
      <c r="B115" s="819"/>
      <c r="C115" s="819"/>
      <c r="D115" s="819"/>
      <c r="E115" s="820" t="str">
        <f>"Nombre de jours Longue Absence  ("&amp;F115&amp;" jrs calendaires) pouvant être retiré :"</f>
        <v>Nombre de jours Longue Absence  (14 jrs calendaires) pouvant être retiré :</v>
      </c>
      <c r="F115" s="821">
        <f>+IF(F116="",F89,F116)</f>
        <v>14</v>
      </c>
      <c r="G115" s="16" t="s">
        <v>1161</v>
      </c>
    </row>
    <row r="116" spans="2:10" x14ac:dyDescent="0.2">
      <c r="E116" s="824" t="s">
        <v>492</v>
      </c>
      <c r="F116" s="1080"/>
    </row>
    <row r="118" spans="2:10" x14ac:dyDescent="0.2">
      <c r="C118" s="840"/>
      <c r="D118" s="841" t="s">
        <v>1170</v>
      </c>
      <c r="E118" s="842">
        <f>+G92</f>
        <v>1461</v>
      </c>
      <c r="F118" s="843" t="s">
        <v>451</v>
      </c>
      <c r="G118" s="842">
        <f>+IF(G119="",EDATE(E118,12),G119)</f>
        <v>1827</v>
      </c>
    </row>
    <row r="119" spans="2:10" x14ac:dyDescent="0.2">
      <c r="F119" s="816" t="s">
        <v>492</v>
      </c>
      <c r="G119" s="1082"/>
    </row>
    <row r="120" spans="2:10" ht="13.5" thickBot="1" x14ac:dyDescent="0.25"/>
    <row r="121" spans="2:10" ht="13.5" thickTop="1" x14ac:dyDescent="0.2">
      <c r="B121" s="1216" t="s">
        <v>26</v>
      </c>
      <c r="C121" s="1217" t="s">
        <v>1162</v>
      </c>
      <c r="D121" s="1217" t="s">
        <v>1163</v>
      </c>
      <c r="E121" s="1709" t="s">
        <v>795</v>
      </c>
      <c r="F121" s="1709"/>
      <c r="G121" s="1709"/>
      <c r="H121" s="1709"/>
      <c r="I121" s="1709"/>
      <c r="J121" s="1710"/>
    </row>
    <row r="122" spans="2:10" x14ac:dyDescent="0.2">
      <c r="B122" s="1074"/>
      <c r="C122" s="1075"/>
      <c r="D122" s="1076"/>
      <c r="E122" s="1703"/>
      <c r="F122" s="1704"/>
      <c r="G122" s="1704"/>
      <c r="H122" s="1704"/>
      <c r="I122" s="1704"/>
      <c r="J122" s="1705"/>
    </row>
    <row r="123" spans="2:10" x14ac:dyDescent="0.2">
      <c r="B123" s="1074"/>
      <c r="C123" s="1075"/>
      <c r="D123" s="1076"/>
      <c r="E123" s="1703"/>
      <c r="F123" s="1704"/>
      <c r="G123" s="1704"/>
      <c r="H123" s="1704"/>
      <c r="I123" s="1704"/>
      <c r="J123" s="1705"/>
    </row>
    <row r="124" spans="2:10" x14ac:dyDescent="0.2">
      <c r="B124" s="1074"/>
      <c r="C124" s="1075"/>
      <c r="D124" s="1076"/>
      <c r="E124" s="1703"/>
      <c r="F124" s="1704"/>
      <c r="G124" s="1704"/>
      <c r="H124" s="1704"/>
      <c r="I124" s="1704"/>
      <c r="J124" s="1705"/>
    </row>
    <row r="125" spans="2:10" x14ac:dyDescent="0.2">
      <c r="B125" s="1074"/>
      <c r="C125" s="1075"/>
      <c r="D125" s="1076"/>
      <c r="E125" s="1703"/>
      <c r="F125" s="1704"/>
      <c r="G125" s="1704"/>
      <c r="H125" s="1704"/>
      <c r="I125" s="1704"/>
      <c r="J125" s="1705"/>
    </row>
    <row r="126" spans="2:10" x14ac:dyDescent="0.2">
      <c r="B126" s="1074"/>
      <c r="C126" s="1075"/>
      <c r="D126" s="1076"/>
      <c r="E126" s="1703"/>
      <c r="F126" s="1704"/>
      <c r="G126" s="1704"/>
      <c r="H126" s="1704"/>
      <c r="I126" s="1704"/>
      <c r="J126" s="1705"/>
    </row>
    <row r="127" spans="2:10" x14ac:dyDescent="0.2">
      <c r="B127" s="1074"/>
      <c r="C127" s="1075"/>
      <c r="D127" s="1076"/>
      <c r="E127" s="1703"/>
      <c r="F127" s="1704"/>
      <c r="G127" s="1704"/>
      <c r="H127" s="1704"/>
      <c r="I127" s="1704"/>
      <c r="J127" s="1705"/>
    </row>
    <row r="128" spans="2:10" x14ac:dyDescent="0.2">
      <c r="B128" s="1074"/>
      <c r="C128" s="1075"/>
      <c r="D128" s="1076"/>
      <c r="E128" s="1703"/>
      <c r="F128" s="1704"/>
      <c r="G128" s="1704"/>
      <c r="H128" s="1704"/>
      <c r="I128" s="1704"/>
      <c r="J128" s="1705"/>
    </row>
    <row r="129" spans="2:10" x14ac:dyDescent="0.2">
      <c r="B129" s="1074"/>
      <c r="C129" s="1075"/>
      <c r="D129" s="1076"/>
      <c r="E129" s="1703"/>
      <c r="F129" s="1704"/>
      <c r="G129" s="1704"/>
      <c r="H129" s="1704"/>
      <c r="I129" s="1704"/>
      <c r="J129" s="1705"/>
    </row>
    <row r="130" spans="2:10" ht="13.5" thickBot="1" x14ac:dyDescent="0.25">
      <c r="B130" s="1077"/>
      <c r="C130" s="1078"/>
      <c r="D130" s="1079"/>
      <c r="E130" s="1706"/>
      <c r="F130" s="1707"/>
      <c r="G130" s="1707"/>
      <c r="H130" s="1707"/>
      <c r="I130" s="1707"/>
      <c r="J130" s="1708"/>
    </row>
    <row r="131" spans="2:10" ht="13.5" thickTop="1" x14ac:dyDescent="0.2"/>
    <row r="132" spans="2:10" x14ac:dyDescent="0.2">
      <c r="D132" s="818" t="s">
        <v>1717</v>
      </c>
      <c r="E132" s="821">
        <f>+SUMIF(D122:D130,"Courte Absence",C122:C130)</f>
        <v>0</v>
      </c>
      <c r="F132" s="29" t="s">
        <v>1165</v>
      </c>
      <c r="G132" s="822">
        <f>+F113-E132</f>
        <v>5</v>
      </c>
    </row>
    <row r="134" spans="2:10" x14ac:dyDescent="0.2">
      <c r="D134" s="820" t="s">
        <v>1718</v>
      </c>
      <c r="E134" s="821">
        <f>+SUMIF(D122:D130,"Longue Absence",C122:C130)</f>
        <v>0</v>
      </c>
      <c r="F134" s="29" t="s">
        <v>1165</v>
      </c>
      <c r="G134" s="822">
        <f>++F115-E134</f>
        <v>14</v>
      </c>
    </row>
    <row r="135" spans="2:10" x14ac:dyDescent="0.2">
      <c r="E135" s="18" t="str">
        <f>+IF(OR(E134=F115,E134=0),"","Le nombre de jours pour Longue Absence doit être de "&amp;F115&amp;" jours consécutifs")</f>
        <v/>
      </c>
    </row>
  </sheetData>
  <sheetProtection algorithmName="SHA-512" hashValue="wUj27aRLaOpwEqiRD81n+4FK8QBKN9PGSqoIvf971+bIcvJFfUHgrJpFRFM8mc8Q/2PBvwQRC8N2WQk8rUgYeQ==" saltValue="3n/OpSoPghHuBFPAQBrBfw==" spinCount="100000" sheet="1" objects="1" scenarios="1" formatCells="0" formatColumns="0" formatRows="0" insertColumns="0" insertRows="0" insertHyperlinks="0" sort="0" autoFilter="0" pivotTables="0"/>
  <mergeCells count="53">
    <mergeCell ref="E50:J50"/>
    <mergeCell ref="E24:J24"/>
    <mergeCell ref="E25:J25"/>
    <mergeCell ref="E26:J26"/>
    <mergeCell ref="A2:J2"/>
    <mergeCell ref="E43:J43"/>
    <mergeCell ref="E44:J44"/>
    <mergeCell ref="E18:J18"/>
    <mergeCell ref="E19:J19"/>
    <mergeCell ref="E20:J20"/>
    <mergeCell ref="E21:J21"/>
    <mergeCell ref="E22:J22"/>
    <mergeCell ref="E23:J23"/>
    <mergeCell ref="E7:F7"/>
    <mergeCell ref="E5:H5"/>
    <mergeCell ref="E17:J17"/>
    <mergeCell ref="E45:J45"/>
    <mergeCell ref="E46:J46"/>
    <mergeCell ref="E47:J47"/>
    <mergeCell ref="E48:J48"/>
    <mergeCell ref="E49:J49"/>
    <mergeCell ref="E78:J78"/>
    <mergeCell ref="E51:J51"/>
    <mergeCell ref="E52:J52"/>
    <mergeCell ref="E69:J69"/>
    <mergeCell ref="E70:J70"/>
    <mergeCell ref="E71:J71"/>
    <mergeCell ref="E72:J72"/>
    <mergeCell ref="E73:J73"/>
    <mergeCell ref="E74:J74"/>
    <mergeCell ref="E75:J75"/>
    <mergeCell ref="E76:J76"/>
    <mergeCell ref="E77:J77"/>
    <mergeCell ref="E122:J122"/>
    <mergeCell ref="E95:J95"/>
    <mergeCell ref="E96:J96"/>
    <mergeCell ref="E97:J97"/>
    <mergeCell ref="E98:J98"/>
    <mergeCell ref="E99:J99"/>
    <mergeCell ref="E100:J100"/>
    <mergeCell ref="E101:J101"/>
    <mergeCell ref="E102:J102"/>
    <mergeCell ref="E103:J103"/>
    <mergeCell ref="E104:J104"/>
    <mergeCell ref="E121:J121"/>
    <mergeCell ref="E129:J129"/>
    <mergeCell ref="E130:J130"/>
    <mergeCell ref="E123:J123"/>
    <mergeCell ref="E124:J124"/>
    <mergeCell ref="E125:J125"/>
    <mergeCell ref="E126:J126"/>
    <mergeCell ref="E127:J127"/>
    <mergeCell ref="E128:J128"/>
  </mergeCells>
  <conditionalFormatting sqref="B18:J26">
    <cfRule type="cellIs" dxfId="2395" priority="14" operator="greaterThan">
      <formula>0</formula>
    </cfRule>
  </conditionalFormatting>
  <conditionalFormatting sqref="B44:J52">
    <cfRule type="cellIs" dxfId="2394" priority="9" operator="greaterThan">
      <formula>0</formula>
    </cfRule>
  </conditionalFormatting>
  <conditionalFormatting sqref="B70:J78">
    <cfRule type="cellIs" dxfId="2393" priority="8" operator="greaterThan">
      <formula>0</formula>
    </cfRule>
  </conditionalFormatting>
  <conditionalFormatting sqref="B96:J104">
    <cfRule type="cellIs" dxfId="2392" priority="7" operator="greaterThan">
      <formula>0</formula>
    </cfRule>
  </conditionalFormatting>
  <conditionalFormatting sqref="B122:J130">
    <cfRule type="cellIs" dxfId="2391" priority="6" operator="greaterThan">
      <formula>0</formula>
    </cfRule>
  </conditionalFormatting>
  <conditionalFormatting sqref="E30">
    <cfRule type="expression" dxfId="2390" priority="5">
      <formula>AND(E30&gt;0,E30&lt;&gt;F11)</formula>
    </cfRule>
  </conditionalFormatting>
  <conditionalFormatting sqref="E56">
    <cfRule type="expression" dxfId="2389" priority="4">
      <formula>AND(E56&gt;0,E56&lt;&gt;F37)</formula>
    </cfRule>
  </conditionalFormatting>
  <conditionalFormatting sqref="E82">
    <cfRule type="expression" dxfId="2388" priority="3">
      <formula>AND(E82&gt;0,E82&lt;&gt;F63)</formula>
    </cfRule>
  </conditionalFormatting>
  <conditionalFormatting sqref="E108">
    <cfRule type="expression" dxfId="2387" priority="2">
      <formula>AND(E108&gt;0,E108&lt;&gt;F89)</formula>
    </cfRule>
  </conditionalFormatting>
  <conditionalFormatting sqref="E134">
    <cfRule type="expression" dxfId="2386" priority="1">
      <formula>AND(E134&gt;0,E134&lt;&gt;F115)</formula>
    </cfRule>
  </conditionalFormatting>
  <conditionalFormatting sqref="F9">
    <cfRule type="cellIs" dxfId="2385" priority="16" operator="greaterThan">
      <formula>0</formula>
    </cfRule>
  </conditionalFormatting>
  <conditionalFormatting sqref="F11">
    <cfRule type="cellIs" dxfId="2384" priority="15" operator="greaterThan">
      <formula>0</formula>
    </cfRule>
  </conditionalFormatting>
  <conditionalFormatting sqref="F34">
    <cfRule type="notContainsBlanks" dxfId="2383" priority="27">
      <formula>LEN(TRIM(F34))&gt;0</formula>
    </cfRule>
  </conditionalFormatting>
  <conditionalFormatting sqref="F60">
    <cfRule type="notContainsBlanks" dxfId="2382" priority="24">
      <formula>LEN(TRIM(F60))&gt;0</formula>
    </cfRule>
  </conditionalFormatting>
  <conditionalFormatting sqref="F86">
    <cfRule type="notContainsBlanks" dxfId="2381" priority="21">
      <formula>LEN(TRIM(F86))&gt;0</formula>
    </cfRule>
  </conditionalFormatting>
  <conditionalFormatting sqref="F112">
    <cfRule type="notContainsBlanks" dxfId="2380" priority="18">
      <formula>LEN(TRIM(F112))&gt;0</formula>
    </cfRule>
  </conditionalFormatting>
  <conditionalFormatting sqref="G15">
    <cfRule type="notContainsBlanks" dxfId="2379" priority="29">
      <formula>LEN(TRIM(G15))&gt;0</formula>
    </cfRule>
  </conditionalFormatting>
  <conditionalFormatting sqref="G41">
    <cfRule type="notContainsBlanks" dxfId="2378" priority="28">
      <formula>LEN(TRIM(G41))&gt;0</formula>
    </cfRule>
  </conditionalFormatting>
  <conditionalFormatting sqref="G67">
    <cfRule type="notContainsBlanks" dxfId="2377" priority="25">
      <formula>LEN(TRIM(G67))&gt;0</formula>
    </cfRule>
  </conditionalFormatting>
  <conditionalFormatting sqref="G93">
    <cfRule type="notContainsBlanks" dxfId="2376" priority="22">
      <formula>LEN(TRIM(G93))&gt;0</formula>
    </cfRule>
  </conditionalFormatting>
  <conditionalFormatting sqref="G119">
    <cfRule type="notContainsBlanks" dxfId="2375" priority="19">
      <formula>LEN(TRIM(G119))&gt;0</formula>
    </cfRule>
  </conditionalFormatting>
  <dataValidations count="3">
    <dataValidation type="list" allowBlank="1" showInputMessage="1" showErrorMessage="1" sqref="B122:B130 B96:B104 B44:B52 B70:B78 B18:B26" xr:uid="{00000000-0002-0000-1400-000000000000}">
      <formula1>"Janvier,Février,Mars,Avril,Mai,Juin,Juillet,Aout,Septembre,Octobre,Novembre,Décembre"</formula1>
    </dataValidation>
    <dataValidation type="list" allowBlank="1" showInputMessage="1" showErrorMessage="1" sqref="F11 F38 F64 F90 F116" xr:uid="{00000000-0002-0000-1400-000002000000}">
      <formula1>"0,14"</formula1>
    </dataValidation>
    <dataValidation type="list" allowBlank="1" showInputMessage="1" showErrorMessage="1" sqref="D18:D26 D44:D52 D70:D78 D96:D104 D122:D130" xr:uid="{61C85BAD-2ED6-44DB-8597-7ADE47C41ECB}">
      <formula1>"Courte absence,Longue absence"</formula1>
    </dataValidation>
  </dataValidations>
  <pageMargins left="0.25" right="0.25" top="0.75" bottom="0.75" header="0.3" footer="0.3"/>
  <pageSetup paperSize="9" scale="64" fitToHeight="0" orientation="portrait" horizontalDpi="1200" verticalDpi="1200" r:id="rId1"/>
  <rowBreaks count="1" manualBreakCount="1">
    <brk id="83"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499984740745262"/>
    <pageSetUpPr fitToPage="1"/>
  </sheetPr>
  <dimension ref="A1:B62"/>
  <sheetViews>
    <sheetView showGridLines="0" zoomScale="90" zoomScaleNormal="90" workbookViewId="0">
      <selection activeCell="D9" sqref="D9"/>
    </sheetView>
  </sheetViews>
  <sheetFormatPr baseColWidth="10" defaultColWidth="11.42578125" defaultRowHeight="12.75" x14ac:dyDescent="0.2"/>
  <cols>
    <col min="1" max="1" width="80.28515625" style="16" customWidth="1"/>
    <col min="2" max="2" width="22.7109375" style="16" customWidth="1"/>
    <col min="3" max="16384" width="11.42578125" style="16"/>
  </cols>
  <sheetData>
    <row r="1" spans="1:2" ht="18" x14ac:dyDescent="0.25">
      <c r="A1" s="139" t="s">
        <v>478</v>
      </c>
      <c r="B1" s="140"/>
    </row>
    <row r="2" spans="1:2" x14ac:dyDescent="0.2">
      <c r="A2" s="129"/>
    </row>
    <row r="3" spans="1:2" x14ac:dyDescent="0.2">
      <c r="A3" s="129" t="str">
        <f>+"ENFANT : "&amp;Identification!B25</f>
        <v>ENFANT : 0</v>
      </c>
    </row>
    <row r="5" spans="1:2" ht="22.5" customHeight="1" x14ac:dyDescent="0.2">
      <c r="A5" s="141" t="s">
        <v>449</v>
      </c>
      <c r="B5" s="1503" t="s">
        <v>90</v>
      </c>
    </row>
    <row r="6" spans="1:2" x14ac:dyDescent="0.2">
      <c r="A6" s="129"/>
    </row>
    <row r="7" spans="1:2" ht="15.75" x14ac:dyDescent="0.25">
      <c r="A7" s="986" t="str">
        <f>+"Période du "&amp;TEXT(HLOOKUP($B$5,base_pajemploi,29,FALSE),"JJ/MM/AaaA")&amp;" au "&amp;TEXT(HLOOKUP($B$5,base_pajemploi,30,FALSE),"JJ/MM/AaaA")</f>
        <v>Période du 01/01/2026 au 31/01/2026</v>
      </c>
    </row>
    <row r="8" spans="1:2" x14ac:dyDescent="0.2">
      <c r="A8" s="129"/>
    </row>
    <row r="9" spans="1:2" x14ac:dyDescent="0.2">
      <c r="A9" s="129" t="s">
        <v>477</v>
      </c>
      <c r="B9" s="142">
        <f>+HLOOKUP($B$5,base_pajemploi,18,FALSE)</f>
        <v>46053</v>
      </c>
    </row>
    <row r="10" spans="1:2" x14ac:dyDescent="0.2">
      <c r="A10" s="129"/>
    </row>
    <row r="11" spans="1:2" x14ac:dyDescent="0.2">
      <c r="A11" s="129" t="s">
        <v>1725</v>
      </c>
      <c r="B11" s="1623" t="str">
        <f>+IF(B13&gt;0,"OUI","NON")</f>
        <v>NON</v>
      </c>
    </row>
    <row r="12" spans="1:2" x14ac:dyDescent="0.2">
      <c r="A12" s="129"/>
    </row>
    <row r="13" spans="1:2" x14ac:dyDescent="0.2">
      <c r="A13" s="129" t="s">
        <v>1728</v>
      </c>
      <c r="B13" s="1624">
        <f>+HLOOKUP($B$5,base_pajemploi,7,FALSE)</f>
        <v>0</v>
      </c>
    </row>
    <row r="14" spans="1:2" x14ac:dyDescent="0.2">
      <c r="A14" s="129"/>
    </row>
    <row r="15" spans="1:2" x14ac:dyDescent="0.2">
      <c r="A15" s="129" t="s">
        <v>1726</v>
      </c>
      <c r="B15" s="488" t="e">
        <f ca="1">+IF(B17&gt;0,"OUI","NON")</f>
        <v>#DIV/0!</v>
      </c>
    </row>
    <row r="16" spans="1:2" x14ac:dyDescent="0.2">
      <c r="A16" s="129"/>
    </row>
    <row r="17" spans="1:2" x14ac:dyDescent="0.2">
      <c r="A17" s="129" t="s">
        <v>1729</v>
      </c>
      <c r="B17" s="1624" t="e">
        <f ca="1">+HLOOKUP($B$5,base_pajemploi,6,FALSE)</f>
        <v>#DIV/0!</v>
      </c>
    </row>
    <row r="18" spans="1:2" x14ac:dyDescent="0.2">
      <c r="A18" s="129"/>
    </row>
    <row r="19" spans="1:2" x14ac:dyDescent="0.2">
      <c r="A19" s="129" t="str">
        <f>+IF(Identification!B125="Net","Salaire horaire net d'une heure normale :",IF(Identification!B125="Brut","Salaire horaire brut d'une heure normale :","Erreur"))</f>
        <v>Salaire horaire net d'une heure normale :</v>
      </c>
      <c r="B19" s="143">
        <f>+HLOOKUP($B$5,base_pajemploi,5,FALSE)</f>
        <v>0</v>
      </c>
    </row>
    <row r="20" spans="1:2" x14ac:dyDescent="0.2">
      <c r="A20" s="129"/>
    </row>
    <row r="21" spans="1:2" x14ac:dyDescent="0.2">
      <c r="A21" s="129" t="s">
        <v>1727</v>
      </c>
      <c r="B21" s="488" t="str">
        <f>+IF(B23&gt;0,"OUI","NON")</f>
        <v>NON</v>
      </c>
    </row>
    <row r="22" spans="1:2" x14ac:dyDescent="0.2">
      <c r="A22" s="129"/>
    </row>
    <row r="23" spans="1:2" x14ac:dyDescent="0.2">
      <c r="A23" s="129" t="s">
        <v>1730</v>
      </c>
      <c r="B23" s="353">
        <f>+HLOOKUP($B$5,base_pajemploi,4,FALSE)</f>
        <v>0</v>
      </c>
    </row>
    <row r="24" spans="1:2" x14ac:dyDescent="0.2">
      <c r="A24" s="129"/>
    </row>
    <row r="25" spans="1:2" x14ac:dyDescent="0.2">
      <c r="A25" s="129" t="s">
        <v>58</v>
      </c>
      <c r="B25" s="1625">
        <f>+HLOOKUP($B$5,base_pajemploi,3,FALSE)</f>
        <v>0</v>
      </c>
    </row>
    <row r="26" spans="1:2" ht="38.25" customHeight="1" x14ac:dyDescent="0.2">
      <c r="A26" s="1355" t="str">
        <f>+HLOOKUP($B$5,base_pajemploi,27,FALSE)</f>
        <v>Détail : Nbre jours d'activité = jrs activités mensualisés (0 jrs) + jrs rajoutés (régul…) (0 jrs) - jrs déduits (0 jrs * (0 hrs / 0 hrs) + 0 jrs)</v>
      </c>
      <c r="B26" s="129"/>
    </row>
    <row r="27" spans="1:2" x14ac:dyDescent="0.2">
      <c r="A27" s="129"/>
    </row>
    <row r="28" spans="1:2" x14ac:dyDescent="0.2">
      <c r="A28" s="129" t="s">
        <v>1731</v>
      </c>
      <c r="B28" s="1624">
        <f>+HLOOKUP($B$5,base_pajemploi,2,FALSE)</f>
        <v>0</v>
      </c>
    </row>
    <row r="29" spans="1:2" ht="24.75" customHeight="1" x14ac:dyDescent="0.2">
      <c r="A29" s="1355" t="str">
        <f>+HLOOKUP($B$5,base_pajemploi,26,FALSE)</f>
        <v>(Détail du calcul : ( 0 + 0 + 0 - 0 - 0 + 0 +  + 0 + 0 + 0 ) / 0 € )</v>
      </c>
      <c r="B29" s="129"/>
    </row>
    <row r="31" spans="1:2" x14ac:dyDescent="0.2">
      <c r="A31" s="854" t="str">
        <f>+IF(Identification!B125="Net","Salaire net total (hors indemnités) à déclarer :",IF(Identification!B125="Brut","Salaire brut total (hors indemnités) à déclarer :","Erreur"))</f>
        <v>Salaire net total (hors indemnités) à déclarer :</v>
      </c>
      <c r="B31" s="1016">
        <f ca="1">+HLOOKUP($B$5,base_pajemploi,8,FALSE)</f>
        <v>0</v>
      </c>
    </row>
    <row r="32" spans="1:2" x14ac:dyDescent="0.2">
      <c r="A32" s="129"/>
    </row>
    <row r="33" spans="1:2" x14ac:dyDescent="0.2">
      <c r="A33" s="129" t="s">
        <v>77</v>
      </c>
      <c r="B33" s="143">
        <f>+HLOOKUP($B$5,base_pajemploi,9,FALSE)</f>
        <v>0</v>
      </c>
    </row>
    <row r="34" spans="1:2" x14ac:dyDescent="0.2">
      <c r="A34" s="129"/>
    </row>
    <row r="35" spans="1:2" x14ac:dyDescent="0.2">
      <c r="A35" s="129" t="s">
        <v>1732</v>
      </c>
      <c r="B35" s="143">
        <f>+HLOOKUP($B$5,base_pajemploi,10,FALSE)</f>
        <v>0</v>
      </c>
    </row>
    <row r="36" spans="1:2" x14ac:dyDescent="0.2">
      <c r="A36" s="129"/>
    </row>
    <row r="37" spans="1:2" x14ac:dyDescent="0.2">
      <c r="A37" s="129" t="s">
        <v>80</v>
      </c>
      <c r="B37" s="143">
        <f>+HLOOKUP($B$5,base_pajemploi,11,FALSE)</f>
        <v>0</v>
      </c>
    </row>
    <row r="38" spans="1:2" hidden="1" x14ac:dyDescent="0.2">
      <c r="A38" s="129"/>
    </row>
    <row r="39" spans="1:2" hidden="1" x14ac:dyDescent="0.2">
      <c r="A39" s="129" t="s">
        <v>1733</v>
      </c>
    </row>
    <row r="40" spans="1:2" hidden="1" x14ac:dyDescent="0.2">
      <c r="A40" s="129"/>
    </row>
    <row r="41" spans="1:2" hidden="1" x14ac:dyDescent="0.2">
      <c r="A41" s="129"/>
    </row>
    <row r="42" spans="1:2" x14ac:dyDescent="0.2">
      <c r="A42" s="129"/>
    </row>
    <row r="43" spans="1:2" x14ac:dyDescent="0.2">
      <c r="A43" s="129" t="s">
        <v>1734</v>
      </c>
      <c r="B43" s="1623" t="str">
        <f>+HLOOKUP($B$5,base_pajemploi,28,FALSE)</f>
        <v>NON</v>
      </c>
    </row>
    <row r="44" spans="1:2" x14ac:dyDescent="0.2">
      <c r="A44" s="129"/>
      <c r="B44" s="1480"/>
    </row>
    <row r="45" spans="1:2" x14ac:dyDescent="0.2">
      <c r="A45" s="129" t="s">
        <v>1735</v>
      </c>
      <c r="B45" s="143">
        <f>+HLOOKUP($B$5,base_pajemploi,14,FALSE)</f>
        <v>0</v>
      </c>
    </row>
    <row r="46" spans="1:2" x14ac:dyDescent="0.2">
      <c r="A46" s="129"/>
      <c r="B46" s="1480"/>
    </row>
    <row r="47" spans="1:2" x14ac:dyDescent="0.2">
      <c r="A47" s="129" t="s">
        <v>1736</v>
      </c>
      <c r="B47" s="143">
        <f>+HLOOKUP($B$5,base_pajemploi,12,FALSE)</f>
        <v>0</v>
      </c>
    </row>
    <row r="48" spans="1:2" x14ac:dyDescent="0.2">
      <c r="A48" s="129"/>
      <c r="B48" s="1480"/>
    </row>
    <row r="49" spans="1:2" x14ac:dyDescent="0.2">
      <c r="A49" s="129" t="s">
        <v>1737</v>
      </c>
      <c r="B49" s="143">
        <f>+HLOOKUP($B$5,base_pajemploi,13,FALSE)</f>
        <v>0</v>
      </c>
    </row>
    <row r="50" spans="1:2" x14ac:dyDescent="0.2">
      <c r="A50" s="129"/>
      <c r="B50" s="1480"/>
    </row>
    <row r="51" spans="1:2" x14ac:dyDescent="0.2">
      <c r="A51" s="129" t="s">
        <v>1738</v>
      </c>
      <c r="B51" s="143">
        <f>+HLOOKUP($B$5,base_pajemploi,15,FALSE)</f>
        <v>0</v>
      </c>
    </row>
    <row r="52" spans="1:2" ht="13.5" thickBot="1" x14ac:dyDescent="0.25"/>
    <row r="53" spans="1:2" ht="13.5" thickTop="1" x14ac:dyDescent="0.2">
      <c r="A53" s="1017"/>
      <c r="B53" s="1017"/>
    </row>
    <row r="54" spans="1:2" ht="18" x14ac:dyDescent="0.25">
      <c r="A54" s="139" t="s">
        <v>1307</v>
      </c>
    </row>
    <row r="56" spans="1:2" x14ac:dyDescent="0.2">
      <c r="A56" s="16" t="s">
        <v>1318</v>
      </c>
      <c r="B56" s="143">
        <f ca="1">+HLOOKUP($B$5,base_pajemploi,19,FALSE)</f>
        <v>0</v>
      </c>
    </row>
    <row r="58" spans="1:2" x14ac:dyDescent="0.2">
      <c r="A58" s="16" t="s">
        <v>1308</v>
      </c>
      <c r="B58" s="143">
        <f>+HLOOKUP($B$5,base_pajemploi,20,FALSE)</f>
        <v>0</v>
      </c>
    </row>
    <row r="60" spans="1:2" x14ac:dyDescent="0.2">
      <c r="A60" s="16" t="s">
        <v>1309</v>
      </c>
      <c r="B60" s="143">
        <f ca="1">+HLOOKUP($B$5,base_pajemploi,21,FALSE)</f>
        <v>0</v>
      </c>
    </row>
    <row r="62" spans="1:2" x14ac:dyDescent="0.2">
      <c r="A62" s="19" t="s">
        <v>1323</v>
      </c>
      <c r="B62" s="1205">
        <f ca="1">+HLOOKUP($B$5,base_pajemploi,22,FALSE)</f>
        <v>0</v>
      </c>
    </row>
  </sheetData>
  <sheetProtection algorithmName="SHA-512" hashValue="KETRi9AK80AeSaXf6zsXz3oyNzhCGZTZKKC0y0jwmTzlmq3Kj1VKNEiSvveil/NZ+zHFzGhFu1XBs+tPMt63YA==" saltValue="ymjq4Eg25hGDcJU1TR3x0g==" spinCount="100000" sheet="1" objects="1" scenarios="1" formatCells="0" formatColumns="0" formatRows="0" insertColumns="0" insertRows="0" insertHyperlinks="0" sort="0" autoFilter="0" pivotTables="0"/>
  <conditionalFormatting sqref="A13:B13">
    <cfRule type="expression" dxfId="2374" priority="4">
      <formula>$B$11="NON"</formula>
    </cfRule>
  </conditionalFormatting>
  <conditionalFormatting sqref="A17:B17">
    <cfRule type="expression" dxfId="2373" priority="3">
      <formula>$B$15="NON"</formula>
    </cfRule>
  </conditionalFormatting>
  <conditionalFormatting sqref="A19:B19">
    <cfRule type="expression" dxfId="2372" priority="2">
      <formula>AND($B$11="NON",$B$15="NON")</formula>
    </cfRule>
  </conditionalFormatting>
  <conditionalFormatting sqref="A45:B45 A47:B47 A49:B49 A51:B51">
    <cfRule type="expression" dxfId="2371" priority="1">
      <formula>$B$43="NON"</formula>
    </cfRule>
  </conditionalFormatting>
  <dataValidations count="1">
    <dataValidation type="list" allowBlank="1" showInputMessage="1" showErrorMessage="1" sqref="B5" xr:uid="{00000000-0002-0000-1500-000000000000}">
      <formula1>Liste_mois</formula1>
    </dataValidation>
  </dataValidations>
  <pageMargins left="0.7" right="0.7" top="0.75" bottom="0.75" header="0.3" footer="0.3"/>
  <pageSetup paperSize="9" scale="86"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00CC"/>
    <pageSetUpPr fitToPage="1"/>
  </sheetPr>
  <dimension ref="A1:EZ539"/>
  <sheetViews>
    <sheetView showGridLines="0" zoomScale="80" zoomScaleNormal="80" workbookViewId="0">
      <selection activeCell="AJ3" sqref="AJ3"/>
    </sheetView>
  </sheetViews>
  <sheetFormatPr baseColWidth="10" defaultColWidth="11.42578125" defaultRowHeight="12.75" outlineLevelCol="1" x14ac:dyDescent="0.2"/>
  <cols>
    <col min="1" max="1" width="4.5703125" style="24" customWidth="1"/>
    <col min="2" max="2" width="11.42578125" style="16"/>
    <col min="3" max="3" width="5.7109375" style="16" customWidth="1"/>
    <col min="4" max="5" width="11.42578125" style="16"/>
    <col min="6" max="7" width="11.42578125" style="16" customWidth="1"/>
    <col min="8" max="11" width="11.42578125" style="16" hidden="1" customWidth="1" outlineLevel="1"/>
    <col min="12" max="12" width="11.42578125" style="16" collapsed="1"/>
    <col min="13" max="13" width="11.42578125" style="16"/>
    <col min="14" max="14" width="4.140625" style="16" customWidth="1"/>
    <col min="15" max="16" width="11.42578125" style="16"/>
    <col min="17" max="18" width="11.42578125" style="16" customWidth="1"/>
    <col min="19" max="22" width="11.42578125" style="16" hidden="1" customWidth="1" outlineLevel="1"/>
    <col min="23" max="23" width="11.42578125" style="16" collapsed="1"/>
    <col min="24" max="24" width="11.42578125" style="16"/>
    <col min="25" max="25" width="2.28515625" style="16" customWidth="1"/>
    <col min="26" max="33" width="11.42578125" style="16" hidden="1" customWidth="1"/>
    <col min="34" max="34" width="2" style="16" customWidth="1"/>
    <col min="35" max="35" width="11.42578125" style="16"/>
    <col min="36" max="36" width="22.7109375" style="16" customWidth="1"/>
    <col min="37" max="37" width="3.42578125" style="16" customWidth="1"/>
    <col min="38" max="38" width="10.42578125" style="16" customWidth="1"/>
    <col min="39" max="39" width="13.42578125" style="16" customWidth="1"/>
    <col min="40" max="41" width="10.42578125" style="16" customWidth="1"/>
    <col min="42" max="42" width="13.85546875" style="16" customWidth="1"/>
    <col min="43" max="43" width="5" style="24" customWidth="1"/>
    <col min="44" max="44" width="9.5703125" style="16" customWidth="1"/>
    <col min="45" max="45" width="6.85546875" style="16" customWidth="1"/>
    <col min="46" max="46" width="9.42578125" style="16" customWidth="1"/>
    <col min="47" max="47" width="10.7109375" style="16" customWidth="1"/>
    <col min="48" max="48" width="9.42578125" style="16" customWidth="1"/>
    <col min="49" max="49" width="4.42578125" style="16" customWidth="1"/>
    <col min="50" max="50" width="9.28515625" style="16" hidden="1" customWidth="1"/>
    <col min="51" max="52" width="11.28515625" style="16" customWidth="1"/>
    <col min="53" max="53" width="12.42578125" style="16" hidden="1" customWidth="1"/>
    <col min="54" max="54" width="11.5703125" style="16" customWidth="1"/>
    <col min="55" max="55" width="12.42578125" style="377" hidden="1" customWidth="1"/>
    <col min="56" max="56" width="12.140625" style="377" customWidth="1"/>
    <col min="57" max="57" width="10.7109375" style="377" customWidth="1"/>
    <col min="58" max="59" width="11.42578125" style="377" hidden="1" customWidth="1"/>
    <col min="60" max="60" width="0.140625" style="377" hidden="1" customWidth="1"/>
    <col min="61" max="61" width="5.140625" style="24" customWidth="1"/>
    <col min="62" max="65" width="11.42578125" style="16"/>
    <col min="66" max="69" width="11.42578125" style="16" hidden="1" customWidth="1" outlineLevel="1"/>
    <col min="70" max="70" width="4.28515625" style="16" customWidth="1" collapsed="1"/>
    <col min="71" max="71" width="8.85546875" style="16" customWidth="1"/>
    <col min="72" max="72" width="4.28515625" style="16" customWidth="1"/>
    <col min="73" max="76" width="11.42578125" style="16"/>
    <col min="77" max="80" width="11.42578125" style="16" hidden="1" customWidth="1" outlineLevel="1"/>
    <col min="81" max="81" width="6" style="16" customWidth="1" collapsed="1"/>
    <col min="83" max="87" width="11.5703125"/>
    <col min="88" max="99" width="11.42578125" style="16"/>
    <col min="100" max="104" width="11.42578125" style="16" customWidth="1"/>
    <col min="105" max="124" width="11.42578125" style="16" hidden="1" customWidth="1"/>
    <col min="125" max="125" width="18.7109375" style="16" hidden="1" customWidth="1"/>
    <col min="126" max="136" width="11.42578125" style="16" hidden="1" customWidth="1"/>
    <col min="137" max="137" width="15.7109375" style="16" hidden="1" customWidth="1"/>
    <col min="138" max="138" width="12.85546875" style="16" hidden="1" customWidth="1"/>
    <col min="139" max="156" width="11.42578125" style="16" hidden="1" customWidth="1"/>
    <col min="157" max="163" width="11.42578125" style="16" customWidth="1"/>
    <col min="164" max="16384" width="11.42578125" style="16"/>
  </cols>
  <sheetData>
    <row r="1" spans="1:145" ht="23.25" x14ac:dyDescent="0.35">
      <c r="B1" s="435" t="s">
        <v>794</v>
      </c>
      <c r="C1" s="435"/>
      <c r="D1" s="435"/>
      <c r="BS1" s="19" t="s">
        <v>1524</v>
      </c>
      <c r="EK1" s="16" t="str">
        <f>+EG11</f>
        <v>numero sem</v>
      </c>
      <c r="EL1" s="27" t="s">
        <v>1518</v>
      </c>
      <c r="EM1" s="27" t="s">
        <v>1519</v>
      </c>
      <c r="EN1" s="16" t="s">
        <v>1520</v>
      </c>
    </row>
    <row r="2" spans="1:145" ht="13.5" thickBot="1" x14ac:dyDescent="0.25">
      <c r="AR2" s="1717" t="s">
        <v>989</v>
      </c>
      <c r="AS2" s="1718"/>
      <c r="AT2" s="1719"/>
      <c r="BT2" s="29" t="s">
        <v>1527</v>
      </c>
      <c r="BU2" s="27" t="str">
        <f>+IFERROR(EJ2,"")</f>
        <v>1</v>
      </c>
      <c r="BV2" s="53" t="str">
        <f>IF(BU2="","",+EN2)</f>
        <v>non</v>
      </c>
      <c r="BW2" s="1729" t="str">
        <f>+IF(BV2="oui", "Ecart "&amp;EO2&amp;" hrs","")</f>
        <v/>
      </c>
      <c r="BX2" s="1729"/>
      <c r="EJ2" s="16" t="str">
        <f>LEFT(EK2,LEN(EK2)-4)</f>
        <v>1</v>
      </c>
      <c r="EK2" s="16" t="str">
        <f t="array" ref="EK2">IFERROR(INDEX(EG12:EG42,MATCH(0,INDEX(COUNTIF(EK1:EK1,EG12:EG42),0,0),0)),"")</f>
        <v>12026</v>
      </c>
      <c r="EL2" s="27">
        <f>+SUMIFS($EE$12:$EE$537,$EG$12:$EG$537,EK2)</f>
        <v>0</v>
      </c>
      <c r="EM2" s="27">
        <f>+SUMIFS($EI$12:$EI$537,$EG$12:$EG$537,EK2)</f>
        <v>0</v>
      </c>
      <c r="EN2" s="16" t="str">
        <f t="shared" ref="EN2:EN7" si="0">+IF(AND(EL2&lt;&gt;EM2,EK2&lt;&gt;""),"oui","non")</f>
        <v>non</v>
      </c>
      <c r="EO2" s="16">
        <f>+EL2-EM2</f>
        <v>0</v>
      </c>
    </row>
    <row r="3" spans="1:145" ht="13.5" thickTop="1" x14ac:dyDescent="0.2">
      <c r="C3" s="39" t="s">
        <v>793</v>
      </c>
      <c r="D3" s="1713">
        <f>+Identification!B7</f>
        <v>0</v>
      </c>
      <c r="E3" s="1713"/>
      <c r="F3" s="1713"/>
      <c r="G3" s="1713"/>
      <c r="O3" s="436" t="s">
        <v>76</v>
      </c>
      <c r="P3" s="32"/>
      <c r="Q3" s="33"/>
      <c r="R3" s="436" t="s">
        <v>140</v>
      </c>
      <c r="S3" s="32"/>
      <c r="T3" s="32"/>
      <c r="U3" s="32"/>
      <c r="V3" s="32"/>
      <c r="W3" s="32"/>
      <c r="X3" s="33"/>
      <c r="AR3" s="1720"/>
      <c r="AS3" s="1721"/>
      <c r="AT3" s="1722"/>
      <c r="BU3" s="27" t="str">
        <f t="shared" ref="BU3:BU7" si="1">+IFERROR(EJ3,"")</f>
        <v>2</v>
      </c>
      <c r="BV3" s="53" t="str">
        <f t="shared" ref="BV3:BV7" si="2">IF(BU3="","",+EN3)</f>
        <v>non</v>
      </c>
      <c r="BW3" s="1729" t="str">
        <f t="shared" ref="BW3:BW7" si="3">+IF(BV3="oui", "Ecart "&amp;EO3&amp;" hrs","")</f>
        <v/>
      </c>
      <c r="BX3" s="1729"/>
      <c r="EJ3" s="16" t="str">
        <f t="shared" ref="EJ3:EJ8" si="4">LEFT(EK3,LEN(EK3)-4)</f>
        <v>2</v>
      </c>
      <c r="EK3" s="16" t="str" cm="1">
        <f t="array" ref="EK3">IFERROR(INDEX(EG12:EG42,MATCH(0,INDEX(COUNTIF(EK1:EK2,EG12:EG42),0,0),0)),"")</f>
        <v>22026</v>
      </c>
      <c r="EL3" s="27">
        <f t="shared" ref="EL3:EL7" si="5">+SUMIFS($EE$12:$EE$537,$EG$12:$EG$537,EK3)</f>
        <v>0</v>
      </c>
      <c r="EM3" s="27">
        <f t="shared" ref="EM3:EM8" si="6">+SUMIFS($EI$12:$EI$537,$EG$12:$EG$537,EK3)</f>
        <v>0</v>
      </c>
      <c r="EN3" s="16" t="str">
        <f t="shared" si="0"/>
        <v>non</v>
      </c>
      <c r="EO3" s="16">
        <f t="shared" ref="EO3:EO8" si="7">+EL3-EM3</f>
        <v>0</v>
      </c>
    </row>
    <row r="4" spans="1:145" x14ac:dyDescent="0.2">
      <c r="O4" s="35"/>
      <c r="Q4" s="36"/>
      <c r="R4" s="1723"/>
      <c r="S4" s="1724"/>
      <c r="T4" s="1724"/>
      <c r="U4" s="1724"/>
      <c r="V4" s="1724"/>
      <c r="W4" s="1724"/>
      <c r="X4" s="1725"/>
      <c r="Y4" s="442"/>
      <c r="Z4" s="442"/>
      <c r="AA4" s="442"/>
      <c r="AB4" s="442"/>
      <c r="AC4" s="442"/>
      <c r="AD4" s="442"/>
      <c r="AE4" s="442"/>
      <c r="AF4" s="442"/>
      <c r="AG4" s="442"/>
      <c r="AR4" s="1720"/>
      <c r="AS4" s="1721"/>
      <c r="AT4" s="1722"/>
      <c r="BU4" s="27" t="str">
        <f t="shared" si="1"/>
        <v>3</v>
      </c>
      <c r="BV4" s="53" t="str">
        <f t="shared" si="2"/>
        <v>non</v>
      </c>
      <c r="BW4" s="1729" t="str">
        <f t="shared" si="3"/>
        <v/>
      </c>
      <c r="BX4" s="1729"/>
      <c r="EJ4" s="16" t="str">
        <f t="shared" si="4"/>
        <v>3</v>
      </c>
      <c r="EK4" s="16" t="str">
        <f t="array" ref="EK4">IFERROR(INDEX(EG12:EG42,MATCH(0,INDEX(COUNTIF(EK1:EK3,EG12:EG42),0,0),0)),"")</f>
        <v>32026</v>
      </c>
      <c r="EL4" s="27">
        <f t="shared" si="5"/>
        <v>0</v>
      </c>
      <c r="EM4" s="27">
        <f t="shared" si="6"/>
        <v>0</v>
      </c>
      <c r="EN4" s="16" t="str">
        <f t="shared" si="0"/>
        <v>non</v>
      </c>
      <c r="EO4" s="16">
        <f t="shared" si="7"/>
        <v>0</v>
      </c>
    </row>
    <row r="5" spans="1:145" x14ac:dyDescent="0.2">
      <c r="C5" s="39" t="s">
        <v>25</v>
      </c>
      <c r="D5" s="1713">
        <f>+Identification!B25</f>
        <v>0</v>
      </c>
      <c r="E5" s="1713"/>
      <c r="O5" s="35"/>
      <c r="Q5" s="36"/>
      <c r="R5" s="1723"/>
      <c r="S5" s="1724"/>
      <c r="T5" s="1724"/>
      <c r="U5" s="1724"/>
      <c r="V5" s="1724"/>
      <c r="W5" s="1724"/>
      <c r="X5" s="1725"/>
      <c r="Y5" s="442"/>
      <c r="Z5" s="442"/>
      <c r="AA5" s="442"/>
      <c r="AB5" s="442"/>
      <c r="AC5" s="442"/>
      <c r="AD5" s="442"/>
      <c r="AE5" s="442"/>
      <c r="AF5" s="442"/>
      <c r="AG5" s="442"/>
      <c r="AL5" s="16" t="str">
        <f t="shared" ref="AL5:AN5" si="8">C8</f>
        <v>Mois :</v>
      </c>
      <c r="AM5" s="1716">
        <f t="shared" si="8"/>
        <v>46023</v>
      </c>
      <c r="AN5" s="1716">
        <f t="shared" si="8"/>
        <v>0</v>
      </c>
      <c r="AR5" s="539" t="str">
        <f>+AT5</f>
        <v>NON</v>
      </c>
      <c r="AS5" s="538" t="s">
        <v>492</v>
      </c>
      <c r="AT5" s="1083" t="s">
        <v>137</v>
      </c>
      <c r="BU5" s="27" t="str">
        <f t="shared" si="1"/>
        <v>4</v>
      </c>
      <c r="BV5" s="53" t="str">
        <f t="shared" si="2"/>
        <v>non</v>
      </c>
      <c r="BW5" s="1729" t="str">
        <f t="shared" si="3"/>
        <v/>
      </c>
      <c r="BX5" s="1729"/>
      <c r="EJ5" s="16" t="str">
        <f t="shared" si="4"/>
        <v>4</v>
      </c>
      <c r="EK5" s="16" t="str">
        <f t="array" ref="EK5">IFERROR(INDEX(EG12:EG42,MATCH(0,INDEX(COUNTIF(EK1:EK4,EG12:EG42),0,0),0)),"")</f>
        <v>42026</v>
      </c>
      <c r="EL5" s="27">
        <f t="shared" si="5"/>
        <v>0</v>
      </c>
      <c r="EM5" s="27">
        <f t="shared" si="6"/>
        <v>0</v>
      </c>
      <c r="EN5" s="16" t="str">
        <f t="shared" si="0"/>
        <v>non</v>
      </c>
      <c r="EO5" s="16">
        <f t="shared" si="7"/>
        <v>0</v>
      </c>
    </row>
    <row r="6" spans="1:145" ht="13.5" thickBot="1" x14ac:dyDescent="0.25">
      <c r="O6" s="42"/>
      <c r="P6" s="43"/>
      <c r="Q6" s="44"/>
      <c r="R6" s="1726"/>
      <c r="S6" s="1727"/>
      <c r="T6" s="1727"/>
      <c r="U6" s="1727"/>
      <c r="V6" s="1727"/>
      <c r="W6" s="1727"/>
      <c r="X6" s="1728"/>
      <c r="Y6" s="442"/>
      <c r="Z6" s="442"/>
      <c r="AA6" s="442"/>
      <c r="AB6" s="442"/>
      <c r="AC6" s="442"/>
      <c r="AD6" s="442"/>
      <c r="AE6" s="442"/>
      <c r="AF6" s="442"/>
      <c r="AG6" s="442"/>
      <c r="BJ6" s="16" t="str">
        <f t="shared" ref="BJ6:BK6" si="9">AL5</f>
        <v>Mois :</v>
      </c>
      <c r="BK6" s="1716">
        <f t="shared" si="9"/>
        <v>46023</v>
      </c>
      <c r="BL6" s="1716"/>
      <c r="BU6" s="27" t="str">
        <f t="shared" si="1"/>
        <v>5</v>
      </c>
      <c r="BV6" s="53" t="str">
        <f t="shared" si="2"/>
        <v>non</v>
      </c>
      <c r="BW6" s="1729" t="str">
        <f t="shared" si="3"/>
        <v/>
      </c>
      <c r="BX6" s="1729"/>
      <c r="EJ6" s="16" t="str">
        <f t="shared" si="4"/>
        <v>5</v>
      </c>
      <c r="EK6" s="16" t="str">
        <f t="array" ref="EK6">IFERROR(INDEX(EG12:EG42,MATCH(0,INDEX(COUNTIF(EK1:EK5,EG12:EG42),0,0),0)),"")</f>
        <v>52026</v>
      </c>
      <c r="EL6" s="27">
        <f t="shared" si="5"/>
        <v>0</v>
      </c>
      <c r="EM6" s="27">
        <f t="shared" si="6"/>
        <v>0</v>
      </c>
      <c r="EN6" s="16" t="str">
        <f t="shared" si="0"/>
        <v>non</v>
      </c>
      <c r="EO6" s="16">
        <f t="shared" si="7"/>
        <v>0</v>
      </c>
    </row>
    <row r="7" spans="1:145" ht="13.5" thickTop="1" x14ac:dyDescent="0.2">
      <c r="AI7" s="535" t="s">
        <v>986</v>
      </c>
      <c r="BU7" s="27" t="str">
        <f t="shared" si="1"/>
        <v/>
      </c>
      <c r="BV7" s="53" t="str">
        <f t="shared" si="2"/>
        <v/>
      </c>
      <c r="BW7" s="1729" t="str">
        <f t="shared" si="3"/>
        <v/>
      </c>
      <c r="BX7" s="1729"/>
      <c r="EJ7" s="16" t="e">
        <f t="shared" si="4"/>
        <v>#VALUE!</v>
      </c>
      <c r="EK7" s="16" t="str">
        <f t="array" ref="EK7">IFERROR(INDEX(EG12:EG42,MATCH(0,INDEX(COUNTIF(EK1:EK6,EG12:EG42),0,0),0)),"")</f>
        <v/>
      </c>
      <c r="EL7" s="27">
        <f t="shared" si="5"/>
        <v>0</v>
      </c>
      <c r="EM7" s="27">
        <f t="shared" si="6"/>
        <v>0</v>
      </c>
      <c r="EN7" s="16" t="str">
        <f t="shared" si="0"/>
        <v>non</v>
      </c>
      <c r="EO7" s="16">
        <f t="shared" si="7"/>
        <v>0</v>
      </c>
    </row>
    <row r="8" spans="1:145" x14ac:dyDescent="0.2">
      <c r="C8" s="39" t="s">
        <v>28</v>
      </c>
      <c r="D8" s="1716">
        <f>+Janvier!X3</f>
        <v>46023</v>
      </c>
      <c r="E8" s="1716"/>
      <c r="F8" s="39" t="s">
        <v>12</v>
      </c>
      <c r="G8" s="63">
        <f>+Janvier!X4</f>
        <v>2026</v>
      </c>
      <c r="EJ8" s="16" t="e">
        <f t="shared" si="4"/>
        <v>#VALUE!</v>
      </c>
      <c r="EK8" s="16" t="str">
        <f t="array" ref="EK8">IFERROR(INDEX($EG$12:$EG$42,MATCH(0,INDEX(COUNTIF($EK$1:EK7,$EG$12:$EG$42),0,0),0)),"")</f>
        <v/>
      </c>
      <c r="EL8" s="27">
        <f>+SUMIFS($EE$12:$EE$537,$EG$12:$EG$537,EK8)</f>
        <v>0</v>
      </c>
      <c r="EM8" s="27">
        <f t="shared" si="6"/>
        <v>0</v>
      </c>
      <c r="EN8" s="16" t="str">
        <f>+IF(AND(EL8&lt;&gt;EM8,EK8&lt;&gt;""),"oui","non")</f>
        <v>non</v>
      </c>
      <c r="EO8" s="16">
        <f t="shared" si="7"/>
        <v>0</v>
      </c>
    </row>
    <row r="9" spans="1:145" x14ac:dyDescent="0.2">
      <c r="AL9" s="1714" t="s">
        <v>960</v>
      </c>
      <c r="AM9" s="1714"/>
      <c r="AN9" s="1714"/>
      <c r="AO9" s="1714"/>
      <c r="AP9" s="1714"/>
      <c r="AQ9" s="492"/>
      <c r="AT9" s="1715" t="s">
        <v>749</v>
      </c>
      <c r="AU9" s="1715"/>
      <c r="AV9" s="1715"/>
      <c r="AW9" s="63"/>
      <c r="AX9" s="63"/>
      <c r="AY9" s="517" t="s">
        <v>975</v>
      </c>
      <c r="AZ9" s="518"/>
      <c r="BA9" s="518"/>
      <c r="BB9" s="518"/>
      <c r="BC9" s="519"/>
      <c r="BD9" s="519"/>
      <c r="BE9" s="519"/>
      <c r="BF9" s="512"/>
      <c r="BG9" s="512"/>
      <c r="BJ9" s="437"/>
      <c r="BK9" s="437"/>
      <c r="BL9" s="437"/>
      <c r="BM9" s="437"/>
      <c r="BN9" s="437"/>
      <c r="BO9" s="437"/>
      <c r="BP9" s="437"/>
      <c r="BQ9" s="437"/>
      <c r="BU9" s="438"/>
      <c r="BV9" s="438"/>
      <c r="BW9" s="438"/>
      <c r="BX9" s="438"/>
      <c r="BY9" s="438"/>
      <c r="BZ9" s="438"/>
      <c r="CA9" s="438"/>
      <c r="CB9" s="438"/>
      <c r="EL9" s="27"/>
    </row>
    <row r="10" spans="1:145" ht="15" customHeight="1" x14ac:dyDescent="0.2">
      <c r="D10" s="439" t="s">
        <v>791</v>
      </c>
      <c r="E10" s="438"/>
      <c r="F10" s="438"/>
      <c r="G10" s="438"/>
      <c r="H10" s="438"/>
      <c r="I10" s="438"/>
      <c r="J10" s="438"/>
      <c r="K10" s="438"/>
      <c r="L10" s="438"/>
      <c r="M10" s="438"/>
      <c r="O10" s="440" t="s">
        <v>790</v>
      </c>
      <c r="P10" s="437"/>
      <c r="Q10" s="437"/>
      <c r="R10" s="437"/>
      <c r="S10" s="437"/>
      <c r="T10" s="437"/>
      <c r="U10" s="437"/>
      <c r="V10" s="437"/>
      <c r="W10" s="437"/>
      <c r="X10" s="437"/>
      <c r="BJ10" s="1087" t="s">
        <v>792</v>
      </c>
      <c r="BK10" s="1088"/>
      <c r="BL10" s="1088"/>
      <c r="BM10" s="1088"/>
      <c r="BN10" s="1088"/>
      <c r="BO10" s="1088"/>
      <c r="BP10" s="1088"/>
      <c r="BQ10" s="1088"/>
      <c r="BU10" s="1087" t="s">
        <v>1369</v>
      </c>
      <c r="BV10" s="1088"/>
      <c r="BW10" s="1088"/>
      <c r="BX10" s="1088"/>
      <c r="BY10" s="1088"/>
      <c r="BZ10" s="1088"/>
      <c r="CA10" s="1088"/>
      <c r="CB10" s="1088"/>
      <c r="DG10" s="315" t="s">
        <v>1326</v>
      </c>
      <c r="DH10" s="129"/>
      <c r="DI10" s="129"/>
      <c r="DK10" s="129" t="s">
        <v>1331</v>
      </c>
      <c r="DN10" s="16" t="s">
        <v>1334</v>
      </c>
      <c r="DV10" s="825" t="s">
        <v>1521</v>
      </c>
      <c r="DW10" s="825"/>
      <c r="DX10" s="825"/>
      <c r="DY10" s="825"/>
      <c r="DZ10" s="825"/>
      <c r="EA10" s="825"/>
      <c r="EB10" s="825"/>
      <c r="EC10" s="825"/>
      <c r="ED10" s="825"/>
      <c r="EE10" s="825"/>
    </row>
    <row r="11" spans="1:145" ht="56.25" customHeight="1" x14ac:dyDescent="0.2">
      <c r="A11" s="24" t="s">
        <v>789</v>
      </c>
      <c r="B11" s="432" t="s">
        <v>16</v>
      </c>
      <c r="C11" s="433" t="s">
        <v>1525</v>
      </c>
      <c r="D11" s="432" t="s">
        <v>219</v>
      </c>
      <c r="E11" s="432" t="s">
        <v>220</v>
      </c>
      <c r="F11" s="432" t="s">
        <v>221</v>
      </c>
      <c r="G11" s="432" t="s">
        <v>222</v>
      </c>
      <c r="H11" s="432" t="s">
        <v>522</v>
      </c>
      <c r="I11" s="432" t="s">
        <v>523</v>
      </c>
      <c r="J11" s="432" t="s">
        <v>524</v>
      </c>
      <c r="K11" s="432" t="s">
        <v>525</v>
      </c>
      <c r="L11" s="432" t="s">
        <v>182</v>
      </c>
      <c r="M11" s="432" t="s">
        <v>183</v>
      </c>
      <c r="N11" s="433"/>
      <c r="O11" s="432" t="s">
        <v>219</v>
      </c>
      <c r="P11" s="432" t="s">
        <v>220</v>
      </c>
      <c r="Q11" s="432" t="s">
        <v>221</v>
      </c>
      <c r="R11" s="432" t="s">
        <v>222</v>
      </c>
      <c r="S11" s="432" t="s">
        <v>522</v>
      </c>
      <c r="T11" s="432" t="s">
        <v>523</v>
      </c>
      <c r="U11" s="432" t="s">
        <v>524</v>
      </c>
      <c r="V11" s="432" t="s">
        <v>525</v>
      </c>
      <c r="W11" s="432" t="s">
        <v>182</v>
      </c>
      <c r="X11" s="432" t="s">
        <v>183</v>
      </c>
      <c r="Y11" s="433"/>
      <c r="Z11" s="432" t="s">
        <v>796</v>
      </c>
      <c r="AA11" s="432" t="s">
        <v>797</v>
      </c>
      <c r="AB11" s="432" t="s">
        <v>798</v>
      </c>
      <c r="AC11" s="432" t="s">
        <v>799</v>
      </c>
      <c r="AD11" s="432" t="s">
        <v>800</v>
      </c>
      <c r="AE11" s="432" t="s">
        <v>801</v>
      </c>
      <c r="AF11" s="432" t="s">
        <v>802</v>
      </c>
      <c r="AG11" s="432" t="s">
        <v>803</v>
      </c>
      <c r="AI11" s="432" t="s">
        <v>804</v>
      </c>
      <c r="AJ11" s="432" t="s">
        <v>795</v>
      </c>
      <c r="AK11" s="433"/>
      <c r="AL11" s="495" t="s">
        <v>16</v>
      </c>
      <c r="AM11" s="530" t="s">
        <v>1003</v>
      </c>
      <c r="AN11" s="1084" t="s">
        <v>958</v>
      </c>
      <c r="AO11" s="1085" t="s">
        <v>959</v>
      </c>
      <c r="AP11" s="496" t="s">
        <v>1707</v>
      </c>
      <c r="AQ11" s="493"/>
      <c r="AR11" s="1086" t="s">
        <v>684</v>
      </c>
      <c r="AT11" s="1086" t="s">
        <v>1333</v>
      </c>
      <c r="AU11" s="1085" t="s">
        <v>1707</v>
      </c>
      <c r="AV11" s="432" t="s">
        <v>16</v>
      </c>
      <c r="AW11" s="433"/>
      <c r="AX11" s="433"/>
      <c r="AY11" s="529" t="s">
        <v>972</v>
      </c>
      <c r="AZ11" s="530" t="s">
        <v>978</v>
      </c>
      <c r="BA11" s="513" t="s">
        <v>976</v>
      </c>
      <c r="BB11" s="550" t="s">
        <v>977</v>
      </c>
      <c r="BC11" s="551" t="s">
        <v>1005</v>
      </c>
      <c r="BD11" s="550" t="s">
        <v>979</v>
      </c>
      <c r="BE11" s="552" t="s">
        <v>1004</v>
      </c>
      <c r="BF11" s="513" t="s">
        <v>980</v>
      </c>
      <c r="BG11" s="513" t="s">
        <v>985</v>
      </c>
      <c r="BI11" s="24" t="s">
        <v>1011</v>
      </c>
      <c r="BJ11" s="432" t="s">
        <v>219</v>
      </c>
      <c r="BK11" s="432" t="s">
        <v>220</v>
      </c>
      <c r="BL11" s="432" t="s">
        <v>221</v>
      </c>
      <c r="BM11" s="432" t="s">
        <v>222</v>
      </c>
      <c r="BN11" s="432" t="s">
        <v>522</v>
      </c>
      <c r="BO11" s="432" t="s">
        <v>523</v>
      </c>
      <c r="BP11" s="432" t="s">
        <v>524</v>
      </c>
      <c r="BQ11" s="432" t="s">
        <v>525</v>
      </c>
      <c r="BS11" s="432" t="str">
        <f t="shared" ref="BS11:BS42" si="10">AV11</f>
        <v>Jours</v>
      </c>
      <c r="BU11" s="432" t="s">
        <v>219</v>
      </c>
      <c r="BV11" s="432" t="s">
        <v>220</v>
      </c>
      <c r="BW11" s="432" t="s">
        <v>221</v>
      </c>
      <c r="BX11" s="432" t="s">
        <v>222</v>
      </c>
      <c r="BY11" s="432" t="s">
        <v>522</v>
      </c>
      <c r="BZ11" s="432" t="s">
        <v>523</v>
      </c>
      <c r="CA11" s="432" t="s">
        <v>524</v>
      </c>
      <c r="CB11" s="432" t="s">
        <v>525</v>
      </c>
      <c r="CD11" s="1361" t="s">
        <v>1526</v>
      </c>
      <c r="CS11" s="488"/>
      <c r="CT11" s="488"/>
      <c r="CU11" s="488"/>
      <c r="CV11" s="488"/>
      <c r="DG11" s="315" t="s">
        <v>1327</v>
      </c>
      <c r="DH11" s="129" t="s">
        <v>1328</v>
      </c>
      <c r="DI11" s="129" t="s">
        <v>1330</v>
      </c>
      <c r="DK11" s="129" t="s">
        <v>1332</v>
      </c>
      <c r="DU11" s="1361" t="s">
        <v>238</v>
      </c>
      <c r="DV11" s="1361" t="s">
        <v>219</v>
      </c>
      <c r="DW11" s="1361" t="s">
        <v>220</v>
      </c>
      <c r="DX11" s="1361" t="s">
        <v>221</v>
      </c>
      <c r="DY11" s="1361" t="s">
        <v>222</v>
      </c>
      <c r="DZ11" s="1361" t="s">
        <v>522</v>
      </c>
      <c r="EA11" s="1361" t="s">
        <v>523</v>
      </c>
      <c r="EB11" s="1361" t="s">
        <v>524</v>
      </c>
      <c r="EC11" s="1361" t="s">
        <v>525</v>
      </c>
      <c r="ED11" s="1361" t="s">
        <v>182</v>
      </c>
      <c r="EE11" s="1361" t="s">
        <v>183</v>
      </c>
      <c r="EG11" s="1361" t="s">
        <v>1224</v>
      </c>
      <c r="EH11" s="1361" t="s">
        <v>1522</v>
      </c>
      <c r="EI11" s="1361" t="s">
        <v>1523</v>
      </c>
      <c r="EJ11" s="433"/>
      <c r="EK11" s="433"/>
    </row>
    <row r="12" spans="1:145" x14ac:dyDescent="0.2">
      <c r="A12" s="24" t="str">
        <f>Janvier!BJ20</f>
        <v>Fiche infoA4</v>
      </c>
      <c r="B12" s="810">
        <f>Janvier!AB20</f>
        <v>46023</v>
      </c>
      <c r="C12" s="1371">
        <f>IFERROR(WEEKNUM(B12,21),"")</f>
        <v>1</v>
      </c>
      <c r="D12" s="978">
        <f t="shared" ref="D12:D42" si="11">IF(AR12&lt;&gt;"",0,IF(DN12=10,0,IFERROR(+IF(BU12="",VLOOKUP(A12,base_horaire,2,FALSE),BU12),0)))</f>
        <v>0</v>
      </c>
      <c r="E12" s="979">
        <f t="shared" ref="E12:E42" si="12">IF(AR12&lt;&gt;"",0,IF(DN12=10,0,IFERROR(+IF(BV12="",VLOOKUP(A12,base_horaire,3,FALSE),BV12),0)))</f>
        <v>0</v>
      </c>
      <c r="F12" s="979">
        <f t="shared" ref="F12:F42" si="13">IF(AR12&lt;&gt;"",0,IF(DN12=10,0,IFERROR(+IF(BW12="",VLOOKUP(A12,base_horaire,4,FALSE),BW12),0)))</f>
        <v>0</v>
      </c>
      <c r="G12" s="979">
        <f t="shared" ref="G12:G42" si="14">IF(AR12&lt;&gt;"",0,IF(DN12=10,0,IFERROR(+IF(BX12="",VLOOKUP(A12,base_horaire,5,FALSE),BX12),0)))</f>
        <v>0</v>
      </c>
      <c r="H12" s="979">
        <f t="shared" ref="H12:H42" si="15">IF(AR12&lt;&gt;"",0,IF(DN12=10,0,IFERROR(+IF(BY12="",VLOOKUP(A12,base_horaire,6,FALSE),BY12),0)))</f>
        <v>0</v>
      </c>
      <c r="I12" s="979">
        <f t="shared" ref="I12:I42" si="16">IF(AR12&lt;&gt;"",0,IF(DN12=10,0,IFERROR(+IF(BZ12="",VLOOKUP(A12,base_horaire,7,FALSE),BZ12),0)))</f>
        <v>0</v>
      </c>
      <c r="J12" s="979">
        <f t="shared" ref="J12:J42" si="17">IF(AR12&lt;&gt;"",0,IF(DN12=10,0,IFERROR(+IF(CA12="",VLOOKUP(A12,base_horaire,8,FALSE),CA12),0)))</f>
        <v>0</v>
      </c>
      <c r="K12" s="979">
        <f t="shared" ref="K12:K42" si="18">IF(AR12&lt;&gt;"",0,IF(DN12=10,0,IFERROR(+IF(CB12="",VLOOKUP(A12,base_horaire,9,FALSE),CB12),0)))</f>
        <v>0</v>
      </c>
      <c r="L12" s="979">
        <f>+E12-D12+G12-F12+I12-H12+K12-J12</f>
        <v>0</v>
      </c>
      <c r="M12" s="980">
        <f>ROUND(+L12*24,2)</f>
        <v>0</v>
      </c>
      <c r="O12" s="978">
        <f t="shared" ref="O12:O19" si="19">IF(AR12&lt;&gt;"",0,IF(DC12="oui",0,IF(AND(ISTEXT(AT12)=TRUE,BJ12=""),0,IF(BJ12="",D12,BJ12))))</f>
        <v>0</v>
      </c>
      <c r="P12" s="979">
        <f t="shared" ref="P12:P19" si="20">IF(AR12&lt;&gt;"",0,IF(DC12="oui",0,IF(AND(ISTEXT(AT12)=TRUE,BK12=""),0,IF(BK12="",E12,BK12))))</f>
        <v>0</v>
      </c>
      <c r="Q12" s="979">
        <f t="shared" ref="Q12:Q19" si="21">IF(AR12&lt;&gt;"",0,IF(DC12="oui",0,IF(AND(ISTEXT(AT12)=TRUE,BL12=""),0,IF(BL12="",F12,BL12))))</f>
        <v>0</v>
      </c>
      <c r="R12" s="979">
        <f t="shared" ref="R12:R19" si="22">IF(AR12&lt;&gt;"",0,IF(DC12="oui",0,IF(AND(ISTEXT(AT12)=TRUE,BM12=""),0,IF(BM12="",G12,BM12))))</f>
        <v>0</v>
      </c>
      <c r="S12" s="979">
        <f t="shared" ref="S12:S19" si="23">IF(AR12&lt;&gt;"",0,IF(DC12="oui",0,IF(AND(ISTEXT(AT12)=TRUE,BN12=""),0,IF(BN12="",H12,BN12))))</f>
        <v>0</v>
      </c>
      <c r="T12" s="979">
        <f t="shared" ref="T12:T19" si="24">IF(AR12&lt;&gt;"",0,IF(DC12="oui",0,IF(AND(ISTEXT(AT12)=TRUE,BO12=""),0,IF(BO12="",I12,BO12))))</f>
        <v>0</v>
      </c>
      <c r="U12" s="979">
        <f t="shared" ref="U12:U19" si="25">IF(AR12&lt;&gt;"",0,IF(DC12="oui",0,IF(AND(ISTEXT(AT12)=TRUE,BP12=""),0,IF(BP12="",J12,BP12))))</f>
        <v>0</v>
      </c>
      <c r="V12" s="979">
        <f t="shared" ref="V12:V19" si="26">IF(AR12&lt;&gt;"",0,IF(DC12="oui",0,IF(AND(ISTEXT(AT12)=TRUE,BQ12=""),0,IF(BQ12="",K12,BQ12))))</f>
        <v>0</v>
      </c>
      <c r="W12" s="979">
        <f t="shared" ref="W12:W42" si="27">+P12-O12+R12-Q12+T12-S12+V12-U12</f>
        <v>0</v>
      </c>
      <c r="X12" s="980">
        <f t="shared" ref="X12:X42" si="28">ROUND(+W12*24,2)</f>
        <v>0</v>
      </c>
      <c r="Y12" s="441"/>
      <c r="Z12" s="277">
        <f t="shared" ref="Z12:Z42" si="29">+IF(AND(O12&gt;D12,D12&gt;0),D12,O12)</f>
        <v>0</v>
      </c>
      <c r="AA12" s="277">
        <f t="shared" ref="AA12:AA42" si="30">+IF(P12&gt;E12,P12,E12)</f>
        <v>0</v>
      </c>
      <c r="AB12" s="277">
        <f t="shared" ref="AB12:AB42" si="31">+IF(AND(Q12&gt;F12,F12&gt;0),F12,Q12)</f>
        <v>0</v>
      </c>
      <c r="AC12" s="277">
        <f t="shared" ref="AC12:AC42" si="32">+IF(R12&gt;G12,R12,G12)</f>
        <v>0</v>
      </c>
      <c r="AD12" s="277">
        <f t="shared" ref="AD12:AD42" si="33">+IF(AND(S12&gt;H12,H12&gt;0),H12,S12)</f>
        <v>0</v>
      </c>
      <c r="AE12" s="277">
        <f t="shared" ref="AE12:AE42" si="34">+IF(T12&gt;I12,T12,I12)</f>
        <v>0</v>
      </c>
      <c r="AF12" s="277">
        <f t="shared" ref="AF12:AF42" si="35">+IF(AND(U12&gt;J12,J12&gt;0),J12,U12)</f>
        <v>0</v>
      </c>
      <c r="AG12" s="277">
        <f t="shared" ref="AG12:AG42" si="36">+IF(V12&gt;K12,V12,K12)</f>
        <v>0</v>
      </c>
      <c r="AI12" s="443">
        <f t="shared" ref="AI12:AI19" si="37">IF(DC12="oui",0,IF(AND(ISTEXT(AT12)=TRUE,OR(X12=0,X12="")),0,ROUND(((((AA12-Z12)-(E12-D12))+((AC12-AB12)-(G12-F12))+((AE12-AD12)-(I12-H12))+(AG12-AF12)-(K12-J12))*24),2)))</f>
        <v>0</v>
      </c>
      <c r="AJ12" s="1089"/>
      <c r="AK12" s="489"/>
      <c r="AL12" s="810">
        <f t="shared" ref="AL12:AL42" si="38">B12</f>
        <v>46023</v>
      </c>
      <c r="AM12" s="497">
        <f>IFERROR(IF(AND(AT12="",AR12&lt;&gt;S.CAL!$BJ$3,AR12&lt;&gt;S.CAL!$BJ$4,$AR$5="NON"),M12-BD12,IF(AND(AT12="",AR12&lt;&gt;S.CAL!$BJ$3,AR12&lt;&gt;S.CAL!$BJ$4,$AR$5="OUI"),X12-AI12,IF(AT12&lt;&gt;0,AT12,IF(OR(AR12=S.CAL!$BJ$3,AR12=S.CAL!$BJ$4),AR12,"")))),"")</f>
        <v>0</v>
      </c>
      <c r="AN12" s="1091"/>
      <c r="AO12" s="1092"/>
      <c r="AP12" s="497">
        <f>+IF(AND(AU12="",BB12="OUI",BH12="non",BI12="OUI"),AM12,IF(AND(AU12="",BB12="OUI",BH12="oui",BI12="NON"),AM12,IF(AND(AU12="",BB12="NON",BH12="oui",BI12="NON"),M12,IF(AND(AU12="",BB12="NON",BH12="non",BI12="OUI"),M12,IF(AND(AU12="",BB12="OUI",BH12="non",BI12="NON"),"ERREUR",IF(AND(AU12="",BB12="NON",BH12="non",BI12="NON"),AM12,IF(AND(AU12="",BB12="OUI",BH12="",BI12=""),AM12,IF(AND(AU12="",BB12="NON",BH12="",BI12="",AZ12="NON"),M12,IF(AND(AU12="",BH12="",AZ12="OUI",AR12=""),AM12,IF(AND(AU12="",BH12="",AZ12="NON",AR12="",AT12=""),M12,IF(AND(OR(AR12=S.CAL!$BJ$3,AR12=S.CAL!$BJ$4),(VLOOKUP($AM$5,base_nbre_sem_mensu,2,FALSE)=52)),EE12,IF(AND(OR(AR12=S.CAL!$BJ$3,AR12=S.CAL!$BJ$4),(VLOOKUP($AM$5,base_nbre_sem_mensu,2,FALSE)&lt;52)),AM12,IF(AND(AT12&lt;&gt;"",AU12=""),AT12,AU12)))))))))))))</f>
        <v>0</v>
      </c>
      <c r="AQ12" s="498">
        <f>AI12-SUM(AN12:AO12)</f>
        <v>0</v>
      </c>
      <c r="AR12" s="1097"/>
      <c r="AT12" s="1100"/>
      <c r="AU12" s="975"/>
      <c r="AV12" s="1369">
        <f t="shared" ref="AV12:AV42" si="39">B12</f>
        <v>46023</v>
      </c>
      <c r="AX12" s="511">
        <f>+AV12</f>
        <v>46023</v>
      </c>
      <c r="AY12" s="528">
        <f t="shared" ref="AY12:AY14" si="40">+IF(M12-X12&lt;0,0,M12-X12)</f>
        <v>0</v>
      </c>
      <c r="AZ12" s="531" t="s">
        <v>137</v>
      </c>
      <c r="BA12" s="532">
        <f t="shared" ref="BA12:BA14" si="41">+IF(AZ12="OUI",AY12,0)</f>
        <v>0</v>
      </c>
      <c r="BB12" s="533" t="str">
        <f t="shared" ref="BB12:BB42" si="42">IF(AND(BE12="",+IFERROR(VLOOKUP(AT12,Liste_motif_formule,5,FALSE),0)="OUI"),"OUI",IF(AND(BE12="",IFERROR(VLOOKUP(AT12,Liste_motif_formule,5,FALSE),0)="NON"),"NON",IF(AND(BE12="",IFERROR(M12-AT12&gt;=0,0),AT12&lt;&gt;""),"OUI",IF(AND(BE12="",DC12="oui"),"OUI",IF(BE12&lt;&gt;"",BE12,"")))))</f>
        <v/>
      </c>
      <c r="BC12" s="528">
        <f>+IF(BB12="OUI",IFERROR(M12-AT12,M12),0)</f>
        <v>0</v>
      </c>
      <c r="BD12" s="528">
        <f>+BC12+BA12</f>
        <v>0</v>
      </c>
      <c r="BE12" s="1103"/>
      <c r="BF12" s="514" t="str">
        <f t="shared" ref="BF12:BF42" si="43">+IF(AND(AZ12="OUI",BB12="OUI"),"ERREUR","")</f>
        <v/>
      </c>
      <c r="BG12" s="514" t="str">
        <f>+IF(AND(M12=0,AT12=""),"oui","non")</f>
        <v>oui</v>
      </c>
      <c r="BH12" s="377" t="str">
        <f t="shared" ref="BH12:BH42" si="44">IFERROR(+VLOOKUP(AT12,Liste_motif_formule,4,FALSE),"")</f>
        <v/>
      </c>
      <c r="BI12" s="24" t="str">
        <f t="shared" ref="BI12:BI42" si="45">IFERROR(+VLOOKUP(AT12,Liste_motif_formule,5,FALSE),"")</f>
        <v/>
      </c>
      <c r="BJ12" s="1381"/>
      <c r="BK12" s="1381"/>
      <c r="BL12" s="1381"/>
      <c r="BM12" s="1381"/>
      <c r="BN12" s="1381"/>
      <c r="BO12" s="1381"/>
      <c r="BP12" s="1381"/>
      <c r="BQ12" s="1381"/>
      <c r="BS12" s="1369">
        <f t="shared" si="10"/>
        <v>46023</v>
      </c>
      <c r="BT12" s="27">
        <f>IFERROR(WEEKNUM(BS12,21),"")</f>
        <v>1</v>
      </c>
      <c r="BU12" s="1379"/>
      <c r="BV12" s="1379"/>
      <c r="BW12" s="1379"/>
      <c r="BX12" s="1379"/>
      <c r="BY12" s="1379"/>
      <c r="BZ12" s="1379"/>
      <c r="CA12" s="1379"/>
      <c r="CB12" s="1379"/>
      <c r="CD12" s="1385">
        <f>+M12</f>
        <v>0</v>
      </c>
      <c r="DC12" s="16" t="str">
        <f>Janvier!FC20</f>
        <v>non</v>
      </c>
      <c r="DG12" s="315">
        <f>IF(OR(AT12=0,AT12=""),1,10)</f>
        <v>1</v>
      </c>
      <c r="DH12" s="129">
        <f t="shared" ref="DH12:DH42" si="46">IFERROR(+VLOOKUP(AT12,Liste_motif_formule,9,FALSE),10)</f>
        <v>10</v>
      </c>
      <c r="DI12" s="129">
        <f>+IF(OR(DG12=1,DH12=1),1,10)</f>
        <v>1</v>
      </c>
      <c r="DK12" s="16">
        <f>+IF(AND(Janvier!$DP$8&lt;&gt;52,AR12=S.CAL!$BJ$4),10,1)</f>
        <v>1</v>
      </c>
      <c r="DN12" s="16">
        <f t="shared" ref="DN12:DN42" si="47">+IF(AND(DC12="non",ISTEXT(AT12)=TRUE,IFERROR(VLOOKUP(AT12,Liste_motif_formule,4,FALSE)="non",0),IFERROR(VLOOKUP(AT12,Liste_motif_formule,5,FALSE)="non",0)),10,1)</f>
        <v>1</v>
      </c>
      <c r="DU12" s="1274" t="str">
        <f>+A12&amp;B12</f>
        <v>Fiche infoA446023</v>
      </c>
      <c r="DV12" s="1362">
        <f t="shared" ref="DV12:DV42" si="48">+IFERROR(+IF(BU12="",VLOOKUP(A12,base_horaire,2,FALSE),BU12),0)</f>
        <v>0</v>
      </c>
      <c r="DW12" s="1363">
        <f t="shared" ref="DW12:DW42" si="49">+IFERROR(+IF(BV12="",VLOOKUP(A12,base_horaire,3,FALSE),BV12),0)</f>
        <v>0</v>
      </c>
      <c r="DX12" s="1363">
        <f t="shared" ref="DX12:DX42" si="50">+IFERROR(+IF(BW12="",VLOOKUP(A12,base_horaire,4,FALSE),BW12),0)</f>
        <v>0</v>
      </c>
      <c r="DY12" s="1363">
        <f t="shared" ref="DY12:DY42" si="51">+IFERROR(+IF(BX12="",VLOOKUP(A12,base_horaire,5,FALSE),BX12),0)</f>
        <v>0</v>
      </c>
      <c r="DZ12" s="1363">
        <f t="shared" ref="DZ12:DZ42" si="52">+IFERROR(+IF(BY12="",VLOOKUP(A12,base_horaire,6,FALSE),BY12),0)</f>
        <v>0</v>
      </c>
      <c r="EA12" s="1363">
        <f t="shared" ref="EA12:EA42" si="53">IFERROR(+IF(BZ12="",VLOOKUP(A12,base_horaire,7,FALSE),BZ12),0)</f>
        <v>0</v>
      </c>
      <c r="EB12" s="1363">
        <f t="shared" ref="EB12:EB42" si="54">IFERROR(+IF(CA12="",VLOOKUP(A12,base_horaire,8,FALSE),CA12),0)</f>
        <v>0</v>
      </c>
      <c r="EC12" s="1363">
        <f t="shared" ref="EC12:EC42" si="55">IFERROR(+IF(CB12="",VLOOKUP(A12,base_horaire,9,FALSE),CB12),0)</f>
        <v>0</v>
      </c>
      <c r="ED12" s="1363">
        <f>+DW12-DV12+DY12-DX12+EA12-DZ12+EC12-EB12</f>
        <v>0</v>
      </c>
      <c r="EE12" s="1364">
        <f>ROUND(+ED12*24,2)</f>
        <v>0</v>
      </c>
      <c r="EG12" s="16" t="str">
        <f>IF(+WEEKNUM(B12,21)=52,WEEKNUM(B12,21)&amp;YEAR(B12)-1,IF(+WEEKNUM(B12,21)=53,WEEKNUM(B12,21)&amp;YEAR(B12)-1,WEEKNUM(B12,21)&amp;YEAR(B12)))</f>
        <v>12026</v>
      </c>
      <c r="EH12" s="16" t="str">
        <f t="shared" ref="EH12:EH42" si="56">+A12</f>
        <v>Fiche infoA4</v>
      </c>
      <c r="EI12" s="16" t="str">
        <f t="shared" ref="EI12:EI42" si="57">+VLOOKUP(EH12,Base_heures,6,FALSE)</f>
        <v/>
      </c>
    </row>
    <row r="13" spans="1:145" x14ac:dyDescent="0.2">
      <c r="A13" s="1373" t="str">
        <f>Janvier!BJ21</f>
        <v>Fiche infoA5</v>
      </c>
      <c r="B13" s="811">
        <f>Janvier!AB21</f>
        <v>46024</v>
      </c>
      <c r="C13" s="1372" t="str">
        <f>IFERROR(IF(WEEKDAY(B13,11)=1,WEEKNUM(B13,21),""),"")</f>
        <v/>
      </c>
      <c r="D13" s="981">
        <f t="shared" si="11"/>
        <v>0</v>
      </c>
      <c r="E13" s="434">
        <f t="shared" si="12"/>
        <v>0</v>
      </c>
      <c r="F13" s="434">
        <f t="shared" si="13"/>
        <v>0</v>
      </c>
      <c r="G13" s="434">
        <f t="shared" si="14"/>
        <v>0</v>
      </c>
      <c r="H13" s="434">
        <f t="shared" si="15"/>
        <v>0</v>
      </c>
      <c r="I13" s="434">
        <f t="shared" si="16"/>
        <v>0</v>
      </c>
      <c r="J13" s="434">
        <f t="shared" si="17"/>
        <v>0</v>
      </c>
      <c r="K13" s="434">
        <f t="shared" si="18"/>
        <v>0</v>
      </c>
      <c r="L13" s="434">
        <f t="shared" ref="L13:L42" si="58">+E13-D13+G13-F13+I13-H13+K13-J13</f>
        <v>0</v>
      </c>
      <c r="M13" s="982">
        <f t="shared" ref="M13:M42" si="59">ROUND(+L13*24,2)</f>
        <v>0</v>
      </c>
      <c r="N13" s="1374"/>
      <c r="O13" s="981">
        <f t="shared" si="19"/>
        <v>0</v>
      </c>
      <c r="P13" s="434">
        <f t="shared" si="20"/>
        <v>0</v>
      </c>
      <c r="Q13" s="434">
        <f t="shared" si="21"/>
        <v>0</v>
      </c>
      <c r="R13" s="434">
        <f t="shared" si="22"/>
        <v>0</v>
      </c>
      <c r="S13" s="434">
        <f t="shared" si="23"/>
        <v>0</v>
      </c>
      <c r="T13" s="434">
        <f t="shared" si="24"/>
        <v>0</v>
      </c>
      <c r="U13" s="434">
        <f t="shared" si="25"/>
        <v>0</v>
      </c>
      <c r="V13" s="434">
        <f t="shared" si="26"/>
        <v>0</v>
      </c>
      <c r="W13" s="434">
        <f t="shared" si="27"/>
        <v>0</v>
      </c>
      <c r="X13" s="982">
        <f t="shared" si="28"/>
        <v>0</v>
      </c>
      <c r="Y13" s="1375"/>
      <c r="Z13" s="1376">
        <f t="shared" si="29"/>
        <v>0</v>
      </c>
      <c r="AA13" s="1376">
        <f t="shared" si="30"/>
        <v>0</v>
      </c>
      <c r="AB13" s="1376">
        <f t="shared" si="31"/>
        <v>0</v>
      </c>
      <c r="AC13" s="1376">
        <f t="shared" si="32"/>
        <v>0</v>
      </c>
      <c r="AD13" s="1376">
        <f t="shared" si="33"/>
        <v>0</v>
      </c>
      <c r="AE13" s="1376">
        <f t="shared" si="34"/>
        <v>0</v>
      </c>
      <c r="AF13" s="1376">
        <f t="shared" si="35"/>
        <v>0</v>
      </c>
      <c r="AG13" s="1376">
        <f t="shared" si="36"/>
        <v>0</v>
      </c>
      <c r="AH13" s="1374"/>
      <c r="AI13" s="444">
        <f t="shared" si="37"/>
        <v>0</v>
      </c>
      <c r="AJ13" s="1090"/>
      <c r="AK13" s="1377"/>
      <c r="AL13" s="811">
        <f t="shared" si="38"/>
        <v>46024</v>
      </c>
      <c r="AM13" s="666">
        <f>IFERROR(IF(AND(AT13="",AR13&lt;&gt;S.CAL!$BJ$3,AR13&lt;&gt;S.CAL!$BJ$4,$AR$5="NON"),M13-BD13,IF(AND(AT13="",AR13&lt;&gt;S.CAL!$BJ$3,AR13&lt;&gt;S.CAL!$BJ$4,$AR$5="OUI"),X13-AI13,IF(AT13&lt;&gt;0,AT13,IF(OR(AR13=S.CAL!$BJ$3,AR13=S.CAL!$BJ$4),AR13,"")))),"")</f>
        <v>0</v>
      </c>
      <c r="AN13" s="1093"/>
      <c r="AO13" s="1094"/>
      <c r="AP13" s="666">
        <f>+IF(AND(AU13="",BB13="OUI",BH13="non",BI13="OUI"),AM13,IF(AND(AU13="",BB13="OUI",BH13="oui",BI13="NON"),AM13,IF(AND(AU13="",BB13="NON",BH13="oui",BI13="NON"),M13,IF(AND(AU13="",BB13="NON",BH13="non",BI13="OUI"),M13,IF(AND(AU13="",BB13="OUI",BH13="non",BI13="NON"),"ERREUR",IF(AND(AU13="",BB13="NON",BH13="non",BI13="NON"),AM13,IF(AND(AU13="",BB13="OUI",BH13="",BI13=""),AM13,IF(AND(AU13="",BB13="NON",BH13="",BI13="",AZ13="NON"),M13,IF(AND(AU13="",BH13="",AZ13="OUI",AR13=""),AM13,IF(AND(AU13="",BH13="",AZ13="NON",AR13="",AT13=""),M13,IF(AND(OR(AR13=S.CAL!$BJ$3,AR13=S.CAL!$BJ$4),(VLOOKUP($AM$5,base_nbre_sem_mensu,2,FALSE)=52)),EE13,IF(AND(OR(AR13=S.CAL!$BJ$3,AR13=S.CAL!$BJ$4),(VLOOKUP($AM$5,base_nbre_sem_mensu,2,FALSE)&lt;52)),AM13,IF(AND(AT13&lt;&gt;"",AU13=""),AT13,AU13)))))))))))))</f>
        <v>0</v>
      </c>
      <c r="AQ13" s="1378">
        <f t="shared" ref="AQ13:AQ42" si="60">AI13-SUM(AN13:AO13)</f>
        <v>0</v>
      </c>
      <c r="AR13" s="1098"/>
      <c r="AS13" s="1374"/>
      <c r="AT13" s="1101"/>
      <c r="AU13" s="975"/>
      <c r="AV13" s="1370">
        <f t="shared" si="39"/>
        <v>46024</v>
      </c>
      <c r="AW13" s="1374"/>
      <c r="AX13" s="511">
        <f t="shared" ref="AX13:AX42" si="61">+AV13</f>
        <v>46024</v>
      </c>
      <c r="AY13" s="523">
        <f t="shared" si="40"/>
        <v>0</v>
      </c>
      <c r="AZ13" s="520" t="s">
        <v>137</v>
      </c>
      <c r="BA13" s="516">
        <f t="shared" si="41"/>
        <v>0</v>
      </c>
      <c r="BB13" s="549" t="str">
        <f t="shared" si="42"/>
        <v/>
      </c>
      <c r="BC13" s="523">
        <f t="shared" ref="BC13:BC42" si="62">+IF(BB13="OUI",IFERROR(M13-AT13,M13),0)</f>
        <v>0</v>
      </c>
      <c r="BD13" s="523">
        <f t="shared" ref="BD13:BD42" si="63">+BC13+BA13</f>
        <v>0</v>
      </c>
      <c r="BE13" s="1104"/>
      <c r="BF13" s="514" t="str">
        <f t="shared" si="43"/>
        <v/>
      </c>
      <c r="BG13" s="514" t="str">
        <f t="shared" ref="BG13:BG42" si="64">+IF(AND(M13=0,AT13=""),"oui","non")</f>
        <v>oui</v>
      </c>
      <c r="BH13" s="377" t="str">
        <f t="shared" si="44"/>
        <v/>
      </c>
      <c r="BI13" s="24" t="str">
        <f t="shared" si="45"/>
        <v/>
      </c>
      <c r="BJ13" s="1382"/>
      <c r="BK13" s="1382"/>
      <c r="BL13" s="1382"/>
      <c r="BM13" s="1382"/>
      <c r="BN13" s="1382"/>
      <c r="BO13" s="1382"/>
      <c r="BP13" s="1382"/>
      <c r="BQ13" s="1382"/>
      <c r="BR13" s="1383"/>
      <c r="BS13" s="1370">
        <f t="shared" si="10"/>
        <v>46024</v>
      </c>
      <c r="BT13" s="1384" t="str">
        <f>IFERROR(IF(WEEKDAY(BS13,11)=1,WEEKNUM(BS13,21),""),"")</f>
        <v/>
      </c>
      <c r="BU13" s="1382"/>
      <c r="BV13" s="1382"/>
      <c r="BW13" s="1382"/>
      <c r="BX13" s="1382"/>
      <c r="BY13" s="1382"/>
      <c r="BZ13" s="1382"/>
      <c r="CA13" s="1382"/>
      <c r="CB13" s="1382"/>
      <c r="CD13" s="1386">
        <f t="shared" ref="CD13:CD42" si="65">+M13</f>
        <v>0</v>
      </c>
      <c r="DC13" s="16" t="str">
        <f>Janvier!FC21</f>
        <v>non</v>
      </c>
      <c r="DG13" s="315">
        <f t="shared" ref="DG13:DG42" si="66">IF(OR(AT13=0,AT13=""),1,10)</f>
        <v>1</v>
      </c>
      <c r="DH13" s="129">
        <f t="shared" si="46"/>
        <v>10</v>
      </c>
      <c r="DI13" s="129">
        <f t="shared" ref="DI13:DI42" si="67">+IF(OR(DG13=1,DH13=1),1,10)</f>
        <v>1</v>
      </c>
      <c r="DK13" s="16">
        <f>+IF(AND(Janvier!$DP$8&lt;&gt;52,AR13=S.CAL!$BJ$4),10,1)</f>
        <v>1</v>
      </c>
      <c r="DN13" s="16">
        <f t="shared" si="47"/>
        <v>1</v>
      </c>
      <c r="DU13" s="1274" t="str">
        <f t="shared" ref="DU13:DU42" si="68">+A13&amp;B13</f>
        <v>Fiche infoA546024</v>
      </c>
      <c r="DV13" s="1362">
        <f t="shared" si="48"/>
        <v>0</v>
      </c>
      <c r="DW13" s="1363">
        <f t="shared" si="49"/>
        <v>0</v>
      </c>
      <c r="DX13" s="1363">
        <f t="shared" si="50"/>
        <v>0</v>
      </c>
      <c r="DY13" s="1363">
        <f t="shared" si="51"/>
        <v>0</v>
      </c>
      <c r="DZ13" s="1363">
        <f t="shared" si="52"/>
        <v>0</v>
      </c>
      <c r="EA13" s="1363">
        <f t="shared" si="53"/>
        <v>0</v>
      </c>
      <c r="EB13" s="1363">
        <f t="shared" si="54"/>
        <v>0</v>
      </c>
      <c r="EC13" s="1363">
        <f t="shared" si="55"/>
        <v>0</v>
      </c>
      <c r="ED13" s="1363">
        <f t="shared" ref="ED13:ED42" si="69">+DW13-DV13+DY13-DX13+EA13-DZ13+EC13-EB13</f>
        <v>0</v>
      </c>
      <c r="EE13" s="1364">
        <f t="shared" ref="EE13:EE42" si="70">ROUND(+ED13*24,2)</f>
        <v>0</v>
      </c>
      <c r="EG13" s="16" t="str">
        <f t="shared" ref="EG13:EG42" si="71">IF(+WEEKNUM(B13,21)=52,WEEKNUM(B13,21)&amp;YEAR(B13)-1,IF(+WEEKNUM(B13,21)=53,WEEKNUM(B13,21)&amp;YEAR(B13)-1,WEEKNUM(B13,21)&amp;YEAR(B13)))</f>
        <v>12026</v>
      </c>
      <c r="EH13" s="16" t="str">
        <f t="shared" si="56"/>
        <v>Fiche infoA5</v>
      </c>
      <c r="EI13" s="16" t="str">
        <f t="shared" si="57"/>
        <v/>
      </c>
    </row>
    <row r="14" spans="1:145" x14ac:dyDescent="0.2">
      <c r="A14" s="24" t="str">
        <f>Janvier!BJ22</f>
        <v>Fiche infoA6</v>
      </c>
      <c r="B14" s="811">
        <f>Janvier!AB22</f>
        <v>46025</v>
      </c>
      <c r="C14" s="1371" t="str">
        <f t="shared" ref="C14:C42" si="72">IFERROR(IF(WEEKDAY(B14,11)=1,WEEKNUM(B14,21),""),"")</f>
        <v/>
      </c>
      <c r="D14" s="981">
        <f t="shared" si="11"/>
        <v>0</v>
      </c>
      <c r="E14" s="434">
        <f t="shared" si="12"/>
        <v>0</v>
      </c>
      <c r="F14" s="434">
        <f t="shared" si="13"/>
        <v>0</v>
      </c>
      <c r="G14" s="434">
        <f t="shared" si="14"/>
        <v>0</v>
      </c>
      <c r="H14" s="434">
        <f t="shared" si="15"/>
        <v>0</v>
      </c>
      <c r="I14" s="434">
        <f t="shared" si="16"/>
        <v>0</v>
      </c>
      <c r="J14" s="434">
        <f t="shared" si="17"/>
        <v>0</v>
      </c>
      <c r="K14" s="434">
        <f t="shared" si="18"/>
        <v>0</v>
      </c>
      <c r="L14" s="434">
        <f t="shared" si="58"/>
        <v>0</v>
      </c>
      <c r="M14" s="982">
        <f t="shared" si="59"/>
        <v>0</v>
      </c>
      <c r="O14" s="981">
        <f t="shared" si="19"/>
        <v>0</v>
      </c>
      <c r="P14" s="434">
        <f t="shared" si="20"/>
        <v>0</v>
      </c>
      <c r="Q14" s="434">
        <f t="shared" si="21"/>
        <v>0</v>
      </c>
      <c r="R14" s="434">
        <f t="shared" si="22"/>
        <v>0</v>
      </c>
      <c r="S14" s="434">
        <f t="shared" si="23"/>
        <v>0</v>
      </c>
      <c r="T14" s="434">
        <f t="shared" si="24"/>
        <v>0</v>
      </c>
      <c r="U14" s="434">
        <f t="shared" si="25"/>
        <v>0</v>
      </c>
      <c r="V14" s="434">
        <f t="shared" si="26"/>
        <v>0</v>
      </c>
      <c r="W14" s="434">
        <f t="shared" si="27"/>
        <v>0</v>
      </c>
      <c r="X14" s="982">
        <f t="shared" si="28"/>
        <v>0</v>
      </c>
      <c r="Y14" s="441"/>
      <c r="Z14" s="277">
        <f t="shared" si="29"/>
        <v>0</v>
      </c>
      <c r="AA14" s="277">
        <f t="shared" si="30"/>
        <v>0</v>
      </c>
      <c r="AB14" s="277">
        <f t="shared" si="31"/>
        <v>0</v>
      </c>
      <c r="AC14" s="277">
        <f t="shared" si="32"/>
        <v>0</v>
      </c>
      <c r="AD14" s="277">
        <f t="shared" si="33"/>
        <v>0</v>
      </c>
      <c r="AE14" s="277">
        <f t="shared" si="34"/>
        <v>0</v>
      </c>
      <c r="AF14" s="277">
        <f t="shared" si="35"/>
        <v>0</v>
      </c>
      <c r="AG14" s="277">
        <f t="shared" si="36"/>
        <v>0</v>
      </c>
      <c r="AI14" s="444">
        <f t="shared" si="37"/>
        <v>0</v>
      </c>
      <c r="AJ14" s="1090"/>
      <c r="AK14" s="489"/>
      <c r="AL14" s="811">
        <f t="shared" si="38"/>
        <v>46025</v>
      </c>
      <c r="AM14" s="666">
        <f>IFERROR(IF(AND(AT14="",AR14&lt;&gt;S.CAL!$BJ$3,AR14&lt;&gt;S.CAL!$BJ$4,$AR$5="NON"),M14-BD14,IF(AND(AT14="",AR14&lt;&gt;S.CAL!$BJ$3,AR14&lt;&gt;S.CAL!$BJ$4,$AR$5="OUI"),X14-AI14,IF(AT14&lt;&gt;0,AT14,IF(OR(AR14=S.CAL!$BJ$3,AR14=S.CAL!$BJ$4),AR14,"")))),"")</f>
        <v>0</v>
      </c>
      <c r="AN14" s="1093"/>
      <c r="AO14" s="1094"/>
      <c r="AP14" s="666">
        <f>+IF(AND(AU14="",BB14="OUI",BH14="non",BI14="OUI"),AM14,IF(AND(AU14="",BB14="OUI",BH14="oui",BI14="NON"),AM14,IF(AND(AU14="",BB14="NON",BH14="oui",BI14="NON"),M14,IF(AND(AU14="",BB14="NON",BH14="non",BI14="OUI"),M14,IF(AND(AU14="",BB14="OUI",BH14="non",BI14="NON"),"ERREUR",IF(AND(AU14="",BB14="NON",BH14="non",BI14="NON"),AM14,IF(AND(AU14="",BB14="OUI",BH14="",BI14=""),AM14,IF(AND(AU14="",BB14="NON",BH14="",BI14="",AZ14="NON"),M14,IF(AND(AU14="",BH14="",AZ14="OUI",AR14=""),AM14,IF(AND(AU14="",BH14="",AZ14="NON",AR14="",AT14=""),M14,IF(AND(OR(AR14=S.CAL!$BJ$3,AR14=S.CAL!$BJ$4),(VLOOKUP($AM$5,base_nbre_sem_mensu,2,FALSE)=52)),EE14,IF(AND(OR(AR14=S.CAL!$BJ$3,AR14=S.CAL!$BJ$4),(VLOOKUP($AM$5,base_nbre_sem_mensu,2,FALSE)&lt;52)),AM14,IF(AND(AT14&lt;&gt;"",AU14=""),AT14,AU14)))))))))))))</f>
        <v>0</v>
      </c>
      <c r="AQ14" s="498">
        <f t="shared" si="60"/>
        <v>0</v>
      </c>
      <c r="AR14" s="1098"/>
      <c r="AT14" s="1101"/>
      <c r="AU14" s="975"/>
      <c r="AV14" s="1370">
        <f t="shared" si="39"/>
        <v>46025</v>
      </c>
      <c r="AX14" s="511">
        <f t="shared" si="61"/>
        <v>46025</v>
      </c>
      <c r="AY14" s="523">
        <f t="shared" si="40"/>
        <v>0</v>
      </c>
      <c r="AZ14" s="520" t="s">
        <v>137</v>
      </c>
      <c r="BA14" s="516">
        <f t="shared" si="41"/>
        <v>0</v>
      </c>
      <c r="BB14" s="549" t="str">
        <f t="shared" si="42"/>
        <v/>
      </c>
      <c r="BC14" s="523">
        <f t="shared" si="62"/>
        <v>0</v>
      </c>
      <c r="BD14" s="523">
        <f t="shared" si="63"/>
        <v>0</v>
      </c>
      <c r="BE14" s="1104"/>
      <c r="BF14" s="514" t="str">
        <f t="shared" si="43"/>
        <v/>
      </c>
      <c r="BG14" s="514" t="str">
        <f t="shared" si="64"/>
        <v>oui</v>
      </c>
      <c r="BH14" s="377" t="str">
        <f t="shared" si="44"/>
        <v/>
      </c>
      <c r="BI14" s="24" t="str">
        <f t="shared" si="45"/>
        <v/>
      </c>
      <c r="BJ14" s="1381"/>
      <c r="BK14" s="1381"/>
      <c r="BL14" s="1381"/>
      <c r="BM14" s="1381"/>
      <c r="BN14" s="1381"/>
      <c r="BO14" s="1381"/>
      <c r="BP14" s="1381"/>
      <c r="BQ14" s="1381"/>
      <c r="BS14" s="1370">
        <f t="shared" si="10"/>
        <v>46025</v>
      </c>
      <c r="BT14" s="27" t="str">
        <f t="shared" ref="BT14:BT42" si="73">IFERROR(IF(WEEKDAY(BS14,11)=1,WEEKNUM(BS14,21),""),"")</f>
        <v/>
      </c>
      <c r="BU14" s="1380"/>
      <c r="BV14" s="1380"/>
      <c r="BW14" s="1380"/>
      <c r="BX14" s="1380"/>
      <c r="BY14" s="1380"/>
      <c r="BZ14" s="1380"/>
      <c r="CA14" s="1380"/>
      <c r="CB14" s="1380"/>
      <c r="CD14" s="1386">
        <f t="shared" si="65"/>
        <v>0</v>
      </c>
      <c r="DC14" s="16" t="str">
        <f>Janvier!FC22</f>
        <v>non</v>
      </c>
      <c r="DG14" s="315">
        <f t="shared" si="66"/>
        <v>1</v>
      </c>
      <c r="DH14" s="129">
        <f t="shared" si="46"/>
        <v>10</v>
      </c>
      <c r="DI14" s="129">
        <f t="shared" si="67"/>
        <v>1</v>
      </c>
      <c r="DK14" s="16">
        <f>+IF(AND(Janvier!$DP$8&lt;&gt;52,AR14=S.CAL!$BJ$4),10,1)</f>
        <v>1</v>
      </c>
      <c r="DN14" s="16">
        <f t="shared" si="47"/>
        <v>1</v>
      </c>
      <c r="DU14" s="1274" t="str">
        <f t="shared" si="68"/>
        <v>Fiche infoA646025</v>
      </c>
      <c r="DV14" s="1362">
        <f t="shared" si="48"/>
        <v>0</v>
      </c>
      <c r="DW14" s="1363">
        <f t="shared" si="49"/>
        <v>0</v>
      </c>
      <c r="DX14" s="1363">
        <f t="shared" si="50"/>
        <v>0</v>
      </c>
      <c r="DY14" s="1363">
        <f t="shared" si="51"/>
        <v>0</v>
      </c>
      <c r="DZ14" s="1363">
        <f t="shared" si="52"/>
        <v>0</v>
      </c>
      <c r="EA14" s="1363">
        <f t="shared" si="53"/>
        <v>0</v>
      </c>
      <c r="EB14" s="1363">
        <f t="shared" si="54"/>
        <v>0</v>
      </c>
      <c r="EC14" s="1363">
        <f t="shared" si="55"/>
        <v>0</v>
      </c>
      <c r="ED14" s="1363">
        <f t="shared" si="69"/>
        <v>0</v>
      </c>
      <c r="EE14" s="1364">
        <f t="shared" si="70"/>
        <v>0</v>
      </c>
      <c r="EG14" s="16" t="str">
        <f t="shared" si="71"/>
        <v>12026</v>
      </c>
      <c r="EH14" s="16" t="str">
        <f t="shared" si="56"/>
        <v>Fiche infoA6</v>
      </c>
      <c r="EI14" s="16" t="str">
        <f t="shared" si="57"/>
        <v/>
      </c>
    </row>
    <row r="15" spans="1:145" x14ac:dyDescent="0.2">
      <c r="A15" s="1373" t="str">
        <f>Janvier!BJ23</f>
        <v>Fiche infoA7</v>
      </c>
      <c r="B15" s="811">
        <f>Janvier!AB23</f>
        <v>46026</v>
      </c>
      <c r="C15" s="1372" t="str">
        <f t="shared" si="72"/>
        <v/>
      </c>
      <c r="D15" s="981">
        <f t="shared" si="11"/>
        <v>0</v>
      </c>
      <c r="E15" s="434">
        <f t="shared" si="12"/>
        <v>0</v>
      </c>
      <c r="F15" s="434">
        <f t="shared" si="13"/>
        <v>0</v>
      </c>
      <c r="G15" s="434">
        <f t="shared" si="14"/>
        <v>0</v>
      </c>
      <c r="H15" s="434">
        <f t="shared" si="15"/>
        <v>0</v>
      </c>
      <c r="I15" s="434">
        <f t="shared" si="16"/>
        <v>0</v>
      </c>
      <c r="J15" s="434">
        <f t="shared" si="17"/>
        <v>0</v>
      </c>
      <c r="K15" s="434">
        <f t="shared" si="18"/>
        <v>0</v>
      </c>
      <c r="L15" s="434">
        <f t="shared" si="58"/>
        <v>0</v>
      </c>
      <c r="M15" s="982">
        <f t="shared" si="59"/>
        <v>0</v>
      </c>
      <c r="N15" s="1374"/>
      <c r="O15" s="981">
        <f t="shared" si="19"/>
        <v>0</v>
      </c>
      <c r="P15" s="434">
        <f t="shared" si="20"/>
        <v>0</v>
      </c>
      <c r="Q15" s="434">
        <f t="shared" si="21"/>
        <v>0</v>
      </c>
      <c r="R15" s="434">
        <f t="shared" si="22"/>
        <v>0</v>
      </c>
      <c r="S15" s="434">
        <f t="shared" si="23"/>
        <v>0</v>
      </c>
      <c r="T15" s="434">
        <f t="shared" si="24"/>
        <v>0</v>
      </c>
      <c r="U15" s="434">
        <f t="shared" si="25"/>
        <v>0</v>
      </c>
      <c r="V15" s="434">
        <f t="shared" si="26"/>
        <v>0</v>
      </c>
      <c r="W15" s="434">
        <f t="shared" si="27"/>
        <v>0</v>
      </c>
      <c r="X15" s="982">
        <f t="shared" si="28"/>
        <v>0</v>
      </c>
      <c r="Y15" s="1375"/>
      <c r="Z15" s="1376">
        <f t="shared" si="29"/>
        <v>0</v>
      </c>
      <c r="AA15" s="1376">
        <f t="shared" si="30"/>
        <v>0</v>
      </c>
      <c r="AB15" s="1376">
        <f t="shared" si="31"/>
        <v>0</v>
      </c>
      <c r="AC15" s="1376">
        <f t="shared" si="32"/>
        <v>0</v>
      </c>
      <c r="AD15" s="1376">
        <f t="shared" si="33"/>
        <v>0</v>
      </c>
      <c r="AE15" s="1376">
        <f t="shared" si="34"/>
        <v>0</v>
      </c>
      <c r="AF15" s="1376">
        <f t="shared" si="35"/>
        <v>0</v>
      </c>
      <c r="AG15" s="1376">
        <f t="shared" si="36"/>
        <v>0</v>
      </c>
      <c r="AH15" s="1374"/>
      <c r="AI15" s="444">
        <f t="shared" si="37"/>
        <v>0</v>
      </c>
      <c r="AJ15" s="1090"/>
      <c r="AK15" s="1377"/>
      <c r="AL15" s="811">
        <f t="shared" si="38"/>
        <v>46026</v>
      </c>
      <c r="AM15" s="666">
        <f>IFERROR(IF(AND(AT15="",AR15&lt;&gt;S.CAL!$BJ$3,AR15&lt;&gt;S.CAL!$BJ$4,$AR$5="NON"),M15-BD15,IF(AND(AT15="",AR15&lt;&gt;S.CAL!$BJ$3,AR15&lt;&gt;S.CAL!$BJ$4,$AR$5="OUI"),X15-AI15,IF(AT15&lt;&gt;0,AT15,IF(OR(AR15=S.CAL!$BJ$3,AR15=S.CAL!$BJ$4),AR15,"")))),"")</f>
        <v>0</v>
      </c>
      <c r="AN15" s="1093"/>
      <c r="AO15" s="1094"/>
      <c r="AP15" s="666">
        <f>+IF(AND(AU15="",BB15="OUI",BH15="non",BI15="OUI"),AM15,IF(AND(AU15="",BB15="OUI",BH15="oui",BI15="NON"),AM15,IF(AND(AU15="",BB15="NON",BH15="oui",BI15="NON"),M15,IF(AND(AU15="",BB15="NON",BH15="non",BI15="OUI"),M15,IF(AND(AU15="",BB15="OUI",BH15="non",BI15="NON"),"ERREUR",IF(AND(AU15="",BB15="NON",BH15="non",BI15="NON"),AM15,IF(AND(AU15="",BB15="OUI",BH15="",BI15=""),AM15,IF(AND(AU15="",BB15="NON",BH15="",BI15="",AZ15="NON"),M15,IF(AND(AU15="",BH15="",AZ15="OUI",AR15=""),AM15,IF(AND(AU15="",BH15="",AZ15="NON",AR15="",AT15=""),M15,IF(AND(OR(AR15=S.CAL!$BJ$3,AR15=S.CAL!$BJ$4),(VLOOKUP($AM$5,base_nbre_sem_mensu,2,FALSE)=52)),EE15,IF(AND(OR(AR15=S.CAL!$BJ$3,AR15=S.CAL!$BJ$4),(VLOOKUP($AM$5,base_nbre_sem_mensu,2,FALSE)&lt;52)),AM15,IF(AND(AT15&lt;&gt;"",AU15=""),AT15,AU15)))))))))))))</f>
        <v>0</v>
      </c>
      <c r="AQ15" s="1378">
        <f t="shared" si="60"/>
        <v>0</v>
      </c>
      <c r="AR15" s="1098"/>
      <c r="AS15" s="1374"/>
      <c r="AT15" s="1101"/>
      <c r="AU15" s="975"/>
      <c r="AV15" s="1370">
        <f t="shared" si="39"/>
        <v>46026</v>
      </c>
      <c r="AW15" s="1374"/>
      <c r="AX15" s="511">
        <f t="shared" si="61"/>
        <v>46026</v>
      </c>
      <c r="AY15" s="523">
        <f t="shared" ref="AY15:AY42" si="74">+IF(M15-X15&lt;0,0,M15-X15)</f>
        <v>0</v>
      </c>
      <c r="AZ15" s="520" t="s">
        <v>137</v>
      </c>
      <c r="BA15" s="516">
        <f t="shared" ref="BA15:BA42" si="75">+IF(AZ15="OUI",AY15,0)</f>
        <v>0</v>
      </c>
      <c r="BB15" s="549" t="str">
        <f t="shared" si="42"/>
        <v/>
      </c>
      <c r="BC15" s="523">
        <f t="shared" si="62"/>
        <v>0</v>
      </c>
      <c r="BD15" s="523">
        <f t="shared" si="63"/>
        <v>0</v>
      </c>
      <c r="BE15" s="1104"/>
      <c r="BF15" s="514" t="str">
        <f t="shared" si="43"/>
        <v/>
      </c>
      <c r="BG15" s="514" t="str">
        <f t="shared" si="64"/>
        <v>oui</v>
      </c>
      <c r="BH15" s="377" t="str">
        <f t="shared" si="44"/>
        <v/>
      </c>
      <c r="BI15" s="24" t="str">
        <f t="shared" si="45"/>
        <v/>
      </c>
      <c r="BJ15" s="1382"/>
      <c r="BK15" s="1382"/>
      <c r="BL15" s="1382"/>
      <c r="BM15" s="1382"/>
      <c r="BN15" s="1382"/>
      <c r="BO15" s="1382"/>
      <c r="BP15" s="1382"/>
      <c r="BQ15" s="1382"/>
      <c r="BR15" s="1383"/>
      <c r="BS15" s="1370">
        <f t="shared" si="10"/>
        <v>46026</v>
      </c>
      <c r="BT15" s="1384" t="str">
        <f t="shared" si="73"/>
        <v/>
      </c>
      <c r="BU15" s="1382"/>
      <c r="BV15" s="1382"/>
      <c r="BW15" s="1382"/>
      <c r="BX15" s="1382"/>
      <c r="BY15" s="1382"/>
      <c r="BZ15" s="1382"/>
      <c r="CA15" s="1382"/>
      <c r="CB15" s="1382"/>
      <c r="CD15" s="1386">
        <f t="shared" si="65"/>
        <v>0</v>
      </c>
      <c r="DC15" s="16" t="str">
        <f>Janvier!FC23</f>
        <v>non</v>
      </c>
      <c r="DG15" s="315">
        <f t="shared" si="66"/>
        <v>1</v>
      </c>
      <c r="DH15" s="129">
        <f t="shared" si="46"/>
        <v>10</v>
      </c>
      <c r="DI15" s="129">
        <f t="shared" si="67"/>
        <v>1</v>
      </c>
      <c r="DK15" s="16">
        <f>+IF(AND(Janvier!$DP$8&lt;&gt;52,AR15=S.CAL!$BJ$4),10,1)</f>
        <v>1</v>
      </c>
      <c r="DN15" s="16">
        <f t="shared" si="47"/>
        <v>1</v>
      </c>
      <c r="DU15" s="1274" t="str">
        <f t="shared" si="68"/>
        <v>Fiche infoA746026</v>
      </c>
      <c r="DV15" s="1362">
        <f t="shared" si="48"/>
        <v>0</v>
      </c>
      <c r="DW15" s="1363">
        <f t="shared" si="49"/>
        <v>0</v>
      </c>
      <c r="DX15" s="1363">
        <f t="shared" si="50"/>
        <v>0</v>
      </c>
      <c r="DY15" s="1363">
        <f t="shared" si="51"/>
        <v>0</v>
      </c>
      <c r="DZ15" s="1363">
        <f t="shared" si="52"/>
        <v>0</v>
      </c>
      <c r="EA15" s="1363">
        <f t="shared" si="53"/>
        <v>0</v>
      </c>
      <c r="EB15" s="1363">
        <f t="shared" si="54"/>
        <v>0</v>
      </c>
      <c r="EC15" s="1363">
        <f t="shared" si="55"/>
        <v>0</v>
      </c>
      <c r="ED15" s="1363">
        <f t="shared" si="69"/>
        <v>0</v>
      </c>
      <c r="EE15" s="1364">
        <f t="shared" si="70"/>
        <v>0</v>
      </c>
      <c r="EG15" s="16" t="str">
        <f t="shared" si="71"/>
        <v>12026</v>
      </c>
      <c r="EH15" s="16" t="str">
        <f t="shared" si="56"/>
        <v>Fiche infoA7</v>
      </c>
      <c r="EI15" s="16" t="str">
        <f t="shared" si="57"/>
        <v/>
      </c>
    </row>
    <row r="16" spans="1:145" x14ac:dyDescent="0.2">
      <c r="A16" s="24" t="str">
        <f>Janvier!BJ24</f>
        <v>Fiche infoA1</v>
      </c>
      <c r="B16" s="811">
        <f>Janvier!AB24</f>
        <v>46027</v>
      </c>
      <c r="C16" s="1371">
        <f t="shared" si="72"/>
        <v>2</v>
      </c>
      <c r="D16" s="981">
        <f t="shared" si="11"/>
        <v>0</v>
      </c>
      <c r="E16" s="434">
        <f t="shared" si="12"/>
        <v>0</v>
      </c>
      <c r="F16" s="434">
        <f t="shared" si="13"/>
        <v>0</v>
      </c>
      <c r="G16" s="434">
        <f t="shared" si="14"/>
        <v>0</v>
      </c>
      <c r="H16" s="434">
        <f t="shared" si="15"/>
        <v>0</v>
      </c>
      <c r="I16" s="434">
        <f t="shared" si="16"/>
        <v>0</v>
      </c>
      <c r="J16" s="434">
        <f t="shared" si="17"/>
        <v>0</v>
      </c>
      <c r="K16" s="434">
        <f t="shared" si="18"/>
        <v>0</v>
      </c>
      <c r="L16" s="434">
        <f t="shared" si="58"/>
        <v>0</v>
      </c>
      <c r="M16" s="982">
        <f t="shared" si="59"/>
        <v>0</v>
      </c>
      <c r="O16" s="981">
        <f t="shared" si="19"/>
        <v>0</v>
      </c>
      <c r="P16" s="434">
        <f t="shared" si="20"/>
        <v>0</v>
      </c>
      <c r="Q16" s="434">
        <f t="shared" si="21"/>
        <v>0</v>
      </c>
      <c r="R16" s="434">
        <f t="shared" si="22"/>
        <v>0</v>
      </c>
      <c r="S16" s="434">
        <f t="shared" si="23"/>
        <v>0</v>
      </c>
      <c r="T16" s="434">
        <f t="shared" si="24"/>
        <v>0</v>
      </c>
      <c r="U16" s="434">
        <f t="shared" si="25"/>
        <v>0</v>
      </c>
      <c r="V16" s="434">
        <f t="shared" si="26"/>
        <v>0</v>
      </c>
      <c r="W16" s="434">
        <f t="shared" si="27"/>
        <v>0</v>
      </c>
      <c r="X16" s="982">
        <f t="shared" si="28"/>
        <v>0</v>
      </c>
      <c r="Y16" s="441"/>
      <c r="Z16" s="277">
        <f t="shared" si="29"/>
        <v>0</v>
      </c>
      <c r="AA16" s="277">
        <f t="shared" si="30"/>
        <v>0</v>
      </c>
      <c r="AB16" s="277">
        <f t="shared" si="31"/>
        <v>0</v>
      </c>
      <c r="AC16" s="277">
        <f t="shared" si="32"/>
        <v>0</v>
      </c>
      <c r="AD16" s="277">
        <f t="shared" si="33"/>
        <v>0</v>
      </c>
      <c r="AE16" s="277">
        <f t="shared" si="34"/>
        <v>0</v>
      </c>
      <c r="AF16" s="277">
        <f t="shared" si="35"/>
        <v>0</v>
      </c>
      <c r="AG16" s="277">
        <f t="shared" si="36"/>
        <v>0</v>
      </c>
      <c r="AI16" s="444">
        <f t="shared" si="37"/>
        <v>0</v>
      </c>
      <c r="AJ16" s="1090"/>
      <c r="AK16" s="489"/>
      <c r="AL16" s="811">
        <f t="shared" si="38"/>
        <v>46027</v>
      </c>
      <c r="AM16" s="666">
        <f>IFERROR(IF(AND(AT16="",AR16&lt;&gt;S.CAL!$BJ$3,AR16&lt;&gt;S.CAL!$BJ$4,$AR$5="NON"),M16-BD16,IF(AND(AT16="",AR16&lt;&gt;S.CAL!$BJ$3,AR16&lt;&gt;S.CAL!$BJ$4,$AR$5="OUI"),X16-AI16,IF(AT16&lt;&gt;0,AT16,IF(OR(AR16=S.CAL!$BJ$3,AR16=S.CAL!$BJ$4),AR16,"")))),"")</f>
        <v>0</v>
      </c>
      <c r="AN16" s="1093"/>
      <c r="AO16" s="1094"/>
      <c r="AP16" s="666">
        <f>+IF(AND(AU16="",BB16="OUI",BH16="non",BI16="OUI"),AM16,IF(AND(AU16="",BB16="OUI",BH16="oui",BI16="NON"),AM16,IF(AND(AU16="",BB16="NON",BH16="oui",BI16="NON"),M16,IF(AND(AU16="",BB16="NON",BH16="non",BI16="OUI"),M16,IF(AND(AU16="",BB16="OUI",BH16="non",BI16="NON"),"ERREUR",IF(AND(AU16="",BB16="NON",BH16="non",BI16="NON"),AM16,IF(AND(AU16="",BB16="OUI",BH16="",BI16=""),AM16,IF(AND(AU16="",BB16="NON",BH16="",BI16="",AZ16="NON"),M16,IF(AND(AU16="",BH16="",AZ16="OUI",AR16=""),AM16,IF(AND(AU16="",BH16="",AZ16="NON",AR16="",AT16=""),M16,IF(AND(OR(AR16=S.CAL!$BJ$3,AR16=S.CAL!$BJ$4),(VLOOKUP($AM$5,base_nbre_sem_mensu,2,FALSE)=52)),EE16,IF(AND(OR(AR16=S.CAL!$BJ$3,AR16=S.CAL!$BJ$4),(VLOOKUP($AM$5,base_nbre_sem_mensu,2,FALSE)&lt;52)),AM16,IF(AND(AT16&lt;&gt;"",AU16=""),AT16,AU16)))))))))))))</f>
        <v>0</v>
      </c>
      <c r="AQ16" s="498">
        <f t="shared" si="60"/>
        <v>0</v>
      </c>
      <c r="AR16" s="1098"/>
      <c r="AT16" s="1101"/>
      <c r="AU16" s="975"/>
      <c r="AV16" s="1370">
        <f t="shared" si="39"/>
        <v>46027</v>
      </c>
      <c r="AX16" s="511">
        <f t="shared" si="61"/>
        <v>46027</v>
      </c>
      <c r="AY16" s="523">
        <f t="shared" si="74"/>
        <v>0</v>
      </c>
      <c r="AZ16" s="520" t="s">
        <v>137</v>
      </c>
      <c r="BA16" s="516">
        <f t="shared" si="75"/>
        <v>0</v>
      </c>
      <c r="BB16" s="549" t="str">
        <f t="shared" si="42"/>
        <v/>
      </c>
      <c r="BC16" s="523">
        <f t="shared" si="62"/>
        <v>0</v>
      </c>
      <c r="BD16" s="523">
        <f t="shared" si="63"/>
        <v>0</v>
      </c>
      <c r="BE16" s="1104"/>
      <c r="BF16" s="514" t="str">
        <f t="shared" si="43"/>
        <v/>
      </c>
      <c r="BG16" s="514" t="str">
        <f t="shared" si="64"/>
        <v>oui</v>
      </c>
      <c r="BH16" s="377" t="str">
        <f t="shared" si="44"/>
        <v/>
      </c>
      <c r="BI16" s="24" t="str">
        <f t="shared" si="45"/>
        <v/>
      </c>
      <c r="BJ16" s="1381"/>
      <c r="BK16" s="1381"/>
      <c r="BL16" s="1381"/>
      <c r="BM16" s="1381"/>
      <c r="BN16" s="1381"/>
      <c r="BO16" s="1381"/>
      <c r="BP16" s="1381"/>
      <c r="BQ16" s="1381"/>
      <c r="BS16" s="1370">
        <f t="shared" si="10"/>
        <v>46027</v>
      </c>
      <c r="BT16" s="27">
        <f t="shared" si="73"/>
        <v>2</v>
      </c>
      <c r="BU16" s="1380"/>
      <c r="BV16" s="1380"/>
      <c r="BW16" s="1380"/>
      <c r="BX16" s="1380"/>
      <c r="BY16" s="1380"/>
      <c r="BZ16" s="1380"/>
      <c r="CA16" s="1380"/>
      <c r="CB16" s="1380"/>
      <c r="CD16" s="1386">
        <f t="shared" si="65"/>
        <v>0</v>
      </c>
      <c r="DC16" s="16" t="str">
        <f>Janvier!FC24</f>
        <v>non</v>
      </c>
      <c r="DG16" s="315">
        <f t="shared" si="66"/>
        <v>1</v>
      </c>
      <c r="DH16" s="129">
        <f t="shared" si="46"/>
        <v>10</v>
      </c>
      <c r="DI16" s="129">
        <f t="shared" si="67"/>
        <v>1</v>
      </c>
      <c r="DK16" s="16">
        <f>+IF(AND(Janvier!$DP$8&lt;&gt;52,AR16=S.CAL!$BJ$4),10,1)</f>
        <v>1</v>
      </c>
      <c r="DN16" s="16">
        <f t="shared" si="47"/>
        <v>1</v>
      </c>
      <c r="DU16" s="1274" t="str">
        <f t="shared" si="68"/>
        <v>Fiche infoA146027</v>
      </c>
      <c r="DV16" s="1362">
        <f t="shared" si="48"/>
        <v>0</v>
      </c>
      <c r="DW16" s="1363">
        <f t="shared" si="49"/>
        <v>0</v>
      </c>
      <c r="DX16" s="1363">
        <f t="shared" si="50"/>
        <v>0</v>
      </c>
      <c r="DY16" s="1363">
        <f t="shared" si="51"/>
        <v>0</v>
      </c>
      <c r="DZ16" s="1363">
        <f t="shared" si="52"/>
        <v>0</v>
      </c>
      <c r="EA16" s="1363">
        <f t="shared" si="53"/>
        <v>0</v>
      </c>
      <c r="EB16" s="1363">
        <f t="shared" si="54"/>
        <v>0</v>
      </c>
      <c r="EC16" s="1363">
        <f t="shared" si="55"/>
        <v>0</v>
      </c>
      <c r="ED16" s="1363">
        <f t="shared" si="69"/>
        <v>0</v>
      </c>
      <c r="EE16" s="1364">
        <f t="shared" si="70"/>
        <v>0</v>
      </c>
      <c r="EG16" s="16" t="str">
        <f t="shared" si="71"/>
        <v>22026</v>
      </c>
      <c r="EH16" s="16" t="str">
        <f t="shared" si="56"/>
        <v>Fiche infoA1</v>
      </c>
      <c r="EI16" s="16" t="str">
        <f t="shared" si="57"/>
        <v/>
      </c>
    </row>
    <row r="17" spans="1:139" x14ac:dyDescent="0.2">
      <c r="A17" s="1373" t="str">
        <f>Janvier!BJ25</f>
        <v>Fiche infoA2</v>
      </c>
      <c r="B17" s="811">
        <f>Janvier!AB25</f>
        <v>46028</v>
      </c>
      <c r="C17" s="1372" t="str">
        <f t="shared" si="72"/>
        <v/>
      </c>
      <c r="D17" s="981">
        <f t="shared" si="11"/>
        <v>0</v>
      </c>
      <c r="E17" s="434">
        <f t="shared" si="12"/>
        <v>0</v>
      </c>
      <c r="F17" s="434">
        <f t="shared" si="13"/>
        <v>0</v>
      </c>
      <c r="G17" s="434">
        <f t="shared" si="14"/>
        <v>0</v>
      </c>
      <c r="H17" s="434">
        <f t="shared" si="15"/>
        <v>0</v>
      </c>
      <c r="I17" s="434">
        <f t="shared" si="16"/>
        <v>0</v>
      </c>
      <c r="J17" s="434">
        <f t="shared" si="17"/>
        <v>0</v>
      </c>
      <c r="K17" s="434">
        <f t="shared" si="18"/>
        <v>0</v>
      </c>
      <c r="L17" s="434">
        <f t="shared" si="58"/>
        <v>0</v>
      </c>
      <c r="M17" s="982">
        <f t="shared" si="59"/>
        <v>0</v>
      </c>
      <c r="N17" s="1374"/>
      <c r="O17" s="981">
        <f t="shared" si="19"/>
        <v>0</v>
      </c>
      <c r="P17" s="434">
        <f t="shared" si="20"/>
        <v>0</v>
      </c>
      <c r="Q17" s="434">
        <f t="shared" si="21"/>
        <v>0</v>
      </c>
      <c r="R17" s="434">
        <f t="shared" si="22"/>
        <v>0</v>
      </c>
      <c r="S17" s="434">
        <f t="shared" si="23"/>
        <v>0</v>
      </c>
      <c r="T17" s="434">
        <f t="shared" si="24"/>
        <v>0</v>
      </c>
      <c r="U17" s="434">
        <f t="shared" si="25"/>
        <v>0</v>
      </c>
      <c r="V17" s="434">
        <f t="shared" si="26"/>
        <v>0</v>
      </c>
      <c r="W17" s="434">
        <f t="shared" si="27"/>
        <v>0</v>
      </c>
      <c r="X17" s="982">
        <f t="shared" si="28"/>
        <v>0</v>
      </c>
      <c r="Y17" s="1375"/>
      <c r="Z17" s="1376">
        <f t="shared" si="29"/>
        <v>0</v>
      </c>
      <c r="AA17" s="1376">
        <f t="shared" si="30"/>
        <v>0</v>
      </c>
      <c r="AB17" s="1376">
        <f t="shared" si="31"/>
        <v>0</v>
      </c>
      <c r="AC17" s="1376">
        <f t="shared" si="32"/>
        <v>0</v>
      </c>
      <c r="AD17" s="1376">
        <f t="shared" si="33"/>
        <v>0</v>
      </c>
      <c r="AE17" s="1376">
        <f t="shared" si="34"/>
        <v>0</v>
      </c>
      <c r="AF17" s="1376">
        <f t="shared" si="35"/>
        <v>0</v>
      </c>
      <c r="AG17" s="1376">
        <f t="shared" si="36"/>
        <v>0</v>
      </c>
      <c r="AH17" s="1374"/>
      <c r="AI17" s="444">
        <f t="shared" si="37"/>
        <v>0</v>
      </c>
      <c r="AJ17" s="1090"/>
      <c r="AK17" s="1377"/>
      <c r="AL17" s="811">
        <f t="shared" si="38"/>
        <v>46028</v>
      </c>
      <c r="AM17" s="666">
        <f>IFERROR(IF(AND(AT17="",AR17&lt;&gt;S.CAL!$BJ$3,AR17&lt;&gt;S.CAL!$BJ$4,$AR$5="NON"),M17-BD17,IF(AND(AT17="",AR17&lt;&gt;S.CAL!$BJ$3,AR17&lt;&gt;S.CAL!$BJ$4,$AR$5="OUI"),X17-AI17,IF(AT17&lt;&gt;0,AT17,IF(OR(AR17=S.CAL!$BJ$3,AR17=S.CAL!$BJ$4),AR17,"")))),"")</f>
        <v>0</v>
      </c>
      <c r="AN17" s="1093"/>
      <c r="AO17" s="1094"/>
      <c r="AP17" s="666">
        <f>+IF(AND(AU17="",BB17="OUI",BH17="non",BI17="OUI"),AM17,IF(AND(AU17="",BB17="OUI",BH17="oui",BI17="NON"),AM17,IF(AND(AU17="",BB17="NON",BH17="oui",BI17="NON"),M17,IF(AND(AU17="",BB17="NON",BH17="non",BI17="OUI"),M17,IF(AND(AU17="",BB17="OUI",BH17="non",BI17="NON"),"ERREUR",IF(AND(AU17="",BB17="NON",BH17="non",BI17="NON"),AM17,IF(AND(AU17="",BB17="OUI",BH17="",BI17=""),AM17,IF(AND(AU17="",BB17="NON",BH17="",BI17="",AZ17="NON"),M17,IF(AND(AU17="",BH17="",AZ17="OUI",AR17=""),AM17,IF(AND(AU17="",BH17="",AZ17="NON",AR17="",AT17=""),M17,IF(AND(OR(AR17=S.CAL!$BJ$3,AR17=S.CAL!$BJ$4),(VLOOKUP($AM$5,base_nbre_sem_mensu,2,FALSE)=52)),EE17,IF(AND(OR(AR17=S.CAL!$BJ$3,AR17=S.CAL!$BJ$4),(VLOOKUP($AM$5,base_nbre_sem_mensu,2,FALSE)&lt;52)),AM17,IF(AND(AT17&lt;&gt;"",AU17=""),AT17,AU17)))))))))))))</f>
        <v>0</v>
      </c>
      <c r="AQ17" s="1378">
        <f t="shared" si="60"/>
        <v>0</v>
      </c>
      <c r="AR17" s="1098"/>
      <c r="AS17" s="1374"/>
      <c r="AT17" s="1101"/>
      <c r="AU17" s="975"/>
      <c r="AV17" s="1370">
        <f t="shared" si="39"/>
        <v>46028</v>
      </c>
      <c r="AW17" s="1374"/>
      <c r="AX17" s="511">
        <f t="shared" si="61"/>
        <v>46028</v>
      </c>
      <c r="AY17" s="523">
        <f t="shared" si="74"/>
        <v>0</v>
      </c>
      <c r="AZ17" s="520" t="s">
        <v>137</v>
      </c>
      <c r="BA17" s="516">
        <f t="shared" si="75"/>
        <v>0</v>
      </c>
      <c r="BB17" s="549" t="str">
        <f t="shared" si="42"/>
        <v/>
      </c>
      <c r="BC17" s="523">
        <f t="shared" si="62"/>
        <v>0</v>
      </c>
      <c r="BD17" s="523">
        <f t="shared" si="63"/>
        <v>0</v>
      </c>
      <c r="BE17" s="1104"/>
      <c r="BF17" s="514" t="str">
        <f t="shared" si="43"/>
        <v/>
      </c>
      <c r="BG17" s="514" t="str">
        <f t="shared" si="64"/>
        <v>oui</v>
      </c>
      <c r="BH17" s="377" t="str">
        <f t="shared" si="44"/>
        <v/>
      </c>
      <c r="BI17" s="24" t="str">
        <f t="shared" si="45"/>
        <v/>
      </c>
      <c r="BJ17" s="1382"/>
      <c r="BK17" s="1382"/>
      <c r="BL17" s="1382"/>
      <c r="BM17" s="1382"/>
      <c r="BN17" s="1382"/>
      <c r="BO17" s="1382"/>
      <c r="BP17" s="1382"/>
      <c r="BQ17" s="1382"/>
      <c r="BR17" s="1383"/>
      <c r="BS17" s="1370">
        <f t="shared" si="10"/>
        <v>46028</v>
      </c>
      <c r="BT17" s="1384" t="str">
        <f t="shared" si="73"/>
        <v/>
      </c>
      <c r="BU17" s="1382"/>
      <c r="BV17" s="1382"/>
      <c r="BW17" s="1382"/>
      <c r="BX17" s="1382"/>
      <c r="BY17" s="1382"/>
      <c r="BZ17" s="1382"/>
      <c r="CA17" s="1382"/>
      <c r="CB17" s="1382"/>
      <c r="CD17" s="1386">
        <f t="shared" si="65"/>
        <v>0</v>
      </c>
      <c r="DC17" s="16" t="str">
        <f>Janvier!FC25</f>
        <v>non</v>
      </c>
      <c r="DG17" s="315">
        <f t="shared" si="66"/>
        <v>1</v>
      </c>
      <c r="DH17" s="129">
        <f t="shared" si="46"/>
        <v>10</v>
      </c>
      <c r="DI17" s="129">
        <f t="shared" si="67"/>
        <v>1</v>
      </c>
      <c r="DK17" s="16">
        <f>+IF(AND(Janvier!$DP$8&lt;&gt;52,AR17=S.CAL!$BJ$4),10,1)</f>
        <v>1</v>
      </c>
      <c r="DN17" s="16">
        <f t="shared" si="47"/>
        <v>1</v>
      </c>
      <c r="DU17" s="1274" t="str">
        <f t="shared" si="68"/>
        <v>Fiche infoA246028</v>
      </c>
      <c r="DV17" s="1362">
        <f t="shared" si="48"/>
        <v>0</v>
      </c>
      <c r="DW17" s="1363">
        <f t="shared" si="49"/>
        <v>0</v>
      </c>
      <c r="DX17" s="1363">
        <f t="shared" si="50"/>
        <v>0</v>
      </c>
      <c r="DY17" s="1363">
        <f t="shared" si="51"/>
        <v>0</v>
      </c>
      <c r="DZ17" s="1363">
        <f t="shared" si="52"/>
        <v>0</v>
      </c>
      <c r="EA17" s="1363">
        <f t="shared" si="53"/>
        <v>0</v>
      </c>
      <c r="EB17" s="1363">
        <f t="shared" si="54"/>
        <v>0</v>
      </c>
      <c r="EC17" s="1363">
        <f t="shared" si="55"/>
        <v>0</v>
      </c>
      <c r="ED17" s="1363">
        <f t="shared" si="69"/>
        <v>0</v>
      </c>
      <c r="EE17" s="1364">
        <f t="shared" si="70"/>
        <v>0</v>
      </c>
      <c r="EG17" s="16" t="str">
        <f t="shared" si="71"/>
        <v>22026</v>
      </c>
      <c r="EH17" s="16" t="str">
        <f t="shared" si="56"/>
        <v>Fiche infoA2</v>
      </c>
      <c r="EI17" s="16" t="str">
        <f t="shared" si="57"/>
        <v/>
      </c>
    </row>
    <row r="18" spans="1:139" x14ac:dyDescent="0.2">
      <c r="A18" s="24" t="str">
        <f>Janvier!BJ26</f>
        <v>Fiche infoA3</v>
      </c>
      <c r="B18" s="811">
        <f>Janvier!AB26</f>
        <v>46029</v>
      </c>
      <c r="C18" s="1371" t="str">
        <f t="shared" si="72"/>
        <v/>
      </c>
      <c r="D18" s="981">
        <f t="shared" si="11"/>
        <v>0</v>
      </c>
      <c r="E18" s="434">
        <f t="shared" si="12"/>
        <v>0</v>
      </c>
      <c r="F18" s="434">
        <f t="shared" si="13"/>
        <v>0</v>
      </c>
      <c r="G18" s="434">
        <f t="shared" si="14"/>
        <v>0</v>
      </c>
      <c r="H18" s="434">
        <f t="shared" si="15"/>
        <v>0</v>
      </c>
      <c r="I18" s="434">
        <f t="shared" si="16"/>
        <v>0</v>
      </c>
      <c r="J18" s="434">
        <f t="shared" si="17"/>
        <v>0</v>
      </c>
      <c r="K18" s="434">
        <f t="shared" si="18"/>
        <v>0</v>
      </c>
      <c r="L18" s="434">
        <f t="shared" si="58"/>
        <v>0</v>
      </c>
      <c r="M18" s="982">
        <f t="shared" si="59"/>
        <v>0</v>
      </c>
      <c r="O18" s="981">
        <f t="shared" si="19"/>
        <v>0</v>
      </c>
      <c r="P18" s="434">
        <f t="shared" si="20"/>
        <v>0</v>
      </c>
      <c r="Q18" s="434">
        <f t="shared" si="21"/>
        <v>0</v>
      </c>
      <c r="R18" s="434">
        <f t="shared" si="22"/>
        <v>0</v>
      </c>
      <c r="S18" s="434">
        <f t="shared" si="23"/>
        <v>0</v>
      </c>
      <c r="T18" s="434">
        <f t="shared" si="24"/>
        <v>0</v>
      </c>
      <c r="U18" s="434">
        <f t="shared" si="25"/>
        <v>0</v>
      </c>
      <c r="V18" s="434">
        <f t="shared" si="26"/>
        <v>0</v>
      </c>
      <c r="W18" s="434">
        <f t="shared" si="27"/>
        <v>0</v>
      </c>
      <c r="X18" s="982">
        <f t="shared" si="28"/>
        <v>0</v>
      </c>
      <c r="Y18" s="441"/>
      <c r="Z18" s="277">
        <f t="shared" si="29"/>
        <v>0</v>
      </c>
      <c r="AA18" s="277">
        <f t="shared" si="30"/>
        <v>0</v>
      </c>
      <c r="AB18" s="277">
        <f t="shared" si="31"/>
        <v>0</v>
      </c>
      <c r="AC18" s="277">
        <f t="shared" si="32"/>
        <v>0</v>
      </c>
      <c r="AD18" s="277">
        <f t="shared" si="33"/>
        <v>0</v>
      </c>
      <c r="AE18" s="277">
        <f t="shared" si="34"/>
        <v>0</v>
      </c>
      <c r="AF18" s="277">
        <f t="shared" si="35"/>
        <v>0</v>
      </c>
      <c r="AG18" s="277">
        <f t="shared" si="36"/>
        <v>0</v>
      </c>
      <c r="AI18" s="444">
        <f t="shared" si="37"/>
        <v>0</v>
      </c>
      <c r="AJ18" s="1090"/>
      <c r="AK18" s="489"/>
      <c r="AL18" s="811">
        <f t="shared" si="38"/>
        <v>46029</v>
      </c>
      <c r="AM18" s="666">
        <f>IFERROR(IF(AND(AT18="",AR18&lt;&gt;S.CAL!$BJ$3,AR18&lt;&gt;S.CAL!$BJ$4,$AR$5="NON"),M18-BD18,IF(AND(AT18="",AR18&lt;&gt;S.CAL!$BJ$3,AR18&lt;&gt;S.CAL!$BJ$4,$AR$5="OUI"),X18-AI18,IF(AT18&lt;&gt;0,AT18,IF(OR(AR18=S.CAL!$BJ$3,AR18=S.CAL!$BJ$4),AR18,"")))),"")</f>
        <v>0</v>
      </c>
      <c r="AN18" s="1093"/>
      <c r="AO18" s="1094"/>
      <c r="AP18" s="666">
        <f>+IF(AND(AU18="",BB18="OUI",BH18="non",BI18="OUI"),AM18,IF(AND(AU18="",BB18="OUI",BH18="oui",BI18="NON"),AM18,IF(AND(AU18="",BB18="NON",BH18="oui",BI18="NON"),M18,IF(AND(AU18="",BB18="NON",BH18="non",BI18="OUI"),M18,IF(AND(AU18="",BB18="OUI",BH18="non",BI18="NON"),"ERREUR",IF(AND(AU18="",BB18="NON",BH18="non",BI18="NON"),AM18,IF(AND(AU18="",BB18="OUI",BH18="",BI18=""),AM18,IF(AND(AU18="",BB18="NON",BH18="",BI18="",AZ18="NON"),M18,IF(AND(AU18="",BH18="",AZ18="OUI",AR18=""),AM18,IF(AND(AU18="",BH18="",AZ18="NON",AR18="",AT18=""),M18,IF(AND(OR(AR18=S.CAL!$BJ$3,AR18=S.CAL!$BJ$4),(VLOOKUP($AM$5,base_nbre_sem_mensu,2,FALSE)=52)),EE18,IF(AND(OR(AR18=S.CAL!$BJ$3,AR18=S.CAL!$BJ$4),(VLOOKUP($AM$5,base_nbre_sem_mensu,2,FALSE)&lt;52)),AM18,IF(AND(AT18&lt;&gt;"",AU18=""),AT18,AU18)))))))))))))</f>
        <v>0</v>
      </c>
      <c r="AQ18" s="498">
        <f t="shared" si="60"/>
        <v>0</v>
      </c>
      <c r="AR18" s="1098"/>
      <c r="AT18" s="1101"/>
      <c r="AU18" s="975"/>
      <c r="AV18" s="1370">
        <f t="shared" si="39"/>
        <v>46029</v>
      </c>
      <c r="AX18" s="511">
        <f t="shared" si="61"/>
        <v>46029</v>
      </c>
      <c r="AY18" s="523">
        <f t="shared" si="74"/>
        <v>0</v>
      </c>
      <c r="AZ18" s="520" t="s">
        <v>137</v>
      </c>
      <c r="BA18" s="516">
        <f t="shared" si="75"/>
        <v>0</v>
      </c>
      <c r="BB18" s="549" t="str">
        <f t="shared" si="42"/>
        <v/>
      </c>
      <c r="BC18" s="523">
        <f t="shared" si="62"/>
        <v>0</v>
      </c>
      <c r="BD18" s="523">
        <f t="shared" si="63"/>
        <v>0</v>
      </c>
      <c r="BE18" s="1104"/>
      <c r="BF18" s="514" t="str">
        <f t="shared" si="43"/>
        <v/>
      </c>
      <c r="BG18" s="514" t="str">
        <f t="shared" si="64"/>
        <v>oui</v>
      </c>
      <c r="BH18" s="377" t="str">
        <f t="shared" si="44"/>
        <v/>
      </c>
      <c r="BI18" s="24" t="str">
        <f t="shared" si="45"/>
        <v/>
      </c>
      <c r="BJ18" s="1381"/>
      <c r="BK18" s="1381"/>
      <c r="BL18" s="1381"/>
      <c r="BM18" s="1381"/>
      <c r="BN18" s="1381"/>
      <c r="BO18" s="1381"/>
      <c r="BP18" s="1381"/>
      <c r="BQ18" s="1381"/>
      <c r="BS18" s="1370">
        <f t="shared" si="10"/>
        <v>46029</v>
      </c>
      <c r="BT18" s="27" t="str">
        <f t="shared" si="73"/>
        <v/>
      </c>
      <c r="BU18" s="1380"/>
      <c r="BV18" s="1380"/>
      <c r="BW18" s="1380"/>
      <c r="BX18" s="1380"/>
      <c r="BY18" s="1380"/>
      <c r="BZ18" s="1380"/>
      <c r="CA18" s="1380"/>
      <c r="CB18" s="1380"/>
      <c r="CD18" s="1386">
        <f t="shared" si="65"/>
        <v>0</v>
      </c>
      <c r="DC18" s="16" t="str">
        <f>Janvier!FC26</f>
        <v>non</v>
      </c>
      <c r="DG18" s="315">
        <f t="shared" si="66"/>
        <v>1</v>
      </c>
      <c r="DH18" s="129">
        <f t="shared" si="46"/>
        <v>10</v>
      </c>
      <c r="DI18" s="129">
        <f t="shared" si="67"/>
        <v>1</v>
      </c>
      <c r="DK18" s="16">
        <f>+IF(AND(Janvier!$DP$8&lt;&gt;52,AR18=S.CAL!$BJ$4),10,1)</f>
        <v>1</v>
      </c>
      <c r="DN18" s="16">
        <f t="shared" si="47"/>
        <v>1</v>
      </c>
      <c r="DU18" s="1274" t="str">
        <f t="shared" si="68"/>
        <v>Fiche infoA346029</v>
      </c>
      <c r="DV18" s="1362">
        <f t="shared" si="48"/>
        <v>0</v>
      </c>
      <c r="DW18" s="1363">
        <f t="shared" si="49"/>
        <v>0</v>
      </c>
      <c r="DX18" s="1363">
        <f t="shared" si="50"/>
        <v>0</v>
      </c>
      <c r="DY18" s="1363">
        <f t="shared" si="51"/>
        <v>0</v>
      </c>
      <c r="DZ18" s="1363">
        <f t="shared" si="52"/>
        <v>0</v>
      </c>
      <c r="EA18" s="1363">
        <f t="shared" si="53"/>
        <v>0</v>
      </c>
      <c r="EB18" s="1363">
        <f t="shared" si="54"/>
        <v>0</v>
      </c>
      <c r="EC18" s="1363">
        <f t="shared" si="55"/>
        <v>0</v>
      </c>
      <c r="ED18" s="1363">
        <f t="shared" si="69"/>
        <v>0</v>
      </c>
      <c r="EE18" s="1364">
        <f t="shared" si="70"/>
        <v>0</v>
      </c>
      <c r="EG18" s="16" t="str">
        <f t="shared" si="71"/>
        <v>22026</v>
      </c>
      <c r="EH18" s="16" t="str">
        <f t="shared" si="56"/>
        <v>Fiche infoA3</v>
      </c>
      <c r="EI18" s="16" t="str">
        <f t="shared" si="57"/>
        <v/>
      </c>
    </row>
    <row r="19" spans="1:139" x14ac:dyDescent="0.2">
      <c r="A19" s="1373" t="str">
        <f>Janvier!BJ27</f>
        <v>Fiche infoA4</v>
      </c>
      <c r="B19" s="811">
        <f>Janvier!AB27</f>
        <v>46030</v>
      </c>
      <c r="C19" s="1372" t="str">
        <f t="shared" si="72"/>
        <v/>
      </c>
      <c r="D19" s="981">
        <f t="shared" si="11"/>
        <v>0</v>
      </c>
      <c r="E19" s="434">
        <f t="shared" si="12"/>
        <v>0</v>
      </c>
      <c r="F19" s="434">
        <f t="shared" si="13"/>
        <v>0</v>
      </c>
      <c r="G19" s="434">
        <f t="shared" si="14"/>
        <v>0</v>
      </c>
      <c r="H19" s="434">
        <f t="shared" si="15"/>
        <v>0</v>
      </c>
      <c r="I19" s="434">
        <f t="shared" si="16"/>
        <v>0</v>
      </c>
      <c r="J19" s="434">
        <f t="shared" si="17"/>
        <v>0</v>
      </c>
      <c r="K19" s="434">
        <f t="shared" si="18"/>
        <v>0</v>
      </c>
      <c r="L19" s="434">
        <f t="shared" si="58"/>
        <v>0</v>
      </c>
      <c r="M19" s="982">
        <f t="shared" si="59"/>
        <v>0</v>
      </c>
      <c r="N19" s="1374"/>
      <c r="O19" s="981">
        <f t="shared" si="19"/>
        <v>0</v>
      </c>
      <c r="P19" s="434">
        <f t="shared" si="20"/>
        <v>0</v>
      </c>
      <c r="Q19" s="434">
        <f t="shared" si="21"/>
        <v>0</v>
      </c>
      <c r="R19" s="434">
        <f t="shared" si="22"/>
        <v>0</v>
      </c>
      <c r="S19" s="434">
        <f t="shared" si="23"/>
        <v>0</v>
      </c>
      <c r="T19" s="434">
        <f t="shared" si="24"/>
        <v>0</v>
      </c>
      <c r="U19" s="434">
        <f t="shared" si="25"/>
        <v>0</v>
      </c>
      <c r="V19" s="434">
        <f t="shared" si="26"/>
        <v>0</v>
      </c>
      <c r="W19" s="434">
        <f t="shared" si="27"/>
        <v>0</v>
      </c>
      <c r="X19" s="982">
        <f t="shared" si="28"/>
        <v>0</v>
      </c>
      <c r="Y19" s="1375"/>
      <c r="Z19" s="1376">
        <f t="shared" si="29"/>
        <v>0</v>
      </c>
      <c r="AA19" s="1376">
        <f t="shared" si="30"/>
        <v>0</v>
      </c>
      <c r="AB19" s="1376">
        <f t="shared" si="31"/>
        <v>0</v>
      </c>
      <c r="AC19" s="1376">
        <f t="shared" si="32"/>
        <v>0</v>
      </c>
      <c r="AD19" s="1376">
        <f t="shared" si="33"/>
        <v>0</v>
      </c>
      <c r="AE19" s="1376">
        <f t="shared" si="34"/>
        <v>0</v>
      </c>
      <c r="AF19" s="1376">
        <f t="shared" si="35"/>
        <v>0</v>
      </c>
      <c r="AG19" s="1376">
        <f t="shared" si="36"/>
        <v>0</v>
      </c>
      <c r="AH19" s="1374"/>
      <c r="AI19" s="444">
        <f t="shared" si="37"/>
        <v>0</v>
      </c>
      <c r="AJ19" s="1090"/>
      <c r="AK19" s="1377"/>
      <c r="AL19" s="811">
        <f t="shared" si="38"/>
        <v>46030</v>
      </c>
      <c r="AM19" s="666">
        <f>IFERROR(IF(AND(AT19="",AR19&lt;&gt;S.CAL!$BJ$3,AR19&lt;&gt;S.CAL!$BJ$4,$AR$5="NON"),M19-BD19,IF(AND(AT19="",AR19&lt;&gt;S.CAL!$BJ$3,AR19&lt;&gt;S.CAL!$BJ$4,$AR$5="OUI"),X19-AI19,IF(AT19&lt;&gt;0,AT19,IF(OR(AR19=S.CAL!$BJ$3,AR19=S.CAL!$BJ$4),AR19,"")))),"")</f>
        <v>0</v>
      </c>
      <c r="AN19" s="1093"/>
      <c r="AO19" s="1094"/>
      <c r="AP19" s="666">
        <f>+IF(AND(AU19="",BB19="OUI",BH19="non",BI19="OUI"),AM19,IF(AND(AU19="",BB19="OUI",BH19="oui",BI19="NON"),AM19,IF(AND(AU19="",BB19="NON",BH19="oui",BI19="NON"),M19,IF(AND(AU19="",BB19="NON",BH19="non",BI19="OUI"),M19,IF(AND(AU19="",BB19="OUI",BH19="non",BI19="NON"),"ERREUR",IF(AND(AU19="",BB19="NON",BH19="non",BI19="NON"),AM19,IF(AND(AU19="",BB19="OUI",BH19="",BI19=""),AM19,IF(AND(AU19="",BB19="NON",BH19="",BI19="",AZ19="NON"),M19,IF(AND(AU19="",BH19="",AZ19="OUI",AR19=""),AM19,IF(AND(AU19="",BH19="",AZ19="NON",AR19="",AT19=""),M19,IF(AND(OR(AR19=S.CAL!$BJ$3,AR19=S.CAL!$BJ$4),(VLOOKUP($AM$5,base_nbre_sem_mensu,2,FALSE)=52)),EE19,IF(AND(OR(AR19=S.CAL!$BJ$3,AR19=S.CAL!$BJ$4),(VLOOKUP($AM$5,base_nbre_sem_mensu,2,FALSE)&lt;52)),AM19,IF(AND(AT19&lt;&gt;"",AU19=""),AT19,AU19)))))))))))))</f>
        <v>0</v>
      </c>
      <c r="AQ19" s="1378">
        <f t="shared" si="60"/>
        <v>0</v>
      </c>
      <c r="AR19" s="1098"/>
      <c r="AS19" s="1374"/>
      <c r="AT19" s="1101"/>
      <c r="AU19" s="975"/>
      <c r="AV19" s="1370">
        <f t="shared" si="39"/>
        <v>46030</v>
      </c>
      <c r="AW19" s="1374"/>
      <c r="AX19" s="511">
        <f t="shared" si="61"/>
        <v>46030</v>
      </c>
      <c r="AY19" s="523">
        <f t="shared" si="74"/>
        <v>0</v>
      </c>
      <c r="AZ19" s="520" t="s">
        <v>137</v>
      </c>
      <c r="BA19" s="516">
        <f t="shared" si="75"/>
        <v>0</v>
      </c>
      <c r="BB19" s="549" t="str">
        <f t="shared" si="42"/>
        <v/>
      </c>
      <c r="BC19" s="523">
        <f t="shared" si="62"/>
        <v>0</v>
      </c>
      <c r="BD19" s="523">
        <f t="shared" si="63"/>
        <v>0</v>
      </c>
      <c r="BE19" s="1104"/>
      <c r="BF19" s="514" t="str">
        <f t="shared" si="43"/>
        <v/>
      </c>
      <c r="BG19" s="514" t="str">
        <f t="shared" si="64"/>
        <v>oui</v>
      </c>
      <c r="BH19" s="377" t="str">
        <f t="shared" si="44"/>
        <v/>
      </c>
      <c r="BI19" s="24" t="str">
        <f t="shared" si="45"/>
        <v/>
      </c>
      <c r="BJ19" s="1382"/>
      <c r="BK19" s="1382"/>
      <c r="BL19" s="1382"/>
      <c r="BM19" s="1382"/>
      <c r="BN19" s="1382"/>
      <c r="BO19" s="1382"/>
      <c r="BP19" s="1382"/>
      <c r="BQ19" s="1382"/>
      <c r="BR19" s="1383"/>
      <c r="BS19" s="1370">
        <f t="shared" si="10"/>
        <v>46030</v>
      </c>
      <c r="BT19" s="1384" t="str">
        <f t="shared" si="73"/>
        <v/>
      </c>
      <c r="BU19" s="1382"/>
      <c r="BV19" s="1382"/>
      <c r="BW19" s="1382"/>
      <c r="BX19" s="1382"/>
      <c r="BY19" s="1382"/>
      <c r="BZ19" s="1382"/>
      <c r="CA19" s="1382"/>
      <c r="CB19" s="1382"/>
      <c r="CD19" s="1386">
        <f t="shared" si="65"/>
        <v>0</v>
      </c>
      <c r="DC19" s="16" t="str">
        <f>Janvier!FC27</f>
        <v>non</v>
      </c>
      <c r="DG19" s="315">
        <f t="shared" si="66"/>
        <v>1</v>
      </c>
      <c r="DH19" s="129">
        <f t="shared" si="46"/>
        <v>10</v>
      </c>
      <c r="DI19" s="129">
        <f t="shared" si="67"/>
        <v>1</v>
      </c>
      <c r="DK19" s="16">
        <f>+IF(AND(Janvier!$DP$8&lt;&gt;52,AR19=S.CAL!$BJ$4),10,1)</f>
        <v>1</v>
      </c>
      <c r="DN19" s="16">
        <f t="shared" si="47"/>
        <v>1</v>
      </c>
      <c r="DU19" s="1274" t="str">
        <f t="shared" si="68"/>
        <v>Fiche infoA446030</v>
      </c>
      <c r="DV19" s="1362">
        <f t="shared" si="48"/>
        <v>0</v>
      </c>
      <c r="DW19" s="1363">
        <f t="shared" si="49"/>
        <v>0</v>
      </c>
      <c r="DX19" s="1363">
        <f t="shared" si="50"/>
        <v>0</v>
      </c>
      <c r="DY19" s="1363">
        <f t="shared" si="51"/>
        <v>0</v>
      </c>
      <c r="DZ19" s="1363">
        <f t="shared" si="52"/>
        <v>0</v>
      </c>
      <c r="EA19" s="1363">
        <f t="shared" si="53"/>
        <v>0</v>
      </c>
      <c r="EB19" s="1363">
        <f t="shared" si="54"/>
        <v>0</v>
      </c>
      <c r="EC19" s="1363">
        <f t="shared" si="55"/>
        <v>0</v>
      </c>
      <c r="ED19" s="1363">
        <f t="shared" si="69"/>
        <v>0</v>
      </c>
      <c r="EE19" s="1364">
        <f t="shared" si="70"/>
        <v>0</v>
      </c>
      <c r="EG19" s="16" t="str">
        <f t="shared" si="71"/>
        <v>22026</v>
      </c>
      <c r="EH19" s="16" t="str">
        <f t="shared" si="56"/>
        <v>Fiche infoA4</v>
      </c>
      <c r="EI19" s="16" t="str">
        <f t="shared" si="57"/>
        <v/>
      </c>
    </row>
    <row r="20" spans="1:139" x14ac:dyDescent="0.2">
      <c r="A20" s="24" t="str">
        <f>Janvier!BJ28</f>
        <v>Fiche infoA5</v>
      </c>
      <c r="B20" s="811">
        <f>Janvier!AB28</f>
        <v>46031</v>
      </c>
      <c r="C20" s="1371" t="str">
        <f t="shared" si="72"/>
        <v/>
      </c>
      <c r="D20" s="981">
        <f t="shared" si="11"/>
        <v>0</v>
      </c>
      <c r="E20" s="434">
        <f t="shared" si="12"/>
        <v>0</v>
      </c>
      <c r="F20" s="434">
        <f t="shared" si="13"/>
        <v>0</v>
      </c>
      <c r="G20" s="434">
        <f t="shared" si="14"/>
        <v>0</v>
      </c>
      <c r="H20" s="434">
        <f t="shared" si="15"/>
        <v>0</v>
      </c>
      <c r="I20" s="434">
        <f t="shared" si="16"/>
        <v>0</v>
      </c>
      <c r="J20" s="434">
        <f t="shared" si="17"/>
        <v>0</v>
      </c>
      <c r="K20" s="434">
        <f t="shared" si="18"/>
        <v>0</v>
      </c>
      <c r="L20" s="434">
        <f t="shared" si="58"/>
        <v>0</v>
      </c>
      <c r="M20" s="982">
        <f t="shared" si="59"/>
        <v>0</v>
      </c>
      <c r="O20" s="981">
        <f>IF(AR20&lt;&gt;"",0,IF(DC20="oui",0,IF(AND(ISTEXT(AT20)=TRUE,BJ20=""),0,IF(BJ20="",D20,BJ20))))</f>
        <v>0</v>
      </c>
      <c r="P20" s="434">
        <f>IF(AR20&lt;&gt;"",0,IF(DC20="oui",0,IF(AND(ISTEXT(AT20)=TRUE,BK20=""),0,IF(BK20="",E20,BK20))))</f>
        <v>0</v>
      </c>
      <c r="Q20" s="434">
        <f>IF(AR20&lt;&gt;"",0,IF(DC20="oui",0,IF(AND(ISTEXT(AT20)=TRUE,BL20=""),0,IF(BL20="",F20,BL20))))</f>
        <v>0</v>
      </c>
      <c r="R20" s="434">
        <f>IF(AR20&lt;&gt;"",0,IF(DC20="oui",0,IF(AND(ISTEXT(AT20)=TRUE,BM20=""),0,IF(BM20="",G20,BM20))))</f>
        <v>0</v>
      </c>
      <c r="S20" s="434">
        <f>IF(AR20&lt;&gt;"",0,IF(DC20="oui",0,IF(AND(ISTEXT(AT20)=TRUE,BN20=""),0,IF(BN20="",H20,BN20))))</f>
        <v>0</v>
      </c>
      <c r="T20" s="434">
        <f>IF(AR20&lt;&gt;"",0,IF(DC20="oui",0,IF(AND(ISTEXT(AT20)=TRUE,BO20=""),0,IF(BO20="",I20,BO20))))</f>
        <v>0</v>
      </c>
      <c r="U20" s="434">
        <f>IF(AR20&lt;&gt;"",0,IF(DC20="oui",0,IF(AND(ISTEXT(AT20)=TRUE,BP20=""),0,IF(BP20="",J20,BP20))))</f>
        <v>0</v>
      </c>
      <c r="V20" s="434">
        <f>IF(AR20&lt;&gt;"",0,IF(DC20="oui",0,IF(AND(ISTEXT(AT20)=TRUE,BQ20=""),0,IF(BQ20="",K20,BQ20))))</f>
        <v>0</v>
      </c>
      <c r="W20" s="434">
        <f t="shared" si="27"/>
        <v>0</v>
      </c>
      <c r="X20" s="982">
        <f t="shared" si="28"/>
        <v>0</v>
      </c>
      <c r="Y20" s="441"/>
      <c r="Z20" s="277">
        <f t="shared" si="29"/>
        <v>0</v>
      </c>
      <c r="AA20" s="277">
        <f t="shared" si="30"/>
        <v>0</v>
      </c>
      <c r="AB20" s="277">
        <f t="shared" si="31"/>
        <v>0</v>
      </c>
      <c r="AC20" s="277">
        <f t="shared" si="32"/>
        <v>0</v>
      </c>
      <c r="AD20" s="277">
        <f t="shared" si="33"/>
        <v>0</v>
      </c>
      <c r="AE20" s="277">
        <f t="shared" si="34"/>
        <v>0</v>
      </c>
      <c r="AF20" s="277">
        <f t="shared" si="35"/>
        <v>0</v>
      </c>
      <c r="AG20" s="277">
        <f t="shared" si="36"/>
        <v>0</v>
      </c>
      <c r="AI20" s="444">
        <f>IF(DC20="oui",0,IF(AND(ISTEXT(AT20)=TRUE,OR(X20=0,X20="")),0,ROUND(((((AA20-Z20)-(E20-D20))+((AC20-AB20)-(G20-F20))+((AE20-AD20)-(I20-H20))+(AG20-AF20)-(K20-J20))*24),2)))</f>
        <v>0</v>
      </c>
      <c r="AJ20" s="1090"/>
      <c r="AK20" s="489"/>
      <c r="AL20" s="811">
        <f t="shared" si="38"/>
        <v>46031</v>
      </c>
      <c r="AM20" s="666">
        <f>IFERROR(IF(AND(AT20="",AR20&lt;&gt;S.CAL!$BJ$3,AR20&lt;&gt;S.CAL!$BJ$4,$AR$5="NON"),M20-BD20,IF(AND(AT20="",AR20&lt;&gt;S.CAL!$BJ$3,AR20&lt;&gt;S.CAL!$BJ$4,$AR$5="OUI"),X20-AI20,IF(AT20&lt;&gt;0,AT20,IF(OR(AR20=S.CAL!$BJ$3,AR20=S.CAL!$BJ$4),AR20,"")))),"")</f>
        <v>0</v>
      </c>
      <c r="AN20" s="1093"/>
      <c r="AO20" s="1094"/>
      <c r="AP20" s="666">
        <f>+IF(AND(AU20="",BB20="OUI",BH20="non",BI20="OUI"),AM20,IF(AND(AU20="",BB20="OUI",BH20="oui",BI20="NON"),AM20,IF(AND(AU20="",BB20="NON",BH20="oui",BI20="NON"),M20,IF(AND(AU20="",BB20="NON",BH20="non",BI20="OUI"),M20,IF(AND(AU20="",BB20="OUI",BH20="non",BI20="NON"),"ERREUR",IF(AND(AU20="",BB20="NON",BH20="non",BI20="NON"),AM20,IF(AND(AU20="",BB20="OUI",BH20="",BI20=""),AM20,IF(AND(AU20="",BB20="NON",BH20="",BI20="",AZ20="NON"),M20,IF(AND(AU20="",BH20="",AZ20="OUI",AR20=""),AM20,IF(AND(AU20="",BH20="",AZ20="NON",AR20="",AT20=""),M20,IF(AND(OR(AR20=S.CAL!$BJ$3,AR20=S.CAL!$BJ$4),(VLOOKUP($AM$5,base_nbre_sem_mensu,2,FALSE)=52)),EE20,IF(AND(OR(AR20=S.CAL!$BJ$3,AR20=S.CAL!$BJ$4),(VLOOKUP($AM$5,base_nbre_sem_mensu,2,FALSE)&lt;52)),AM20,IF(AND(AT20&lt;&gt;"",AU20=""),AT20,AU20)))))))))))))</f>
        <v>0</v>
      </c>
      <c r="AQ20" s="498">
        <f t="shared" si="60"/>
        <v>0</v>
      </c>
      <c r="AR20" s="1098"/>
      <c r="AT20" s="1101"/>
      <c r="AU20" s="975"/>
      <c r="AV20" s="1370">
        <f t="shared" si="39"/>
        <v>46031</v>
      </c>
      <c r="AX20" s="511">
        <f t="shared" si="61"/>
        <v>46031</v>
      </c>
      <c r="AY20" s="523">
        <f t="shared" si="74"/>
        <v>0</v>
      </c>
      <c r="AZ20" s="520" t="s">
        <v>137</v>
      </c>
      <c r="BA20" s="516">
        <f t="shared" si="75"/>
        <v>0</v>
      </c>
      <c r="BB20" s="549" t="str">
        <f t="shared" si="42"/>
        <v/>
      </c>
      <c r="BC20" s="523">
        <f t="shared" si="62"/>
        <v>0</v>
      </c>
      <c r="BD20" s="523">
        <f t="shared" si="63"/>
        <v>0</v>
      </c>
      <c r="BE20" s="1104"/>
      <c r="BF20" s="514" t="str">
        <f t="shared" si="43"/>
        <v/>
      </c>
      <c r="BG20" s="514" t="str">
        <f t="shared" si="64"/>
        <v>oui</v>
      </c>
      <c r="BH20" s="377" t="str">
        <f t="shared" si="44"/>
        <v/>
      </c>
      <c r="BI20" s="24" t="str">
        <f t="shared" si="45"/>
        <v/>
      </c>
      <c r="BJ20" s="1381"/>
      <c r="BK20" s="1381"/>
      <c r="BL20" s="1381"/>
      <c r="BM20" s="1381"/>
      <c r="BN20" s="1381"/>
      <c r="BO20" s="1381"/>
      <c r="BP20" s="1381"/>
      <c r="BQ20" s="1381"/>
      <c r="BS20" s="1370">
        <f t="shared" si="10"/>
        <v>46031</v>
      </c>
      <c r="BT20" s="27" t="str">
        <f t="shared" si="73"/>
        <v/>
      </c>
      <c r="BU20" s="1380"/>
      <c r="BV20" s="1380"/>
      <c r="BW20" s="1380"/>
      <c r="BX20" s="1380"/>
      <c r="BY20" s="1380"/>
      <c r="BZ20" s="1380"/>
      <c r="CA20" s="1380"/>
      <c r="CB20" s="1380"/>
      <c r="CD20" s="1386">
        <f t="shared" si="65"/>
        <v>0</v>
      </c>
      <c r="DC20" s="16" t="str">
        <f>Janvier!FC28</f>
        <v>non</v>
      </c>
      <c r="DG20" s="315">
        <f t="shared" si="66"/>
        <v>1</v>
      </c>
      <c r="DH20" s="129">
        <f t="shared" si="46"/>
        <v>10</v>
      </c>
      <c r="DI20" s="129">
        <f t="shared" si="67"/>
        <v>1</v>
      </c>
      <c r="DK20" s="16">
        <f>+IF(AND(Janvier!$DP$8&lt;&gt;52,AR20=S.CAL!$BJ$4),10,1)</f>
        <v>1</v>
      </c>
      <c r="DN20" s="16">
        <f t="shared" si="47"/>
        <v>1</v>
      </c>
      <c r="DU20" s="1274" t="str">
        <f t="shared" si="68"/>
        <v>Fiche infoA546031</v>
      </c>
      <c r="DV20" s="1362">
        <f t="shared" si="48"/>
        <v>0</v>
      </c>
      <c r="DW20" s="1363">
        <f t="shared" si="49"/>
        <v>0</v>
      </c>
      <c r="DX20" s="1363">
        <f t="shared" si="50"/>
        <v>0</v>
      </c>
      <c r="DY20" s="1363">
        <f t="shared" si="51"/>
        <v>0</v>
      </c>
      <c r="DZ20" s="1363">
        <f t="shared" si="52"/>
        <v>0</v>
      </c>
      <c r="EA20" s="1363">
        <f t="shared" si="53"/>
        <v>0</v>
      </c>
      <c r="EB20" s="1363">
        <f t="shared" si="54"/>
        <v>0</v>
      </c>
      <c r="EC20" s="1363">
        <f t="shared" si="55"/>
        <v>0</v>
      </c>
      <c r="ED20" s="1363">
        <f t="shared" si="69"/>
        <v>0</v>
      </c>
      <c r="EE20" s="1364">
        <f t="shared" si="70"/>
        <v>0</v>
      </c>
      <c r="EG20" s="16" t="str">
        <f t="shared" si="71"/>
        <v>22026</v>
      </c>
      <c r="EH20" s="16" t="str">
        <f t="shared" si="56"/>
        <v>Fiche infoA5</v>
      </c>
      <c r="EI20" s="16" t="str">
        <f t="shared" si="57"/>
        <v/>
      </c>
    </row>
    <row r="21" spans="1:139" x14ac:dyDescent="0.2">
      <c r="A21" s="1373" t="str">
        <f>Janvier!BJ29</f>
        <v>Fiche infoA6</v>
      </c>
      <c r="B21" s="811">
        <f>Janvier!AB29</f>
        <v>46032</v>
      </c>
      <c r="C21" s="1372" t="str">
        <f t="shared" si="72"/>
        <v/>
      </c>
      <c r="D21" s="981">
        <f t="shared" si="11"/>
        <v>0</v>
      </c>
      <c r="E21" s="434">
        <f t="shared" si="12"/>
        <v>0</v>
      </c>
      <c r="F21" s="434">
        <f t="shared" si="13"/>
        <v>0</v>
      </c>
      <c r="G21" s="434">
        <f t="shared" si="14"/>
        <v>0</v>
      </c>
      <c r="H21" s="434">
        <f t="shared" si="15"/>
        <v>0</v>
      </c>
      <c r="I21" s="434">
        <f t="shared" si="16"/>
        <v>0</v>
      </c>
      <c r="J21" s="434">
        <f t="shared" si="17"/>
        <v>0</v>
      </c>
      <c r="K21" s="434">
        <f t="shared" si="18"/>
        <v>0</v>
      </c>
      <c r="L21" s="434">
        <f t="shared" si="58"/>
        <v>0</v>
      </c>
      <c r="M21" s="982">
        <f t="shared" si="59"/>
        <v>0</v>
      </c>
      <c r="N21" s="1374"/>
      <c r="O21" s="981">
        <f t="shared" ref="O21:O42" si="76">IF(AR21&lt;&gt;"",0,IF(DC21="oui",0,IF(AND(ISTEXT(AT21)=TRUE,BJ21=""),0,IF(BJ21="",D21,BJ21))))</f>
        <v>0</v>
      </c>
      <c r="P21" s="434">
        <f t="shared" ref="P21:P42" si="77">IF(AR21&lt;&gt;"",0,IF(DC21="oui",0,IF(AND(ISTEXT(AT21)=TRUE,BK21=""),0,IF(BK21="",E21,BK21))))</f>
        <v>0</v>
      </c>
      <c r="Q21" s="434">
        <f t="shared" ref="Q21:Q42" si="78">IF(AR21&lt;&gt;"",0,IF(DC21="oui",0,IF(AND(ISTEXT(AT21)=TRUE,BL21=""),0,IF(BL21="",F21,BL21))))</f>
        <v>0</v>
      </c>
      <c r="R21" s="434">
        <f t="shared" ref="R21:R42" si="79">IF(AR21&lt;&gt;"",0,IF(DC21="oui",0,IF(AND(ISTEXT(AT21)=TRUE,BM21=""),0,IF(BM21="",G21,BM21))))</f>
        <v>0</v>
      </c>
      <c r="S21" s="434">
        <f t="shared" ref="S21:S42" si="80">IF(AR21&lt;&gt;"",0,IF(DC21="oui",0,IF(AND(ISTEXT(AT21)=TRUE,BN21=""),0,IF(BN21="",H21,BN21))))</f>
        <v>0</v>
      </c>
      <c r="T21" s="434">
        <f t="shared" ref="T21:T42" si="81">IF(AR21&lt;&gt;"",0,IF(DC21="oui",0,IF(AND(ISTEXT(AT21)=TRUE,BO21=""),0,IF(BO21="",I21,BO21))))</f>
        <v>0</v>
      </c>
      <c r="U21" s="434">
        <f t="shared" ref="U21:U42" si="82">IF(AR21&lt;&gt;"",0,IF(DC21="oui",0,IF(AND(ISTEXT(AT21)=TRUE,BP21=""),0,IF(BP21="",J21,BP21))))</f>
        <v>0</v>
      </c>
      <c r="V21" s="434">
        <f t="shared" ref="V21:V42" si="83">IF(AR21&lt;&gt;"",0,IF(DC21="oui",0,IF(AND(ISTEXT(AT21)=TRUE,BQ21=""),0,IF(BQ21="",K21,BQ21))))</f>
        <v>0</v>
      </c>
      <c r="W21" s="434">
        <f t="shared" si="27"/>
        <v>0</v>
      </c>
      <c r="X21" s="982">
        <f t="shared" si="28"/>
        <v>0</v>
      </c>
      <c r="Y21" s="1375"/>
      <c r="Z21" s="1376">
        <f t="shared" si="29"/>
        <v>0</v>
      </c>
      <c r="AA21" s="1376">
        <f t="shared" si="30"/>
        <v>0</v>
      </c>
      <c r="AB21" s="1376">
        <f t="shared" si="31"/>
        <v>0</v>
      </c>
      <c r="AC21" s="1376">
        <f t="shared" si="32"/>
        <v>0</v>
      </c>
      <c r="AD21" s="1376">
        <f t="shared" si="33"/>
        <v>0</v>
      </c>
      <c r="AE21" s="1376">
        <f t="shared" si="34"/>
        <v>0</v>
      </c>
      <c r="AF21" s="1376">
        <f t="shared" si="35"/>
        <v>0</v>
      </c>
      <c r="AG21" s="1376">
        <f t="shared" si="36"/>
        <v>0</v>
      </c>
      <c r="AH21" s="1374"/>
      <c r="AI21" s="444">
        <f t="shared" ref="AI21:AI42" si="84">IF(DC21="oui",0,IF(AND(ISTEXT(AT21)=TRUE,OR(X21=0,X21="")),0,ROUND(((((AA21-Z21)-(E21-D21))+((AC21-AB21)-(G21-F21))+((AE21-AD21)-(I21-H21))+(AG21-AF21)-(K21-J21))*24),2)))</f>
        <v>0</v>
      </c>
      <c r="AJ21" s="1090"/>
      <c r="AK21" s="1377"/>
      <c r="AL21" s="811">
        <f t="shared" si="38"/>
        <v>46032</v>
      </c>
      <c r="AM21" s="666">
        <f>IFERROR(IF(AND(AT21="",AR21&lt;&gt;S.CAL!$BJ$3,AR21&lt;&gt;S.CAL!$BJ$4,$AR$5="NON"),M21-BD21,IF(AND(AT21="",AR21&lt;&gt;S.CAL!$BJ$3,AR21&lt;&gt;S.CAL!$BJ$4,$AR$5="OUI"),X21-AI21,IF(AT21&lt;&gt;0,AT21,IF(OR(AR21=S.CAL!$BJ$3,AR21=S.CAL!$BJ$4),AR21,"")))),"")</f>
        <v>0</v>
      </c>
      <c r="AN21" s="1093"/>
      <c r="AO21" s="1094"/>
      <c r="AP21" s="666">
        <f>+IF(AND(AU21="",BB21="OUI",BH21="non",BI21="OUI"),AM21,IF(AND(AU21="",BB21="OUI",BH21="oui",BI21="NON"),AM21,IF(AND(AU21="",BB21="NON",BH21="oui",BI21="NON"),M21,IF(AND(AU21="",BB21="NON",BH21="non",BI21="OUI"),M21,IF(AND(AU21="",BB21="OUI",BH21="non",BI21="NON"),"ERREUR",IF(AND(AU21="",BB21="NON",BH21="non",BI21="NON"),AM21,IF(AND(AU21="",BB21="OUI",BH21="",BI21=""),AM21,IF(AND(AU21="",BB21="NON",BH21="",BI21="",AZ21="NON"),M21,IF(AND(AU21="",BH21="",AZ21="OUI",AR21=""),AM21,IF(AND(AU21="",BH21="",AZ21="NON",AR21="",AT21=""),M21,IF(AND(OR(AR21=S.CAL!$BJ$3,AR21=S.CAL!$BJ$4),(VLOOKUP($AM$5,base_nbre_sem_mensu,2,FALSE)=52)),EE21,IF(AND(OR(AR21=S.CAL!$BJ$3,AR21=S.CAL!$BJ$4),(VLOOKUP($AM$5,base_nbre_sem_mensu,2,FALSE)&lt;52)),AM21,IF(AND(AT21&lt;&gt;"",AU21=""),AT21,AU21)))))))))))))</f>
        <v>0</v>
      </c>
      <c r="AQ21" s="1378">
        <f t="shared" si="60"/>
        <v>0</v>
      </c>
      <c r="AR21" s="1098"/>
      <c r="AS21" s="1374"/>
      <c r="AT21" s="1101"/>
      <c r="AU21" s="975"/>
      <c r="AV21" s="1370">
        <f t="shared" si="39"/>
        <v>46032</v>
      </c>
      <c r="AW21" s="1374"/>
      <c r="AX21" s="511">
        <f t="shared" si="61"/>
        <v>46032</v>
      </c>
      <c r="AY21" s="523">
        <f t="shared" si="74"/>
        <v>0</v>
      </c>
      <c r="AZ21" s="520" t="s">
        <v>137</v>
      </c>
      <c r="BA21" s="516">
        <f t="shared" si="75"/>
        <v>0</v>
      </c>
      <c r="BB21" s="549" t="str">
        <f t="shared" si="42"/>
        <v/>
      </c>
      <c r="BC21" s="523">
        <f t="shared" si="62"/>
        <v>0</v>
      </c>
      <c r="BD21" s="523">
        <f t="shared" si="63"/>
        <v>0</v>
      </c>
      <c r="BE21" s="1104"/>
      <c r="BF21" s="514" t="str">
        <f t="shared" si="43"/>
        <v/>
      </c>
      <c r="BG21" s="514" t="str">
        <f t="shared" si="64"/>
        <v>oui</v>
      </c>
      <c r="BH21" s="377" t="str">
        <f t="shared" si="44"/>
        <v/>
      </c>
      <c r="BI21" s="24" t="str">
        <f t="shared" si="45"/>
        <v/>
      </c>
      <c r="BJ21" s="1382"/>
      <c r="BK21" s="1382"/>
      <c r="BL21" s="1382"/>
      <c r="BM21" s="1382"/>
      <c r="BN21" s="1382"/>
      <c r="BO21" s="1382"/>
      <c r="BP21" s="1382"/>
      <c r="BQ21" s="1382"/>
      <c r="BR21" s="1383"/>
      <c r="BS21" s="1370">
        <f t="shared" si="10"/>
        <v>46032</v>
      </c>
      <c r="BT21" s="1384" t="str">
        <f t="shared" si="73"/>
        <v/>
      </c>
      <c r="BU21" s="1382"/>
      <c r="BV21" s="1382"/>
      <c r="BW21" s="1382"/>
      <c r="BX21" s="1382"/>
      <c r="BY21" s="1382"/>
      <c r="BZ21" s="1382"/>
      <c r="CA21" s="1382"/>
      <c r="CB21" s="1382"/>
      <c r="CD21" s="1386">
        <f t="shared" si="65"/>
        <v>0</v>
      </c>
      <c r="DC21" s="16" t="str">
        <f>Janvier!FC29</f>
        <v>non</v>
      </c>
      <c r="DG21" s="315">
        <f t="shared" si="66"/>
        <v>1</v>
      </c>
      <c r="DH21" s="129">
        <f t="shared" si="46"/>
        <v>10</v>
      </c>
      <c r="DI21" s="129">
        <f t="shared" si="67"/>
        <v>1</v>
      </c>
      <c r="DK21" s="16">
        <f>+IF(AND(Janvier!$DP$8&lt;&gt;52,AR21=S.CAL!$BJ$4),10,1)</f>
        <v>1</v>
      </c>
      <c r="DN21" s="16">
        <f t="shared" si="47"/>
        <v>1</v>
      </c>
      <c r="DU21" s="1274" t="str">
        <f t="shared" si="68"/>
        <v>Fiche infoA646032</v>
      </c>
      <c r="DV21" s="1362">
        <f t="shared" si="48"/>
        <v>0</v>
      </c>
      <c r="DW21" s="1363">
        <f t="shared" si="49"/>
        <v>0</v>
      </c>
      <c r="DX21" s="1363">
        <f t="shared" si="50"/>
        <v>0</v>
      </c>
      <c r="DY21" s="1363">
        <f t="shared" si="51"/>
        <v>0</v>
      </c>
      <c r="DZ21" s="1363">
        <f t="shared" si="52"/>
        <v>0</v>
      </c>
      <c r="EA21" s="1363">
        <f t="shared" si="53"/>
        <v>0</v>
      </c>
      <c r="EB21" s="1363">
        <f t="shared" si="54"/>
        <v>0</v>
      </c>
      <c r="EC21" s="1363">
        <f t="shared" si="55"/>
        <v>0</v>
      </c>
      <c r="ED21" s="1363">
        <f t="shared" si="69"/>
        <v>0</v>
      </c>
      <c r="EE21" s="1364">
        <f t="shared" si="70"/>
        <v>0</v>
      </c>
      <c r="EG21" s="16" t="str">
        <f t="shared" si="71"/>
        <v>22026</v>
      </c>
      <c r="EH21" s="16" t="str">
        <f t="shared" si="56"/>
        <v>Fiche infoA6</v>
      </c>
      <c r="EI21" s="16" t="str">
        <f t="shared" si="57"/>
        <v/>
      </c>
    </row>
    <row r="22" spans="1:139" x14ac:dyDescent="0.2">
      <c r="A22" s="24" t="str">
        <f>Janvier!BJ30</f>
        <v>Fiche infoA7</v>
      </c>
      <c r="B22" s="811">
        <f>Janvier!AB30</f>
        <v>46033</v>
      </c>
      <c r="C22" s="1371" t="str">
        <f t="shared" si="72"/>
        <v/>
      </c>
      <c r="D22" s="981">
        <f t="shared" si="11"/>
        <v>0</v>
      </c>
      <c r="E22" s="434">
        <f t="shared" si="12"/>
        <v>0</v>
      </c>
      <c r="F22" s="434">
        <f t="shared" si="13"/>
        <v>0</v>
      </c>
      <c r="G22" s="434">
        <f t="shared" si="14"/>
        <v>0</v>
      </c>
      <c r="H22" s="434">
        <f t="shared" si="15"/>
        <v>0</v>
      </c>
      <c r="I22" s="434">
        <f t="shared" si="16"/>
        <v>0</v>
      </c>
      <c r="J22" s="434">
        <f t="shared" si="17"/>
        <v>0</v>
      </c>
      <c r="K22" s="434">
        <f t="shared" si="18"/>
        <v>0</v>
      </c>
      <c r="L22" s="434">
        <f t="shared" si="58"/>
        <v>0</v>
      </c>
      <c r="M22" s="982">
        <f t="shared" si="59"/>
        <v>0</v>
      </c>
      <c r="O22" s="981">
        <f t="shared" si="76"/>
        <v>0</v>
      </c>
      <c r="P22" s="434">
        <f t="shared" si="77"/>
        <v>0</v>
      </c>
      <c r="Q22" s="434">
        <f t="shared" si="78"/>
        <v>0</v>
      </c>
      <c r="R22" s="434">
        <f t="shared" si="79"/>
        <v>0</v>
      </c>
      <c r="S22" s="434">
        <f t="shared" si="80"/>
        <v>0</v>
      </c>
      <c r="T22" s="434">
        <f t="shared" si="81"/>
        <v>0</v>
      </c>
      <c r="U22" s="434">
        <f t="shared" si="82"/>
        <v>0</v>
      </c>
      <c r="V22" s="434">
        <f t="shared" si="83"/>
        <v>0</v>
      </c>
      <c r="W22" s="434">
        <f t="shared" si="27"/>
        <v>0</v>
      </c>
      <c r="X22" s="982">
        <f t="shared" si="28"/>
        <v>0</v>
      </c>
      <c r="Y22" s="441"/>
      <c r="Z22" s="277">
        <f t="shared" si="29"/>
        <v>0</v>
      </c>
      <c r="AA22" s="277">
        <f t="shared" si="30"/>
        <v>0</v>
      </c>
      <c r="AB22" s="277">
        <f t="shared" si="31"/>
        <v>0</v>
      </c>
      <c r="AC22" s="277">
        <f t="shared" si="32"/>
        <v>0</v>
      </c>
      <c r="AD22" s="277">
        <f t="shared" si="33"/>
        <v>0</v>
      </c>
      <c r="AE22" s="277">
        <f t="shared" si="34"/>
        <v>0</v>
      </c>
      <c r="AF22" s="277">
        <f t="shared" si="35"/>
        <v>0</v>
      </c>
      <c r="AG22" s="277">
        <f t="shared" si="36"/>
        <v>0</v>
      </c>
      <c r="AI22" s="444">
        <f t="shared" si="84"/>
        <v>0</v>
      </c>
      <c r="AJ22" s="1090"/>
      <c r="AK22" s="489"/>
      <c r="AL22" s="811">
        <f t="shared" si="38"/>
        <v>46033</v>
      </c>
      <c r="AM22" s="666">
        <f>IFERROR(IF(AND(AT22="",AR22&lt;&gt;S.CAL!$BJ$3,AR22&lt;&gt;S.CAL!$BJ$4,$AR$5="NON"),M22-BD22,IF(AND(AT22="",AR22&lt;&gt;S.CAL!$BJ$3,AR22&lt;&gt;S.CAL!$BJ$4,$AR$5="OUI"),X22-AI22,IF(AT22&lt;&gt;0,AT22,IF(OR(AR22=S.CAL!$BJ$3,AR22=S.CAL!$BJ$4),AR22,"")))),"")</f>
        <v>0</v>
      </c>
      <c r="AN22" s="1093"/>
      <c r="AO22" s="1094"/>
      <c r="AP22" s="666">
        <f>+IF(AND(AU22="",BB22="OUI",BH22="non",BI22="OUI"),AM22,IF(AND(AU22="",BB22="OUI",BH22="oui",BI22="NON"),AM22,IF(AND(AU22="",BB22="NON",BH22="oui",BI22="NON"),M22,IF(AND(AU22="",BB22="NON",BH22="non",BI22="OUI"),M22,IF(AND(AU22="",BB22="OUI",BH22="non",BI22="NON"),"ERREUR",IF(AND(AU22="",BB22="NON",BH22="non",BI22="NON"),AM22,IF(AND(AU22="",BB22="OUI",BH22="",BI22=""),AM22,IF(AND(AU22="",BB22="NON",BH22="",BI22="",AZ22="NON"),M22,IF(AND(AU22="",BH22="",AZ22="OUI",AR22=""),AM22,IF(AND(AU22="",BH22="",AZ22="NON",AR22="",AT22=""),M22,IF(AND(OR(AR22=S.CAL!$BJ$3,AR22=S.CAL!$BJ$4),(VLOOKUP($AM$5,base_nbre_sem_mensu,2,FALSE)=52)),EE22,IF(AND(OR(AR22=S.CAL!$BJ$3,AR22=S.CAL!$BJ$4),(VLOOKUP($AM$5,base_nbre_sem_mensu,2,FALSE)&lt;52)),AM22,IF(AND(AT22&lt;&gt;"",AU22=""),AT22,AU22)))))))))))))</f>
        <v>0</v>
      </c>
      <c r="AQ22" s="498">
        <f t="shared" si="60"/>
        <v>0</v>
      </c>
      <c r="AR22" s="1098"/>
      <c r="AT22" s="1101"/>
      <c r="AU22" s="975"/>
      <c r="AV22" s="1370">
        <f t="shared" si="39"/>
        <v>46033</v>
      </c>
      <c r="AX22" s="511">
        <f t="shared" si="61"/>
        <v>46033</v>
      </c>
      <c r="AY22" s="523">
        <f t="shared" si="74"/>
        <v>0</v>
      </c>
      <c r="AZ22" s="520" t="s">
        <v>137</v>
      </c>
      <c r="BA22" s="516">
        <f t="shared" si="75"/>
        <v>0</v>
      </c>
      <c r="BB22" s="549" t="str">
        <f t="shared" si="42"/>
        <v/>
      </c>
      <c r="BC22" s="523">
        <f t="shared" si="62"/>
        <v>0</v>
      </c>
      <c r="BD22" s="523">
        <f t="shared" si="63"/>
        <v>0</v>
      </c>
      <c r="BE22" s="1104"/>
      <c r="BF22" s="514" t="str">
        <f t="shared" si="43"/>
        <v/>
      </c>
      <c r="BG22" s="514" t="str">
        <f t="shared" si="64"/>
        <v>oui</v>
      </c>
      <c r="BH22" s="377" t="str">
        <f t="shared" si="44"/>
        <v/>
      </c>
      <c r="BI22" s="24" t="str">
        <f t="shared" si="45"/>
        <v/>
      </c>
      <c r="BJ22" s="1381"/>
      <c r="BK22" s="1381"/>
      <c r="BL22" s="1381"/>
      <c r="BM22" s="1381"/>
      <c r="BN22" s="1381"/>
      <c r="BO22" s="1381"/>
      <c r="BP22" s="1381"/>
      <c r="BQ22" s="1381"/>
      <c r="BS22" s="1370">
        <f t="shared" si="10"/>
        <v>46033</v>
      </c>
      <c r="BT22" s="27" t="str">
        <f t="shared" si="73"/>
        <v/>
      </c>
      <c r="BU22" s="1380"/>
      <c r="BV22" s="1380"/>
      <c r="BW22" s="1380"/>
      <c r="BX22" s="1380"/>
      <c r="BY22" s="1380"/>
      <c r="BZ22" s="1380"/>
      <c r="CA22" s="1380"/>
      <c r="CB22" s="1380"/>
      <c r="CD22" s="1386">
        <f t="shared" si="65"/>
        <v>0</v>
      </c>
      <c r="DC22" s="16" t="str">
        <f>Janvier!FC30</f>
        <v>non</v>
      </c>
      <c r="DG22" s="315">
        <f t="shared" si="66"/>
        <v>1</v>
      </c>
      <c r="DH22" s="129">
        <f t="shared" si="46"/>
        <v>10</v>
      </c>
      <c r="DI22" s="129">
        <f t="shared" si="67"/>
        <v>1</v>
      </c>
      <c r="DK22" s="16">
        <f>+IF(AND(Janvier!$DP$8&lt;&gt;52,AR22=S.CAL!$BJ$4),10,1)</f>
        <v>1</v>
      </c>
      <c r="DN22" s="16">
        <f t="shared" si="47"/>
        <v>1</v>
      </c>
      <c r="DU22" s="1274" t="str">
        <f t="shared" si="68"/>
        <v>Fiche infoA746033</v>
      </c>
      <c r="DV22" s="1362">
        <f t="shared" si="48"/>
        <v>0</v>
      </c>
      <c r="DW22" s="1363">
        <f t="shared" si="49"/>
        <v>0</v>
      </c>
      <c r="DX22" s="1363">
        <f t="shared" si="50"/>
        <v>0</v>
      </c>
      <c r="DY22" s="1363">
        <f t="shared" si="51"/>
        <v>0</v>
      </c>
      <c r="DZ22" s="1363">
        <f t="shared" si="52"/>
        <v>0</v>
      </c>
      <c r="EA22" s="1363">
        <f t="shared" si="53"/>
        <v>0</v>
      </c>
      <c r="EB22" s="1363">
        <f t="shared" si="54"/>
        <v>0</v>
      </c>
      <c r="EC22" s="1363">
        <f t="shared" si="55"/>
        <v>0</v>
      </c>
      <c r="ED22" s="1363">
        <f t="shared" si="69"/>
        <v>0</v>
      </c>
      <c r="EE22" s="1364">
        <f t="shared" si="70"/>
        <v>0</v>
      </c>
      <c r="EG22" s="16" t="str">
        <f t="shared" si="71"/>
        <v>22026</v>
      </c>
      <c r="EH22" s="16" t="str">
        <f t="shared" si="56"/>
        <v>Fiche infoA7</v>
      </c>
      <c r="EI22" s="16" t="str">
        <f t="shared" si="57"/>
        <v/>
      </c>
    </row>
    <row r="23" spans="1:139" x14ac:dyDescent="0.2">
      <c r="A23" s="1373" t="str">
        <f>Janvier!BJ31</f>
        <v>Fiche infoA1</v>
      </c>
      <c r="B23" s="811">
        <f>Janvier!AB31</f>
        <v>46034</v>
      </c>
      <c r="C23" s="1372">
        <f t="shared" si="72"/>
        <v>3</v>
      </c>
      <c r="D23" s="981">
        <f t="shared" si="11"/>
        <v>0</v>
      </c>
      <c r="E23" s="434">
        <f t="shared" si="12"/>
        <v>0</v>
      </c>
      <c r="F23" s="434">
        <f t="shared" si="13"/>
        <v>0</v>
      </c>
      <c r="G23" s="434">
        <f t="shared" si="14"/>
        <v>0</v>
      </c>
      <c r="H23" s="434">
        <f t="shared" si="15"/>
        <v>0</v>
      </c>
      <c r="I23" s="434">
        <f t="shared" si="16"/>
        <v>0</v>
      </c>
      <c r="J23" s="434">
        <f t="shared" si="17"/>
        <v>0</v>
      </c>
      <c r="K23" s="434">
        <f t="shared" si="18"/>
        <v>0</v>
      </c>
      <c r="L23" s="434">
        <f t="shared" si="58"/>
        <v>0</v>
      </c>
      <c r="M23" s="982">
        <f t="shared" si="59"/>
        <v>0</v>
      </c>
      <c r="N23" s="1374"/>
      <c r="O23" s="981">
        <f t="shared" si="76"/>
        <v>0</v>
      </c>
      <c r="P23" s="434">
        <f t="shared" si="77"/>
        <v>0</v>
      </c>
      <c r="Q23" s="434">
        <f t="shared" si="78"/>
        <v>0</v>
      </c>
      <c r="R23" s="434">
        <f t="shared" si="79"/>
        <v>0</v>
      </c>
      <c r="S23" s="434">
        <f t="shared" si="80"/>
        <v>0</v>
      </c>
      <c r="T23" s="434">
        <f t="shared" si="81"/>
        <v>0</v>
      </c>
      <c r="U23" s="434">
        <f t="shared" si="82"/>
        <v>0</v>
      </c>
      <c r="V23" s="434">
        <f t="shared" si="83"/>
        <v>0</v>
      </c>
      <c r="W23" s="434">
        <f t="shared" si="27"/>
        <v>0</v>
      </c>
      <c r="X23" s="982">
        <f t="shared" si="28"/>
        <v>0</v>
      </c>
      <c r="Y23" s="1375"/>
      <c r="Z23" s="1376">
        <f t="shared" si="29"/>
        <v>0</v>
      </c>
      <c r="AA23" s="1376">
        <f t="shared" si="30"/>
        <v>0</v>
      </c>
      <c r="AB23" s="1376">
        <f t="shared" si="31"/>
        <v>0</v>
      </c>
      <c r="AC23" s="1376">
        <f t="shared" si="32"/>
        <v>0</v>
      </c>
      <c r="AD23" s="1376">
        <f t="shared" si="33"/>
        <v>0</v>
      </c>
      <c r="AE23" s="1376">
        <f t="shared" si="34"/>
        <v>0</v>
      </c>
      <c r="AF23" s="1376">
        <f t="shared" si="35"/>
        <v>0</v>
      </c>
      <c r="AG23" s="1376">
        <f t="shared" si="36"/>
        <v>0</v>
      </c>
      <c r="AH23" s="1374"/>
      <c r="AI23" s="444">
        <f t="shared" si="84"/>
        <v>0</v>
      </c>
      <c r="AJ23" s="1090"/>
      <c r="AK23" s="1377"/>
      <c r="AL23" s="811">
        <f t="shared" si="38"/>
        <v>46034</v>
      </c>
      <c r="AM23" s="666">
        <f>IFERROR(IF(AND(AT23="",AR23&lt;&gt;S.CAL!$BJ$3,AR23&lt;&gt;S.CAL!$BJ$4,$AR$5="NON"),M23-BD23,IF(AND(AT23="",AR23&lt;&gt;S.CAL!$BJ$3,AR23&lt;&gt;S.CAL!$BJ$4,$AR$5="OUI"),X23-AI23,IF(AT23&lt;&gt;0,AT23,IF(OR(AR23=S.CAL!$BJ$3,AR23=S.CAL!$BJ$4),AR23,"")))),"")</f>
        <v>0</v>
      </c>
      <c r="AN23" s="1093"/>
      <c r="AO23" s="1094"/>
      <c r="AP23" s="666">
        <f>+IF(AND(AU23="",BB23="OUI",BH23="non",BI23="OUI"),AM23,IF(AND(AU23="",BB23="OUI",BH23="oui",BI23="NON"),AM23,IF(AND(AU23="",BB23="NON",BH23="oui",BI23="NON"),M23,IF(AND(AU23="",BB23="NON",BH23="non",BI23="OUI"),M23,IF(AND(AU23="",BB23="OUI",BH23="non",BI23="NON"),"ERREUR",IF(AND(AU23="",BB23="NON",BH23="non",BI23="NON"),AM23,IF(AND(AU23="",BB23="OUI",BH23="",BI23=""),AM23,IF(AND(AU23="",BB23="NON",BH23="",BI23="",AZ23="NON"),M23,IF(AND(AU23="",BH23="",AZ23="OUI",AR23=""),AM23,IF(AND(AU23="",BH23="",AZ23="NON",AR23="",AT23=""),M23,IF(AND(OR(AR23=S.CAL!$BJ$3,AR23=S.CAL!$BJ$4),(VLOOKUP($AM$5,base_nbre_sem_mensu,2,FALSE)=52)),EE23,IF(AND(OR(AR23=S.CAL!$BJ$3,AR23=S.CAL!$BJ$4),(VLOOKUP($AM$5,base_nbre_sem_mensu,2,FALSE)&lt;52)),AM23,IF(AND(AT23&lt;&gt;"",AU23=""),AT23,AU23)))))))))))))</f>
        <v>0</v>
      </c>
      <c r="AQ23" s="1378">
        <f t="shared" si="60"/>
        <v>0</v>
      </c>
      <c r="AR23" s="1098"/>
      <c r="AS23" s="1374"/>
      <c r="AT23" s="1101"/>
      <c r="AU23" s="975"/>
      <c r="AV23" s="1370">
        <f t="shared" si="39"/>
        <v>46034</v>
      </c>
      <c r="AW23" s="1374"/>
      <c r="AX23" s="511">
        <f t="shared" si="61"/>
        <v>46034</v>
      </c>
      <c r="AY23" s="523">
        <f t="shared" si="74"/>
        <v>0</v>
      </c>
      <c r="AZ23" s="520" t="s">
        <v>137</v>
      </c>
      <c r="BA23" s="516">
        <f t="shared" si="75"/>
        <v>0</v>
      </c>
      <c r="BB23" s="549" t="str">
        <f t="shared" si="42"/>
        <v/>
      </c>
      <c r="BC23" s="523">
        <f t="shared" si="62"/>
        <v>0</v>
      </c>
      <c r="BD23" s="523">
        <f t="shared" si="63"/>
        <v>0</v>
      </c>
      <c r="BE23" s="1104"/>
      <c r="BF23" s="514" t="str">
        <f t="shared" si="43"/>
        <v/>
      </c>
      <c r="BG23" s="514" t="str">
        <f t="shared" si="64"/>
        <v>oui</v>
      </c>
      <c r="BH23" s="377" t="str">
        <f t="shared" si="44"/>
        <v/>
      </c>
      <c r="BI23" s="24" t="str">
        <f t="shared" si="45"/>
        <v/>
      </c>
      <c r="BJ23" s="1382"/>
      <c r="BK23" s="1382"/>
      <c r="BL23" s="1382"/>
      <c r="BM23" s="1382"/>
      <c r="BN23" s="1382"/>
      <c r="BO23" s="1382"/>
      <c r="BP23" s="1382"/>
      <c r="BQ23" s="1382"/>
      <c r="BR23" s="1383"/>
      <c r="BS23" s="1370">
        <f t="shared" si="10"/>
        <v>46034</v>
      </c>
      <c r="BT23" s="1384">
        <f t="shared" si="73"/>
        <v>3</v>
      </c>
      <c r="BU23" s="1382"/>
      <c r="BV23" s="1382"/>
      <c r="BW23" s="1382"/>
      <c r="BX23" s="1382"/>
      <c r="BY23" s="1382"/>
      <c r="BZ23" s="1382"/>
      <c r="CA23" s="1382"/>
      <c r="CB23" s="1382"/>
      <c r="CD23" s="1386">
        <f t="shared" si="65"/>
        <v>0</v>
      </c>
      <c r="DC23" s="16" t="str">
        <f>Janvier!FC31</f>
        <v>non</v>
      </c>
      <c r="DG23" s="315">
        <f t="shared" si="66"/>
        <v>1</v>
      </c>
      <c r="DH23" s="129">
        <f t="shared" si="46"/>
        <v>10</v>
      </c>
      <c r="DI23" s="129">
        <f t="shared" si="67"/>
        <v>1</v>
      </c>
      <c r="DK23" s="16">
        <f>+IF(AND(Janvier!$DP$8&lt;&gt;52,AR23=S.CAL!$BJ$4),10,1)</f>
        <v>1</v>
      </c>
      <c r="DN23" s="16">
        <f t="shared" si="47"/>
        <v>1</v>
      </c>
      <c r="DU23" s="1274" t="str">
        <f t="shared" si="68"/>
        <v>Fiche infoA146034</v>
      </c>
      <c r="DV23" s="1362">
        <f t="shared" si="48"/>
        <v>0</v>
      </c>
      <c r="DW23" s="1363">
        <f t="shared" si="49"/>
        <v>0</v>
      </c>
      <c r="DX23" s="1363">
        <f t="shared" si="50"/>
        <v>0</v>
      </c>
      <c r="DY23" s="1363">
        <f t="shared" si="51"/>
        <v>0</v>
      </c>
      <c r="DZ23" s="1363">
        <f t="shared" si="52"/>
        <v>0</v>
      </c>
      <c r="EA23" s="1363">
        <f t="shared" si="53"/>
        <v>0</v>
      </c>
      <c r="EB23" s="1363">
        <f t="shared" si="54"/>
        <v>0</v>
      </c>
      <c r="EC23" s="1363">
        <f t="shared" si="55"/>
        <v>0</v>
      </c>
      <c r="ED23" s="1363">
        <f t="shared" si="69"/>
        <v>0</v>
      </c>
      <c r="EE23" s="1364">
        <f t="shared" si="70"/>
        <v>0</v>
      </c>
      <c r="EG23" s="16" t="str">
        <f t="shared" si="71"/>
        <v>32026</v>
      </c>
      <c r="EH23" s="16" t="str">
        <f t="shared" si="56"/>
        <v>Fiche infoA1</v>
      </c>
      <c r="EI23" s="16" t="str">
        <f t="shared" si="57"/>
        <v/>
      </c>
    </row>
    <row r="24" spans="1:139" x14ac:dyDescent="0.2">
      <c r="A24" s="24" t="str">
        <f>Janvier!BJ32</f>
        <v>Fiche infoA2</v>
      </c>
      <c r="B24" s="811">
        <f>Janvier!AB32</f>
        <v>46035</v>
      </c>
      <c r="C24" s="1371" t="str">
        <f t="shared" si="72"/>
        <v/>
      </c>
      <c r="D24" s="981">
        <f t="shared" si="11"/>
        <v>0</v>
      </c>
      <c r="E24" s="434">
        <f t="shared" si="12"/>
        <v>0</v>
      </c>
      <c r="F24" s="434">
        <f t="shared" si="13"/>
        <v>0</v>
      </c>
      <c r="G24" s="434">
        <f t="shared" si="14"/>
        <v>0</v>
      </c>
      <c r="H24" s="434">
        <f t="shared" si="15"/>
        <v>0</v>
      </c>
      <c r="I24" s="434">
        <f t="shared" si="16"/>
        <v>0</v>
      </c>
      <c r="J24" s="434">
        <f t="shared" si="17"/>
        <v>0</v>
      </c>
      <c r="K24" s="434">
        <f t="shared" si="18"/>
        <v>0</v>
      </c>
      <c r="L24" s="434">
        <f t="shared" si="58"/>
        <v>0</v>
      </c>
      <c r="M24" s="982">
        <f t="shared" si="59"/>
        <v>0</v>
      </c>
      <c r="O24" s="981">
        <f t="shared" si="76"/>
        <v>0</v>
      </c>
      <c r="P24" s="434">
        <f t="shared" si="77"/>
        <v>0</v>
      </c>
      <c r="Q24" s="434">
        <f t="shared" si="78"/>
        <v>0</v>
      </c>
      <c r="R24" s="434">
        <f t="shared" si="79"/>
        <v>0</v>
      </c>
      <c r="S24" s="434">
        <f t="shared" si="80"/>
        <v>0</v>
      </c>
      <c r="T24" s="434">
        <f t="shared" si="81"/>
        <v>0</v>
      </c>
      <c r="U24" s="434">
        <f t="shared" si="82"/>
        <v>0</v>
      </c>
      <c r="V24" s="434">
        <f t="shared" si="83"/>
        <v>0</v>
      </c>
      <c r="W24" s="434">
        <f t="shared" si="27"/>
        <v>0</v>
      </c>
      <c r="X24" s="982">
        <f t="shared" si="28"/>
        <v>0</v>
      </c>
      <c r="Y24" s="441"/>
      <c r="Z24" s="277">
        <f t="shared" si="29"/>
        <v>0</v>
      </c>
      <c r="AA24" s="277">
        <f t="shared" si="30"/>
        <v>0</v>
      </c>
      <c r="AB24" s="277">
        <f t="shared" si="31"/>
        <v>0</v>
      </c>
      <c r="AC24" s="277">
        <f t="shared" si="32"/>
        <v>0</v>
      </c>
      <c r="AD24" s="277">
        <f t="shared" si="33"/>
        <v>0</v>
      </c>
      <c r="AE24" s="277">
        <f t="shared" si="34"/>
        <v>0</v>
      </c>
      <c r="AF24" s="277">
        <f t="shared" si="35"/>
        <v>0</v>
      </c>
      <c r="AG24" s="277">
        <f t="shared" si="36"/>
        <v>0</v>
      </c>
      <c r="AI24" s="444">
        <f t="shared" si="84"/>
        <v>0</v>
      </c>
      <c r="AJ24" s="1090"/>
      <c r="AK24" s="489"/>
      <c r="AL24" s="811">
        <f t="shared" si="38"/>
        <v>46035</v>
      </c>
      <c r="AM24" s="666">
        <f>IFERROR(IF(AND(AT24="",AR24&lt;&gt;S.CAL!$BJ$3,AR24&lt;&gt;S.CAL!$BJ$4,$AR$5="NON"),M24-BD24,IF(AND(AT24="",AR24&lt;&gt;S.CAL!$BJ$3,AR24&lt;&gt;S.CAL!$BJ$4,$AR$5="OUI"),X24-AI24,IF(AT24&lt;&gt;0,AT24,IF(OR(AR24=S.CAL!$BJ$3,AR24=S.CAL!$BJ$4),AR24,"")))),"")</f>
        <v>0</v>
      </c>
      <c r="AN24" s="1093"/>
      <c r="AO24" s="1094"/>
      <c r="AP24" s="666">
        <f>+IF(AND(AU24="",BB24="OUI",BH24="non",BI24="OUI"),AM24,IF(AND(AU24="",BB24="OUI",BH24="oui",BI24="NON"),AM24,IF(AND(AU24="",BB24="NON",BH24="oui",BI24="NON"),M24,IF(AND(AU24="",BB24="NON",BH24="non",BI24="OUI"),M24,IF(AND(AU24="",BB24="OUI",BH24="non",BI24="NON"),"ERREUR",IF(AND(AU24="",BB24="NON",BH24="non",BI24="NON"),AM24,IF(AND(AU24="",BB24="OUI",BH24="",BI24=""),AM24,IF(AND(AU24="",BB24="NON",BH24="",BI24="",AZ24="NON"),M24,IF(AND(AU24="",BH24="",AZ24="OUI",AR24=""),AM24,IF(AND(AU24="",BH24="",AZ24="NON",AR24="",AT24=""),M24,IF(AND(OR(AR24=S.CAL!$BJ$3,AR24=S.CAL!$BJ$4),(VLOOKUP($AM$5,base_nbre_sem_mensu,2,FALSE)=52)),EE24,IF(AND(OR(AR24=S.CAL!$BJ$3,AR24=S.CAL!$BJ$4),(VLOOKUP($AM$5,base_nbre_sem_mensu,2,FALSE)&lt;52)),AM24,IF(AND(AT24&lt;&gt;"",AU24=""),AT24,AU24)))))))))))))</f>
        <v>0</v>
      </c>
      <c r="AQ24" s="498">
        <f t="shared" si="60"/>
        <v>0</v>
      </c>
      <c r="AR24" s="1098"/>
      <c r="AT24" s="1101"/>
      <c r="AU24" s="975"/>
      <c r="AV24" s="1370">
        <f t="shared" si="39"/>
        <v>46035</v>
      </c>
      <c r="AX24" s="511">
        <f t="shared" si="61"/>
        <v>46035</v>
      </c>
      <c r="AY24" s="523">
        <f t="shared" si="74"/>
        <v>0</v>
      </c>
      <c r="AZ24" s="520" t="s">
        <v>137</v>
      </c>
      <c r="BA24" s="516">
        <f t="shared" si="75"/>
        <v>0</v>
      </c>
      <c r="BB24" s="549" t="str">
        <f t="shared" si="42"/>
        <v/>
      </c>
      <c r="BC24" s="523">
        <f t="shared" si="62"/>
        <v>0</v>
      </c>
      <c r="BD24" s="523">
        <f t="shared" si="63"/>
        <v>0</v>
      </c>
      <c r="BE24" s="1104"/>
      <c r="BF24" s="514" t="str">
        <f t="shared" si="43"/>
        <v/>
      </c>
      <c r="BG24" s="514" t="str">
        <f t="shared" si="64"/>
        <v>oui</v>
      </c>
      <c r="BH24" s="377" t="str">
        <f t="shared" si="44"/>
        <v/>
      </c>
      <c r="BI24" s="24" t="str">
        <f t="shared" si="45"/>
        <v/>
      </c>
      <c r="BJ24" s="1381"/>
      <c r="BK24" s="1381"/>
      <c r="BL24" s="1381"/>
      <c r="BM24" s="1381"/>
      <c r="BN24" s="1381"/>
      <c r="BO24" s="1381"/>
      <c r="BP24" s="1381"/>
      <c r="BQ24" s="1381"/>
      <c r="BS24" s="1370">
        <f t="shared" si="10"/>
        <v>46035</v>
      </c>
      <c r="BT24" s="27" t="str">
        <f t="shared" si="73"/>
        <v/>
      </c>
      <c r="BU24" s="1380"/>
      <c r="BV24" s="1380"/>
      <c r="BW24" s="1380"/>
      <c r="BX24" s="1380"/>
      <c r="BY24" s="1380"/>
      <c r="BZ24" s="1380"/>
      <c r="CA24" s="1380"/>
      <c r="CB24" s="1380"/>
      <c r="CD24" s="1386">
        <f t="shared" si="65"/>
        <v>0</v>
      </c>
      <c r="DC24" s="16" t="str">
        <f>Janvier!FC32</f>
        <v>non</v>
      </c>
      <c r="DG24" s="315">
        <f t="shared" si="66"/>
        <v>1</v>
      </c>
      <c r="DH24" s="129">
        <f t="shared" si="46"/>
        <v>10</v>
      </c>
      <c r="DI24" s="129">
        <f t="shared" si="67"/>
        <v>1</v>
      </c>
      <c r="DK24" s="16">
        <f>+IF(AND(Janvier!$DP$8&lt;&gt;52,AR24=S.CAL!$BJ$4),10,1)</f>
        <v>1</v>
      </c>
      <c r="DN24" s="16">
        <f t="shared" si="47"/>
        <v>1</v>
      </c>
      <c r="DU24" s="1274" t="str">
        <f t="shared" si="68"/>
        <v>Fiche infoA246035</v>
      </c>
      <c r="DV24" s="1362">
        <f t="shared" si="48"/>
        <v>0</v>
      </c>
      <c r="DW24" s="1363">
        <f t="shared" si="49"/>
        <v>0</v>
      </c>
      <c r="DX24" s="1363">
        <f t="shared" si="50"/>
        <v>0</v>
      </c>
      <c r="DY24" s="1363">
        <f t="shared" si="51"/>
        <v>0</v>
      </c>
      <c r="DZ24" s="1363">
        <f t="shared" si="52"/>
        <v>0</v>
      </c>
      <c r="EA24" s="1363">
        <f t="shared" si="53"/>
        <v>0</v>
      </c>
      <c r="EB24" s="1363">
        <f t="shared" si="54"/>
        <v>0</v>
      </c>
      <c r="EC24" s="1363">
        <f t="shared" si="55"/>
        <v>0</v>
      </c>
      <c r="ED24" s="1363">
        <f t="shared" si="69"/>
        <v>0</v>
      </c>
      <c r="EE24" s="1364">
        <f t="shared" si="70"/>
        <v>0</v>
      </c>
      <c r="EG24" s="16" t="str">
        <f t="shared" si="71"/>
        <v>32026</v>
      </c>
      <c r="EH24" s="16" t="str">
        <f t="shared" si="56"/>
        <v>Fiche infoA2</v>
      </c>
      <c r="EI24" s="16" t="str">
        <f t="shared" si="57"/>
        <v/>
      </c>
    </row>
    <row r="25" spans="1:139" x14ac:dyDescent="0.2">
      <c r="A25" s="1373" t="str">
        <f>Janvier!BJ33</f>
        <v>Fiche infoA3</v>
      </c>
      <c r="B25" s="811">
        <f>Janvier!AB33</f>
        <v>46036</v>
      </c>
      <c r="C25" s="1372" t="str">
        <f t="shared" si="72"/>
        <v/>
      </c>
      <c r="D25" s="981">
        <f t="shared" si="11"/>
        <v>0</v>
      </c>
      <c r="E25" s="434">
        <f t="shared" si="12"/>
        <v>0</v>
      </c>
      <c r="F25" s="434">
        <f t="shared" si="13"/>
        <v>0</v>
      </c>
      <c r="G25" s="434">
        <f t="shared" si="14"/>
        <v>0</v>
      </c>
      <c r="H25" s="434">
        <f t="shared" si="15"/>
        <v>0</v>
      </c>
      <c r="I25" s="434">
        <f t="shared" si="16"/>
        <v>0</v>
      </c>
      <c r="J25" s="434">
        <f t="shared" si="17"/>
        <v>0</v>
      </c>
      <c r="K25" s="434">
        <f t="shared" si="18"/>
        <v>0</v>
      </c>
      <c r="L25" s="434">
        <f t="shared" si="58"/>
        <v>0</v>
      </c>
      <c r="M25" s="982">
        <f t="shared" si="59"/>
        <v>0</v>
      </c>
      <c r="N25" s="1374"/>
      <c r="O25" s="981">
        <f t="shared" si="76"/>
        <v>0</v>
      </c>
      <c r="P25" s="434">
        <f t="shared" si="77"/>
        <v>0</v>
      </c>
      <c r="Q25" s="434">
        <f t="shared" si="78"/>
        <v>0</v>
      </c>
      <c r="R25" s="434">
        <f t="shared" si="79"/>
        <v>0</v>
      </c>
      <c r="S25" s="434">
        <f t="shared" si="80"/>
        <v>0</v>
      </c>
      <c r="T25" s="434">
        <f t="shared" si="81"/>
        <v>0</v>
      </c>
      <c r="U25" s="434">
        <f t="shared" si="82"/>
        <v>0</v>
      </c>
      <c r="V25" s="434">
        <f t="shared" si="83"/>
        <v>0</v>
      </c>
      <c r="W25" s="434">
        <f t="shared" si="27"/>
        <v>0</v>
      </c>
      <c r="X25" s="982">
        <f t="shared" si="28"/>
        <v>0</v>
      </c>
      <c r="Y25" s="1375"/>
      <c r="Z25" s="1376">
        <f t="shared" si="29"/>
        <v>0</v>
      </c>
      <c r="AA25" s="1376">
        <f t="shared" si="30"/>
        <v>0</v>
      </c>
      <c r="AB25" s="1376">
        <f t="shared" si="31"/>
        <v>0</v>
      </c>
      <c r="AC25" s="1376">
        <f t="shared" si="32"/>
        <v>0</v>
      </c>
      <c r="AD25" s="1376">
        <f t="shared" si="33"/>
        <v>0</v>
      </c>
      <c r="AE25" s="1376">
        <f t="shared" si="34"/>
        <v>0</v>
      </c>
      <c r="AF25" s="1376">
        <f t="shared" si="35"/>
        <v>0</v>
      </c>
      <c r="AG25" s="1376">
        <f t="shared" si="36"/>
        <v>0</v>
      </c>
      <c r="AH25" s="1374"/>
      <c r="AI25" s="444">
        <f t="shared" si="84"/>
        <v>0</v>
      </c>
      <c r="AJ25" s="1090"/>
      <c r="AK25" s="1377"/>
      <c r="AL25" s="811">
        <f t="shared" si="38"/>
        <v>46036</v>
      </c>
      <c r="AM25" s="666">
        <f>IFERROR(IF(AND(AT25="",AR25&lt;&gt;S.CAL!$BJ$3,AR25&lt;&gt;S.CAL!$BJ$4,$AR$5="NON"),M25-BD25,IF(AND(AT25="",AR25&lt;&gt;S.CAL!$BJ$3,AR25&lt;&gt;S.CAL!$BJ$4,$AR$5="OUI"),X25-AI25,IF(AT25&lt;&gt;0,AT25,IF(OR(AR25=S.CAL!$BJ$3,AR25=S.CAL!$BJ$4),AR25,"")))),"")</f>
        <v>0</v>
      </c>
      <c r="AN25" s="1093"/>
      <c r="AO25" s="1094"/>
      <c r="AP25" s="666">
        <f>+IF(AND(AU25="",BB25="OUI",BH25="non",BI25="OUI"),AM25,IF(AND(AU25="",BB25="OUI",BH25="oui",BI25="NON"),AM25,IF(AND(AU25="",BB25="NON",BH25="oui",BI25="NON"),M25,IF(AND(AU25="",BB25="NON",BH25="non",BI25="OUI"),M25,IF(AND(AU25="",BB25="OUI",BH25="non",BI25="NON"),"ERREUR",IF(AND(AU25="",BB25="NON",BH25="non",BI25="NON"),AM25,IF(AND(AU25="",BB25="OUI",BH25="",BI25=""),AM25,IF(AND(AU25="",BB25="NON",BH25="",BI25="",AZ25="NON"),M25,IF(AND(AU25="",BH25="",AZ25="OUI",AR25=""),AM25,IF(AND(AU25="",BH25="",AZ25="NON",AR25="",AT25=""),M25,IF(AND(OR(AR25=S.CAL!$BJ$3,AR25=S.CAL!$BJ$4),(VLOOKUP($AM$5,base_nbre_sem_mensu,2,FALSE)=52)),EE25,IF(AND(OR(AR25=S.CAL!$BJ$3,AR25=S.CAL!$BJ$4),(VLOOKUP($AM$5,base_nbre_sem_mensu,2,FALSE)&lt;52)),AM25,IF(AND(AT25&lt;&gt;"",AU25=""),AT25,AU25)))))))))))))</f>
        <v>0</v>
      </c>
      <c r="AQ25" s="1378">
        <f t="shared" si="60"/>
        <v>0</v>
      </c>
      <c r="AR25" s="1098"/>
      <c r="AS25" s="1374"/>
      <c r="AT25" s="1101"/>
      <c r="AU25" s="975"/>
      <c r="AV25" s="1370">
        <f t="shared" si="39"/>
        <v>46036</v>
      </c>
      <c r="AW25" s="1374"/>
      <c r="AX25" s="511">
        <f t="shared" si="61"/>
        <v>46036</v>
      </c>
      <c r="AY25" s="523">
        <f t="shared" si="74"/>
        <v>0</v>
      </c>
      <c r="AZ25" s="520" t="s">
        <v>137</v>
      </c>
      <c r="BA25" s="516">
        <f t="shared" si="75"/>
        <v>0</v>
      </c>
      <c r="BB25" s="549" t="str">
        <f t="shared" si="42"/>
        <v/>
      </c>
      <c r="BC25" s="523">
        <f t="shared" si="62"/>
        <v>0</v>
      </c>
      <c r="BD25" s="523">
        <f t="shared" si="63"/>
        <v>0</v>
      </c>
      <c r="BE25" s="1104"/>
      <c r="BF25" s="514" t="str">
        <f t="shared" si="43"/>
        <v/>
      </c>
      <c r="BG25" s="514" t="str">
        <f t="shared" si="64"/>
        <v>oui</v>
      </c>
      <c r="BH25" s="377" t="str">
        <f t="shared" si="44"/>
        <v/>
      </c>
      <c r="BI25" s="24" t="str">
        <f t="shared" si="45"/>
        <v/>
      </c>
      <c r="BJ25" s="1382"/>
      <c r="BK25" s="1382"/>
      <c r="BL25" s="1382"/>
      <c r="BM25" s="1382"/>
      <c r="BN25" s="1382"/>
      <c r="BO25" s="1382"/>
      <c r="BP25" s="1382"/>
      <c r="BQ25" s="1382"/>
      <c r="BR25" s="1383"/>
      <c r="BS25" s="1370">
        <f t="shared" si="10"/>
        <v>46036</v>
      </c>
      <c r="BT25" s="1384" t="str">
        <f t="shared" si="73"/>
        <v/>
      </c>
      <c r="BU25" s="1382"/>
      <c r="BV25" s="1382"/>
      <c r="BW25" s="1382"/>
      <c r="BX25" s="1382"/>
      <c r="BY25" s="1382"/>
      <c r="BZ25" s="1382"/>
      <c r="CA25" s="1382"/>
      <c r="CB25" s="1382"/>
      <c r="CD25" s="1386">
        <f t="shared" si="65"/>
        <v>0</v>
      </c>
      <c r="DC25" s="16" t="str">
        <f>Janvier!FC33</f>
        <v>non</v>
      </c>
      <c r="DG25" s="315">
        <f t="shared" si="66"/>
        <v>1</v>
      </c>
      <c r="DH25" s="129">
        <f t="shared" si="46"/>
        <v>10</v>
      </c>
      <c r="DI25" s="129">
        <f t="shared" si="67"/>
        <v>1</v>
      </c>
      <c r="DK25" s="16">
        <f>+IF(AND(Janvier!$DP$8&lt;&gt;52,AR25=S.CAL!$BJ$4),10,1)</f>
        <v>1</v>
      </c>
      <c r="DN25" s="16">
        <f t="shared" si="47"/>
        <v>1</v>
      </c>
      <c r="DU25" s="1274" t="str">
        <f t="shared" si="68"/>
        <v>Fiche infoA346036</v>
      </c>
      <c r="DV25" s="1362">
        <f t="shared" si="48"/>
        <v>0</v>
      </c>
      <c r="DW25" s="1363">
        <f t="shared" si="49"/>
        <v>0</v>
      </c>
      <c r="DX25" s="1363">
        <f t="shared" si="50"/>
        <v>0</v>
      </c>
      <c r="DY25" s="1363">
        <f t="shared" si="51"/>
        <v>0</v>
      </c>
      <c r="DZ25" s="1363">
        <f t="shared" si="52"/>
        <v>0</v>
      </c>
      <c r="EA25" s="1363">
        <f t="shared" si="53"/>
        <v>0</v>
      </c>
      <c r="EB25" s="1363">
        <f t="shared" si="54"/>
        <v>0</v>
      </c>
      <c r="EC25" s="1363">
        <f t="shared" si="55"/>
        <v>0</v>
      </c>
      <c r="ED25" s="1363">
        <f t="shared" si="69"/>
        <v>0</v>
      </c>
      <c r="EE25" s="1364">
        <f t="shared" si="70"/>
        <v>0</v>
      </c>
      <c r="EG25" s="16" t="str">
        <f t="shared" si="71"/>
        <v>32026</v>
      </c>
      <c r="EH25" s="16" t="str">
        <f t="shared" si="56"/>
        <v>Fiche infoA3</v>
      </c>
      <c r="EI25" s="16" t="str">
        <f t="shared" si="57"/>
        <v/>
      </c>
    </row>
    <row r="26" spans="1:139" x14ac:dyDescent="0.2">
      <c r="A26" s="24" t="str">
        <f>Janvier!BJ34</f>
        <v>Fiche infoA4</v>
      </c>
      <c r="B26" s="811">
        <f>Janvier!AB34</f>
        <v>46037</v>
      </c>
      <c r="C26" s="1371" t="str">
        <f t="shared" si="72"/>
        <v/>
      </c>
      <c r="D26" s="981">
        <f t="shared" si="11"/>
        <v>0</v>
      </c>
      <c r="E26" s="434">
        <f t="shared" si="12"/>
        <v>0</v>
      </c>
      <c r="F26" s="434">
        <f t="shared" si="13"/>
        <v>0</v>
      </c>
      <c r="G26" s="434">
        <f t="shared" si="14"/>
        <v>0</v>
      </c>
      <c r="H26" s="434">
        <f t="shared" si="15"/>
        <v>0</v>
      </c>
      <c r="I26" s="434">
        <f t="shared" si="16"/>
        <v>0</v>
      </c>
      <c r="J26" s="434">
        <f t="shared" si="17"/>
        <v>0</v>
      </c>
      <c r="K26" s="434">
        <f t="shared" si="18"/>
        <v>0</v>
      </c>
      <c r="L26" s="434">
        <f t="shared" si="58"/>
        <v>0</v>
      </c>
      <c r="M26" s="982">
        <f t="shared" si="59"/>
        <v>0</v>
      </c>
      <c r="O26" s="981">
        <f t="shared" si="76"/>
        <v>0</v>
      </c>
      <c r="P26" s="434">
        <f t="shared" si="77"/>
        <v>0</v>
      </c>
      <c r="Q26" s="434">
        <f t="shared" si="78"/>
        <v>0</v>
      </c>
      <c r="R26" s="434">
        <f t="shared" si="79"/>
        <v>0</v>
      </c>
      <c r="S26" s="434">
        <f t="shared" si="80"/>
        <v>0</v>
      </c>
      <c r="T26" s="434">
        <f t="shared" si="81"/>
        <v>0</v>
      </c>
      <c r="U26" s="434">
        <f t="shared" si="82"/>
        <v>0</v>
      </c>
      <c r="V26" s="434">
        <f t="shared" si="83"/>
        <v>0</v>
      </c>
      <c r="W26" s="434">
        <f t="shared" si="27"/>
        <v>0</v>
      </c>
      <c r="X26" s="982">
        <f t="shared" si="28"/>
        <v>0</v>
      </c>
      <c r="Y26" s="441"/>
      <c r="Z26" s="277">
        <f t="shared" si="29"/>
        <v>0</v>
      </c>
      <c r="AA26" s="277">
        <f t="shared" si="30"/>
        <v>0</v>
      </c>
      <c r="AB26" s="277">
        <f t="shared" si="31"/>
        <v>0</v>
      </c>
      <c r="AC26" s="277">
        <f t="shared" si="32"/>
        <v>0</v>
      </c>
      <c r="AD26" s="277">
        <f t="shared" si="33"/>
        <v>0</v>
      </c>
      <c r="AE26" s="277">
        <f t="shared" si="34"/>
        <v>0</v>
      </c>
      <c r="AF26" s="277">
        <f t="shared" si="35"/>
        <v>0</v>
      </c>
      <c r="AG26" s="277">
        <f t="shared" si="36"/>
        <v>0</v>
      </c>
      <c r="AI26" s="444">
        <f t="shared" si="84"/>
        <v>0</v>
      </c>
      <c r="AJ26" s="1090"/>
      <c r="AK26" s="489"/>
      <c r="AL26" s="811">
        <f t="shared" si="38"/>
        <v>46037</v>
      </c>
      <c r="AM26" s="666">
        <f>IFERROR(IF(AND(AT26="",AR26&lt;&gt;S.CAL!$BJ$3,AR26&lt;&gt;S.CAL!$BJ$4,$AR$5="NON"),M26-BD26,IF(AND(AT26="",AR26&lt;&gt;S.CAL!$BJ$3,AR26&lt;&gt;S.CAL!$BJ$4,$AR$5="OUI"),X26-AI26,IF(AT26&lt;&gt;0,AT26,IF(OR(AR26=S.CAL!$BJ$3,AR26=S.CAL!$BJ$4),AR26,"")))),"")</f>
        <v>0</v>
      </c>
      <c r="AN26" s="1093"/>
      <c r="AO26" s="1094"/>
      <c r="AP26" s="666">
        <f>+IF(AND(AU26="",BB26="OUI",BH26="non",BI26="OUI"),AM26,IF(AND(AU26="",BB26="OUI",BH26="oui",BI26="NON"),AM26,IF(AND(AU26="",BB26="NON",BH26="oui",BI26="NON"),M26,IF(AND(AU26="",BB26="NON",BH26="non",BI26="OUI"),M26,IF(AND(AU26="",BB26="OUI",BH26="non",BI26="NON"),"ERREUR",IF(AND(AU26="",BB26="NON",BH26="non",BI26="NON"),AM26,IF(AND(AU26="",BB26="OUI",BH26="",BI26=""),AM26,IF(AND(AU26="",BB26="NON",BH26="",BI26="",AZ26="NON"),M26,IF(AND(AU26="",BH26="",AZ26="OUI",AR26=""),AM26,IF(AND(AU26="",BH26="",AZ26="NON",AR26="",AT26=""),M26,IF(AND(OR(AR26=S.CAL!$BJ$3,AR26=S.CAL!$BJ$4),(VLOOKUP($AM$5,base_nbre_sem_mensu,2,FALSE)=52)),EE26,IF(AND(OR(AR26=S.CAL!$BJ$3,AR26=S.CAL!$BJ$4),(VLOOKUP($AM$5,base_nbre_sem_mensu,2,FALSE)&lt;52)),AM26,IF(AND(AT26&lt;&gt;"",AU26=""),AT26,AU26)))))))))))))</f>
        <v>0</v>
      </c>
      <c r="AQ26" s="498">
        <f t="shared" si="60"/>
        <v>0</v>
      </c>
      <c r="AR26" s="1098"/>
      <c r="AT26" s="1101"/>
      <c r="AU26" s="975"/>
      <c r="AV26" s="1370">
        <f t="shared" si="39"/>
        <v>46037</v>
      </c>
      <c r="AX26" s="511">
        <f t="shared" si="61"/>
        <v>46037</v>
      </c>
      <c r="AY26" s="523">
        <f t="shared" si="74"/>
        <v>0</v>
      </c>
      <c r="AZ26" s="520" t="s">
        <v>137</v>
      </c>
      <c r="BA26" s="516">
        <f t="shared" si="75"/>
        <v>0</v>
      </c>
      <c r="BB26" s="549" t="str">
        <f t="shared" si="42"/>
        <v/>
      </c>
      <c r="BC26" s="523">
        <f t="shared" si="62"/>
        <v>0</v>
      </c>
      <c r="BD26" s="523">
        <f t="shared" si="63"/>
        <v>0</v>
      </c>
      <c r="BE26" s="1104"/>
      <c r="BF26" s="514" t="str">
        <f t="shared" si="43"/>
        <v/>
      </c>
      <c r="BG26" s="514" t="str">
        <f t="shared" si="64"/>
        <v>oui</v>
      </c>
      <c r="BH26" s="377" t="str">
        <f t="shared" si="44"/>
        <v/>
      </c>
      <c r="BI26" s="24" t="str">
        <f t="shared" si="45"/>
        <v/>
      </c>
      <c r="BJ26" s="1381"/>
      <c r="BK26" s="1381"/>
      <c r="BL26" s="1381"/>
      <c r="BM26" s="1381"/>
      <c r="BN26" s="1381"/>
      <c r="BO26" s="1381"/>
      <c r="BP26" s="1381"/>
      <c r="BQ26" s="1381"/>
      <c r="BS26" s="1370">
        <f t="shared" si="10"/>
        <v>46037</v>
      </c>
      <c r="BT26" s="27" t="str">
        <f t="shared" si="73"/>
        <v/>
      </c>
      <c r="BU26" s="1380"/>
      <c r="BV26" s="1380"/>
      <c r="BW26" s="1380"/>
      <c r="BX26" s="1380"/>
      <c r="BY26" s="1380"/>
      <c r="BZ26" s="1380"/>
      <c r="CA26" s="1380"/>
      <c r="CB26" s="1380"/>
      <c r="CD26" s="1386">
        <f t="shared" si="65"/>
        <v>0</v>
      </c>
      <c r="DC26" s="16" t="str">
        <f>Janvier!FC34</f>
        <v>non</v>
      </c>
      <c r="DG26" s="315">
        <f t="shared" si="66"/>
        <v>1</v>
      </c>
      <c r="DH26" s="129">
        <f t="shared" si="46"/>
        <v>10</v>
      </c>
      <c r="DI26" s="129">
        <f t="shared" si="67"/>
        <v>1</v>
      </c>
      <c r="DK26" s="16">
        <f>+IF(AND(Janvier!$DP$8&lt;&gt;52,AR26=S.CAL!$BJ$4),10,1)</f>
        <v>1</v>
      </c>
      <c r="DN26" s="16">
        <f t="shared" si="47"/>
        <v>1</v>
      </c>
      <c r="DU26" s="1274" t="str">
        <f t="shared" si="68"/>
        <v>Fiche infoA446037</v>
      </c>
      <c r="DV26" s="1362">
        <f t="shared" si="48"/>
        <v>0</v>
      </c>
      <c r="DW26" s="1363">
        <f t="shared" si="49"/>
        <v>0</v>
      </c>
      <c r="DX26" s="1363">
        <f t="shared" si="50"/>
        <v>0</v>
      </c>
      <c r="DY26" s="1363">
        <f t="shared" si="51"/>
        <v>0</v>
      </c>
      <c r="DZ26" s="1363">
        <f t="shared" si="52"/>
        <v>0</v>
      </c>
      <c r="EA26" s="1363">
        <f t="shared" si="53"/>
        <v>0</v>
      </c>
      <c r="EB26" s="1363">
        <f t="shared" si="54"/>
        <v>0</v>
      </c>
      <c r="EC26" s="1363">
        <f t="shared" si="55"/>
        <v>0</v>
      </c>
      <c r="ED26" s="1363">
        <f t="shared" si="69"/>
        <v>0</v>
      </c>
      <c r="EE26" s="1364">
        <f t="shared" si="70"/>
        <v>0</v>
      </c>
      <c r="EG26" s="16" t="str">
        <f t="shared" si="71"/>
        <v>32026</v>
      </c>
      <c r="EH26" s="16" t="str">
        <f t="shared" si="56"/>
        <v>Fiche infoA4</v>
      </c>
      <c r="EI26" s="16" t="str">
        <f t="shared" si="57"/>
        <v/>
      </c>
    </row>
    <row r="27" spans="1:139" x14ac:dyDescent="0.2">
      <c r="A27" s="1373" t="str">
        <f>Janvier!BJ35</f>
        <v>Fiche infoA5</v>
      </c>
      <c r="B27" s="811">
        <f>Janvier!AB35</f>
        <v>46038</v>
      </c>
      <c r="C27" s="1372" t="str">
        <f t="shared" si="72"/>
        <v/>
      </c>
      <c r="D27" s="981">
        <f t="shared" si="11"/>
        <v>0</v>
      </c>
      <c r="E27" s="434">
        <f t="shared" si="12"/>
        <v>0</v>
      </c>
      <c r="F27" s="434">
        <f t="shared" si="13"/>
        <v>0</v>
      </c>
      <c r="G27" s="434">
        <f t="shared" si="14"/>
        <v>0</v>
      </c>
      <c r="H27" s="434">
        <f t="shared" si="15"/>
        <v>0</v>
      </c>
      <c r="I27" s="434">
        <f t="shared" si="16"/>
        <v>0</v>
      </c>
      <c r="J27" s="434">
        <f t="shared" si="17"/>
        <v>0</v>
      </c>
      <c r="K27" s="434">
        <f t="shared" si="18"/>
        <v>0</v>
      </c>
      <c r="L27" s="434">
        <f t="shared" si="58"/>
        <v>0</v>
      </c>
      <c r="M27" s="982">
        <f t="shared" si="59"/>
        <v>0</v>
      </c>
      <c r="N27" s="1374"/>
      <c r="O27" s="981">
        <f t="shared" si="76"/>
        <v>0</v>
      </c>
      <c r="P27" s="434">
        <f t="shared" si="77"/>
        <v>0</v>
      </c>
      <c r="Q27" s="434">
        <f t="shared" si="78"/>
        <v>0</v>
      </c>
      <c r="R27" s="434">
        <f t="shared" si="79"/>
        <v>0</v>
      </c>
      <c r="S27" s="434">
        <f t="shared" si="80"/>
        <v>0</v>
      </c>
      <c r="T27" s="434">
        <f t="shared" si="81"/>
        <v>0</v>
      </c>
      <c r="U27" s="434">
        <f t="shared" si="82"/>
        <v>0</v>
      </c>
      <c r="V27" s="434">
        <f t="shared" si="83"/>
        <v>0</v>
      </c>
      <c r="W27" s="434">
        <f t="shared" si="27"/>
        <v>0</v>
      </c>
      <c r="X27" s="982">
        <f t="shared" si="28"/>
        <v>0</v>
      </c>
      <c r="Y27" s="1375"/>
      <c r="Z27" s="1376">
        <f t="shared" si="29"/>
        <v>0</v>
      </c>
      <c r="AA27" s="1376">
        <f t="shared" si="30"/>
        <v>0</v>
      </c>
      <c r="AB27" s="1376">
        <f t="shared" si="31"/>
        <v>0</v>
      </c>
      <c r="AC27" s="1376">
        <f t="shared" si="32"/>
        <v>0</v>
      </c>
      <c r="AD27" s="1376">
        <f t="shared" si="33"/>
        <v>0</v>
      </c>
      <c r="AE27" s="1376">
        <f t="shared" si="34"/>
        <v>0</v>
      </c>
      <c r="AF27" s="1376">
        <f t="shared" si="35"/>
        <v>0</v>
      </c>
      <c r="AG27" s="1376">
        <f t="shared" si="36"/>
        <v>0</v>
      </c>
      <c r="AH27" s="1374"/>
      <c r="AI27" s="444">
        <f t="shared" si="84"/>
        <v>0</v>
      </c>
      <c r="AJ27" s="1090"/>
      <c r="AK27" s="1377"/>
      <c r="AL27" s="811">
        <f t="shared" si="38"/>
        <v>46038</v>
      </c>
      <c r="AM27" s="666">
        <f>IFERROR(IF(AND(AT27="",AR27&lt;&gt;S.CAL!$BJ$3,AR27&lt;&gt;S.CAL!$BJ$4,$AR$5="NON"),M27-BD27,IF(AND(AT27="",AR27&lt;&gt;S.CAL!$BJ$3,AR27&lt;&gt;S.CAL!$BJ$4,$AR$5="OUI"),X27-AI27,IF(AT27&lt;&gt;0,AT27,IF(OR(AR27=S.CAL!$BJ$3,AR27=S.CAL!$BJ$4),AR27,"")))),"")</f>
        <v>0</v>
      </c>
      <c r="AN27" s="1093"/>
      <c r="AO27" s="1094"/>
      <c r="AP27" s="666">
        <f>+IF(AND(AU27="",BB27="OUI",BH27="non",BI27="OUI"),AM27,IF(AND(AU27="",BB27="OUI",BH27="oui",BI27="NON"),AM27,IF(AND(AU27="",BB27="NON",BH27="oui",BI27="NON"),M27,IF(AND(AU27="",BB27="NON",BH27="non",BI27="OUI"),M27,IF(AND(AU27="",BB27="OUI",BH27="non",BI27="NON"),"ERREUR",IF(AND(AU27="",BB27="NON",BH27="non",BI27="NON"),AM27,IF(AND(AU27="",BB27="OUI",BH27="",BI27=""),AM27,IF(AND(AU27="",BB27="NON",BH27="",BI27="",AZ27="NON"),M27,IF(AND(AU27="",BH27="",AZ27="OUI",AR27=""),AM27,IF(AND(AU27="",BH27="",AZ27="NON",AR27="",AT27=""),M27,IF(AND(OR(AR27=S.CAL!$BJ$3,AR27=S.CAL!$BJ$4),(VLOOKUP($AM$5,base_nbre_sem_mensu,2,FALSE)=52)),EE27,IF(AND(OR(AR27=S.CAL!$BJ$3,AR27=S.CAL!$BJ$4),(VLOOKUP($AM$5,base_nbre_sem_mensu,2,FALSE)&lt;52)),AM27,IF(AND(AT27&lt;&gt;"",AU27=""),AT27,AU27)))))))))))))</f>
        <v>0</v>
      </c>
      <c r="AQ27" s="1378">
        <f t="shared" si="60"/>
        <v>0</v>
      </c>
      <c r="AR27" s="1098"/>
      <c r="AS27" s="1374"/>
      <c r="AT27" s="1101"/>
      <c r="AU27" s="975"/>
      <c r="AV27" s="1370">
        <f t="shared" si="39"/>
        <v>46038</v>
      </c>
      <c r="AW27" s="1374"/>
      <c r="AX27" s="511">
        <f t="shared" si="61"/>
        <v>46038</v>
      </c>
      <c r="AY27" s="523">
        <f t="shared" si="74"/>
        <v>0</v>
      </c>
      <c r="AZ27" s="520" t="s">
        <v>137</v>
      </c>
      <c r="BA27" s="516">
        <f t="shared" si="75"/>
        <v>0</v>
      </c>
      <c r="BB27" s="549" t="str">
        <f t="shared" si="42"/>
        <v/>
      </c>
      <c r="BC27" s="523">
        <f t="shared" si="62"/>
        <v>0</v>
      </c>
      <c r="BD27" s="523">
        <f t="shared" si="63"/>
        <v>0</v>
      </c>
      <c r="BE27" s="1104"/>
      <c r="BF27" s="514" t="str">
        <f t="shared" si="43"/>
        <v/>
      </c>
      <c r="BG27" s="514" t="str">
        <f t="shared" si="64"/>
        <v>oui</v>
      </c>
      <c r="BH27" s="377" t="str">
        <f t="shared" si="44"/>
        <v/>
      </c>
      <c r="BI27" s="24" t="str">
        <f t="shared" si="45"/>
        <v/>
      </c>
      <c r="BJ27" s="1382"/>
      <c r="BK27" s="1382"/>
      <c r="BL27" s="1382"/>
      <c r="BM27" s="1382"/>
      <c r="BN27" s="1382"/>
      <c r="BO27" s="1382"/>
      <c r="BP27" s="1382"/>
      <c r="BQ27" s="1382"/>
      <c r="BR27" s="1383"/>
      <c r="BS27" s="1370">
        <f t="shared" si="10"/>
        <v>46038</v>
      </c>
      <c r="BT27" s="1384" t="str">
        <f t="shared" si="73"/>
        <v/>
      </c>
      <c r="BU27" s="1382"/>
      <c r="BV27" s="1382"/>
      <c r="BW27" s="1382"/>
      <c r="BX27" s="1382"/>
      <c r="BY27" s="1382"/>
      <c r="BZ27" s="1382"/>
      <c r="CA27" s="1382"/>
      <c r="CB27" s="1382"/>
      <c r="CD27" s="1386">
        <f t="shared" si="65"/>
        <v>0</v>
      </c>
      <c r="DC27" s="16" t="str">
        <f>Janvier!FC35</f>
        <v>non</v>
      </c>
      <c r="DG27" s="315">
        <f t="shared" si="66"/>
        <v>1</v>
      </c>
      <c r="DH27" s="129">
        <f t="shared" si="46"/>
        <v>10</v>
      </c>
      <c r="DI27" s="129">
        <f t="shared" si="67"/>
        <v>1</v>
      </c>
      <c r="DK27" s="16">
        <f>+IF(AND(Janvier!$DP$8&lt;&gt;52,AR27=S.CAL!$BJ$4),10,1)</f>
        <v>1</v>
      </c>
      <c r="DN27" s="16">
        <f t="shared" si="47"/>
        <v>1</v>
      </c>
      <c r="DU27" s="1274" t="str">
        <f t="shared" si="68"/>
        <v>Fiche infoA546038</v>
      </c>
      <c r="DV27" s="1362">
        <f t="shared" si="48"/>
        <v>0</v>
      </c>
      <c r="DW27" s="1363">
        <f t="shared" si="49"/>
        <v>0</v>
      </c>
      <c r="DX27" s="1363">
        <f t="shared" si="50"/>
        <v>0</v>
      </c>
      <c r="DY27" s="1363">
        <f t="shared" si="51"/>
        <v>0</v>
      </c>
      <c r="DZ27" s="1363">
        <f t="shared" si="52"/>
        <v>0</v>
      </c>
      <c r="EA27" s="1363">
        <f t="shared" si="53"/>
        <v>0</v>
      </c>
      <c r="EB27" s="1363">
        <f t="shared" si="54"/>
        <v>0</v>
      </c>
      <c r="EC27" s="1363">
        <f t="shared" si="55"/>
        <v>0</v>
      </c>
      <c r="ED27" s="1363">
        <f t="shared" si="69"/>
        <v>0</v>
      </c>
      <c r="EE27" s="1364">
        <f t="shared" si="70"/>
        <v>0</v>
      </c>
      <c r="EG27" s="16" t="str">
        <f t="shared" si="71"/>
        <v>32026</v>
      </c>
      <c r="EH27" s="16" t="str">
        <f t="shared" si="56"/>
        <v>Fiche infoA5</v>
      </c>
      <c r="EI27" s="16" t="str">
        <f t="shared" si="57"/>
        <v/>
      </c>
    </row>
    <row r="28" spans="1:139" x14ac:dyDescent="0.2">
      <c r="A28" s="24" t="str">
        <f>Janvier!BJ36</f>
        <v>Fiche infoA6</v>
      </c>
      <c r="B28" s="811">
        <f>Janvier!AB36</f>
        <v>46039</v>
      </c>
      <c r="C28" s="1371" t="str">
        <f t="shared" si="72"/>
        <v/>
      </c>
      <c r="D28" s="981">
        <f t="shared" si="11"/>
        <v>0</v>
      </c>
      <c r="E28" s="434">
        <f t="shared" si="12"/>
        <v>0</v>
      </c>
      <c r="F28" s="434">
        <f t="shared" si="13"/>
        <v>0</v>
      </c>
      <c r="G28" s="434">
        <f t="shared" si="14"/>
        <v>0</v>
      </c>
      <c r="H28" s="434">
        <f t="shared" si="15"/>
        <v>0</v>
      </c>
      <c r="I28" s="434">
        <f t="shared" si="16"/>
        <v>0</v>
      </c>
      <c r="J28" s="434">
        <f t="shared" si="17"/>
        <v>0</v>
      </c>
      <c r="K28" s="434">
        <f t="shared" si="18"/>
        <v>0</v>
      </c>
      <c r="L28" s="434">
        <f t="shared" si="58"/>
        <v>0</v>
      </c>
      <c r="M28" s="982">
        <f t="shared" si="59"/>
        <v>0</v>
      </c>
      <c r="O28" s="981">
        <f t="shared" si="76"/>
        <v>0</v>
      </c>
      <c r="P28" s="434">
        <f t="shared" si="77"/>
        <v>0</v>
      </c>
      <c r="Q28" s="434">
        <f t="shared" si="78"/>
        <v>0</v>
      </c>
      <c r="R28" s="434">
        <f t="shared" si="79"/>
        <v>0</v>
      </c>
      <c r="S28" s="434">
        <f t="shared" si="80"/>
        <v>0</v>
      </c>
      <c r="T28" s="434">
        <f t="shared" si="81"/>
        <v>0</v>
      </c>
      <c r="U28" s="434">
        <f t="shared" si="82"/>
        <v>0</v>
      </c>
      <c r="V28" s="434">
        <f t="shared" si="83"/>
        <v>0</v>
      </c>
      <c r="W28" s="434">
        <f t="shared" si="27"/>
        <v>0</v>
      </c>
      <c r="X28" s="982">
        <f t="shared" si="28"/>
        <v>0</v>
      </c>
      <c r="Y28" s="441"/>
      <c r="Z28" s="277">
        <f t="shared" si="29"/>
        <v>0</v>
      </c>
      <c r="AA28" s="277">
        <f t="shared" si="30"/>
        <v>0</v>
      </c>
      <c r="AB28" s="277">
        <f t="shared" si="31"/>
        <v>0</v>
      </c>
      <c r="AC28" s="277">
        <f t="shared" si="32"/>
        <v>0</v>
      </c>
      <c r="AD28" s="277">
        <f t="shared" si="33"/>
        <v>0</v>
      </c>
      <c r="AE28" s="277">
        <f t="shared" si="34"/>
        <v>0</v>
      </c>
      <c r="AF28" s="277">
        <f t="shared" si="35"/>
        <v>0</v>
      </c>
      <c r="AG28" s="277">
        <f t="shared" si="36"/>
        <v>0</v>
      </c>
      <c r="AI28" s="444">
        <f t="shared" si="84"/>
        <v>0</v>
      </c>
      <c r="AJ28" s="1090"/>
      <c r="AK28" s="489"/>
      <c r="AL28" s="811">
        <f t="shared" si="38"/>
        <v>46039</v>
      </c>
      <c r="AM28" s="666">
        <f>IFERROR(IF(AND(AT28="",AR28&lt;&gt;S.CAL!$BJ$3,AR28&lt;&gt;S.CAL!$BJ$4,$AR$5="NON"),M28-BD28,IF(AND(AT28="",AR28&lt;&gt;S.CAL!$BJ$3,AR28&lt;&gt;S.CAL!$BJ$4,$AR$5="OUI"),X28-AI28,IF(AT28&lt;&gt;0,AT28,IF(OR(AR28=S.CAL!$BJ$3,AR28=S.CAL!$BJ$4),AR28,"")))),"")</f>
        <v>0</v>
      </c>
      <c r="AN28" s="1093"/>
      <c r="AO28" s="1094"/>
      <c r="AP28" s="666">
        <f>+IF(AND(AU28="",BB28="OUI",BH28="non",BI28="OUI"),AM28,IF(AND(AU28="",BB28="OUI",BH28="oui",BI28="NON"),AM28,IF(AND(AU28="",BB28="NON",BH28="oui",BI28="NON"),M28,IF(AND(AU28="",BB28="NON",BH28="non",BI28="OUI"),M28,IF(AND(AU28="",BB28="OUI",BH28="non",BI28="NON"),"ERREUR",IF(AND(AU28="",BB28="NON",BH28="non",BI28="NON"),AM28,IF(AND(AU28="",BB28="OUI",BH28="",BI28=""),AM28,IF(AND(AU28="",BB28="NON",BH28="",BI28="",AZ28="NON"),M28,IF(AND(AU28="",BH28="",AZ28="OUI",AR28=""),AM28,IF(AND(AU28="",BH28="",AZ28="NON",AR28="",AT28=""),M28,IF(AND(OR(AR28=S.CAL!$BJ$3,AR28=S.CAL!$BJ$4),(VLOOKUP($AM$5,base_nbre_sem_mensu,2,FALSE)=52)),EE28,IF(AND(OR(AR28=S.CAL!$BJ$3,AR28=S.CAL!$BJ$4),(VLOOKUP($AM$5,base_nbre_sem_mensu,2,FALSE)&lt;52)),AM28,IF(AND(AT28&lt;&gt;"",AU28=""),AT28,AU28)))))))))))))</f>
        <v>0</v>
      </c>
      <c r="AQ28" s="498">
        <f t="shared" si="60"/>
        <v>0</v>
      </c>
      <c r="AR28" s="1098"/>
      <c r="AT28" s="1101"/>
      <c r="AU28" s="975"/>
      <c r="AV28" s="1370">
        <f t="shared" si="39"/>
        <v>46039</v>
      </c>
      <c r="AX28" s="511">
        <f t="shared" si="61"/>
        <v>46039</v>
      </c>
      <c r="AY28" s="523">
        <f t="shared" si="74"/>
        <v>0</v>
      </c>
      <c r="AZ28" s="520" t="s">
        <v>137</v>
      </c>
      <c r="BA28" s="516">
        <f t="shared" si="75"/>
        <v>0</v>
      </c>
      <c r="BB28" s="549" t="str">
        <f t="shared" si="42"/>
        <v/>
      </c>
      <c r="BC28" s="523">
        <f t="shared" si="62"/>
        <v>0</v>
      </c>
      <c r="BD28" s="523">
        <f t="shared" si="63"/>
        <v>0</v>
      </c>
      <c r="BE28" s="1104"/>
      <c r="BF28" s="514" t="str">
        <f t="shared" si="43"/>
        <v/>
      </c>
      <c r="BG28" s="514" t="str">
        <f t="shared" si="64"/>
        <v>oui</v>
      </c>
      <c r="BH28" s="377" t="str">
        <f t="shared" si="44"/>
        <v/>
      </c>
      <c r="BI28" s="24" t="str">
        <f t="shared" si="45"/>
        <v/>
      </c>
      <c r="BJ28" s="1381"/>
      <c r="BK28" s="1381"/>
      <c r="BL28" s="1381"/>
      <c r="BM28" s="1381"/>
      <c r="BN28" s="1381"/>
      <c r="BO28" s="1381"/>
      <c r="BP28" s="1381"/>
      <c r="BQ28" s="1381"/>
      <c r="BS28" s="1370">
        <f t="shared" si="10"/>
        <v>46039</v>
      </c>
      <c r="BT28" s="27" t="str">
        <f t="shared" si="73"/>
        <v/>
      </c>
      <c r="BU28" s="1380"/>
      <c r="BV28" s="1380"/>
      <c r="BW28" s="1380"/>
      <c r="BX28" s="1380"/>
      <c r="BY28" s="1380"/>
      <c r="BZ28" s="1380"/>
      <c r="CA28" s="1380"/>
      <c r="CB28" s="1380"/>
      <c r="CD28" s="1386">
        <f t="shared" si="65"/>
        <v>0</v>
      </c>
      <c r="DC28" s="16" t="str">
        <f>Janvier!FC36</f>
        <v>non</v>
      </c>
      <c r="DG28" s="315">
        <f t="shared" si="66"/>
        <v>1</v>
      </c>
      <c r="DH28" s="129">
        <f t="shared" si="46"/>
        <v>10</v>
      </c>
      <c r="DI28" s="129">
        <f t="shared" si="67"/>
        <v>1</v>
      </c>
      <c r="DK28" s="16">
        <f>+IF(AND(Janvier!$DP$8&lt;&gt;52,AR28=S.CAL!$BJ$4),10,1)</f>
        <v>1</v>
      </c>
      <c r="DN28" s="16">
        <f t="shared" si="47"/>
        <v>1</v>
      </c>
      <c r="DU28" s="1274" t="str">
        <f t="shared" si="68"/>
        <v>Fiche infoA646039</v>
      </c>
      <c r="DV28" s="1362">
        <f t="shared" si="48"/>
        <v>0</v>
      </c>
      <c r="DW28" s="1363">
        <f t="shared" si="49"/>
        <v>0</v>
      </c>
      <c r="DX28" s="1363">
        <f t="shared" si="50"/>
        <v>0</v>
      </c>
      <c r="DY28" s="1363">
        <f t="shared" si="51"/>
        <v>0</v>
      </c>
      <c r="DZ28" s="1363">
        <f t="shared" si="52"/>
        <v>0</v>
      </c>
      <c r="EA28" s="1363">
        <f t="shared" si="53"/>
        <v>0</v>
      </c>
      <c r="EB28" s="1363">
        <f t="shared" si="54"/>
        <v>0</v>
      </c>
      <c r="EC28" s="1363">
        <f t="shared" si="55"/>
        <v>0</v>
      </c>
      <c r="ED28" s="1363">
        <f t="shared" si="69"/>
        <v>0</v>
      </c>
      <c r="EE28" s="1364">
        <f t="shared" si="70"/>
        <v>0</v>
      </c>
      <c r="EG28" s="16" t="str">
        <f t="shared" si="71"/>
        <v>32026</v>
      </c>
      <c r="EH28" s="16" t="str">
        <f t="shared" si="56"/>
        <v>Fiche infoA6</v>
      </c>
      <c r="EI28" s="16" t="str">
        <f t="shared" si="57"/>
        <v/>
      </c>
    </row>
    <row r="29" spans="1:139" x14ac:dyDescent="0.2">
      <c r="A29" s="1373" t="str">
        <f>Janvier!BJ37</f>
        <v>Fiche infoA7</v>
      </c>
      <c r="B29" s="811">
        <f>Janvier!AB37</f>
        <v>46040</v>
      </c>
      <c r="C29" s="1372" t="str">
        <f t="shared" si="72"/>
        <v/>
      </c>
      <c r="D29" s="981">
        <f t="shared" si="11"/>
        <v>0</v>
      </c>
      <c r="E29" s="434">
        <f t="shared" si="12"/>
        <v>0</v>
      </c>
      <c r="F29" s="434">
        <f t="shared" si="13"/>
        <v>0</v>
      </c>
      <c r="G29" s="434">
        <f t="shared" si="14"/>
        <v>0</v>
      </c>
      <c r="H29" s="434">
        <f t="shared" si="15"/>
        <v>0</v>
      </c>
      <c r="I29" s="434">
        <f t="shared" si="16"/>
        <v>0</v>
      </c>
      <c r="J29" s="434">
        <f t="shared" si="17"/>
        <v>0</v>
      </c>
      <c r="K29" s="434">
        <f t="shared" si="18"/>
        <v>0</v>
      </c>
      <c r="L29" s="434">
        <f t="shared" si="58"/>
        <v>0</v>
      </c>
      <c r="M29" s="982">
        <f t="shared" si="59"/>
        <v>0</v>
      </c>
      <c r="N29" s="1374"/>
      <c r="O29" s="981">
        <f t="shared" si="76"/>
        <v>0</v>
      </c>
      <c r="P29" s="434">
        <f t="shared" si="77"/>
        <v>0</v>
      </c>
      <c r="Q29" s="434">
        <f t="shared" si="78"/>
        <v>0</v>
      </c>
      <c r="R29" s="434">
        <f t="shared" si="79"/>
        <v>0</v>
      </c>
      <c r="S29" s="434">
        <f t="shared" si="80"/>
        <v>0</v>
      </c>
      <c r="T29" s="434">
        <f t="shared" si="81"/>
        <v>0</v>
      </c>
      <c r="U29" s="434">
        <f t="shared" si="82"/>
        <v>0</v>
      </c>
      <c r="V29" s="434">
        <f t="shared" si="83"/>
        <v>0</v>
      </c>
      <c r="W29" s="434">
        <f t="shared" si="27"/>
        <v>0</v>
      </c>
      <c r="X29" s="982">
        <f t="shared" si="28"/>
        <v>0</v>
      </c>
      <c r="Y29" s="1375"/>
      <c r="Z29" s="1376">
        <f t="shared" si="29"/>
        <v>0</v>
      </c>
      <c r="AA29" s="1376">
        <f t="shared" si="30"/>
        <v>0</v>
      </c>
      <c r="AB29" s="1376">
        <f t="shared" si="31"/>
        <v>0</v>
      </c>
      <c r="AC29" s="1376">
        <f t="shared" si="32"/>
        <v>0</v>
      </c>
      <c r="AD29" s="1376">
        <f t="shared" si="33"/>
        <v>0</v>
      </c>
      <c r="AE29" s="1376">
        <f t="shared" si="34"/>
        <v>0</v>
      </c>
      <c r="AF29" s="1376">
        <f t="shared" si="35"/>
        <v>0</v>
      </c>
      <c r="AG29" s="1376">
        <f t="shared" si="36"/>
        <v>0</v>
      </c>
      <c r="AH29" s="1374"/>
      <c r="AI29" s="444">
        <f t="shared" si="84"/>
        <v>0</v>
      </c>
      <c r="AJ29" s="1090"/>
      <c r="AK29" s="1377"/>
      <c r="AL29" s="811">
        <f t="shared" si="38"/>
        <v>46040</v>
      </c>
      <c r="AM29" s="666">
        <f>IFERROR(IF(AND(AT29="",AR29&lt;&gt;S.CAL!$BJ$3,AR29&lt;&gt;S.CAL!$BJ$4,$AR$5="NON"),M29-BD29,IF(AND(AT29="",AR29&lt;&gt;S.CAL!$BJ$3,AR29&lt;&gt;S.CAL!$BJ$4,$AR$5="OUI"),X29-AI29,IF(AT29&lt;&gt;0,AT29,IF(OR(AR29=S.CAL!$BJ$3,AR29=S.CAL!$BJ$4),AR29,"")))),"")</f>
        <v>0</v>
      </c>
      <c r="AN29" s="1093"/>
      <c r="AO29" s="1094"/>
      <c r="AP29" s="666">
        <f>+IF(AND(AU29="",BB29="OUI",BH29="non",BI29="OUI"),AM29,IF(AND(AU29="",BB29="OUI",BH29="oui",BI29="NON"),AM29,IF(AND(AU29="",BB29="NON",BH29="oui",BI29="NON"),M29,IF(AND(AU29="",BB29="NON",BH29="non",BI29="OUI"),M29,IF(AND(AU29="",BB29="OUI",BH29="non",BI29="NON"),"ERREUR",IF(AND(AU29="",BB29="NON",BH29="non",BI29="NON"),AM29,IF(AND(AU29="",BB29="OUI",BH29="",BI29=""),AM29,IF(AND(AU29="",BB29="NON",BH29="",BI29="",AZ29="NON"),M29,IF(AND(AU29="",BH29="",AZ29="OUI",AR29=""),AM29,IF(AND(AU29="",BH29="",AZ29="NON",AR29="",AT29=""),M29,IF(AND(OR(AR29=S.CAL!$BJ$3,AR29=S.CAL!$BJ$4),(VLOOKUP($AM$5,base_nbre_sem_mensu,2,FALSE)=52)),EE29,IF(AND(OR(AR29=S.CAL!$BJ$3,AR29=S.CAL!$BJ$4),(VLOOKUP($AM$5,base_nbre_sem_mensu,2,FALSE)&lt;52)),AM29,IF(AND(AT29&lt;&gt;"",AU29=""),AT29,AU29)))))))))))))</f>
        <v>0</v>
      </c>
      <c r="AQ29" s="1378">
        <f t="shared" si="60"/>
        <v>0</v>
      </c>
      <c r="AR29" s="1098"/>
      <c r="AS29" s="1374"/>
      <c r="AT29" s="1101"/>
      <c r="AU29" s="975"/>
      <c r="AV29" s="1370">
        <f t="shared" si="39"/>
        <v>46040</v>
      </c>
      <c r="AW29" s="1374"/>
      <c r="AX29" s="511">
        <f t="shared" si="61"/>
        <v>46040</v>
      </c>
      <c r="AY29" s="523">
        <f t="shared" si="74"/>
        <v>0</v>
      </c>
      <c r="AZ29" s="520" t="s">
        <v>137</v>
      </c>
      <c r="BA29" s="516">
        <f t="shared" si="75"/>
        <v>0</v>
      </c>
      <c r="BB29" s="549" t="str">
        <f t="shared" si="42"/>
        <v/>
      </c>
      <c r="BC29" s="523">
        <f t="shared" si="62"/>
        <v>0</v>
      </c>
      <c r="BD29" s="523">
        <f t="shared" si="63"/>
        <v>0</v>
      </c>
      <c r="BE29" s="1104"/>
      <c r="BF29" s="514" t="str">
        <f t="shared" si="43"/>
        <v/>
      </c>
      <c r="BG29" s="514" t="str">
        <f t="shared" si="64"/>
        <v>oui</v>
      </c>
      <c r="BH29" s="377" t="str">
        <f t="shared" si="44"/>
        <v/>
      </c>
      <c r="BI29" s="24" t="str">
        <f t="shared" si="45"/>
        <v/>
      </c>
      <c r="BJ29" s="1382"/>
      <c r="BK29" s="1382"/>
      <c r="BL29" s="1382"/>
      <c r="BM29" s="1382"/>
      <c r="BN29" s="1382"/>
      <c r="BO29" s="1382"/>
      <c r="BP29" s="1382"/>
      <c r="BQ29" s="1382"/>
      <c r="BR29" s="1383"/>
      <c r="BS29" s="1370">
        <f t="shared" si="10"/>
        <v>46040</v>
      </c>
      <c r="BT29" s="1384" t="str">
        <f t="shared" si="73"/>
        <v/>
      </c>
      <c r="BU29" s="1382"/>
      <c r="BV29" s="1382"/>
      <c r="BW29" s="1382"/>
      <c r="BX29" s="1382"/>
      <c r="BY29" s="1382"/>
      <c r="BZ29" s="1382"/>
      <c r="CA29" s="1382"/>
      <c r="CB29" s="1382"/>
      <c r="CD29" s="1386">
        <f t="shared" si="65"/>
        <v>0</v>
      </c>
      <c r="DC29" s="16" t="str">
        <f>Janvier!FC37</f>
        <v>non</v>
      </c>
      <c r="DG29" s="315">
        <f t="shared" si="66"/>
        <v>1</v>
      </c>
      <c r="DH29" s="129">
        <f t="shared" si="46"/>
        <v>10</v>
      </c>
      <c r="DI29" s="129">
        <f t="shared" si="67"/>
        <v>1</v>
      </c>
      <c r="DK29" s="16">
        <f>+IF(AND(Janvier!$DP$8&lt;&gt;52,AR29=S.CAL!$BJ$4),10,1)</f>
        <v>1</v>
      </c>
      <c r="DN29" s="16">
        <f t="shared" si="47"/>
        <v>1</v>
      </c>
      <c r="DU29" s="1274" t="str">
        <f t="shared" si="68"/>
        <v>Fiche infoA746040</v>
      </c>
      <c r="DV29" s="1362">
        <f t="shared" si="48"/>
        <v>0</v>
      </c>
      <c r="DW29" s="1363">
        <f t="shared" si="49"/>
        <v>0</v>
      </c>
      <c r="DX29" s="1363">
        <f t="shared" si="50"/>
        <v>0</v>
      </c>
      <c r="DY29" s="1363">
        <f t="shared" si="51"/>
        <v>0</v>
      </c>
      <c r="DZ29" s="1363">
        <f t="shared" si="52"/>
        <v>0</v>
      </c>
      <c r="EA29" s="1363">
        <f t="shared" si="53"/>
        <v>0</v>
      </c>
      <c r="EB29" s="1363">
        <f t="shared" si="54"/>
        <v>0</v>
      </c>
      <c r="EC29" s="1363">
        <f t="shared" si="55"/>
        <v>0</v>
      </c>
      <c r="ED29" s="1363">
        <f t="shared" si="69"/>
        <v>0</v>
      </c>
      <c r="EE29" s="1364">
        <f t="shared" si="70"/>
        <v>0</v>
      </c>
      <c r="EG29" s="16" t="str">
        <f t="shared" si="71"/>
        <v>32026</v>
      </c>
      <c r="EH29" s="16" t="str">
        <f t="shared" si="56"/>
        <v>Fiche infoA7</v>
      </c>
      <c r="EI29" s="16" t="str">
        <f t="shared" si="57"/>
        <v/>
      </c>
    </row>
    <row r="30" spans="1:139" x14ac:dyDescent="0.2">
      <c r="A30" s="24" t="str">
        <f>Janvier!BJ38</f>
        <v>Fiche infoA1</v>
      </c>
      <c r="B30" s="811">
        <f>Janvier!AB38</f>
        <v>46041</v>
      </c>
      <c r="C30" s="1371">
        <f t="shared" si="72"/>
        <v>4</v>
      </c>
      <c r="D30" s="981">
        <f t="shared" si="11"/>
        <v>0</v>
      </c>
      <c r="E30" s="434">
        <f t="shared" si="12"/>
        <v>0</v>
      </c>
      <c r="F30" s="434">
        <f t="shared" si="13"/>
        <v>0</v>
      </c>
      <c r="G30" s="434">
        <f t="shared" si="14"/>
        <v>0</v>
      </c>
      <c r="H30" s="434">
        <f t="shared" si="15"/>
        <v>0</v>
      </c>
      <c r="I30" s="434">
        <f t="shared" si="16"/>
        <v>0</v>
      </c>
      <c r="J30" s="434">
        <f t="shared" si="17"/>
        <v>0</v>
      </c>
      <c r="K30" s="434">
        <f t="shared" si="18"/>
        <v>0</v>
      </c>
      <c r="L30" s="434">
        <f t="shared" si="58"/>
        <v>0</v>
      </c>
      <c r="M30" s="982">
        <f t="shared" si="59"/>
        <v>0</v>
      </c>
      <c r="O30" s="981">
        <f t="shared" si="76"/>
        <v>0</v>
      </c>
      <c r="P30" s="434">
        <f t="shared" si="77"/>
        <v>0</v>
      </c>
      <c r="Q30" s="434">
        <f t="shared" si="78"/>
        <v>0</v>
      </c>
      <c r="R30" s="434">
        <f t="shared" si="79"/>
        <v>0</v>
      </c>
      <c r="S30" s="434">
        <f t="shared" si="80"/>
        <v>0</v>
      </c>
      <c r="T30" s="434">
        <f t="shared" si="81"/>
        <v>0</v>
      </c>
      <c r="U30" s="434">
        <f t="shared" si="82"/>
        <v>0</v>
      </c>
      <c r="V30" s="434">
        <f t="shared" si="83"/>
        <v>0</v>
      </c>
      <c r="W30" s="434">
        <f t="shared" si="27"/>
        <v>0</v>
      </c>
      <c r="X30" s="982">
        <f t="shared" si="28"/>
        <v>0</v>
      </c>
      <c r="Y30" s="441"/>
      <c r="Z30" s="277">
        <f t="shared" si="29"/>
        <v>0</v>
      </c>
      <c r="AA30" s="277">
        <f t="shared" si="30"/>
        <v>0</v>
      </c>
      <c r="AB30" s="277">
        <f t="shared" si="31"/>
        <v>0</v>
      </c>
      <c r="AC30" s="277">
        <f t="shared" si="32"/>
        <v>0</v>
      </c>
      <c r="AD30" s="277">
        <f t="shared" si="33"/>
        <v>0</v>
      </c>
      <c r="AE30" s="277">
        <f t="shared" si="34"/>
        <v>0</v>
      </c>
      <c r="AF30" s="277">
        <f t="shared" si="35"/>
        <v>0</v>
      </c>
      <c r="AG30" s="277">
        <f t="shared" si="36"/>
        <v>0</v>
      </c>
      <c r="AI30" s="444">
        <f t="shared" si="84"/>
        <v>0</v>
      </c>
      <c r="AJ30" s="1090"/>
      <c r="AK30" s="489"/>
      <c r="AL30" s="811">
        <f t="shared" si="38"/>
        <v>46041</v>
      </c>
      <c r="AM30" s="666">
        <f>IFERROR(IF(AND(AT30="",AR30&lt;&gt;S.CAL!$BJ$3,AR30&lt;&gt;S.CAL!$BJ$4,$AR$5="NON"),M30-BD30,IF(AND(AT30="",AR30&lt;&gt;S.CAL!$BJ$3,AR30&lt;&gt;S.CAL!$BJ$4,$AR$5="OUI"),X30-AI30,IF(AT30&lt;&gt;0,AT30,IF(OR(AR30=S.CAL!$BJ$3,AR30=S.CAL!$BJ$4),AR30,"")))),"")</f>
        <v>0</v>
      </c>
      <c r="AN30" s="1093"/>
      <c r="AO30" s="1094"/>
      <c r="AP30" s="666">
        <f>+IF(AND(AU30="",BB30="OUI",BH30="non",BI30="OUI"),AM30,IF(AND(AU30="",BB30="OUI",BH30="oui",BI30="NON"),AM30,IF(AND(AU30="",BB30="NON",BH30="oui",BI30="NON"),M30,IF(AND(AU30="",BB30="NON",BH30="non",BI30="OUI"),M30,IF(AND(AU30="",BB30="OUI",BH30="non",BI30="NON"),"ERREUR",IF(AND(AU30="",BB30="NON",BH30="non",BI30="NON"),AM30,IF(AND(AU30="",BB30="OUI",BH30="",BI30=""),AM30,IF(AND(AU30="",BB30="NON",BH30="",BI30="",AZ30="NON"),M30,IF(AND(AU30="",BH30="",AZ30="OUI",AR30=""),AM30,IF(AND(AU30="",BH30="",AZ30="NON",AR30="",AT30=""),M30,IF(AND(OR(AR30=S.CAL!$BJ$3,AR30=S.CAL!$BJ$4),(VLOOKUP($AM$5,base_nbre_sem_mensu,2,FALSE)=52)),EE30,IF(AND(OR(AR30=S.CAL!$BJ$3,AR30=S.CAL!$BJ$4),(VLOOKUP($AM$5,base_nbre_sem_mensu,2,FALSE)&lt;52)),AM30,IF(AND(AT30&lt;&gt;"",AU30=""),AT30,AU30)))))))))))))</f>
        <v>0</v>
      </c>
      <c r="AQ30" s="498">
        <f t="shared" si="60"/>
        <v>0</v>
      </c>
      <c r="AR30" s="1098"/>
      <c r="AT30" s="1101"/>
      <c r="AU30" s="975"/>
      <c r="AV30" s="1370">
        <f t="shared" si="39"/>
        <v>46041</v>
      </c>
      <c r="AX30" s="511">
        <f t="shared" si="61"/>
        <v>46041</v>
      </c>
      <c r="AY30" s="523">
        <f t="shared" si="74"/>
        <v>0</v>
      </c>
      <c r="AZ30" s="520" t="s">
        <v>137</v>
      </c>
      <c r="BA30" s="516">
        <f t="shared" si="75"/>
        <v>0</v>
      </c>
      <c r="BB30" s="549" t="str">
        <f t="shared" si="42"/>
        <v/>
      </c>
      <c r="BC30" s="523">
        <f t="shared" si="62"/>
        <v>0</v>
      </c>
      <c r="BD30" s="523">
        <f t="shared" si="63"/>
        <v>0</v>
      </c>
      <c r="BE30" s="1104"/>
      <c r="BF30" s="514" t="str">
        <f t="shared" si="43"/>
        <v/>
      </c>
      <c r="BG30" s="514" t="str">
        <f t="shared" si="64"/>
        <v>oui</v>
      </c>
      <c r="BH30" s="377" t="str">
        <f t="shared" si="44"/>
        <v/>
      </c>
      <c r="BI30" s="24" t="str">
        <f t="shared" si="45"/>
        <v/>
      </c>
      <c r="BJ30" s="1381"/>
      <c r="BK30" s="1381"/>
      <c r="BL30" s="1381"/>
      <c r="BM30" s="1381"/>
      <c r="BN30" s="1381"/>
      <c r="BO30" s="1381"/>
      <c r="BP30" s="1381"/>
      <c r="BQ30" s="1381"/>
      <c r="BS30" s="1370">
        <f t="shared" si="10"/>
        <v>46041</v>
      </c>
      <c r="BT30" s="27">
        <f t="shared" si="73"/>
        <v>4</v>
      </c>
      <c r="BU30" s="1380"/>
      <c r="BV30" s="1380"/>
      <c r="BW30" s="1380"/>
      <c r="BX30" s="1380"/>
      <c r="BY30" s="1380"/>
      <c r="BZ30" s="1380"/>
      <c r="CA30" s="1380"/>
      <c r="CB30" s="1380"/>
      <c r="CD30" s="1386">
        <f t="shared" si="65"/>
        <v>0</v>
      </c>
      <c r="DC30" s="16" t="str">
        <f>Janvier!FC38</f>
        <v>non</v>
      </c>
      <c r="DG30" s="315">
        <f t="shared" si="66"/>
        <v>1</v>
      </c>
      <c r="DH30" s="129">
        <f t="shared" si="46"/>
        <v>10</v>
      </c>
      <c r="DI30" s="129">
        <f t="shared" si="67"/>
        <v>1</v>
      </c>
      <c r="DK30" s="16">
        <f>+IF(AND(Janvier!$DP$8&lt;&gt;52,AR30=S.CAL!$BJ$4),10,1)</f>
        <v>1</v>
      </c>
      <c r="DN30" s="16">
        <f t="shared" si="47"/>
        <v>1</v>
      </c>
      <c r="DU30" s="1274" t="str">
        <f t="shared" si="68"/>
        <v>Fiche infoA146041</v>
      </c>
      <c r="DV30" s="1362">
        <f t="shared" si="48"/>
        <v>0</v>
      </c>
      <c r="DW30" s="1363">
        <f t="shared" si="49"/>
        <v>0</v>
      </c>
      <c r="DX30" s="1363">
        <f t="shared" si="50"/>
        <v>0</v>
      </c>
      <c r="DY30" s="1363">
        <f t="shared" si="51"/>
        <v>0</v>
      </c>
      <c r="DZ30" s="1363">
        <f t="shared" si="52"/>
        <v>0</v>
      </c>
      <c r="EA30" s="1363">
        <f t="shared" si="53"/>
        <v>0</v>
      </c>
      <c r="EB30" s="1363">
        <f t="shared" si="54"/>
        <v>0</v>
      </c>
      <c r="EC30" s="1363">
        <f t="shared" si="55"/>
        <v>0</v>
      </c>
      <c r="ED30" s="1363">
        <f t="shared" si="69"/>
        <v>0</v>
      </c>
      <c r="EE30" s="1364">
        <f t="shared" si="70"/>
        <v>0</v>
      </c>
      <c r="EG30" s="16" t="str">
        <f t="shared" si="71"/>
        <v>42026</v>
      </c>
      <c r="EH30" s="16" t="str">
        <f t="shared" si="56"/>
        <v>Fiche infoA1</v>
      </c>
      <c r="EI30" s="16" t="str">
        <f t="shared" si="57"/>
        <v/>
      </c>
    </row>
    <row r="31" spans="1:139" x14ac:dyDescent="0.2">
      <c r="A31" s="1373" t="str">
        <f>Janvier!BJ39</f>
        <v>Fiche infoA2</v>
      </c>
      <c r="B31" s="811">
        <f>Janvier!AB39</f>
        <v>46042</v>
      </c>
      <c r="C31" s="1372" t="str">
        <f t="shared" si="72"/>
        <v/>
      </c>
      <c r="D31" s="981">
        <f t="shared" si="11"/>
        <v>0</v>
      </c>
      <c r="E31" s="434">
        <f t="shared" si="12"/>
        <v>0</v>
      </c>
      <c r="F31" s="434">
        <f t="shared" si="13"/>
        <v>0</v>
      </c>
      <c r="G31" s="434">
        <f t="shared" si="14"/>
        <v>0</v>
      </c>
      <c r="H31" s="434">
        <f t="shared" si="15"/>
        <v>0</v>
      </c>
      <c r="I31" s="434">
        <f t="shared" si="16"/>
        <v>0</v>
      </c>
      <c r="J31" s="434">
        <f t="shared" si="17"/>
        <v>0</v>
      </c>
      <c r="K31" s="434">
        <f t="shared" si="18"/>
        <v>0</v>
      </c>
      <c r="L31" s="434">
        <f t="shared" si="58"/>
        <v>0</v>
      </c>
      <c r="M31" s="982">
        <f t="shared" si="59"/>
        <v>0</v>
      </c>
      <c r="N31" s="1374"/>
      <c r="O31" s="981">
        <f t="shared" si="76"/>
        <v>0</v>
      </c>
      <c r="P31" s="434">
        <f t="shared" si="77"/>
        <v>0</v>
      </c>
      <c r="Q31" s="434">
        <f t="shared" si="78"/>
        <v>0</v>
      </c>
      <c r="R31" s="434">
        <f t="shared" si="79"/>
        <v>0</v>
      </c>
      <c r="S31" s="434">
        <f t="shared" si="80"/>
        <v>0</v>
      </c>
      <c r="T31" s="434">
        <f t="shared" si="81"/>
        <v>0</v>
      </c>
      <c r="U31" s="434">
        <f t="shared" si="82"/>
        <v>0</v>
      </c>
      <c r="V31" s="434">
        <f t="shared" si="83"/>
        <v>0</v>
      </c>
      <c r="W31" s="434">
        <f t="shared" si="27"/>
        <v>0</v>
      </c>
      <c r="X31" s="982">
        <f t="shared" si="28"/>
        <v>0</v>
      </c>
      <c r="Y31" s="1375"/>
      <c r="Z31" s="1376">
        <f t="shared" si="29"/>
        <v>0</v>
      </c>
      <c r="AA31" s="1376">
        <f t="shared" si="30"/>
        <v>0</v>
      </c>
      <c r="AB31" s="1376">
        <f t="shared" si="31"/>
        <v>0</v>
      </c>
      <c r="AC31" s="1376">
        <f t="shared" si="32"/>
        <v>0</v>
      </c>
      <c r="AD31" s="1376">
        <f t="shared" si="33"/>
        <v>0</v>
      </c>
      <c r="AE31" s="1376">
        <f t="shared" si="34"/>
        <v>0</v>
      </c>
      <c r="AF31" s="1376">
        <f t="shared" si="35"/>
        <v>0</v>
      </c>
      <c r="AG31" s="1376">
        <f t="shared" si="36"/>
        <v>0</v>
      </c>
      <c r="AH31" s="1374"/>
      <c r="AI31" s="444">
        <f t="shared" si="84"/>
        <v>0</v>
      </c>
      <c r="AJ31" s="1090"/>
      <c r="AK31" s="1377"/>
      <c r="AL31" s="811">
        <f t="shared" si="38"/>
        <v>46042</v>
      </c>
      <c r="AM31" s="666">
        <f>IFERROR(IF(AND(AT31="",AR31&lt;&gt;S.CAL!$BJ$3,AR31&lt;&gt;S.CAL!$BJ$4,$AR$5="NON"),M31-BD31,IF(AND(AT31="",AR31&lt;&gt;S.CAL!$BJ$3,AR31&lt;&gt;S.CAL!$BJ$4,$AR$5="OUI"),X31-AI31,IF(AT31&lt;&gt;0,AT31,IF(OR(AR31=S.CAL!$BJ$3,AR31=S.CAL!$BJ$4),AR31,"")))),"")</f>
        <v>0</v>
      </c>
      <c r="AN31" s="1093"/>
      <c r="AO31" s="1094"/>
      <c r="AP31" s="666">
        <f>+IF(AND(AU31="",BB31="OUI",BH31="non",BI31="OUI"),AM31,IF(AND(AU31="",BB31="OUI",BH31="oui",BI31="NON"),AM31,IF(AND(AU31="",BB31="NON",BH31="oui",BI31="NON"),M31,IF(AND(AU31="",BB31="NON",BH31="non",BI31="OUI"),M31,IF(AND(AU31="",BB31="OUI",BH31="non",BI31="NON"),"ERREUR",IF(AND(AU31="",BB31="NON",BH31="non",BI31="NON"),AM31,IF(AND(AU31="",BB31="OUI",BH31="",BI31=""),AM31,IF(AND(AU31="",BB31="NON",BH31="",BI31="",AZ31="NON"),M31,IF(AND(AU31="",BH31="",AZ31="OUI",AR31=""),AM31,IF(AND(AU31="",BH31="",AZ31="NON",AR31="",AT31=""),M31,IF(AND(OR(AR31=S.CAL!$BJ$3,AR31=S.CAL!$BJ$4),(VLOOKUP($AM$5,base_nbre_sem_mensu,2,FALSE)=52)),EE31,IF(AND(OR(AR31=S.CAL!$BJ$3,AR31=S.CAL!$BJ$4),(VLOOKUP($AM$5,base_nbre_sem_mensu,2,FALSE)&lt;52)),AM31,IF(AND(AT31&lt;&gt;"",AU31=""),AT31,AU31)))))))))))))</f>
        <v>0</v>
      </c>
      <c r="AQ31" s="1378">
        <f t="shared" si="60"/>
        <v>0</v>
      </c>
      <c r="AR31" s="1098"/>
      <c r="AS31" s="1374"/>
      <c r="AT31" s="1101"/>
      <c r="AU31" s="975"/>
      <c r="AV31" s="1370">
        <f t="shared" si="39"/>
        <v>46042</v>
      </c>
      <c r="AW31" s="1374"/>
      <c r="AX31" s="511">
        <f t="shared" si="61"/>
        <v>46042</v>
      </c>
      <c r="AY31" s="523">
        <f t="shared" si="74"/>
        <v>0</v>
      </c>
      <c r="AZ31" s="520" t="s">
        <v>137</v>
      </c>
      <c r="BA31" s="516">
        <f t="shared" si="75"/>
        <v>0</v>
      </c>
      <c r="BB31" s="549" t="str">
        <f t="shared" si="42"/>
        <v/>
      </c>
      <c r="BC31" s="523">
        <f t="shared" si="62"/>
        <v>0</v>
      </c>
      <c r="BD31" s="523">
        <f t="shared" si="63"/>
        <v>0</v>
      </c>
      <c r="BE31" s="1104"/>
      <c r="BF31" s="514" t="str">
        <f t="shared" si="43"/>
        <v/>
      </c>
      <c r="BG31" s="514" t="str">
        <f t="shared" si="64"/>
        <v>oui</v>
      </c>
      <c r="BH31" s="377" t="str">
        <f t="shared" si="44"/>
        <v/>
      </c>
      <c r="BI31" s="24" t="str">
        <f t="shared" si="45"/>
        <v/>
      </c>
      <c r="BJ31" s="1382"/>
      <c r="BK31" s="1382"/>
      <c r="BL31" s="1382"/>
      <c r="BM31" s="1382"/>
      <c r="BN31" s="1382"/>
      <c r="BO31" s="1382"/>
      <c r="BP31" s="1382"/>
      <c r="BQ31" s="1382"/>
      <c r="BR31" s="1383"/>
      <c r="BS31" s="1370">
        <f t="shared" si="10"/>
        <v>46042</v>
      </c>
      <c r="BT31" s="1384" t="str">
        <f t="shared" si="73"/>
        <v/>
      </c>
      <c r="BU31" s="1382"/>
      <c r="BV31" s="1382"/>
      <c r="BW31" s="1382"/>
      <c r="BX31" s="1382"/>
      <c r="BY31" s="1382"/>
      <c r="BZ31" s="1382"/>
      <c r="CA31" s="1382"/>
      <c r="CB31" s="1382"/>
      <c r="CD31" s="1386">
        <f t="shared" si="65"/>
        <v>0</v>
      </c>
      <c r="DC31" s="16" t="str">
        <f>Janvier!FC39</f>
        <v>non</v>
      </c>
      <c r="DG31" s="315">
        <f t="shared" si="66"/>
        <v>1</v>
      </c>
      <c r="DH31" s="129">
        <f t="shared" si="46"/>
        <v>10</v>
      </c>
      <c r="DI31" s="129">
        <f t="shared" si="67"/>
        <v>1</v>
      </c>
      <c r="DK31" s="16">
        <f>+IF(AND(Janvier!$DP$8&lt;&gt;52,AR31=S.CAL!$BJ$4),10,1)</f>
        <v>1</v>
      </c>
      <c r="DN31" s="16">
        <f t="shared" si="47"/>
        <v>1</v>
      </c>
      <c r="DU31" s="1274" t="str">
        <f t="shared" si="68"/>
        <v>Fiche infoA246042</v>
      </c>
      <c r="DV31" s="1362">
        <f t="shared" si="48"/>
        <v>0</v>
      </c>
      <c r="DW31" s="1363">
        <f t="shared" si="49"/>
        <v>0</v>
      </c>
      <c r="DX31" s="1363">
        <f t="shared" si="50"/>
        <v>0</v>
      </c>
      <c r="DY31" s="1363">
        <f t="shared" si="51"/>
        <v>0</v>
      </c>
      <c r="DZ31" s="1363">
        <f t="shared" si="52"/>
        <v>0</v>
      </c>
      <c r="EA31" s="1363">
        <f t="shared" si="53"/>
        <v>0</v>
      </c>
      <c r="EB31" s="1363">
        <f t="shared" si="54"/>
        <v>0</v>
      </c>
      <c r="EC31" s="1363">
        <f t="shared" si="55"/>
        <v>0</v>
      </c>
      <c r="ED31" s="1363">
        <f t="shared" si="69"/>
        <v>0</v>
      </c>
      <c r="EE31" s="1364">
        <f t="shared" si="70"/>
        <v>0</v>
      </c>
      <c r="EG31" s="16" t="str">
        <f t="shared" si="71"/>
        <v>42026</v>
      </c>
      <c r="EH31" s="16" t="str">
        <f t="shared" si="56"/>
        <v>Fiche infoA2</v>
      </c>
      <c r="EI31" s="16" t="str">
        <f t="shared" si="57"/>
        <v/>
      </c>
    </row>
    <row r="32" spans="1:139" x14ac:dyDescent="0.2">
      <c r="A32" s="24" t="str">
        <f>Janvier!BJ40</f>
        <v>Fiche infoA3</v>
      </c>
      <c r="B32" s="811">
        <f>Janvier!AB40</f>
        <v>46043</v>
      </c>
      <c r="C32" s="1371" t="str">
        <f t="shared" si="72"/>
        <v/>
      </c>
      <c r="D32" s="981">
        <f t="shared" si="11"/>
        <v>0</v>
      </c>
      <c r="E32" s="434">
        <f t="shared" si="12"/>
        <v>0</v>
      </c>
      <c r="F32" s="434">
        <f t="shared" si="13"/>
        <v>0</v>
      </c>
      <c r="G32" s="434">
        <f t="shared" si="14"/>
        <v>0</v>
      </c>
      <c r="H32" s="434">
        <f t="shared" si="15"/>
        <v>0</v>
      </c>
      <c r="I32" s="434">
        <f t="shared" si="16"/>
        <v>0</v>
      </c>
      <c r="J32" s="434">
        <f t="shared" si="17"/>
        <v>0</v>
      </c>
      <c r="K32" s="434">
        <f t="shared" si="18"/>
        <v>0</v>
      </c>
      <c r="L32" s="434">
        <f t="shared" si="58"/>
        <v>0</v>
      </c>
      <c r="M32" s="982">
        <f t="shared" si="59"/>
        <v>0</v>
      </c>
      <c r="O32" s="981">
        <f t="shared" si="76"/>
        <v>0</v>
      </c>
      <c r="P32" s="434">
        <f t="shared" si="77"/>
        <v>0</v>
      </c>
      <c r="Q32" s="434">
        <f t="shared" si="78"/>
        <v>0</v>
      </c>
      <c r="R32" s="434">
        <f t="shared" si="79"/>
        <v>0</v>
      </c>
      <c r="S32" s="434">
        <f t="shared" si="80"/>
        <v>0</v>
      </c>
      <c r="T32" s="434">
        <f t="shared" si="81"/>
        <v>0</v>
      </c>
      <c r="U32" s="434">
        <f t="shared" si="82"/>
        <v>0</v>
      </c>
      <c r="V32" s="434">
        <f t="shared" si="83"/>
        <v>0</v>
      </c>
      <c r="W32" s="434">
        <f t="shared" si="27"/>
        <v>0</v>
      </c>
      <c r="X32" s="982">
        <f t="shared" si="28"/>
        <v>0</v>
      </c>
      <c r="Y32" s="441"/>
      <c r="Z32" s="277">
        <f t="shared" si="29"/>
        <v>0</v>
      </c>
      <c r="AA32" s="277">
        <f t="shared" si="30"/>
        <v>0</v>
      </c>
      <c r="AB32" s="277">
        <f t="shared" si="31"/>
        <v>0</v>
      </c>
      <c r="AC32" s="277">
        <f t="shared" si="32"/>
        <v>0</v>
      </c>
      <c r="AD32" s="277">
        <f t="shared" si="33"/>
        <v>0</v>
      </c>
      <c r="AE32" s="277">
        <f t="shared" si="34"/>
        <v>0</v>
      </c>
      <c r="AF32" s="277">
        <f t="shared" si="35"/>
        <v>0</v>
      </c>
      <c r="AG32" s="277">
        <f t="shared" si="36"/>
        <v>0</v>
      </c>
      <c r="AI32" s="444">
        <f t="shared" si="84"/>
        <v>0</v>
      </c>
      <c r="AJ32" s="1090"/>
      <c r="AK32" s="489"/>
      <c r="AL32" s="811">
        <f t="shared" si="38"/>
        <v>46043</v>
      </c>
      <c r="AM32" s="666">
        <f>IFERROR(IF(AND(AT32="",AR32&lt;&gt;S.CAL!$BJ$3,AR32&lt;&gt;S.CAL!$BJ$4,$AR$5="NON"),M32-BD32,IF(AND(AT32="",AR32&lt;&gt;S.CAL!$BJ$3,AR32&lt;&gt;S.CAL!$BJ$4,$AR$5="OUI"),X32-AI32,IF(AT32&lt;&gt;0,AT32,IF(OR(AR32=S.CAL!$BJ$3,AR32=S.CAL!$BJ$4),AR32,"")))),"")</f>
        <v>0</v>
      </c>
      <c r="AN32" s="1093"/>
      <c r="AO32" s="1094"/>
      <c r="AP32" s="666">
        <f>+IF(AND(AU32="",BB32="OUI",BH32="non",BI32="OUI"),AM32,IF(AND(AU32="",BB32="OUI",BH32="oui",BI32="NON"),AM32,IF(AND(AU32="",BB32="NON",BH32="oui",BI32="NON"),M32,IF(AND(AU32="",BB32="NON",BH32="non",BI32="OUI"),M32,IF(AND(AU32="",BB32="OUI",BH32="non",BI32="NON"),"ERREUR",IF(AND(AU32="",BB32="NON",BH32="non",BI32="NON"),AM32,IF(AND(AU32="",BB32="OUI",BH32="",BI32=""),AM32,IF(AND(AU32="",BB32="NON",BH32="",BI32="",AZ32="NON"),M32,IF(AND(AU32="",BH32="",AZ32="OUI",AR32=""),AM32,IF(AND(AU32="",BH32="",AZ32="NON",AR32="",AT32=""),M32,IF(AND(OR(AR32=S.CAL!$BJ$3,AR32=S.CAL!$BJ$4),(VLOOKUP($AM$5,base_nbre_sem_mensu,2,FALSE)=52)),EE32,IF(AND(OR(AR32=S.CAL!$BJ$3,AR32=S.CAL!$BJ$4),(VLOOKUP($AM$5,base_nbre_sem_mensu,2,FALSE)&lt;52)),AM32,IF(AND(AT32&lt;&gt;"",AU32=""),AT32,AU32)))))))))))))</f>
        <v>0</v>
      </c>
      <c r="AQ32" s="498">
        <f t="shared" si="60"/>
        <v>0</v>
      </c>
      <c r="AR32" s="1098"/>
      <c r="AT32" s="1101"/>
      <c r="AU32" s="975"/>
      <c r="AV32" s="1370">
        <f t="shared" si="39"/>
        <v>46043</v>
      </c>
      <c r="AX32" s="511">
        <f t="shared" si="61"/>
        <v>46043</v>
      </c>
      <c r="AY32" s="523">
        <f t="shared" si="74"/>
        <v>0</v>
      </c>
      <c r="AZ32" s="520" t="s">
        <v>137</v>
      </c>
      <c r="BA32" s="516">
        <f t="shared" si="75"/>
        <v>0</v>
      </c>
      <c r="BB32" s="549" t="str">
        <f t="shared" si="42"/>
        <v/>
      </c>
      <c r="BC32" s="523">
        <f t="shared" si="62"/>
        <v>0</v>
      </c>
      <c r="BD32" s="523">
        <f t="shared" si="63"/>
        <v>0</v>
      </c>
      <c r="BE32" s="1104"/>
      <c r="BF32" s="514" t="str">
        <f t="shared" si="43"/>
        <v/>
      </c>
      <c r="BG32" s="514" t="str">
        <f t="shared" si="64"/>
        <v>oui</v>
      </c>
      <c r="BH32" s="377" t="str">
        <f t="shared" si="44"/>
        <v/>
      </c>
      <c r="BI32" s="24" t="str">
        <f t="shared" si="45"/>
        <v/>
      </c>
      <c r="BJ32" s="1381"/>
      <c r="BK32" s="1381"/>
      <c r="BL32" s="1381"/>
      <c r="BM32" s="1381"/>
      <c r="BN32" s="1381"/>
      <c r="BO32" s="1381"/>
      <c r="BP32" s="1381"/>
      <c r="BQ32" s="1381"/>
      <c r="BS32" s="1370">
        <f t="shared" si="10"/>
        <v>46043</v>
      </c>
      <c r="BT32" s="27" t="str">
        <f t="shared" si="73"/>
        <v/>
      </c>
      <c r="BU32" s="1380"/>
      <c r="BV32" s="1380"/>
      <c r="BW32" s="1380"/>
      <c r="BX32" s="1380"/>
      <c r="BY32" s="1380"/>
      <c r="BZ32" s="1380"/>
      <c r="CA32" s="1380"/>
      <c r="CB32" s="1380"/>
      <c r="CD32" s="1386">
        <f t="shared" si="65"/>
        <v>0</v>
      </c>
      <c r="DC32" s="16" t="str">
        <f>Janvier!FC40</f>
        <v>non</v>
      </c>
      <c r="DG32" s="315">
        <f t="shared" si="66"/>
        <v>1</v>
      </c>
      <c r="DH32" s="129">
        <f t="shared" si="46"/>
        <v>10</v>
      </c>
      <c r="DI32" s="129">
        <f t="shared" si="67"/>
        <v>1</v>
      </c>
      <c r="DK32" s="16">
        <f>+IF(AND(Janvier!$DP$8&lt;&gt;52,AR32=S.CAL!$BJ$4),10,1)</f>
        <v>1</v>
      </c>
      <c r="DN32" s="16">
        <f t="shared" si="47"/>
        <v>1</v>
      </c>
      <c r="DU32" s="1274" t="str">
        <f t="shared" si="68"/>
        <v>Fiche infoA346043</v>
      </c>
      <c r="DV32" s="1362">
        <f t="shared" si="48"/>
        <v>0</v>
      </c>
      <c r="DW32" s="1363">
        <f t="shared" si="49"/>
        <v>0</v>
      </c>
      <c r="DX32" s="1363">
        <f t="shared" si="50"/>
        <v>0</v>
      </c>
      <c r="DY32" s="1363">
        <f t="shared" si="51"/>
        <v>0</v>
      </c>
      <c r="DZ32" s="1363">
        <f t="shared" si="52"/>
        <v>0</v>
      </c>
      <c r="EA32" s="1363">
        <f t="shared" si="53"/>
        <v>0</v>
      </c>
      <c r="EB32" s="1363">
        <f t="shared" si="54"/>
        <v>0</v>
      </c>
      <c r="EC32" s="1363">
        <f t="shared" si="55"/>
        <v>0</v>
      </c>
      <c r="ED32" s="1363">
        <f t="shared" si="69"/>
        <v>0</v>
      </c>
      <c r="EE32" s="1364">
        <f t="shared" si="70"/>
        <v>0</v>
      </c>
      <c r="EG32" s="16" t="str">
        <f t="shared" si="71"/>
        <v>42026</v>
      </c>
      <c r="EH32" s="16" t="str">
        <f t="shared" si="56"/>
        <v>Fiche infoA3</v>
      </c>
      <c r="EI32" s="16" t="str">
        <f t="shared" si="57"/>
        <v/>
      </c>
    </row>
    <row r="33" spans="1:145" x14ac:dyDescent="0.2">
      <c r="A33" s="1373" t="str">
        <f>Janvier!BJ41</f>
        <v>Fiche infoA4</v>
      </c>
      <c r="B33" s="811">
        <f>Janvier!AB41</f>
        <v>46044</v>
      </c>
      <c r="C33" s="1372" t="str">
        <f t="shared" si="72"/>
        <v/>
      </c>
      <c r="D33" s="981">
        <f t="shared" si="11"/>
        <v>0</v>
      </c>
      <c r="E33" s="434">
        <f t="shared" si="12"/>
        <v>0</v>
      </c>
      <c r="F33" s="434">
        <f t="shared" si="13"/>
        <v>0</v>
      </c>
      <c r="G33" s="434">
        <f t="shared" si="14"/>
        <v>0</v>
      </c>
      <c r="H33" s="434">
        <f t="shared" si="15"/>
        <v>0</v>
      </c>
      <c r="I33" s="434">
        <f t="shared" si="16"/>
        <v>0</v>
      </c>
      <c r="J33" s="434">
        <f t="shared" si="17"/>
        <v>0</v>
      </c>
      <c r="K33" s="434">
        <f t="shared" si="18"/>
        <v>0</v>
      </c>
      <c r="L33" s="434">
        <f t="shared" si="58"/>
        <v>0</v>
      </c>
      <c r="M33" s="982">
        <f t="shared" si="59"/>
        <v>0</v>
      </c>
      <c r="N33" s="1374"/>
      <c r="O33" s="981">
        <f t="shared" si="76"/>
        <v>0</v>
      </c>
      <c r="P33" s="434">
        <f t="shared" si="77"/>
        <v>0</v>
      </c>
      <c r="Q33" s="434">
        <f t="shared" si="78"/>
        <v>0</v>
      </c>
      <c r="R33" s="434">
        <f t="shared" si="79"/>
        <v>0</v>
      </c>
      <c r="S33" s="434">
        <f t="shared" si="80"/>
        <v>0</v>
      </c>
      <c r="T33" s="434">
        <f t="shared" si="81"/>
        <v>0</v>
      </c>
      <c r="U33" s="434">
        <f t="shared" si="82"/>
        <v>0</v>
      </c>
      <c r="V33" s="434">
        <f t="shared" si="83"/>
        <v>0</v>
      </c>
      <c r="W33" s="434">
        <f t="shared" si="27"/>
        <v>0</v>
      </c>
      <c r="X33" s="982">
        <f t="shared" si="28"/>
        <v>0</v>
      </c>
      <c r="Y33" s="1375"/>
      <c r="Z33" s="1376">
        <f t="shared" si="29"/>
        <v>0</v>
      </c>
      <c r="AA33" s="1376">
        <f t="shared" si="30"/>
        <v>0</v>
      </c>
      <c r="AB33" s="1376">
        <f t="shared" si="31"/>
        <v>0</v>
      </c>
      <c r="AC33" s="1376">
        <f t="shared" si="32"/>
        <v>0</v>
      </c>
      <c r="AD33" s="1376">
        <f t="shared" si="33"/>
        <v>0</v>
      </c>
      <c r="AE33" s="1376">
        <f t="shared" si="34"/>
        <v>0</v>
      </c>
      <c r="AF33" s="1376">
        <f t="shared" si="35"/>
        <v>0</v>
      </c>
      <c r="AG33" s="1376">
        <f t="shared" si="36"/>
        <v>0</v>
      </c>
      <c r="AH33" s="1374"/>
      <c r="AI33" s="444">
        <f t="shared" si="84"/>
        <v>0</v>
      </c>
      <c r="AJ33" s="1090"/>
      <c r="AK33" s="1377"/>
      <c r="AL33" s="811">
        <f t="shared" si="38"/>
        <v>46044</v>
      </c>
      <c r="AM33" s="666">
        <f>IFERROR(IF(AND(AT33="",AR33&lt;&gt;S.CAL!$BJ$3,AR33&lt;&gt;S.CAL!$BJ$4,$AR$5="NON"),M33-BD33,IF(AND(AT33="",AR33&lt;&gt;S.CAL!$BJ$3,AR33&lt;&gt;S.CAL!$BJ$4,$AR$5="OUI"),X33-AI33,IF(AT33&lt;&gt;0,AT33,IF(OR(AR33=S.CAL!$BJ$3,AR33=S.CAL!$BJ$4),AR33,"")))),"")</f>
        <v>0</v>
      </c>
      <c r="AN33" s="1093"/>
      <c r="AO33" s="1094"/>
      <c r="AP33" s="666">
        <f>+IF(AND(AU33="",BB33="OUI",BH33="non",BI33="OUI"),AM33,IF(AND(AU33="",BB33="OUI",BH33="oui",BI33="NON"),AM33,IF(AND(AU33="",BB33="NON",BH33="oui",BI33="NON"),M33,IF(AND(AU33="",BB33="NON",BH33="non",BI33="OUI"),M33,IF(AND(AU33="",BB33="OUI",BH33="non",BI33="NON"),"ERREUR",IF(AND(AU33="",BB33="NON",BH33="non",BI33="NON"),AM33,IF(AND(AU33="",BB33="OUI",BH33="",BI33=""),AM33,IF(AND(AU33="",BB33="NON",BH33="",BI33="",AZ33="NON"),M33,IF(AND(AU33="",BH33="",AZ33="OUI",AR33=""),AM33,IF(AND(AU33="",BH33="",AZ33="NON",AR33="",AT33=""),M33,IF(AND(OR(AR33=S.CAL!$BJ$3,AR33=S.CAL!$BJ$4),(VLOOKUP($AM$5,base_nbre_sem_mensu,2,FALSE)=52)),EE33,IF(AND(OR(AR33=S.CAL!$BJ$3,AR33=S.CAL!$BJ$4),(VLOOKUP($AM$5,base_nbre_sem_mensu,2,FALSE)&lt;52)),AM33,IF(AND(AT33&lt;&gt;"",AU33=""),AT33,AU33)))))))))))))</f>
        <v>0</v>
      </c>
      <c r="AQ33" s="1378">
        <f t="shared" si="60"/>
        <v>0</v>
      </c>
      <c r="AR33" s="1098"/>
      <c r="AS33" s="1374"/>
      <c r="AT33" s="1101"/>
      <c r="AU33" s="975"/>
      <c r="AV33" s="1370">
        <f t="shared" si="39"/>
        <v>46044</v>
      </c>
      <c r="AW33" s="1374"/>
      <c r="AX33" s="511">
        <f t="shared" si="61"/>
        <v>46044</v>
      </c>
      <c r="AY33" s="523">
        <f t="shared" si="74"/>
        <v>0</v>
      </c>
      <c r="AZ33" s="520" t="s">
        <v>137</v>
      </c>
      <c r="BA33" s="516">
        <f t="shared" si="75"/>
        <v>0</v>
      </c>
      <c r="BB33" s="549" t="str">
        <f t="shared" si="42"/>
        <v/>
      </c>
      <c r="BC33" s="523">
        <f t="shared" si="62"/>
        <v>0</v>
      </c>
      <c r="BD33" s="523">
        <f t="shared" si="63"/>
        <v>0</v>
      </c>
      <c r="BE33" s="1104"/>
      <c r="BF33" s="514" t="str">
        <f t="shared" si="43"/>
        <v/>
      </c>
      <c r="BG33" s="514" t="str">
        <f t="shared" si="64"/>
        <v>oui</v>
      </c>
      <c r="BH33" s="377" t="str">
        <f t="shared" si="44"/>
        <v/>
      </c>
      <c r="BI33" s="24" t="str">
        <f t="shared" si="45"/>
        <v/>
      </c>
      <c r="BJ33" s="1382"/>
      <c r="BK33" s="1382"/>
      <c r="BL33" s="1382"/>
      <c r="BM33" s="1382"/>
      <c r="BN33" s="1382"/>
      <c r="BO33" s="1382"/>
      <c r="BP33" s="1382"/>
      <c r="BQ33" s="1382"/>
      <c r="BR33" s="1383"/>
      <c r="BS33" s="1370">
        <f t="shared" si="10"/>
        <v>46044</v>
      </c>
      <c r="BT33" s="1384" t="str">
        <f t="shared" si="73"/>
        <v/>
      </c>
      <c r="BU33" s="1382"/>
      <c r="BV33" s="1382"/>
      <c r="BW33" s="1382"/>
      <c r="BX33" s="1382"/>
      <c r="BY33" s="1382"/>
      <c r="BZ33" s="1382"/>
      <c r="CA33" s="1382"/>
      <c r="CB33" s="1382"/>
      <c r="CD33" s="1386">
        <f t="shared" si="65"/>
        <v>0</v>
      </c>
      <c r="DC33" s="16" t="str">
        <f>Janvier!FC41</f>
        <v>non</v>
      </c>
      <c r="DG33" s="315">
        <f t="shared" si="66"/>
        <v>1</v>
      </c>
      <c r="DH33" s="129">
        <f t="shared" si="46"/>
        <v>10</v>
      </c>
      <c r="DI33" s="129">
        <f t="shared" si="67"/>
        <v>1</v>
      </c>
      <c r="DK33" s="16">
        <f>+IF(AND(Janvier!$DP$8&lt;&gt;52,AR33=S.CAL!$BJ$4),10,1)</f>
        <v>1</v>
      </c>
      <c r="DN33" s="16">
        <f t="shared" si="47"/>
        <v>1</v>
      </c>
      <c r="DU33" s="1274" t="str">
        <f t="shared" si="68"/>
        <v>Fiche infoA446044</v>
      </c>
      <c r="DV33" s="1362">
        <f t="shared" si="48"/>
        <v>0</v>
      </c>
      <c r="DW33" s="1363">
        <f t="shared" si="49"/>
        <v>0</v>
      </c>
      <c r="DX33" s="1363">
        <f t="shared" si="50"/>
        <v>0</v>
      </c>
      <c r="DY33" s="1363">
        <f t="shared" si="51"/>
        <v>0</v>
      </c>
      <c r="DZ33" s="1363">
        <f t="shared" si="52"/>
        <v>0</v>
      </c>
      <c r="EA33" s="1363">
        <f t="shared" si="53"/>
        <v>0</v>
      </c>
      <c r="EB33" s="1363">
        <f t="shared" si="54"/>
        <v>0</v>
      </c>
      <c r="EC33" s="1363">
        <f t="shared" si="55"/>
        <v>0</v>
      </c>
      <c r="ED33" s="1363">
        <f t="shared" si="69"/>
        <v>0</v>
      </c>
      <c r="EE33" s="1364">
        <f t="shared" si="70"/>
        <v>0</v>
      </c>
      <c r="EG33" s="16" t="str">
        <f t="shared" si="71"/>
        <v>42026</v>
      </c>
      <c r="EH33" s="16" t="str">
        <f t="shared" si="56"/>
        <v>Fiche infoA4</v>
      </c>
      <c r="EI33" s="16" t="str">
        <f t="shared" si="57"/>
        <v/>
      </c>
    </row>
    <row r="34" spans="1:145" x14ac:dyDescent="0.2">
      <c r="A34" s="24" t="str">
        <f>Janvier!BJ42</f>
        <v>Fiche infoA5</v>
      </c>
      <c r="B34" s="811">
        <f>Janvier!AB42</f>
        <v>46045</v>
      </c>
      <c r="C34" s="1371" t="str">
        <f t="shared" si="72"/>
        <v/>
      </c>
      <c r="D34" s="981">
        <f t="shared" si="11"/>
        <v>0</v>
      </c>
      <c r="E34" s="434">
        <f t="shared" si="12"/>
        <v>0</v>
      </c>
      <c r="F34" s="434">
        <f t="shared" si="13"/>
        <v>0</v>
      </c>
      <c r="G34" s="434">
        <f t="shared" si="14"/>
        <v>0</v>
      </c>
      <c r="H34" s="434">
        <f t="shared" si="15"/>
        <v>0</v>
      </c>
      <c r="I34" s="434">
        <f t="shared" si="16"/>
        <v>0</v>
      </c>
      <c r="J34" s="434">
        <f t="shared" si="17"/>
        <v>0</v>
      </c>
      <c r="K34" s="434">
        <f t="shared" si="18"/>
        <v>0</v>
      </c>
      <c r="L34" s="434">
        <f t="shared" si="58"/>
        <v>0</v>
      </c>
      <c r="M34" s="982">
        <f t="shared" si="59"/>
        <v>0</v>
      </c>
      <c r="O34" s="981">
        <f t="shared" si="76"/>
        <v>0</v>
      </c>
      <c r="P34" s="434">
        <f t="shared" si="77"/>
        <v>0</v>
      </c>
      <c r="Q34" s="434">
        <f t="shared" si="78"/>
        <v>0</v>
      </c>
      <c r="R34" s="434">
        <f t="shared" si="79"/>
        <v>0</v>
      </c>
      <c r="S34" s="434">
        <f t="shared" si="80"/>
        <v>0</v>
      </c>
      <c r="T34" s="434">
        <f t="shared" si="81"/>
        <v>0</v>
      </c>
      <c r="U34" s="434">
        <f t="shared" si="82"/>
        <v>0</v>
      </c>
      <c r="V34" s="434">
        <f t="shared" si="83"/>
        <v>0</v>
      </c>
      <c r="W34" s="434">
        <f t="shared" si="27"/>
        <v>0</v>
      </c>
      <c r="X34" s="982">
        <f t="shared" si="28"/>
        <v>0</v>
      </c>
      <c r="Y34" s="441"/>
      <c r="Z34" s="277">
        <f t="shared" si="29"/>
        <v>0</v>
      </c>
      <c r="AA34" s="277">
        <f t="shared" si="30"/>
        <v>0</v>
      </c>
      <c r="AB34" s="277">
        <f t="shared" si="31"/>
        <v>0</v>
      </c>
      <c r="AC34" s="277">
        <f t="shared" si="32"/>
        <v>0</v>
      </c>
      <c r="AD34" s="277">
        <f t="shared" si="33"/>
        <v>0</v>
      </c>
      <c r="AE34" s="277">
        <f t="shared" si="34"/>
        <v>0</v>
      </c>
      <c r="AF34" s="277">
        <f t="shared" si="35"/>
        <v>0</v>
      </c>
      <c r="AG34" s="277">
        <f t="shared" si="36"/>
        <v>0</v>
      </c>
      <c r="AI34" s="444">
        <f t="shared" si="84"/>
        <v>0</v>
      </c>
      <c r="AJ34" s="1090"/>
      <c r="AK34" s="489"/>
      <c r="AL34" s="811">
        <f t="shared" si="38"/>
        <v>46045</v>
      </c>
      <c r="AM34" s="666">
        <f>IFERROR(IF(AND(AT34="",AR34&lt;&gt;S.CAL!$BJ$3,AR34&lt;&gt;S.CAL!$BJ$4,$AR$5="NON"),M34-BD34,IF(AND(AT34="",AR34&lt;&gt;S.CAL!$BJ$3,AR34&lt;&gt;S.CAL!$BJ$4,$AR$5="OUI"),X34-AI34,IF(AT34&lt;&gt;0,AT34,IF(OR(AR34=S.CAL!$BJ$3,AR34=S.CAL!$BJ$4),AR34,"")))),"")</f>
        <v>0</v>
      </c>
      <c r="AN34" s="1093"/>
      <c r="AO34" s="1094"/>
      <c r="AP34" s="666">
        <f>+IF(AND(AU34="",BB34="OUI",BH34="non",BI34="OUI"),AM34,IF(AND(AU34="",BB34="OUI",BH34="oui",BI34="NON"),AM34,IF(AND(AU34="",BB34="NON",BH34="oui",BI34="NON"),M34,IF(AND(AU34="",BB34="NON",BH34="non",BI34="OUI"),M34,IF(AND(AU34="",BB34="OUI",BH34="non",BI34="NON"),"ERREUR",IF(AND(AU34="",BB34="NON",BH34="non",BI34="NON"),AM34,IF(AND(AU34="",BB34="OUI",BH34="",BI34=""),AM34,IF(AND(AU34="",BB34="NON",BH34="",BI34="",AZ34="NON"),M34,IF(AND(AU34="",BH34="",AZ34="OUI",AR34=""),AM34,IF(AND(AU34="",BH34="",AZ34="NON",AR34="",AT34=""),M34,IF(AND(OR(AR34=S.CAL!$BJ$3,AR34=S.CAL!$BJ$4),(VLOOKUP($AM$5,base_nbre_sem_mensu,2,FALSE)=52)),EE34,IF(AND(OR(AR34=S.CAL!$BJ$3,AR34=S.CAL!$BJ$4),(VLOOKUP($AM$5,base_nbre_sem_mensu,2,FALSE)&lt;52)),AM34,IF(AND(AT34&lt;&gt;"",AU34=""),AT34,AU34)))))))))))))</f>
        <v>0</v>
      </c>
      <c r="AQ34" s="498">
        <f t="shared" si="60"/>
        <v>0</v>
      </c>
      <c r="AR34" s="1098"/>
      <c r="AT34" s="1101"/>
      <c r="AU34" s="975"/>
      <c r="AV34" s="1370">
        <f t="shared" si="39"/>
        <v>46045</v>
      </c>
      <c r="AX34" s="511">
        <f t="shared" si="61"/>
        <v>46045</v>
      </c>
      <c r="AY34" s="523">
        <f t="shared" si="74"/>
        <v>0</v>
      </c>
      <c r="AZ34" s="520" t="s">
        <v>137</v>
      </c>
      <c r="BA34" s="516">
        <f t="shared" si="75"/>
        <v>0</v>
      </c>
      <c r="BB34" s="549" t="str">
        <f t="shared" si="42"/>
        <v/>
      </c>
      <c r="BC34" s="523">
        <f t="shared" si="62"/>
        <v>0</v>
      </c>
      <c r="BD34" s="523">
        <f t="shared" si="63"/>
        <v>0</v>
      </c>
      <c r="BE34" s="1104"/>
      <c r="BF34" s="514" t="str">
        <f t="shared" si="43"/>
        <v/>
      </c>
      <c r="BG34" s="514" t="str">
        <f t="shared" si="64"/>
        <v>oui</v>
      </c>
      <c r="BH34" s="377" t="str">
        <f t="shared" si="44"/>
        <v/>
      </c>
      <c r="BI34" s="24" t="str">
        <f t="shared" si="45"/>
        <v/>
      </c>
      <c r="BJ34" s="1381"/>
      <c r="BK34" s="1381"/>
      <c r="BL34" s="1381"/>
      <c r="BM34" s="1381"/>
      <c r="BN34" s="1381"/>
      <c r="BO34" s="1381"/>
      <c r="BP34" s="1381"/>
      <c r="BQ34" s="1381"/>
      <c r="BS34" s="1370">
        <f t="shared" si="10"/>
        <v>46045</v>
      </c>
      <c r="BT34" s="27" t="str">
        <f t="shared" si="73"/>
        <v/>
      </c>
      <c r="BU34" s="1380"/>
      <c r="BV34" s="1380"/>
      <c r="BW34" s="1380"/>
      <c r="BX34" s="1380"/>
      <c r="BY34" s="1380"/>
      <c r="BZ34" s="1380"/>
      <c r="CA34" s="1380"/>
      <c r="CB34" s="1380"/>
      <c r="CD34" s="1386">
        <f t="shared" si="65"/>
        <v>0</v>
      </c>
      <c r="DC34" s="16" t="str">
        <f>Janvier!FC42</f>
        <v>non</v>
      </c>
      <c r="DG34" s="315">
        <f t="shared" si="66"/>
        <v>1</v>
      </c>
      <c r="DH34" s="129">
        <f t="shared" si="46"/>
        <v>10</v>
      </c>
      <c r="DI34" s="129">
        <f t="shared" si="67"/>
        <v>1</v>
      </c>
      <c r="DK34" s="16">
        <f>+IF(AND(Janvier!$DP$8&lt;&gt;52,AR34=S.CAL!$BJ$4),10,1)</f>
        <v>1</v>
      </c>
      <c r="DN34" s="16">
        <f t="shared" si="47"/>
        <v>1</v>
      </c>
      <c r="DU34" s="1274" t="str">
        <f t="shared" si="68"/>
        <v>Fiche infoA546045</v>
      </c>
      <c r="DV34" s="1362">
        <f t="shared" si="48"/>
        <v>0</v>
      </c>
      <c r="DW34" s="1363">
        <f t="shared" si="49"/>
        <v>0</v>
      </c>
      <c r="DX34" s="1363">
        <f t="shared" si="50"/>
        <v>0</v>
      </c>
      <c r="DY34" s="1363">
        <f t="shared" si="51"/>
        <v>0</v>
      </c>
      <c r="DZ34" s="1363">
        <f t="shared" si="52"/>
        <v>0</v>
      </c>
      <c r="EA34" s="1363">
        <f t="shared" si="53"/>
        <v>0</v>
      </c>
      <c r="EB34" s="1363">
        <f t="shared" si="54"/>
        <v>0</v>
      </c>
      <c r="EC34" s="1363">
        <f t="shared" si="55"/>
        <v>0</v>
      </c>
      <c r="ED34" s="1363">
        <f t="shared" si="69"/>
        <v>0</v>
      </c>
      <c r="EE34" s="1364">
        <f t="shared" si="70"/>
        <v>0</v>
      </c>
      <c r="EG34" s="16" t="str">
        <f t="shared" si="71"/>
        <v>42026</v>
      </c>
      <c r="EH34" s="16" t="str">
        <f t="shared" si="56"/>
        <v>Fiche infoA5</v>
      </c>
      <c r="EI34" s="16" t="str">
        <f t="shared" si="57"/>
        <v/>
      </c>
    </row>
    <row r="35" spans="1:145" x14ac:dyDescent="0.2">
      <c r="A35" s="1373" t="str">
        <f>Janvier!BJ43</f>
        <v>Fiche infoA6</v>
      </c>
      <c r="B35" s="811">
        <f>Janvier!AB43</f>
        <v>46046</v>
      </c>
      <c r="C35" s="1372" t="str">
        <f t="shared" si="72"/>
        <v/>
      </c>
      <c r="D35" s="981">
        <f t="shared" si="11"/>
        <v>0</v>
      </c>
      <c r="E35" s="434">
        <f t="shared" si="12"/>
        <v>0</v>
      </c>
      <c r="F35" s="434">
        <f t="shared" si="13"/>
        <v>0</v>
      </c>
      <c r="G35" s="434">
        <f t="shared" si="14"/>
        <v>0</v>
      </c>
      <c r="H35" s="434">
        <f t="shared" si="15"/>
        <v>0</v>
      </c>
      <c r="I35" s="434">
        <f t="shared" si="16"/>
        <v>0</v>
      </c>
      <c r="J35" s="434">
        <f t="shared" si="17"/>
        <v>0</v>
      </c>
      <c r="K35" s="434">
        <f t="shared" si="18"/>
        <v>0</v>
      </c>
      <c r="L35" s="434">
        <f t="shared" si="58"/>
        <v>0</v>
      </c>
      <c r="M35" s="982">
        <f t="shared" si="59"/>
        <v>0</v>
      </c>
      <c r="N35" s="1374"/>
      <c r="O35" s="981">
        <f t="shared" si="76"/>
        <v>0</v>
      </c>
      <c r="P35" s="434">
        <f t="shared" si="77"/>
        <v>0</v>
      </c>
      <c r="Q35" s="434">
        <f t="shared" si="78"/>
        <v>0</v>
      </c>
      <c r="R35" s="434">
        <f t="shared" si="79"/>
        <v>0</v>
      </c>
      <c r="S35" s="434">
        <f t="shared" si="80"/>
        <v>0</v>
      </c>
      <c r="T35" s="434">
        <f t="shared" si="81"/>
        <v>0</v>
      </c>
      <c r="U35" s="434">
        <f t="shared" si="82"/>
        <v>0</v>
      </c>
      <c r="V35" s="434">
        <f t="shared" si="83"/>
        <v>0</v>
      </c>
      <c r="W35" s="434">
        <f t="shared" si="27"/>
        <v>0</v>
      </c>
      <c r="X35" s="982">
        <f t="shared" si="28"/>
        <v>0</v>
      </c>
      <c r="Y35" s="1375"/>
      <c r="Z35" s="1376">
        <f t="shared" si="29"/>
        <v>0</v>
      </c>
      <c r="AA35" s="1376">
        <f t="shared" si="30"/>
        <v>0</v>
      </c>
      <c r="AB35" s="1376">
        <f t="shared" si="31"/>
        <v>0</v>
      </c>
      <c r="AC35" s="1376">
        <f t="shared" si="32"/>
        <v>0</v>
      </c>
      <c r="AD35" s="1376">
        <f t="shared" si="33"/>
        <v>0</v>
      </c>
      <c r="AE35" s="1376">
        <f t="shared" si="34"/>
        <v>0</v>
      </c>
      <c r="AF35" s="1376">
        <f t="shared" si="35"/>
        <v>0</v>
      </c>
      <c r="AG35" s="1376">
        <f t="shared" si="36"/>
        <v>0</v>
      </c>
      <c r="AH35" s="1374"/>
      <c r="AI35" s="444">
        <f t="shared" si="84"/>
        <v>0</v>
      </c>
      <c r="AJ35" s="1090"/>
      <c r="AK35" s="1377"/>
      <c r="AL35" s="811">
        <f t="shared" si="38"/>
        <v>46046</v>
      </c>
      <c r="AM35" s="666">
        <f>IFERROR(IF(AND(AT35="",AR35&lt;&gt;S.CAL!$BJ$3,AR35&lt;&gt;S.CAL!$BJ$4,$AR$5="NON"),M35-BD35,IF(AND(AT35="",AR35&lt;&gt;S.CAL!$BJ$3,AR35&lt;&gt;S.CAL!$BJ$4,$AR$5="OUI"),X35-AI35,IF(AT35&lt;&gt;0,AT35,IF(OR(AR35=S.CAL!$BJ$3,AR35=S.CAL!$BJ$4),AR35,"")))),"")</f>
        <v>0</v>
      </c>
      <c r="AN35" s="1093"/>
      <c r="AO35" s="1094"/>
      <c r="AP35" s="666">
        <f>+IF(AND(AU35="",BB35="OUI",BH35="non",BI35="OUI"),AM35,IF(AND(AU35="",BB35="OUI",BH35="oui",BI35="NON"),AM35,IF(AND(AU35="",BB35="NON",BH35="oui",BI35="NON"),M35,IF(AND(AU35="",BB35="NON",BH35="non",BI35="OUI"),M35,IF(AND(AU35="",BB35="OUI",BH35="non",BI35="NON"),"ERREUR",IF(AND(AU35="",BB35="NON",BH35="non",BI35="NON"),AM35,IF(AND(AU35="",BB35="OUI",BH35="",BI35=""),AM35,IF(AND(AU35="",BB35="NON",BH35="",BI35="",AZ35="NON"),M35,IF(AND(AU35="",BH35="",AZ35="OUI",AR35=""),AM35,IF(AND(AU35="",BH35="",AZ35="NON",AR35="",AT35=""),M35,IF(AND(OR(AR35=S.CAL!$BJ$3,AR35=S.CAL!$BJ$4),(VLOOKUP($AM$5,base_nbre_sem_mensu,2,FALSE)=52)),EE35,IF(AND(OR(AR35=S.CAL!$BJ$3,AR35=S.CAL!$BJ$4),(VLOOKUP($AM$5,base_nbre_sem_mensu,2,FALSE)&lt;52)),AM35,IF(AND(AT35&lt;&gt;"",AU35=""),AT35,AU35)))))))))))))</f>
        <v>0</v>
      </c>
      <c r="AQ35" s="1378">
        <f t="shared" si="60"/>
        <v>0</v>
      </c>
      <c r="AR35" s="1098"/>
      <c r="AS35" s="1374"/>
      <c r="AT35" s="1101"/>
      <c r="AU35" s="975"/>
      <c r="AV35" s="1370">
        <f t="shared" si="39"/>
        <v>46046</v>
      </c>
      <c r="AW35" s="1374"/>
      <c r="AX35" s="511">
        <f t="shared" si="61"/>
        <v>46046</v>
      </c>
      <c r="AY35" s="523">
        <f t="shared" si="74"/>
        <v>0</v>
      </c>
      <c r="AZ35" s="520" t="s">
        <v>137</v>
      </c>
      <c r="BA35" s="516">
        <f t="shared" si="75"/>
        <v>0</v>
      </c>
      <c r="BB35" s="549" t="str">
        <f t="shared" si="42"/>
        <v/>
      </c>
      <c r="BC35" s="523">
        <f t="shared" si="62"/>
        <v>0</v>
      </c>
      <c r="BD35" s="523">
        <f t="shared" si="63"/>
        <v>0</v>
      </c>
      <c r="BE35" s="1104"/>
      <c r="BF35" s="514" t="str">
        <f t="shared" si="43"/>
        <v/>
      </c>
      <c r="BG35" s="514" t="str">
        <f t="shared" si="64"/>
        <v>oui</v>
      </c>
      <c r="BH35" s="377" t="str">
        <f t="shared" si="44"/>
        <v/>
      </c>
      <c r="BI35" s="24" t="str">
        <f t="shared" si="45"/>
        <v/>
      </c>
      <c r="BJ35" s="1382"/>
      <c r="BK35" s="1382"/>
      <c r="BL35" s="1382"/>
      <c r="BM35" s="1382"/>
      <c r="BN35" s="1382"/>
      <c r="BO35" s="1382"/>
      <c r="BP35" s="1382"/>
      <c r="BQ35" s="1382"/>
      <c r="BR35" s="1383"/>
      <c r="BS35" s="1370">
        <f t="shared" si="10"/>
        <v>46046</v>
      </c>
      <c r="BT35" s="1384" t="str">
        <f t="shared" si="73"/>
        <v/>
      </c>
      <c r="BU35" s="1382"/>
      <c r="BV35" s="1382"/>
      <c r="BW35" s="1382"/>
      <c r="BX35" s="1382"/>
      <c r="BY35" s="1382"/>
      <c r="BZ35" s="1382"/>
      <c r="CA35" s="1382"/>
      <c r="CB35" s="1382"/>
      <c r="CD35" s="1386">
        <f t="shared" si="65"/>
        <v>0</v>
      </c>
      <c r="DC35" s="16" t="str">
        <f>Janvier!FC43</f>
        <v>non</v>
      </c>
      <c r="DG35" s="315">
        <f t="shared" si="66"/>
        <v>1</v>
      </c>
      <c r="DH35" s="129">
        <f t="shared" si="46"/>
        <v>10</v>
      </c>
      <c r="DI35" s="129">
        <f t="shared" si="67"/>
        <v>1</v>
      </c>
      <c r="DK35" s="16">
        <f>+IF(AND(Janvier!$DP$8&lt;&gt;52,AR35=S.CAL!$BJ$4),10,1)</f>
        <v>1</v>
      </c>
      <c r="DN35" s="16">
        <f t="shared" si="47"/>
        <v>1</v>
      </c>
      <c r="DU35" s="1274" t="str">
        <f t="shared" si="68"/>
        <v>Fiche infoA646046</v>
      </c>
      <c r="DV35" s="1362">
        <f t="shared" si="48"/>
        <v>0</v>
      </c>
      <c r="DW35" s="1363">
        <f t="shared" si="49"/>
        <v>0</v>
      </c>
      <c r="DX35" s="1363">
        <f t="shared" si="50"/>
        <v>0</v>
      </c>
      <c r="DY35" s="1363">
        <f t="shared" si="51"/>
        <v>0</v>
      </c>
      <c r="DZ35" s="1363">
        <f t="shared" si="52"/>
        <v>0</v>
      </c>
      <c r="EA35" s="1363">
        <f t="shared" si="53"/>
        <v>0</v>
      </c>
      <c r="EB35" s="1363">
        <f t="shared" si="54"/>
        <v>0</v>
      </c>
      <c r="EC35" s="1363">
        <f t="shared" si="55"/>
        <v>0</v>
      </c>
      <c r="ED35" s="1363">
        <f t="shared" si="69"/>
        <v>0</v>
      </c>
      <c r="EE35" s="1364">
        <f t="shared" si="70"/>
        <v>0</v>
      </c>
      <c r="EG35" s="16" t="str">
        <f t="shared" si="71"/>
        <v>42026</v>
      </c>
      <c r="EH35" s="16" t="str">
        <f t="shared" si="56"/>
        <v>Fiche infoA6</v>
      </c>
      <c r="EI35" s="16" t="str">
        <f t="shared" si="57"/>
        <v/>
      </c>
    </row>
    <row r="36" spans="1:145" x14ac:dyDescent="0.2">
      <c r="A36" s="24" t="str">
        <f>Janvier!BJ44</f>
        <v>Fiche infoA7</v>
      </c>
      <c r="B36" s="811">
        <f>Janvier!AB44</f>
        <v>46047</v>
      </c>
      <c r="C36" s="1371" t="str">
        <f t="shared" si="72"/>
        <v/>
      </c>
      <c r="D36" s="981">
        <f t="shared" si="11"/>
        <v>0</v>
      </c>
      <c r="E36" s="434">
        <f t="shared" si="12"/>
        <v>0</v>
      </c>
      <c r="F36" s="434">
        <f t="shared" si="13"/>
        <v>0</v>
      </c>
      <c r="G36" s="434">
        <f t="shared" si="14"/>
        <v>0</v>
      </c>
      <c r="H36" s="434">
        <f t="shared" si="15"/>
        <v>0</v>
      </c>
      <c r="I36" s="434">
        <f t="shared" si="16"/>
        <v>0</v>
      </c>
      <c r="J36" s="434">
        <f t="shared" si="17"/>
        <v>0</v>
      </c>
      <c r="K36" s="434">
        <f t="shared" si="18"/>
        <v>0</v>
      </c>
      <c r="L36" s="434">
        <f t="shared" si="58"/>
        <v>0</v>
      </c>
      <c r="M36" s="982">
        <f t="shared" si="59"/>
        <v>0</v>
      </c>
      <c r="O36" s="981">
        <f t="shared" si="76"/>
        <v>0</v>
      </c>
      <c r="P36" s="434">
        <f t="shared" si="77"/>
        <v>0</v>
      </c>
      <c r="Q36" s="434">
        <f t="shared" si="78"/>
        <v>0</v>
      </c>
      <c r="R36" s="434">
        <f t="shared" si="79"/>
        <v>0</v>
      </c>
      <c r="S36" s="434">
        <f t="shared" si="80"/>
        <v>0</v>
      </c>
      <c r="T36" s="434">
        <f t="shared" si="81"/>
        <v>0</v>
      </c>
      <c r="U36" s="434">
        <f t="shared" si="82"/>
        <v>0</v>
      </c>
      <c r="V36" s="434">
        <f t="shared" si="83"/>
        <v>0</v>
      </c>
      <c r="W36" s="434">
        <f t="shared" si="27"/>
        <v>0</v>
      </c>
      <c r="X36" s="982">
        <f t="shared" si="28"/>
        <v>0</v>
      </c>
      <c r="Y36" s="441"/>
      <c r="Z36" s="277">
        <f t="shared" si="29"/>
        <v>0</v>
      </c>
      <c r="AA36" s="277">
        <f t="shared" si="30"/>
        <v>0</v>
      </c>
      <c r="AB36" s="277">
        <f t="shared" si="31"/>
        <v>0</v>
      </c>
      <c r="AC36" s="277">
        <f t="shared" si="32"/>
        <v>0</v>
      </c>
      <c r="AD36" s="277">
        <f t="shared" si="33"/>
        <v>0</v>
      </c>
      <c r="AE36" s="277">
        <f t="shared" si="34"/>
        <v>0</v>
      </c>
      <c r="AF36" s="277">
        <f t="shared" si="35"/>
        <v>0</v>
      </c>
      <c r="AG36" s="277">
        <f t="shared" si="36"/>
        <v>0</v>
      </c>
      <c r="AI36" s="444">
        <f t="shared" si="84"/>
        <v>0</v>
      </c>
      <c r="AJ36" s="1090"/>
      <c r="AK36" s="489"/>
      <c r="AL36" s="811">
        <f t="shared" si="38"/>
        <v>46047</v>
      </c>
      <c r="AM36" s="666">
        <f>IFERROR(IF(AND(AT36="",AR36&lt;&gt;S.CAL!$BJ$3,AR36&lt;&gt;S.CAL!$BJ$4,$AR$5="NON"),M36-BD36,IF(AND(AT36="",AR36&lt;&gt;S.CAL!$BJ$3,AR36&lt;&gt;S.CAL!$BJ$4,$AR$5="OUI"),X36-AI36,IF(AT36&lt;&gt;0,AT36,IF(OR(AR36=S.CAL!$BJ$3,AR36=S.CAL!$BJ$4),AR36,"")))),"")</f>
        <v>0</v>
      </c>
      <c r="AN36" s="1093"/>
      <c r="AO36" s="1094"/>
      <c r="AP36" s="666">
        <f>+IF(AND(AU36="",BB36="OUI",BH36="non",BI36="OUI"),AM36,IF(AND(AU36="",BB36="OUI",BH36="oui",BI36="NON"),AM36,IF(AND(AU36="",BB36="NON",BH36="oui",BI36="NON"),M36,IF(AND(AU36="",BB36="NON",BH36="non",BI36="OUI"),M36,IF(AND(AU36="",BB36="OUI",BH36="non",BI36="NON"),"ERREUR",IF(AND(AU36="",BB36="NON",BH36="non",BI36="NON"),AM36,IF(AND(AU36="",BB36="OUI",BH36="",BI36=""),AM36,IF(AND(AU36="",BB36="NON",BH36="",BI36="",AZ36="NON"),M36,IF(AND(AU36="",BH36="",AZ36="OUI",AR36=""),AM36,IF(AND(AU36="",BH36="",AZ36="NON",AR36="",AT36=""),M36,IF(AND(OR(AR36=S.CAL!$BJ$3,AR36=S.CAL!$BJ$4),(VLOOKUP($AM$5,base_nbre_sem_mensu,2,FALSE)=52)),EE36,IF(AND(OR(AR36=S.CAL!$BJ$3,AR36=S.CAL!$BJ$4),(VLOOKUP($AM$5,base_nbre_sem_mensu,2,FALSE)&lt;52)),AM36,IF(AND(AT36&lt;&gt;"",AU36=""),AT36,AU36)))))))))))))</f>
        <v>0</v>
      </c>
      <c r="AQ36" s="498">
        <f t="shared" si="60"/>
        <v>0</v>
      </c>
      <c r="AR36" s="1098"/>
      <c r="AT36" s="1101"/>
      <c r="AU36" s="975"/>
      <c r="AV36" s="1370">
        <f t="shared" si="39"/>
        <v>46047</v>
      </c>
      <c r="AX36" s="511">
        <f t="shared" si="61"/>
        <v>46047</v>
      </c>
      <c r="AY36" s="523">
        <f t="shared" si="74"/>
        <v>0</v>
      </c>
      <c r="AZ36" s="520" t="s">
        <v>137</v>
      </c>
      <c r="BA36" s="516">
        <f t="shared" si="75"/>
        <v>0</v>
      </c>
      <c r="BB36" s="549" t="str">
        <f t="shared" si="42"/>
        <v/>
      </c>
      <c r="BC36" s="523">
        <f t="shared" si="62"/>
        <v>0</v>
      </c>
      <c r="BD36" s="523">
        <f t="shared" si="63"/>
        <v>0</v>
      </c>
      <c r="BE36" s="1104"/>
      <c r="BF36" s="514" t="str">
        <f t="shared" si="43"/>
        <v/>
      </c>
      <c r="BG36" s="514" t="str">
        <f t="shared" si="64"/>
        <v>oui</v>
      </c>
      <c r="BH36" s="377" t="str">
        <f t="shared" si="44"/>
        <v/>
      </c>
      <c r="BI36" s="24" t="str">
        <f t="shared" si="45"/>
        <v/>
      </c>
      <c r="BJ36" s="1381"/>
      <c r="BK36" s="1381"/>
      <c r="BL36" s="1381"/>
      <c r="BM36" s="1381"/>
      <c r="BN36" s="1381"/>
      <c r="BO36" s="1381"/>
      <c r="BP36" s="1381"/>
      <c r="BQ36" s="1381"/>
      <c r="BS36" s="1370">
        <f t="shared" si="10"/>
        <v>46047</v>
      </c>
      <c r="BT36" s="27" t="str">
        <f t="shared" si="73"/>
        <v/>
      </c>
      <c r="BU36" s="1380"/>
      <c r="BV36" s="1380"/>
      <c r="BW36" s="1380"/>
      <c r="BX36" s="1380"/>
      <c r="BY36" s="1380"/>
      <c r="BZ36" s="1380"/>
      <c r="CA36" s="1380"/>
      <c r="CB36" s="1380"/>
      <c r="CD36" s="1386">
        <f t="shared" si="65"/>
        <v>0</v>
      </c>
      <c r="DC36" s="16" t="str">
        <f>Janvier!FC44</f>
        <v>non</v>
      </c>
      <c r="DG36" s="315">
        <f t="shared" si="66"/>
        <v>1</v>
      </c>
      <c r="DH36" s="129">
        <f t="shared" si="46"/>
        <v>10</v>
      </c>
      <c r="DI36" s="129">
        <f t="shared" si="67"/>
        <v>1</v>
      </c>
      <c r="DK36" s="16">
        <f>+IF(AND(Janvier!$DP$8&lt;&gt;52,AR36=S.CAL!$BJ$4),10,1)</f>
        <v>1</v>
      </c>
      <c r="DN36" s="16">
        <f t="shared" si="47"/>
        <v>1</v>
      </c>
      <c r="DU36" s="1274" t="str">
        <f t="shared" si="68"/>
        <v>Fiche infoA746047</v>
      </c>
      <c r="DV36" s="1362">
        <f t="shared" si="48"/>
        <v>0</v>
      </c>
      <c r="DW36" s="1363">
        <f t="shared" si="49"/>
        <v>0</v>
      </c>
      <c r="DX36" s="1363">
        <f t="shared" si="50"/>
        <v>0</v>
      </c>
      <c r="DY36" s="1363">
        <f t="shared" si="51"/>
        <v>0</v>
      </c>
      <c r="DZ36" s="1363">
        <f t="shared" si="52"/>
        <v>0</v>
      </c>
      <c r="EA36" s="1363">
        <f t="shared" si="53"/>
        <v>0</v>
      </c>
      <c r="EB36" s="1363">
        <f t="shared" si="54"/>
        <v>0</v>
      </c>
      <c r="EC36" s="1363">
        <f t="shared" si="55"/>
        <v>0</v>
      </c>
      <c r="ED36" s="1363">
        <f t="shared" si="69"/>
        <v>0</v>
      </c>
      <c r="EE36" s="1364">
        <f t="shared" si="70"/>
        <v>0</v>
      </c>
      <c r="EG36" s="16" t="str">
        <f t="shared" si="71"/>
        <v>42026</v>
      </c>
      <c r="EH36" s="16" t="str">
        <f t="shared" si="56"/>
        <v>Fiche infoA7</v>
      </c>
      <c r="EI36" s="16" t="str">
        <f t="shared" si="57"/>
        <v/>
      </c>
    </row>
    <row r="37" spans="1:145" x14ac:dyDescent="0.2">
      <c r="A37" s="1373" t="str">
        <f>Janvier!BJ45</f>
        <v>Fiche infoA1</v>
      </c>
      <c r="B37" s="811">
        <f>Janvier!AB45</f>
        <v>46048</v>
      </c>
      <c r="C37" s="1372">
        <f t="shared" si="72"/>
        <v>5</v>
      </c>
      <c r="D37" s="981">
        <f t="shared" si="11"/>
        <v>0</v>
      </c>
      <c r="E37" s="434">
        <f t="shared" si="12"/>
        <v>0</v>
      </c>
      <c r="F37" s="434">
        <f t="shared" si="13"/>
        <v>0</v>
      </c>
      <c r="G37" s="434">
        <f t="shared" si="14"/>
        <v>0</v>
      </c>
      <c r="H37" s="434">
        <f t="shared" si="15"/>
        <v>0</v>
      </c>
      <c r="I37" s="434">
        <f t="shared" si="16"/>
        <v>0</v>
      </c>
      <c r="J37" s="434">
        <f t="shared" si="17"/>
        <v>0</v>
      </c>
      <c r="K37" s="434">
        <f t="shared" si="18"/>
        <v>0</v>
      </c>
      <c r="L37" s="434">
        <f t="shared" si="58"/>
        <v>0</v>
      </c>
      <c r="M37" s="982">
        <f t="shared" si="59"/>
        <v>0</v>
      </c>
      <c r="N37" s="1374"/>
      <c r="O37" s="981">
        <f t="shared" si="76"/>
        <v>0</v>
      </c>
      <c r="P37" s="434">
        <f t="shared" si="77"/>
        <v>0</v>
      </c>
      <c r="Q37" s="434">
        <f t="shared" si="78"/>
        <v>0</v>
      </c>
      <c r="R37" s="434">
        <f t="shared" si="79"/>
        <v>0</v>
      </c>
      <c r="S37" s="434">
        <f t="shared" si="80"/>
        <v>0</v>
      </c>
      <c r="T37" s="434">
        <f t="shared" si="81"/>
        <v>0</v>
      </c>
      <c r="U37" s="434">
        <f t="shared" si="82"/>
        <v>0</v>
      </c>
      <c r="V37" s="434">
        <f t="shared" si="83"/>
        <v>0</v>
      </c>
      <c r="W37" s="434">
        <f t="shared" si="27"/>
        <v>0</v>
      </c>
      <c r="X37" s="982">
        <f t="shared" si="28"/>
        <v>0</v>
      </c>
      <c r="Y37" s="1375"/>
      <c r="Z37" s="1376">
        <f t="shared" si="29"/>
        <v>0</v>
      </c>
      <c r="AA37" s="1376">
        <f t="shared" si="30"/>
        <v>0</v>
      </c>
      <c r="AB37" s="1376">
        <f t="shared" si="31"/>
        <v>0</v>
      </c>
      <c r="AC37" s="1376">
        <f t="shared" si="32"/>
        <v>0</v>
      </c>
      <c r="AD37" s="1376">
        <f t="shared" si="33"/>
        <v>0</v>
      </c>
      <c r="AE37" s="1376">
        <f t="shared" si="34"/>
        <v>0</v>
      </c>
      <c r="AF37" s="1376">
        <f t="shared" si="35"/>
        <v>0</v>
      </c>
      <c r="AG37" s="1376">
        <f t="shared" si="36"/>
        <v>0</v>
      </c>
      <c r="AH37" s="1374"/>
      <c r="AI37" s="444">
        <f t="shared" si="84"/>
        <v>0</v>
      </c>
      <c r="AJ37" s="1090"/>
      <c r="AK37" s="1377"/>
      <c r="AL37" s="811">
        <f t="shared" si="38"/>
        <v>46048</v>
      </c>
      <c r="AM37" s="666">
        <f>IFERROR(IF(AND(AT37="",AR37&lt;&gt;S.CAL!$BJ$3,AR37&lt;&gt;S.CAL!$BJ$4,$AR$5="NON"),M37-BD37,IF(AND(AT37="",AR37&lt;&gt;S.CAL!$BJ$3,AR37&lt;&gt;S.CAL!$BJ$4,$AR$5="OUI"),X37-AI37,IF(AT37&lt;&gt;0,AT37,IF(OR(AR37=S.CAL!$BJ$3,AR37=S.CAL!$BJ$4),AR37,"")))),"")</f>
        <v>0</v>
      </c>
      <c r="AN37" s="1093"/>
      <c r="AO37" s="1094"/>
      <c r="AP37" s="666">
        <f>+IF(AND(AU37="",BB37="OUI",BH37="non",BI37="OUI"),AM37,IF(AND(AU37="",BB37="OUI",BH37="oui",BI37="NON"),AM37,IF(AND(AU37="",BB37="NON",BH37="oui",BI37="NON"),M37,IF(AND(AU37="",BB37="NON",BH37="non",BI37="OUI"),M37,IF(AND(AU37="",BB37="OUI",BH37="non",BI37="NON"),"ERREUR",IF(AND(AU37="",BB37="NON",BH37="non",BI37="NON"),AM37,IF(AND(AU37="",BB37="OUI",BH37="",BI37=""),AM37,IF(AND(AU37="",BB37="NON",BH37="",BI37="",AZ37="NON"),M37,IF(AND(AU37="",BH37="",AZ37="OUI",AR37=""),AM37,IF(AND(AU37="",BH37="",AZ37="NON",AR37="",AT37=""),M37,IF(AND(OR(AR37=S.CAL!$BJ$3,AR37=S.CAL!$BJ$4),(VLOOKUP($AM$5,base_nbre_sem_mensu,2,FALSE)=52)),EE37,IF(AND(OR(AR37=S.CAL!$BJ$3,AR37=S.CAL!$BJ$4),(VLOOKUP($AM$5,base_nbre_sem_mensu,2,FALSE)&lt;52)),AM37,IF(AND(AT37&lt;&gt;"",AU37=""),AT37,AU37)))))))))))))</f>
        <v>0</v>
      </c>
      <c r="AQ37" s="1378">
        <f t="shared" si="60"/>
        <v>0</v>
      </c>
      <c r="AR37" s="1098"/>
      <c r="AS37" s="1374"/>
      <c r="AT37" s="1101"/>
      <c r="AU37" s="975"/>
      <c r="AV37" s="1370">
        <f t="shared" si="39"/>
        <v>46048</v>
      </c>
      <c r="AW37" s="1374"/>
      <c r="AX37" s="511">
        <f t="shared" si="61"/>
        <v>46048</v>
      </c>
      <c r="AY37" s="523">
        <f t="shared" si="74"/>
        <v>0</v>
      </c>
      <c r="AZ37" s="520" t="s">
        <v>137</v>
      </c>
      <c r="BA37" s="516">
        <f t="shared" si="75"/>
        <v>0</v>
      </c>
      <c r="BB37" s="549" t="str">
        <f t="shared" si="42"/>
        <v/>
      </c>
      <c r="BC37" s="523">
        <f t="shared" si="62"/>
        <v>0</v>
      </c>
      <c r="BD37" s="523">
        <f t="shared" si="63"/>
        <v>0</v>
      </c>
      <c r="BE37" s="1104"/>
      <c r="BF37" s="514" t="str">
        <f t="shared" si="43"/>
        <v/>
      </c>
      <c r="BG37" s="514" t="str">
        <f t="shared" si="64"/>
        <v>oui</v>
      </c>
      <c r="BH37" s="377" t="str">
        <f t="shared" si="44"/>
        <v/>
      </c>
      <c r="BI37" s="24" t="str">
        <f t="shared" si="45"/>
        <v/>
      </c>
      <c r="BJ37" s="1382"/>
      <c r="BK37" s="1382"/>
      <c r="BL37" s="1382"/>
      <c r="BM37" s="1382"/>
      <c r="BN37" s="1382"/>
      <c r="BO37" s="1382"/>
      <c r="BP37" s="1382"/>
      <c r="BQ37" s="1382"/>
      <c r="BR37" s="1383"/>
      <c r="BS37" s="1370">
        <f t="shared" si="10"/>
        <v>46048</v>
      </c>
      <c r="BT37" s="1384">
        <f t="shared" si="73"/>
        <v>5</v>
      </c>
      <c r="BU37" s="1382"/>
      <c r="BV37" s="1382"/>
      <c r="BW37" s="1382"/>
      <c r="BX37" s="1382"/>
      <c r="BY37" s="1382"/>
      <c r="BZ37" s="1382"/>
      <c r="CA37" s="1382"/>
      <c r="CB37" s="1382"/>
      <c r="CD37" s="1386">
        <f t="shared" si="65"/>
        <v>0</v>
      </c>
      <c r="DC37" s="16" t="str">
        <f>Janvier!FC45</f>
        <v>non</v>
      </c>
      <c r="DG37" s="315">
        <f t="shared" si="66"/>
        <v>1</v>
      </c>
      <c r="DH37" s="129">
        <f t="shared" si="46"/>
        <v>10</v>
      </c>
      <c r="DI37" s="129">
        <f t="shared" si="67"/>
        <v>1</v>
      </c>
      <c r="DK37" s="16">
        <f>+IF(AND(Janvier!$DP$8&lt;&gt;52,AR37=S.CAL!$BJ$4),10,1)</f>
        <v>1</v>
      </c>
      <c r="DN37" s="16">
        <f t="shared" si="47"/>
        <v>1</v>
      </c>
      <c r="DU37" s="1274" t="str">
        <f t="shared" si="68"/>
        <v>Fiche infoA146048</v>
      </c>
      <c r="DV37" s="1362">
        <f t="shared" si="48"/>
        <v>0</v>
      </c>
      <c r="DW37" s="1363">
        <f t="shared" si="49"/>
        <v>0</v>
      </c>
      <c r="DX37" s="1363">
        <f t="shared" si="50"/>
        <v>0</v>
      </c>
      <c r="DY37" s="1363">
        <f t="shared" si="51"/>
        <v>0</v>
      </c>
      <c r="DZ37" s="1363">
        <f t="shared" si="52"/>
        <v>0</v>
      </c>
      <c r="EA37" s="1363">
        <f t="shared" si="53"/>
        <v>0</v>
      </c>
      <c r="EB37" s="1363">
        <f t="shared" si="54"/>
        <v>0</v>
      </c>
      <c r="EC37" s="1363">
        <f t="shared" si="55"/>
        <v>0</v>
      </c>
      <c r="ED37" s="1363">
        <f t="shared" si="69"/>
        <v>0</v>
      </c>
      <c r="EE37" s="1364">
        <f t="shared" si="70"/>
        <v>0</v>
      </c>
      <c r="EG37" s="16" t="str">
        <f t="shared" si="71"/>
        <v>52026</v>
      </c>
      <c r="EH37" s="16" t="str">
        <f t="shared" si="56"/>
        <v>Fiche infoA1</v>
      </c>
      <c r="EI37" s="16" t="str">
        <f t="shared" si="57"/>
        <v/>
      </c>
    </row>
    <row r="38" spans="1:145" x14ac:dyDescent="0.2">
      <c r="A38" s="24" t="str">
        <f>Janvier!BJ46</f>
        <v>Fiche infoA2</v>
      </c>
      <c r="B38" s="811">
        <f>Janvier!AB46</f>
        <v>46049</v>
      </c>
      <c r="C38" s="1371" t="str">
        <f t="shared" si="72"/>
        <v/>
      </c>
      <c r="D38" s="981">
        <f t="shared" si="11"/>
        <v>0</v>
      </c>
      <c r="E38" s="434">
        <f t="shared" si="12"/>
        <v>0</v>
      </c>
      <c r="F38" s="434">
        <f t="shared" si="13"/>
        <v>0</v>
      </c>
      <c r="G38" s="434">
        <f t="shared" si="14"/>
        <v>0</v>
      </c>
      <c r="H38" s="434">
        <f t="shared" si="15"/>
        <v>0</v>
      </c>
      <c r="I38" s="434">
        <f t="shared" si="16"/>
        <v>0</v>
      </c>
      <c r="J38" s="434">
        <f t="shared" si="17"/>
        <v>0</v>
      </c>
      <c r="K38" s="434">
        <f t="shared" si="18"/>
        <v>0</v>
      </c>
      <c r="L38" s="434">
        <f t="shared" si="58"/>
        <v>0</v>
      </c>
      <c r="M38" s="982">
        <f t="shared" si="59"/>
        <v>0</v>
      </c>
      <c r="O38" s="981">
        <f t="shared" si="76"/>
        <v>0</v>
      </c>
      <c r="P38" s="434">
        <f t="shared" si="77"/>
        <v>0</v>
      </c>
      <c r="Q38" s="434">
        <f t="shared" si="78"/>
        <v>0</v>
      </c>
      <c r="R38" s="434">
        <f t="shared" si="79"/>
        <v>0</v>
      </c>
      <c r="S38" s="434">
        <f t="shared" si="80"/>
        <v>0</v>
      </c>
      <c r="T38" s="434">
        <f t="shared" si="81"/>
        <v>0</v>
      </c>
      <c r="U38" s="434">
        <f t="shared" si="82"/>
        <v>0</v>
      </c>
      <c r="V38" s="434">
        <f t="shared" si="83"/>
        <v>0</v>
      </c>
      <c r="W38" s="434">
        <f t="shared" si="27"/>
        <v>0</v>
      </c>
      <c r="X38" s="982">
        <f t="shared" si="28"/>
        <v>0</v>
      </c>
      <c r="Y38" s="441"/>
      <c r="Z38" s="277">
        <f t="shared" si="29"/>
        <v>0</v>
      </c>
      <c r="AA38" s="277">
        <f t="shared" si="30"/>
        <v>0</v>
      </c>
      <c r="AB38" s="277">
        <f t="shared" si="31"/>
        <v>0</v>
      </c>
      <c r="AC38" s="277">
        <f t="shared" si="32"/>
        <v>0</v>
      </c>
      <c r="AD38" s="277">
        <f t="shared" si="33"/>
        <v>0</v>
      </c>
      <c r="AE38" s="277">
        <f t="shared" si="34"/>
        <v>0</v>
      </c>
      <c r="AF38" s="277">
        <f t="shared" si="35"/>
        <v>0</v>
      </c>
      <c r="AG38" s="277">
        <f t="shared" si="36"/>
        <v>0</v>
      </c>
      <c r="AI38" s="444">
        <f t="shared" si="84"/>
        <v>0</v>
      </c>
      <c r="AJ38" s="1090"/>
      <c r="AK38" s="489"/>
      <c r="AL38" s="811">
        <f t="shared" si="38"/>
        <v>46049</v>
      </c>
      <c r="AM38" s="666">
        <f>IFERROR(IF(AND(AT38="",AR38&lt;&gt;S.CAL!$BJ$3,AR38&lt;&gt;S.CAL!$BJ$4,$AR$5="NON"),M38-BD38,IF(AND(AT38="",AR38&lt;&gt;S.CAL!$BJ$3,AR38&lt;&gt;S.CAL!$BJ$4,$AR$5="OUI"),X38-AI38,IF(AT38&lt;&gt;0,AT38,IF(OR(AR38=S.CAL!$BJ$3,AR38=S.CAL!$BJ$4),AR38,"")))),"")</f>
        <v>0</v>
      </c>
      <c r="AN38" s="1093"/>
      <c r="AO38" s="1094"/>
      <c r="AP38" s="666">
        <f>+IF(AND(AU38="",BB38="OUI",BH38="non",BI38="OUI"),AM38,IF(AND(AU38="",BB38="OUI",BH38="oui",BI38="NON"),AM38,IF(AND(AU38="",BB38="NON",BH38="oui",BI38="NON"),M38,IF(AND(AU38="",BB38="NON",BH38="non",BI38="OUI"),M38,IF(AND(AU38="",BB38="OUI",BH38="non",BI38="NON"),"ERREUR",IF(AND(AU38="",BB38="NON",BH38="non",BI38="NON"),AM38,IF(AND(AU38="",BB38="OUI",BH38="",BI38=""),AM38,IF(AND(AU38="",BB38="NON",BH38="",BI38="",AZ38="NON"),M38,IF(AND(AU38="",BH38="",AZ38="OUI",AR38=""),AM38,IF(AND(AU38="",BH38="",AZ38="NON",AR38="",AT38=""),M38,IF(AND(OR(AR38=S.CAL!$BJ$3,AR38=S.CAL!$BJ$4),(VLOOKUP($AM$5,base_nbre_sem_mensu,2,FALSE)=52)),EE38,IF(AND(OR(AR38=S.CAL!$BJ$3,AR38=S.CAL!$BJ$4),(VLOOKUP($AM$5,base_nbre_sem_mensu,2,FALSE)&lt;52)),AM38,IF(AND(AT38&lt;&gt;"",AU38=""),AT38,AU38)))))))))))))</f>
        <v>0</v>
      </c>
      <c r="AQ38" s="498">
        <f t="shared" si="60"/>
        <v>0</v>
      </c>
      <c r="AR38" s="1098"/>
      <c r="AT38" s="1101"/>
      <c r="AU38" s="975"/>
      <c r="AV38" s="1370">
        <f t="shared" si="39"/>
        <v>46049</v>
      </c>
      <c r="AX38" s="511">
        <f t="shared" si="61"/>
        <v>46049</v>
      </c>
      <c r="AY38" s="523">
        <f t="shared" si="74"/>
        <v>0</v>
      </c>
      <c r="AZ38" s="520" t="s">
        <v>137</v>
      </c>
      <c r="BA38" s="516">
        <f t="shared" si="75"/>
        <v>0</v>
      </c>
      <c r="BB38" s="549" t="str">
        <f t="shared" si="42"/>
        <v/>
      </c>
      <c r="BC38" s="523">
        <f t="shared" si="62"/>
        <v>0</v>
      </c>
      <c r="BD38" s="523">
        <f t="shared" si="63"/>
        <v>0</v>
      </c>
      <c r="BE38" s="1104"/>
      <c r="BF38" s="514" t="str">
        <f t="shared" si="43"/>
        <v/>
      </c>
      <c r="BG38" s="514" t="str">
        <f t="shared" si="64"/>
        <v>oui</v>
      </c>
      <c r="BH38" s="377" t="str">
        <f t="shared" si="44"/>
        <v/>
      </c>
      <c r="BI38" s="24" t="str">
        <f t="shared" si="45"/>
        <v/>
      </c>
      <c r="BJ38" s="1381"/>
      <c r="BK38" s="1381"/>
      <c r="BL38" s="1381"/>
      <c r="BM38" s="1381"/>
      <c r="BN38" s="1381"/>
      <c r="BO38" s="1381"/>
      <c r="BP38" s="1381"/>
      <c r="BQ38" s="1381"/>
      <c r="BS38" s="1370">
        <f t="shared" si="10"/>
        <v>46049</v>
      </c>
      <c r="BT38" s="27" t="str">
        <f t="shared" si="73"/>
        <v/>
      </c>
      <c r="BU38" s="1380"/>
      <c r="BV38" s="1380"/>
      <c r="BW38" s="1380"/>
      <c r="BX38" s="1380"/>
      <c r="BY38" s="1380"/>
      <c r="BZ38" s="1380"/>
      <c r="CA38" s="1380"/>
      <c r="CB38" s="1380"/>
      <c r="CD38" s="1386">
        <f t="shared" si="65"/>
        <v>0</v>
      </c>
      <c r="DC38" s="16" t="str">
        <f>Janvier!FC46</f>
        <v>non</v>
      </c>
      <c r="DG38" s="315">
        <f t="shared" si="66"/>
        <v>1</v>
      </c>
      <c r="DH38" s="129">
        <f t="shared" si="46"/>
        <v>10</v>
      </c>
      <c r="DI38" s="129">
        <f t="shared" si="67"/>
        <v>1</v>
      </c>
      <c r="DK38" s="16">
        <f>+IF(AND(Janvier!$DP$8&lt;&gt;52,AR38=S.CAL!$BJ$4),10,1)</f>
        <v>1</v>
      </c>
      <c r="DN38" s="16">
        <f t="shared" si="47"/>
        <v>1</v>
      </c>
      <c r="DU38" s="1274" t="str">
        <f t="shared" si="68"/>
        <v>Fiche infoA246049</v>
      </c>
      <c r="DV38" s="1362">
        <f t="shared" si="48"/>
        <v>0</v>
      </c>
      <c r="DW38" s="1363">
        <f t="shared" si="49"/>
        <v>0</v>
      </c>
      <c r="DX38" s="1363">
        <f t="shared" si="50"/>
        <v>0</v>
      </c>
      <c r="DY38" s="1363">
        <f t="shared" si="51"/>
        <v>0</v>
      </c>
      <c r="DZ38" s="1363">
        <f t="shared" si="52"/>
        <v>0</v>
      </c>
      <c r="EA38" s="1363">
        <f t="shared" si="53"/>
        <v>0</v>
      </c>
      <c r="EB38" s="1363">
        <f t="shared" si="54"/>
        <v>0</v>
      </c>
      <c r="EC38" s="1363">
        <f t="shared" si="55"/>
        <v>0</v>
      </c>
      <c r="ED38" s="1363">
        <f t="shared" si="69"/>
        <v>0</v>
      </c>
      <c r="EE38" s="1364">
        <f t="shared" si="70"/>
        <v>0</v>
      </c>
      <c r="EG38" s="16" t="str">
        <f t="shared" si="71"/>
        <v>52026</v>
      </c>
      <c r="EH38" s="16" t="str">
        <f t="shared" si="56"/>
        <v>Fiche infoA2</v>
      </c>
      <c r="EI38" s="16" t="str">
        <f t="shared" si="57"/>
        <v/>
      </c>
    </row>
    <row r="39" spans="1:145" x14ac:dyDescent="0.2">
      <c r="A39" s="1373" t="str">
        <f>Janvier!BJ47</f>
        <v>Fiche infoA3</v>
      </c>
      <c r="B39" s="811">
        <f>Janvier!AB47</f>
        <v>46050</v>
      </c>
      <c r="C39" s="1372" t="str">
        <f t="shared" si="72"/>
        <v/>
      </c>
      <c r="D39" s="981">
        <f t="shared" si="11"/>
        <v>0</v>
      </c>
      <c r="E39" s="434">
        <f t="shared" si="12"/>
        <v>0</v>
      </c>
      <c r="F39" s="434">
        <f t="shared" si="13"/>
        <v>0</v>
      </c>
      <c r="G39" s="434">
        <f t="shared" si="14"/>
        <v>0</v>
      </c>
      <c r="H39" s="434">
        <f t="shared" si="15"/>
        <v>0</v>
      </c>
      <c r="I39" s="434">
        <f t="shared" si="16"/>
        <v>0</v>
      </c>
      <c r="J39" s="434">
        <f t="shared" si="17"/>
        <v>0</v>
      </c>
      <c r="K39" s="434">
        <f t="shared" si="18"/>
        <v>0</v>
      </c>
      <c r="L39" s="434">
        <f t="shared" si="58"/>
        <v>0</v>
      </c>
      <c r="M39" s="982">
        <f t="shared" si="59"/>
        <v>0</v>
      </c>
      <c r="N39" s="1374"/>
      <c r="O39" s="981">
        <f t="shared" si="76"/>
        <v>0</v>
      </c>
      <c r="P39" s="434">
        <f t="shared" si="77"/>
        <v>0</v>
      </c>
      <c r="Q39" s="434">
        <f t="shared" si="78"/>
        <v>0</v>
      </c>
      <c r="R39" s="434">
        <f t="shared" si="79"/>
        <v>0</v>
      </c>
      <c r="S39" s="434">
        <f t="shared" si="80"/>
        <v>0</v>
      </c>
      <c r="T39" s="434">
        <f t="shared" si="81"/>
        <v>0</v>
      </c>
      <c r="U39" s="434">
        <f t="shared" si="82"/>
        <v>0</v>
      </c>
      <c r="V39" s="434">
        <f t="shared" si="83"/>
        <v>0</v>
      </c>
      <c r="W39" s="434">
        <f t="shared" si="27"/>
        <v>0</v>
      </c>
      <c r="X39" s="982">
        <f t="shared" si="28"/>
        <v>0</v>
      </c>
      <c r="Y39" s="1375"/>
      <c r="Z39" s="1376">
        <f t="shared" si="29"/>
        <v>0</v>
      </c>
      <c r="AA39" s="1376">
        <f t="shared" si="30"/>
        <v>0</v>
      </c>
      <c r="AB39" s="1376">
        <f t="shared" si="31"/>
        <v>0</v>
      </c>
      <c r="AC39" s="1376">
        <f t="shared" si="32"/>
        <v>0</v>
      </c>
      <c r="AD39" s="1376">
        <f t="shared" si="33"/>
        <v>0</v>
      </c>
      <c r="AE39" s="1376">
        <f t="shared" si="34"/>
        <v>0</v>
      </c>
      <c r="AF39" s="1376">
        <f t="shared" si="35"/>
        <v>0</v>
      </c>
      <c r="AG39" s="1376">
        <f t="shared" si="36"/>
        <v>0</v>
      </c>
      <c r="AH39" s="1374"/>
      <c r="AI39" s="444">
        <f t="shared" si="84"/>
        <v>0</v>
      </c>
      <c r="AJ39" s="1090"/>
      <c r="AK39" s="1377"/>
      <c r="AL39" s="811">
        <f t="shared" si="38"/>
        <v>46050</v>
      </c>
      <c r="AM39" s="666">
        <f>IFERROR(IF(AND(AT39="",AR39&lt;&gt;S.CAL!$BJ$3,AR39&lt;&gt;S.CAL!$BJ$4,$AR$5="NON"),M39-BD39,IF(AND(AT39="",AR39&lt;&gt;S.CAL!$BJ$3,AR39&lt;&gt;S.CAL!$BJ$4,$AR$5="OUI"),X39-AI39,IF(AT39&lt;&gt;0,AT39,IF(OR(AR39=S.CAL!$BJ$3,AR39=S.CAL!$BJ$4),AR39,"")))),"")</f>
        <v>0</v>
      </c>
      <c r="AN39" s="1093"/>
      <c r="AO39" s="1094"/>
      <c r="AP39" s="666">
        <f>+IF(AND(AU39="",BB39="OUI",BH39="non",BI39="OUI"),AM39,IF(AND(AU39="",BB39="OUI",BH39="oui",BI39="NON"),AM39,IF(AND(AU39="",BB39="NON",BH39="oui",BI39="NON"),M39,IF(AND(AU39="",BB39="NON",BH39="non",BI39="OUI"),M39,IF(AND(AU39="",BB39="OUI",BH39="non",BI39="NON"),"ERREUR",IF(AND(AU39="",BB39="NON",BH39="non",BI39="NON"),AM39,IF(AND(AU39="",BB39="OUI",BH39="",BI39=""),AM39,IF(AND(AU39="",BB39="NON",BH39="",BI39="",AZ39="NON"),M39,IF(AND(AU39="",BH39="",AZ39="OUI",AR39=""),AM39,IF(AND(AU39="",BH39="",AZ39="NON",AR39="",AT39=""),M39,IF(AND(OR(AR39=S.CAL!$BJ$3,AR39=S.CAL!$BJ$4),(VLOOKUP($AM$5,base_nbre_sem_mensu,2,FALSE)=52)),EE39,IF(AND(OR(AR39=S.CAL!$BJ$3,AR39=S.CAL!$BJ$4),(VLOOKUP($AM$5,base_nbre_sem_mensu,2,FALSE)&lt;52)),AM39,IF(AND(AT39&lt;&gt;"",AU39=""),AT39,AU39)))))))))))))</f>
        <v>0</v>
      </c>
      <c r="AQ39" s="1378">
        <f t="shared" si="60"/>
        <v>0</v>
      </c>
      <c r="AR39" s="1098"/>
      <c r="AS39" s="1374"/>
      <c r="AT39" s="1101"/>
      <c r="AU39" s="975"/>
      <c r="AV39" s="1370">
        <f t="shared" si="39"/>
        <v>46050</v>
      </c>
      <c r="AW39" s="1374"/>
      <c r="AX39" s="511">
        <f t="shared" si="61"/>
        <v>46050</v>
      </c>
      <c r="AY39" s="523">
        <f t="shared" si="74"/>
        <v>0</v>
      </c>
      <c r="AZ39" s="520" t="s">
        <v>137</v>
      </c>
      <c r="BA39" s="516">
        <f t="shared" si="75"/>
        <v>0</v>
      </c>
      <c r="BB39" s="549" t="str">
        <f t="shared" si="42"/>
        <v/>
      </c>
      <c r="BC39" s="523">
        <f t="shared" si="62"/>
        <v>0</v>
      </c>
      <c r="BD39" s="523">
        <f t="shared" si="63"/>
        <v>0</v>
      </c>
      <c r="BE39" s="1104"/>
      <c r="BF39" s="514" t="str">
        <f t="shared" si="43"/>
        <v/>
      </c>
      <c r="BG39" s="514" t="str">
        <f t="shared" si="64"/>
        <v>oui</v>
      </c>
      <c r="BH39" s="377" t="str">
        <f t="shared" si="44"/>
        <v/>
      </c>
      <c r="BI39" s="24" t="str">
        <f t="shared" si="45"/>
        <v/>
      </c>
      <c r="BJ39" s="1382"/>
      <c r="BK39" s="1382"/>
      <c r="BL39" s="1382"/>
      <c r="BM39" s="1382"/>
      <c r="BN39" s="1382"/>
      <c r="BO39" s="1382"/>
      <c r="BP39" s="1382"/>
      <c r="BQ39" s="1382"/>
      <c r="BR39" s="1383"/>
      <c r="BS39" s="1370">
        <f t="shared" si="10"/>
        <v>46050</v>
      </c>
      <c r="BT39" s="1384" t="str">
        <f t="shared" si="73"/>
        <v/>
      </c>
      <c r="BU39" s="1382"/>
      <c r="BV39" s="1382"/>
      <c r="BW39" s="1382"/>
      <c r="BX39" s="1382"/>
      <c r="BY39" s="1382"/>
      <c r="BZ39" s="1382"/>
      <c r="CA39" s="1382"/>
      <c r="CB39" s="1382"/>
      <c r="CD39" s="1386">
        <f t="shared" si="65"/>
        <v>0</v>
      </c>
      <c r="DC39" s="16" t="str">
        <f>Janvier!FC47</f>
        <v>non</v>
      </c>
      <c r="DG39" s="315">
        <f t="shared" si="66"/>
        <v>1</v>
      </c>
      <c r="DH39" s="129">
        <f t="shared" si="46"/>
        <v>10</v>
      </c>
      <c r="DI39" s="129">
        <f t="shared" si="67"/>
        <v>1</v>
      </c>
      <c r="DK39" s="16">
        <f>+IF(AND(Janvier!$DP$8&lt;&gt;52,AR39=S.CAL!$BJ$4),10,1)</f>
        <v>1</v>
      </c>
      <c r="DN39" s="16">
        <f t="shared" si="47"/>
        <v>1</v>
      </c>
      <c r="DU39" s="1274" t="str">
        <f t="shared" si="68"/>
        <v>Fiche infoA346050</v>
      </c>
      <c r="DV39" s="1362">
        <f t="shared" si="48"/>
        <v>0</v>
      </c>
      <c r="DW39" s="1363">
        <f t="shared" si="49"/>
        <v>0</v>
      </c>
      <c r="DX39" s="1363">
        <f t="shared" si="50"/>
        <v>0</v>
      </c>
      <c r="DY39" s="1363">
        <f t="shared" si="51"/>
        <v>0</v>
      </c>
      <c r="DZ39" s="1363">
        <f t="shared" si="52"/>
        <v>0</v>
      </c>
      <c r="EA39" s="1363">
        <f t="shared" si="53"/>
        <v>0</v>
      </c>
      <c r="EB39" s="1363">
        <f t="shared" si="54"/>
        <v>0</v>
      </c>
      <c r="EC39" s="1363">
        <f t="shared" si="55"/>
        <v>0</v>
      </c>
      <c r="ED39" s="1363">
        <f t="shared" si="69"/>
        <v>0</v>
      </c>
      <c r="EE39" s="1364">
        <f t="shared" si="70"/>
        <v>0</v>
      </c>
      <c r="EG39" s="16" t="str">
        <f t="shared" si="71"/>
        <v>52026</v>
      </c>
      <c r="EH39" s="16" t="str">
        <f t="shared" si="56"/>
        <v>Fiche infoA3</v>
      </c>
      <c r="EI39" s="16" t="str">
        <f t="shared" si="57"/>
        <v/>
      </c>
    </row>
    <row r="40" spans="1:145" x14ac:dyDescent="0.2">
      <c r="A40" s="24" t="str">
        <f>Janvier!BJ48</f>
        <v>Fiche infoA4</v>
      </c>
      <c r="B40" s="811">
        <f>Janvier!AB48</f>
        <v>46051</v>
      </c>
      <c r="C40" s="1371" t="str">
        <f t="shared" si="72"/>
        <v/>
      </c>
      <c r="D40" s="981">
        <f t="shared" si="11"/>
        <v>0</v>
      </c>
      <c r="E40" s="434">
        <f t="shared" si="12"/>
        <v>0</v>
      </c>
      <c r="F40" s="434">
        <f t="shared" si="13"/>
        <v>0</v>
      </c>
      <c r="G40" s="434">
        <f t="shared" si="14"/>
        <v>0</v>
      </c>
      <c r="H40" s="434">
        <f t="shared" si="15"/>
        <v>0</v>
      </c>
      <c r="I40" s="434">
        <f t="shared" si="16"/>
        <v>0</v>
      </c>
      <c r="J40" s="434">
        <f t="shared" si="17"/>
        <v>0</v>
      </c>
      <c r="K40" s="434">
        <f t="shared" si="18"/>
        <v>0</v>
      </c>
      <c r="L40" s="434">
        <f t="shared" si="58"/>
        <v>0</v>
      </c>
      <c r="M40" s="982">
        <f t="shared" si="59"/>
        <v>0</v>
      </c>
      <c r="O40" s="981">
        <f t="shared" si="76"/>
        <v>0</v>
      </c>
      <c r="P40" s="434">
        <f t="shared" si="77"/>
        <v>0</v>
      </c>
      <c r="Q40" s="434">
        <f t="shared" si="78"/>
        <v>0</v>
      </c>
      <c r="R40" s="434">
        <f t="shared" si="79"/>
        <v>0</v>
      </c>
      <c r="S40" s="434">
        <f t="shared" si="80"/>
        <v>0</v>
      </c>
      <c r="T40" s="434">
        <f t="shared" si="81"/>
        <v>0</v>
      </c>
      <c r="U40" s="434">
        <f t="shared" si="82"/>
        <v>0</v>
      </c>
      <c r="V40" s="434">
        <f t="shared" si="83"/>
        <v>0</v>
      </c>
      <c r="W40" s="434">
        <f t="shared" si="27"/>
        <v>0</v>
      </c>
      <c r="X40" s="982">
        <f t="shared" si="28"/>
        <v>0</v>
      </c>
      <c r="Y40" s="441"/>
      <c r="Z40" s="277">
        <f t="shared" si="29"/>
        <v>0</v>
      </c>
      <c r="AA40" s="277">
        <f t="shared" si="30"/>
        <v>0</v>
      </c>
      <c r="AB40" s="277">
        <f t="shared" si="31"/>
        <v>0</v>
      </c>
      <c r="AC40" s="277">
        <f t="shared" si="32"/>
        <v>0</v>
      </c>
      <c r="AD40" s="277">
        <f t="shared" si="33"/>
        <v>0</v>
      </c>
      <c r="AE40" s="277">
        <f t="shared" si="34"/>
        <v>0</v>
      </c>
      <c r="AF40" s="277">
        <f t="shared" si="35"/>
        <v>0</v>
      </c>
      <c r="AG40" s="277">
        <f t="shared" si="36"/>
        <v>0</v>
      </c>
      <c r="AI40" s="444">
        <f t="shared" si="84"/>
        <v>0</v>
      </c>
      <c r="AJ40" s="1090"/>
      <c r="AK40" s="489"/>
      <c r="AL40" s="811">
        <f t="shared" si="38"/>
        <v>46051</v>
      </c>
      <c r="AM40" s="666">
        <f>IFERROR(IF(AND(AT40="",AR40&lt;&gt;S.CAL!$BJ$3,AR40&lt;&gt;S.CAL!$BJ$4,$AR$5="NON"),M40-BD40,IF(AND(AT40="",AR40&lt;&gt;S.CAL!$BJ$3,AR40&lt;&gt;S.CAL!$BJ$4,$AR$5="OUI"),X40-AI40,IF(AT40&lt;&gt;0,AT40,IF(OR(AR40=S.CAL!$BJ$3,AR40=S.CAL!$BJ$4),AR40,"")))),"")</f>
        <v>0</v>
      </c>
      <c r="AN40" s="1093"/>
      <c r="AO40" s="1094"/>
      <c r="AP40" s="666">
        <f>+IF(AND(AU40="",BB40="OUI",BH40="non",BI40="OUI"),AM40,IF(AND(AU40="",BB40="OUI",BH40="oui",BI40="NON"),AM40,IF(AND(AU40="",BB40="NON",BH40="oui",BI40="NON"),M40,IF(AND(AU40="",BB40="NON",BH40="non",BI40="OUI"),M40,IF(AND(AU40="",BB40="OUI",BH40="non",BI40="NON"),"ERREUR",IF(AND(AU40="",BB40="NON",BH40="non",BI40="NON"),AM40,IF(AND(AU40="",BB40="OUI",BH40="",BI40=""),AM40,IF(AND(AU40="",BB40="NON",BH40="",BI40="",AZ40="NON"),M40,IF(AND(AU40="",BH40="",AZ40="OUI",AR40=""),AM40,IF(AND(AU40="",BH40="",AZ40="NON",AR40="",AT40=""),M40,IF(AND(OR(AR40=S.CAL!$BJ$3,AR40=S.CAL!$BJ$4),(VLOOKUP($AM$5,base_nbre_sem_mensu,2,FALSE)=52)),EE40,IF(AND(OR(AR40=S.CAL!$BJ$3,AR40=S.CAL!$BJ$4),(VLOOKUP($AM$5,base_nbre_sem_mensu,2,FALSE)&lt;52)),AM40,IF(AND(AT40&lt;&gt;"",AU40=""),AT40,AU40)))))))))))))</f>
        <v>0</v>
      </c>
      <c r="AQ40" s="498">
        <f t="shared" si="60"/>
        <v>0</v>
      </c>
      <c r="AR40" s="1098"/>
      <c r="AT40" s="1101"/>
      <c r="AU40" s="975"/>
      <c r="AV40" s="1370">
        <f t="shared" si="39"/>
        <v>46051</v>
      </c>
      <c r="AX40" s="511">
        <f t="shared" si="61"/>
        <v>46051</v>
      </c>
      <c r="AY40" s="523">
        <f t="shared" si="74"/>
        <v>0</v>
      </c>
      <c r="AZ40" s="520" t="s">
        <v>137</v>
      </c>
      <c r="BA40" s="516">
        <f t="shared" si="75"/>
        <v>0</v>
      </c>
      <c r="BB40" s="549" t="str">
        <f t="shared" si="42"/>
        <v/>
      </c>
      <c r="BC40" s="523">
        <f t="shared" si="62"/>
        <v>0</v>
      </c>
      <c r="BD40" s="523">
        <f t="shared" si="63"/>
        <v>0</v>
      </c>
      <c r="BE40" s="1104"/>
      <c r="BF40" s="514" t="str">
        <f t="shared" si="43"/>
        <v/>
      </c>
      <c r="BG40" s="514" t="str">
        <f t="shared" si="64"/>
        <v>oui</v>
      </c>
      <c r="BH40" s="377" t="str">
        <f t="shared" si="44"/>
        <v/>
      </c>
      <c r="BI40" s="24" t="str">
        <f t="shared" si="45"/>
        <v/>
      </c>
      <c r="BJ40" s="1381"/>
      <c r="BK40" s="1381"/>
      <c r="BL40" s="1381"/>
      <c r="BM40" s="1381"/>
      <c r="BN40" s="1381"/>
      <c r="BO40" s="1381"/>
      <c r="BP40" s="1381"/>
      <c r="BQ40" s="1381"/>
      <c r="BS40" s="1370">
        <f t="shared" si="10"/>
        <v>46051</v>
      </c>
      <c r="BT40" s="27" t="str">
        <f t="shared" si="73"/>
        <v/>
      </c>
      <c r="BU40" s="1380"/>
      <c r="BV40" s="1380"/>
      <c r="BW40" s="1380"/>
      <c r="BX40" s="1380"/>
      <c r="BY40" s="1380"/>
      <c r="BZ40" s="1380"/>
      <c r="CA40" s="1380"/>
      <c r="CB40" s="1380"/>
      <c r="CD40" s="1386">
        <f t="shared" si="65"/>
        <v>0</v>
      </c>
      <c r="DC40" s="16" t="str">
        <f>Janvier!FC48</f>
        <v>non</v>
      </c>
      <c r="DG40" s="315">
        <f t="shared" si="66"/>
        <v>1</v>
      </c>
      <c r="DH40" s="129">
        <f t="shared" si="46"/>
        <v>10</v>
      </c>
      <c r="DI40" s="129">
        <f t="shared" si="67"/>
        <v>1</v>
      </c>
      <c r="DK40" s="16">
        <f>+IF(AND(Janvier!$DP$8&lt;&gt;52,AR40=S.CAL!$BJ$4),10,1)</f>
        <v>1</v>
      </c>
      <c r="DN40" s="16">
        <f t="shared" si="47"/>
        <v>1</v>
      </c>
      <c r="DU40" s="1274" t="str">
        <f t="shared" si="68"/>
        <v>Fiche infoA446051</v>
      </c>
      <c r="DV40" s="1362">
        <f t="shared" si="48"/>
        <v>0</v>
      </c>
      <c r="DW40" s="1363">
        <f t="shared" si="49"/>
        <v>0</v>
      </c>
      <c r="DX40" s="1363">
        <f t="shared" si="50"/>
        <v>0</v>
      </c>
      <c r="DY40" s="1363">
        <f t="shared" si="51"/>
        <v>0</v>
      </c>
      <c r="DZ40" s="1363">
        <f t="shared" si="52"/>
        <v>0</v>
      </c>
      <c r="EA40" s="1363">
        <f t="shared" si="53"/>
        <v>0</v>
      </c>
      <c r="EB40" s="1363">
        <f t="shared" si="54"/>
        <v>0</v>
      </c>
      <c r="EC40" s="1363">
        <f t="shared" si="55"/>
        <v>0</v>
      </c>
      <c r="ED40" s="1363">
        <f t="shared" si="69"/>
        <v>0</v>
      </c>
      <c r="EE40" s="1364">
        <f t="shared" si="70"/>
        <v>0</v>
      </c>
      <c r="EG40" s="16" t="str">
        <f t="shared" si="71"/>
        <v>52026</v>
      </c>
      <c r="EH40" s="16" t="str">
        <f t="shared" si="56"/>
        <v>Fiche infoA4</v>
      </c>
      <c r="EI40" s="16" t="str">
        <f t="shared" si="57"/>
        <v/>
      </c>
    </row>
    <row r="41" spans="1:145" x14ac:dyDescent="0.2">
      <c r="A41" s="1373" t="str">
        <f>Janvier!BJ49</f>
        <v>Fiche infoA5</v>
      </c>
      <c r="B41" s="811">
        <f>Janvier!AB49</f>
        <v>46052</v>
      </c>
      <c r="C41" s="1372" t="str">
        <f t="shared" si="72"/>
        <v/>
      </c>
      <c r="D41" s="981">
        <f t="shared" si="11"/>
        <v>0</v>
      </c>
      <c r="E41" s="434">
        <f t="shared" si="12"/>
        <v>0</v>
      </c>
      <c r="F41" s="434">
        <f t="shared" si="13"/>
        <v>0</v>
      </c>
      <c r="G41" s="434">
        <f t="shared" si="14"/>
        <v>0</v>
      </c>
      <c r="H41" s="434">
        <f t="shared" si="15"/>
        <v>0</v>
      </c>
      <c r="I41" s="434">
        <f t="shared" si="16"/>
        <v>0</v>
      </c>
      <c r="J41" s="434">
        <f t="shared" si="17"/>
        <v>0</v>
      </c>
      <c r="K41" s="434">
        <f t="shared" si="18"/>
        <v>0</v>
      </c>
      <c r="L41" s="434">
        <f t="shared" si="58"/>
        <v>0</v>
      </c>
      <c r="M41" s="982">
        <f t="shared" si="59"/>
        <v>0</v>
      </c>
      <c r="N41" s="1374"/>
      <c r="O41" s="981">
        <f t="shared" si="76"/>
        <v>0</v>
      </c>
      <c r="P41" s="434">
        <f t="shared" si="77"/>
        <v>0</v>
      </c>
      <c r="Q41" s="434">
        <f t="shared" si="78"/>
        <v>0</v>
      </c>
      <c r="R41" s="434">
        <f t="shared" si="79"/>
        <v>0</v>
      </c>
      <c r="S41" s="434">
        <f t="shared" si="80"/>
        <v>0</v>
      </c>
      <c r="T41" s="434">
        <f t="shared" si="81"/>
        <v>0</v>
      </c>
      <c r="U41" s="434">
        <f t="shared" si="82"/>
        <v>0</v>
      </c>
      <c r="V41" s="434">
        <f t="shared" si="83"/>
        <v>0</v>
      </c>
      <c r="W41" s="434">
        <f t="shared" si="27"/>
        <v>0</v>
      </c>
      <c r="X41" s="982">
        <f t="shared" si="28"/>
        <v>0</v>
      </c>
      <c r="Y41" s="1375"/>
      <c r="Z41" s="1376">
        <f t="shared" si="29"/>
        <v>0</v>
      </c>
      <c r="AA41" s="1376">
        <f t="shared" si="30"/>
        <v>0</v>
      </c>
      <c r="AB41" s="1376">
        <f t="shared" si="31"/>
        <v>0</v>
      </c>
      <c r="AC41" s="1376">
        <f t="shared" si="32"/>
        <v>0</v>
      </c>
      <c r="AD41" s="1376">
        <f t="shared" si="33"/>
        <v>0</v>
      </c>
      <c r="AE41" s="1376">
        <f t="shared" si="34"/>
        <v>0</v>
      </c>
      <c r="AF41" s="1376">
        <f t="shared" si="35"/>
        <v>0</v>
      </c>
      <c r="AG41" s="1376">
        <f t="shared" si="36"/>
        <v>0</v>
      </c>
      <c r="AH41" s="1374"/>
      <c r="AI41" s="444">
        <f t="shared" si="84"/>
        <v>0</v>
      </c>
      <c r="AJ41" s="1090"/>
      <c r="AK41" s="1377"/>
      <c r="AL41" s="811">
        <f t="shared" si="38"/>
        <v>46052</v>
      </c>
      <c r="AM41" s="666">
        <f>IFERROR(IF(AND(AT41="",AR41&lt;&gt;S.CAL!$BJ$3,AR41&lt;&gt;S.CAL!$BJ$4,$AR$5="NON"),M41-BD41,IF(AND(AT41="",AR41&lt;&gt;S.CAL!$BJ$3,AR41&lt;&gt;S.CAL!$BJ$4,$AR$5="OUI"),X41-AI41,IF(AT41&lt;&gt;0,AT41,IF(OR(AR41=S.CAL!$BJ$3,AR41=S.CAL!$BJ$4),AR41,"")))),"")</f>
        <v>0</v>
      </c>
      <c r="AN41" s="1093"/>
      <c r="AO41" s="1094"/>
      <c r="AP41" s="666">
        <f>+IF(AND(AU41="",BB41="OUI",BH41="non",BI41="OUI"),AM41,IF(AND(AU41="",BB41="OUI",BH41="oui",BI41="NON"),AM41,IF(AND(AU41="",BB41="NON",BH41="oui",BI41="NON"),M41,IF(AND(AU41="",BB41="NON",BH41="non",BI41="OUI"),M41,IF(AND(AU41="",BB41="OUI",BH41="non",BI41="NON"),"ERREUR",IF(AND(AU41="",BB41="NON",BH41="non",BI41="NON"),AM41,IF(AND(AU41="",BB41="OUI",BH41="",BI41=""),AM41,IF(AND(AU41="",BB41="NON",BH41="",BI41="",AZ41="NON"),M41,IF(AND(AU41="",BH41="",AZ41="OUI",AR41=""),AM41,IF(AND(AU41="",BH41="",AZ41="NON",AR41="",AT41=""),M41,IF(AND(OR(AR41=S.CAL!$BJ$3,AR41=S.CAL!$BJ$4),(VLOOKUP($AM$5,base_nbre_sem_mensu,2,FALSE)=52)),EE41,IF(AND(OR(AR41=S.CAL!$BJ$3,AR41=S.CAL!$BJ$4),(VLOOKUP($AM$5,base_nbre_sem_mensu,2,FALSE)&lt;52)),AM41,IF(AND(AT41&lt;&gt;"",AU41=""),AT41,AU41)))))))))))))</f>
        <v>0</v>
      </c>
      <c r="AQ41" s="1378">
        <f t="shared" si="60"/>
        <v>0</v>
      </c>
      <c r="AR41" s="1098"/>
      <c r="AS41" s="1374"/>
      <c r="AT41" s="1101"/>
      <c r="AU41" s="975"/>
      <c r="AV41" s="1370">
        <f t="shared" si="39"/>
        <v>46052</v>
      </c>
      <c r="AW41" s="1374"/>
      <c r="AX41" s="511">
        <f t="shared" si="61"/>
        <v>46052</v>
      </c>
      <c r="AY41" s="523">
        <f t="shared" si="74"/>
        <v>0</v>
      </c>
      <c r="AZ41" s="520" t="s">
        <v>137</v>
      </c>
      <c r="BA41" s="516">
        <f t="shared" si="75"/>
        <v>0</v>
      </c>
      <c r="BB41" s="549" t="str">
        <f t="shared" si="42"/>
        <v/>
      </c>
      <c r="BC41" s="523">
        <f t="shared" si="62"/>
        <v>0</v>
      </c>
      <c r="BD41" s="523">
        <f t="shared" si="63"/>
        <v>0</v>
      </c>
      <c r="BE41" s="1104"/>
      <c r="BF41" s="514" t="str">
        <f t="shared" si="43"/>
        <v/>
      </c>
      <c r="BG41" s="514" t="str">
        <f t="shared" si="64"/>
        <v>oui</v>
      </c>
      <c r="BH41" s="377" t="str">
        <f t="shared" si="44"/>
        <v/>
      </c>
      <c r="BI41" s="24" t="str">
        <f t="shared" si="45"/>
        <v/>
      </c>
      <c r="BJ41" s="1382"/>
      <c r="BK41" s="1382"/>
      <c r="BL41" s="1382"/>
      <c r="BM41" s="1382"/>
      <c r="BN41" s="1382"/>
      <c r="BO41" s="1382"/>
      <c r="BP41" s="1382"/>
      <c r="BQ41" s="1382"/>
      <c r="BR41" s="1383"/>
      <c r="BS41" s="1370">
        <f t="shared" si="10"/>
        <v>46052</v>
      </c>
      <c r="BT41" s="1384" t="str">
        <f t="shared" si="73"/>
        <v/>
      </c>
      <c r="BU41" s="1382"/>
      <c r="BV41" s="1382"/>
      <c r="BW41" s="1382"/>
      <c r="BX41" s="1382"/>
      <c r="BY41" s="1382"/>
      <c r="BZ41" s="1382"/>
      <c r="CA41" s="1382"/>
      <c r="CB41" s="1382"/>
      <c r="CD41" s="1386">
        <f t="shared" si="65"/>
        <v>0</v>
      </c>
      <c r="DC41" s="16" t="str">
        <f>Janvier!FC49</f>
        <v>non</v>
      </c>
      <c r="DG41" s="315">
        <f t="shared" si="66"/>
        <v>1</v>
      </c>
      <c r="DH41" s="129">
        <f t="shared" si="46"/>
        <v>10</v>
      </c>
      <c r="DI41" s="129">
        <f t="shared" si="67"/>
        <v>1</v>
      </c>
      <c r="DK41" s="16">
        <f>+IF(AND(Janvier!$DP$8&lt;&gt;52,AR41=S.CAL!$BJ$4),10,1)</f>
        <v>1</v>
      </c>
      <c r="DN41" s="16">
        <f t="shared" si="47"/>
        <v>1</v>
      </c>
      <c r="DU41" s="1274" t="str">
        <f t="shared" si="68"/>
        <v>Fiche infoA546052</v>
      </c>
      <c r="DV41" s="1362">
        <f t="shared" si="48"/>
        <v>0</v>
      </c>
      <c r="DW41" s="1363">
        <f t="shared" si="49"/>
        <v>0</v>
      </c>
      <c r="DX41" s="1363">
        <f t="shared" si="50"/>
        <v>0</v>
      </c>
      <c r="DY41" s="1363">
        <f t="shared" si="51"/>
        <v>0</v>
      </c>
      <c r="DZ41" s="1363">
        <f t="shared" si="52"/>
        <v>0</v>
      </c>
      <c r="EA41" s="1363">
        <f t="shared" si="53"/>
        <v>0</v>
      </c>
      <c r="EB41" s="1363">
        <f t="shared" si="54"/>
        <v>0</v>
      </c>
      <c r="EC41" s="1363">
        <f t="shared" si="55"/>
        <v>0</v>
      </c>
      <c r="ED41" s="1363">
        <f t="shared" si="69"/>
        <v>0</v>
      </c>
      <c r="EE41" s="1364">
        <f t="shared" si="70"/>
        <v>0</v>
      </c>
      <c r="EG41" s="16" t="str">
        <f t="shared" si="71"/>
        <v>52026</v>
      </c>
      <c r="EH41" s="16" t="str">
        <f t="shared" si="56"/>
        <v>Fiche infoA5</v>
      </c>
      <c r="EI41" s="16" t="str">
        <f t="shared" si="57"/>
        <v/>
      </c>
    </row>
    <row r="42" spans="1:145" x14ac:dyDescent="0.2">
      <c r="A42" s="24" t="str">
        <f>Janvier!BJ50</f>
        <v>Fiche infoA6</v>
      </c>
      <c r="B42" s="812">
        <f>Janvier!AB50</f>
        <v>46053</v>
      </c>
      <c r="C42" s="1371" t="str">
        <f t="shared" si="72"/>
        <v/>
      </c>
      <c r="D42" s="983">
        <f t="shared" si="11"/>
        <v>0</v>
      </c>
      <c r="E42" s="984">
        <f t="shared" si="12"/>
        <v>0</v>
      </c>
      <c r="F42" s="984">
        <f t="shared" si="13"/>
        <v>0</v>
      </c>
      <c r="G42" s="984">
        <f t="shared" si="14"/>
        <v>0</v>
      </c>
      <c r="H42" s="984">
        <f t="shared" si="15"/>
        <v>0</v>
      </c>
      <c r="I42" s="984">
        <f t="shared" si="16"/>
        <v>0</v>
      </c>
      <c r="J42" s="984">
        <f t="shared" si="17"/>
        <v>0</v>
      </c>
      <c r="K42" s="984">
        <f t="shared" si="18"/>
        <v>0</v>
      </c>
      <c r="L42" s="984">
        <f t="shared" si="58"/>
        <v>0</v>
      </c>
      <c r="M42" s="985">
        <f t="shared" si="59"/>
        <v>0</v>
      </c>
      <c r="O42" s="983">
        <f t="shared" si="76"/>
        <v>0</v>
      </c>
      <c r="P42" s="984">
        <f t="shared" si="77"/>
        <v>0</v>
      </c>
      <c r="Q42" s="984">
        <f t="shared" si="78"/>
        <v>0</v>
      </c>
      <c r="R42" s="984">
        <f t="shared" si="79"/>
        <v>0</v>
      </c>
      <c r="S42" s="984">
        <f t="shared" si="80"/>
        <v>0</v>
      </c>
      <c r="T42" s="984">
        <f t="shared" si="81"/>
        <v>0</v>
      </c>
      <c r="U42" s="984">
        <f t="shared" si="82"/>
        <v>0</v>
      </c>
      <c r="V42" s="984">
        <f t="shared" si="83"/>
        <v>0</v>
      </c>
      <c r="W42" s="984">
        <f t="shared" si="27"/>
        <v>0</v>
      </c>
      <c r="X42" s="985">
        <f t="shared" si="28"/>
        <v>0</v>
      </c>
      <c r="Y42" s="441"/>
      <c r="Z42" s="277">
        <f t="shared" si="29"/>
        <v>0</v>
      </c>
      <c r="AA42" s="277">
        <f t="shared" si="30"/>
        <v>0</v>
      </c>
      <c r="AB42" s="277">
        <f t="shared" si="31"/>
        <v>0</v>
      </c>
      <c r="AC42" s="277">
        <f t="shared" si="32"/>
        <v>0</v>
      </c>
      <c r="AD42" s="277">
        <f t="shared" si="33"/>
        <v>0</v>
      </c>
      <c r="AE42" s="277">
        <f t="shared" si="34"/>
        <v>0</v>
      </c>
      <c r="AF42" s="277">
        <f t="shared" si="35"/>
        <v>0</v>
      </c>
      <c r="AG42" s="277">
        <f t="shared" si="36"/>
        <v>0</v>
      </c>
      <c r="AI42" s="444">
        <f t="shared" si="84"/>
        <v>0</v>
      </c>
      <c r="AJ42" s="1090"/>
      <c r="AK42" s="489"/>
      <c r="AL42" s="812">
        <f t="shared" si="38"/>
        <v>46053</v>
      </c>
      <c r="AM42" s="499">
        <f>IFERROR(IF(AND(AT42="",AR42&lt;&gt;S.CAL!$BJ$3,AR42&lt;&gt;S.CAL!$BJ$4,$AR$5="NON"),M42-BD42,IF(AND(AT42="",AR42&lt;&gt;S.CAL!$BJ$3,AR42&lt;&gt;S.CAL!$BJ$4,$AR$5="OUI"),X42-AI42,IF(AT42&lt;&gt;0,AT42,IF(OR(AR42=S.CAL!$BJ$3,AR42=S.CAL!$BJ$4),AR42,"")))),"")</f>
        <v>0</v>
      </c>
      <c r="AN42" s="1095"/>
      <c r="AO42" s="1096"/>
      <c r="AP42" s="499">
        <f>+IF(AND(AU42="",BB42="OUI",BH42="non",BI42="OUI"),AM42,IF(AND(AU42="",BB42="OUI",BH42="oui",BI42="NON"),AM42,IF(AND(AU42="",BB42="NON",BH42="oui",BI42="NON"),M42,IF(AND(AU42="",BB42="NON",BH42="non",BI42="OUI"),M42,IF(AND(AU42="",BB42="OUI",BH42="non",BI42="NON"),"ERREUR",IF(AND(AU42="",BB42="NON",BH42="non",BI42="NON"),AM42,IF(AND(AU42="",BB42="OUI",BH42="",BI42=""),AM42,IF(AND(AU42="",BB42="NON",BH42="",BI42="",AZ42="NON"),M42,IF(AND(AU42="",BH42="",AZ42="OUI",AR42=""),AM42,IF(AND(AU42="",BH42="",AZ42="NON",AR42="",AT42=""),M42,IF(AND(OR(AR42=S.CAL!$BJ$3,AR42=S.CAL!$BJ$4),(VLOOKUP($AM$5,base_nbre_sem_mensu,2,FALSE)=52)),EE42,IF(AND(OR(AR42=S.CAL!$BJ$3,AR42=S.CAL!$BJ$4),(VLOOKUP($AM$5,base_nbre_sem_mensu,2,FALSE)&lt;52)),AM42,IF(AND(AT42&lt;&gt;"",AU42=""),AT42,AU42)))))))))))))</f>
        <v>0</v>
      </c>
      <c r="AQ42" s="498">
        <f t="shared" si="60"/>
        <v>0</v>
      </c>
      <c r="AR42" s="1099"/>
      <c r="AT42" s="1102"/>
      <c r="AU42" s="976"/>
      <c r="AV42" s="812">
        <f t="shared" si="39"/>
        <v>46053</v>
      </c>
      <c r="AX42" s="511">
        <f t="shared" si="61"/>
        <v>46053</v>
      </c>
      <c r="AY42" s="524">
        <f t="shared" si="74"/>
        <v>0</v>
      </c>
      <c r="AZ42" s="521" t="s">
        <v>137</v>
      </c>
      <c r="BA42" s="534">
        <f t="shared" si="75"/>
        <v>0</v>
      </c>
      <c r="BB42" s="522" t="str">
        <f t="shared" si="42"/>
        <v/>
      </c>
      <c r="BC42" s="524">
        <f t="shared" si="62"/>
        <v>0</v>
      </c>
      <c r="BD42" s="524">
        <f t="shared" si="63"/>
        <v>0</v>
      </c>
      <c r="BE42" s="1105"/>
      <c r="BF42" s="514" t="str">
        <f t="shared" si="43"/>
        <v/>
      </c>
      <c r="BG42" s="514" t="str">
        <f t="shared" si="64"/>
        <v>oui</v>
      </c>
      <c r="BH42" s="377" t="str">
        <f t="shared" si="44"/>
        <v/>
      </c>
      <c r="BI42" s="24" t="str">
        <f t="shared" si="45"/>
        <v/>
      </c>
      <c r="BJ42" s="1381"/>
      <c r="BK42" s="1381"/>
      <c r="BL42" s="1381"/>
      <c r="BM42" s="1381"/>
      <c r="BN42" s="1381"/>
      <c r="BO42" s="1381"/>
      <c r="BP42" s="1381"/>
      <c r="BQ42" s="1381"/>
      <c r="BS42" s="812">
        <f t="shared" si="10"/>
        <v>46053</v>
      </c>
      <c r="BT42" s="27" t="str">
        <f t="shared" si="73"/>
        <v/>
      </c>
      <c r="BU42" s="1380"/>
      <c r="BV42" s="1380"/>
      <c r="BW42" s="1380"/>
      <c r="BX42" s="1380"/>
      <c r="BY42" s="1380"/>
      <c r="BZ42" s="1380"/>
      <c r="CA42" s="1380"/>
      <c r="CB42" s="1380"/>
      <c r="CD42" s="1387">
        <f t="shared" si="65"/>
        <v>0</v>
      </c>
      <c r="DC42" s="16" t="str">
        <f>Janvier!FC50</f>
        <v>non</v>
      </c>
      <c r="DG42" s="315">
        <f t="shared" si="66"/>
        <v>1</v>
      </c>
      <c r="DH42" s="129">
        <f t="shared" si="46"/>
        <v>10</v>
      </c>
      <c r="DI42" s="129">
        <f t="shared" si="67"/>
        <v>1</v>
      </c>
      <c r="DK42" s="16">
        <f>+IF(AND(Janvier!$DP$8&lt;&gt;52,AR42=S.CAL!$BJ$4),10,1)</f>
        <v>1</v>
      </c>
      <c r="DN42" s="16">
        <f t="shared" si="47"/>
        <v>1</v>
      </c>
      <c r="DU42" s="1274" t="str">
        <f t="shared" si="68"/>
        <v>Fiche infoA646053</v>
      </c>
      <c r="DV42" s="1365">
        <f t="shared" si="48"/>
        <v>0</v>
      </c>
      <c r="DW42" s="1366">
        <f t="shared" si="49"/>
        <v>0</v>
      </c>
      <c r="DX42" s="1366">
        <f t="shared" si="50"/>
        <v>0</v>
      </c>
      <c r="DY42" s="1366">
        <f t="shared" si="51"/>
        <v>0</v>
      </c>
      <c r="DZ42" s="1366">
        <f t="shared" si="52"/>
        <v>0</v>
      </c>
      <c r="EA42" s="1366">
        <f t="shared" si="53"/>
        <v>0</v>
      </c>
      <c r="EB42" s="1366">
        <f t="shared" si="54"/>
        <v>0</v>
      </c>
      <c r="EC42" s="1366">
        <f t="shared" si="55"/>
        <v>0</v>
      </c>
      <c r="ED42" s="1366">
        <f t="shared" si="69"/>
        <v>0</v>
      </c>
      <c r="EE42" s="1367">
        <f t="shared" si="70"/>
        <v>0</v>
      </c>
      <c r="EG42" s="16" t="str">
        <f t="shared" si="71"/>
        <v>52026</v>
      </c>
      <c r="EH42" s="16" t="str">
        <f t="shared" si="56"/>
        <v>Fiche infoA6</v>
      </c>
      <c r="EI42" s="16" t="str">
        <f t="shared" si="57"/>
        <v/>
      </c>
    </row>
    <row r="43" spans="1:145" x14ac:dyDescent="0.2">
      <c r="AM43" s="536">
        <f>SUM(AM12:AM42)</f>
        <v>0</v>
      </c>
      <c r="AN43" s="815">
        <f>SUM(AN12:AN42)</f>
        <v>0</v>
      </c>
      <c r="AO43" s="815">
        <f>SUM(AO12:AO42)</f>
        <v>0</v>
      </c>
      <c r="AP43" s="561">
        <f>SUM(AP12:AP42)</f>
        <v>0</v>
      </c>
      <c r="BD43" s="547">
        <f>SUM(BD12:BD42)</f>
        <v>0</v>
      </c>
      <c r="EE43" s="1368"/>
    </row>
    <row r="44" spans="1:145" x14ac:dyDescent="0.2">
      <c r="X44" s="29" t="s">
        <v>441</v>
      </c>
      <c r="Y44" s="29"/>
      <c r="Z44" s="29"/>
      <c r="AA44" s="29"/>
      <c r="AB44" s="29"/>
      <c r="AC44" s="29"/>
      <c r="AD44" s="29"/>
      <c r="AE44" s="29"/>
      <c r="AF44" s="29"/>
      <c r="AG44" s="29"/>
      <c r="AI44" s="445">
        <f>SUM(AI12:AI42)</f>
        <v>0</v>
      </c>
      <c r="AJ44" s="19"/>
      <c r="AK44" s="19"/>
      <c r="AL44" s="19"/>
      <c r="AM44" s="19"/>
      <c r="AN44" s="19"/>
      <c r="AO44" s="19"/>
      <c r="AP44" s="19"/>
      <c r="AQ44" s="494"/>
    </row>
    <row r="46" spans="1:145" ht="23.25" x14ac:dyDescent="0.35">
      <c r="B46" s="435" t="s">
        <v>794</v>
      </c>
      <c r="C46" s="435"/>
      <c r="D46" s="435"/>
      <c r="BS46" s="19" t="s">
        <v>1524</v>
      </c>
      <c r="EK46" s="16" t="str">
        <f>+EG56</f>
        <v>numero sem</v>
      </c>
      <c r="EL46" s="27" t="s">
        <v>1518</v>
      </c>
      <c r="EM46" s="27" t="s">
        <v>1519</v>
      </c>
      <c r="EN46" s="16" t="s">
        <v>1520</v>
      </c>
    </row>
    <row r="47" spans="1:145" ht="13.5" thickBot="1" x14ac:dyDescent="0.25">
      <c r="AR47" s="1717" t="s">
        <v>989</v>
      </c>
      <c r="AS47" s="1718"/>
      <c r="AT47" s="1719"/>
      <c r="BT47" s="29" t="s">
        <v>1527</v>
      </c>
      <c r="BU47" s="27" t="str">
        <f>+IFERROR(EJ47,"")</f>
        <v>5</v>
      </c>
      <c r="BV47" s="53" t="str">
        <f>IF(BU47="","",+EN47)</f>
        <v>non</v>
      </c>
      <c r="BW47" s="1729" t="str">
        <f>+IF(BV47="oui", "Ecart "&amp;EO47&amp;" hrs","")</f>
        <v/>
      </c>
      <c r="BX47" s="1729"/>
      <c r="EJ47" s="16" t="str">
        <f>LEFT(EK47,LEN(EK47)-4)</f>
        <v>5</v>
      </c>
      <c r="EK47" s="16" t="str" cm="1">
        <f t="array" ref="EK47">IFERROR(INDEX(EG57:EG87,MATCH(0,INDEX(COUNTIF(EK46:EK46,EG57:EG87),0,0),0)),"")</f>
        <v>52026</v>
      </c>
      <c r="EL47" s="27">
        <f>+SUMIFS($EE$12:$EE$537,$EG$12:$EG$537,EK47)</f>
        <v>0</v>
      </c>
      <c r="EM47" s="27">
        <f>+SUMIFS($EI$12:$EI$537,$EG$12:$EG$537,EK47)</f>
        <v>0</v>
      </c>
      <c r="EN47" s="16" t="str">
        <f t="shared" ref="EN47:EN52" si="85">+IF(AND(EL47&lt;&gt;EM47,EK47&lt;&gt;""),"oui","non")</f>
        <v>non</v>
      </c>
      <c r="EO47" s="16">
        <f>+EL47-EM47</f>
        <v>0</v>
      </c>
    </row>
    <row r="48" spans="1:145" ht="13.5" thickTop="1" x14ac:dyDescent="0.2">
      <c r="C48" s="39" t="s">
        <v>793</v>
      </c>
      <c r="D48" s="1713">
        <f>+Identification!$B$7</f>
        <v>0</v>
      </c>
      <c r="E48" s="1713"/>
      <c r="F48" s="1713"/>
      <c r="G48" s="1713"/>
      <c r="O48" s="436" t="s">
        <v>76</v>
      </c>
      <c r="P48" s="32"/>
      <c r="Q48" s="33"/>
      <c r="R48" s="436" t="s">
        <v>140</v>
      </c>
      <c r="S48" s="32"/>
      <c r="T48" s="32"/>
      <c r="U48" s="32"/>
      <c r="V48" s="32"/>
      <c r="W48" s="32"/>
      <c r="X48" s="33"/>
      <c r="AR48" s="1720"/>
      <c r="AS48" s="1721"/>
      <c r="AT48" s="1722"/>
      <c r="BU48" s="27" t="str">
        <f t="shared" ref="BU48:BU52" si="86">+IFERROR(EJ48,"")</f>
        <v>6</v>
      </c>
      <c r="BV48" s="53" t="str">
        <f t="shared" ref="BV48:BV52" si="87">IF(BU48="","",+EN48)</f>
        <v>non</v>
      </c>
      <c r="BW48" s="1729" t="str">
        <f t="shared" ref="BW48:BW52" si="88">+IF(BV48="oui", "Ecart "&amp;EO48&amp;" hrs","")</f>
        <v/>
      </c>
      <c r="BX48" s="1729"/>
      <c r="EJ48" s="16" t="str">
        <f t="shared" ref="EJ48:EJ53" si="89">LEFT(EK48,LEN(EK48)-4)</f>
        <v>6</v>
      </c>
      <c r="EK48" s="16" t="str" cm="1">
        <f t="array" ref="EK48">IFERROR(INDEX(EG57:EG87,MATCH(0,INDEX(COUNTIF(EK46:EK47,EG57:EG87),0,0),0)),"")</f>
        <v>62026</v>
      </c>
      <c r="EL48" s="27">
        <f t="shared" ref="EL48:EL52" si="90">+SUMIFS($EE$12:$EE$537,$EG$12:$EG$537,EK48)</f>
        <v>0</v>
      </c>
      <c r="EM48" s="27">
        <f t="shared" ref="EM48:EM53" si="91">+SUMIFS($EI$12:$EI$537,$EG$12:$EG$537,EK48)</f>
        <v>0</v>
      </c>
      <c r="EN48" s="16" t="str">
        <f t="shared" si="85"/>
        <v>non</v>
      </c>
      <c r="EO48" s="16">
        <f t="shared" ref="EO48:EO53" si="92">+EL48-EM48</f>
        <v>0</v>
      </c>
    </row>
    <row r="49" spans="1:145" x14ac:dyDescent="0.2">
      <c r="O49" s="35"/>
      <c r="Q49" s="36"/>
      <c r="R49" s="1723"/>
      <c r="S49" s="1724"/>
      <c r="T49" s="1724"/>
      <c r="U49" s="1724"/>
      <c r="V49" s="1724"/>
      <c r="W49" s="1724"/>
      <c r="X49" s="1725"/>
      <c r="Y49" s="442"/>
      <c r="Z49" s="442"/>
      <c r="AA49" s="442"/>
      <c r="AB49" s="442"/>
      <c r="AC49" s="442"/>
      <c r="AD49" s="442"/>
      <c r="AE49" s="442"/>
      <c r="AF49" s="442"/>
      <c r="AG49" s="442"/>
      <c r="AR49" s="1720"/>
      <c r="AS49" s="1721"/>
      <c r="AT49" s="1722"/>
      <c r="BU49" s="27" t="str">
        <f t="shared" si="86"/>
        <v>7</v>
      </c>
      <c r="BV49" s="53" t="str">
        <f t="shared" si="87"/>
        <v>non</v>
      </c>
      <c r="BW49" s="1729" t="str">
        <f t="shared" si="88"/>
        <v/>
      </c>
      <c r="BX49" s="1729"/>
      <c r="EJ49" s="16" t="str">
        <f t="shared" si="89"/>
        <v>7</v>
      </c>
      <c r="EK49" s="16" t="str">
        <f t="array" ref="EK49">IFERROR(INDEX(EG57:EG87,MATCH(0,INDEX(COUNTIF(EK46:EK48,EG57:EG87),0,0),0)),"")</f>
        <v>72026</v>
      </c>
      <c r="EL49" s="27">
        <f t="shared" si="90"/>
        <v>0</v>
      </c>
      <c r="EM49" s="27">
        <f t="shared" si="91"/>
        <v>0</v>
      </c>
      <c r="EN49" s="16" t="str">
        <f t="shared" si="85"/>
        <v>non</v>
      </c>
      <c r="EO49" s="16">
        <f t="shared" si="92"/>
        <v>0</v>
      </c>
    </row>
    <row r="50" spans="1:145" x14ac:dyDescent="0.2">
      <c r="C50" s="39" t="s">
        <v>25</v>
      </c>
      <c r="D50" s="1713">
        <f>+Identification!$B$25</f>
        <v>0</v>
      </c>
      <c r="E50" s="1713"/>
      <c r="O50" s="35"/>
      <c r="Q50" s="36"/>
      <c r="R50" s="1723"/>
      <c r="S50" s="1724"/>
      <c r="T50" s="1724"/>
      <c r="U50" s="1724"/>
      <c r="V50" s="1724"/>
      <c r="W50" s="1724"/>
      <c r="X50" s="1725"/>
      <c r="Y50" s="442"/>
      <c r="Z50" s="442"/>
      <c r="AA50" s="442"/>
      <c r="AB50" s="442"/>
      <c r="AC50" s="442"/>
      <c r="AD50" s="442"/>
      <c r="AE50" s="442"/>
      <c r="AF50" s="442"/>
      <c r="AG50" s="442"/>
      <c r="AL50" s="16" t="str">
        <f t="shared" ref="AL50" si="93">C53</f>
        <v>Mois :</v>
      </c>
      <c r="AM50" s="1716">
        <f t="shared" ref="AM50" si="94">D53</f>
        <v>46054</v>
      </c>
      <c r="AN50" s="1716">
        <f t="shared" ref="AN50" si="95">E53</f>
        <v>0</v>
      </c>
      <c r="AR50" s="539" t="str">
        <f>IF(AT50="",AR5,AT50)</f>
        <v>NON</v>
      </c>
      <c r="AS50" s="538" t="s">
        <v>492</v>
      </c>
      <c r="AT50" s="1083"/>
      <c r="BJ50" s="16" t="str">
        <f t="shared" ref="BJ50:BK50" si="96">AL50</f>
        <v>Mois :</v>
      </c>
      <c r="BK50" s="1716">
        <f t="shared" si="96"/>
        <v>46054</v>
      </c>
      <c r="BL50" s="1716"/>
      <c r="BU50" s="27" t="str">
        <f t="shared" si="86"/>
        <v>8</v>
      </c>
      <c r="BV50" s="53" t="str">
        <f t="shared" si="87"/>
        <v>non</v>
      </c>
      <c r="BW50" s="1729" t="str">
        <f t="shared" si="88"/>
        <v/>
      </c>
      <c r="BX50" s="1729"/>
      <c r="EJ50" s="16" t="str">
        <f t="shared" si="89"/>
        <v>8</v>
      </c>
      <c r="EK50" s="16" t="str">
        <f t="array" ref="EK50">IFERROR(INDEX(EG57:EG87,MATCH(0,INDEX(COUNTIF(EK46:EK49,EG57:EG87),0,0),0)),"")</f>
        <v>82026</v>
      </c>
      <c r="EL50" s="27">
        <f t="shared" si="90"/>
        <v>0</v>
      </c>
      <c r="EM50" s="27">
        <f t="shared" si="91"/>
        <v>0</v>
      </c>
      <c r="EN50" s="16" t="str">
        <f t="shared" si="85"/>
        <v>non</v>
      </c>
      <c r="EO50" s="16">
        <f t="shared" si="92"/>
        <v>0</v>
      </c>
    </row>
    <row r="51" spans="1:145" ht="13.5" thickBot="1" x14ac:dyDescent="0.25">
      <c r="O51" s="42"/>
      <c r="P51" s="43"/>
      <c r="Q51" s="44"/>
      <c r="R51" s="1726"/>
      <c r="S51" s="1727"/>
      <c r="T51" s="1727"/>
      <c r="U51" s="1727"/>
      <c r="V51" s="1727"/>
      <c r="W51" s="1727"/>
      <c r="X51" s="1728"/>
      <c r="Y51" s="442"/>
      <c r="Z51" s="442"/>
      <c r="AA51" s="442"/>
      <c r="AB51" s="442"/>
      <c r="AC51" s="442"/>
      <c r="AD51" s="442"/>
      <c r="AE51" s="442"/>
      <c r="AF51" s="442"/>
      <c r="AG51" s="442"/>
      <c r="BU51" s="27" t="str">
        <f t="shared" si="86"/>
        <v>9</v>
      </c>
      <c r="BV51" s="53" t="str">
        <f t="shared" si="87"/>
        <v>non</v>
      </c>
      <c r="BW51" s="1729" t="str">
        <f t="shared" si="88"/>
        <v/>
      </c>
      <c r="BX51" s="1729"/>
      <c r="EJ51" s="16" t="str">
        <f t="shared" si="89"/>
        <v>9</v>
      </c>
      <c r="EK51" s="16" t="str">
        <f t="array" ref="EK51">IFERROR(INDEX(EG57:EG87,MATCH(0,INDEX(COUNTIF(EK46:EK50,EG57:EG87),0,0),0)),"")</f>
        <v>92026</v>
      </c>
      <c r="EL51" s="27">
        <f t="shared" si="90"/>
        <v>0</v>
      </c>
      <c r="EM51" s="27">
        <f t="shared" si="91"/>
        <v>0</v>
      </c>
      <c r="EN51" s="16" t="str">
        <f t="shared" si="85"/>
        <v>non</v>
      </c>
      <c r="EO51" s="16">
        <f t="shared" si="92"/>
        <v>0</v>
      </c>
    </row>
    <row r="52" spans="1:145" ht="13.5" thickTop="1" x14ac:dyDescent="0.2">
      <c r="AI52" s="535" t="s">
        <v>986</v>
      </c>
      <c r="BU52" s="27" t="str">
        <f t="shared" si="86"/>
        <v/>
      </c>
      <c r="BV52" s="53" t="str">
        <f t="shared" si="87"/>
        <v/>
      </c>
      <c r="BW52" s="1729" t="str">
        <f t="shared" si="88"/>
        <v/>
      </c>
      <c r="BX52" s="1729"/>
      <c r="EJ52" s="16" t="e">
        <f t="shared" si="89"/>
        <v>#VALUE!</v>
      </c>
      <c r="EK52" s="16" t="str">
        <f t="array" ref="EK52">IFERROR(INDEX(EG57:EG87,MATCH(0,INDEX(COUNTIF(EK46:EK51,EG57:EG87),0,0),0)),"")</f>
        <v/>
      </c>
      <c r="EL52" s="27">
        <f t="shared" si="90"/>
        <v>0</v>
      </c>
      <c r="EM52" s="27">
        <f t="shared" si="91"/>
        <v>0</v>
      </c>
      <c r="EN52" s="16" t="str">
        <f t="shared" si="85"/>
        <v>non</v>
      </c>
      <c r="EO52" s="16">
        <f t="shared" si="92"/>
        <v>0</v>
      </c>
    </row>
    <row r="53" spans="1:145" x14ac:dyDescent="0.2">
      <c r="C53" s="39" t="s">
        <v>28</v>
      </c>
      <c r="D53" s="1716">
        <f>+Février!X3</f>
        <v>46054</v>
      </c>
      <c r="E53" s="1716"/>
      <c r="F53" s="39" t="s">
        <v>12</v>
      </c>
      <c r="G53" s="63">
        <f>+Février!X4</f>
        <v>2026</v>
      </c>
      <c r="EJ53" s="16" t="e">
        <f t="shared" si="89"/>
        <v>#VALUE!</v>
      </c>
      <c r="EK53" s="16" t="str">
        <f t="array" ref="EK53">IFERROR(INDEX($EG$12:$EG$42,MATCH(0,INDEX(COUNTIF($EK$1:EK52,$EG$12:$EG$42),0,0),0)),"")</f>
        <v/>
      </c>
      <c r="EL53" s="27">
        <f>+SUMIFS($EE$12:$EE$537,$EG$12:$EG$537,EK53)</f>
        <v>0</v>
      </c>
      <c r="EM53" s="27">
        <f t="shared" si="91"/>
        <v>0</v>
      </c>
      <c r="EN53" s="16" t="str">
        <f>+IF(AND(EL53&lt;&gt;EM53,EK53&lt;&gt;""),"oui","non")</f>
        <v>non</v>
      </c>
      <c r="EO53" s="16">
        <f t="shared" si="92"/>
        <v>0</v>
      </c>
    </row>
    <row r="54" spans="1:145" x14ac:dyDescent="0.2">
      <c r="AL54" s="1714" t="s">
        <v>960</v>
      </c>
      <c r="AM54" s="1714"/>
      <c r="AN54" s="1714"/>
      <c r="AO54" s="1714"/>
      <c r="AP54" s="1714"/>
      <c r="AQ54" s="492"/>
      <c r="AT54" s="1715" t="s">
        <v>749</v>
      </c>
      <c r="AU54" s="1715"/>
      <c r="AV54" s="1715"/>
      <c r="AW54" s="63"/>
      <c r="AX54" s="63"/>
      <c r="AY54" s="517" t="s">
        <v>975</v>
      </c>
      <c r="AZ54" s="518"/>
      <c r="BA54" s="518"/>
      <c r="BB54" s="518"/>
      <c r="BC54" s="519"/>
      <c r="BD54" s="519"/>
      <c r="BE54" s="519"/>
      <c r="BF54" s="512"/>
      <c r="BG54" s="512"/>
      <c r="BJ54" s="437"/>
      <c r="BK54" s="437"/>
      <c r="BL54" s="437"/>
      <c r="BM54" s="437"/>
      <c r="BN54" s="437"/>
      <c r="BO54" s="437"/>
      <c r="BP54" s="437"/>
      <c r="BQ54" s="437"/>
      <c r="BU54" s="438"/>
      <c r="BV54" s="438"/>
      <c r="BW54" s="438"/>
      <c r="BX54" s="438"/>
      <c r="BY54" s="438"/>
      <c r="BZ54" s="438"/>
      <c r="CA54" s="438"/>
      <c r="CB54" s="438"/>
    </row>
    <row r="55" spans="1:145" ht="15" customHeight="1" x14ac:dyDescent="0.2">
      <c r="D55" s="439" t="s">
        <v>791</v>
      </c>
      <c r="E55" s="438"/>
      <c r="F55" s="438"/>
      <c r="G55" s="438"/>
      <c r="H55" s="438"/>
      <c r="I55" s="438"/>
      <c r="J55" s="438"/>
      <c r="K55" s="438"/>
      <c r="L55" s="438"/>
      <c r="M55" s="438"/>
      <c r="O55" s="440" t="s">
        <v>790</v>
      </c>
      <c r="P55" s="437"/>
      <c r="Q55" s="437"/>
      <c r="R55" s="437"/>
      <c r="S55" s="437"/>
      <c r="T55" s="437"/>
      <c r="U55" s="437"/>
      <c r="V55" s="437"/>
      <c r="W55" s="437"/>
      <c r="X55" s="437"/>
      <c r="BJ55" s="1087" t="s">
        <v>792</v>
      </c>
      <c r="BK55" s="1088"/>
      <c r="BL55" s="1088"/>
      <c r="BM55" s="1088"/>
      <c r="BN55" s="1088"/>
      <c r="BO55" s="1088"/>
      <c r="BP55" s="1088"/>
      <c r="BQ55" s="1088"/>
      <c r="BU55" s="1087" t="s">
        <v>1369</v>
      </c>
      <c r="BV55" s="1088"/>
      <c r="BW55" s="1088"/>
      <c r="BX55" s="1088"/>
      <c r="BY55" s="1088"/>
      <c r="BZ55" s="1088"/>
      <c r="CA55" s="1088"/>
      <c r="CB55" s="1088"/>
      <c r="DG55" s="315" t="s">
        <v>1326</v>
      </c>
      <c r="DH55" s="129"/>
      <c r="DI55" s="129"/>
      <c r="DK55" s="129" t="s">
        <v>1331</v>
      </c>
      <c r="DN55" s="16" t="s">
        <v>1334</v>
      </c>
      <c r="DV55" s="825" t="s">
        <v>1521</v>
      </c>
      <c r="DW55" s="825"/>
      <c r="DX55" s="825"/>
      <c r="DY55" s="825"/>
      <c r="DZ55" s="825"/>
      <c r="EA55" s="825"/>
      <c r="EB55" s="825"/>
      <c r="EC55" s="825"/>
      <c r="ED55" s="825"/>
      <c r="EE55" s="825"/>
    </row>
    <row r="56" spans="1:145" ht="56.25" customHeight="1" x14ac:dyDescent="0.2">
      <c r="A56" s="24" t="s">
        <v>789</v>
      </c>
      <c r="B56" s="432" t="s">
        <v>16</v>
      </c>
      <c r="C56" s="433"/>
      <c r="D56" s="432" t="s">
        <v>219</v>
      </c>
      <c r="E56" s="432" t="s">
        <v>220</v>
      </c>
      <c r="F56" s="432" t="s">
        <v>221</v>
      </c>
      <c r="G56" s="432" t="s">
        <v>222</v>
      </c>
      <c r="H56" s="432" t="s">
        <v>522</v>
      </c>
      <c r="I56" s="432" t="s">
        <v>523</v>
      </c>
      <c r="J56" s="432" t="s">
        <v>524</v>
      </c>
      <c r="K56" s="432" t="s">
        <v>525</v>
      </c>
      <c r="L56" s="432" t="s">
        <v>182</v>
      </c>
      <c r="M56" s="432" t="s">
        <v>183</v>
      </c>
      <c r="N56" s="433"/>
      <c r="O56" s="432" t="s">
        <v>219</v>
      </c>
      <c r="P56" s="432" t="s">
        <v>220</v>
      </c>
      <c r="Q56" s="432" t="s">
        <v>221</v>
      </c>
      <c r="R56" s="432" t="s">
        <v>222</v>
      </c>
      <c r="S56" s="432" t="s">
        <v>522</v>
      </c>
      <c r="T56" s="432" t="s">
        <v>523</v>
      </c>
      <c r="U56" s="432" t="s">
        <v>524</v>
      </c>
      <c r="V56" s="432" t="s">
        <v>525</v>
      </c>
      <c r="W56" s="432" t="s">
        <v>182</v>
      </c>
      <c r="X56" s="432" t="s">
        <v>183</v>
      </c>
      <c r="Y56" s="433"/>
      <c r="Z56" s="432" t="s">
        <v>796</v>
      </c>
      <c r="AA56" s="432" t="s">
        <v>797</v>
      </c>
      <c r="AB56" s="432" t="s">
        <v>798</v>
      </c>
      <c r="AC56" s="432" t="s">
        <v>799</v>
      </c>
      <c r="AD56" s="432" t="s">
        <v>800</v>
      </c>
      <c r="AE56" s="432" t="s">
        <v>801</v>
      </c>
      <c r="AF56" s="432" t="s">
        <v>802</v>
      </c>
      <c r="AG56" s="432" t="s">
        <v>803</v>
      </c>
      <c r="AI56" s="432" t="s">
        <v>804</v>
      </c>
      <c r="AJ56" s="432" t="s">
        <v>795</v>
      </c>
      <c r="AK56" s="433"/>
      <c r="AL56" s="495" t="s">
        <v>16</v>
      </c>
      <c r="AM56" s="530" t="s">
        <v>1003</v>
      </c>
      <c r="AN56" s="1084" t="s">
        <v>958</v>
      </c>
      <c r="AO56" s="1085" t="s">
        <v>959</v>
      </c>
      <c r="AP56" s="496" t="s">
        <v>1707</v>
      </c>
      <c r="AQ56" s="493"/>
      <c r="AR56" s="1086" t="s">
        <v>684</v>
      </c>
      <c r="AT56" s="1086" t="s">
        <v>1333</v>
      </c>
      <c r="AU56" s="1085" t="s">
        <v>1707</v>
      </c>
      <c r="AV56" s="432" t="s">
        <v>16</v>
      </c>
      <c r="AW56" s="433"/>
      <c r="AX56" s="433"/>
      <c r="AY56" s="529" t="s">
        <v>972</v>
      </c>
      <c r="AZ56" s="530" t="s">
        <v>978</v>
      </c>
      <c r="BA56" s="513" t="s">
        <v>976</v>
      </c>
      <c r="BB56" s="550" t="s">
        <v>977</v>
      </c>
      <c r="BC56" s="551" t="s">
        <v>1005</v>
      </c>
      <c r="BD56" s="550" t="s">
        <v>979</v>
      </c>
      <c r="BE56" s="552" t="s">
        <v>1004</v>
      </c>
      <c r="BF56" s="513" t="s">
        <v>980</v>
      </c>
      <c r="BG56" s="513" t="s">
        <v>985</v>
      </c>
      <c r="BI56" s="24" t="s">
        <v>1011</v>
      </c>
      <c r="BJ56" s="432" t="s">
        <v>219</v>
      </c>
      <c r="BK56" s="432" t="s">
        <v>220</v>
      </c>
      <c r="BL56" s="432" t="s">
        <v>221</v>
      </c>
      <c r="BM56" s="432" t="s">
        <v>222</v>
      </c>
      <c r="BN56" s="432" t="s">
        <v>522</v>
      </c>
      <c r="BO56" s="432" t="s">
        <v>523</v>
      </c>
      <c r="BP56" s="432" t="s">
        <v>524</v>
      </c>
      <c r="BQ56" s="432" t="s">
        <v>525</v>
      </c>
      <c r="BS56" s="1361" t="str">
        <f t="shared" ref="BS56:BS87" si="97">AV56</f>
        <v>Jours</v>
      </c>
      <c r="BU56" s="432" t="s">
        <v>219</v>
      </c>
      <c r="BV56" s="432" t="s">
        <v>220</v>
      </c>
      <c r="BW56" s="432" t="s">
        <v>221</v>
      </c>
      <c r="BX56" s="432" t="s">
        <v>222</v>
      </c>
      <c r="BY56" s="432" t="s">
        <v>522</v>
      </c>
      <c r="BZ56" s="432" t="s">
        <v>523</v>
      </c>
      <c r="CA56" s="432" t="s">
        <v>524</v>
      </c>
      <c r="CB56" s="432" t="s">
        <v>525</v>
      </c>
      <c r="CD56" s="1361" t="s">
        <v>1526</v>
      </c>
      <c r="CS56" s="488"/>
      <c r="CT56" s="488"/>
      <c r="CU56" s="488"/>
      <c r="CV56" s="488"/>
      <c r="DG56" s="315" t="s">
        <v>1327</v>
      </c>
      <c r="DH56" s="129" t="s">
        <v>1328</v>
      </c>
      <c r="DI56" s="129" t="s">
        <v>1330</v>
      </c>
      <c r="DK56" s="129" t="s">
        <v>1332</v>
      </c>
      <c r="DU56" s="1361" t="s">
        <v>238</v>
      </c>
      <c r="DV56" s="1361" t="s">
        <v>219</v>
      </c>
      <c r="DW56" s="1361" t="s">
        <v>220</v>
      </c>
      <c r="DX56" s="1361" t="s">
        <v>221</v>
      </c>
      <c r="DY56" s="1361" t="s">
        <v>222</v>
      </c>
      <c r="DZ56" s="1361" t="s">
        <v>522</v>
      </c>
      <c r="EA56" s="1361" t="s">
        <v>523</v>
      </c>
      <c r="EB56" s="1361" t="s">
        <v>524</v>
      </c>
      <c r="EC56" s="1361" t="s">
        <v>525</v>
      </c>
      <c r="ED56" s="1361" t="s">
        <v>182</v>
      </c>
      <c r="EE56" s="1361" t="s">
        <v>183</v>
      </c>
      <c r="EG56" s="1361" t="s">
        <v>1224</v>
      </c>
      <c r="EH56" s="1361" t="s">
        <v>1522</v>
      </c>
      <c r="EI56" s="1361" t="s">
        <v>1523</v>
      </c>
    </row>
    <row r="57" spans="1:145" x14ac:dyDescent="0.2">
      <c r="A57" s="24" t="str">
        <f>Février!BJ20</f>
        <v>Fiche infoA7</v>
      </c>
      <c r="B57" s="810">
        <f>Février!AB20</f>
        <v>46054</v>
      </c>
      <c r="C57" s="1371"/>
      <c r="D57" s="978">
        <f t="shared" ref="D57:D87" si="98">IF(AR57&lt;&gt;"",0,IF(DN57=10,0,IFERROR(+IF(BU57="",VLOOKUP(A57,base_horaire,2,FALSE),BU57),0)))</f>
        <v>0</v>
      </c>
      <c r="E57" s="979">
        <f t="shared" ref="E57:E87" si="99">IF(AR57&lt;&gt;"",0,IF(DN57=10,0,IFERROR(+IF(BV57="",VLOOKUP(A57,base_horaire,3,FALSE),BV57),0)))</f>
        <v>0</v>
      </c>
      <c r="F57" s="979">
        <f t="shared" ref="F57:F87" si="100">IF(AR57&lt;&gt;"",0,IF(DN57=10,0,IFERROR(+IF(BW57="",VLOOKUP(A57,base_horaire,4,FALSE),BW57),0)))</f>
        <v>0</v>
      </c>
      <c r="G57" s="979">
        <f t="shared" ref="G57:G87" si="101">IF(AR57&lt;&gt;"",0,IF(DN57=10,0,IFERROR(+IF(BX57="",VLOOKUP(A57,base_horaire,5,FALSE),BX57),0)))</f>
        <v>0</v>
      </c>
      <c r="H57" s="979">
        <f t="shared" ref="H57:H87" si="102">IF(AR57&lt;&gt;"",0,IF(DN57=10,0,IFERROR(+IF(BY57="",VLOOKUP(A57,base_horaire,6,FALSE),BY57),0)))</f>
        <v>0</v>
      </c>
      <c r="I57" s="979">
        <f t="shared" ref="I57:I87" si="103">IF(AR57&lt;&gt;"",0,IF(DN57=10,0,IFERROR(+IF(BZ57="",VLOOKUP(A57,base_horaire,7,FALSE),BZ57),0)))</f>
        <v>0</v>
      </c>
      <c r="J57" s="979">
        <f t="shared" ref="J57:J87" si="104">IF(AR57&lt;&gt;"",0,IF(DN57=10,0,IFERROR(+IF(CA57="",VLOOKUP(A57,base_horaire,8,FALSE),CA57),0)))</f>
        <v>0</v>
      </c>
      <c r="K57" s="979">
        <f t="shared" ref="K57:K87" si="105">IF(AR57&lt;&gt;"",0,IF(DN57=10,0,IFERROR(+IF(CB57="",VLOOKUP(A57,base_horaire,9,FALSE),CB57),0)))</f>
        <v>0</v>
      </c>
      <c r="L57" s="979">
        <f>+E57-D57+G57-F57+I57-H57+K57-J57</f>
        <v>0</v>
      </c>
      <c r="M57" s="980">
        <f>ROUND(+L57*24,2)</f>
        <v>0</v>
      </c>
      <c r="O57" s="978">
        <f t="shared" ref="O57:O64" si="106">IF(AR57&lt;&gt;"",0,IF(DC57="oui",0,IF(AND(ISTEXT(AT57)=TRUE,BJ57=""),0,IF(BJ57="",D57,BJ57))))</f>
        <v>0</v>
      </c>
      <c r="P57" s="979">
        <f t="shared" ref="P57:P64" si="107">IF(AR57&lt;&gt;"",0,IF(DC57="oui",0,IF(AND(ISTEXT(AT57)=TRUE,BK57=""),0,IF(BK57="",E57,BK57))))</f>
        <v>0</v>
      </c>
      <c r="Q57" s="979">
        <f t="shared" ref="Q57:Q64" si="108">IF(AR57&lt;&gt;"",0,IF(DC57="oui",0,IF(AND(ISTEXT(AT57)=TRUE,BL57=""),0,IF(BL57="",F57,BL57))))</f>
        <v>0</v>
      </c>
      <c r="R57" s="979">
        <f t="shared" ref="R57:R64" si="109">IF(AR57&lt;&gt;"",0,IF(DC57="oui",0,IF(AND(ISTEXT(AT57)=TRUE,BM57=""),0,IF(BM57="",G57,BM57))))</f>
        <v>0</v>
      </c>
      <c r="S57" s="979">
        <f t="shared" ref="S57:S64" si="110">IF(AR57&lt;&gt;"",0,IF(DC57="oui",0,IF(AND(ISTEXT(AT57)=TRUE,BN57=""),0,IF(BN57="",H57,BN57))))</f>
        <v>0</v>
      </c>
      <c r="T57" s="979">
        <f t="shared" ref="T57:T64" si="111">IF(AR57&lt;&gt;"",0,IF(DC57="oui",0,IF(AND(ISTEXT(AT57)=TRUE,BO57=""),0,IF(BO57="",I57,BO57))))</f>
        <v>0</v>
      </c>
      <c r="U57" s="979">
        <f t="shared" ref="U57:U64" si="112">IF(AR57&lt;&gt;"",0,IF(DC57="oui",0,IF(AND(ISTEXT(AT57)=TRUE,BP57=""),0,IF(BP57="",J57,BP57))))</f>
        <v>0</v>
      </c>
      <c r="V57" s="979">
        <f t="shared" ref="V57:V64" si="113">IF(AR57&lt;&gt;"",0,IF(DC57="oui",0,IF(AND(ISTEXT(AT57)=TRUE,BQ57=""),0,IF(BQ57="",K57,BQ57))))</f>
        <v>0</v>
      </c>
      <c r="W57" s="979">
        <f t="shared" ref="W57:W87" si="114">+P57-O57+R57-Q57+T57-S57+V57-U57</f>
        <v>0</v>
      </c>
      <c r="X57" s="980">
        <f t="shared" ref="X57:X87" si="115">ROUND(+W57*24,2)</f>
        <v>0</v>
      </c>
      <c r="Y57" s="441"/>
      <c r="Z57" s="277">
        <f t="shared" ref="Z57:Z87" si="116">+IF(AND(O57&gt;D57,D57&gt;0),D57,O57)</f>
        <v>0</v>
      </c>
      <c r="AA57" s="277">
        <f t="shared" ref="AA57:AA87" si="117">+IF(P57&gt;E57,P57,E57)</f>
        <v>0</v>
      </c>
      <c r="AB57" s="277">
        <f t="shared" ref="AB57:AB87" si="118">+IF(AND(Q57&gt;F57,F57&gt;0),F57,Q57)</f>
        <v>0</v>
      </c>
      <c r="AC57" s="277">
        <f t="shared" ref="AC57:AC87" si="119">+IF(R57&gt;G57,R57,G57)</f>
        <v>0</v>
      </c>
      <c r="AD57" s="277">
        <f t="shared" ref="AD57:AD87" si="120">+IF(AND(S57&gt;H57,H57&gt;0),H57,S57)</f>
        <v>0</v>
      </c>
      <c r="AE57" s="277">
        <f t="shared" ref="AE57:AE87" si="121">+IF(T57&gt;I57,T57,I57)</f>
        <v>0</v>
      </c>
      <c r="AF57" s="277">
        <f t="shared" ref="AF57:AF87" si="122">+IF(AND(U57&gt;J57,J57&gt;0),J57,U57)</f>
        <v>0</v>
      </c>
      <c r="AG57" s="277">
        <f t="shared" ref="AG57:AG87" si="123">+IF(V57&gt;K57,V57,K57)</f>
        <v>0</v>
      </c>
      <c r="AI57" s="443">
        <f t="shared" ref="AI57:AI64" si="124">IF(DC57="oui",0,IF(AND(ISTEXT(AT57)=TRUE,OR(X57=0,X57="")),0,ROUND(((((AA57-Z57)-(E57-D57))+((AC57-AB57)-(G57-F57))+((AE57-AD57)-(I57-H57))+(AG57-AF57)-(K57-J57))*24),2)))</f>
        <v>0</v>
      </c>
      <c r="AJ57" s="1089"/>
      <c r="AK57" s="489"/>
      <c r="AL57" s="810">
        <f t="shared" ref="AL57:AL87" si="125">B57</f>
        <v>46054</v>
      </c>
      <c r="AM57" s="497">
        <f>IFERROR(IF(AND(AT57="",AR57&lt;&gt;S.CAL!$BJ$3,AR57&lt;&gt;S.CAL!$BJ$4,$AR$50="NON"),M57-BD57,IF(AND(AT57="",AR57&lt;&gt;S.CAL!$BJ$3,AR57&lt;&gt;S.CAL!$BJ$4,$AR$50="OUI"),X57-AI57,IF(AT57&lt;&gt;0,AT57,IF(OR(AR57=S.CAL!$BJ$3,AR57=S.CAL!$BJ$4),AR57,"")))),"")</f>
        <v>0</v>
      </c>
      <c r="AN57" s="1091"/>
      <c r="AO57" s="1092"/>
      <c r="AP57" s="497">
        <f>+IF(AND(AU57="",BB57="OUI",BH57="non",BI57="OUI"),AM57,IF(AND(AU57="",BB57="OUI",BH57="oui",BI57="NON"),AM57,IF(AND(AU57="",BB57="NON",BH57="oui",BI57="NON"),M57,IF(AND(AU57="",BB57="NON",BH57="non",BI57="OUI"),M57,IF(AND(AU57="",BB57="OUI",BH57="non",BI57="NON"),"ERREUR",IF(AND(AU57="",BB57="NON",BH57="non",BI57="NON"),AM57,IF(AND(AU57="",BB57="OUI",BH57="",BI57=""),AM57,IF(AND(AU57="",BB57="NON",BH57="",BI57="",AZ57="NON"),M57,IF(AND(AU57="",BH57="",AZ57="OUI",AR57=""),AM57,IF(AND(AU57="",BH57="",AZ57="NON",AR57="",AT57=""),M57,IF(AND(OR(AR57=S.CAL!$BJ$3,AR57=S.CAL!$BJ$4),(VLOOKUP($AM$50,base_nbre_sem_mensu,2,FALSE)=52)),EE57,IF(AND(OR(AR57=S.CAL!$BJ$3,AR57=S.CAL!$BJ$4),(VLOOKUP($AM$50,base_nbre_sem_mensu,2,FALSE)&lt;52)),AM57,IF(AND(AT57&lt;&gt;"",AU57=""),AT57,AU57)))))))))))))</f>
        <v>0</v>
      </c>
      <c r="AQ57" s="498">
        <f>AI57-SUM(AN57:AO57)</f>
        <v>0</v>
      </c>
      <c r="AR57" s="1097"/>
      <c r="AT57" s="1100"/>
      <c r="AU57" s="813"/>
      <c r="AV57" s="1369">
        <f t="shared" ref="AV57:AV87" si="126">B57</f>
        <v>46054</v>
      </c>
      <c r="AX57" s="511">
        <f>+AV57</f>
        <v>46054</v>
      </c>
      <c r="AY57" s="528">
        <f>+IF(M57-X57&lt;0,0,M57-X57)</f>
        <v>0</v>
      </c>
      <c r="AZ57" s="531" t="s">
        <v>137</v>
      </c>
      <c r="BA57" s="532">
        <f>+IF(AZ57="OUI",AY57,0)</f>
        <v>0</v>
      </c>
      <c r="BB57" s="533" t="str">
        <f t="shared" ref="BB57:BB87" si="127">IF(AND(BE57="",+IFERROR(VLOOKUP(AT57,Liste_motif_formule,5,FALSE),0)="OUI"),"OUI",IF(AND(BE57="",IFERROR(VLOOKUP(AT57,Liste_motif_formule,5,FALSE),0)="NON"),"NON",IF(AND(BE57="",IFERROR(M57-AT57&gt;=0,0),AT57&lt;&gt;""),"OUI",IF(AND(BE57="",DC57="oui"),"OUI",IF(BE57&lt;&gt;"",BE57,"")))))</f>
        <v/>
      </c>
      <c r="BC57" s="528">
        <f>+IF(BB57="OUI",IFERROR(M57-AT57,M57),0)</f>
        <v>0</v>
      </c>
      <c r="BD57" s="528">
        <f>+BC57+BA57</f>
        <v>0</v>
      </c>
      <c r="BE57" s="1103"/>
      <c r="BF57" s="514" t="str">
        <f t="shared" ref="BF57:BF87" si="128">+IF(AND(AZ57="OUI",BB57="OUI"),"ERREUR","")</f>
        <v/>
      </c>
      <c r="BG57" s="514" t="str">
        <f>+IF(AND(M57=0,AT57=""),"oui","non")</f>
        <v>oui</v>
      </c>
      <c r="BH57" s="377" t="str">
        <f t="shared" ref="BH57:BH87" si="129">IFERROR(+VLOOKUP(AT57,Liste_motif_formule,4,FALSE),"")</f>
        <v/>
      </c>
      <c r="BI57" s="24" t="str">
        <f t="shared" ref="BI57:BI87" si="130">IFERROR(+VLOOKUP(AT57,Liste_motif_formule,5,FALSE),"")</f>
        <v/>
      </c>
      <c r="BJ57" s="1381"/>
      <c r="BK57" s="1381"/>
      <c r="BL57" s="1381"/>
      <c r="BM57" s="1381"/>
      <c r="BN57" s="1381"/>
      <c r="BO57" s="1381"/>
      <c r="BP57" s="1381"/>
      <c r="BQ57" s="1381"/>
      <c r="BS57" s="1369">
        <f t="shared" si="97"/>
        <v>46054</v>
      </c>
      <c r="BT57" s="27">
        <f>IFERROR(WEEKNUM(BS57,21),"")</f>
        <v>5</v>
      </c>
      <c r="BU57" s="1379"/>
      <c r="BV57" s="1379"/>
      <c r="BW57" s="1379"/>
      <c r="BX57" s="1379"/>
      <c r="BY57" s="1379"/>
      <c r="BZ57" s="1379"/>
      <c r="CA57" s="1379"/>
      <c r="CB57" s="1379"/>
      <c r="CD57" s="1385">
        <f>+M57</f>
        <v>0</v>
      </c>
      <c r="DC57" s="16" t="str">
        <f>Février!FC20</f>
        <v>non</v>
      </c>
      <c r="DG57" s="315">
        <f>IF(OR(AT57=0,AT57=""),1,10)</f>
        <v>1</v>
      </c>
      <c r="DH57" s="129">
        <f t="shared" ref="DH57:DH87" si="131">IFERROR(+VLOOKUP(AT57,Liste_motif_formule,9,FALSE),10)</f>
        <v>10</v>
      </c>
      <c r="DI57" s="129">
        <f>+IF(OR(DG57=1,DH57=1),1,10)</f>
        <v>1</v>
      </c>
      <c r="DK57" s="16">
        <f>+IF(AND(Février!$DP$8&lt;&gt;52,AR57=S.CAL!$BJ$4),10,1)</f>
        <v>1</v>
      </c>
      <c r="DN57" s="16">
        <f t="shared" ref="DN57:DN87" si="132">+IF(AND(DC57="non",ISTEXT(AT57)=TRUE,IFERROR(VLOOKUP(AT57,Liste_motif_formule,4,FALSE)="non",0),IFERROR(VLOOKUP(AT57,Liste_motif_formule,5,FALSE)="non",0)),10,1)</f>
        <v>1</v>
      </c>
      <c r="DU57" s="1274" t="str">
        <f>+A57&amp;B57</f>
        <v>Fiche infoA746054</v>
      </c>
      <c r="DV57" s="1362">
        <f t="shared" ref="DV57:DV87" si="133">+IFERROR(+IF(BU57="",VLOOKUP(A57,base_horaire,2,FALSE),BU57),0)</f>
        <v>0</v>
      </c>
      <c r="DW57" s="1363">
        <f t="shared" ref="DW57:DW87" si="134">+IFERROR(+IF(BV57="",VLOOKUP(A57,base_horaire,3,FALSE),BV57),0)</f>
        <v>0</v>
      </c>
      <c r="DX57" s="1363">
        <f t="shared" ref="DX57:DX87" si="135">+IFERROR(+IF(BW57="",VLOOKUP(A57,base_horaire,4,FALSE),BW57),0)</f>
        <v>0</v>
      </c>
      <c r="DY57" s="1363">
        <f t="shared" ref="DY57:DY87" si="136">+IFERROR(+IF(BX57="",VLOOKUP(A57,base_horaire,5,FALSE),BX57),0)</f>
        <v>0</v>
      </c>
      <c r="DZ57" s="1363">
        <f t="shared" ref="DZ57:DZ87" si="137">+IFERROR(+IF(BY57="",VLOOKUP(A57,base_horaire,6,FALSE),BY57),0)</f>
        <v>0</v>
      </c>
      <c r="EA57" s="1363">
        <f t="shared" ref="EA57:EA87" si="138">IFERROR(+IF(BZ57="",VLOOKUP(A57,base_horaire,7,FALSE),BZ57),0)</f>
        <v>0</v>
      </c>
      <c r="EB57" s="1363">
        <f t="shared" ref="EB57:EB87" si="139">IFERROR(+IF(CA57="",VLOOKUP(A57,base_horaire,8,FALSE),CA57),0)</f>
        <v>0</v>
      </c>
      <c r="EC57" s="1363">
        <f t="shared" ref="EC57:EC87" si="140">IFERROR(+IF(CB57="",VLOOKUP(A57,base_horaire,9,FALSE),CB57),0)</f>
        <v>0</v>
      </c>
      <c r="ED57" s="1363">
        <f>+DW57-DV57+DY57-DX57+EA57-DZ57+EC57-EB57</f>
        <v>0</v>
      </c>
      <c r="EE57" s="1364">
        <f>ROUND(+ED57*24,2)</f>
        <v>0</v>
      </c>
      <c r="EG57" s="16" t="str">
        <f>+WEEKNUM(B57,21)&amp;YEAR(B57)</f>
        <v>52026</v>
      </c>
      <c r="EH57" s="16" t="str">
        <f t="shared" ref="EH57:EH87" si="141">+A57</f>
        <v>Fiche infoA7</v>
      </c>
      <c r="EI57" s="16" t="str">
        <f t="shared" ref="EI57:EI87" si="142">+VLOOKUP(EH57,Base_heures,6,FALSE)</f>
        <v/>
      </c>
    </row>
    <row r="58" spans="1:145" x14ac:dyDescent="0.2">
      <c r="A58" s="1373" t="str">
        <f>Février!BJ21</f>
        <v>Fiche infoA1</v>
      </c>
      <c r="B58" s="811">
        <f>Février!AB21</f>
        <v>46055</v>
      </c>
      <c r="C58" s="1372"/>
      <c r="D58" s="981">
        <f t="shared" si="98"/>
        <v>0</v>
      </c>
      <c r="E58" s="434">
        <f t="shared" si="99"/>
        <v>0</v>
      </c>
      <c r="F58" s="434">
        <f t="shared" si="100"/>
        <v>0</v>
      </c>
      <c r="G58" s="434">
        <f t="shared" si="101"/>
        <v>0</v>
      </c>
      <c r="H58" s="434">
        <f t="shared" si="102"/>
        <v>0</v>
      </c>
      <c r="I58" s="434">
        <f t="shared" si="103"/>
        <v>0</v>
      </c>
      <c r="J58" s="434">
        <f t="shared" si="104"/>
        <v>0</v>
      </c>
      <c r="K58" s="434">
        <f t="shared" si="105"/>
        <v>0</v>
      </c>
      <c r="L58" s="434">
        <f t="shared" ref="L58:L87" si="143">+E58-D58+G58-F58+I58-H58+K58-J58</f>
        <v>0</v>
      </c>
      <c r="M58" s="982">
        <f t="shared" ref="M58:M87" si="144">ROUND(+L58*24,2)</f>
        <v>0</v>
      </c>
      <c r="N58" s="1374"/>
      <c r="O58" s="981">
        <f t="shared" si="106"/>
        <v>0</v>
      </c>
      <c r="P58" s="434">
        <f t="shared" si="107"/>
        <v>0</v>
      </c>
      <c r="Q58" s="434">
        <f t="shared" si="108"/>
        <v>0</v>
      </c>
      <c r="R58" s="434">
        <f t="shared" si="109"/>
        <v>0</v>
      </c>
      <c r="S58" s="434">
        <f t="shared" si="110"/>
        <v>0</v>
      </c>
      <c r="T58" s="434">
        <f t="shared" si="111"/>
        <v>0</v>
      </c>
      <c r="U58" s="434">
        <f t="shared" si="112"/>
        <v>0</v>
      </c>
      <c r="V58" s="434">
        <f t="shared" si="113"/>
        <v>0</v>
      </c>
      <c r="W58" s="434">
        <f t="shared" si="114"/>
        <v>0</v>
      </c>
      <c r="X58" s="982">
        <f t="shared" si="115"/>
        <v>0</v>
      </c>
      <c r="Y58" s="1375"/>
      <c r="Z58" s="1376">
        <f t="shared" si="116"/>
        <v>0</v>
      </c>
      <c r="AA58" s="1376">
        <f t="shared" si="117"/>
        <v>0</v>
      </c>
      <c r="AB58" s="1376">
        <f t="shared" si="118"/>
        <v>0</v>
      </c>
      <c r="AC58" s="1376">
        <f t="shared" si="119"/>
        <v>0</v>
      </c>
      <c r="AD58" s="1376">
        <f t="shared" si="120"/>
        <v>0</v>
      </c>
      <c r="AE58" s="1376">
        <f t="shared" si="121"/>
        <v>0</v>
      </c>
      <c r="AF58" s="1376">
        <f t="shared" si="122"/>
        <v>0</v>
      </c>
      <c r="AG58" s="1376">
        <f t="shared" si="123"/>
        <v>0</v>
      </c>
      <c r="AH58" s="1374"/>
      <c r="AI58" s="444">
        <f t="shared" si="124"/>
        <v>0</v>
      </c>
      <c r="AJ58" s="1090"/>
      <c r="AK58" s="1377"/>
      <c r="AL58" s="811">
        <f t="shared" si="125"/>
        <v>46055</v>
      </c>
      <c r="AM58" s="666">
        <f>IFERROR(IF(AND(AT58="",AR58&lt;&gt;S.CAL!$BJ$3,AR58&lt;&gt;S.CAL!$BJ$4,$AR$50="NON"),M58-BD58,IF(AND(AT58="",AR58&lt;&gt;S.CAL!$BJ$3,AR58&lt;&gt;S.CAL!$BJ$4,$AR$50="OUI"),X58-AI58,IF(AT58&lt;&gt;0,AT58,IF(OR(AR58=S.CAL!$BJ$3,AR58=S.CAL!$BJ$4),AR58,"")))),"")</f>
        <v>0</v>
      </c>
      <c r="AN58" s="1093"/>
      <c r="AO58" s="1094"/>
      <c r="AP58" s="666">
        <f>+IF(AND(AU58="",BB58="OUI",BH58="non",BI58="OUI"),AM58,IF(AND(AU58="",BB58="OUI",BH58="oui",BI58="NON"),AM58,IF(AND(AU58="",BB58="NON",BH58="oui",BI58="NON"),M58,IF(AND(AU58="",BB58="NON",BH58="non",BI58="OUI"),M58,IF(AND(AU58="",BB58="OUI",BH58="non",BI58="NON"),"ERREUR",IF(AND(AU58="",BB58="NON",BH58="non",BI58="NON"),AM58,IF(AND(AU58="",BB58="OUI",BH58="",BI58=""),AM58,IF(AND(AU58="",BB58="NON",BH58="",BI58="",AZ58="NON"),M58,IF(AND(AU58="",BH58="",AZ58="OUI",AR58=""),AM58,IF(AND(AU58="",BH58="",AZ58="NON",AR58="",AT58=""),M58,IF(AND(OR(AR58=S.CAL!$BJ$3,AR58=S.CAL!$BJ$4),(VLOOKUP($AM$50,base_nbre_sem_mensu,2,FALSE)=52)),EE58,IF(AND(OR(AR58=S.CAL!$BJ$3,AR58=S.CAL!$BJ$4),(VLOOKUP($AM$50,base_nbre_sem_mensu,2,FALSE)&lt;52)),AM58,IF(AND(AT58&lt;&gt;"",AU58=""),AT58,AU58)))))))))))))</f>
        <v>0</v>
      </c>
      <c r="AQ58" s="1378">
        <f t="shared" ref="AQ58:AQ87" si="145">AI58-SUM(AN58:AO58)</f>
        <v>0</v>
      </c>
      <c r="AR58" s="1098"/>
      <c r="AS58" s="1374"/>
      <c r="AT58" s="1101"/>
      <c r="AU58" s="813"/>
      <c r="AV58" s="1370">
        <f t="shared" si="126"/>
        <v>46055</v>
      </c>
      <c r="AW58" s="1374"/>
      <c r="AX58" s="511">
        <f t="shared" ref="AX58:AX87" si="146">+AV58</f>
        <v>46055</v>
      </c>
      <c r="AY58" s="523">
        <f t="shared" ref="AY58:AY87" si="147">+IF(M58-X58&lt;0,0,M58-X58)</f>
        <v>0</v>
      </c>
      <c r="AZ58" s="520" t="s">
        <v>137</v>
      </c>
      <c r="BA58" s="516">
        <f t="shared" ref="BA58:BA87" si="148">+IF(AZ58="OUI",AY58,0)</f>
        <v>0</v>
      </c>
      <c r="BB58" s="549" t="str">
        <f t="shared" si="127"/>
        <v/>
      </c>
      <c r="BC58" s="523">
        <f t="shared" ref="BC58:BC87" si="149">+IF(BB58="OUI",IFERROR(M58-AT58,M58),0)</f>
        <v>0</v>
      </c>
      <c r="BD58" s="523">
        <f t="shared" ref="BD58:BD87" si="150">+BC58+BA58</f>
        <v>0</v>
      </c>
      <c r="BE58" s="1104"/>
      <c r="BF58" s="514" t="str">
        <f t="shared" si="128"/>
        <v/>
      </c>
      <c r="BG58" s="514" t="str">
        <f t="shared" ref="BG58:BG87" si="151">+IF(AND(M58=0,AT58=""),"oui","non")</f>
        <v>oui</v>
      </c>
      <c r="BH58" s="377" t="str">
        <f t="shared" si="129"/>
        <v/>
      </c>
      <c r="BI58" s="24" t="str">
        <f t="shared" si="130"/>
        <v/>
      </c>
      <c r="BJ58" s="1382"/>
      <c r="BK58" s="1382"/>
      <c r="BL58" s="1382"/>
      <c r="BM58" s="1382"/>
      <c r="BN58" s="1382"/>
      <c r="BO58" s="1382"/>
      <c r="BP58" s="1382"/>
      <c r="BQ58" s="1382"/>
      <c r="BR58" s="1383"/>
      <c r="BS58" s="1370">
        <f t="shared" si="97"/>
        <v>46055</v>
      </c>
      <c r="BT58" s="1384">
        <f>IFERROR(IF(WEEKDAY(BS58,11)=1,WEEKNUM(BS58,21),""),"")</f>
        <v>6</v>
      </c>
      <c r="BU58" s="1382"/>
      <c r="BV58" s="1382"/>
      <c r="BW58" s="1382"/>
      <c r="BX58" s="1382"/>
      <c r="BY58" s="1382"/>
      <c r="BZ58" s="1382"/>
      <c r="CA58" s="1382"/>
      <c r="CB58" s="1382"/>
      <c r="CD58" s="1386">
        <f t="shared" ref="CD58:CD87" si="152">+M58</f>
        <v>0</v>
      </c>
      <c r="DC58" s="16" t="str">
        <f>Février!FC21</f>
        <v>non</v>
      </c>
      <c r="DG58" s="315">
        <f t="shared" ref="DG58:DG87" si="153">IF(OR(AT58=0,AT58=""),1,10)</f>
        <v>1</v>
      </c>
      <c r="DH58" s="129">
        <f t="shared" si="131"/>
        <v>10</v>
      </c>
      <c r="DI58" s="129">
        <f t="shared" ref="DI58:DI87" si="154">+IF(OR(DG58=1,DH58=1),1,10)</f>
        <v>1</v>
      </c>
      <c r="DK58" s="16">
        <f>+IF(AND(Février!$DP$8&lt;&gt;52,AR58=S.CAL!$BJ$4),10,1)</f>
        <v>1</v>
      </c>
      <c r="DN58" s="16">
        <f t="shared" si="132"/>
        <v>1</v>
      </c>
      <c r="DU58" s="1274" t="str">
        <f t="shared" ref="DU58:DU87" si="155">+A58&amp;B58</f>
        <v>Fiche infoA146055</v>
      </c>
      <c r="DV58" s="1362">
        <f t="shared" si="133"/>
        <v>0</v>
      </c>
      <c r="DW58" s="1363">
        <f t="shared" si="134"/>
        <v>0</v>
      </c>
      <c r="DX58" s="1363">
        <f t="shared" si="135"/>
        <v>0</v>
      </c>
      <c r="DY58" s="1363">
        <f t="shared" si="136"/>
        <v>0</v>
      </c>
      <c r="DZ58" s="1363">
        <f t="shared" si="137"/>
        <v>0</v>
      </c>
      <c r="EA58" s="1363">
        <f t="shared" si="138"/>
        <v>0</v>
      </c>
      <c r="EB58" s="1363">
        <f t="shared" si="139"/>
        <v>0</v>
      </c>
      <c r="EC58" s="1363">
        <f t="shared" si="140"/>
        <v>0</v>
      </c>
      <c r="ED58" s="1363">
        <f t="shared" ref="ED58:ED87" si="156">+DW58-DV58+DY58-DX58+EA58-DZ58+EC58-EB58</f>
        <v>0</v>
      </c>
      <c r="EE58" s="1364">
        <f t="shared" ref="EE58:EE87" si="157">ROUND(+ED58*24,2)</f>
        <v>0</v>
      </c>
      <c r="EG58" s="16" t="str">
        <f t="shared" ref="EG58:EG87" si="158">+WEEKNUM(B58,21)&amp;YEAR(B58)</f>
        <v>62026</v>
      </c>
      <c r="EH58" s="16" t="str">
        <f t="shared" si="141"/>
        <v>Fiche infoA1</v>
      </c>
      <c r="EI58" s="16" t="str">
        <f t="shared" si="142"/>
        <v/>
      </c>
    </row>
    <row r="59" spans="1:145" x14ac:dyDescent="0.2">
      <c r="A59" s="24" t="str">
        <f>Février!BJ22</f>
        <v>Fiche infoA2</v>
      </c>
      <c r="B59" s="811">
        <f>Février!AB22</f>
        <v>46056</v>
      </c>
      <c r="C59" s="1371"/>
      <c r="D59" s="981">
        <f t="shared" si="98"/>
        <v>0</v>
      </c>
      <c r="E59" s="434">
        <f t="shared" si="99"/>
        <v>0</v>
      </c>
      <c r="F59" s="434">
        <f t="shared" si="100"/>
        <v>0</v>
      </c>
      <c r="G59" s="434">
        <f t="shared" si="101"/>
        <v>0</v>
      </c>
      <c r="H59" s="434">
        <f t="shared" si="102"/>
        <v>0</v>
      </c>
      <c r="I59" s="434">
        <f t="shared" si="103"/>
        <v>0</v>
      </c>
      <c r="J59" s="434">
        <f t="shared" si="104"/>
        <v>0</v>
      </c>
      <c r="K59" s="434">
        <f t="shared" si="105"/>
        <v>0</v>
      </c>
      <c r="L59" s="434">
        <f t="shared" si="143"/>
        <v>0</v>
      </c>
      <c r="M59" s="982">
        <f t="shared" si="144"/>
        <v>0</v>
      </c>
      <c r="O59" s="981">
        <f t="shared" si="106"/>
        <v>0</v>
      </c>
      <c r="P59" s="434">
        <f t="shared" si="107"/>
        <v>0</v>
      </c>
      <c r="Q59" s="434">
        <f t="shared" si="108"/>
        <v>0</v>
      </c>
      <c r="R59" s="434">
        <f t="shared" si="109"/>
        <v>0</v>
      </c>
      <c r="S59" s="434">
        <f t="shared" si="110"/>
        <v>0</v>
      </c>
      <c r="T59" s="434">
        <f t="shared" si="111"/>
        <v>0</v>
      </c>
      <c r="U59" s="434">
        <f t="shared" si="112"/>
        <v>0</v>
      </c>
      <c r="V59" s="434">
        <f t="shared" si="113"/>
        <v>0</v>
      </c>
      <c r="W59" s="434">
        <f t="shared" si="114"/>
        <v>0</v>
      </c>
      <c r="X59" s="982">
        <f t="shared" si="115"/>
        <v>0</v>
      </c>
      <c r="Y59" s="441"/>
      <c r="Z59" s="277">
        <f t="shared" si="116"/>
        <v>0</v>
      </c>
      <c r="AA59" s="277">
        <f t="shared" si="117"/>
        <v>0</v>
      </c>
      <c r="AB59" s="277">
        <f t="shared" si="118"/>
        <v>0</v>
      </c>
      <c r="AC59" s="277">
        <f t="shared" si="119"/>
        <v>0</v>
      </c>
      <c r="AD59" s="277">
        <f t="shared" si="120"/>
        <v>0</v>
      </c>
      <c r="AE59" s="277">
        <f t="shared" si="121"/>
        <v>0</v>
      </c>
      <c r="AF59" s="277">
        <f t="shared" si="122"/>
        <v>0</v>
      </c>
      <c r="AG59" s="277">
        <f t="shared" si="123"/>
        <v>0</v>
      </c>
      <c r="AI59" s="444">
        <f t="shared" si="124"/>
        <v>0</v>
      </c>
      <c r="AJ59" s="1090"/>
      <c r="AK59" s="489"/>
      <c r="AL59" s="811">
        <f t="shared" si="125"/>
        <v>46056</v>
      </c>
      <c r="AM59" s="666">
        <f>IFERROR(IF(AND(AT59="",AR59&lt;&gt;S.CAL!$BJ$3,AR59&lt;&gt;S.CAL!$BJ$4,$AR$50="NON"),M59-BD59,IF(AND(AT59="",AR59&lt;&gt;S.CAL!$BJ$3,AR59&lt;&gt;S.CAL!$BJ$4,$AR$50="OUI"),X59-AI59,IF(AT59&lt;&gt;0,AT59,IF(OR(AR59=S.CAL!$BJ$3,AR59=S.CAL!$BJ$4),AR59,"")))),"")</f>
        <v>0</v>
      </c>
      <c r="AN59" s="1093"/>
      <c r="AO59" s="1094"/>
      <c r="AP59" s="666">
        <f>+IF(AND(AU59="",BB59="OUI",BH59="non",BI59="OUI"),AM59,IF(AND(AU59="",BB59="OUI",BH59="oui",BI59="NON"),AM59,IF(AND(AU59="",BB59="NON",BH59="oui",BI59="NON"),M59,IF(AND(AU59="",BB59="NON",BH59="non",BI59="OUI"),M59,IF(AND(AU59="",BB59="OUI",BH59="non",BI59="NON"),"ERREUR",IF(AND(AU59="",BB59="NON",BH59="non",BI59="NON"),AM59,IF(AND(AU59="",BB59="OUI",BH59="",BI59=""),AM59,IF(AND(AU59="",BB59="NON",BH59="",BI59="",AZ59="NON"),M59,IF(AND(AU59="",BH59="",AZ59="OUI",AR59=""),AM59,IF(AND(AU59="",BH59="",AZ59="NON",AR59="",AT59=""),M59,IF(AND(OR(AR59=S.CAL!$BJ$3,AR59=S.CAL!$BJ$4),(VLOOKUP($AM$50,base_nbre_sem_mensu,2,FALSE)=52)),EE59,IF(AND(OR(AR59=S.CAL!$BJ$3,AR59=S.CAL!$BJ$4),(VLOOKUP($AM$50,base_nbre_sem_mensu,2,FALSE)&lt;52)),AM59,IF(AND(AT59&lt;&gt;"",AU59=""),AT59,AU59)))))))))))))</f>
        <v>0</v>
      </c>
      <c r="AQ59" s="498">
        <f t="shared" si="145"/>
        <v>0</v>
      </c>
      <c r="AR59" s="1098"/>
      <c r="AT59" s="1101"/>
      <c r="AU59" s="813"/>
      <c r="AV59" s="1370">
        <f t="shared" si="126"/>
        <v>46056</v>
      </c>
      <c r="AX59" s="511">
        <f t="shared" si="146"/>
        <v>46056</v>
      </c>
      <c r="AY59" s="523">
        <f t="shared" si="147"/>
        <v>0</v>
      </c>
      <c r="AZ59" s="520" t="s">
        <v>137</v>
      </c>
      <c r="BA59" s="516">
        <f t="shared" si="148"/>
        <v>0</v>
      </c>
      <c r="BB59" s="549" t="str">
        <f t="shared" si="127"/>
        <v/>
      </c>
      <c r="BC59" s="523">
        <f t="shared" si="149"/>
        <v>0</v>
      </c>
      <c r="BD59" s="523">
        <f t="shared" si="150"/>
        <v>0</v>
      </c>
      <c r="BE59" s="1104"/>
      <c r="BF59" s="514" t="str">
        <f t="shared" si="128"/>
        <v/>
      </c>
      <c r="BG59" s="514" t="str">
        <f t="shared" si="151"/>
        <v>oui</v>
      </c>
      <c r="BH59" s="377" t="str">
        <f t="shared" si="129"/>
        <v/>
      </c>
      <c r="BI59" s="24" t="str">
        <f t="shared" si="130"/>
        <v/>
      </c>
      <c r="BJ59" s="1381"/>
      <c r="BK59" s="1381"/>
      <c r="BL59" s="1381"/>
      <c r="BM59" s="1381"/>
      <c r="BN59" s="1381"/>
      <c r="BO59" s="1381"/>
      <c r="BP59" s="1381"/>
      <c r="BQ59" s="1381"/>
      <c r="BS59" s="1370">
        <f t="shared" si="97"/>
        <v>46056</v>
      </c>
      <c r="BT59" s="27" t="str">
        <f t="shared" ref="BT59:BT87" si="159">IFERROR(IF(WEEKDAY(BS59,11)=1,WEEKNUM(BS59,21),""),"")</f>
        <v/>
      </c>
      <c r="BU59" s="1380"/>
      <c r="BV59" s="1380"/>
      <c r="BW59" s="1380"/>
      <c r="BX59" s="1380"/>
      <c r="BY59" s="1380"/>
      <c r="BZ59" s="1380"/>
      <c r="CA59" s="1380"/>
      <c r="CB59" s="1380"/>
      <c r="CD59" s="1386">
        <f t="shared" si="152"/>
        <v>0</v>
      </c>
      <c r="DC59" s="16" t="str">
        <f>Février!FC22</f>
        <v>non</v>
      </c>
      <c r="DG59" s="315">
        <f t="shared" si="153"/>
        <v>1</v>
      </c>
      <c r="DH59" s="129">
        <f t="shared" si="131"/>
        <v>10</v>
      </c>
      <c r="DI59" s="129">
        <f t="shared" si="154"/>
        <v>1</v>
      </c>
      <c r="DK59" s="16">
        <f>+IF(AND(Février!$DP$8&lt;&gt;52,AR59=S.CAL!$BJ$4),10,1)</f>
        <v>1</v>
      </c>
      <c r="DN59" s="16">
        <f t="shared" si="132"/>
        <v>1</v>
      </c>
      <c r="DU59" s="1274" t="str">
        <f t="shared" si="155"/>
        <v>Fiche infoA246056</v>
      </c>
      <c r="DV59" s="1362">
        <f t="shared" si="133"/>
        <v>0</v>
      </c>
      <c r="DW59" s="1363">
        <f t="shared" si="134"/>
        <v>0</v>
      </c>
      <c r="DX59" s="1363">
        <f t="shared" si="135"/>
        <v>0</v>
      </c>
      <c r="DY59" s="1363">
        <f t="shared" si="136"/>
        <v>0</v>
      </c>
      <c r="DZ59" s="1363">
        <f t="shared" si="137"/>
        <v>0</v>
      </c>
      <c r="EA59" s="1363">
        <f t="shared" si="138"/>
        <v>0</v>
      </c>
      <c r="EB59" s="1363">
        <f t="shared" si="139"/>
        <v>0</v>
      </c>
      <c r="EC59" s="1363">
        <f t="shared" si="140"/>
        <v>0</v>
      </c>
      <c r="ED59" s="1363">
        <f t="shared" si="156"/>
        <v>0</v>
      </c>
      <c r="EE59" s="1364">
        <f t="shared" si="157"/>
        <v>0</v>
      </c>
      <c r="EG59" s="16" t="str">
        <f t="shared" si="158"/>
        <v>62026</v>
      </c>
      <c r="EH59" s="16" t="str">
        <f t="shared" si="141"/>
        <v>Fiche infoA2</v>
      </c>
      <c r="EI59" s="16" t="str">
        <f t="shared" si="142"/>
        <v/>
      </c>
    </row>
    <row r="60" spans="1:145" x14ac:dyDescent="0.2">
      <c r="A60" s="1373" t="str">
        <f>Février!BJ23</f>
        <v>Fiche infoA3</v>
      </c>
      <c r="B60" s="811">
        <f>Février!AB23</f>
        <v>46057</v>
      </c>
      <c r="C60" s="1372"/>
      <c r="D60" s="981">
        <f t="shared" si="98"/>
        <v>0</v>
      </c>
      <c r="E60" s="434">
        <f t="shared" si="99"/>
        <v>0</v>
      </c>
      <c r="F60" s="434">
        <f t="shared" si="100"/>
        <v>0</v>
      </c>
      <c r="G60" s="434">
        <f t="shared" si="101"/>
        <v>0</v>
      </c>
      <c r="H60" s="434">
        <f t="shared" si="102"/>
        <v>0</v>
      </c>
      <c r="I60" s="434">
        <f t="shared" si="103"/>
        <v>0</v>
      </c>
      <c r="J60" s="434">
        <f t="shared" si="104"/>
        <v>0</v>
      </c>
      <c r="K60" s="434">
        <f t="shared" si="105"/>
        <v>0</v>
      </c>
      <c r="L60" s="434">
        <f t="shared" si="143"/>
        <v>0</v>
      </c>
      <c r="M60" s="982">
        <f t="shared" si="144"/>
        <v>0</v>
      </c>
      <c r="N60" s="1374"/>
      <c r="O60" s="981">
        <f t="shared" si="106"/>
        <v>0</v>
      </c>
      <c r="P60" s="434">
        <f t="shared" si="107"/>
        <v>0</v>
      </c>
      <c r="Q60" s="434">
        <f t="shared" si="108"/>
        <v>0</v>
      </c>
      <c r="R60" s="434">
        <f t="shared" si="109"/>
        <v>0</v>
      </c>
      <c r="S60" s="434">
        <f t="shared" si="110"/>
        <v>0</v>
      </c>
      <c r="T60" s="434">
        <f t="shared" si="111"/>
        <v>0</v>
      </c>
      <c r="U60" s="434">
        <f t="shared" si="112"/>
        <v>0</v>
      </c>
      <c r="V60" s="434">
        <f t="shared" si="113"/>
        <v>0</v>
      </c>
      <c r="W60" s="434">
        <f t="shared" si="114"/>
        <v>0</v>
      </c>
      <c r="X60" s="982">
        <f t="shared" si="115"/>
        <v>0</v>
      </c>
      <c r="Y60" s="1375"/>
      <c r="Z60" s="1376">
        <f t="shared" si="116"/>
        <v>0</v>
      </c>
      <c r="AA60" s="1376">
        <f t="shared" si="117"/>
        <v>0</v>
      </c>
      <c r="AB60" s="1376">
        <f t="shared" si="118"/>
        <v>0</v>
      </c>
      <c r="AC60" s="1376">
        <f t="shared" si="119"/>
        <v>0</v>
      </c>
      <c r="AD60" s="1376">
        <f t="shared" si="120"/>
        <v>0</v>
      </c>
      <c r="AE60" s="1376">
        <f t="shared" si="121"/>
        <v>0</v>
      </c>
      <c r="AF60" s="1376">
        <f t="shared" si="122"/>
        <v>0</v>
      </c>
      <c r="AG60" s="1376">
        <f t="shared" si="123"/>
        <v>0</v>
      </c>
      <c r="AH60" s="1374"/>
      <c r="AI60" s="444">
        <f t="shared" si="124"/>
        <v>0</v>
      </c>
      <c r="AJ60" s="1090"/>
      <c r="AK60" s="1377"/>
      <c r="AL60" s="811">
        <f t="shared" si="125"/>
        <v>46057</v>
      </c>
      <c r="AM60" s="666">
        <f>IFERROR(IF(AND(AT60="",AR60&lt;&gt;S.CAL!$BJ$3,AR60&lt;&gt;S.CAL!$BJ$4,$AR$50="NON"),M60-BD60,IF(AND(AT60="",AR60&lt;&gt;S.CAL!$BJ$3,AR60&lt;&gt;S.CAL!$BJ$4,$AR$50="OUI"),X60-AI60,IF(AT60&lt;&gt;0,AT60,IF(OR(AR60=S.CAL!$BJ$3,AR60=S.CAL!$BJ$4),AR60,"")))),"")</f>
        <v>0</v>
      </c>
      <c r="AN60" s="1093"/>
      <c r="AO60" s="1094"/>
      <c r="AP60" s="666">
        <f>+IF(AND(AU60="",BB60="OUI",BH60="non",BI60="OUI"),AM60,IF(AND(AU60="",BB60="OUI",BH60="oui",BI60="NON"),AM60,IF(AND(AU60="",BB60="NON",BH60="oui",BI60="NON"),M60,IF(AND(AU60="",BB60="NON",BH60="non",BI60="OUI"),M60,IF(AND(AU60="",BB60="OUI",BH60="non",BI60="NON"),"ERREUR",IF(AND(AU60="",BB60="NON",BH60="non",BI60="NON"),AM60,IF(AND(AU60="",BB60="OUI",BH60="",BI60=""),AM60,IF(AND(AU60="",BB60="NON",BH60="",BI60="",AZ60="NON"),M60,IF(AND(AU60="",BH60="",AZ60="OUI",AR60=""),AM60,IF(AND(AU60="",BH60="",AZ60="NON",AR60="",AT60=""),M60,IF(AND(OR(AR60=S.CAL!$BJ$3,AR60=S.CAL!$BJ$4),(VLOOKUP($AM$50,base_nbre_sem_mensu,2,FALSE)=52)),EE60,IF(AND(OR(AR60=S.CAL!$BJ$3,AR60=S.CAL!$BJ$4),(VLOOKUP($AM$50,base_nbre_sem_mensu,2,FALSE)&lt;52)),AM60,IF(AND(AT60&lt;&gt;"",AU60=""),AT60,AU60)))))))))))))</f>
        <v>0</v>
      </c>
      <c r="AQ60" s="1378">
        <f t="shared" si="145"/>
        <v>0</v>
      </c>
      <c r="AR60" s="1098"/>
      <c r="AS60" s="1374"/>
      <c r="AT60" s="1101"/>
      <c r="AU60" s="813"/>
      <c r="AV60" s="1370">
        <f t="shared" si="126"/>
        <v>46057</v>
      </c>
      <c r="AW60" s="1374"/>
      <c r="AX60" s="511">
        <f t="shared" si="146"/>
        <v>46057</v>
      </c>
      <c r="AY60" s="523">
        <f t="shared" si="147"/>
        <v>0</v>
      </c>
      <c r="AZ60" s="520" t="s">
        <v>137</v>
      </c>
      <c r="BA60" s="516">
        <f t="shared" si="148"/>
        <v>0</v>
      </c>
      <c r="BB60" s="549" t="str">
        <f t="shared" si="127"/>
        <v/>
      </c>
      <c r="BC60" s="523">
        <f t="shared" si="149"/>
        <v>0</v>
      </c>
      <c r="BD60" s="523">
        <f t="shared" si="150"/>
        <v>0</v>
      </c>
      <c r="BE60" s="1104"/>
      <c r="BF60" s="514" t="str">
        <f t="shared" si="128"/>
        <v/>
      </c>
      <c r="BG60" s="514" t="str">
        <f t="shared" si="151"/>
        <v>oui</v>
      </c>
      <c r="BH60" s="377" t="str">
        <f t="shared" si="129"/>
        <v/>
      </c>
      <c r="BI60" s="24" t="str">
        <f t="shared" si="130"/>
        <v/>
      </c>
      <c r="BJ60" s="1382"/>
      <c r="BK60" s="1382"/>
      <c r="BL60" s="1382"/>
      <c r="BM60" s="1382"/>
      <c r="BN60" s="1382"/>
      <c r="BO60" s="1382"/>
      <c r="BP60" s="1382"/>
      <c r="BQ60" s="1382"/>
      <c r="BR60" s="1383"/>
      <c r="BS60" s="1370">
        <f t="shared" si="97"/>
        <v>46057</v>
      </c>
      <c r="BT60" s="1384" t="str">
        <f t="shared" si="159"/>
        <v/>
      </c>
      <c r="BU60" s="1382"/>
      <c r="BV60" s="1382"/>
      <c r="BW60" s="1382"/>
      <c r="BX60" s="1382"/>
      <c r="BY60" s="1382"/>
      <c r="BZ60" s="1382"/>
      <c r="CA60" s="1382"/>
      <c r="CB60" s="1382"/>
      <c r="CD60" s="1386">
        <f t="shared" si="152"/>
        <v>0</v>
      </c>
      <c r="DC60" s="16" t="str">
        <f>Février!FC23</f>
        <v>non</v>
      </c>
      <c r="DG60" s="315">
        <f t="shared" si="153"/>
        <v>1</v>
      </c>
      <c r="DH60" s="129">
        <f t="shared" si="131"/>
        <v>10</v>
      </c>
      <c r="DI60" s="129">
        <f t="shared" si="154"/>
        <v>1</v>
      </c>
      <c r="DK60" s="16">
        <f>+IF(AND(Février!$DP$8&lt;&gt;52,AR60=S.CAL!$BJ$4),10,1)</f>
        <v>1</v>
      </c>
      <c r="DN60" s="16">
        <f t="shared" si="132"/>
        <v>1</v>
      </c>
      <c r="DU60" s="1274" t="str">
        <f t="shared" si="155"/>
        <v>Fiche infoA346057</v>
      </c>
      <c r="DV60" s="1362">
        <f t="shared" si="133"/>
        <v>0</v>
      </c>
      <c r="DW60" s="1363">
        <f t="shared" si="134"/>
        <v>0</v>
      </c>
      <c r="DX60" s="1363">
        <f t="shared" si="135"/>
        <v>0</v>
      </c>
      <c r="DY60" s="1363">
        <f t="shared" si="136"/>
        <v>0</v>
      </c>
      <c r="DZ60" s="1363">
        <f t="shared" si="137"/>
        <v>0</v>
      </c>
      <c r="EA60" s="1363">
        <f t="shared" si="138"/>
        <v>0</v>
      </c>
      <c r="EB60" s="1363">
        <f t="shared" si="139"/>
        <v>0</v>
      </c>
      <c r="EC60" s="1363">
        <f t="shared" si="140"/>
        <v>0</v>
      </c>
      <c r="ED60" s="1363">
        <f t="shared" si="156"/>
        <v>0</v>
      </c>
      <c r="EE60" s="1364">
        <f t="shared" si="157"/>
        <v>0</v>
      </c>
      <c r="EG60" s="16" t="str">
        <f t="shared" si="158"/>
        <v>62026</v>
      </c>
      <c r="EH60" s="16" t="str">
        <f t="shared" si="141"/>
        <v>Fiche infoA3</v>
      </c>
      <c r="EI60" s="16" t="str">
        <f t="shared" si="142"/>
        <v/>
      </c>
    </row>
    <row r="61" spans="1:145" x14ac:dyDescent="0.2">
      <c r="A61" s="24" t="str">
        <f>Février!BJ24</f>
        <v>Fiche infoA4</v>
      </c>
      <c r="B61" s="811">
        <f>Février!AB24</f>
        <v>46058</v>
      </c>
      <c r="C61" s="1371"/>
      <c r="D61" s="981">
        <f t="shared" si="98"/>
        <v>0</v>
      </c>
      <c r="E61" s="434">
        <f t="shared" si="99"/>
        <v>0</v>
      </c>
      <c r="F61" s="434">
        <f t="shared" si="100"/>
        <v>0</v>
      </c>
      <c r="G61" s="434">
        <f t="shared" si="101"/>
        <v>0</v>
      </c>
      <c r="H61" s="434">
        <f t="shared" si="102"/>
        <v>0</v>
      </c>
      <c r="I61" s="434">
        <f t="shared" si="103"/>
        <v>0</v>
      </c>
      <c r="J61" s="434">
        <f t="shared" si="104"/>
        <v>0</v>
      </c>
      <c r="K61" s="434">
        <f t="shared" si="105"/>
        <v>0</v>
      </c>
      <c r="L61" s="434">
        <f t="shared" si="143"/>
        <v>0</v>
      </c>
      <c r="M61" s="982">
        <f t="shared" si="144"/>
        <v>0</v>
      </c>
      <c r="O61" s="981">
        <f t="shared" si="106"/>
        <v>0</v>
      </c>
      <c r="P61" s="434">
        <f t="shared" si="107"/>
        <v>0</v>
      </c>
      <c r="Q61" s="434">
        <f t="shared" si="108"/>
        <v>0</v>
      </c>
      <c r="R61" s="434">
        <f t="shared" si="109"/>
        <v>0</v>
      </c>
      <c r="S61" s="434">
        <f t="shared" si="110"/>
        <v>0</v>
      </c>
      <c r="T61" s="434">
        <f t="shared" si="111"/>
        <v>0</v>
      </c>
      <c r="U61" s="434">
        <f t="shared" si="112"/>
        <v>0</v>
      </c>
      <c r="V61" s="434">
        <f t="shared" si="113"/>
        <v>0</v>
      </c>
      <c r="W61" s="434">
        <f t="shared" si="114"/>
        <v>0</v>
      </c>
      <c r="X61" s="982">
        <f t="shared" si="115"/>
        <v>0</v>
      </c>
      <c r="Y61" s="441"/>
      <c r="Z61" s="277">
        <f t="shared" si="116"/>
        <v>0</v>
      </c>
      <c r="AA61" s="277">
        <f t="shared" si="117"/>
        <v>0</v>
      </c>
      <c r="AB61" s="277">
        <f t="shared" si="118"/>
        <v>0</v>
      </c>
      <c r="AC61" s="277">
        <f t="shared" si="119"/>
        <v>0</v>
      </c>
      <c r="AD61" s="277">
        <f t="shared" si="120"/>
        <v>0</v>
      </c>
      <c r="AE61" s="277">
        <f t="shared" si="121"/>
        <v>0</v>
      </c>
      <c r="AF61" s="277">
        <f t="shared" si="122"/>
        <v>0</v>
      </c>
      <c r="AG61" s="277">
        <f t="shared" si="123"/>
        <v>0</v>
      </c>
      <c r="AI61" s="444">
        <f t="shared" si="124"/>
        <v>0</v>
      </c>
      <c r="AJ61" s="1090"/>
      <c r="AK61" s="489"/>
      <c r="AL61" s="811">
        <f t="shared" si="125"/>
        <v>46058</v>
      </c>
      <c r="AM61" s="666">
        <f>IFERROR(IF(AND(AT61="",AR61&lt;&gt;S.CAL!$BJ$3,AR61&lt;&gt;S.CAL!$BJ$4,$AR$50="NON"),M61-BD61,IF(AND(AT61="",AR61&lt;&gt;S.CAL!$BJ$3,AR61&lt;&gt;S.CAL!$BJ$4,$AR$50="OUI"),X61-AI61,IF(AT61&lt;&gt;0,AT61,IF(OR(AR61=S.CAL!$BJ$3,AR61=S.CAL!$BJ$4),AR61,"")))),"")</f>
        <v>0</v>
      </c>
      <c r="AN61" s="1093"/>
      <c r="AO61" s="1094"/>
      <c r="AP61" s="666">
        <f>+IF(AND(AU61="",BB61="OUI",BH61="non",BI61="OUI"),AM61,IF(AND(AU61="",BB61="OUI",BH61="oui",BI61="NON"),AM61,IF(AND(AU61="",BB61="NON",BH61="oui",BI61="NON"),M61,IF(AND(AU61="",BB61="NON",BH61="non",BI61="OUI"),M61,IF(AND(AU61="",BB61="OUI",BH61="non",BI61="NON"),"ERREUR",IF(AND(AU61="",BB61="NON",BH61="non",BI61="NON"),AM61,IF(AND(AU61="",BB61="OUI",BH61="",BI61=""),AM61,IF(AND(AU61="",BB61="NON",BH61="",BI61="",AZ61="NON"),M61,IF(AND(AU61="",BH61="",AZ61="OUI",AR61=""),AM61,IF(AND(AU61="",BH61="",AZ61="NON",AR61="",AT61=""),M61,IF(AND(OR(AR61=S.CAL!$BJ$3,AR61=S.CAL!$BJ$4),(VLOOKUP($AM$50,base_nbre_sem_mensu,2,FALSE)=52)),EE61,IF(AND(OR(AR61=S.CAL!$BJ$3,AR61=S.CAL!$BJ$4),(VLOOKUP($AM$50,base_nbre_sem_mensu,2,FALSE)&lt;52)),AM61,IF(AND(AT61&lt;&gt;"",AU61=""),AT61,AU61)))))))))))))</f>
        <v>0</v>
      </c>
      <c r="AQ61" s="498">
        <f t="shared" si="145"/>
        <v>0</v>
      </c>
      <c r="AR61" s="1098"/>
      <c r="AT61" s="1101"/>
      <c r="AU61" s="813"/>
      <c r="AV61" s="1370">
        <f t="shared" si="126"/>
        <v>46058</v>
      </c>
      <c r="AX61" s="511">
        <f t="shared" si="146"/>
        <v>46058</v>
      </c>
      <c r="AY61" s="523">
        <f t="shared" si="147"/>
        <v>0</v>
      </c>
      <c r="AZ61" s="520" t="s">
        <v>137</v>
      </c>
      <c r="BA61" s="516">
        <f t="shared" si="148"/>
        <v>0</v>
      </c>
      <c r="BB61" s="549" t="str">
        <f t="shared" si="127"/>
        <v/>
      </c>
      <c r="BC61" s="523">
        <f t="shared" si="149"/>
        <v>0</v>
      </c>
      <c r="BD61" s="523">
        <f t="shared" si="150"/>
        <v>0</v>
      </c>
      <c r="BE61" s="1104"/>
      <c r="BF61" s="514" t="str">
        <f t="shared" si="128"/>
        <v/>
      </c>
      <c r="BG61" s="514" t="str">
        <f t="shared" si="151"/>
        <v>oui</v>
      </c>
      <c r="BH61" s="377" t="str">
        <f t="shared" si="129"/>
        <v/>
      </c>
      <c r="BI61" s="24" t="str">
        <f t="shared" si="130"/>
        <v/>
      </c>
      <c r="BJ61" s="1381"/>
      <c r="BK61" s="1381"/>
      <c r="BL61" s="1381"/>
      <c r="BM61" s="1381"/>
      <c r="BN61" s="1381"/>
      <c r="BO61" s="1381"/>
      <c r="BP61" s="1381"/>
      <c r="BQ61" s="1381"/>
      <c r="BS61" s="1370">
        <f t="shared" si="97"/>
        <v>46058</v>
      </c>
      <c r="BT61" s="27" t="str">
        <f t="shared" si="159"/>
        <v/>
      </c>
      <c r="BU61" s="1380"/>
      <c r="BV61" s="1380"/>
      <c r="BW61" s="1380"/>
      <c r="BX61" s="1380"/>
      <c r="BY61" s="1380"/>
      <c r="BZ61" s="1380"/>
      <c r="CA61" s="1380"/>
      <c r="CB61" s="1380"/>
      <c r="CD61" s="1386">
        <f t="shared" si="152"/>
        <v>0</v>
      </c>
      <c r="DC61" s="16" t="str">
        <f>Février!FC24</f>
        <v>non</v>
      </c>
      <c r="DG61" s="315">
        <f t="shared" si="153"/>
        <v>1</v>
      </c>
      <c r="DH61" s="129">
        <f t="shared" si="131"/>
        <v>10</v>
      </c>
      <c r="DI61" s="129">
        <f t="shared" si="154"/>
        <v>1</v>
      </c>
      <c r="DK61" s="16">
        <f>+IF(AND(Février!$DP$8&lt;&gt;52,AR61=S.CAL!$BJ$4),10,1)</f>
        <v>1</v>
      </c>
      <c r="DN61" s="16">
        <f t="shared" si="132"/>
        <v>1</v>
      </c>
      <c r="DU61" s="1274" t="str">
        <f t="shared" si="155"/>
        <v>Fiche infoA446058</v>
      </c>
      <c r="DV61" s="1362">
        <f t="shared" si="133"/>
        <v>0</v>
      </c>
      <c r="DW61" s="1363">
        <f t="shared" si="134"/>
        <v>0</v>
      </c>
      <c r="DX61" s="1363">
        <f t="shared" si="135"/>
        <v>0</v>
      </c>
      <c r="DY61" s="1363">
        <f t="shared" si="136"/>
        <v>0</v>
      </c>
      <c r="DZ61" s="1363">
        <f t="shared" si="137"/>
        <v>0</v>
      </c>
      <c r="EA61" s="1363">
        <f t="shared" si="138"/>
        <v>0</v>
      </c>
      <c r="EB61" s="1363">
        <f t="shared" si="139"/>
        <v>0</v>
      </c>
      <c r="EC61" s="1363">
        <f t="shared" si="140"/>
        <v>0</v>
      </c>
      <c r="ED61" s="1363">
        <f t="shared" si="156"/>
        <v>0</v>
      </c>
      <c r="EE61" s="1364">
        <f t="shared" si="157"/>
        <v>0</v>
      </c>
      <c r="EG61" s="16" t="str">
        <f t="shared" si="158"/>
        <v>62026</v>
      </c>
      <c r="EH61" s="16" t="str">
        <f t="shared" si="141"/>
        <v>Fiche infoA4</v>
      </c>
      <c r="EI61" s="16" t="str">
        <f t="shared" si="142"/>
        <v/>
      </c>
    </row>
    <row r="62" spans="1:145" x14ac:dyDescent="0.2">
      <c r="A62" s="1373" t="str">
        <f>Février!BJ25</f>
        <v>Fiche infoA5</v>
      </c>
      <c r="B62" s="811">
        <f>Février!AB25</f>
        <v>46059</v>
      </c>
      <c r="C62" s="1372"/>
      <c r="D62" s="981">
        <f t="shared" si="98"/>
        <v>0</v>
      </c>
      <c r="E62" s="434">
        <f t="shared" si="99"/>
        <v>0</v>
      </c>
      <c r="F62" s="434">
        <f t="shared" si="100"/>
        <v>0</v>
      </c>
      <c r="G62" s="434">
        <f t="shared" si="101"/>
        <v>0</v>
      </c>
      <c r="H62" s="434">
        <f t="shared" si="102"/>
        <v>0</v>
      </c>
      <c r="I62" s="434">
        <f t="shared" si="103"/>
        <v>0</v>
      </c>
      <c r="J62" s="434">
        <f t="shared" si="104"/>
        <v>0</v>
      </c>
      <c r="K62" s="434">
        <f t="shared" si="105"/>
        <v>0</v>
      </c>
      <c r="L62" s="434">
        <f t="shared" si="143"/>
        <v>0</v>
      </c>
      <c r="M62" s="982">
        <f t="shared" si="144"/>
        <v>0</v>
      </c>
      <c r="N62" s="1374"/>
      <c r="O62" s="981">
        <f t="shared" si="106"/>
        <v>0</v>
      </c>
      <c r="P62" s="434">
        <f t="shared" si="107"/>
        <v>0</v>
      </c>
      <c r="Q62" s="434">
        <f t="shared" si="108"/>
        <v>0</v>
      </c>
      <c r="R62" s="434">
        <f t="shared" si="109"/>
        <v>0</v>
      </c>
      <c r="S62" s="434">
        <f t="shared" si="110"/>
        <v>0</v>
      </c>
      <c r="T62" s="434">
        <f t="shared" si="111"/>
        <v>0</v>
      </c>
      <c r="U62" s="434">
        <f t="shared" si="112"/>
        <v>0</v>
      </c>
      <c r="V62" s="434">
        <f t="shared" si="113"/>
        <v>0</v>
      </c>
      <c r="W62" s="434">
        <f t="shared" si="114"/>
        <v>0</v>
      </c>
      <c r="X62" s="982">
        <f t="shared" si="115"/>
        <v>0</v>
      </c>
      <c r="Y62" s="1375"/>
      <c r="Z62" s="1376">
        <f t="shared" si="116"/>
        <v>0</v>
      </c>
      <c r="AA62" s="1376">
        <f t="shared" si="117"/>
        <v>0</v>
      </c>
      <c r="AB62" s="1376">
        <f t="shared" si="118"/>
        <v>0</v>
      </c>
      <c r="AC62" s="1376">
        <f t="shared" si="119"/>
        <v>0</v>
      </c>
      <c r="AD62" s="1376">
        <f t="shared" si="120"/>
        <v>0</v>
      </c>
      <c r="AE62" s="1376">
        <f t="shared" si="121"/>
        <v>0</v>
      </c>
      <c r="AF62" s="1376">
        <f t="shared" si="122"/>
        <v>0</v>
      </c>
      <c r="AG62" s="1376">
        <f t="shared" si="123"/>
        <v>0</v>
      </c>
      <c r="AH62" s="1374"/>
      <c r="AI62" s="444">
        <f t="shared" si="124"/>
        <v>0</v>
      </c>
      <c r="AJ62" s="1090"/>
      <c r="AK62" s="1377"/>
      <c r="AL62" s="811">
        <f t="shared" si="125"/>
        <v>46059</v>
      </c>
      <c r="AM62" s="666">
        <f>IFERROR(IF(AND(AT62="",AR62&lt;&gt;S.CAL!$BJ$3,AR62&lt;&gt;S.CAL!$BJ$4,$AR$50="NON"),M62-BD62,IF(AND(AT62="",AR62&lt;&gt;S.CAL!$BJ$3,AR62&lt;&gt;S.CAL!$BJ$4,$AR$50="OUI"),X62-AI62,IF(AT62&lt;&gt;0,AT62,IF(OR(AR62=S.CAL!$BJ$3,AR62=S.CAL!$BJ$4),AR62,"")))),"")</f>
        <v>0</v>
      </c>
      <c r="AN62" s="1093"/>
      <c r="AO62" s="1094"/>
      <c r="AP62" s="666">
        <f>+IF(AND(AU62="",BB62="OUI",BH62="non",BI62="OUI"),AM62,IF(AND(AU62="",BB62="OUI",BH62="oui",BI62="NON"),AM62,IF(AND(AU62="",BB62="NON",BH62="oui",BI62="NON"),M62,IF(AND(AU62="",BB62="NON",BH62="non",BI62="OUI"),M62,IF(AND(AU62="",BB62="OUI",BH62="non",BI62="NON"),"ERREUR",IF(AND(AU62="",BB62="NON",BH62="non",BI62="NON"),AM62,IF(AND(AU62="",BB62="OUI",BH62="",BI62=""),AM62,IF(AND(AU62="",BB62="NON",BH62="",BI62="",AZ62="NON"),M62,IF(AND(AU62="",BH62="",AZ62="OUI",AR62=""),AM62,IF(AND(AU62="",BH62="",AZ62="NON",AR62="",AT62=""),M62,IF(AND(OR(AR62=S.CAL!$BJ$3,AR62=S.CAL!$BJ$4),(VLOOKUP($AM$50,base_nbre_sem_mensu,2,FALSE)=52)),EE62,IF(AND(OR(AR62=S.CAL!$BJ$3,AR62=S.CAL!$BJ$4),(VLOOKUP($AM$50,base_nbre_sem_mensu,2,FALSE)&lt;52)),AM62,IF(AND(AT62&lt;&gt;"",AU62=""),AT62,AU62)))))))))))))</f>
        <v>0</v>
      </c>
      <c r="AQ62" s="1378">
        <f t="shared" si="145"/>
        <v>0</v>
      </c>
      <c r="AR62" s="1098"/>
      <c r="AS62" s="1374"/>
      <c r="AT62" s="1101"/>
      <c r="AU62" s="813"/>
      <c r="AV62" s="1370">
        <f t="shared" si="126"/>
        <v>46059</v>
      </c>
      <c r="AW62" s="1374"/>
      <c r="AX62" s="511">
        <f t="shared" si="146"/>
        <v>46059</v>
      </c>
      <c r="AY62" s="523">
        <f t="shared" si="147"/>
        <v>0</v>
      </c>
      <c r="AZ62" s="520" t="s">
        <v>137</v>
      </c>
      <c r="BA62" s="516">
        <f t="shared" si="148"/>
        <v>0</v>
      </c>
      <c r="BB62" s="549" t="str">
        <f t="shared" si="127"/>
        <v/>
      </c>
      <c r="BC62" s="523">
        <f t="shared" si="149"/>
        <v>0</v>
      </c>
      <c r="BD62" s="523">
        <f t="shared" si="150"/>
        <v>0</v>
      </c>
      <c r="BE62" s="1104"/>
      <c r="BF62" s="514" t="str">
        <f t="shared" si="128"/>
        <v/>
      </c>
      <c r="BG62" s="514" t="str">
        <f t="shared" si="151"/>
        <v>oui</v>
      </c>
      <c r="BH62" s="377" t="str">
        <f t="shared" si="129"/>
        <v/>
      </c>
      <c r="BI62" s="24" t="str">
        <f t="shared" si="130"/>
        <v/>
      </c>
      <c r="BJ62" s="1382"/>
      <c r="BK62" s="1382"/>
      <c r="BL62" s="1382"/>
      <c r="BM62" s="1382"/>
      <c r="BN62" s="1382"/>
      <c r="BO62" s="1382"/>
      <c r="BP62" s="1382"/>
      <c r="BQ62" s="1382"/>
      <c r="BR62" s="1383"/>
      <c r="BS62" s="1370">
        <f t="shared" si="97"/>
        <v>46059</v>
      </c>
      <c r="BT62" s="1384" t="str">
        <f t="shared" si="159"/>
        <v/>
      </c>
      <c r="BU62" s="1382"/>
      <c r="BV62" s="1382"/>
      <c r="BW62" s="1382"/>
      <c r="BX62" s="1382"/>
      <c r="BY62" s="1382"/>
      <c r="BZ62" s="1382"/>
      <c r="CA62" s="1382"/>
      <c r="CB62" s="1382"/>
      <c r="CD62" s="1386">
        <f t="shared" si="152"/>
        <v>0</v>
      </c>
      <c r="DC62" s="16" t="str">
        <f>Février!FC25</f>
        <v>non</v>
      </c>
      <c r="DG62" s="315">
        <f t="shared" si="153"/>
        <v>1</v>
      </c>
      <c r="DH62" s="129">
        <f t="shared" si="131"/>
        <v>10</v>
      </c>
      <c r="DI62" s="129">
        <f t="shared" si="154"/>
        <v>1</v>
      </c>
      <c r="DK62" s="16">
        <f>+IF(AND(Février!$DP$8&lt;&gt;52,AR62=S.CAL!$BJ$4),10,1)</f>
        <v>1</v>
      </c>
      <c r="DN62" s="16">
        <f t="shared" si="132"/>
        <v>1</v>
      </c>
      <c r="DU62" s="1274" t="str">
        <f t="shared" si="155"/>
        <v>Fiche infoA546059</v>
      </c>
      <c r="DV62" s="1362">
        <f t="shared" si="133"/>
        <v>0</v>
      </c>
      <c r="DW62" s="1363">
        <f t="shared" si="134"/>
        <v>0</v>
      </c>
      <c r="DX62" s="1363">
        <f t="shared" si="135"/>
        <v>0</v>
      </c>
      <c r="DY62" s="1363">
        <f t="shared" si="136"/>
        <v>0</v>
      </c>
      <c r="DZ62" s="1363">
        <f t="shared" si="137"/>
        <v>0</v>
      </c>
      <c r="EA62" s="1363">
        <f t="shared" si="138"/>
        <v>0</v>
      </c>
      <c r="EB62" s="1363">
        <f t="shared" si="139"/>
        <v>0</v>
      </c>
      <c r="EC62" s="1363">
        <f t="shared" si="140"/>
        <v>0</v>
      </c>
      <c r="ED62" s="1363">
        <f t="shared" si="156"/>
        <v>0</v>
      </c>
      <c r="EE62" s="1364">
        <f t="shared" si="157"/>
        <v>0</v>
      </c>
      <c r="EG62" s="16" t="str">
        <f t="shared" si="158"/>
        <v>62026</v>
      </c>
      <c r="EH62" s="16" t="str">
        <f t="shared" si="141"/>
        <v>Fiche infoA5</v>
      </c>
      <c r="EI62" s="16" t="str">
        <f t="shared" si="142"/>
        <v/>
      </c>
    </row>
    <row r="63" spans="1:145" x14ac:dyDescent="0.2">
      <c r="A63" s="24" t="str">
        <f>Février!BJ26</f>
        <v>Fiche infoA6</v>
      </c>
      <c r="B63" s="811">
        <f>Février!AB26</f>
        <v>46060</v>
      </c>
      <c r="C63" s="1371"/>
      <c r="D63" s="981">
        <f t="shared" si="98"/>
        <v>0</v>
      </c>
      <c r="E63" s="434">
        <f t="shared" si="99"/>
        <v>0</v>
      </c>
      <c r="F63" s="434">
        <f t="shared" si="100"/>
        <v>0</v>
      </c>
      <c r="G63" s="434">
        <f t="shared" si="101"/>
        <v>0</v>
      </c>
      <c r="H63" s="434">
        <f t="shared" si="102"/>
        <v>0</v>
      </c>
      <c r="I63" s="434">
        <f t="shared" si="103"/>
        <v>0</v>
      </c>
      <c r="J63" s="434">
        <f t="shared" si="104"/>
        <v>0</v>
      </c>
      <c r="K63" s="434">
        <f t="shared" si="105"/>
        <v>0</v>
      </c>
      <c r="L63" s="434">
        <f t="shared" si="143"/>
        <v>0</v>
      </c>
      <c r="M63" s="982">
        <f t="shared" si="144"/>
        <v>0</v>
      </c>
      <c r="O63" s="981">
        <f t="shared" si="106"/>
        <v>0</v>
      </c>
      <c r="P63" s="434">
        <f t="shared" si="107"/>
        <v>0</v>
      </c>
      <c r="Q63" s="434">
        <f t="shared" si="108"/>
        <v>0</v>
      </c>
      <c r="R63" s="434">
        <f t="shared" si="109"/>
        <v>0</v>
      </c>
      <c r="S63" s="434">
        <f t="shared" si="110"/>
        <v>0</v>
      </c>
      <c r="T63" s="434">
        <f t="shared" si="111"/>
        <v>0</v>
      </c>
      <c r="U63" s="434">
        <f t="shared" si="112"/>
        <v>0</v>
      </c>
      <c r="V63" s="434">
        <f t="shared" si="113"/>
        <v>0</v>
      </c>
      <c r="W63" s="434">
        <f t="shared" si="114"/>
        <v>0</v>
      </c>
      <c r="X63" s="982">
        <f t="shared" si="115"/>
        <v>0</v>
      </c>
      <c r="Y63" s="441"/>
      <c r="Z63" s="277">
        <f t="shared" si="116"/>
        <v>0</v>
      </c>
      <c r="AA63" s="277">
        <f t="shared" si="117"/>
        <v>0</v>
      </c>
      <c r="AB63" s="277">
        <f t="shared" si="118"/>
        <v>0</v>
      </c>
      <c r="AC63" s="277">
        <f t="shared" si="119"/>
        <v>0</v>
      </c>
      <c r="AD63" s="277">
        <f t="shared" si="120"/>
        <v>0</v>
      </c>
      <c r="AE63" s="277">
        <f t="shared" si="121"/>
        <v>0</v>
      </c>
      <c r="AF63" s="277">
        <f t="shared" si="122"/>
        <v>0</v>
      </c>
      <c r="AG63" s="277">
        <f t="shared" si="123"/>
        <v>0</v>
      </c>
      <c r="AI63" s="444">
        <f t="shared" si="124"/>
        <v>0</v>
      </c>
      <c r="AJ63" s="1090"/>
      <c r="AK63" s="489"/>
      <c r="AL63" s="811">
        <f t="shared" si="125"/>
        <v>46060</v>
      </c>
      <c r="AM63" s="666">
        <f>IFERROR(IF(AND(AT63="",AR63&lt;&gt;S.CAL!$BJ$3,AR63&lt;&gt;S.CAL!$BJ$4,$AR$50="NON"),M63-BD63,IF(AND(AT63="",AR63&lt;&gt;S.CAL!$BJ$3,AR63&lt;&gt;S.CAL!$BJ$4,$AR$50="OUI"),X63-AI63,IF(AT63&lt;&gt;0,AT63,IF(OR(AR63=S.CAL!$BJ$3,AR63=S.CAL!$BJ$4),AR63,"")))),"")</f>
        <v>0</v>
      </c>
      <c r="AN63" s="1093"/>
      <c r="AO63" s="1094"/>
      <c r="AP63" s="666">
        <f>+IF(AND(AU63="",BB63="OUI",BH63="non",BI63="OUI"),AM63,IF(AND(AU63="",BB63="OUI",BH63="oui",BI63="NON"),AM63,IF(AND(AU63="",BB63="NON",BH63="oui",BI63="NON"),M63,IF(AND(AU63="",BB63="NON",BH63="non",BI63="OUI"),M63,IF(AND(AU63="",BB63="OUI",BH63="non",BI63="NON"),"ERREUR",IF(AND(AU63="",BB63="NON",BH63="non",BI63="NON"),AM63,IF(AND(AU63="",BB63="OUI",BH63="",BI63=""),AM63,IF(AND(AU63="",BB63="NON",BH63="",BI63="",AZ63="NON"),M63,IF(AND(AU63="",BH63="",AZ63="OUI",AR63=""),AM63,IF(AND(AU63="",BH63="",AZ63="NON",AR63="",AT63=""),M63,IF(AND(OR(AR63=S.CAL!$BJ$3,AR63=S.CAL!$BJ$4),(VLOOKUP($AM$50,base_nbre_sem_mensu,2,FALSE)=52)),EE63,IF(AND(OR(AR63=S.CAL!$BJ$3,AR63=S.CAL!$BJ$4),(VLOOKUP($AM$50,base_nbre_sem_mensu,2,FALSE)&lt;52)),AM63,IF(AND(AT63&lt;&gt;"",AU63=""),AT63,AU63)))))))))))))</f>
        <v>0</v>
      </c>
      <c r="AQ63" s="498">
        <f t="shared" si="145"/>
        <v>0</v>
      </c>
      <c r="AR63" s="1098"/>
      <c r="AT63" s="1101"/>
      <c r="AU63" s="813"/>
      <c r="AV63" s="1370">
        <f t="shared" si="126"/>
        <v>46060</v>
      </c>
      <c r="AX63" s="511">
        <f t="shared" si="146"/>
        <v>46060</v>
      </c>
      <c r="AY63" s="523">
        <f t="shared" si="147"/>
        <v>0</v>
      </c>
      <c r="AZ63" s="520" t="s">
        <v>137</v>
      </c>
      <c r="BA63" s="516">
        <f t="shared" si="148"/>
        <v>0</v>
      </c>
      <c r="BB63" s="549" t="str">
        <f t="shared" si="127"/>
        <v/>
      </c>
      <c r="BC63" s="523">
        <f t="shared" si="149"/>
        <v>0</v>
      </c>
      <c r="BD63" s="523">
        <f t="shared" si="150"/>
        <v>0</v>
      </c>
      <c r="BE63" s="1104"/>
      <c r="BF63" s="514" t="str">
        <f t="shared" si="128"/>
        <v/>
      </c>
      <c r="BG63" s="514" t="str">
        <f t="shared" si="151"/>
        <v>oui</v>
      </c>
      <c r="BH63" s="377" t="str">
        <f t="shared" si="129"/>
        <v/>
      </c>
      <c r="BI63" s="24" t="str">
        <f t="shared" si="130"/>
        <v/>
      </c>
      <c r="BJ63" s="1381"/>
      <c r="BK63" s="1381"/>
      <c r="BL63" s="1381"/>
      <c r="BM63" s="1381"/>
      <c r="BN63" s="1381"/>
      <c r="BO63" s="1381"/>
      <c r="BP63" s="1381"/>
      <c r="BQ63" s="1381"/>
      <c r="BS63" s="1370">
        <f t="shared" si="97"/>
        <v>46060</v>
      </c>
      <c r="BT63" s="27" t="str">
        <f t="shared" si="159"/>
        <v/>
      </c>
      <c r="BU63" s="1380"/>
      <c r="BV63" s="1380"/>
      <c r="BW63" s="1380"/>
      <c r="BX63" s="1380"/>
      <c r="BY63" s="1380"/>
      <c r="BZ63" s="1380"/>
      <c r="CA63" s="1380"/>
      <c r="CB63" s="1380"/>
      <c r="CD63" s="1386">
        <f t="shared" si="152"/>
        <v>0</v>
      </c>
      <c r="DC63" s="16" t="str">
        <f>Février!FC26</f>
        <v>non</v>
      </c>
      <c r="DG63" s="315">
        <f t="shared" si="153"/>
        <v>1</v>
      </c>
      <c r="DH63" s="129">
        <f t="shared" si="131"/>
        <v>10</v>
      </c>
      <c r="DI63" s="129">
        <f t="shared" si="154"/>
        <v>1</v>
      </c>
      <c r="DK63" s="16">
        <f>+IF(AND(Février!$DP$8&lt;&gt;52,AR63=S.CAL!$BJ$4),10,1)</f>
        <v>1</v>
      </c>
      <c r="DN63" s="16">
        <f t="shared" si="132"/>
        <v>1</v>
      </c>
      <c r="DU63" s="1274" t="str">
        <f t="shared" si="155"/>
        <v>Fiche infoA646060</v>
      </c>
      <c r="DV63" s="1362">
        <f t="shared" si="133"/>
        <v>0</v>
      </c>
      <c r="DW63" s="1363">
        <f t="shared" si="134"/>
        <v>0</v>
      </c>
      <c r="DX63" s="1363">
        <f t="shared" si="135"/>
        <v>0</v>
      </c>
      <c r="DY63" s="1363">
        <f t="shared" si="136"/>
        <v>0</v>
      </c>
      <c r="DZ63" s="1363">
        <f t="shared" si="137"/>
        <v>0</v>
      </c>
      <c r="EA63" s="1363">
        <f t="shared" si="138"/>
        <v>0</v>
      </c>
      <c r="EB63" s="1363">
        <f t="shared" si="139"/>
        <v>0</v>
      </c>
      <c r="EC63" s="1363">
        <f t="shared" si="140"/>
        <v>0</v>
      </c>
      <c r="ED63" s="1363">
        <f t="shared" si="156"/>
        <v>0</v>
      </c>
      <c r="EE63" s="1364">
        <f t="shared" si="157"/>
        <v>0</v>
      </c>
      <c r="EG63" s="16" t="str">
        <f t="shared" si="158"/>
        <v>62026</v>
      </c>
      <c r="EH63" s="16" t="str">
        <f t="shared" si="141"/>
        <v>Fiche infoA6</v>
      </c>
      <c r="EI63" s="16" t="str">
        <f t="shared" si="142"/>
        <v/>
      </c>
    </row>
    <row r="64" spans="1:145" x14ac:dyDescent="0.2">
      <c r="A64" s="1373" t="str">
        <f>Février!BJ27</f>
        <v>Fiche infoA7</v>
      </c>
      <c r="B64" s="811">
        <f>Février!AB27</f>
        <v>46061</v>
      </c>
      <c r="C64" s="1372"/>
      <c r="D64" s="981">
        <f t="shared" si="98"/>
        <v>0</v>
      </c>
      <c r="E64" s="434">
        <f t="shared" si="99"/>
        <v>0</v>
      </c>
      <c r="F64" s="434">
        <f t="shared" si="100"/>
        <v>0</v>
      </c>
      <c r="G64" s="434">
        <f t="shared" si="101"/>
        <v>0</v>
      </c>
      <c r="H64" s="434">
        <f t="shared" si="102"/>
        <v>0</v>
      </c>
      <c r="I64" s="434">
        <f t="shared" si="103"/>
        <v>0</v>
      </c>
      <c r="J64" s="434">
        <f t="shared" si="104"/>
        <v>0</v>
      </c>
      <c r="K64" s="434">
        <f t="shared" si="105"/>
        <v>0</v>
      </c>
      <c r="L64" s="434">
        <f t="shared" si="143"/>
        <v>0</v>
      </c>
      <c r="M64" s="982">
        <f t="shared" si="144"/>
        <v>0</v>
      </c>
      <c r="N64" s="1374"/>
      <c r="O64" s="981">
        <f t="shared" si="106"/>
        <v>0</v>
      </c>
      <c r="P64" s="434">
        <f t="shared" si="107"/>
        <v>0</v>
      </c>
      <c r="Q64" s="434">
        <f t="shared" si="108"/>
        <v>0</v>
      </c>
      <c r="R64" s="434">
        <f t="shared" si="109"/>
        <v>0</v>
      </c>
      <c r="S64" s="434">
        <f t="shared" si="110"/>
        <v>0</v>
      </c>
      <c r="T64" s="434">
        <f t="shared" si="111"/>
        <v>0</v>
      </c>
      <c r="U64" s="434">
        <f t="shared" si="112"/>
        <v>0</v>
      </c>
      <c r="V64" s="434">
        <f t="shared" si="113"/>
        <v>0</v>
      </c>
      <c r="W64" s="434">
        <f t="shared" si="114"/>
        <v>0</v>
      </c>
      <c r="X64" s="982">
        <f t="shared" si="115"/>
        <v>0</v>
      </c>
      <c r="Y64" s="1375"/>
      <c r="Z64" s="1376">
        <f t="shared" si="116"/>
        <v>0</v>
      </c>
      <c r="AA64" s="1376">
        <f t="shared" si="117"/>
        <v>0</v>
      </c>
      <c r="AB64" s="1376">
        <f t="shared" si="118"/>
        <v>0</v>
      </c>
      <c r="AC64" s="1376">
        <f t="shared" si="119"/>
        <v>0</v>
      </c>
      <c r="AD64" s="1376">
        <f t="shared" si="120"/>
        <v>0</v>
      </c>
      <c r="AE64" s="1376">
        <f t="shared" si="121"/>
        <v>0</v>
      </c>
      <c r="AF64" s="1376">
        <f t="shared" si="122"/>
        <v>0</v>
      </c>
      <c r="AG64" s="1376">
        <f t="shared" si="123"/>
        <v>0</v>
      </c>
      <c r="AH64" s="1374"/>
      <c r="AI64" s="444">
        <f t="shared" si="124"/>
        <v>0</v>
      </c>
      <c r="AJ64" s="1090"/>
      <c r="AK64" s="1377"/>
      <c r="AL64" s="811">
        <f t="shared" si="125"/>
        <v>46061</v>
      </c>
      <c r="AM64" s="666">
        <f>IFERROR(IF(AND(AT64="",AR64&lt;&gt;S.CAL!$BJ$3,AR64&lt;&gt;S.CAL!$BJ$4,$AR$50="NON"),M64-BD64,IF(AND(AT64="",AR64&lt;&gt;S.CAL!$BJ$3,AR64&lt;&gt;S.CAL!$BJ$4,$AR$50="OUI"),X64-AI64,IF(AT64&lt;&gt;0,AT64,IF(OR(AR64=S.CAL!$BJ$3,AR64=S.CAL!$BJ$4),AR64,"")))),"")</f>
        <v>0</v>
      </c>
      <c r="AN64" s="1093"/>
      <c r="AO64" s="1094"/>
      <c r="AP64" s="666">
        <f>+IF(AND(AU64="",BB64="OUI",BH64="non",BI64="OUI"),AM64,IF(AND(AU64="",BB64="OUI",BH64="oui",BI64="NON"),AM64,IF(AND(AU64="",BB64="NON",BH64="oui",BI64="NON"),M64,IF(AND(AU64="",BB64="NON",BH64="non",BI64="OUI"),M64,IF(AND(AU64="",BB64="OUI",BH64="non",BI64="NON"),"ERREUR",IF(AND(AU64="",BB64="NON",BH64="non",BI64="NON"),AM64,IF(AND(AU64="",BB64="OUI",BH64="",BI64=""),AM64,IF(AND(AU64="",BB64="NON",BH64="",BI64="",AZ64="NON"),M64,IF(AND(AU64="",BH64="",AZ64="OUI",AR64=""),AM64,IF(AND(AU64="",BH64="",AZ64="NON",AR64="",AT64=""),M64,IF(AND(OR(AR64=S.CAL!$BJ$3,AR64=S.CAL!$BJ$4),(VLOOKUP($AM$50,base_nbre_sem_mensu,2,FALSE)=52)),EE64,IF(AND(OR(AR64=S.CAL!$BJ$3,AR64=S.CAL!$BJ$4),(VLOOKUP($AM$50,base_nbre_sem_mensu,2,FALSE)&lt;52)),AM64,IF(AND(AT64&lt;&gt;"",AU64=""),AT64,AU64)))))))))))))</f>
        <v>0</v>
      </c>
      <c r="AQ64" s="1378">
        <f t="shared" si="145"/>
        <v>0</v>
      </c>
      <c r="AR64" s="1098"/>
      <c r="AS64" s="1374"/>
      <c r="AT64" s="1101"/>
      <c r="AU64" s="813"/>
      <c r="AV64" s="1370">
        <f t="shared" si="126"/>
        <v>46061</v>
      </c>
      <c r="AW64" s="1374"/>
      <c r="AX64" s="511">
        <f t="shared" si="146"/>
        <v>46061</v>
      </c>
      <c r="AY64" s="523">
        <f t="shared" si="147"/>
        <v>0</v>
      </c>
      <c r="AZ64" s="520" t="s">
        <v>137</v>
      </c>
      <c r="BA64" s="516">
        <f t="shared" si="148"/>
        <v>0</v>
      </c>
      <c r="BB64" s="549" t="str">
        <f t="shared" si="127"/>
        <v/>
      </c>
      <c r="BC64" s="523">
        <f t="shared" si="149"/>
        <v>0</v>
      </c>
      <c r="BD64" s="523">
        <f t="shared" si="150"/>
        <v>0</v>
      </c>
      <c r="BE64" s="1104"/>
      <c r="BF64" s="514" t="str">
        <f t="shared" si="128"/>
        <v/>
      </c>
      <c r="BG64" s="514" t="str">
        <f t="shared" si="151"/>
        <v>oui</v>
      </c>
      <c r="BH64" s="377" t="str">
        <f t="shared" si="129"/>
        <v/>
      </c>
      <c r="BI64" s="24" t="str">
        <f t="shared" si="130"/>
        <v/>
      </c>
      <c r="BJ64" s="1382"/>
      <c r="BK64" s="1382"/>
      <c r="BL64" s="1382"/>
      <c r="BM64" s="1382"/>
      <c r="BN64" s="1382"/>
      <c r="BO64" s="1382"/>
      <c r="BP64" s="1382"/>
      <c r="BQ64" s="1382"/>
      <c r="BR64" s="1383"/>
      <c r="BS64" s="1370">
        <f t="shared" si="97"/>
        <v>46061</v>
      </c>
      <c r="BT64" s="1384" t="str">
        <f t="shared" si="159"/>
        <v/>
      </c>
      <c r="BU64" s="1382"/>
      <c r="BV64" s="1382"/>
      <c r="BW64" s="1382"/>
      <c r="BX64" s="1382"/>
      <c r="BY64" s="1382"/>
      <c r="BZ64" s="1382"/>
      <c r="CA64" s="1382"/>
      <c r="CB64" s="1382"/>
      <c r="CD64" s="1386">
        <f t="shared" si="152"/>
        <v>0</v>
      </c>
      <c r="DC64" s="16" t="str">
        <f>Février!FC27</f>
        <v>non</v>
      </c>
      <c r="DG64" s="315">
        <f t="shared" si="153"/>
        <v>1</v>
      </c>
      <c r="DH64" s="129">
        <f t="shared" si="131"/>
        <v>10</v>
      </c>
      <c r="DI64" s="129">
        <f t="shared" si="154"/>
        <v>1</v>
      </c>
      <c r="DK64" s="16">
        <f>+IF(AND(Février!$DP$8&lt;&gt;52,AR64=S.CAL!$BJ$4),10,1)</f>
        <v>1</v>
      </c>
      <c r="DN64" s="16">
        <f t="shared" si="132"/>
        <v>1</v>
      </c>
      <c r="DU64" s="1274" t="str">
        <f t="shared" si="155"/>
        <v>Fiche infoA746061</v>
      </c>
      <c r="DV64" s="1362">
        <f t="shared" si="133"/>
        <v>0</v>
      </c>
      <c r="DW64" s="1363">
        <f t="shared" si="134"/>
        <v>0</v>
      </c>
      <c r="DX64" s="1363">
        <f t="shared" si="135"/>
        <v>0</v>
      </c>
      <c r="DY64" s="1363">
        <f t="shared" si="136"/>
        <v>0</v>
      </c>
      <c r="DZ64" s="1363">
        <f t="shared" si="137"/>
        <v>0</v>
      </c>
      <c r="EA64" s="1363">
        <f t="shared" si="138"/>
        <v>0</v>
      </c>
      <c r="EB64" s="1363">
        <f t="shared" si="139"/>
        <v>0</v>
      </c>
      <c r="EC64" s="1363">
        <f t="shared" si="140"/>
        <v>0</v>
      </c>
      <c r="ED64" s="1363">
        <f t="shared" si="156"/>
        <v>0</v>
      </c>
      <c r="EE64" s="1364">
        <f t="shared" si="157"/>
        <v>0</v>
      </c>
      <c r="EG64" s="16" t="str">
        <f t="shared" si="158"/>
        <v>62026</v>
      </c>
      <c r="EH64" s="16" t="str">
        <f t="shared" si="141"/>
        <v>Fiche infoA7</v>
      </c>
      <c r="EI64" s="16" t="str">
        <f t="shared" si="142"/>
        <v/>
      </c>
    </row>
    <row r="65" spans="1:139" x14ac:dyDescent="0.2">
      <c r="A65" s="24" t="str">
        <f>Février!BJ28</f>
        <v>Fiche infoA1</v>
      </c>
      <c r="B65" s="811">
        <f>Février!AB28</f>
        <v>46062</v>
      </c>
      <c r="C65" s="1371"/>
      <c r="D65" s="981">
        <f t="shared" si="98"/>
        <v>0</v>
      </c>
      <c r="E65" s="434">
        <f t="shared" si="99"/>
        <v>0</v>
      </c>
      <c r="F65" s="434">
        <f t="shared" si="100"/>
        <v>0</v>
      </c>
      <c r="G65" s="434">
        <f t="shared" si="101"/>
        <v>0</v>
      </c>
      <c r="H65" s="434">
        <f t="shared" si="102"/>
        <v>0</v>
      </c>
      <c r="I65" s="434">
        <f t="shared" si="103"/>
        <v>0</v>
      </c>
      <c r="J65" s="434">
        <f t="shared" si="104"/>
        <v>0</v>
      </c>
      <c r="K65" s="434">
        <f t="shared" si="105"/>
        <v>0</v>
      </c>
      <c r="L65" s="434">
        <f t="shared" si="143"/>
        <v>0</v>
      </c>
      <c r="M65" s="982">
        <f t="shared" si="144"/>
        <v>0</v>
      </c>
      <c r="O65" s="981">
        <f>IF(AR65&lt;&gt;"",0,IF(DC65="oui",0,IF(AND(ISTEXT(AT65)=TRUE,BJ65=""),0,IF(BJ65="",D65,BJ65))))</f>
        <v>0</v>
      </c>
      <c r="P65" s="434">
        <f>IF(AR65&lt;&gt;"",0,IF(DC65="oui",0,IF(AND(ISTEXT(AT65)=TRUE,BK65=""),0,IF(BK65="",E65,BK65))))</f>
        <v>0</v>
      </c>
      <c r="Q65" s="434">
        <f>IF(AR65&lt;&gt;"",0,IF(DC65="oui",0,IF(AND(ISTEXT(AT65)=TRUE,BL65=""),0,IF(BL65="",F65,BL65))))</f>
        <v>0</v>
      </c>
      <c r="R65" s="434">
        <f>IF(AR65&lt;&gt;"",0,IF(DC65="oui",0,IF(AND(ISTEXT(AT65)=TRUE,BM65=""),0,IF(BM65="",G65,BM65))))</f>
        <v>0</v>
      </c>
      <c r="S65" s="434">
        <f>IF(AR65&lt;&gt;"",0,IF(DC65="oui",0,IF(AND(ISTEXT(AT65)=TRUE,BN65=""),0,IF(BN65="",H65,BN65))))</f>
        <v>0</v>
      </c>
      <c r="T65" s="434">
        <f>IF(AR65&lt;&gt;"",0,IF(DC65="oui",0,IF(AND(ISTEXT(AT65)=TRUE,BO65=""),0,IF(BO65="",I65,BO65))))</f>
        <v>0</v>
      </c>
      <c r="U65" s="434">
        <f>IF(AR65&lt;&gt;"",0,IF(DC65="oui",0,IF(AND(ISTEXT(AT65)=TRUE,BP65=""),0,IF(BP65="",J65,BP65))))</f>
        <v>0</v>
      </c>
      <c r="V65" s="434">
        <f>IF(AR65&lt;&gt;"",0,IF(DC65="oui",0,IF(AND(ISTEXT(AT65)=TRUE,BQ65=""),0,IF(BQ65="",K65,BQ65))))</f>
        <v>0</v>
      </c>
      <c r="W65" s="434">
        <f t="shared" si="114"/>
        <v>0</v>
      </c>
      <c r="X65" s="982">
        <f t="shared" si="115"/>
        <v>0</v>
      </c>
      <c r="Y65" s="441"/>
      <c r="Z65" s="277">
        <f t="shared" si="116"/>
        <v>0</v>
      </c>
      <c r="AA65" s="277">
        <f t="shared" si="117"/>
        <v>0</v>
      </c>
      <c r="AB65" s="277">
        <f t="shared" si="118"/>
        <v>0</v>
      </c>
      <c r="AC65" s="277">
        <f t="shared" si="119"/>
        <v>0</v>
      </c>
      <c r="AD65" s="277">
        <f t="shared" si="120"/>
        <v>0</v>
      </c>
      <c r="AE65" s="277">
        <f t="shared" si="121"/>
        <v>0</v>
      </c>
      <c r="AF65" s="277">
        <f t="shared" si="122"/>
        <v>0</v>
      </c>
      <c r="AG65" s="277">
        <f t="shared" si="123"/>
        <v>0</v>
      </c>
      <c r="AI65" s="444">
        <f>IF(DC65="oui",0,IF(AND(ISTEXT(AT65)=TRUE,OR(X65=0,X65="")),0,ROUND(((((AA65-Z65)-(E65-D65))+((AC65-AB65)-(G65-F65))+((AE65-AD65)-(I65-H65))+(AG65-AF65)-(K65-J65))*24),2)))</f>
        <v>0</v>
      </c>
      <c r="AJ65" s="1090"/>
      <c r="AK65" s="489"/>
      <c r="AL65" s="811">
        <f t="shared" si="125"/>
        <v>46062</v>
      </c>
      <c r="AM65" s="666">
        <f>IFERROR(IF(AND(AT65="",AR65&lt;&gt;S.CAL!$BJ$3,AR65&lt;&gt;S.CAL!$BJ$4,$AR$50="NON"),M65-BD65,IF(AND(AT65="",AR65&lt;&gt;S.CAL!$BJ$3,AR65&lt;&gt;S.CAL!$BJ$4,$AR$50="OUI"),X65-AI65,IF(AT65&lt;&gt;0,AT65,IF(OR(AR65=S.CAL!$BJ$3,AR65=S.CAL!$BJ$4),AR65,"")))),"")</f>
        <v>0</v>
      </c>
      <c r="AN65" s="1093"/>
      <c r="AO65" s="1094"/>
      <c r="AP65" s="666">
        <f>+IF(AND(AU65="",BB65="OUI",BH65="non",BI65="OUI"),AM65,IF(AND(AU65="",BB65="OUI",BH65="oui",BI65="NON"),AM65,IF(AND(AU65="",BB65="NON",BH65="oui",BI65="NON"),M65,IF(AND(AU65="",BB65="NON",BH65="non",BI65="OUI"),M65,IF(AND(AU65="",BB65="OUI",BH65="non",BI65="NON"),"ERREUR",IF(AND(AU65="",BB65="NON",BH65="non",BI65="NON"),AM65,IF(AND(AU65="",BB65="OUI",BH65="",BI65=""),AM65,IF(AND(AU65="",BB65="NON",BH65="",BI65="",AZ65="NON"),M65,IF(AND(AU65="",BH65="",AZ65="OUI",AR65=""),AM65,IF(AND(AU65="",BH65="",AZ65="NON",AR65="",AT65=""),M65,IF(AND(OR(AR65=S.CAL!$BJ$3,AR65=S.CAL!$BJ$4),(VLOOKUP($AM$50,base_nbre_sem_mensu,2,FALSE)=52)),EE65,IF(AND(OR(AR65=S.CAL!$BJ$3,AR65=S.CAL!$BJ$4),(VLOOKUP($AM$50,base_nbre_sem_mensu,2,FALSE)&lt;52)),AM65,IF(AND(AT65&lt;&gt;"",AU65=""),AT65,AU65)))))))))))))</f>
        <v>0</v>
      </c>
      <c r="AQ65" s="498">
        <f t="shared" si="145"/>
        <v>0</v>
      </c>
      <c r="AR65" s="1098"/>
      <c r="AT65" s="1101"/>
      <c r="AU65" s="813"/>
      <c r="AV65" s="1370">
        <f t="shared" si="126"/>
        <v>46062</v>
      </c>
      <c r="AX65" s="511">
        <f t="shared" si="146"/>
        <v>46062</v>
      </c>
      <c r="AY65" s="523">
        <f t="shared" si="147"/>
        <v>0</v>
      </c>
      <c r="AZ65" s="520" t="s">
        <v>137</v>
      </c>
      <c r="BA65" s="516">
        <f t="shared" si="148"/>
        <v>0</v>
      </c>
      <c r="BB65" s="549" t="str">
        <f t="shared" si="127"/>
        <v/>
      </c>
      <c r="BC65" s="523">
        <f t="shared" si="149"/>
        <v>0</v>
      </c>
      <c r="BD65" s="523">
        <f t="shared" si="150"/>
        <v>0</v>
      </c>
      <c r="BE65" s="1104"/>
      <c r="BF65" s="514" t="str">
        <f t="shared" si="128"/>
        <v/>
      </c>
      <c r="BG65" s="514" t="str">
        <f t="shared" si="151"/>
        <v>oui</v>
      </c>
      <c r="BH65" s="377" t="str">
        <f t="shared" si="129"/>
        <v/>
      </c>
      <c r="BI65" s="24" t="str">
        <f t="shared" si="130"/>
        <v/>
      </c>
      <c r="BJ65" s="1381"/>
      <c r="BK65" s="1381"/>
      <c r="BL65" s="1381"/>
      <c r="BM65" s="1381"/>
      <c r="BN65" s="1381"/>
      <c r="BO65" s="1381"/>
      <c r="BP65" s="1381"/>
      <c r="BQ65" s="1381"/>
      <c r="BS65" s="1370">
        <f t="shared" si="97"/>
        <v>46062</v>
      </c>
      <c r="BT65" s="27">
        <f t="shared" si="159"/>
        <v>7</v>
      </c>
      <c r="BU65" s="1380"/>
      <c r="BV65" s="1380"/>
      <c r="BW65" s="1380"/>
      <c r="BX65" s="1380"/>
      <c r="BY65" s="1380"/>
      <c r="BZ65" s="1380"/>
      <c r="CA65" s="1380"/>
      <c r="CB65" s="1380"/>
      <c r="CD65" s="1386">
        <f t="shared" si="152"/>
        <v>0</v>
      </c>
      <c r="DC65" s="16" t="str">
        <f>Février!FC28</f>
        <v>non</v>
      </c>
      <c r="DG65" s="315">
        <f t="shared" si="153"/>
        <v>1</v>
      </c>
      <c r="DH65" s="129">
        <f t="shared" si="131"/>
        <v>10</v>
      </c>
      <c r="DI65" s="129">
        <f t="shared" si="154"/>
        <v>1</v>
      </c>
      <c r="DK65" s="16">
        <f>+IF(AND(Février!$DP$8&lt;&gt;52,AR65=S.CAL!$BJ$4),10,1)</f>
        <v>1</v>
      </c>
      <c r="DN65" s="16">
        <f t="shared" si="132"/>
        <v>1</v>
      </c>
      <c r="DU65" s="1274" t="str">
        <f t="shared" si="155"/>
        <v>Fiche infoA146062</v>
      </c>
      <c r="DV65" s="1362">
        <f t="shared" si="133"/>
        <v>0</v>
      </c>
      <c r="DW65" s="1363">
        <f t="shared" si="134"/>
        <v>0</v>
      </c>
      <c r="DX65" s="1363">
        <f t="shared" si="135"/>
        <v>0</v>
      </c>
      <c r="DY65" s="1363">
        <f t="shared" si="136"/>
        <v>0</v>
      </c>
      <c r="DZ65" s="1363">
        <f t="shared" si="137"/>
        <v>0</v>
      </c>
      <c r="EA65" s="1363">
        <f t="shared" si="138"/>
        <v>0</v>
      </c>
      <c r="EB65" s="1363">
        <f t="shared" si="139"/>
        <v>0</v>
      </c>
      <c r="EC65" s="1363">
        <f t="shared" si="140"/>
        <v>0</v>
      </c>
      <c r="ED65" s="1363">
        <f t="shared" si="156"/>
        <v>0</v>
      </c>
      <c r="EE65" s="1364">
        <f t="shared" si="157"/>
        <v>0</v>
      </c>
      <c r="EG65" s="16" t="str">
        <f t="shared" si="158"/>
        <v>72026</v>
      </c>
      <c r="EH65" s="16" t="str">
        <f t="shared" si="141"/>
        <v>Fiche infoA1</v>
      </c>
      <c r="EI65" s="16" t="str">
        <f t="shared" si="142"/>
        <v/>
      </c>
    </row>
    <row r="66" spans="1:139" x14ac:dyDescent="0.2">
      <c r="A66" s="1373" t="str">
        <f>Février!BJ29</f>
        <v>Fiche infoA2</v>
      </c>
      <c r="B66" s="811">
        <f>Février!AB29</f>
        <v>46063</v>
      </c>
      <c r="C66" s="1372"/>
      <c r="D66" s="981">
        <f t="shared" si="98"/>
        <v>0</v>
      </c>
      <c r="E66" s="434">
        <f t="shared" si="99"/>
        <v>0</v>
      </c>
      <c r="F66" s="434">
        <f t="shared" si="100"/>
        <v>0</v>
      </c>
      <c r="G66" s="434">
        <f t="shared" si="101"/>
        <v>0</v>
      </c>
      <c r="H66" s="434">
        <f t="shared" si="102"/>
        <v>0</v>
      </c>
      <c r="I66" s="434">
        <f t="shared" si="103"/>
        <v>0</v>
      </c>
      <c r="J66" s="434">
        <f t="shared" si="104"/>
        <v>0</v>
      </c>
      <c r="K66" s="434">
        <f t="shared" si="105"/>
        <v>0</v>
      </c>
      <c r="L66" s="434">
        <f t="shared" si="143"/>
        <v>0</v>
      </c>
      <c r="M66" s="982">
        <f t="shared" si="144"/>
        <v>0</v>
      </c>
      <c r="N66" s="1374"/>
      <c r="O66" s="981">
        <f t="shared" ref="O66:O87" si="160">IF(AR66&lt;&gt;"",0,IF(DC66="oui",0,IF(AND(ISTEXT(AT66)=TRUE,BJ66=""),0,IF(BJ66="",D66,BJ66))))</f>
        <v>0</v>
      </c>
      <c r="P66" s="434">
        <f t="shared" ref="P66:P87" si="161">IF(AR66&lt;&gt;"",0,IF(DC66="oui",0,IF(AND(ISTEXT(AT66)=TRUE,BK66=""),0,IF(BK66="",E66,BK66))))</f>
        <v>0</v>
      </c>
      <c r="Q66" s="434">
        <f t="shared" ref="Q66:Q87" si="162">IF(AR66&lt;&gt;"",0,IF(DC66="oui",0,IF(AND(ISTEXT(AT66)=TRUE,BL66=""),0,IF(BL66="",F66,BL66))))</f>
        <v>0</v>
      </c>
      <c r="R66" s="434">
        <f t="shared" ref="R66:R87" si="163">IF(AR66&lt;&gt;"",0,IF(DC66="oui",0,IF(AND(ISTEXT(AT66)=TRUE,BM66=""),0,IF(BM66="",G66,BM66))))</f>
        <v>0</v>
      </c>
      <c r="S66" s="434">
        <f t="shared" ref="S66:S87" si="164">IF(AR66&lt;&gt;"",0,IF(DC66="oui",0,IF(AND(ISTEXT(AT66)=TRUE,BN66=""),0,IF(BN66="",H66,BN66))))</f>
        <v>0</v>
      </c>
      <c r="T66" s="434">
        <f t="shared" ref="T66:T87" si="165">IF(AR66&lt;&gt;"",0,IF(DC66="oui",0,IF(AND(ISTEXT(AT66)=TRUE,BO66=""),0,IF(BO66="",I66,BO66))))</f>
        <v>0</v>
      </c>
      <c r="U66" s="434">
        <f t="shared" ref="U66:U87" si="166">IF(AR66&lt;&gt;"",0,IF(DC66="oui",0,IF(AND(ISTEXT(AT66)=TRUE,BP66=""),0,IF(BP66="",J66,BP66))))</f>
        <v>0</v>
      </c>
      <c r="V66" s="434">
        <f t="shared" ref="V66:V87" si="167">IF(AR66&lt;&gt;"",0,IF(DC66="oui",0,IF(AND(ISTEXT(AT66)=TRUE,BQ66=""),0,IF(BQ66="",K66,BQ66))))</f>
        <v>0</v>
      </c>
      <c r="W66" s="434">
        <f t="shared" si="114"/>
        <v>0</v>
      </c>
      <c r="X66" s="982">
        <f t="shared" si="115"/>
        <v>0</v>
      </c>
      <c r="Y66" s="1375"/>
      <c r="Z66" s="1376">
        <f t="shared" si="116"/>
        <v>0</v>
      </c>
      <c r="AA66" s="1376">
        <f t="shared" si="117"/>
        <v>0</v>
      </c>
      <c r="AB66" s="1376">
        <f t="shared" si="118"/>
        <v>0</v>
      </c>
      <c r="AC66" s="1376">
        <f t="shared" si="119"/>
        <v>0</v>
      </c>
      <c r="AD66" s="1376">
        <f t="shared" si="120"/>
        <v>0</v>
      </c>
      <c r="AE66" s="1376">
        <f t="shared" si="121"/>
        <v>0</v>
      </c>
      <c r="AF66" s="1376">
        <f t="shared" si="122"/>
        <v>0</v>
      </c>
      <c r="AG66" s="1376">
        <f t="shared" si="123"/>
        <v>0</v>
      </c>
      <c r="AH66" s="1374"/>
      <c r="AI66" s="444">
        <f t="shared" ref="AI66:AI87" si="168">IF(DC66="oui",0,IF(AND(ISTEXT(AT66)=TRUE,OR(X66=0,X66="")),0,ROUND(((((AA66-Z66)-(E66-D66))+((AC66-AB66)-(G66-F66))+((AE66-AD66)-(I66-H66))+(AG66-AF66)-(K66-J66))*24),2)))</f>
        <v>0</v>
      </c>
      <c r="AJ66" s="1090"/>
      <c r="AK66" s="1377"/>
      <c r="AL66" s="811">
        <f t="shared" si="125"/>
        <v>46063</v>
      </c>
      <c r="AM66" s="666">
        <f>IFERROR(IF(AND(AT66="",AR66&lt;&gt;S.CAL!$BJ$3,AR66&lt;&gt;S.CAL!$BJ$4,$AR$50="NON"),M66-BD66,IF(AND(AT66="",AR66&lt;&gt;S.CAL!$BJ$3,AR66&lt;&gt;S.CAL!$BJ$4,$AR$50="OUI"),X66-AI66,IF(AT66&lt;&gt;0,AT66,IF(OR(AR66=S.CAL!$BJ$3,AR66=S.CAL!$BJ$4),AR66,"")))),"")</f>
        <v>0</v>
      </c>
      <c r="AN66" s="1093"/>
      <c r="AO66" s="1094"/>
      <c r="AP66" s="666">
        <f>+IF(AND(AU66="",BB66="OUI",BH66="non",BI66="OUI"),AM66,IF(AND(AU66="",BB66="OUI",BH66="oui",BI66="NON"),AM66,IF(AND(AU66="",BB66="NON",BH66="oui",BI66="NON"),M66,IF(AND(AU66="",BB66="NON",BH66="non",BI66="OUI"),M66,IF(AND(AU66="",BB66="OUI",BH66="non",BI66="NON"),"ERREUR",IF(AND(AU66="",BB66="NON",BH66="non",BI66="NON"),AM66,IF(AND(AU66="",BB66="OUI",BH66="",BI66=""),AM66,IF(AND(AU66="",BB66="NON",BH66="",BI66="",AZ66="NON"),M66,IF(AND(AU66="",BH66="",AZ66="OUI",AR66=""),AM66,IF(AND(AU66="",BH66="",AZ66="NON",AR66="",AT66=""),M66,IF(AND(OR(AR66=S.CAL!$BJ$3,AR66=S.CAL!$BJ$4),(VLOOKUP($AM$50,base_nbre_sem_mensu,2,FALSE)=52)),EE66,IF(AND(OR(AR66=S.CAL!$BJ$3,AR66=S.CAL!$BJ$4),(VLOOKUP($AM$50,base_nbre_sem_mensu,2,FALSE)&lt;52)),AM66,IF(AND(AT66&lt;&gt;"",AU66=""),AT66,AU66)))))))))))))</f>
        <v>0</v>
      </c>
      <c r="AQ66" s="1378">
        <f t="shared" si="145"/>
        <v>0</v>
      </c>
      <c r="AR66" s="1098"/>
      <c r="AS66" s="1374"/>
      <c r="AT66" s="1101"/>
      <c r="AU66" s="813"/>
      <c r="AV66" s="1370">
        <f t="shared" si="126"/>
        <v>46063</v>
      </c>
      <c r="AW66" s="1374"/>
      <c r="AX66" s="511">
        <f t="shared" si="146"/>
        <v>46063</v>
      </c>
      <c r="AY66" s="523">
        <f t="shared" si="147"/>
        <v>0</v>
      </c>
      <c r="AZ66" s="520" t="s">
        <v>137</v>
      </c>
      <c r="BA66" s="516">
        <f t="shared" si="148"/>
        <v>0</v>
      </c>
      <c r="BB66" s="549" t="str">
        <f t="shared" si="127"/>
        <v/>
      </c>
      <c r="BC66" s="523">
        <f t="shared" si="149"/>
        <v>0</v>
      </c>
      <c r="BD66" s="523">
        <f t="shared" si="150"/>
        <v>0</v>
      </c>
      <c r="BE66" s="1104"/>
      <c r="BF66" s="514" t="str">
        <f t="shared" si="128"/>
        <v/>
      </c>
      <c r="BG66" s="514" t="str">
        <f t="shared" si="151"/>
        <v>oui</v>
      </c>
      <c r="BH66" s="377" t="str">
        <f t="shared" si="129"/>
        <v/>
      </c>
      <c r="BI66" s="24" t="str">
        <f t="shared" si="130"/>
        <v/>
      </c>
      <c r="BJ66" s="1382"/>
      <c r="BK66" s="1382"/>
      <c r="BL66" s="1382"/>
      <c r="BM66" s="1382"/>
      <c r="BN66" s="1382"/>
      <c r="BO66" s="1382"/>
      <c r="BP66" s="1382"/>
      <c r="BQ66" s="1382"/>
      <c r="BR66" s="1383"/>
      <c r="BS66" s="1370">
        <f t="shared" si="97"/>
        <v>46063</v>
      </c>
      <c r="BT66" s="1384" t="str">
        <f t="shared" si="159"/>
        <v/>
      </c>
      <c r="BU66" s="1382"/>
      <c r="BV66" s="1382"/>
      <c r="BW66" s="1382"/>
      <c r="BX66" s="1382"/>
      <c r="BY66" s="1382"/>
      <c r="BZ66" s="1382"/>
      <c r="CA66" s="1382"/>
      <c r="CB66" s="1382"/>
      <c r="CD66" s="1386">
        <f t="shared" si="152"/>
        <v>0</v>
      </c>
      <c r="DC66" s="16" t="str">
        <f>Février!FC29</f>
        <v>non</v>
      </c>
      <c r="DG66" s="315">
        <f t="shared" si="153"/>
        <v>1</v>
      </c>
      <c r="DH66" s="129">
        <f t="shared" si="131"/>
        <v>10</v>
      </c>
      <c r="DI66" s="129">
        <f t="shared" si="154"/>
        <v>1</v>
      </c>
      <c r="DK66" s="16">
        <f>+IF(AND(Février!$DP$8&lt;&gt;52,AR66=S.CAL!$BJ$4),10,1)</f>
        <v>1</v>
      </c>
      <c r="DN66" s="16">
        <f t="shared" si="132"/>
        <v>1</v>
      </c>
      <c r="DU66" s="1274" t="str">
        <f t="shared" si="155"/>
        <v>Fiche infoA246063</v>
      </c>
      <c r="DV66" s="1362">
        <f t="shared" si="133"/>
        <v>0</v>
      </c>
      <c r="DW66" s="1363">
        <f t="shared" si="134"/>
        <v>0</v>
      </c>
      <c r="DX66" s="1363">
        <f t="shared" si="135"/>
        <v>0</v>
      </c>
      <c r="DY66" s="1363">
        <f t="shared" si="136"/>
        <v>0</v>
      </c>
      <c r="DZ66" s="1363">
        <f t="shared" si="137"/>
        <v>0</v>
      </c>
      <c r="EA66" s="1363">
        <f t="shared" si="138"/>
        <v>0</v>
      </c>
      <c r="EB66" s="1363">
        <f t="shared" si="139"/>
        <v>0</v>
      </c>
      <c r="EC66" s="1363">
        <f t="shared" si="140"/>
        <v>0</v>
      </c>
      <c r="ED66" s="1363">
        <f t="shared" si="156"/>
        <v>0</v>
      </c>
      <c r="EE66" s="1364">
        <f t="shared" si="157"/>
        <v>0</v>
      </c>
      <c r="EG66" s="16" t="str">
        <f t="shared" si="158"/>
        <v>72026</v>
      </c>
      <c r="EH66" s="16" t="str">
        <f t="shared" si="141"/>
        <v>Fiche infoA2</v>
      </c>
      <c r="EI66" s="16" t="str">
        <f t="shared" si="142"/>
        <v/>
      </c>
    </row>
    <row r="67" spans="1:139" x14ac:dyDescent="0.2">
      <c r="A67" s="24" t="str">
        <f>Février!BJ30</f>
        <v>Fiche infoA3</v>
      </c>
      <c r="B67" s="811">
        <f>Février!AB30</f>
        <v>46064</v>
      </c>
      <c r="C67" s="1371"/>
      <c r="D67" s="981">
        <f t="shared" si="98"/>
        <v>0</v>
      </c>
      <c r="E67" s="434">
        <f t="shared" si="99"/>
        <v>0</v>
      </c>
      <c r="F67" s="434">
        <f t="shared" si="100"/>
        <v>0</v>
      </c>
      <c r="G67" s="434">
        <f t="shared" si="101"/>
        <v>0</v>
      </c>
      <c r="H67" s="434">
        <f t="shared" si="102"/>
        <v>0</v>
      </c>
      <c r="I67" s="434">
        <f t="shared" si="103"/>
        <v>0</v>
      </c>
      <c r="J67" s="434">
        <f t="shared" si="104"/>
        <v>0</v>
      </c>
      <c r="K67" s="434">
        <f t="shared" si="105"/>
        <v>0</v>
      </c>
      <c r="L67" s="434">
        <f t="shared" si="143"/>
        <v>0</v>
      </c>
      <c r="M67" s="982">
        <f t="shared" si="144"/>
        <v>0</v>
      </c>
      <c r="O67" s="981">
        <f t="shared" si="160"/>
        <v>0</v>
      </c>
      <c r="P67" s="434">
        <f t="shared" si="161"/>
        <v>0</v>
      </c>
      <c r="Q67" s="434">
        <f t="shared" si="162"/>
        <v>0</v>
      </c>
      <c r="R67" s="434">
        <f t="shared" si="163"/>
        <v>0</v>
      </c>
      <c r="S67" s="434">
        <f t="shared" si="164"/>
        <v>0</v>
      </c>
      <c r="T67" s="434">
        <f t="shared" si="165"/>
        <v>0</v>
      </c>
      <c r="U67" s="434">
        <f t="shared" si="166"/>
        <v>0</v>
      </c>
      <c r="V67" s="434">
        <f t="shared" si="167"/>
        <v>0</v>
      </c>
      <c r="W67" s="434">
        <f t="shared" si="114"/>
        <v>0</v>
      </c>
      <c r="X67" s="982">
        <f t="shared" si="115"/>
        <v>0</v>
      </c>
      <c r="Y67" s="441"/>
      <c r="Z67" s="277">
        <f t="shared" si="116"/>
        <v>0</v>
      </c>
      <c r="AA67" s="277">
        <f t="shared" si="117"/>
        <v>0</v>
      </c>
      <c r="AB67" s="277">
        <f t="shared" si="118"/>
        <v>0</v>
      </c>
      <c r="AC67" s="277">
        <f t="shared" si="119"/>
        <v>0</v>
      </c>
      <c r="AD67" s="277">
        <f t="shared" si="120"/>
        <v>0</v>
      </c>
      <c r="AE67" s="277">
        <f t="shared" si="121"/>
        <v>0</v>
      </c>
      <c r="AF67" s="277">
        <f t="shared" si="122"/>
        <v>0</v>
      </c>
      <c r="AG67" s="277">
        <f t="shared" si="123"/>
        <v>0</v>
      </c>
      <c r="AI67" s="444">
        <f t="shared" si="168"/>
        <v>0</v>
      </c>
      <c r="AJ67" s="1090"/>
      <c r="AK67" s="489"/>
      <c r="AL67" s="811">
        <f t="shared" si="125"/>
        <v>46064</v>
      </c>
      <c r="AM67" s="666">
        <f>IFERROR(IF(AND(AT67="",AR67&lt;&gt;S.CAL!$BJ$3,AR67&lt;&gt;S.CAL!$BJ$4,$AR$50="NON"),M67-BD67,IF(AND(AT67="",AR67&lt;&gt;S.CAL!$BJ$3,AR67&lt;&gt;S.CAL!$BJ$4,$AR$50="OUI"),X67-AI67,IF(AT67&lt;&gt;0,AT67,IF(OR(AR67=S.CAL!$BJ$3,AR67=S.CAL!$BJ$4),AR67,"")))),"")</f>
        <v>0</v>
      </c>
      <c r="AN67" s="1093"/>
      <c r="AO67" s="1094"/>
      <c r="AP67" s="666">
        <f>+IF(AND(AU67="",BB67="OUI",BH67="non",BI67="OUI"),AM67,IF(AND(AU67="",BB67="OUI",BH67="oui",BI67="NON"),AM67,IF(AND(AU67="",BB67="NON",BH67="oui",BI67="NON"),M67,IF(AND(AU67="",BB67="NON",BH67="non",BI67="OUI"),M67,IF(AND(AU67="",BB67="OUI",BH67="non",BI67="NON"),"ERREUR",IF(AND(AU67="",BB67="NON",BH67="non",BI67="NON"),AM67,IF(AND(AU67="",BB67="OUI",BH67="",BI67=""),AM67,IF(AND(AU67="",BB67="NON",BH67="",BI67="",AZ67="NON"),M67,IF(AND(AU67="",BH67="",AZ67="OUI",AR67=""),AM67,IF(AND(AU67="",BH67="",AZ67="NON",AR67="",AT67=""),M67,IF(AND(OR(AR67=S.CAL!$BJ$3,AR67=S.CAL!$BJ$4),(VLOOKUP($AM$50,base_nbre_sem_mensu,2,FALSE)=52)),EE67,IF(AND(OR(AR67=S.CAL!$BJ$3,AR67=S.CAL!$BJ$4),(VLOOKUP($AM$50,base_nbre_sem_mensu,2,FALSE)&lt;52)),AM67,IF(AND(AT67&lt;&gt;"",AU67=""),AT67,AU67)))))))))))))</f>
        <v>0</v>
      </c>
      <c r="AQ67" s="498">
        <f t="shared" si="145"/>
        <v>0</v>
      </c>
      <c r="AR67" s="1098"/>
      <c r="AT67" s="1101"/>
      <c r="AU67" s="813"/>
      <c r="AV67" s="1370">
        <f t="shared" si="126"/>
        <v>46064</v>
      </c>
      <c r="AX67" s="511">
        <f t="shared" si="146"/>
        <v>46064</v>
      </c>
      <c r="AY67" s="523">
        <f t="shared" si="147"/>
        <v>0</v>
      </c>
      <c r="AZ67" s="520" t="s">
        <v>137</v>
      </c>
      <c r="BA67" s="516">
        <f t="shared" si="148"/>
        <v>0</v>
      </c>
      <c r="BB67" s="549" t="str">
        <f t="shared" si="127"/>
        <v/>
      </c>
      <c r="BC67" s="523">
        <f t="shared" si="149"/>
        <v>0</v>
      </c>
      <c r="BD67" s="523">
        <f t="shared" si="150"/>
        <v>0</v>
      </c>
      <c r="BE67" s="1104"/>
      <c r="BF67" s="514" t="str">
        <f t="shared" si="128"/>
        <v/>
      </c>
      <c r="BG67" s="514" t="str">
        <f t="shared" si="151"/>
        <v>oui</v>
      </c>
      <c r="BH67" s="377" t="str">
        <f t="shared" si="129"/>
        <v/>
      </c>
      <c r="BI67" s="24" t="str">
        <f t="shared" si="130"/>
        <v/>
      </c>
      <c r="BJ67" s="1381"/>
      <c r="BK67" s="1381"/>
      <c r="BL67" s="1381"/>
      <c r="BM67" s="1381"/>
      <c r="BN67" s="1381"/>
      <c r="BO67" s="1381"/>
      <c r="BP67" s="1381"/>
      <c r="BQ67" s="1381"/>
      <c r="BS67" s="1370">
        <f t="shared" si="97"/>
        <v>46064</v>
      </c>
      <c r="BT67" s="27" t="str">
        <f t="shared" si="159"/>
        <v/>
      </c>
      <c r="BU67" s="1380"/>
      <c r="BV67" s="1380"/>
      <c r="BW67" s="1380"/>
      <c r="BX67" s="1380"/>
      <c r="BY67" s="1380"/>
      <c r="BZ67" s="1380"/>
      <c r="CA67" s="1380"/>
      <c r="CB67" s="1380"/>
      <c r="CD67" s="1386">
        <f t="shared" si="152"/>
        <v>0</v>
      </c>
      <c r="DC67" s="16" t="str">
        <f>Février!FC30</f>
        <v>non</v>
      </c>
      <c r="DG67" s="315">
        <f t="shared" si="153"/>
        <v>1</v>
      </c>
      <c r="DH67" s="129">
        <f t="shared" si="131"/>
        <v>10</v>
      </c>
      <c r="DI67" s="129">
        <f t="shared" si="154"/>
        <v>1</v>
      </c>
      <c r="DK67" s="16">
        <f>+IF(AND(Février!$DP$8&lt;&gt;52,AR67=S.CAL!$BJ$4),10,1)</f>
        <v>1</v>
      </c>
      <c r="DN67" s="16">
        <f t="shared" si="132"/>
        <v>1</v>
      </c>
      <c r="DU67" s="1274" t="str">
        <f t="shared" si="155"/>
        <v>Fiche infoA346064</v>
      </c>
      <c r="DV67" s="1362">
        <f t="shared" si="133"/>
        <v>0</v>
      </c>
      <c r="DW67" s="1363">
        <f t="shared" si="134"/>
        <v>0</v>
      </c>
      <c r="DX67" s="1363">
        <f t="shared" si="135"/>
        <v>0</v>
      </c>
      <c r="DY67" s="1363">
        <f t="shared" si="136"/>
        <v>0</v>
      </c>
      <c r="DZ67" s="1363">
        <f t="shared" si="137"/>
        <v>0</v>
      </c>
      <c r="EA67" s="1363">
        <f t="shared" si="138"/>
        <v>0</v>
      </c>
      <c r="EB67" s="1363">
        <f t="shared" si="139"/>
        <v>0</v>
      </c>
      <c r="EC67" s="1363">
        <f t="shared" si="140"/>
        <v>0</v>
      </c>
      <c r="ED67" s="1363">
        <f t="shared" si="156"/>
        <v>0</v>
      </c>
      <c r="EE67" s="1364">
        <f t="shared" si="157"/>
        <v>0</v>
      </c>
      <c r="EG67" s="16" t="str">
        <f t="shared" si="158"/>
        <v>72026</v>
      </c>
      <c r="EH67" s="16" t="str">
        <f t="shared" si="141"/>
        <v>Fiche infoA3</v>
      </c>
      <c r="EI67" s="16" t="str">
        <f t="shared" si="142"/>
        <v/>
      </c>
    </row>
    <row r="68" spans="1:139" x14ac:dyDescent="0.2">
      <c r="A68" s="1373" t="str">
        <f>Février!BJ31</f>
        <v>Fiche infoA4</v>
      </c>
      <c r="B68" s="811">
        <f>Février!AB31</f>
        <v>46065</v>
      </c>
      <c r="C68" s="1372"/>
      <c r="D68" s="981">
        <f t="shared" si="98"/>
        <v>0</v>
      </c>
      <c r="E68" s="434">
        <f t="shared" si="99"/>
        <v>0</v>
      </c>
      <c r="F68" s="434">
        <f t="shared" si="100"/>
        <v>0</v>
      </c>
      <c r="G68" s="434">
        <f t="shared" si="101"/>
        <v>0</v>
      </c>
      <c r="H68" s="434">
        <f t="shared" si="102"/>
        <v>0</v>
      </c>
      <c r="I68" s="434">
        <f t="shared" si="103"/>
        <v>0</v>
      </c>
      <c r="J68" s="434">
        <f t="shared" si="104"/>
        <v>0</v>
      </c>
      <c r="K68" s="434">
        <f t="shared" si="105"/>
        <v>0</v>
      </c>
      <c r="L68" s="434">
        <f t="shared" si="143"/>
        <v>0</v>
      </c>
      <c r="M68" s="982">
        <f t="shared" si="144"/>
        <v>0</v>
      </c>
      <c r="N68" s="1374"/>
      <c r="O68" s="981">
        <f t="shared" si="160"/>
        <v>0</v>
      </c>
      <c r="P68" s="434">
        <f t="shared" si="161"/>
        <v>0</v>
      </c>
      <c r="Q68" s="434">
        <f t="shared" si="162"/>
        <v>0</v>
      </c>
      <c r="R68" s="434">
        <f t="shared" si="163"/>
        <v>0</v>
      </c>
      <c r="S68" s="434">
        <f t="shared" si="164"/>
        <v>0</v>
      </c>
      <c r="T68" s="434">
        <f t="shared" si="165"/>
        <v>0</v>
      </c>
      <c r="U68" s="434">
        <f t="shared" si="166"/>
        <v>0</v>
      </c>
      <c r="V68" s="434">
        <f t="shared" si="167"/>
        <v>0</v>
      </c>
      <c r="W68" s="434">
        <f t="shared" si="114"/>
        <v>0</v>
      </c>
      <c r="X68" s="982">
        <f t="shared" si="115"/>
        <v>0</v>
      </c>
      <c r="Y68" s="1375"/>
      <c r="Z68" s="1376">
        <f t="shared" si="116"/>
        <v>0</v>
      </c>
      <c r="AA68" s="1376">
        <f t="shared" si="117"/>
        <v>0</v>
      </c>
      <c r="AB68" s="1376">
        <f t="shared" si="118"/>
        <v>0</v>
      </c>
      <c r="AC68" s="1376">
        <f t="shared" si="119"/>
        <v>0</v>
      </c>
      <c r="AD68" s="1376">
        <f t="shared" si="120"/>
        <v>0</v>
      </c>
      <c r="AE68" s="1376">
        <f t="shared" si="121"/>
        <v>0</v>
      </c>
      <c r="AF68" s="1376">
        <f t="shared" si="122"/>
        <v>0</v>
      </c>
      <c r="AG68" s="1376">
        <f t="shared" si="123"/>
        <v>0</v>
      </c>
      <c r="AH68" s="1374"/>
      <c r="AI68" s="444">
        <f t="shared" si="168"/>
        <v>0</v>
      </c>
      <c r="AJ68" s="1090"/>
      <c r="AK68" s="1377"/>
      <c r="AL68" s="811">
        <f t="shared" si="125"/>
        <v>46065</v>
      </c>
      <c r="AM68" s="666">
        <f>IFERROR(IF(AND(AT68="",AR68&lt;&gt;S.CAL!$BJ$3,AR68&lt;&gt;S.CAL!$BJ$4,$AR$50="NON"),M68-BD68,IF(AND(AT68="",AR68&lt;&gt;S.CAL!$BJ$3,AR68&lt;&gt;S.CAL!$BJ$4,$AR$50="OUI"),X68-AI68,IF(AT68&lt;&gt;0,AT68,IF(OR(AR68=S.CAL!$BJ$3,AR68=S.CAL!$BJ$4),AR68,"")))),"")</f>
        <v>0</v>
      </c>
      <c r="AN68" s="1093"/>
      <c r="AO68" s="1094"/>
      <c r="AP68" s="666">
        <f>+IF(AND(AU68="",BB68="OUI",BH68="non",BI68="OUI"),AM68,IF(AND(AU68="",BB68="OUI",BH68="oui",BI68="NON"),AM68,IF(AND(AU68="",BB68="NON",BH68="oui",BI68="NON"),M68,IF(AND(AU68="",BB68="NON",BH68="non",BI68="OUI"),M68,IF(AND(AU68="",BB68="OUI",BH68="non",BI68="NON"),"ERREUR",IF(AND(AU68="",BB68="NON",BH68="non",BI68="NON"),AM68,IF(AND(AU68="",BB68="OUI",BH68="",BI68=""),AM68,IF(AND(AU68="",BB68="NON",BH68="",BI68="",AZ68="NON"),M68,IF(AND(AU68="",BH68="",AZ68="OUI",AR68=""),AM68,IF(AND(AU68="",BH68="",AZ68="NON",AR68="",AT68=""),M68,IF(AND(OR(AR68=S.CAL!$BJ$3,AR68=S.CAL!$BJ$4),(VLOOKUP($AM$50,base_nbre_sem_mensu,2,FALSE)=52)),EE68,IF(AND(OR(AR68=S.CAL!$BJ$3,AR68=S.CAL!$BJ$4),(VLOOKUP($AM$50,base_nbre_sem_mensu,2,FALSE)&lt;52)),AM68,IF(AND(AT68&lt;&gt;"",AU68=""),AT68,AU68)))))))))))))</f>
        <v>0</v>
      </c>
      <c r="AQ68" s="1378">
        <f t="shared" si="145"/>
        <v>0</v>
      </c>
      <c r="AR68" s="1098"/>
      <c r="AS68" s="1374"/>
      <c r="AT68" s="1101"/>
      <c r="AU68" s="813"/>
      <c r="AV68" s="1370">
        <f t="shared" si="126"/>
        <v>46065</v>
      </c>
      <c r="AW68" s="1374"/>
      <c r="AX68" s="511">
        <f t="shared" si="146"/>
        <v>46065</v>
      </c>
      <c r="AY68" s="523">
        <f t="shared" si="147"/>
        <v>0</v>
      </c>
      <c r="AZ68" s="520" t="s">
        <v>137</v>
      </c>
      <c r="BA68" s="516">
        <f t="shared" si="148"/>
        <v>0</v>
      </c>
      <c r="BB68" s="549" t="str">
        <f t="shared" si="127"/>
        <v/>
      </c>
      <c r="BC68" s="523">
        <f t="shared" si="149"/>
        <v>0</v>
      </c>
      <c r="BD68" s="523">
        <f t="shared" si="150"/>
        <v>0</v>
      </c>
      <c r="BE68" s="1104"/>
      <c r="BF68" s="514" t="str">
        <f t="shared" si="128"/>
        <v/>
      </c>
      <c r="BG68" s="514" t="str">
        <f t="shared" si="151"/>
        <v>oui</v>
      </c>
      <c r="BH68" s="377" t="str">
        <f t="shared" si="129"/>
        <v/>
      </c>
      <c r="BI68" s="24" t="str">
        <f t="shared" si="130"/>
        <v/>
      </c>
      <c r="BJ68" s="1382"/>
      <c r="BK68" s="1382"/>
      <c r="BL68" s="1382"/>
      <c r="BM68" s="1382"/>
      <c r="BN68" s="1382"/>
      <c r="BO68" s="1382"/>
      <c r="BP68" s="1382"/>
      <c r="BQ68" s="1382"/>
      <c r="BR68" s="1383"/>
      <c r="BS68" s="1370">
        <f t="shared" si="97"/>
        <v>46065</v>
      </c>
      <c r="BT68" s="1384" t="str">
        <f t="shared" si="159"/>
        <v/>
      </c>
      <c r="BU68" s="1382"/>
      <c r="BV68" s="1382"/>
      <c r="BW68" s="1382"/>
      <c r="BX68" s="1382"/>
      <c r="BY68" s="1382"/>
      <c r="BZ68" s="1382"/>
      <c r="CA68" s="1382"/>
      <c r="CB68" s="1382"/>
      <c r="CD68" s="1386">
        <f t="shared" si="152"/>
        <v>0</v>
      </c>
      <c r="DC68" s="16" t="str">
        <f>Février!FC31</f>
        <v>non</v>
      </c>
      <c r="DG68" s="315">
        <f t="shared" si="153"/>
        <v>1</v>
      </c>
      <c r="DH68" s="129">
        <f t="shared" si="131"/>
        <v>10</v>
      </c>
      <c r="DI68" s="129">
        <f t="shared" si="154"/>
        <v>1</v>
      </c>
      <c r="DK68" s="16">
        <f>+IF(AND(Février!$DP$8&lt;&gt;52,AR68=S.CAL!$BJ$4),10,1)</f>
        <v>1</v>
      </c>
      <c r="DN68" s="16">
        <f t="shared" si="132"/>
        <v>1</v>
      </c>
      <c r="DU68" s="1274" t="str">
        <f t="shared" si="155"/>
        <v>Fiche infoA446065</v>
      </c>
      <c r="DV68" s="1362">
        <f t="shared" si="133"/>
        <v>0</v>
      </c>
      <c r="DW68" s="1363">
        <f t="shared" si="134"/>
        <v>0</v>
      </c>
      <c r="DX68" s="1363">
        <f t="shared" si="135"/>
        <v>0</v>
      </c>
      <c r="DY68" s="1363">
        <f t="shared" si="136"/>
        <v>0</v>
      </c>
      <c r="DZ68" s="1363">
        <f t="shared" si="137"/>
        <v>0</v>
      </c>
      <c r="EA68" s="1363">
        <f t="shared" si="138"/>
        <v>0</v>
      </c>
      <c r="EB68" s="1363">
        <f t="shared" si="139"/>
        <v>0</v>
      </c>
      <c r="EC68" s="1363">
        <f t="shared" si="140"/>
        <v>0</v>
      </c>
      <c r="ED68" s="1363">
        <f t="shared" si="156"/>
        <v>0</v>
      </c>
      <c r="EE68" s="1364">
        <f t="shared" si="157"/>
        <v>0</v>
      </c>
      <c r="EG68" s="16" t="str">
        <f t="shared" si="158"/>
        <v>72026</v>
      </c>
      <c r="EH68" s="16" t="str">
        <f t="shared" si="141"/>
        <v>Fiche infoA4</v>
      </c>
      <c r="EI68" s="16" t="str">
        <f t="shared" si="142"/>
        <v/>
      </c>
    </row>
    <row r="69" spans="1:139" x14ac:dyDescent="0.2">
      <c r="A69" s="24" t="str">
        <f>Février!BJ32</f>
        <v>Fiche infoA5</v>
      </c>
      <c r="B69" s="811">
        <f>Février!AB32</f>
        <v>46066</v>
      </c>
      <c r="C69" s="1371"/>
      <c r="D69" s="981">
        <f t="shared" si="98"/>
        <v>0</v>
      </c>
      <c r="E69" s="434">
        <f t="shared" si="99"/>
        <v>0</v>
      </c>
      <c r="F69" s="434">
        <f t="shared" si="100"/>
        <v>0</v>
      </c>
      <c r="G69" s="434">
        <f t="shared" si="101"/>
        <v>0</v>
      </c>
      <c r="H69" s="434">
        <f t="shared" si="102"/>
        <v>0</v>
      </c>
      <c r="I69" s="434">
        <f t="shared" si="103"/>
        <v>0</v>
      </c>
      <c r="J69" s="434">
        <f t="shared" si="104"/>
        <v>0</v>
      </c>
      <c r="K69" s="434">
        <f t="shared" si="105"/>
        <v>0</v>
      </c>
      <c r="L69" s="434">
        <f t="shared" si="143"/>
        <v>0</v>
      </c>
      <c r="M69" s="982">
        <f t="shared" si="144"/>
        <v>0</v>
      </c>
      <c r="O69" s="981">
        <f t="shared" si="160"/>
        <v>0</v>
      </c>
      <c r="P69" s="434">
        <f t="shared" si="161"/>
        <v>0</v>
      </c>
      <c r="Q69" s="434">
        <f t="shared" si="162"/>
        <v>0</v>
      </c>
      <c r="R69" s="434">
        <f t="shared" si="163"/>
        <v>0</v>
      </c>
      <c r="S69" s="434">
        <f t="shared" si="164"/>
        <v>0</v>
      </c>
      <c r="T69" s="434">
        <f t="shared" si="165"/>
        <v>0</v>
      </c>
      <c r="U69" s="434">
        <f t="shared" si="166"/>
        <v>0</v>
      </c>
      <c r="V69" s="434">
        <f t="shared" si="167"/>
        <v>0</v>
      </c>
      <c r="W69" s="434">
        <f t="shared" si="114"/>
        <v>0</v>
      </c>
      <c r="X69" s="982">
        <f t="shared" si="115"/>
        <v>0</v>
      </c>
      <c r="Y69" s="441"/>
      <c r="Z69" s="277">
        <f t="shared" si="116"/>
        <v>0</v>
      </c>
      <c r="AA69" s="277">
        <f t="shared" si="117"/>
        <v>0</v>
      </c>
      <c r="AB69" s="277">
        <f t="shared" si="118"/>
        <v>0</v>
      </c>
      <c r="AC69" s="277">
        <f t="shared" si="119"/>
        <v>0</v>
      </c>
      <c r="AD69" s="277">
        <f t="shared" si="120"/>
        <v>0</v>
      </c>
      <c r="AE69" s="277">
        <f t="shared" si="121"/>
        <v>0</v>
      </c>
      <c r="AF69" s="277">
        <f t="shared" si="122"/>
        <v>0</v>
      </c>
      <c r="AG69" s="277">
        <f t="shared" si="123"/>
        <v>0</v>
      </c>
      <c r="AI69" s="444">
        <f t="shared" si="168"/>
        <v>0</v>
      </c>
      <c r="AJ69" s="1090"/>
      <c r="AK69" s="489"/>
      <c r="AL69" s="811">
        <f t="shared" si="125"/>
        <v>46066</v>
      </c>
      <c r="AM69" s="666">
        <f>IFERROR(IF(AND(AT69="",AR69&lt;&gt;S.CAL!$BJ$3,AR69&lt;&gt;S.CAL!$BJ$4,$AR$50="NON"),M69-BD69,IF(AND(AT69="",AR69&lt;&gt;S.CAL!$BJ$3,AR69&lt;&gt;S.CAL!$BJ$4,$AR$50="OUI"),X69-AI69,IF(AT69&lt;&gt;0,AT69,IF(OR(AR69=S.CAL!$BJ$3,AR69=S.CAL!$BJ$4),AR69,"")))),"")</f>
        <v>0</v>
      </c>
      <c r="AN69" s="1093"/>
      <c r="AO69" s="1094"/>
      <c r="AP69" s="666">
        <f>+IF(AND(AU69="",BB69="OUI",BH69="non",BI69="OUI"),AM69,IF(AND(AU69="",BB69="OUI",BH69="oui",BI69="NON"),AM69,IF(AND(AU69="",BB69="NON",BH69="oui",BI69="NON"),M69,IF(AND(AU69="",BB69="NON",BH69="non",BI69="OUI"),M69,IF(AND(AU69="",BB69="OUI",BH69="non",BI69="NON"),"ERREUR",IF(AND(AU69="",BB69="NON",BH69="non",BI69="NON"),AM69,IF(AND(AU69="",BB69="OUI",BH69="",BI69=""),AM69,IF(AND(AU69="",BB69="NON",BH69="",BI69="",AZ69="NON"),M69,IF(AND(AU69="",BH69="",AZ69="OUI",AR69=""),AM69,IF(AND(AU69="",BH69="",AZ69="NON",AR69="",AT69=""),M69,IF(AND(OR(AR69=S.CAL!$BJ$3,AR69=S.CAL!$BJ$4),(VLOOKUP($AM$50,base_nbre_sem_mensu,2,FALSE)=52)),EE69,IF(AND(OR(AR69=S.CAL!$BJ$3,AR69=S.CAL!$BJ$4),(VLOOKUP($AM$50,base_nbre_sem_mensu,2,FALSE)&lt;52)),AM69,IF(AND(AT69&lt;&gt;"",AU69=""),AT69,AU69)))))))))))))</f>
        <v>0</v>
      </c>
      <c r="AQ69" s="498">
        <f t="shared" si="145"/>
        <v>0</v>
      </c>
      <c r="AR69" s="1098"/>
      <c r="AT69" s="1101"/>
      <c r="AU69" s="813"/>
      <c r="AV69" s="1370">
        <f t="shared" si="126"/>
        <v>46066</v>
      </c>
      <c r="AX69" s="511">
        <f t="shared" si="146"/>
        <v>46066</v>
      </c>
      <c r="AY69" s="523">
        <f t="shared" si="147"/>
        <v>0</v>
      </c>
      <c r="AZ69" s="520" t="s">
        <v>137</v>
      </c>
      <c r="BA69" s="516">
        <f t="shared" si="148"/>
        <v>0</v>
      </c>
      <c r="BB69" s="549" t="str">
        <f t="shared" si="127"/>
        <v/>
      </c>
      <c r="BC69" s="523">
        <f t="shared" si="149"/>
        <v>0</v>
      </c>
      <c r="BD69" s="523">
        <f t="shared" si="150"/>
        <v>0</v>
      </c>
      <c r="BE69" s="1104"/>
      <c r="BF69" s="514" t="str">
        <f t="shared" si="128"/>
        <v/>
      </c>
      <c r="BG69" s="514" t="str">
        <f t="shared" si="151"/>
        <v>oui</v>
      </c>
      <c r="BH69" s="377" t="str">
        <f t="shared" si="129"/>
        <v/>
      </c>
      <c r="BI69" s="24" t="str">
        <f t="shared" si="130"/>
        <v/>
      </c>
      <c r="BJ69" s="1381"/>
      <c r="BK69" s="1381"/>
      <c r="BL69" s="1381"/>
      <c r="BM69" s="1381"/>
      <c r="BN69" s="1381"/>
      <c r="BO69" s="1381"/>
      <c r="BP69" s="1381"/>
      <c r="BQ69" s="1381"/>
      <c r="BS69" s="1370">
        <f t="shared" si="97"/>
        <v>46066</v>
      </c>
      <c r="BT69" s="27" t="str">
        <f t="shared" si="159"/>
        <v/>
      </c>
      <c r="BU69" s="1380"/>
      <c r="BV69" s="1380"/>
      <c r="BW69" s="1380"/>
      <c r="BX69" s="1380"/>
      <c r="BY69" s="1380"/>
      <c r="BZ69" s="1380"/>
      <c r="CA69" s="1380"/>
      <c r="CB69" s="1380"/>
      <c r="CD69" s="1386">
        <f t="shared" si="152"/>
        <v>0</v>
      </c>
      <c r="DC69" s="16" t="str">
        <f>Février!FC32</f>
        <v>non</v>
      </c>
      <c r="DG69" s="315">
        <f t="shared" si="153"/>
        <v>1</v>
      </c>
      <c r="DH69" s="129">
        <f t="shared" si="131"/>
        <v>10</v>
      </c>
      <c r="DI69" s="129">
        <f t="shared" si="154"/>
        <v>1</v>
      </c>
      <c r="DK69" s="16">
        <f>+IF(AND(Février!$DP$8&lt;&gt;52,AR69=S.CAL!$BJ$4),10,1)</f>
        <v>1</v>
      </c>
      <c r="DN69" s="16">
        <f t="shared" si="132"/>
        <v>1</v>
      </c>
      <c r="DU69" s="1274" t="str">
        <f t="shared" si="155"/>
        <v>Fiche infoA546066</v>
      </c>
      <c r="DV69" s="1362">
        <f t="shared" si="133"/>
        <v>0</v>
      </c>
      <c r="DW69" s="1363">
        <f t="shared" si="134"/>
        <v>0</v>
      </c>
      <c r="DX69" s="1363">
        <f t="shared" si="135"/>
        <v>0</v>
      </c>
      <c r="DY69" s="1363">
        <f t="shared" si="136"/>
        <v>0</v>
      </c>
      <c r="DZ69" s="1363">
        <f t="shared" si="137"/>
        <v>0</v>
      </c>
      <c r="EA69" s="1363">
        <f t="shared" si="138"/>
        <v>0</v>
      </c>
      <c r="EB69" s="1363">
        <f t="shared" si="139"/>
        <v>0</v>
      </c>
      <c r="EC69" s="1363">
        <f t="shared" si="140"/>
        <v>0</v>
      </c>
      <c r="ED69" s="1363">
        <f t="shared" si="156"/>
        <v>0</v>
      </c>
      <c r="EE69" s="1364">
        <f t="shared" si="157"/>
        <v>0</v>
      </c>
      <c r="EG69" s="16" t="str">
        <f t="shared" si="158"/>
        <v>72026</v>
      </c>
      <c r="EH69" s="16" t="str">
        <f t="shared" si="141"/>
        <v>Fiche infoA5</v>
      </c>
      <c r="EI69" s="16" t="str">
        <f t="shared" si="142"/>
        <v/>
      </c>
    </row>
    <row r="70" spans="1:139" x14ac:dyDescent="0.2">
      <c r="A70" s="1373" t="str">
        <f>Février!BJ33</f>
        <v>Fiche infoA6</v>
      </c>
      <c r="B70" s="811">
        <f>Février!AB33</f>
        <v>46067</v>
      </c>
      <c r="C70" s="1372"/>
      <c r="D70" s="981">
        <f t="shared" si="98"/>
        <v>0</v>
      </c>
      <c r="E70" s="434">
        <f t="shared" si="99"/>
        <v>0</v>
      </c>
      <c r="F70" s="434">
        <f t="shared" si="100"/>
        <v>0</v>
      </c>
      <c r="G70" s="434">
        <f t="shared" si="101"/>
        <v>0</v>
      </c>
      <c r="H70" s="434">
        <f t="shared" si="102"/>
        <v>0</v>
      </c>
      <c r="I70" s="434">
        <f t="shared" si="103"/>
        <v>0</v>
      </c>
      <c r="J70" s="434">
        <f t="shared" si="104"/>
        <v>0</v>
      </c>
      <c r="K70" s="434">
        <f t="shared" si="105"/>
        <v>0</v>
      </c>
      <c r="L70" s="434">
        <f t="shared" si="143"/>
        <v>0</v>
      </c>
      <c r="M70" s="982">
        <f t="shared" si="144"/>
        <v>0</v>
      </c>
      <c r="N70" s="1374"/>
      <c r="O70" s="981">
        <f t="shared" si="160"/>
        <v>0</v>
      </c>
      <c r="P70" s="434">
        <f t="shared" si="161"/>
        <v>0</v>
      </c>
      <c r="Q70" s="434">
        <f t="shared" si="162"/>
        <v>0</v>
      </c>
      <c r="R70" s="434">
        <f t="shared" si="163"/>
        <v>0</v>
      </c>
      <c r="S70" s="434">
        <f t="shared" si="164"/>
        <v>0</v>
      </c>
      <c r="T70" s="434">
        <f t="shared" si="165"/>
        <v>0</v>
      </c>
      <c r="U70" s="434">
        <f t="shared" si="166"/>
        <v>0</v>
      </c>
      <c r="V70" s="434">
        <f t="shared" si="167"/>
        <v>0</v>
      </c>
      <c r="W70" s="434">
        <f t="shared" si="114"/>
        <v>0</v>
      </c>
      <c r="X70" s="982">
        <f t="shared" si="115"/>
        <v>0</v>
      </c>
      <c r="Y70" s="1375"/>
      <c r="Z70" s="1376">
        <f t="shared" si="116"/>
        <v>0</v>
      </c>
      <c r="AA70" s="1376">
        <f t="shared" si="117"/>
        <v>0</v>
      </c>
      <c r="AB70" s="1376">
        <f t="shared" si="118"/>
        <v>0</v>
      </c>
      <c r="AC70" s="1376">
        <f t="shared" si="119"/>
        <v>0</v>
      </c>
      <c r="AD70" s="1376">
        <f t="shared" si="120"/>
        <v>0</v>
      </c>
      <c r="AE70" s="1376">
        <f t="shared" si="121"/>
        <v>0</v>
      </c>
      <c r="AF70" s="1376">
        <f t="shared" si="122"/>
        <v>0</v>
      </c>
      <c r="AG70" s="1376">
        <f t="shared" si="123"/>
        <v>0</v>
      </c>
      <c r="AH70" s="1374"/>
      <c r="AI70" s="444">
        <f t="shared" si="168"/>
        <v>0</v>
      </c>
      <c r="AJ70" s="1090"/>
      <c r="AK70" s="1377"/>
      <c r="AL70" s="811">
        <f t="shared" si="125"/>
        <v>46067</v>
      </c>
      <c r="AM70" s="666">
        <f>IFERROR(IF(AND(AT70="",AR70&lt;&gt;S.CAL!$BJ$3,AR70&lt;&gt;S.CAL!$BJ$4,$AR$50="NON"),M70-BD70,IF(AND(AT70="",AR70&lt;&gt;S.CAL!$BJ$3,AR70&lt;&gt;S.CAL!$BJ$4,$AR$50="OUI"),X70-AI70,IF(AT70&lt;&gt;0,AT70,IF(OR(AR70=S.CAL!$BJ$3,AR70=S.CAL!$BJ$4),AR70,"")))),"")</f>
        <v>0</v>
      </c>
      <c r="AN70" s="1093"/>
      <c r="AO70" s="1094"/>
      <c r="AP70" s="666">
        <f>+IF(AND(AU70="",BB70="OUI",BH70="non",BI70="OUI"),AM70,IF(AND(AU70="",BB70="OUI",BH70="oui",BI70="NON"),AM70,IF(AND(AU70="",BB70="NON",BH70="oui",BI70="NON"),M70,IF(AND(AU70="",BB70="NON",BH70="non",BI70="OUI"),M70,IF(AND(AU70="",BB70="OUI",BH70="non",BI70="NON"),"ERREUR",IF(AND(AU70="",BB70="NON",BH70="non",BI70="NON"),AM70,IF(AND(AU70="",BB70="OUI",BH70="",BI70=""),AM70,IF(AND(AU70="",BB70="NON",BH70="",BI70="",AZ70="NON"),M70,IF(AND(AU70="",BH70="",AZ70="OUI",AR70=""),AM70,IF(AND(AU70="",BH70="",AZ70="NON",AR70="",AT70=""),M70,IF(AND(OR(AR70=S.CAL!$BJ$3,AR70=S.CAL!$BJ$4),(VLOOKUP($AM$50,base_nbre_sem_mensu,2,FALSE)=52)),EE70,IF(AND(OR(AR70=S.CAL!$BJ$3,AR70=S.CAL!$BJ$4),(VLOOKUP($AM$50,base_nbre_sem_mensu,2,FALSE)&lt;52)),AM70,IF(AND(AT70&lt;&gt;"",AU70=""),AT70,AU70)))))))))))))</f>
        <v>0</v>
      </c>
      <c r="AQ70" s="1378">
        <f t="shared" si="145"/>
        <v>0</v>
      </c>
      <c r="AR70" s="1098"/>
      <c r="AS70" s="1374"/>
      <c r="AT70" s="1101"/>
      <c r="AU70" s="813"/>
      <c r="AV70" s="1370">
        <f t="shared" si="126"/>
        <v>46067</v>
      </c>
      <c r="AW70" s="1374"/>
      <c r="AX70" s="511">
        <f t="shared" si="146"/>
        <v>46067</v>
      </c>
      <c r="AY70" s="523">
        <f t="shared" si="147"/>
        <v>0</v>
      </c>
      <c r="AZ70" s="520" t="s">
        <v>137</v>
      </c>
      <c r="BA70" s="516">
        <f t="shared" si="148"/>
        <v>0</v>
      </c>
      <c r="BB70" s="549" t="str">
        <f t="shared" si="127"/>
        <v/>
      </c>
      <c r="BC70" s="523">
        <f t="shared" si="149"/>
        <v>0</v>
      </c>
      <c r="BD70" s="523">
        <f t="shared" si="150"/>
        <v>0</v>
      </c>
      <c r="BE70" s="1104"/>
      <c r="BF70" s="514" t="str">
        <f t="shared" si="128"/>
        <v/>
      </c>
      <c r="BG70" s="514" t="str">
        <f t="shared" si="151"/>
        <v>oui</v>
      </c>
      <c r="BH70" s="377" t="str">
        <f t="shared" si="129"/>
        <v/>
      </c>
      <c r="BI70" s="24" t="str">
        <f t="shared" si="130"/>
        <v/>
      </c>
      <c r="BJ70" s="1382"/>
      <c r="BK70" s="1382"/>
      <c r="BL70" s="1382"/>
      <c r="BM70" s="1382"/>
      <c r="BN70" s="1382"/>
      <c r="BO70" s="1382"/>
      <c r="BP70" s="1382"/>
      <c r="BQ70" s="1382"/>
      <c r="BR70" s="1383"/>
      <c r="BS70" s="1370">
        <f t="shared" si="97"/>
        <v>46067</v>
      </c>
      <c r="BT70" s="1384" t="str">
        <f t="shared" si="159"/>
        <v/>
      </c>
      <c r="BU70" s="1382"/>
      <c r="BV70" s="1382"/>
      <c r="BW70" s="1382"/>
      <c r="BX70" s="1382"/>
      <c r="BY70" s="1382"/>
      <c r="BZ70" s="1382"/>
      <c r="CA70" s="1382"/>
      <c r="CB70" s="1382"/>
      <c r="CD70" s="1386">
        <f t="shared" si="152"/>
        <v>0</v>
      </c>
      <c r="DC70" s="16" t="str">
        <f>Février!FC33</f>
        <v>non</v>
      </c>
      <c r="DG70" s="315">
        <f t="shared" si="153"/>
        <v>1</v>
      </c>
      <c r="DH70" s="129">
        <f t="shared" si="131"/>
        <v>10</v>
      </c>
      <c r="DI70" s="129">
        <f t="shared" si="154"/>
        <v>1</v>
      </c>
      <c r="DK70" s="16">
        <f>+IF(AND(Février!$DP$8&lt;&gt;52,AR70=S.CAL!$BJ$4),10,1)</f>
        <v>1</v>
      </c>
      <c r="DN70" s="16">
        <f t="shared" si="132"/>
        <v>1</v>
      </c>
      <c r="DU70" s="1274" t="str">
        <f t="shared" si="155"/>
        <v>Fiche infoA646067</v>
      </c>
      <c r="DV70" s="1362">
        <f t="shared" si="133"/>
        <v>0</v>
      </c>
      <c r="DW70" s="1363">
        <f t="shared" si="134"/>
        <v>0</v>
      </c>
      <c r="DX70" s="1363">
        <f t="shared" si="135"/>
        <v>0</v>
      </c>
      <c r="DY70" s="1363">
        <f t="shared" si="136"/>
        <v>0</v>
      </c>
      <c r="DZ70" s="1363">
        <f t="shared" si="137"/>
        <v>0</v>
      </c>
      <c r="EA70" s="1363">
        <f t="shared" si="138"/>
        <v>0</v>
      </c>
      <c r="EB70" s="1363">
        <f t="shared" si="139"/>
        <v>0</v>
      </c>
      <c r="EC70" s="1363">
        <f t="shared" si="140"/>
        <v>0</v>
      </c>
      <c r="ED70" s="1363">
        <f t="shared" si="156"/>
        <v>0</v>
      </c>
      <c r="EE70" s="1364">
        <f t="shared" si="157"/>
        <v>0</v>
      </c>
      <c r="EG70" s="16" t="str">
        <f t="shared" si="158"/>
        <v>72026</v>
      </c>
      <c r="EH70" s="16" t="str">
        <f t="shared" si="141"/>
        <v>Fiche infoA6</v>
      </c>
      <c r="EI70" s="16" t="str">
        <f t="shared" si="142"/>
        <v/>
      </c>
    </row>
    <row r="71" spans="1:139" x14ac:dyDescent="0.2">
      <c r="A71" s="24" t="str">
        <f>Février!BJ34</f>
        <v>Fiche infoA7</v>
      </c>
      <c r="B71" s="811">
        <f>Février!AB34</f>
        <v>46068</v>
      </c>
      <c r="C71" s="1371"/>
      <c r="D71" s="981">
        <f t="shared" si="98"/>
        <v>0</v>
      </c>
      <c r="E71" s="434">
        <f t="shared" si="99"/>
        <v>0</v>
      </c>
      <c r="F71" s="434">
        <f t="shared" si="100"/>
        <v>0</v>
      </c>
      <c r="G71" s="434">
        <f t="shared" si="101"/>
        <v>0</v>
      </c>
      <c r="H71" s="434">
        <f t="shared" si="102"/>
        <v>0</v>
      </c>
      <c r="I71" s="434">
        <f t="shared" si="103"/>
        <v>0</v>
      </c>
      <c r="J71" s="434">
        <f t="shared" si="104"/>
        <v>0</v>
      </c>
      <c r="K71" s="434">
        <f t="shared" si="105"/>
        <v>0</v>
      </c>
      <c r="L71" s="434">
        <f t="shared" si="143"/>
        <v>0</v>
      </c>
      <c r="M71" s="982">
        <f t="shared" si="144"/>
        <v>0</v>
      </c>
      <c r="O71" s="981">
        <f t="shared" si="160"/>
        <v>0</v>
      </c>
      <c r="P71" s="434">
        <f t="shared" si="161"/>
        <v>0</v>
      </c>
      <c r="Q71" s="434">
        <f t="shared" si="162"/>
        <v>0</v>
      </c>
      <c r="R71" s="434">
        <f t="shared" si="163"/>
        <v>0</v>
      </c>
      <c r="S71" s="434">
        <f t="shared" si="164"/>
        <v>0</v>
      </c>
      <c r="T71" s="434">
        <f t="shared" si="165"/>
        <v>0</v>
      </c>
      <c r="U71" s="434">
        <f t="shared" si="166"/>
        <v>0</v>
      </c>
      <c r="V71" s="434">
        <f t="shared" si="167"/>
        <v>0</v>
      </c>
      <c r="W71" s="434">
        <f t="shared" si="114"/>
        <v>0</v>
      </c>
      <c r="X71" s="982">
        <f t="shared" si="115"/>
        <v>0</v>
      </c>
      <c r="Y71" s="441"/>
      <c r="Z71" s="277">
        <f t="shared" si="116"/>
        <v>0</v>
      </c>
      <c r="AA71" s="277">
        <f t="shared" si="117"/>
        <v>0</v>
      </c>
      <c r="AB71" s="277">
        <f t="shared" si="118"/>
        <v>0</v>
      </c>
      <c r="AC71" s="277">
        <f t="shared" si="119"/>
        <v>0</v>
      </c>
      <c r="AD71" s="277">
        <f t="shared" si="120"/>
        <v>0</v>
      </c>
      <c r="AE71" s="277">
        <f t="shared" si="121"/>
        <v>0</v>
      </c>
      <c r="AF71" s="277">
        <f t="shared" si="122"/>
        <v>0</v>
      </c>
      <c r="AG71" s="277">
        <f t="shared" si="123"/>
        <v>0</v>
      </c>
      <c r="AI71" s="444">
        <f t="shared" si="168"/>
        <v>0</v>
      </c>
      <c r="AJ71" s="1090"/>
      <c r="AK71" s="489"/>
      <c r="AL71" s="811">
        <f t="shared" si="125"/>
        <v>46068</v>
      </c>
      <c r="AM71" s="666">
        <f>IFERROR(IF(AND(AT71="",AR71&lt;&gt;S.CAL!$BJ$3,AR71&lt;&gt;S.CAL!$BJ$4,$AR$50="NON"),M71-BD71,IF(AND(AT71="",AR71&lt;&gt;S.CAL!$BJ$3,AR71&lt;&gt;S.CAL!$BJ$4,$AR$50="OUI"),X71-AI71,IF(AT71&lt;&gt;0,AT71,IF(OR(AR71=S.CAL!$BJ$3,AR71=S.CAL!$BJ$4),AR71,"")))),"")</f>
        <v>0</v>
      </c>
      <c r="AN71" s="1093"/>
      <c r="AO71" s="1094"/>
      <c r="AP71" s="666">
        <f>+IF(AND(AU71="",BB71="OUI",BH71="non",BI71="OUI"),AM71,IF(AND(AU71="",BB71="OUI",BH71="oui",BI71="NON"),AM71,IF(AND(AU71="",BB71="NON",BH71="oui",BI71="NON"),M71,IF(AND(AU71="",BB71="NON",BH71="non",BI71="OUI"),M71,IF(AND(AU71="",BB71="OUI",BH71="non",BI71="NON"),"ERREUR",IF(AND(AU71="",BB71="NON",BH71="non",BI71="NON"),AM71,IF(AND(AU71="",BB71="OUI",BH71="",BI71=""),AM71,IF(AND(AU71="",BB71="NON",BH71="",BI71="",AZ71="NON"),M71,IF(AND(AU71="",BH71="",AZ71="OUI",AR71=""),AM71,IF(AND(AU71="",BH71="",AZ71="NON",AR71="",AT71=""),M71,IF(AND(OR(AR71=S.CAL!$BJ$3,AR71=S.CAL!$BJ$4),(VLOOKUP($AM$50,base_nbre_sem_mensu,2,FALSE)=52)),EE71,IF(AND(OR(AR71=S.CAL!$BJ$3,AR71=S.CAL!$BJ$4),(VLOOKUP($AM$50,base_nbre_sem_mensu,2,FALSE)&lt;52)),AM71,IF(AND(AT71&lt;&gt;"",AU71=""),AT71,AU71)))))))))))))</f>
        <v>0</v>
      </c>
      <c r="AQ71" s="498">
        <f t="shared" si="145"/>
        <v>0</v>
      </c>
      <c r="AR71" s="1098"/>
      <c r="AT71" s="1101"/>
      <c r="AU71" s="813"/>
      <c r="AV71" s="1370">
        <f t="shared" si="126"/>
        <v>46068</v>
      </c>
      <c r="AX71" s="511">
        <f t="shared" si="146"/>
        <v>46068</v>
      </c>
      <c r="AY71" s="523">
        <f t="shared" si="147"/>
        <v>0</v>
      </c>
      <c r="AZ71" s="520" t="s">
        <v>137</v>
      </c>
      <c r="BA71" s="516">
        <f t="shared" si="148"/>
        <v>0</v>
      </c>
      <c r="BB71" s="549" t="str">
        <f t="shared" si="127"/>
        <v/>
      </c>
      <c r="BC71" s="523">
        <f t="shared" si="149"/>
        <v>0</v>
      </c>
      <c r="BD71" s="523">
        <f t="shared" si="150"/>
        <v>0</v>
      </c>
      <c r="BE71" s="1104"/>
      <c r="BF71" s="514" t="str">
        <f t="shared" si="128"/>
        <v/>
      </c>
      <c r="BG71" s="514" t="str">
        <f t="shared" si="151"/>
        <v>oui</v>
      </c>
      <c r="BH71" s="377" t="str">
        <f t="shared" si="129"/>
        <v/>
      </c>
      <c r="BI71" s="24" t="str">
        <f t="shared" si="130"/>
        <v/>
      </c>
      <c r="BJ71" s="1381"/>
      <c r="BK71" s="1381"/>
      <c r="BL71" s="1381"/>
      <c r="BM71" s="1381"/>
      <c r="BN71" s="1381"/>
      <c r="BO71" s="1381"/>
      <c r="BP71" s="1381"/>
      <c r="BQ71" s="1381"/>
      <c r="BS71" s="1370">
        <f t="shared" si="97"/>
        <v>46068</v>
      </c>
      <c r="BT71" s="27" t="str">
        <f t="shared" si="159"/>
        <v/>
      </c>
      <c r="BU71" s="1380"/>
      <c r="BV71" s="1380"/>
      <c r="BW71" s="1380"/>
      <c r="BX71" s="1380"/>
      <c r="BY71" s="1380"/>
      <c r="BZ71" s="1380"/>
      <c r="CA71" s="1380"/>
      <c r="CB71" s="1380"/>
      <c r="CD71" s="1386">
        <f t="shared" si="152"/>
        <v>0</v>
      </c>
      <c r="DC71" s="16" t="str">
        <f>Février!FC34</f>
        <v>non</v>
      </c>
      <c r="DG71" s="315">
        <f t="shared" si="153"/>
        <v>1</v>
      </c>
      <c r="DH71" s="129">
        <f t="shared" si="131"/>
        <v>10</v>
      </c>
      <c r="DI71" s="129">
        <f t="shared" si="154"/>
        <v>1</v>
      </c>
      <c r="DK71" s="16">
        <f>+IF(AND(Février!$DP$8&lt;&gt;52,AR71=S.CAL!$BJ$4),10,1)</f>
        <v>1</v>
      </c>
      <c r="DN71" s="16">
        <f t="shared" si="132"/>
        <v>1</v>
      </c>
      <c r="DU71" s="1274" t="str">
        <f t="shared" si="155"/>
        <v>Fiche infoA746068</v>
      </c>
      <c r="DV71" s="1362">
        <f t="shared" si="133"/>
        <v>0</v>
      </c>
      <c r="DW71" s="1363">
        <f t="shared" si="134"/>
        <v>0</v>
      </c>
      <c r="DX71" s="1363">
        <f t="shared" si="135"/>
        <v>0</v>
      </c>
      <c r="DY71" s="1363">
        <f t="shared" si="136"/>
        <v>0</v>
      </c>
      <c r="DZ71" s="1363">
        <f t="shared" si="137"/>
        <v>0</v>
      </c>
      <c r="EA71" s="1363">
        <f t="shared" si="138"/>
        <v>0</v>
      </c>
      <c r="EB71" s="1363">
        <f t="shared" si="139"/>
        <v>0</v>
      </c>
      <c r="EC71" s="1363">
        <f t="shared" si="140"/>
        <v>0</v>
      </c>
      <c r="ED71" s="1363">
        <f t="shared" si="156"/>
        <v>0</v>
      </c>
      <c r="EE71" s="1364">
        <f t="shared" si="157"/>
        <v>0</v>
      </c>
      <c r="EG71" s="16" t="str">
        <f t="shared" si="158"/>
        <v>72026</v>
      </c>
      <c r="EH71" s="16" t="str">
        <f t="shared" si="141"/>
        <v>Fiche infoA7</v>
      </c>
      <c r="EI71" s="16" t="str">
        <f t="shared" si="142"/>
        <v/>
      </c>
    </row>
    <row r="72" spans="1:139" x14ac:dyDescent="0.2">
      <c r="A72" s="1373" t="str">
        <f>Février!BJ35</f>
        <v>Fiche infoA1</v>
      </c>
      <c r="B72" s="811">
        <f>Février!AB35</f>
        <v>46069</v>
      </c>
      <c r="C72" s="1372"/>
      <c r="D72" s="981">
        <f t="shared" si="98"/>
        <v>0</v>
      </c>
      <c r="E72" s="434">
        <f t="shared" si="99"/>
        <v>0</v>
      </c>
      <c r="F72" s="434">
        <f t="shared" si="100"/>
        <v>0</v>
      </c>
      <c r="G72" s="434">
        <f t="shared" si="101"/>
        <v>0</v>
      </c>
      <c r="H72" s="434">
        <f t="shared" si="102"/>
        <v>0</v>
      </c>
      <c r="I72" s="434">
        <f t="shared" si="103"/>
        <v>0</v>
      </c>
      <c r="J72" s="434">
        <f t="shared" si="104"/>
        <v>0</v>
      </c>
      <c r="K72" s="434">
        <f t="shared" si="105"/>
        <v>0</v>
      </c>
      <c r="L72" s="434">
        <f t="shared" si="143"/>
        <v>0</v>
      </c>
      <c r="M72" s="982">
        <f t="shared" si="144"/>
        <v>0</v>
      </c>
      <c r="N72" s="1374"/>
      <c r="O72" s="981">
        <f t="shared" si="160"/>
        <v>0</v>
      </c>
      <c r="P72" s="434">
        <f t="shared" si="161"/>
        <v>0</v>
      </c>
      <c r="Q72" s="434">
        <f t="shared" si="162"/>
        <v>0</v>
      </c>
      <c r="R72" s="434">
        <f t="shared" si="163"/>
        <v>0</v>
      </c>
      <c r="S72" s="434">
        <f t="shared" si="164"/>
        <v>0</v>
      </c>
      <c r="T72" s="434">
        <f t="shared" si="165"/>
        <v>0</v>
      </c>
      <c r="U72" s="434">
        <f t="shared" si="166"/>
        <v>0</v>
      </c>
      <c r="V72" s="434">
        <f t="shared" si="167"/>
        <v>0</v>
      </c>
      <c r="W72" s="434">
        <f t="shared" si="114"/>
        <v>0</v>
      </c>
      <c r="X72" s="982">
        <f t="shared" si="115"/>
        <v>0</v>
      </c>
      <c r="Y72" s="1375"/>
      <c r="Z72" s="1376">
        <f t="shared" si="116"/>
        <v>0</v>
      </c>
      <c r="AA72" s="1376">
        <f t="shared" si="117"/>
        <v>0</v>
      </c>
      <c r="AB72" s="1376">
        <f t="shared" si="118"/>
        <v>0</v>
      </c>
      <c r="AC72" s="1376">
        <f t="shared" si="119"/>
        <v>0</v>
      </c>
      <c r="AD72" s="1376">
        <f t="shared" si="120"/>
        <v>0</v>
      </c>
      <c r="AE72" s="1376">
        <f t="shared" si="121"/>
        <v>0</v>
      </c>
      <c r="AF72" s="1376">
        <f t="shared" si="122"/>
        <v>0</v>
      </c>
      <c r="AG72" s="1376">
        <f t="shared" si="123"/>
        <v>0</v>
      </c>
      <c r="AH72" s="1374"/>
      <c r="AI72" s="444">
        <f t="shared" si="168"/>
        <v>0</v>
      </c>
      <c r="AJ72" s="1090"/>
      <c r="AK72" s="1377"/>
      <c r="AL72" s="811">
        <f t="shared" si="125"/>
        <v>46069</v>
      </c>
      <c r="AM72" s="666">
        <f>IFERROR(IF(AND(AT72="",AR72&lt;&gt;S.CAL!$BJ$3,AR72&lt;&gt;S.CAL!$BJ$4,$AR$50="NON"),M72-BD72,IF(AND(AT72="",AR72&lt;&gt;S.CAL!$BJ$3,AR72&lt;&gt;S.CAL!$BJ$4,$AR$50="OUI"),X72-AI72,IF(AT72&lt;&gt;0,AT72,IF(OR(AR72=S.CAL!$BJ$3,AR72=S.CAL!$BJ$4),AR72,"")))),"")</f>
        <v>0</v>
      </c>
      <c r="AN72" s="1093"/>
      <c r="AO72" s="1094"/>
      <c r="AP72" s="666">
        <f>+IF(AND(AU72="",BB72="OUI",BH72="non",BI72="OUI"),AM72,IF(AND(AU72="",BB72="OUI",BH72="oui",BI72="NON"),AM72,IF(AND(AU72="",BB72="NON",BH72="oui",BI72="NON"),M72,IF(AND(AU72="",BB72="NON",BH72="non",BI72="OUI"),M72,IF(AND(AU72="",BB72="OUI",BH72="non",BI72="NON"),"ERREUR",IF(AND(AU72="",BB72="NON",BH72="non",BI72="NON"),AM72,IF(AND(AU72="",BB72="OUI",BH72="",BI72=""),AM72,IF(AND(AU72="",BB72="NON",BH72="",BI72="",AZ72="NON"),M72,IF(AND(AU72="",BH72="",AZ72="OUI",AR72=""),AM72,IF(AND(AU72="",BH72="",AZ72="NON",AR72="",AT72=""),M72,IF(AND(OR(AR72=S.CAL!$BJ$3,AR72=S.CAL!$BJ$4),(VLOOKUP($AM$50,base_nbre_sem_mensu,2,FALSE)=52)),EE72,IF(AND(OR(AR72=S.CAL!$BJ$3,AR72=S.CAL!$BJ$4),(VLOOKUP($AM$50,base_nbre_sem_mensu,2,FALSE)&lt;52)),AM72,IF(AND(AT72&lt;&gt;"",AU72=""),AT72,AU72)))))))))))))</f>
        <v>0</v>
      </c>
      <c r="AQ72" s="1378">
        <f t="shared" si="145"/>
        <v>0</v>
      </c>
      <c r="AR72" s="1098"/>
      <c r="AS72" s="1374"/>
      <c r="AT72" s="1101"/>
      <c r="AU72" s="813"/>
      <c r="AV72" s="1370">
        <f t="shared" si="126"/>
        <v>46069</v>
      </c>
      <c r="AW72" s="1374"/>
      <c r="AX72" s="511">
        <f t="shared" si="146"/>
        <v>46069</v>
      </c>
      <c r="AY72" s="523">
        <f t="shared" si="147"/>
        <v>0</v>
      </c>
      <c r="AZ72" s="520" t="s">
        <v>137</v>
      </c>
      <c r="BA72" s="516">
        <f t="shared" si="148"/>
        <v>0</v>
      </c>
      <c r="BB72" s="549" t="str">
        <f t="shared" si="127"/>
        <v/>
      </c>
      <c r="BC72" s="523">
        <f t="shared" si="149"/>
        <v>0</v>
      </c>
      <c r="BD72" s="523">
        <f t="shared" si="150"/>
        <v>0</v>
      </c>
      <c r="BE72" s="1104"/>
      <c r="BF72" s="514" t="str">
        <f t="shared" si="128"/>
        <v/>
      </c>
      <c r="BG72" s="514" t="str">
        <f t="shared" si="151"/>
        <v>oui</v>
      </c>
      <c r="BH72" s="377" t="str">
        <f t="shared" si="129"/>
        <v/>
      </c>
      <c r="BI72" s="24" t="str">
        <f t="shared" si="130"/>
        <v/>
      </c>
      <c r="BJ72" s="1382"/>
      <c r="BK72" s="1382"/>
      <c r="BL72" s="1382"/>
      <c r="BM72" s="1382"/>
      <c r="BN72" s="1382"/>
      <c r="BO72" s="1382"/>
      <c r="BP72" s="1382"/>
      <c r="BQ72" s="1382"/>
      <c r="BR72" s="1383"/>
      <c r="BS72" s="1370">
        <f t="shared" si="97"/>
        <v>46069</v>
      </c>
      <c r="BT72" s="1384">
        <f t="shared" si="159"/>
        <v>8</v>
      </c>
      <c r="BU72" s="1382"/>
      <c r="BV72" s="1382"/>
      <c r="BW72" s="1382"/>
      <c r="BX72" s="1382"/>
      <c r="BY72" s="1382"/>
      <c r="BZ72" s="1382"/>
      <c r="CA72" s="1382"/>
      <c r="CB72" s="1382"/>
      <c r="CD72" s="1386">
        <f t="shared" si="152"/>
        <v>0</v>
      </c>
      <c r="DC72" s="16" t="str">
        <f>Février!FC35</f>
        <v>non</v>
      </c>
      <c r="DG72" s="315">
        <f t="shared" si="153"/>
        <v>1</v>
      </c>
      <c r="DH72" s="129">
        <f t="shared" si="131"/>
        <v>10</v>
      </c>
      <c r="DI72" s="129">
        <f t="shared" si="154"/>
        <v>1</v>
      </c>
      <c r="DK72" s="16">
        <f>+IF(AND(Février!$DP$8&lt;&gt;52,AR72=S.CAL!$BJ$4),10,1)</f>
        <v>1</v>
      </c>
      <c r="DN72" s="16">
        <f t="shared" si="132"/>
        <v>1</v>
      </c>
      <c r="DU72" s="1274" t="str">
        <f t="shared" si="155"/>
        <v>Fiche infoA146069</v>
      </c>
      <c r="DV72" s="1362">
        <f t="shared" si="133"/>
        <v>0</v>
      </c>
      <c r="DW72" s="1363">
        <f t="shared" si="134"/>
        <v>0</v>
      </c>
      <c r="DX72" s="1363">
        <f t="shared" si="135"/>
        <v>0</v>
      </c>
      <c r="DY72" s="1363">
        <f t="shared" si="136"/>
        <v>0</v>
      </c>
      <c r="DZ72" s="1363">
        <f t="shared" si="137"/>
        <v>0</v>
      </c>
      <c r="EA72" s="1363">
        <f t="shared" si="138"/>
        <v>0</v>
      </c>
      <c r="EB72" s="1363">
        <f t="shared" si="139"/>
        <v>0</v>
      </c>
      <c r="EC72" s="1363">
        <f t="shared" si="140"/>
        <v>0</v>
      </c>
      <c r="ED72" s="1363">
        <f t="shared" si="156"/>
        <v>0</v>
      </c>
      <c r="EE72" s="1364">
        <f t="shared" si="157"/>
        <v>0</v>
      </c>
      <c r="EG72" s="16" t="str">
        <f t="shared" si="158"/>
        <v>82026</v>
      </c>
      <c r="EH72" s="16" t="str">
        <f t="shared" si="141"/>
        <v>Fiche infoA1</v>
      </c>
      <c r="EI72" s="16" t="str">
        <f t="shared" si="142"/>
        <v/>
      </c>
    </row>
    <row r="73" spans="1:139" x14ac:dyDescent="0.2">
      <c r="A73" s="24" t="str">
        <f>Février!BJ36</f>
        <v>Fiche infoA2</v>
      </c>
      <c r="B73" s="811">
        <f>Février!AB36</f>
        <v>46070</v>
      </c>
      <c r="C73" s="1371"/>
      <c r="D73" s="981">
        <f t="shared" si="98"/>
        <v>0</v>
      </c>
      <c r="E73" s="434">
        <f t="shared" si="99"/>
        <v>0</v>
      </c>
      <c r="F73" s="434">
        <f t="shared" si="100"/>
        <v>0</v>
      </c>
      <c r="G73" s="434">
        <f t="shared" si="101"/>
        <v>0</v>
      </c>
      <c r="H73" s="434">
        <f t="shared" si="102"/>
        <v>0</v>
      </c>
      <c r="I73" s="434">
        <f t="shared" si="103"/>
        <v>0</v>
      </c>
      <c r="J73" s="434">
        <f t="shared" si="104"/>
        <v>0</v>
      </c>
      <c r="K73" s="434">
        <f t="shared" si="105"/>
        <v>0</v>
      </c>
      <c r="L73" s="434">
        <f t="shared" si="143"/>
        <v>0</v>
      </c>
      <c r="M73" s="982">
        <f t="shared" si="144"/>
        <v>0</v>
      </c>
      <c r="O73" s="981">
        <f t="shared" si="160"/>
        <v>0</v>
      </c>
      <c r="P73" s="434">
        <f t="shared" si="161"/>
        <v>0</v>
      </c>
      <c r="Q73" s="434">
        <f t="shared" si="162"/>
        <v>0</v>
      </c>
      <c r="R73" s="434">
        <f t="shared" si="163"/>
        <v>0</v>
      </c>
      <c r="S73" s="434">
        <f t="shared" si="164"/>
        <v>0</v>
      </c>
      <c r="T73" s="434">
        <f t="shared" si="165"/>
        <v>0</v>
      </c>
      <c r="U73" s="434">
        <f t="shared" si="166"/>
        <v>0</v>
      </c>
      <c r="V73" s="434">
        <f t="shared" si="167"/>
        <v>0</v>
      </c>
      <c r="W73" s="434">
        <f t="shared" si="114"/>
        <v>0</v>
      </c>
      <c r="X73" s="982">
        <f t="shared" si="115"/>
        <v>0</v>
      </c>
      <c r="Y73" s="441"/>
      <c r="Z73" s="277">
        <f t="shared" si="116"/>
        <v>0</v>
      </c>
      <c r="AA73" s="277">
        <f t="shared" si="117"/>
        <v>0</v>
      </c>
      <c r="AB73" s="277">
        <f t="shared" si="118"/>
        <v>0</v>
      </c>
      <c r="AC73" s="277">
        <f t="shared" si="119"/>
        <v>0</v>
      </c>
      <c r="AD73" s="277">
        <f t="shared" si="120"/>
        <v>0</v>
      </c>
      <c r="AE73" s="277">
        <f t="shared" si="121"/>
        <v>0</v>
      </c>
      <c r="AF73" s="277">
        <f t="shared" si="122"/>
        <v>0</v>
      </c>
      <c r="AG73" s="277">
        <f t="shared" si="123"/>
        <v>0</v>
      </c>
      <c r="AI73" s="444">
        <f t="shared" si="168"/>
        <v>0</v>
      </c>
      <c r="AJ73" s="1090"/>
      <c r="AK73" s="489"/>
      <c r="AL73" s="811">
        <f t="shared" si="125"/>
        <v>46070</v>
      </c>
      <c r="AM73" s="666">
        <f>IFERROR(IF(AND(AT73="",AR73&lt;&gt;S.CAL!$BJ$3,AR73&lt;&gt;S.CAL!$BJ$4,$AR$50="NON"),M73-BD73,IF(AND(AT73="",AR73&lt;&gt;S.CAL!$BJ$3,AR73&lt;&gt;S.CAL!$BJ$4,$AR$50="OUI"),X73-AI73,IF(AT73&lt;&gt;0,AT73,IF(OR(AR73=S.CAL!$BJ$3,AR73=S.CAL!$BJ$4),AR73,"")))),"")</f>
        <v>0</v>
      </c>
      <c r="AN73" s="1093"/>
      <c r="AO73" s="1094"/>
      <c r="AP73" s="666">
        <f>+IF(AND(AU73="",BB73="OUI",BH73="non",BI73="OUI"),AM73,IF(AND(AU73="",BB73="OUI",BH73="oui",BI73="NON"),AM73,IF(AND(AU73="",BB73="NON",BH73="oui",BI73="NON"),M73,IF(AND(AU73="",BB73="NON",BH73="non",BI73="OUI"),M73,IF(AND(AU73="",BB73="OUI",BH73="non",BI73="NON"),"ERREUR",IF(AND(AU73="",BB73="NON",BH73="non",BI73="NON"),AM73,IF(AND(AU73="",BB73="OUI",BH73="",BI73=""),AM73,IF(AND(AU73="",BB73="NON",BH73="",BI73="",AZ73="NON"),M73,IF(AND(AU73="",BH73="",AZ73="OUI",AR73=""),AM73,IF(AND(AU73="",BH73="",AZ73="NON",AR73="",AT73=""),M73,IF(AND(OR(AR73=S.CAL!$BJ$3,AR73=S.CAL!$BJ$4),(VLOOKUP($AM$50,base_nbre_sem_mensu,2,FALSE)=52)),EE73,IF(AND(OR(AR73=S.CAL!$BJ$3,AR73=S.CAL!$BJ$4),(VLOOKUP($AM$50,base_nbre_sem_mensu,2,FALSE)&lt;52)),AM73,IF(AND(AT73&lt;&gt;"",AU73=""),AT73,AU73)))))))))))))</f>
        <v>0</v>
      </c>
      <c r="AQ73" s="498">
        <f t="shared" si="145"/>
        <v>0</v>
      </c>
      <c r="AR73" s="1098"/>
      <c r="AT73" s="1101"/>
      <c r="AU73" s="813"/>
      <c r="AV73" s="1370">
        <f t="shared" si="126"/>
        <v>46070</v>
      </c>
      <c r="AX73" s="511">
        <f t="shared" si="146"/>
        <v>46070</v>
      </c>
      <c r="AY73" s="523">
        <f t="shared" si="147"/>
        <v>0</v>
      </c>
      <c r="AZ73" s="520" t="s">
        <v>137</v>
      </c>
      <c r="BA73" s="516">
        <f t="shared" si="148"/>
        <v>0</v>
      </c>
      <c r="BB73" s="549" t="str">
        <f t="shared" si="127"/>
        <v/>
      </c>
      <c r="BC73" s="523">
        <f t="shared" si="149"/>
        <v>0</v>
      </c>
      <c r="BD73" s="523">
        <f t="shared" si="150"/>
        <v>0</v>
      </c>
      <c r="BE73" s="1104"/>
      <c r="BF73" s="514" t="str">
        <f t="shared" si="128"/>
        <v/>
      </c>
      <c r="BG73" s="514" t="str">
        <f t="shared" si="151"/>
        <v>oui</v>
      </c>
      <c r="BH73" s="377" t="str">
        <f t="shared" si="129"/>
        <v/>
      </c>
      <c r="BI73" s="24" t="str">
        <f t="shared" si="130"/>
        <v/>
      </c>
      <c r="BJ73" s="1381"/>
      <c r="BK73" s="1381"/>
      <c r="BL73" s="1381"/>
      <c r="BM73" s="1381"/>
      <c r="BN73" s="1381"/>
      <c r="BO73" s="1381"/>
      <c r="BP73" s="1381"/>
      <c r="BQ73" s="1381"/>
      <c r="BS73" s="1370">
        <f t="shared" si="97"/>
        <v>46070</v>
      </c>
      <c r="BT73" s="27" t="str">
        <f t="shared" si="159"/>
        <v/>
      </c>
      <c r="BU73" s="1380"/>
      <c r="BV73" s="1380"/>
      <c r="BW73" s="1380"/>
      <c r="BX73" s="1380"/>
      <c r="BY73" s="1380"/>
      <c r="BZ73" s="1380"/>
      <c r="CA73" s="1380"/>
      <c r="CB73" s="1380"/>
      <c r="CD73" s="1386">
        <f t="shared" si="152"/>
        <v>0</v>
      </c>
      <c r="DC73" s="16" t="str">
        <f>Février!FC36</f>
        <v>non</v>
      </c>
      <c r="DG73" s="315">
        <f t="shared" si="153"/>
        <v>1</v>
      </c>
      <c r="DH73" s="129">
        <f t="shared" si="131"/>
        <v>10</v>
      </c>
      <c r="DI73" s="129">
        <f t="shared" si="154"/>
        <v>1</v>
      </c>
      <c r="DK73" s="16">
        <f>+IF(AND(Février!$DP$8&lt;&gt;52,AR73=S.CAL!$BJ$4),10,1)</f>
        <v>1</v>
      </c>
      <c r="DN73" s="16">
        <f t="shared" si="132"/>
        <v>1</v>
      </c>
      <c r="DU73" s="1274" t="str">
        <f t="shared" si="155"/>
        <v>Fiche infoA246070</v>
      </c>
      <c r="DV73" s="1362">
        <f t="shared" si="133"/>
        <v>0</v>
      </c>
      <c r="DW73" s="1363">
        <f t="shared" si="134"/>
        <v>0</v>
      </c>
      <c r="DX73" s="1363">
        <f t="shared" si="135"/>
        <v>0</v>
      </c>
      <c r="DY73" s="1363">
        <f t="shared" si="136"/>
        <v>0</v>
      </c>
      <c r="DZ73" s="1363">
        <f t="shared" si="137"/>
        <v>0</v>
      </c>
      <c r="EA73" s="1363">
        <f t="shared" si="138"/>
        <v>0</v>
      </c>
      <c r="EB73" s="1363">
        <f t="shared" si="139"/>
        <v>0</v>
      </c>
      <c r="EC73" s="1363">
        <f t="shared" si="140"/>
        <v>0</v>
      </c>
      <c r="ED73" s="1363">
        <f t="shared" si="156"/>
        <v>0</v>
      </c>
      <c r="EE73" s="1364">
        <f t="shared" si="157"/>
        <v>0</v>
      </c>
      <c r="EG73" s="16" t="str">
        <f t="shared" si="158"/>
        <v>82026</v>
      </c>
      <c r="EH73" s="16" t="str">
        <f t="shared" si="141"/>
        <v>Fiche infoA2</v>
      </c>
      <c r="EI73" s="16" t="str">
        <f t="shared" si="142"/>
        <v/>
      </c>
    </row>
    <row r="74" spans="1:139" x14ac:dyDescent="0.2">
      <c r="A74" s="1373" t="str">
        <f>Février!BJ37</f>
        <v>Fiche infoA3</v>
      </c>
      <c r="B74" s="811">
        <f>Février!AB37</f>
        <v>46071</v>
      </c>
      <c r="C74" s="1372"/>
      <c r="D74" s="981">
        <f t="shared" si="98"/>
        <v>0</v>
      </c>
      <c r="E74" s="434">
        <f t="shared" si="99"/>
        <v>0</v>
      </c>
      <c r="F74" s="434">
        <f t="shared" si="100"/>
        <v>0</v>
      </c>
      <c r="G74" s="434">
        <f t="shared" si="101"/>
        <v>0</v>
      </c>
      <c r="H74" s="434">
        <f t="shared" si="102"/>
        <v>0</v>
      </c>
      <c r="I74" s="434">
        <f t="shared" si="103"/>
        <v>0</v>
      </c>
      <c r="J74" s="434">
        <f t="shared" si="104"/>
        <v>0</v>
      </c>
      <c r="K74" s="434">
        <f t="shared" si="105"/>
        <v>0</v>
      </c>
      <c r="L74" s="434">
        <f t="shared" si="143"/>
        <v>0</v>
      </c>
      <c r="M74" s="982">
        <f t="shared" si="144"/>
        <v>0</v>
      </c>
      <c r="N74" s="1374"/>
      <c r="O74" s="981">
        <f t="shared" si="160"/>
        <v>0</v>
      </c>
      <c r="P74" s="434">
        <f t="shared" si="161"/>
        <v>0</v>
      </c>
      <c r="Q74" s="434">
        <f t="shared" si="162"/>
        <v>0</v>
      </c>
      <c r="R74" s="434">
        <f t="shared" si="163"/>
        <v>0</v>
      </c>
      <c r="S74" s="434">
        <f t="shared" si="164"/>
        <v>0</v>
      </c>
      <c r="T74" s="434">
        <f t="shared" si="165"/>
        <v>0</v>
      </c>
      <c r="U74" s="434">
        <f t="shared" si="166"/>
        <v>0</v>
      </c>
      <c r="V74" s="434">
        <f t="shared" si="167"/>
        <v>0</v>
      </c>
      <c r="W74" s="434">
        <f t="shared" si="114"/>
        <v>0</v>
      </c>
      <c r="X74" s="982">
        <f t="shared" si="115"/>
        <v>0</v>
      </c>
      <c r="Y74" s="1375"/>
      <c r="Z74" s="1376">
        <f t="shared" si="116"/>
        <v>0</v>
      </c>
      <c r="AA74" s="1376">
        <f t="shared" si="117"/>
        <v>0</v>
      </c>
      <c r="AB74" s="1376">
        <f t="shared" si="118"/>
        <v>0</v>
      </c>
      <c r="AC74" s="1376">
        <f t="shared" si="119"/>
        <v>0</v>
      </c>
      <c r="AD74" s="1376">
        <f t="shared" si="120"/>
        <v>0</v>
      </c>
      <c r="AE74" s="1376">
        <f t="shared" si="121"/>
        <v>0</v>
      </c>
      <c r="AF74" s="1376">
        <f t="shared" si="122"/>
        <v>0</v>
      </c>
      <c r="AG74" s="1376">
        <f t="shared" si="123"/>
        <v>0</v>
      </c>
      <c r="AH74" s="1374"/>
      <c r="AI74" s="444">
        <f t="shared" si="168"/>
        <v>0</v>
      </c>
      <c r="AJ74" s="1090"/>
      <c r="AK74" s="1377"/>
      <c r="AL74" s="811">
        <f t="shared" si="125"/>
        <v>46071</v>
      </c>
      <c r="AM74" s="666">
        <f>IFERROR(IF(AND(AT74="",AR74&lt;&gt;S.CAL!$BJ$3,AR74&lt;&gt;S.CAL!$BJ$4,$AR$50="NON"),M74-BD74,IF(AND(AT74="",AR74&lt;&gt;S.CAL!$BJ$3,AR74&lt;&gt;S.CAL!$BJ$4,$AR$50="OUI"),X74-AI74,IF(AT74&lt;&gt;0,AT74,IF(OR(AR74=S.CAL!$BJ$3,AR74=S.CAL!$BJ$4),AR74,"")))),"")</f>
        <v>0</v>
      </c>
      <c r="AN74" s="1093"/>
      <c r="AO74" s="1094"/>
      <c r="AP74" s="666">
        <f>+IF(AND(AU74="",BB74="OUI",BH74="non",BI74="OUI"),AM74,IF(AND(AU74="",BB74="OUI",BH74="oui",BI74="NON"),AM74,IF(AND(AU74="",BB74="NON",BH74="oui",BI74="NON"),M74,IF(AND(AU74="",BB74="NON",BH74="non",BI74="OUI"),M74,IF(AND(AU74="",BB74="OUI",BH74="non",BI74="NON"),"ERREUR",IF(AND(AU74="",BB74="NON",BH74="non",BI74="NON"),AM74,IF(AND(AU74="",BB74="OUI",BH74="",BI74=""),AM74,IF(AND(AU74="",BB74="NON",BH74="",BI74="",AZ74="NON"),M74,IF(AND(AU74="",BH74="",AZ74="OUI",AR74=""),AM74,IF(AND(AU74="",BH74="",AZ74="NON",AR74="",AT74=""),M74,IF(AND(OR(AR74=S.CAL!$BJ$3,AR74=S.CAL!$BJ$4),(VLOOKUP($AM$50,base_nbre_sem_mensu,2,FALSE)=52)),EE74,IF(AND(OR(AR74=S.CAL!$BJ$3,AR74=S.CAL!$BJ$4),(VLOOKUP($AM$50,base_nbre_sem_mensu,2,FALSE)&lt;52)),AM74,IF(AND(AT74&lt;&gt;"",AU74=""),AT74,AU74)))))))))))))</f>
        <v>0</v>
      </c>
      <c r="AQ74" s="1378">
        <f t="shared" si="145"/>
        <v>0</v>
      </c>
      <c r="AR74" s="1098"/>
      <c r="AS74" s="1374"/>
      <c r="AT74" s="1101"/>
      <c r="AU74" s="813"/>
      <c r="AV74" s="1370">
        <f t="shared" si="126"/>
        <v>46071</v>
      </c>
      <c r="AW74" s="1374"/>
      <c r="AX74" s="511">
        <f t="shared" si="146"/>
        <v>46071</v>
      </c>
      <c r="AY74" s="523">
        <f t="shared" si="147"/>
        <v>0</v>
      </c>
      <c r="AZ74" s="520" t="s">
        <v>137</v>
      </c>
      <c r="BA74" s="516">
        <f t="shared" si="148"/>
        <v>0</v>
      </c>
      <c r="BB74" s="549" t="str">
        <f t="shared" si="127"/>
        <v/>
      </c>
      <c r="BC74" s="523">
        <f t="shared" si="149"/>
        <v>0</v>
      </c>
      <c r="BD74" s="523">
        <f t="shared" si="150"/>
        <v>0</v>
      </c>
      <c r="BE74" s="1104"/>
      <c r="BF74" s="514" t="str">
        <f t="shared" si="128"/>
        <v/>
      </c>
      <c r="BG74" s="514" t="str">
        <f t="shared" si="151"/>
        <v>oui</v>
      </c>
      <c r="BH74" s="377" t="str">
        <f t="shared" si="129"/>
        <v/>
      </c>
      <c r="BI74" s="24" t="str">
        <f t="shared" si="130"/>
        <v/>
      </c>
      <c r="BJ74" s="1382"/>
      <c r="BK74" s="1382"/>
      <c r="BL74" s="1382"/>
      <c r="BM74" s="1382"/>
      <c r="BN74" s="1382"/>
      <c r="BO74" s="1382"/>
      <c r="BP74" s="1382"/>
      <c r="BQ74" s="1382"/>
      <c r="BR74" s="1383"/>
      <c r="BS74" s="1370">
        <f t="shared" si="97"/>
        <v>46071</v>
      </c>
      <c r="BT74" s="1384" t="str">
        <f t="shared" si="159"/>
        <v/>
      </c>
      <c r="BU74" s="1382"/>
      <c r="BV74" s="1382"/>
      <c r="BW74" s="1382"/>
      <c r="BX74" s="1382"/>
      <c r="BY74" s="1382"/>
      <c r="BZ74" s="1382"/>
      <c r="CA74" s="1382"/>
      <c r="CB74" s="1382"/>
      <c r="CD74" s="1386">
        <f t="shared" si="152"/>
        <v>0</v>
      </c>
      <c r="DC74" s="16" t="str">
        <f>Février!FC37</f>
        <v>non</v>
      </c>
      <c r="DG74" s="315">
        <f t="shared" si="153"/>
        <v>1</v>
      </c>
      <c r="DH74" s="129">
        <f t="shared" si="131"/>
        <v>10</v>
      </c>
      <c r="DI74" s="129">
        <f t="shared" si="154"/>
        <v>1</v>
      </c>
      <c r="DK74" s="16">
        <f>+IF(AND(Février!$DP$8&lt;&gt;52,AR74=S.CAL!$BJ$4),10,1)</f>
        <v>1</v>
      </c>
      <c r="DN74" s="16">
        <f t="shared" si="132"/>
        <v>1</v>
      </c>
      <c r="DU74" s="1274" t="str">
        <f t="shared" si="155"/>
        <v>Fiche infoA346071</v>
      </c>
      <c r="DV74" s="1362">
        <f t="shared" si="133"/>
        <v>0</v>
      </c>
      <c r="DW74" s="1363">
        <f t="shared" si="134"/>
        <v>0</v>
      </c>
      <c r="DX74" s="1363">
        <f t="shared" si="135"/>
        <v>0</v>
      </c>
      <c r="DY74" s="1363">
        <f t="shared" si="136"/>
        <v>0</v>
      </c>
      <c r="DZ74" s="1363">
        <f t="shared" si="137"/>
        <v>0</v>
      </c>
      <c r="EA74" s="1363">
        <f t="shared" si="138"/>
        <v>0</v>
      </c>
      <c r="EB74" s="1363">
        <f t="shared" si="139"/>
        <v>0</v>
      </c>
      <c r="EC74" s="1363">
        <f t="shared" si="140"/>
        <v>0</v>
      </c>
      <c r="ED74" s="1363">
        <f t="shared" si="156"/>
        <v>0</v>
      </c>
      <c r="EE74" s="1364">
        <f t="shared" si="157"/>
        <v>0</v>
      </c>
      <c r="EG74" s="16" t="str">
        <f t="shared" si="158"/>
        <v>82026</v>
      </c>
      <c r="EH74" s="16" t="str">
        <f t="shared" si="141"/>
        <v>Fiche infoA3</v>
      </c>
      <c r="EI74" s="16" t="str">
        <f t="shared" si="142"/>
        <v/>
      </c>
    </row>
    <row r="75" spans="1:139" x14ac:dyDescent="0.2">
      <c r="A75" s="24" t="str">
        <f>Février!BJ38</f>
        <v>Fiche infoA4</v>
      </c>
      <c r="B75" s="811">
        <f>Février!AB38</f>
        <v>46072</v>
      </c>
      <c r="C75" s="1371"/>
      <c r="D75" s="981">
        <f t="shared" si="98"/>
        <v>0</v>
      </c>
      <c r="E75" s="434">
        <f t="shared" si="99"/>
        <v>0</v>
      </c>
      <c r="F75" s="434">
        <f t="shared" si="100"/>
        <v>0</v>
      </c>
      <c r="G75" s="434">
        <f t="shared" si="101"/>
        <v>0</v>
      </c>
      <c r="H75" s="434">
        <f t="shared" si="102"/>
        <v>0</v>
      </c>
      <c r="I75" s="434">
        <f t="shared" si="103"/>
        <v>0</v>
      </c>
      <c r="J75" s="434">
        <f t="shared" si="104"/>
        <v>0</v>
      </c>
      <c r="K75" s="434">
        <f t="shared" si="105"/>
        <v>0</v>
      </c>
      <c r="L75" s="434">
        <f t="shared" si="143"/>
        <v>0</v>
      </c>
      <c r="M75" s="982">
        <f t="shared" si="144"/>
        <v>0</v>
      </c>
      <c r="O75" s="981">
        <f t="shared" si="160"/>
        <v>0</v>
      </c>
      <c r="P75" s="434">
        <f t="shared" si="161"/>
        <v>0</v>
      </c>
      <c r="Q75" s="434">
        <f t="shared" si="162"/>
        <v>0</v>
      </c>
      <c r="R75" s="434">
        <f t="shared" si="163"/>
        <v>0</v>
      </c>
      <c r="S75" s="434">
        <f t="shared" si="164"/>
        <v>0</v>
      </c>
      <c r="T75" s="434">
        <f t="shared" si="165"/>
        <v>0</v>
      </c>
      <c r="U75" s="434">
        <f t="shared" si="166"/>
        <v>0</v>
      </c>
      <c r="V75" s="434">
        <f t="shared" si="167"/>
        <v>0</v>
      </c>
      <c r="W75" s="434">
        <f t="shared" si="114"/>
        <v>0</v>
      </c>
      <c r="X75" s="982">
        <f t="shared" si="115"/>
        <v>0</v>
      </c>
      <c r="Y75" s="441"/>
      <c r="Z75" s="277">
        <f t="shared" si="116"/>
        <v>0</v>
      </c>
      <c r="AA75" s="277">
        <f t="shared" si="117"/>
        <v>0</v>
      </c>
      <c r="AB75" s="277">
        <f t="shared" si="118"/>
        <v>0</v>
      </c>
      <c r="AC75" s="277">
        <f t="shared" si="119"/>
        <v>0</v>
      </c>
      <c r="AD75" s="277">
        <f t="shared" si="120"/>
        <v>0</v>
      </c>
      <c r="AE75" s="277">
        <f t="shared" si="121"/>
        <v>0</v>
      </c>
      <c r="AF75" s="277">
        <f t="shared" si="122"/>
        <v>0</v>
      </c>
      <c r="AG75" s="277">
        <f t="shared" si="123"/>
        <v>0</v>
      </c>
      <c r="AI75" s="444">
        <f t="shared" si="168"/>
        <v>0</v>
      </c>
      <c r="AJ75" s="1090"/>
      <c r="AK75" s="489"/>
      <c r="AL75" s="811">
        <f t="shared" si="125"/>
        <v>46072</v>
      </c>
      <c r="AM75" s="666">
        <f>IFERROR(IF(AND(AT75="",AR75&lt;&gt;S.CAL!$BJ$3,AR75&lt;&gt;S.CAL!$BJ$4,$AR$50="NON"),M75-BD75,IF(AND(AT75="",AR75&lt;&gt;S.CAL!$BJ$3,AR75&lt;&gt;S.CAL!$BJ$4,$AR$50="OUI"),X75-AI75,IF(AT75&lt;&gt;0,AT75,IF(OR(AR75=S.CAL!$BJ$3,AR75=S.CAL!$BJ$4),AR75,"")))),"")</f>
        <v>0</v>
      </c>
      <c r="AN75" s="1093"/>
      <c r="AO75" s="1094"/>
      <c r="AP75" s="666">
        <f>+IF(AND(AU75="",BB75="OUI",BH75="non",BI75="OUI"),AM75,IF(AND(AU75="",BB75="OUI",BH75="oui",BI75="NON"),AM75,IF(AND(AU75="",BB75="NON",BH75="oui",BI75="NON"),M75,IF(AND(AU75="",BB75="NON",BH75="non",BI75="OUI"),M75,IF(AND(AU75="",BB75="OUI",BH75="non",BI75="NON"),"ERREUR",IF(AND(AU75="",BB75="NON",BH75="non",BI75="NON"),AM75,IF(AND(AU75="",BB75="OUI",BH75="",BI75=""),AM75,IF(AND(AU75="",BB75="NON",BH75="",BI75="",AZ75="NON"),M75,IF(AND(AU75="",BH75="",AZ75="OUI",AR75=""),AM75,IF(AND(AU75="",BH75="",AZ75="NON",AR75="",AT75=""),M75,IF(AND(OR(AR75=S.CAL!$BJ$3,AR75=S.CAL!$BJ$4),(VLOOKUP($AM$50,base_nbre_sem_mensu,2,FALSE)=52)),EE75,IF(AND(OR(AR75=S.CAL!$BJ$3,AR75=S.CAL!$BJ$4),(VLOOKUP($AM$50,base_nbre_sem_mensu,2,FALSE)&lt;52)),AM75,IF(AND(AT75&lt;&gt;"",AU75=""),AT75,AU75)))))))))))))</f>
        <v>0</v>
      </c>
      <c r="AQ75" s="498">
        <f t="shared" si="145"/>
        <v>0</v>
      </c>
      <c r="AR75" s="1098"/>
      <c r="AT75" s="1101"/>
      <c r="AU75" s="813"/>
      <c r="AV75" s="1370">
        <f t="shared" si="126"/>
        <v>46072</v>
      </c>
      <c r="AX75" s="511">
        <f t="shared" si="146"/>
        <v>46072</v>
      </c>
      <c r="AY75" s="523">
        <f t="shared" si="147"/>
        <v>0</v>
      </c>
      <c r="AZ75" s="520" t="s">
        <v>137</v>
      </c>
      <c r="BA75" s="516">
        <f t="shared" si="148"/>
        <v>0</v>
      </c>
      <c r="BB75" s="549" t="str">
        <f t="shared" si="127"/>
        <v/>
      </c>
      <c r="BC75" s="523">
        <f t="shared" si="149"/>
        <v>0</v>
      </c>
      <c r="BD75" s="523">
        <f t="shared" si="150"/>
        <v>0</v>
      </c>
      <c r="BE75" s="1104"/>
      <c r="BF75" s="514" t="str">
        <f t="shared" si="128"/>
        <v/>
      </c>
      <c r="BG75" s="514" t="str">
        <f t="shared" si="151"/>
        <v>oui</v>
      </c>
      <c r="BH75" s="377" t="str">
        <f t="shared" si="129"/>
        <v/>
      </c>
      <c r="BI75" s="24" t="str">
        <f t="shared" si="130"/>
        <v/>
      </c>
      <c r="BJ75" s="1381"/>
      <c r="BK75" s="1381"/>
      <c r="BL75" s="1381"/>
      <c r="BM75" s="1381"/>
      <c r="BN75" s="1381"/>
      <c r="BO75" s="1381"/>
      <c r="BP75" s="1381"/>
      <c r="BQ75" s="1381"/>
      <c r="BS75" s="1370">
        <f t="shared" si="97"/>
        <v>46072</v>
      </c>
      <c r="BT75" s="27" t="str">
        <f t="shared" si="159"/>
        <v/>
      </c>
      <c r="BU75" s="1380"/>
      <c r="BV75" s="1380"/>
      <c r="BW75" s="1380"/>
      <c r="BX75" s="1380"/>
      <c r="BY75" s="1380"/>
      <c r="BZ75" s="1380"/>
      <c r="CA75" s="1380"/>
      <c r="CB75" s="1380"/>
      <c r="CD75" s="1386">
        <f t="shared" si="152"/>
        <v>0</v>
      </c>
      <c r="DC75" s="16" t="str">
        <f>Février!FC38</f>
        <v>non</v>
      </c>
      <c r="DG75" s="315">
        <f t="shared" si="153"/>
        <v>1</v>
      </c>
      <c r="DH75" s="129">
        <f t="shared" si="131"/>
        <v>10</v>
      </c>
      <c r="DI75" s="129">
        <f t="shared" si="154"/>
        <v>1</v>
      </c>
      <c r="DK75" s="16">
        <f>+IF(AND(Février!$DP$8&lt;&gt;52,AR75=S.CAL!$BJ$4),10,1)</f>
        <v>1</v>
      </c>
      <c r="DN75" s="16">
        <f t="shared" si="132"/>
        <v>1</v>
      </c>
      <c r="DU75" s="1274" t="str">
        <f t="shared" si="155"/>
        <v>Fiche infoA446072</v>
      </c>
      <c r="DV75" s="1362">
        <f t="shared" si="133"/>
        <v>0</v>
      </c>
      <c r="DW75" s="1363">
        <f t="shared" si="134"/>
        <v>0</v>
      </c>
      <c r="DX75" s="1363">
        <f t="shared" si="135"/>
        <v>0</v>
      </c>
      <c r="DY75" s="1363">
        <f t="shared" si="136"/>
        <v>0</v>
      </c>
      <c r="DZ75" s="1363">
        <f t="shared" si="137"/>
        <v>0</v>
      </c>
      <c r="EA75" s="1363">
        <f t="shared" si="138"/>
        <v>0</v>
      </c>
      <c r="EB75" s="1363">
        <f t="shared" si="139"/>
        <v>0</v>
      </c>
      <c r="EC75" s="1363">
        <f t="shared" si="140"/>
        <v>0</v>
      </c>
      <c r="ED75" s="1363">
        <f t="shared" si="156"/>
        <v>0</v>
      </c>
      <c r="EE75" s="1364">
        <f t="shared" si="157"/>
        <v>0</v>
      </c>
      <c r="EG75" s="16" t="str">
        <f t="shared" si="158"/>
        <v>82026</v>
      </c>
      <c r="EH75" s="16" t="str">
        <f t="shared" si="141"/>
        <v>Fiche infoA4</v>
      </c>
      <c r="EI75" s="16" t="str">
        <f t="shared" si="142"/>
        <v/>
      </c>
    </row>
    <row r="76" spans="1:139" x14ac:dyDescent="0.2">
      <c r="A76" s="1373" t="str">
        <f>Février!BJ39</f>
        <v>Fiche infoA5</v>
      </c>
      <c r="B76" s="811">
        <f>Février!AB39</f>
        <v>46073</v>
      </c>
      <c r="C76" s="1372"/>
      <c r="D76" s="981">
        <f t="shared" si="98"/>
        <v>0</v>
      </c>
      <c r="E76" s="434">
        <f t="shared" si="99"/>
        <v>0</v>
      </c>
      <c r="F76" s="434">
        <f t="shared" si="100"/>
        <v>0</v>
      </c>
      <c r="G76" s="434">
        <f t="shared" si="101"/>
        <v>0</v>
      </c>
      <c r="H76" s="434">
        <f t="shared" si="102"/>
        <v>0</v>
      </c>
      <c r="I76" s="434">
        <f t="shared" si="103"/>
        <v>0</v>
      </c>
      <c r="J76" s="434">
        <f t="shared" si="104"/>
        <v>0</v>
      </c>
      <c r="K76" s="434">
        <f t="shared" si="105"/>
        <v>0</v>
      </c>
      <c r="L76" s="434">
        <f t="shared" si="143"/>
        <v>0</v>
      </c>
      <c r="M76" s="982">
        <f t="shared" si="144"/>
        <v>0</v>
      </c>
      <c r="N76" s="1374"/>
      <c r="O76" s="981">
        <f t="shared" si="160"/>
        <v>0</v>
      </c>
      <c r="P76" s="434">
        <f t="shared" si="161"/>
        <v>0</v>
      </c>
      <c r="Q76" s="434">
        <f t="shared" si="162"/>
        <v>0</v>
      </c>
      <c r="R76" s="434">
        <f t="shared" si="163"/>
        <v>0</v>
      </c>
      <c r="S76" s="434">
        <f t="shared" si="164"/>
        <v>0</v>
      </c>
      <c r="T76" s="434">
        <f t="shared" si="165"/>
        <v>0</v>
      </c>
      <c r="U76" s="434">
        <f t="shared" si="166"/>
        <v>0</v>
      </c>
      <c r="V76" s="434">
        <f t="shared" si="167"/>
        <v>0</v>
      </c>
      <c r="W76" s="434">
        <f t="shared" si="114"/>
        <v>0</v>
      </c>
      <c r="X76" s="982">
        <f t="shared" si="115"/>
        <v>0</v>
      </c>
      <c r="Y76" s="1375"/>
      <c r="Z76" s="1376">
        <f t="shared" si="116"/>
        <v>0</v>
      </c>
      <c r="AA76" s="1376">
        <f t="shared" si="117"/>
        <v>0</v>
      </c>
      <c r="AB76" s="1376">
        <f t="shared" si="118"/>
        <v>0</v>
      </c>
      <c r="AC76" s="1376">
        <f t="shared" si="119"/>
        <v>0</v>
      </c>
      <c r="AD76" s="1376">
        <f t="shared" si="120"/>
        <v>0</v>
      </c>
      <c r="AE76" s="1376">
        <f t="shared" si="121"/>
        <v>0</v>
      </c>
      <c r="AF76" s="1376">
        <f t="shared" si="122"/>
        <v>0</v>
      </c>
      <c r="AG76" s="1376">
        <f t="shared" si="123"/>
        <v>0</v>
      </c>
      <c r="AH76" s="1374"/>
      <c r="AI76" s="444">
        <f t="shared" si="168"/>
        <v>0</v>
      </c>
      <c r="AJ76" s="1090"/>
      <c r="AK76" s="1377"/>
      <c r="AL76" s="811">
        <f t="shared" si="125"/>
        <v>46073</v>
      </c>
      <c r="AM76" s="666">
        <f>IFERROR(IF(AND(AT76="",AR76&lt;&gt;S.CAL!$BJ$3,AR76&lt;&gt;S.CAL!$BJ$4,$AR$50="NON"),M76-BD76,IF(AND(AT76="",AR76&lt;&gt;S.CAL!$BJ$3,AR76&lt;&gt;S.CAL!$BJ$4,$AR$50="OUI"),X76-AI76,IF(AT76&lt;&gt;0,AT76,IF(OR(AR76=S.CAL!$BJ$3,AR76=S.CAL!$BJ$4),AR76,"")))),"")</f>
        <v>0</v>
      </c>
      <c r="AN76" s="1093"/>
      <c r="AO76" s="1094"/>
      <c r="AP76" s="666">
        <f>+IF(AND(AU76="",BB76="OUI",BH76="non",BI76="OUI"),AM76,IF(AND(AU76="",BB76="OUI",BH76="oui",BI76="NON"),AM76,IF(AND(AU76="",BB76="NON",BH76="oui",BI76="NON"),M76,IF(AND(AU76="",BB76="NON",BH76="non",BI76="OUI"),M76,IF(AND(AU76="",BB76="OUI",BH76="non",BI76="NON"),"ERREUR",IF(AND(AU76="",BB76="NON",BH76="non",BI76="NON"),AM76,IF(AND(AU76="",BB76="OUI",BH76="",BI76=""),AM76,IF(AND(AU76="",BB76="NON",BH76="",BI76="",AZ76="NON"),M76,IF(AND(AU76="",BH76="",AZ76="OUI",AR76=""),AM76,IF(AND(AU76="",BH76="",AZ76="NON",AR76="",AT76=""),M76,IF(AND(OR(AR76=S.CAL!$BJ$3,AR76=S.CAL!$BJ$4),(VLOOKUP($AM$50,base_nbre_sem_mensu,2,FALSE)=52)),EE76,IF(AND(OR(AR76=S.CAL!$BJ$3,AR76=S.CAL!$BJ$4),(VLOOKUP($AM$50,base_nbre_sem_mensu,2,FALSE)&lt;52)),AM76,IF(AND(AT76&lt;&gt;"",AU76=""),AT76,AU76)))))))))))))</f>
        <v>0</v>
      </c>
      <c r="AQ76" s="1378">
        <f t="shared" si="145"/>
        <v>0</v>
      </c>
      <c r="AR76" s="1098"/>
      <c r="AS76" s="1374"/>
      <c r="AT76" s="1101"/>
      <c r="AU76" s="813"/>
      <c r="AV76" s="1370">
        <f t="shared" si="126"/>
        <v>46073</v>
      </c>
      <c r="AW76" s="1374"/>
      <c r="AX76" s="511">
        <f t="shared" si="146"/>
        <v>46073</v>
      </c>
      <c r="AY76" s="523">
        <f t="shared" si="147"/>
        <v>0</v>
      </c>
      <c r="AZ76" s="520" t="s">
        <v>137</v>
      </c>
      <c r="BA76" s="516">
        <f t="shared" si="148"/>
        <v>0</v>
      </c>
      <c r="BB76" s="549" t="str">
        <f t="shared" si="127"/>
        <v/>
      </c>
      <c r="BC76" s="523">
        <f t="shared" si="149"/>
        <v>0</v>
      </c>
      <c r="BD76" s="523">
        <f t="shared" si="150"/>
        <v>0</v>
      </c>
      <c r="BE76" s="1104"/>
      <c r="BF76" s="514" t="str">
        <f t="shared" si="128"/>
        <v/>
      </c>
      <c r="BG76" s="514" t="str">
        <f t="shared" si="151"/>
        <v>oui</v>
      </c>
      <c r="BH76" s="377" t="str">
        <f t="shared" si="129"/>
        <v/>
      </c>
      <c r="BI76" s="24" t="str">
        <f t="shared" si="130"/>
        <v/>
      </c>
      <c r="BJ76" s="1382"/>
      <c r="BK76" s="1382"/>
      <c r="BL76" s="1382"/>
      <c r="BM76" s="1382"/>
      <c r="BN76" s="1382"/>
      <c r="BO76" s="1382"/>
      <c r="BP76" s="1382"/>
      <c r="BQ76" s="1382"/>
      <c r="BR76" s="1383"/>
      <c r="BS76" s="1370">
        <f t="shared" si="97"/>
        <v>46073</v>
      </c>
      <c r="BT76" s="1384" t="str">
        <f t="shared" si="159"/>
        <v/>
      </c>
      <c r="BU76" s="1382"/>
      <c r="BV76" s="1382"/>
      <c r="BW76" s="1382"/>
      <c r="BX76" s="1382"/>
      <c r="BY76" s="1382"/>
      <c r="BZ76" s="1382"/>
      <c r="CA76" s="1382"/>
      <c r="CB76" s="1382"/>
      <c r="CD76" s="1386">
        <f t="shared" si="152"/>
        <v>0</v>
      </c>
      <c r="DC76" s="16" t="str">
        <f>Février!FC39</f>
        <v>non</v>
      </c>
      <c r="DG76" s="315">
        <f t="shared" si="153"/>
        <v>1</v>
      </c>
      <c r="DH76" s="129">
        <f t="shared" si="131"/>
        <v>10</v>
      </c>
      <c r="DI76" s="129">
        <f t="shared" si="154"/>
        <v>1</v>
      </c>
      <c r="DK76" s="16">
        <f>+IF(AND(Février!$DP$8&lt;&gt;52,AR76=S.CAL!$BJ$4),10,1)</f>
        <v>1</v>
      </c>
      <c r="DN76" s="16">
        <f t="shared" si="132"/>
        <v>1</v>
      </c>
      <c r="DU76" s="1274" t="str">
        <f t="shared" si="155"/>
        <v>Fiche infoA546073</v>
      </c>
      <c r="DV76" s="1362">
        <f t="shared" si="133"/>
        <v>0</v>
      </c>
      <c r="DW76" s="1363">
        <f t="shared" si="134"/>
        <v>0</v>
      </c>
      <c r="DX76" s="1363">
        <f t="shared" si="135"/>
        <v>0</v>
      </c>
      <c r="DY76" s="1363">
        <f t="shared" si="136"/>
        <v>0</v>
      </c>
      <c r="DZ76" s="1363">
        <f t="shared" si="137"/>
        <v>0</v>
      </c>
      <c r="EA76" s="1363">
        <f t="shared" si="138"/>
        <v>0</v>
      </c>
      <c r="EB76" s="1363">
        <f t="shared" si="139"/>
        <v>0</v>
      </c>
      <c r="EC76" s="1363">
        <f t="shared" si="140"/>
        <v>0</v>
      </c>
      <c r="ED76" s="1363">
        <f t="shared" si="156"/>
        <v>0</v>
      </c>
      <c r="EE76" s="1364">
        <f t="shared" si="157"/>
        <v>0</v>
      </c>
      <c r="EG76" s="16" t="str">
        <f t="shared" si="158"/>
        <v>82026</v>
      </c>
      <c r="EH76" s="16" t="str">
        <f t="shared" si="141"/>
        <v>Fiche infoA5</v>
      </c>
      <c r="EI76" s="16" t="str">
        <f t="shared" si="142"/>
        <v/>
      </c>
    </row>
    <row r="77" spans="1:139" x14ac:dyDescent="0.2">
      <c r="A77" s="24" t="str">
        <f>Février!BJ40</f>
        <v>Fiche infoA6</v>
      </c>
      <c r="B77" s="811">
        <f>Février!AB40</f>
        <v>46074</v>
      </c>
      <c r="C77" s="1371"/>
      <c r="D77" s="981">
        <f t="shared" si="98"/>
        <v>0</v>
      </c>
      <c r="E77" s="434">
        <f t="shared" si="99"/>
        <v>0</v>
      </c>
      <c r="F77" s="434">
        <f t="shared" si="100"/>
        <v>0</v>
      </c>
      <c r="G77" s="434">
        <f t="shared" si="101"/>
        <v>0</v>
      </c>
      <c r="H77" s="434">
        <f t="shared" si="102"/>
        <v>0</v>
      </c>
      <c r="I77" s="434">
        <f t="shared" si="103"/>
        <v>0</v>
      </c>
      <c r="J77" s="434">
        <f t="shared" si="104"/>
        <v>0</v>
      </c>
      <c r="K77" s="434">
        <f t="shared" si="105"/>
        <v>0</v>
      </c>
      <c r="L77" s="434">
        <f t="shared" si="143"/>
        <v>0</v>
      </c>
      <c r="M77" s="982">
        <f t="shared" si="144"/>
        <v>0</v>
      </c>
      <c r="O77" s="981">
        <f t="shared" si="160"/>
        <v>0</v>
      </c>
      <c r="P77" s="434">
        <f t="shared" si="161"/>
        <v>0</v>
      </c>
      <c r="Q77" s="434">
        <f t="shared" si="162"/>
        <v>0</v>
      </c>
      <c r="R77" s="434">
        <f t="shared" si="163"/>
        <v>0</v>
      </c>
      <c r="S77" s="434">
        <f t="shared" si="164"/>
        <v>0</v>
      </c>
      <c r="T77" s="434">
        <f t="shared" si="165"/>
        <v>0</v>
      </c>
      <c r="U77" s="434">
        <f t="shared" si="166"/>
        <v>0</v>
      </c>
      <c r="V77" s="434">
        <f t="shared" si="167"/>
        <v>0</v>
      </c>
      <c r="W77" s="434">
        <f t="shared" si="114"/>
        <v>0</v>
      </c>
      <c r="X77" s="982">
        <f t="shared" si="115"/>
        <v>0</v>
      </c>
      <c r="Y77" s="441"/>
      <c r="Z77" s="277">
        <f t="shared" si="116"/>
        <v>0</v>
      </c>
      <c r="AA77" s="277">
        <f t="shared" si="117"/>
        <v>0</v>
      </c>
      <c r="AB77" s="277">
        <f t="shared" si="118"/>
        <v>0</v>
      </c>
      <c r="AC77" s="277">
        <f t="shared" si="119"/>
        <v>0</v>
      </c>
      <c r="AD77" s="277">
        <f t="shared" si="120"/>
        <v>0</v>
      </c>
      <c r="AE77" s="277">
        <f t="shared" si="121"/>
        <v>0</v>
      </c>
      <c r="AF77" s="277">
        <f t="shared" si="122"/>
        <v>0</v>
      </c>
      <c r="AG77" s="277">
        <f t="shared" si="123"/>
        <v>0</v>
      </c>
      <c r="AI77" s="444">
        <f t="shared" si="168"/>
        <v>0</v>
      </c>
      <c r="AJ77" s="1090"/>
      <c r="AK77" s="489"/>
      <c r="AL77" s="811">
        <f t="shared" si="125"/>
        <v>46074</v>
      </c>
      <c r="AM77" s="666">
        <f>IFERROR(IF(AND(AT77="",AR77&lt;&gt;S.CAL!$BJ$3,AR77&lt;&gt;S.CAL!$BJ$4,$AR$50="NON"),M77-BD77,IF(AND(AT77="",AR77&lt;&gt;S.CAL!$BJ$3,AR77&lt;&gt;S.CAL!$BJ$4,$AR$50="OUI"),X77-AI77,IF(AT77&lt;&gt;0,AT77,IF(OR(AR77=S.CAL!$BJ$3,AR77=S.CAL!$BJ$4),AR77,"")))),"")</f>
        <v>0</v>
      </c>
      <c r="AN77" s="1093"/>
      <c r="AO77" s="1094"/>
      <c r="AP77" s="666">
        <f>+IF(AND(AU77="",BB77="OUI",BH77="non",BI77="OUI"),AM77,IF(AND(AU77="",BB77="OUI",BH77="oui",BI77="NON"),AM77,IF(AND(AU77="",BB77="NON",BH77="oui",BI77="NON"),M77,IF(AND(AU77="",BB77="NON",BH77="non",BI77="OUI"),M77,IF(AND(AU77="",BB77="OUI",BH77="non",BI77="NON"),"ERREUR",IF(AND(AU77="",BB77="NON",BH77="non",BI77="NON"),AM77,IF(AND(AU77="",BB77="OUI",BH77="",BI77=""),AM77,IF(AND(AU77="",BB77="NON",BH77="",BI77="",AZ77="NON"),M77,IF(AND(AU77="",BH77="",AZ77="OUI",AR77=""),AM77,IF(AND(AU77="",BH77="",AZ77="NON",AR77="",AT77=""),M77,IF(AND(OR(AR77=S.CAL!$BJ$3,AR77=S.CAL!$BJ$4),(VLOOKUP($AM$50,base_nbre_sem_mensu,2,FALSE)=52)),EE77,IF(AND(OR(AR77=S.CAL!$BJ$3,AR77=S.CAL!$BJ$4),(VLOOKUP($AM$50,base_nbre_sem_mensu,2,FALSE)&lt;52)),AM77,IF(AND(AT77&lt;&gt;"",AU77=""),AT77,AU77)))))))))))))</f>
        <v>0</v>
      </c>
      <c r="AQ77" s="498">
        <f t="shared" si="145"/>
        <v>0</v>
      </c>
      <c r="AR77" s="1098"/>
      <c r="AT77" s="1101"/>
      <c r="AU77" s="813"/>
      <c r="AV77" s="1370">
        <f t="shared" si="126"/>
        <v>46074</v>
      </c>
      <c r="AX77" s="511">
        <f t="shared" si="146"/>
        <v>46074</v>
      </c>
      <c r="AY77" s="523">
        <f t="shared" si="147"/>
        <v>0</v>
      </c>
      <c r="AZ77" s="520" t="s">
        <v>137</v>
      </c>
      <c r="BA77" s="516">
        <f t="shared" si="148"/>
        <v>0</v>
      </c>
      <c r="BB77" s="549" t="str">
        <f t="shared" si="127"/>
        <v/>
      </c>
      <c r="BC77" s="523">
        <f t="shared" si="149"/>
        <v>0</v>
      </c>
      <c r="BD77" s="523">
        <f t="shared" si="150"/>
        <v>0</v>
      </c>
      <c r="BE77" s="1104"/>
      <c r="BF77" s="514" t="str">
        <f t="shared" si="128"/>
        <v/>
      </c>
      <c r="BG77" s="514" t="str">
        <f t="shared" si="151"/>
        <v>oui</v>
      </c>
      <c r="BH77" s="377" t="str">
        <f t="shared" si="129"/>
        <v/>
      </c>
      <c r="BI77" s="24" t="str">
        <f t="shared" si="130"/>
        <v/>
      </c>
      <c r="BJ77" s="1381"/>
      <c r="BK77" s="1381"/>
      <c r="BL77" s="1381"/>
      <c r="BM77" s="1381"/>
      <c r="BN77" s="1381"/>
      <c r="BO77" s="1381"/>
      <c r="BP77" s="1381"/>
      <c r="BQ77" s="1381"/>
      <c r="BS77" s="1370">
        <f t="shared" si="97"/>
        <v>46074</v>
      </c>
      <c r="BT77" s="27" t="str">
        <f t="shared" si="159"/>
        <v/>
      </c>
      <c r="BU77" s="1380"/>
      <c r="BV77" s="1380"/>
      <c r="BW77" s="1380"/>
      <c r="BX77" s="1380"/>
      <c r="BY77" s="1380"/>
      <c r="BZ77" s="1380"/>
      <c r="CA77" s="1380"/>
      <c r="CB77" s="1380"/>
      <c r="CD77" s="1386">
        <f t="shared" si="152"/>
        <v>0</v>
      </c>
      <c r="DC77" s="16" t="str">
        <f>Février!FC40</f>
        <v>non</v>
      </c>
      <c r="DG77" s="315">
        <f t="shared" si="153"/>
        <v>1</v>
      </c>
      <c r="DH77" s="129">
        <f t="shared" si="131"/>
        <v>10</v>
      </c>
      <c r="DI77" s="129">
        <f t="shared" si="154"/>
        <v>1</v>
      </c>
      <c r="DK77" s="16">
        <f>+IF(AND(Février!$DP$8&lt;&gt;52,AR77=S.CAL!$BJ$4),10,1)</f>
        <v>1</v>
      </c>
      <c r="DN77" s="16">
        <f t="shared" si="132"/>
        <v>1</v>
      </c>
      <c r="DU77" s="1274" t="str">
        <f t="shared" si="155"/>
        <v>Fiche infoA646074</v>
      </c>
      <c r="DV77" s="1362">
        <f t="shared" si="133"/>
        <v>0</v>
      </c>
      <c r="DW77" s="1363">
        <f t="shared" si="134"/>
        <v>0</v>
      </c>
      <c r="DX77" s="1363">
        <f t="shared" si="135"/>
        <v>0</v>
      </c>
      <c r="DY77" s="1363">
        <f t="shared" si="136"/>
        <v>0</v>
      </c>
      <c r="DZ77" s="1363">
        <f t="shared" si="137"/>
        <v>0</v>
      </c>
      <c r="EA77" s="1363">
        <f t="shared" si="138"/>
        <v>0</v>
      </c>
      <c r="EB77" s="1363">
        <f t="shared" si="139"/>
        <v>0</v>
      </c>
      <c r="EC77" s="1363">
        <f t="shared" si="140"/>
        <v>0</v>
      </c>
      <c r="ED77" s="1363">
        <f t="shared" si="156"/>
        <v>0</v>
      </c>
      <c r="EE77" s="1364">
        <f t="shared" si="157"/>
        <v>0</v>
      </c>
      <c r="EG77" s="16" t="str">
        <f t="shared" si="158"/>
        <v>82026</v>
      </c>
      <c r="EH77" s="16" t="str">
        <f t="shared" si="141"/>
        <v>Fiche infoA6</v>
      </c>
      <c r="EI77" s="16" t="str">
        <f t="shared" si="142"/>
        <v/>
      </c>
    </row>
    <row r="78" spans="1:139" x14ac:dyDescent="0.2">
      <c r="A78" s="1373" t="str">
        <f>Février!BJ41</f>
        <v>Fiche infoA7</v>
      </c>
      <c r="B78" s="811">
        <f>Février!AB41</f>
        <v>46075</v>
      </c>
      <c r="C78" s="1372"/>
      <c r="D78" s="981">
        <f t="shared" si="98"/>
        <v>0</v>
      </c>
      <c r="E78" s="434">
        <f t="shared" si="99"/>
        <v>0</v>
      </c>
      <c r="F78" s="434">
        <f t="shared" si="100"/>
        <v>0</v>
      </c>
      <c r="G78" s="434">
        <f t="shared" si="101"/>
        <v>0</v>
      </c>
      <c r="H78" s="434">
        <f t="shared" si="102"/>
        <v>0</v>
      </c>
      <c r="I78" s="434">
        <f t="shared" si="103"/>
        <v>0</v>
      </c>
      <c r="J78" s="434">
        <f t="shared" si="104"/>
        <v>0</v>
      </c>
      <c r="K78" s="434">
        <f t="shared" si="105"/>
        <v>0</v>
      </c>
      <c r="L78" s="434">
        <f t="shared" si="143"/>
        <v>0</v>
      </c>
      <c r="M78" s="982">
        <f t="shared" si="144"/>
        <v>0</v>
      </c>
      <c r="N78" s="1374"/>
      <c r="O78" s="981">
        <f t="shared" si="160"/>
        <v>0</v>
      </c>
      <c r="P78" s="434">
        <f t="shared" si="161"/>
        <v>0</v>
      </c>
      <c r="Q78" s="434">
        <f t="shared" si="162"/>
        <v>0</v>
      </c>
      <c r="R78" s="434">
        <f t="shared" si="163"/>
        <v>0</v>
      </c>
      <c r="S78" s="434">
        <f t="shared" si="164"/>
        <v>0</v>
      </c>
      <c r="T78" s="434">
        <f t="shared" si="165"/>
        <v>0</v>
      </c>
      <c r="U78" s="434">
        <f t="shared" si="166"/>
        <v>0</v>
      </c>
      <c r="V78" s="434">
        <f t="shared" si="167"/>
        <v>0</v>
      </c>
      <c r="W78" s="434">
        <f t="shared" si="114"/>
        <v>0</v>
      </c>
      <c r="X78" s="982">
        <f t="shared" si="115"/>
        <v>0</v>
      </c>
      <c r="Y78" s="1375"/>
      <c r="Z78" s="1376">
        <f t="shared" si="116"/>
        <v>0</v>
      </c>
      <c r="AA78" s="1376">
        <f t="shared" si="117"/>
        <v>0</v>
      </c>
      <c r="AB78" s="1376">
        <f t="shared" si="118"/>
        <v>0</v>
      </c>
      <c r="AC78" s="1376">
        <f t="shared" si="119"/>
        <v>0</v>
      </c>
      <c r="AD78" s="1376">
        <f t="shared" si="120"/>
        <v>0</v>
      </c>
      <c r="AE78" s="1376">
        <f t="shared" si="121"/>
        <v>0</v>
      </c>
      <c r="AF78" s="1376">
        <f t="shared" si="122"/>
        <v>0</v>
      </c>
      <c r="AG78" s="1376">
        <f t="shared" si="123"/>
        <v>0</v>
      </c>
      <c r="AH78" s="1374"/>
      <c r="AI78" s="444">
        <f t="shared" si="168"/>
        <v>0</v>
      </c>
      <c r="AJ78" s="1090"/>
      <c r="AK78" s="1377"/>
      <c r="AL78" s="811">
        <f t="shared" si="125"/>
        <v>46075</v>
      </c>
      <c r="AM78" s="666">
        <f>IFERROR(IF(AND(AT78="",AR78&lt;&gt;S.CAL!$BJ$3,AR78&lt;&gt;S.CAL!$BJ$4,$AR$50="NON"),M78-BD78,IF(AND(AT78="",AR78&lt;&gt;S.CAL!$BJ$3,AR78&lt;&gt;S.CAL!$BJ$4,$AR$50="OUI"),X78-AI78,IF(AT78&lt;&gt;0,AT78,IF(OR(AR78=S.CAL!$BJ$3,AR78=S.CAL!$BJ$4),AR78,"")))),"")</f>
        <v>0</v>
      </c>
      <c r="AN78" s="1093"/>
      <c r="AO78" s="1094"/>
      <c r="AP78" s="666">
        <f>+IF(AND(AU78="",BB78="OUI",BH78="non",BI78="OUI"),AM78,IF(AND(AU78="",BB78="OUI",BH78="oui",BI78="NON"),AM78,IF(AND(AU78="",BB78="NON",BH78="oui",BI78="NON"),M78,IF(AND(AU78="",BB78="NON",BH78="non",BI78="OUI"),M78,IF(AND(AU78="",BB78="OUI",BH78="non",BI78="NON"),"ERREUR",IF(AND(AU78="",BB78="NON",BH78="non",BI78="NON"),AM78,IF(AND(AU78="",BB78="OUI",BH78="",BI78=""),AM78,IF(AND(AU78="",BB78="NON",BH78="",BI78="",AZ78="NON"),M78,IF(AND(AU78="",BH78="",AZ78="OUI",AR78=""),AM78,IF(AND(AU78="",BH78="",AZ78="NON",AR78="",AT78=""),M78,IF(AND(OR(AR78=S.CAL!$BJ$3,AR78=S.CAL!$BJ$4),(VLOOKUP($AM$50,base_nbre_sem_mensu,2,FALSE)=52)),EE78,IF(AND(OR(AR78=S.CAL!$BJ$3,AR78=S.CAL!$BJ$4),(VLOOKUP($AM$50,base_nbre_sem_mensu,2,FALSE)&lt;52)),AM78,IF(AND(AT78&lt;&gt;"",AU78=""),AT78,AU78)))))))))))))</f>
        <v>0</v>
      </c>
      <c r="AQ78" s="1378">
        <f t="shared" si="145"/>
        <v>0</v>
      </c>
      <c r="AR78" s="1098"/>
      <c r="AS78" s="1374"/>
      <c r="AT78" s="1101"/>
      <c r="AU78" s="813"/>
      <c r="AV78" s="1370">
        <f t="shared" si="126"/>
        <v>46075</v>
      </c>
      <c r="AW78" s="1374"/>
      <c r="AX78" s="511">
        <f t="shared" si="146"/>
        <v>46075</v>
      </c>
      <c r="AY78" s="523">
        <f t="shared" si="147"/>
        <v>0</v>
      </c>
      <c r="AZ78" s="520" t="s">
        <v>137</v>
      </c>
      <c r="BA78" s="516">
        <f t="shared" si="148"/>
        <v>0</v>
      </c>
      <c r="BB78" s="549" t="str">
        <f t="shared" si="127"/>
        <v/>
      </c>
      <c r="BC78" s="523">
        <f t="shared" si="149"/>
        <v>0</v>
      </c>
      <c r="BD78" s="523">
        <f t="shared" si="150"/>
        <v>0</v>
      </c>
      <c r="BE78" s="1104"/>
      <c r="BF78" s="514" t="str">
        <f t="shared" si="128"/>
        <v/>
      </c>
      <c r="BG78" s="514" t="str">
        <f t="shared" si="151"/>
        <v>oui</v>
      </c>
      <c r="BH78" s="377" t="str">
        <f t="shared" si="129"/>
        <v/>
      </c>
      <c r="BI78" s="24" t="str">
        <f t="shared" si="130"/>
        <v/>
      </c>
      <c r="BJ78" s="1382"/>
      <c r="BK78" s="1382"/>
      <c r="BL78" s="1382"/>
      <c r="BM78" s="1382"/>
      <c r="BN78" s="1382"/>
      <c r="BO78" s="1382"/>
      <c r="BP78" s="1382"/>
      <c r="BQ78" s="1382"/>
      <c r="BR78" s="1383"/>
      <c r="BS78" s="1370">
        <f t="shared" si="97"/>
        <v>46075</v>
      </c>
      <c r="BT78" s="1384" t="str">
        <f t="shared" si="159"/>
        <v/>
      </c>
      <c r="BU78" s="1382"/>
      <c r="BV78" s="1382"/>
      <c r="BW78" s="1382"/>
      <c r="BX78" s="1382"/>
      <c r="BY78" s="1382"/>
      <c r="BZ78" s="1382"/>
      <c r="CA78" s="1382"/>
      <c r="CB78" s="1382"/>
      <c r="CD78" s="1386">
        <f t="shared" si="152"/>
        <v>0</v>
      </c>
      <c r="DC78" s="16" t="str">
        <f>Février!FC41</f>
        <v>non</v>
      </c>
      <c r="DG78" s="315">
        <f t="shared" si="153"/>
        <v>1</v>
      </c>
      <c r="DH78" s="129">
        <f t="shared" si="131"/>
        <v>10</v>
      </c>
      <c r="DI78" s="129">
        <f t="shared" si="154"/>
        <v>1</v>
      </c>
      <c r="DK78" s="16">
        <f>+IF(AND(Février!$DP$8&lt;&gt;52,AR78=S.CAL!$BJ$4),10,1)</f>
        <v>1</v>
      </c>
      <c r="DN78" s="16">
        <f t="shared" si="132"/>
        <v>1</v>
      </c>
      <c r="DU78" s="1274" t="str">
        <f t="shared" si="155"/>
        <v>Fiche infoA746075</v>
      </c>
      <c r="DV78" s="1362">
        <f t="shared" si="133"/>
        <v>0</v>
      </c>
      <c r="DW78" s="1363">
        <f t="shared" si="134"/>
        <v>0</v>
      </c>
      <c r="DX78" s="1363">
        <f t="shared" si="135"/>
        <v>0</v>
      </c>
      <c r="DY78" s="1363">
        <f t="shared" si="136"/>
        <v>0</v>
      </c>
      <c r="DZ78" s="1363">
        <f t="shared" si="137"/>
        <v>0</v>
      </c>
      <c r="EA78" s="1363">
        <f t="shared" si="138"/>
        <v>0</v>
      </c>
      <c r="EB78" s="1363">
        <f t="shared" si="139"/>
        <v>0</v>
      </c>
      <c r="EC78" s="1363">
        <f t="shared" si="140"/>
        <v>0</v>
      </c>
      <c r="ED78" s="1363">
        <f t="shared" si="156"/>
        <v>0</v>
      </c>
      <c r="EE78" s="1364">
        <f t="shared" si="157"/>
        <v>0</v>
      </c>
      <c r="EG78" s="16" t="str">
        <f t="shared" si="158"/>
        <v>82026</v>
      </c>
      <c r="EH78" s="16" t="str">
        <f t="shared" si="141"/>
        <v>Fiche infoA7</v>
      </c>
      <c r="EI78" s="16" t="str">
        <f t="shared" si="142"/>
        <v/>
      </c>
    </row>
    <row r="79" spans="1:139" x14ac:dyDescent="0.2">
      <c r="A79" s="24" t="str">
        <f>Février!BJ42</f>
        <v>Fiche infoA1</v>
      </c>
      <c r="B79" s="811">
        <f>Février!AB42</f>
        <v>46076</v>
      </c>
      <c r="C79" s="1371"/>
      <c r="D79" s="981">
        <f t="shared" si="98"/>
        <v>0</v>
      </c>
      <c r="E79" s="434">
        <f t="shared" si="99"/>
        <v>0</v>
      </c>
      <c r="F79" s="434">
        <f t="shared" si="100"/>
        <v>0</v>
      </c>
      <c r="G79" s="434">
        <f t="shared" si="101"/>
        <v>0</v>
      </c>
      <c r="H79" s="434">
        <f t="shared" si="102"/>
        <v>0</v>
      </c>
      <c r="I79" s="434">
        <f t="shared" si="103"/>
        <v>0</v>
      </c>
      <c r="J79" s="434">
        <f t="shared" si="104"/>
        <v>0</v>
      </c>
      <c r="K79" s="434">
        <f t="shared" si="105"/>
        <v>0</v>
      </c>
      <c r="L79" s="434">
        <f t="shared" si="143"/>
        <v>0</v>
      </c>
      <c r="M79" s="982">
        <f t="shared" si="144"/>
        <v>0</v>
      </c>
      <c r="O79" s="981">
        <f t="shared" si="160"/>
        <v>0</v>
      </c>
      <c r="P79" s="434">
        <f t="shared" si="161"/>
        <v>0</v>
      </c>
      <c r="Q79" s="434">
        <f t="shared" si="162"/>
        <v>0</v>
      </c>
      <c r="R79" s="434">
        <f t="shared" si="163"/>
        <v>0</v>
      </c>
      <c r="S79" s="434">
        <f t="shared" si="164"/>
        <v>0</v>
      </c>
      <c r="T79" s="434">
        <f t="shared" si="165"/>
        <v>0</v>
      </c>
      <c r="U79" s="434">
        <f t="shared" si="166"/>
        <v>0</v>
      </c>
      <c r="V79" s="434">
        <f t="shared" si="167"/>
        <v>0</v>
      </c>
      <c r="W79" s="434">
        <f t="shared" si="114"/>
        <v>0</v>
      </c>
      <c r="X79" s="982">
        <f t="shared" si="115"/>
        <v>0</v>
      </c>
      <c r="Y79" s="441"/>
      <c r="Z79" s="277">
        <f t="shared" si="116"/>
        <v>0</v>
      </c>
      <c r="AA79" s="277">
        <f t="shared" si="117"/>
        <v>0</v>
      </c>
      <c r="AB79" s="277">
        <f t="shared" si="118"/>
        <v>0</v>
      </c>
      <c r="AC79" s="277">
        <f t="shared" si="119"/>
        <v>0</v>
      </c>
      <c r="AD79" s="277">
        <f t="shared" si="120"/>
        <v>0</v>
      </c>
      <c r="AE79" s="277">
        <f t="shared" si="121"/>
        <v>0</v>
      </c>
      <c r="AF79" s="277">
        <f t="shared" si="122"/>
        <v>0</v>
      </c>
      <c r="AG79" s="277">
        <f t="shared" si="123"/>
        <v>0</v>
      </c>
      <c r="AI79" s="444">
        <f t="shared" si="168"/>
        <v>0</v>
      </c>
      <c r="AJ79" s="1090"/>
      <c r="AK79" s="489"/>
      <c r="AL79" s="811">
        <f t="shared" si="125"/>
        <v>46076</v>
      </c>
      <c r="AM79" s="666">
        <f>IFERROR(IF(AND(AT79="",AR79&lt;&gt;S.CAL!$BJ$3,AR79&lt;&gt;S.CAL!$BJ$4,$AR$50="NON"),M79-BD79,IF(AND(AT79="",AR79&lt;&gt;S.CAL!$BJ$3,AR79&lt;&gt;S.CAL!$BJ$4,$AR$50="OUI"),X79-AI79,IF(AT79&lt;&gt;0,AT79,IF(OR(AR79=S.CAL!$BJ$3,AR79=S.CAL!$BJ$4),AR79,"")))),"")</f>
        <v>0</v>
      </c>
      <c r="AN79" s="1093"/>
      <c r="AO79" s="1094"/>
      <c r="AP79" s="666">
        <f>+IF(AND(AU79="",BB79="OUI",BH79="non",BI79="OUI"),AM79,IF(AND(AU79="",BB79="OUI",BH79="oui",BI79="NON"),AM79,IF(AND(AU79="",BB79="NON",BH79="oui",BI79="NON"),M79,IF(AND(AU79="",BB79="NON",BH79="non",BI79="OUI"),M79,IF(AND(AU79="",BB79="OUI",BH79="non",BI79="NON"),"ERREUR",IF(AND(AU79="",BB79="NON",BH79="non",BI79="NON"),AM79,IF(AND(AU79="",BB79="OUI",BH79="",BI79=""),AM79,IF(AND(AU79="",BB79="NON",BH79="",BI79="",AZ79="NON"),M79,IF(AND(AU79="",BH79="",AZ79="OUI",AR79=""),AM79,IF(AND(AU79="",BH79="",AZ79="NON",AR79="",AT79=""),M79,IF(AND(OR(AR79=S.CAL!$BJ$3,AR79=S.CAL!$BJ$4),(VLOOKUP($AM$50,base_nbre_sem_mensu,2,FALSE)=52)),EE79,IF(AND(OR(AR79=S.CAL!$BJ$3,AR79=S.CAL!$BJ$4),(VLOOKUP($AM$50,base_nbre_sem_mensu,2,FALSE)&lt;52)),AM79,IF(AND(AT79&lt;&gt;"",AU79=""),AT79,AU79)))))))))))))</f>
        <v>0</v>
      </c>
      <c r="AQ79" s="498">
        <f t="shared" si="145"/>
        <v>0</v>
      </c>
      <c r="AR79" s="1098"/>
      <c r="AT79" s="1101"/>
      <c r="AU79" s="813"/>
      <c r="AV79" s="1370">
        <f t="shared" si="126"/>
        <v>46076</v>
      </c>
      <c r="AX79" s="511">
        <f t="shared" si="146"/>
        <v>46076</v>
      </c>
      <c r="AY79" s="523">
        <f t="shared" si="147"/>
        <v>0</v>
      </c>
      <c r="AZ79" s="520" t="s">
        <v>137</v>
      </c>
      <c r="BA79" s="516">
        <f t="shared" si="148"/>
        <v>0</v>
      </c>
      <c r="BB79" s="549" t="str">
        <f t="shared" si="127"/>
        <v/>
      </c>
      <c r="BC79" s="523">
        <f t="shared" si="149"/>
        <v>0</v>
      </c>
      <c r="BD79" s="523">
        <f t="shared" si="150"/>
        <v>0</v>
      </c>
      <c r="BE79" s="1104"/>
      <c r="BF79" s="514" t="str">
        <f t="shared" si="128"/>
        <v/>
      </c>
      <c r="BG79" s="514" t="str">
        <f t="shared" si="151"/>
        <v>oui</v>
      </c>
      <c r="BH79" s="377" t="str">
        <f t="shared" si="129"/>
        <v/>
      </c>
      <c r="BI79" s="24" t="str">
        <f t="shared" si="130"/>
        <v/>
      </c>
      <c r="BJ79" s="1381"/>
      <c r="BK79" s="1381"/>
      <c r="BL79" s="1381"/>
      <c r="BM79" s="1381"/>
      <c r="BN79" s="1381"/>
      <c r="BO79" s="1381"/>
      <c r="BP79" s="1381"/>
      <c r="BQ79" s="1381"/>
      <c r="BS79" s="1370">
        <f t="shared" si="97"/>
        <v>46076</v>
      </c>
      <c r="BT79" s="27">
        <f t="shared" si="159"/>
        <v>9</v>
      </c>
      <c r="BU79" s="1380"/>
      <c r="BV79" s="1380"/>
      <c r="BW79" s="1380"/>
      <c r="BX79" s="1380"/>
      <c r="BY79" s="1380"/>
      <c r="BZ79" s="1380"/>
      <c r="CA79" s="1380"/>
      <c r="CB79" s="1380"/>
      <c r="CD79" s="1386">
        <f t="shared" si="152"/>
        <v>0</v>
      </c>
      <c r="DC79" s="16" t="str">
        <f>Février!FC42</f>
        <v>non</v>
      </c>
      <c r="DG79" s="315">
        <f t="shared" si="153"/>
        <v>1</v>
      </c>
      <c r="DH79" s="129">
        <f t="shared" si="131"/>
        <v>10</v>
      </c>
      <c r="DI79" s="129">
        <f t="shared" si="154"/>
        <v>1</v>
      </c>
      <c r="DK79" s="16">
        <f>+IF(AND(Février!$DP$8&lt;&gt;52,AR79=S.CAL!$BJ$4),10,1)</f>
        <v>1</v>
      </c>
      <c r="DN79" s="16">
        <f t="shared" si="132"/>
        <v>1</v>
      </c>
      <c r="DU79" s="1274" t="str">
        <f t="shared" si="155"/>
        <v>Fiche infoA146076</v>
      </c>
      <c r="DV79" s="1362">
        <f t="shared" si="133"/>
        <v>0</v>
      </c>
      <c r="DW79" s="1363">
        <f t="shared" si="134"/>
        <v>0</v>
      </c>
      <c r="DX79" s="1363">
        <f t="shared" si="135"/>
        <v>0</v>
      </c>
      <c r="DY79" s="1363">
        <f t="shared" si="136"/>
        <v>0</v>
      </c>
      <c r="DZ79" s="1363">
        <f t="shared" si="137"/>
        <v>0</v>
      </c>
      <c r="EA79" s="1363">
        <f t="shared" si="138"/>
        <v>0</v>
      </c>
      <c r="EB79" s="1363">
        <f t="shared" si="139"/>
        <v>0</v>
      </c>
      <c r="EC79" s="1363">
        <f t="shared" si="140"/>
        <v>0</v>
      </c>
      <c r="ED79" s="1363">
        <f t="shared" si="156"/>
        <v>0</v>
      </c>
      <c r="EE79" s="1364">
        <f t="shared" si="157"/>
        <v>0</v>
      </c>
      <c r="EG79" s="16" t="str">
        <f t="shared" si="158"/>
        <v>92026</v>
      </c>
      <c r="EH79" s="16" t="str">
        <f t="shared" si="141"/>
        <v>Fiche infoA1</v>
      </c>
      <c r="EI79" s="16" t="str">
        <f t="shared" si="142"/>
        <v/>
      </c>
    </row>
    <row r="80" spans="1:139" x14ac:dyDescent="0.2">
      <c r="A80" s="1373" t="str">
        <f>Février!BJ43</f>
        <v>Fiche infoA2</v>
      </c>
      <c r="B80" s="811">
        <f>Février!AB43</f>
        <v>46077</v>
      </c>
      <c r="C80" s="1372"/>
      <c r="D80" s="981">
        <f t="shared" si="98"/>
        <v>0</v>
      </c>
      <c r="E80" s="434">
        <f t="shared" si="99"/>
        <v>0</v>
      </c>
      <c r="F80" s="434">
        <f t="shared" si="100"/>
        <v>0</v>
      </c>
      <c r="G80" s="434">
        <f t="shared" si="101"/>
        <v>0</v>
      </c>
      <c r="H80" s="434">
        <f t="shared" si="102"/>
        <v>0</v>
      </c>
      <c r="I80" s="434">
        <f t="shared" si="103"/>
        <v>0</v>
      </c>
      <c r="J80" s="434">
        <f t="shared" si="104"/>
        <v>0</v>
      </c>
      <c r="K80" s="434">
        <f t="shared" si="105"/>
        <v>0</v>
      </c>
      <c r="L80" s="434">
        <f t="shared" si="143"/>
        <v>0</v>
      </c>
      <c r="M80" s="982">
        <f t="shared" si="144"/>
        <v>0</v>
      </c>
      <c r="N80" s="1374"/>
      <c r="O80" s="981">
        <f t="shared" si="160"/>
        <v>0</v>
      </c>
      <c r="P80" s="434">
        <f t="shared" si="161"/>
        <v>0</v>
      </c>
      <c r="Q80" s="434">
        <f t="shared" si="162"/>
        <v>0</v>
      </c>
      <c r="R80" s="434">
        <f t="shared" si="163"/>
        <v>0</v>
      </c>
      <c r="S80" s="434">
        <f t="shared" si="164"/>
        <v>0</v>
      </c>
      <c r="T80" s="434">
        <f t="shared" si="165"/>
        <v>0</v>
      </c>
      <c r="U80" s="434">
        <f t="shared" si="166"/>
        <v>0</v>
      </c>
      <c r="V80" s="434">
        <f t="shared" si="167"/>
        <v>0</v>
      </c>
      <c r="W80" s="434">
        <f t="shared" si="114"/>
        <v>0</v>
      </c>
      <c r="X80" s="982">
        <f t="shared" si="115"/>
        <v>0</v>
      </c>
      <c r="Y80" s="1375"/>
      <c r="Z80" s="1376">
        <f t="shared" si="116"/>
        <v>0</v>
      </c>
      <c r="AA80" s="1376">
        <f t="shared" si="117"/>
        <v>0</v>
      </c>
      <c r="AB80" s="1376">
        <f t="shared" si="118"/>
        <v>0</v>
      </c>
      <c r="AC80" s="1376">
        <f t="shared" si="119"/>
        <v>0</v>
      </c>
      <c r="AD80" s="1376">
        <f t="shared" si="120"/>
        <v>0</v>
      </c>
      <c r="AE80" s="1376">
        <f t="shared" si="121"/>
        <v>0</v>
      </c>
      <c r="AF80" s="1376">
        <f t="shared" si="122"/>
        <v>0</v>
      </c>
      <c r="AG80" s="1376">
        <f t="shared" si="123"/>
        <v>0</v>
      </c>
      <c r="AH80" s="1374"/>
      <c r="AI80" s="444">
        <f t="shared" si="168"/>
        <v>0</v>
      </c>
      <c r="AJ80" s="1090"/>
      <c r="AK80" s="1377"/>
      <c r="AL80" s="811">
        <f t="shared" si="125"/>
        <v>46077</v>
      </c>
      <c r="AM80" s="666">
        <f>IFERROR(IF(AND(AT80="",AR80&lt;&gt;S.CAL!$BJ$3,AR80&lt;&gt;S.CAL!$BJ$4,$AR$50="NON"),M80-BD80,IF(AND(AT80="",AR80&lt;&gt;S.CAL!$BJ$3,AR80&lt;&gt;S.CAL!$BJ$4,$AR$50="OUI"),X80-AI80,IF(AT80&lt;&gt;0,AT80,IF(OR(AR80=S.CAL!$BJ$3,AR80=S.CAL!$BJ$4),AR80,"")))),"")</f>
        <v>0</v>
      </c>
      <c r="AN80" s="1093"/>
      <c r="AO80" s="1094"/>
      <c r="AP80" s="666">
        <f>+IF(AND(AU80="",BB80="OUI",BH80="non",BI80="OUI"),AM80,IF(AND(AU80="",BB80="OUI",BH80="oui",BI80="NON"),AM80,IF(AND(AU80="",BB80="NON",BH80="oui",BI80="NON"),M80,IF(AND(AU80="",BB80="NON",BH80="non",BI80="OUI"),M80,IF(AND(AU80="",BB80="OUI",BH80="non",BI80="NON"),"ERREUR",IF(AND(AU80="",BB80="NON",BH80="non",BI80="NON"),AM80,IF(AND(AU80="",BB80="OUI",BH80="",BI80=""),AM80,IF(AND(AU80="",BB80="NON",BH80="",BI80="",AZ80="NON"),M80,IF(AND(AU80="",BH80="",AZ80="OUI",AR80=""),AM80,IF(AND(AU80="",BH80="",AZ80="NON",AR80="",AT80=""),M80,IF(AND(OR(AR80=S.CAL!$BJ$3,AR80=S.CAL!$BJ$4),(VLOOKUP($AM$50,base_nbre_sem_mensu,2,FALSE)=52)),EE80,IF(AND(OR(AR80=S.CAL!$BJ$3,AR80=S.CAL!$BJ$4),(VLOOKUP($AM$50,base_nbre_sem_mensu,2,FALSE)&lt;52)),AM80,IF(AND(AT80&lt;&gt;"",AU80=""),AT80,AU80)))))))))))))</f>
        <v>0</v>
      </c>
      <c r="AQ80" s="1378">
        <f t="shared" si="145"/>
        <v>0</v>
      </c>
      <c r="AR80" s="1098"/>
      <c r="AS80" s="1374"/>
      <c r="AT80" s="1101"/>
      <c r="AU80" s="813"/>
      <c r="AV80" s="1370">
        <f t="shared" si="126"/>
        <v>46077</v>
      </c>
      <c r="AW80" s="1374"/>
      <c r="AX80" s="511">
        <f t="shared" si="146"/>
        <v>46077</v>
      </c>
      <c r="AY80" s="523">
        <f t="shared" si="147"/>
        <v>0</v>
      </c>
      <c r="AZ80" s="520" t="s">
        <v>137</v>
      </c>
      <c r="BA80" s="516">
        <f t="shared" si="148"/>
        <v>0</v>
      </c>
      <c r="BB80" s="549" t="str">
        <f t="shared" si="127"/>
        <v/>
      </c>
      <c r="BC80" s="523">
        <f t="shared" si="149"/>
        <v>0</v>
      </c>
      <c r="BD80" s="523">
        <f t="shared" si="150"/>
        <v>0</v>
      </c>
      <c r="BE80" s="1104"/>
      <c r="BF80" s="514" t="str">
        <f t="shared" si="128"/>
        <v/>
      </c>
      <c r="BG80" s="514" t="str">
        <f t="shared" si="151"/>
        <v>oui</v>
      </c>
      <c r="BH80" s="377" t="str">
        <f t="shared" si="129"/>
        <v/>
      </c>
      <c r="BI80" s="24" t="str">
        <f t="shared" si="130"/>
        <v/>
      </c>
      <c r="BJ80" s="1382"/>
      <c r="BK80" s="1382"/>
      <c r="BL80" s="1382"/>
      <c r="BM80" s="1382"/>
      <c r="BN80" s="1382"/>
      <c r="BO80" s="1382"/>
      <c r="BP80" s="1382"/>
      <c r="BQ80" s="1382"/>
      <c r="BR80" s="1383"/>
      <c r="BS80" s="1370">
        <f t="shared" si="97"/>
        <v>46077</v>
      </c>
      <c r="BT80" s="1384" t="str">
        <f t="shared" si="159"/>
        <v/>
      </c>
      <c r="BU80" s="1382"/>
      <c r="BV80" s="1382"/>
      <c r="BW80" s="1382"/>
      <c r="BX80" s="1382"/>
      <c r="BY80" s="1382"/>
      <c r="BZ80" s="1382"/>
      <c r="CA80" s="1382"/>
      <c r="CB80" s="1382"/>
      <c r="CD80" s="1386">
        <f t="shared" si="152"/>
        <v>0</v>
      </c>
      <c r="DC80" s="16" t="str">
        <f>Février!FC43</f>
        <v>non</v>
      </c>
      <c r="DG80" s="315">
        <f t="shared" si="153"/>
        <v>1</v>
      </c>
      <c r="DH80" s="129">
        <f t="shared" si="131"/>
        <v>10</v>
      </c>
      <c r="DI80" s="129">
        <f t="shared" si="154"/>
        <v>1</v>
      </c>
      <c r="DK80" s="16">
        <f>+IF(AND(Février!$DP$8&lt;&gt;52,AR80=S.CAL!$BJ$4),10,1)</f>
        <v>1</v>
      </c>
      <c r="DN80" s="16">
        <f t="shared" si="132"/>
        <v>1</v>
      </c>
      <c r="DU80" s="1274" t="str">
        <f t="shared" si="155"/>
        <v>Fiche infoA246077</v>
      </c>
      <c r="DV80" s="1362">
        <f t="shared" si="133"/>
        <v>0</v>
      </c>
      <c r="DW80" s="1363">
        <f t="shared" si="134"/>
        <v>0</v>
      </c>
      <c r="DX80" s="1363">
        <f t="shared" si="135"/>
        <v>0</v>
      </c>
      <c r="DY80" s="1363">
        <f t="shared" si="136"/>
        <v>0</v>
      </c>
      <c r="DZ80" s="1363">
        <f t="shared" si="137"/>
        <v>0</v>
      </c>
      <c r="EA80" s="1363">
        <f t="shared" si="138"/>
        <v>0</v>
      </c>
      <c r="EB80" s="1363">
        <f t="shared" si="139"/>
        <v>0</v>
      </c>
      <c r="EC80" s="1363">
        <f t="shared" si="140"/>
        <v>0</v>
      </c>
      <c r="ED80" s="1363">
        <f t="shared" si="156"/>
        <v>0</v>
      </c>
      <c r="EE80" s="1364">
        <f t="shared" si="157"/>
        <v>0</v>
      </c>
      <c r="EG80" s="16" t="str">
        <f t="shared" si="158"/>
        <v>92026</v>
      </c>
      <c r="EH80" s="16" t="str">
        <f t="shared" si="141"/>
        <v>Fiche infoA2</v>
      </c>
      <c r="EI80" s="16" t="str">
        <f t="shared" si="142"/>
        <v/>
      </c>
    </row>
    <row r="81" spans="1:145" x14ac:dyDescent="0.2">
      <c r="A81" s="24" t="str">
        <f>Février!BJ44</f>
        <v>Fiche infoA3</v>
      </c>
      <c r="B81" s="811">
        <f>Février!AB44</f>
        <v>46078</v>
      </c>
      <c r="C81" s="1371"/>
      <c r="D81" s="981">
        <f t="shared" si="98"/>
        <v>0</v>
      </c>
      <c r="E81" s="434">
        <f t="shared" si="99"/>
        <v>0</v>
      </c>
      <c r="F81" s="434">
        <f t="shared" si="100"/>
        <v>0</v>
      </c>
      <c r="G81" s="434">
        <f t="shared" si="101"/>
        <v>0</v>
      </c>
      <c r="H81" s="434">
        <f t="shared" si="102"/>
        <v>0</v>
      </c>
      <c r="I81" s="434">
        <f t="shared" si="103"/>
        <v>0</v>
      </c>
      <c r="J81" s="434">
        <f t="shared" si="104"/>
        <v>0</v>
      </c>
      <c r="K81" s="434">
        <f t="shared" si="105"/>
        <v>0</v>
      </c>
      <c r="L81" s="434">
        <f t="shared" si="143"/>
        <v>0</v>
      </c>
      <c r="M81" s="982">
        <f t="shared" si="144"/>
        <v>0</v>
      </c>
      <c r="O81" s="981">
        <f t="shared" si="160"/>
        <v>0</v>
      </c>
      <c r="P81" s="434">
        <f t="shared" si="161"/>
        <v>0</v>
      </c>
      <c r="Q81" s="434">
        <f t="shared" si="162"/>
        <v>0</v>
      </c>
      <c r="R81" s="434">
        <f t="shared" si="163"/>
        <v>0</v>
      </c>
      <c r="S81" s="434">
        <f t="shared" si="164"/>
        <v>0</v>
      </c>
      <c r="T81" s="434">
        <f t="shared" si="165"/>
        <v>0</v>
      </c>
      <c r="U81" s="434">
        <f t="shared" si="166"/>
        <v>0</v>
      </c>
      <c r="V81" s="434">
        <f t="shared" si="167"/>
        <v>0</v>
      </c>
      <c r="W81" s="434">
        <f t="shared" si="114"/>
        <v>0</v>
      </c>
      <c r="X81" s="982">
        <f t="shared" si="115"/>
        <v>0</v>
      </c>
      <c r="Y81" s="441"/>
      <c r="Z81" s="277">
        <f t="shared" si="116"/>
        <v>0</v>
      </c>
      <c r="AA81" s="277">
        <f t="shared" si="117"/>
        <v>0</v>
      </c>
      <c r="AB81" s="277">
        <f t="shared" si="118"/>
        <v>0</v>
      </c>
      <c r="AC81" s="277">
        <f t="shared" si="119"/>
        <v>0</v>
      </c>
      <c r="AD81" s="277">
        <f t="shared" si="120"/>
        <v>0</v>
      </c>
      <c r="AE81" s="277">
        <f t="shared" si="121"/>
        <v>0</v>
      </c>
      <c r="AF81" s="277">
        <f t="shared" si="122"/>
        <v>0</v>
      </c>
      <c r="AG81" s="277">
        <f t="shared" si="123"/>
        <v>0</v>
      </c>
      <c r="AI81" s="444">
        <f t="shared" si="168"/>
        <v>0</v>
      </c>
      <c r="AJ81" s="1090"/>
      <c r="AK81" s="489"/>
      <c r="AL81" s="811">
        <f t="shared" si="125"/>
        <v>46078</v>
      </c>
      <c r="AM81" s="666">
        <f>IFERROR(IF(AND(AT81="",AR81&lt;&gt;S.CAL!$BJ$3,AR81&lt;&gt;S.CAL!$BJ$4,$AR$50="NON"),M81-BD81,IF(AND(AT81="",AR81&lt;&gt;S.CAL!$BJ$3,AR81&lt;&gt;S.CAL!$BJ$4,$AR$50="OUI"),X81-AI81,IF(AT81&lt;&gt;0,AT81,IF(OR(AR81=S.CAL!$BJ$3,AR81=S.CAL!$BJ$4),AR81,"")))),"")</f>
        <v>0</v>
      </c>
      <c r="AN81" s="1093"/>
      <c r="AO81" s="1094"/>
      <c r="AP81" s="666">
        <f>+IF(AND(AU81="",BB81="OUI",BH81="non",BI81="OUI"),AM81,IF(AND(AU81="",BB81="OUI",BH81="oui",BI81="NON"),AM81,IF(AND(AU81="",BB81="NON",BH81="oui",BI81="NON"),M81,IF(AND(AU81="",BB81="NON",BH81="non",BI81="OUI"),M81,IF(AND(AU81="",BB81="OUI",BH81="non",BI81="NON"),"ERREUR",IF(AND(AU81="",BB81="NON",BH81="non",BI81="NON"),AM81,IF(AND(AU81="",BB81="OUI",BH81="",BI81=""),AM81,IF(AND(AU81="",BB81="NON",BH81="",BI81="",AZ81="NON"),M81,IF(AND(AU81="",BH81="",AZ81="OUI",AR81=""),AM81,IF(AND(AU81="",BH81="",AZ81="NON",AR81="",AT81=""),M81,IF(AND(OR(AR81=S.CAL!$BJ$3,AR81=S.CAL!$BJ$4),(VLOOKUP($AM$50,base_nbre_sem_mensu,2,FALSE)=52)),EE81,IF(AND(OR(AR81=S.CAL!$BJ$3,AR81=S.CAL!$BJ$4),(VLOOKUP($AM$50,base_nbre_sem_mensu,2,FALSE)&lt;52)),AM81,IF(AND(AT81&lt;&gt;"",AU81=""),AT81,AU81)))))))))))))</f>
        <v>0</v>
      </c>
      <c r="AQ81" s="498">
        <f t="shared" si="145"/>
        <v>0</v>
      </c>
      <c r="AR81" s="1098"/>
      <c r="AT81" s="1101"/>
      <c r="AU81" s="813"/>
      <c r="AV81" s="1370">
        <f t="shared" si="126"/>
        <v>46078</v>
      </c>
      <c r="AX81" s="511">
        <f t="shared" si="146"/>
        <v>46078</v>
      </c>
      <c r="AY81" s="523">
        <f t="shared" si="147"/>
        <v>0</v>
      </c>
      <c r="AZ81" s="520" t="s">
        <v>137</v>
      </c>
      <c r="BA81" s="516">
        <f t="shared" si="148"/>
        <v>0</v>
      </c>
      <c r="BB81" s="549" t="str">
        <f t="shared" si="127"/>
        <v/>
      </c>
      <c r="BC81" s="523">
        <f t="shared" si="149"/>
        <v>0</v>
      </c>
      <c r="BD81" s="523">
        <f t="shared" si="150"/>
        <v>0</v>
      </c>
      <c r="BE81" s="1104"/>
      <c r="BF81" s="514" t="str">
        <f t="shared" si="128"/>
        <v/>
      </c>
      <c r="BG81" s="514" t="str">
        <f t="shared" si="151"/>
        <v>oui</v>
      </c>
      <c r="BH81" s="377" t="str">
        <f t="shared" si="129"/>
        <v/>
      </c>
      <c r="BI81" s="24" t="str">
        <f t="shared" si="130"/>
        <v/>
      </c>
      <c r="BJ81" s="1381"/>
      <c r="BK81" s="1381"/>
      <c r="BL81" s="1381"/>
      <c r="BM81" s="1381"/>
      <c r="BN81" s="1381"/>
      <c r="BO81" s="1381"/>
      <c r="BP81" s="1381"/>
      <c r="BQ81" s="1381"/>
      <c r="BS81" s="1370">
        <f t="shared" si="97"/>
        <v>46078</v>
      </c>
      <c r="BT81" s="27" t="str">
        <f t="shared" si="159"/>
        <v/>
      </c>
      <c r="BU81" s="1380"/>
      <c r="BV81" s="1380"/>
      <c r="BW81" s="1380"/>
      <c r="BX81" s="1380"/>
      <c r="BY81" s="1380"/>
      <c r="BZ81" s="1380"/>
      <c r="CA81" s="1380"/>
      <c r="CB81" s="1380"/>
      <c r="CD81" s="1386">
        <f t="shared" si="152"/>
        <v>0</v>
      </c>
      <c r="DC81" s="16" t="str">
        <f>Février!FC44</f>
        <v>non</v>
      </c>
      <c r="DG81" s="315">
        <f t="shared" si="153"/>
        <v>1</v>
      </c>
      <c r="DH81" s="129">
        <f t="shared" si="131"/>
        <v>10</v>
      </c>
      <c r="DI81" s="129">
        <f t="shared" si="154"/>
        <v>1</v>
      </c>
      <c r="DK81" s="16">
        <f>+IF(AND(Février!$DP$8&lt;&gt;52,AR81=S.CAL!$BJ$4),10,1)</f>
        <v>1</v>
      </c>
      <c r="DN81" s="16">
        <f t="shared" si="132"/>
        <v>1</v>
      </c>
      <c r="DU81" s="1274" t="str">
        <f t="shared" si="155"/>
        <v>Fiche infoA346078</v>
      </c>
      <c r="DV81" s="1362">
        <f t="shared" si="133"/>
        <v>0</v>
      </c>
      <c r="DW81" s="1363">
        <f t="shared" si="134"/>
        <v>0</v>
      </c>
      <c r="DX81" s="1363">
        <f t="shared" si="135"/>
        <v>0</v>
      </c>
      <c r="DY81" s="1363">
        <f t="shared" si="136"/>
        <v>0</v>
      </c>
      <c r="DZ81" s="1363">
        <f t="shared" si="137"/>
        <v>0</v>
      </c>
      <c r="EA81" s="1363">
        <f t="shared" si="138"/>
        <v>0</v>
      </c>
      <c r="EB81" s="1363">
        <f t="shared" si="139"/>
        <v>0</v>
      </c>
      <c r="EC81" s="1363">
        <f t="shared" si="140"/>
        <v>0</v>
      </c>
      <c r="ED81" s="1363">
        <f t="shared" si="156"/>
        <v>0</v>
      </c>
      <c r="EE81" s="1364">
        <f t="shared" si="157"/>
        <v>0</v>
      </c>
      <c r="EG81" s="16" t="str">
        <f t="shared" si="158"/>
        <v>92026</v>
      </c>
      <c r="EH81" s="16" t="str">
        <f t="shared" si="141"/>
        <v>Fiche infoA3</v>
      </c>
      <c r="EI81" s="16" t="str">
        <f t="shared" si="142"/>
        <v/>
      </c>
    </row>
    <row r="82" spans="1:145" x14ac:dyDescent="0.2">
      <c r="A82" s="1373" t="str">
        <f>Février!BJ45</f>
        <v>Fiche infoA4</v>
      </c>
      <c r="B82" s="811">
        <f>Février!AB45</f>
        <v>46079</v>
      </c>
      <c r="C82" s="1372"/>
      <c r="D82" s="981">
        <f t="shared" si="98"/>
        <v>0</v>
      </c>
      <c r="E82" s="434">
        <f t="shared" si="99"/>
        <v>0</v>
      </c>
      <c r="F82" s="434">
        <f t="shared" si="100"/>
        <v>0</v>
      </c>
      <c r="G82" s="434">
        <f t="shared" si="101"/>
        <v>0</v>
      </c>
      <c r="H82" s="434">
        <f t="shared" si="102"/>
        <v>0</v>
      </c>
      <c r="I82" s="434">
        <f t="shared" si="103"/>
        <v>0</v>
      </c>
      <c r="J82" s="434">
        <f t="shared" si="104"/>
        <v>0</v>
      </c>
      <c r="K82" s="434">
        <f t="shared" si="105"/>
        <v>0</v>
      </c>
      <c r="L82" s="434">
        <f t="shared" si="143"/>
        <v>0</v>
      </c>
      <c r="M82" s="982">
        <f t="shared" si="144"/>
        <v>0</v>
      </c>
      <c r="N82" s="1374"/>
      <c r="O82" s="981">
        <f t="shared" si="160"/>
        <v>0</v>
      </c>
      <c r="P82" s="434">
        <f t="shared" si="161"/>
        <v>0</v>
      </c>
      <c r="Q82" s="434">
        <f t="shared" si="162"/>
        <v>0</v>
      </c>
      <c r="R82" s="434">
        <f t="shared" si="163"/>
        <v>0</v>
      </c>
      <c r="S82" s="434">
        <f t="shared" si="164"/>
        <v>0</v>
      </c>
      <c r="T82" s="434">
        <f t="shared" si="165"/>
        <v>0</v>
      </c>
      <c r="U82" s="434">
        <f t="shared" si="166"/>
        <v>0</v>
      </c>
      <c r="V82" s="434">
        <f t="shared" si="167"/>
        <v>0</v>
      </c>
      <c r="W82" s="434">
        <f t="shared" si="114"/>
        <v>0</v>
      </c>
      <c r="X82" s="982">
        <f t="shared" si="115"/>
        <v>0</v>
      </c>
      <c r="Y82" s="1375"/>
      <c r="Z82" s="1376">
        <f t="shared" si="116"/>
        <v>0</v>
      </c>
      <c r="AA82" s="1376">
        <f t="shared" si="117"/>
        <v>0</v>
      </c>
      <c r="AB82" s="1376">
        <f t="shared" si="118"/>
        <v>0</v>
      </c>
      <c r="AC82" s="1376">
        <f t="shared" si="119"/>
        <v>0</v>
      </c>
      <c r="AD82" s="1376">
        <f t="shared" si="120"/>
        <v>0</v>
      </c>
      <c r="AE82" s="1376">
        <f t="shared" si="121"/>
        <v>0</v>
      </c>
      <c r="AF82" s="1376">
        <f t="shared" si="122"/>
        <v>0</v>
      </c>
      <c r="AG82" s="1376">
        <f t="shared" si="123"/>
        <v>0</v>
      </c>
      <c r="AH82" s="1374"/>
      <c r="AI82" s="444">
        <f t="shared" si="168"/>
        <v>0</v>
      </c>
      <c r="AJ82" s="1090"/>
      <c r="AK82" s="1377"/>
      <c r="AL82" s="811">
        <f t="shared" si="125"/>
        <v>46079</v>
      </c>
      <c r="AM82" s="666">
        <f>IFERROR(IF(AND(AT82="",AR82&lt;&gt;S.CAL!$BJ$3,AR82&lt;&gt;S.CAL!$BJ$4,$AR$50="NON"),M82-BD82,IF(AND(AT82="",AR82&lt;&gt;S.CAL!$BJ$3,AR82&lt;&gt;S.CAL!$BJ$4,$AR$50="OUI"),X82-AI82,IF(AT82&lt;&gt;0,AT82,IF(OR(AR82=S.CAL!$BJ$3,AR82=S.CAL!$BJ$4),AR82,"")))),"")</f>
        <v>0</v>
      </c>
      <c r="AN82" s="1093"/>
      <c r="AO82" s="1094"/>
      <c r="AP82" s="666">
        <f>+IF(AND(AU82="",BB82="OUI",BH82="non",BI82="OUI"),AM82,IF(AND(AU82="",BB82="OUI",BH82="oui",BI82="NON"),AM82,IF(AND(AU82="",BB82="NON",BH82="oui",BI82="NON"),M82,IF(AND(AU82="",BB82="NON",BH82="non",BI82="OUI"),M82,IF(AND(AU82="",BB82="OUI",BH82="non",BI82="NON"),"ERREUR",IF(AND(AU82="",BB82="NON",BH82="non",BI82="NON"),AM82,IF(AND(AU82="",BB82="OUI",BH82="",BI82=""),AM82,IF(AND(AU82="",BB82="NON",BH82="",BI82="",AZ82="NON"),M82,IF(AND(AU82="",BH82="",AZ82="OUI",AR82=""),AM82,IF(AND(AU82="",BH82="",AZ82="NON",AR82="",AT82=""),M82,IF(AND(OR(AR82=S.CAL!$BJ$3,AR82=S.CAL!$BJ$4),(VLOOKUP($AM$50,base_nbre_sem_mensu,2,FALSE)=52)),EE82,IF(AND(OR(AR82=S.CAL!$BJ$3,AR82=S.CAL!$BJ$4),(VLOOKUP($AM$50,base_nbre_sem_mensu,2,FALSE)&lt;52)),AM82,IF(AND(AT82&lt;&gt;"",AU82=""),AT82,AU82)))))))))))))</f>
        <v>0</v>
      </c>
      <c r="AQ82" s="1378">
        <f t="shared" si="145"/>
        <v>0</v>
      </c>
      <c r="AR82" s="1098"/>
      <c r="AS82" s="1374"/>
      <c r="AT82" s="1101"/>
      <c r="AU82" s="813"/>
      <c r="AV82" s="1370">
        <f t="shared" si="126"/>
        <v>46079</v>
      </c>
      <c r="AW82" s="1374"/>
      <c r="AX82" s="511">
        <f t="shared" si="146"/>
        <v>46079</v>
      </c>
      <c r="AY82" s="523">
        <f t="shared" si="147"/>
        <v>0</v>
      </c>
      <c r="AZ82" s="520" t="s">
        <v>137</v>
      </c>
      <c r="BA82" s="516">
        <f t="shared" si="148"/>
        <v>0</v>
      </c>
      <c r="BB82" s="549" t="str">
        <f t="shared" si="127"/>
        <v/>
      </c>
      <c r="BC82" s="523">
        <f t="shared" si="149"/>
        <v>0</v>
      </c>
      <c r="BD82" s="523">
        <f t="shared" si="150"/>
        <v>0</v>
      </c>
      <c r="BE82" s="1104"/>
      <c r="BF82" s="514" t="str">
        <f t="shared" si="128"/>
        <v/>
      </c>
      <c r="BG82" s="514" t="str">
        <f t="shared" si="151"/>
        <v>oui</v>
      </c>
      <c r="BH82" s="377" t="str">
        <f t="shared" si="129"/>
        <v/>
      </c>
      <c r="BI82" s="24" t="str">
        <f t="shared" si="130"/>
        <v/>
      </c>
      <c r="BJ82" s="1382"/>
      <c r="BK82" s="1382"/>
      <c r="BL82" s="1382"/>
      <c r="BM82" s="1382"/>
      <c r="BN82" s="1382"/>
      <c r="BO82" s="1382"/>
      <c r="BP82" s="1382"/>
      <c r="BQ82" s="1382"/>
      <c r="BR82" s="1383"/>
      <c r="BS82" s="1370">
        <f t="shared" si="97"/>
        <v>46079</v>
      </c>
      <c r="BT82" s="1384" t="str">
        <f t="shared" si="159"/>
        <v/>
      </c>
      <c r="BU82" s="1382"/>
      <c r="BV82" s="1382"/>
      <c r="BW82" s="1382"/>
      <c r="BX82" s="1382"/>
      <c r="BY82" s="1382"/>
      <c r="BZ82" s="1382"/>
      <c r="CA82" s="1382"/>
      <c r="CB82" s="1382"/>
      <c r="CD82" s="1386">
        <f t="shared" si="152"/>
        <v>0</v>
      </c>
      <c r="DC82" s="16" t="str">
        <f>Février!FC45</f>
        <v>non</v>
      </c>
      <c r="DG82" s="315">
        <f t="shared" si="153"/>
        <v>1</v>
      </c>
      <c r="DH82" s="129">
        <f t="shared" si="131"/>
        <v>10</v>
      </c>
      <c r="DI82" s="129">
        <f t="shared" si="154"/>
        <v>1</v>
      </c>
      <c r="DK82" s="16">
        <f>+IF(AND(Février!$DP$8&lt;&gt;52,AR82=S.CAL!$BJ$4),10,1)</f>
        <v>1</v>
      </c>
      <c r="DN82" s="16">
        <f t="shared" si="132"/>
        <v>1</v>
      </c>
      <c r="DU82" s="1274" t="str">
        <f t="shared" si="155"/>
        <v>Fiche infoA446079</v>
      </c>
      <c r="DV82" s="1362">
        <f t="shared" si="133"/>
        <v>0</v>
      </c>
      <c r="DW82" s="1363">
        <f t="shared" si="134"/>
        <v>0</v>
      </c>
      <c r="DX82" s="1363">
        <f t="shared" si="135"/>
        <v>0</v>
      </c>
      <c r="DY82" s="1363">
        <f t="shared" si="136"/>
        <v>0</v>
      </c>
      <c r="DZ82" s="1363">
        <f t="shared" si="137"/>
        <v>0</v>
      </c>
      <c r="EA82" s="1363">
        <f t="shared" si="138"/>
        <v>0</v>
      </c>
      <c r="EB82" s="1363">
        <f t="shared" si="139"/>
        <v>0</v>
      </c>
      <c r="EC82" s="1363">
        <f t="shared" si="140"/>
        <v>0</v>
      </c>
      <c r="ED82" s="1363">
        <f t="shared" si="156"/>
        <v>0</v>
      </c>
      <c r="EE82" s="1364">
        <f t="shared" si="157"/>
        <v>0</v>
      </c>
      <c r="EG82" s="16" t="str">
        <f t="shared" si="158"/>
        <v>92026</v>
      </c>
      <c r="EH82" s="16" t="str">
        <f t="shared" si="141"/>
        <v>Fiche infoA4</v>
      </c>
      <c r="EI82" s="16" t="str">
        <f t="shared" si="142"/>
        <v/>
      </c>
    </row>
    <row r="83" spans="1:145" x14ac:dyDescent="0.2">
      <c r="A83" s="24" t="str">
        <f>Février!BJ46</f>
        <v>Fiche infoA5</v>
      </c>
      <c r="B83" s="811">
        <f>Février!AB46</f>
        <v>46080</v>
      </c>
      <c r="C83" s="1371"/>
      <c r="D83" s="981">
        <f t="shared" si="98"/>
        <v>0</v>
      </c>
      <c r="E83" s="434">
        <f t="shared" si="99"/>
        <v>0</v>
      </c>
      <c r="F83" s="434">
        <f t="shared" si="100"/>
        <v>0</v>
      </c>
      <c r="G83" s="434">
        <f t="shared" si="101"/>
        <v>0</v>
      </c>
      <c r="H83" s="434">
        <f t="shared" si="102"/>
        <v>0</v>
      </c>
      <c r="I83" s="434">
        <f t="shared" si="103"/>
        <v>0</v>
      </c>
      <c r="J83" s="434">
        <f t="shared" si="104"/>
        <v>0</v>
      </c>
      <c r="K83" s="434">
        <f t="shared" si="105"/>
        <v>0</v>
      </c>
      <c r="L83" s="434">
        <f t="shared" si="143"/>
        <v>0</v>
      </c>
      <c r="M83" s="982">
        <f t="shared" si="144"/>
        <v>0</v>
      </c>
      <c r="O83" s="981">
        <f t="shared" si="160"/>
        <v>0</v>
      </c>
      <c r="P83" s="434">
        <f t="shared" si="161"/>
        <v>0</v>
      </c>
      <c r="Q83" s="434">
        <f t="shared" si="162"/>
        <v>0</v>
      </c>
      <c r="R83" s="434">
        <f t="shared" si="163"/>
        <v>0</v>
      </c>
      <c r="S83" s="434">
        <f t="shared" si="164"/>
        <v>0</v>
      </c>
      <c r="T83" s="434">
        <f t="shared" si="165"/>
        <v>0</v>
      </c>
      <c r="U83" s="434">
        <f t="shared" si="166"/>
        <v>0</v>
      </c>
      <c r="V83" s="434">
        <f t="shared" si="167"/>
        <v>0</v>
      </c>
      <c r="W83" s="434">
        <f t="shared" si="114"/>
        <v>0</v>
      </c>
      <c r="X83" s="982">
        <f t="shared" si="115"/>
        <v>0</v>
      </c>
      <c r="Y83" s="441"/>
      <c r="Z83" s="277">
        <f t="shared" si="116"/>
        <v>0</v>
      </c>
      <c r="AA83" s="277">
        <f t="shared" si="117"/>
        <v>0</v>
      </c>
      <c r="AB83" s="277">
        <f t="shared" si="118"/>
        <v>0</v>
      </c>
      <c r="AC83" s="277">
        <f t="shared" si="119"/>
        <v>0</v>
      </c>
      <c r="AD83" s="277">
        <f t="shared" si="120"/>
        <v>0</v>
      </c>
      <c r="AE83" s="277">
        <f t="shared" si="121"/>
        <v>0</v>
      </c>
      <c r="AF83" s="277">
        <f t="shared" si="122"/>
        <v>0</v>
      </c>
      <c r="AG83" s="277">
        <f t="shared" si="123"/>
        <v>0</v>
      </c>
      <c r="AI83" s="444">
        <f t="shared" si="168"/>
        <v>0</v>
      </c>
      <c r="AJ83" s="1090"/>
      <c r="AK83" s="489"/>
      <c r="AL83" s="811">
        <f t="shared" si="125"/>
        <v>46080</v>
      </c>
      <c r="AM83" s="666">
        <f>IFERROR(IF(AND(AT83="",AR83&lt;&gt;S.CAL!$BJ$3,AR83&lt;&gt;S.CAL!$BJ$4,$AR$50="NON"),M83-BD83,IF(AND(AT83="",AR83&lt;&gt;S.CAL!$BJ$3,AR83&lt;&gt;S.CAL!$BJ$4,$AR$50="OUI"),X83-AI83,IF(AT83&lt;&gt;0,AT83,IF(OR(AR83=S.CAL!$BJ$3,AR83=S.CAL!$BJ$4),AR83,"")))),"")</f>
        <v>0</v>
      </c>
      <c r="AN83" s="1093"/>
      <c r="AO83" s="1094"/>
      <c r="AP83" s="666">
        <f>+IF(AND(AU83="",BB83="OUI",BH83="non",BI83="OUI"),AM83,IF(AND(AU83="",BB83="OUI",BH83="oui",BI83="NON"),AM83,IF(AND(AU83="",BB83="NON",BH83="oui",BI83="NON"),M83,IF(AND(AU83="",BB83="NON",BH83="non",BI83="OUI"),M83,IF(AND(AU83="",BB83="OUI",BH83="non",BI83="NON"),"ERREUR",IF(AND(AU83="",BB83="NON",BH83="non",BI83="NON"),AM83,IF(AND(AU83="",BB83="OUI",BH83="",BI83=""),AM83,IF(AND(AU83="",BB83="NON",BH83="",BI83="",AZ83="NON"),M83,IF(AND(AU83="",BH83="",AZ83="OUI",AR83=""),AM83,IF(AND(AU83="",BH83="",AZ83="NON",AR83="",AT83=""),M83,IF(AND(OR(AR83=S.CAL!$BJ$3,AR83=S.CAL!$BJ$4),(VLOOKUP($AM$50,base_nbre_sem_mensu,2,FALSE)=52)),EE83,IF(AND(OR(AR83=S.CAL!$BJ$3,AR83=S.CAL!$BJ$4),(VLOOKUP($AM$50,base_nbre_sem_mensu,2,FALSE)&lt;52)),AM83,IF(AND(AT83&lt;&gt;"",AU83=""),AT83,AU83)))))))))))))</f>
        <v>0</v>
      </c>
      <c r="AQ83" s="498">
        <f t="shared" si="145"/>
        <v>0</v>
      </c>
      <c r="AR83" s="1098"/>
      <c r="AT83" s="1101"/>
      <c r="AU83" s="813"/>
      <c r="AV83" s="1370">
        <f t="shared" si="126"/>
        <v>46080</v>
      </c>
      <c r="AX83" s="511">
        <f t="shared" si="146"/>
        <v>46080</v>
      </c>
      <c r="AY83" s="523">
        <f t="shared" si="147"/>
        <v>0</v>
      </c>
      <c r="AZ83" s="520" t="s">
        <v>137</v>
      </c>
      <c r="BA83" s="516">
        <f t="shared" si="148"/>
        <v>0</v>
      </c>
      <c r="BB83" s="549" t="str">
        <f t="shared" si="127"/>
        <v/>
      </c>
      <c r="BC83" s="523">
        <f t="shared" si="149"/>
        <v>0</v>
      </c>
      <c r="BD83" s="523">
        <f t="shared" si="150"/>
        <v>0</v>
      </c>
      <c r="BE83" s="1104"/>
      <c r="BF83" s="514" t="str">
        <f t="shared" si="128"/>
        <v/>
      </c>
      <c r="BG83" s="514" t="str">
        <f t="shared" si="151"/>
        <v>oui</v>
      </c>
      <c r="BH83" s="377" t="str">
        <f t="shared" si="129"/>
        <v/>
      </c>
      <c r="BI83" s="24" t="str">
        <f t="shared" si="130"/>
        <v/>
      </c>
      <c r="BJ83" s="1381"/>
      <c r="BK83" s="1381"/>
      <c r="BL83" s="1381"/>
      <c r="BM83" s="1381"/>
      <c r="BN83" s="1381"/>
      <c r="BO83" s="1381"/>
      <c r="BP83" s="1381"/>
      <c r="BQ83" s="1381"/>
      <c r="BS83" s="1370">
        <f t="shared" si="97"/>
        <v>46080</v>
      </c>
      <c r="BT83" s="27" t="str">
        <f t="shared" si="159"/>
        <v/>
      </c>
      <c r="BU83" s="1380"/>
      <c r="BV83" s="1380"/>
      <c r="BW83" s="1380"/>
      <c r="BX83" s="1380"/>
      <c r="BY83" s="1380"/>
      <c r="BZ83" s="1380"/>
      <c r="CA83" s="1380"/>
      <c r="CB83" s="1380"/>
      <c r="CD83" s="1386">
        <f t="shared" si="152"/>
        <v>0</v>
      </c>
      <c r="DC83" s="16" t="str">
        <f>Février!FC46</f>
        <v>non</v>
      </c>
      <c r="DG83" s="315">
        <f t="shared" si="153"/>
        <v>1</v>
      </c>
      <c r="DH83" s="129">
        <f t="shared" si="131"/>
        <v>10</v>
      </c>
      <c r="DI83" s="129">
        <f t="shared" si="154"/>
        <v>1</v>
      </c>
      <c r="DK83" s="16">
        <f>+IF(AND(Février!$DP$8&lt;&gt;52,AR83=S.CAL!$BJ$4),10,1)</f>
        <v>1</v>
      </c>
      <c r="DN83" s="16">
        <f t="shared" si="132"/>
        <v>1</v>
      </c>
      <c r="DU83" s="1274" t="str">
        <f t="shared" si="155"/>
        <v>Fiche infoA546080</v>
      </c>
      <c r="DV83" s="1362">
        <f t="shared" si="133"/>
        <v>0</v>
      </c>
      <c r="DW83" s="1363">
        <f t="shared" si="134"/>
        <v>0</v>
      </c>
      <c r="DX83" s="1363">
        <f t="shared" si="135"/>
        <v>0</v>
      </c>
      <c r="DY83" s="1363">
        <f t="shared" si="136"/>
        <v>0</v>
      </c>
      <c r="DZ83" s="1363">
        <f t="shared" si="137"/>
        <v>0</v>
      </c>
      <c r="EA83" s="1363">
        <f t="shared" si="138"/>
        <v>0</v>
      </c>
      <c r="EB83" s="1363">
        <f t="shared" si="139"/>
        <v>0</v>
      </c>
      <c r="EC83" s="1363">
        <f t="shared" si="140"/>
        <v>0</v>
      </c>
      <c r="ED83" s="1363">
        <f t="shared" si="156"/>
        <v>0</v>
      </c>
      <c r="EE83" s="1364">
        <f t="shared" si="157"/>
        <v>0</v>
      </c>
      <c r="EG83" s="16" t="str">
        <f t="shared" si="158"/>
        <v>92026</v>
      </c>
      <c r="EH83" s="16" t="str">
        <f t="shared" si="141"/>
        <v>Fiche infoA5</v>
      </c>
      <c r="EI83" s="16" t="str">
        <f t="shared" si="142"/>
        <v/>
      </c>
    </row>
    <row r="84" spans="1:145" x14ac:dyDescent="0.2">
      <c r="A84" s="1373" t="str">
        <f>Février!BJ47</f>
        <v>Fiche infoA6</v>
      </c>
      <c r="B84" s="811">
        <f>Février!AB47</f>
        <v>46081</v>
      </c>
      <c r="C84" s="1372"/>
      <c r="D84" s="981">
        <f t="shared" si="98"/>
        <v>0</v>
      </c>
      <c r="E84" s="434">
        <f t="shared" si="99"/>
        <v>0</v>
      </c>
      <c r="F84" s="434">
        <f t="shared" si="100"/>
        <v>0</v>
      </c>
      <c r="G84" s="434">
        <f t="shared" si="101"/>
        <v>0</v>
      </c>
      <c r="H84" s="434">
        <f t="shared" si="102"/>
        <v>0</v>
      </c>
      <c r="I84" s="434">
        <f t="shared" si="103"/>
        <v>0</v>
      </c>
      <c r="J84" s="434">
        <f t="shared" si="104"/>
        <v>0</v>
      </c>
      <c r="K84" s="434">
        <f t="shared" si="105"/>
        <v>0</v>
      </c>
      <c r="L84" s="434">
        <f t="shared" si="143"/>
        <v>0</v>
      </c>
      <c r="M84" s="982">
        <f t="shared" si="144"/>
        <v>0</v>
      </c>
      <c r="N84" s="1374"/>
      <c r="O84" s="981">
        <f t="shared" si="160"/>
        <v>0</v>
      </c>
      <c r="P84" s="434">
        <f t="shared" si="161"/>
        <v>0</v>
      </c>
      <c r="Q84" s="434">
        <f t="shared" si="162"/>
        <v>0</v>
      </c>
      <c r="R84" s="434">
        <f t="shared" si="163"/>
        <v>0</v>
      </c>
      <c r="S84" s="434">
        <f t="shared" si="164"/>
        <v>0</v>
      </c>
      <c r="T84" s="434">
        <f t="shared" si="165"/>
        <v>0</v>
      </c>
      <c r="U84" s="434">
        <f t="shared" si="166"/>
        <v>0</v>
      </c>
      <c r="V84" s="434">
        <f t="shared" si="167"/>
        <v>0</v>
      </c>
      <c r="W84" s="434">
        <f t="shared" si="114"/>
        <v>0</v>
      </c>
      <c r="X84" s="982">
        <f t="shared" si="115"/>
        <v>0</v>
      </c>
      <c r="Y84" s="1375"/>
      <c r="Z84" s="1376">
        <f t="shared" si="116"/>
        <v>0</v>
      </c>
      <c r="AA84" s="1376">
        <f t="shared" si="117"/>
        <v>0</v>
      </c>
      <c r="AB84" s="1376">
        <f t="shared" si="118"/>
        <v>0</v>
      </c>
      <c r="AC84" s="1376">
        <f t="shared" si="119"/>
        <v>0</v>
      </c>
      <c r="AD84" s="1376">
        <f t="shared" si="120"/>
        <v>0</v>
      </c>
      <c r="AE84" s="1376">
        <f t="shared" si="121"/>
        <v>0</v>
      </c>
      <c r="AF84" s="1376">
        <f t="shared" si="122"/>
        <v>0</v>
      </c>
      <c r="AG84" s="1376">
        <f t="shared" si="123"/>
        <v>0</v>
      </c>
      <c r="AH84" s="1374"/>
      <c r="AI84" s="444">
        <f t="shared" si="168"/>
        <v>0</v>
      </c>
      <c r="AJ84" s="1090"/>
      <c r="AK84" s="1377"/>
      <c r="AL84" s="811">
        <f t="shared" si="125"/>
        <v>46081</v>
      </c>
      <c r="AM84" s="666">
        <f>IFERROR(IF(AND(AT84="",AR84&lt;&gt;S.CAL!$BJ$3,AR84&lt;&gt;S.CAL!$BJ$4,$AR$50="NON"),M84-BD84,IF(AND(AT84="",AR84&lt;&gt;S.CAL!$BJ$3,AR84&lt;&gt;S.CAL!$BJ$4,$AR$50="OUI"),X84-AI84,IF(AT84&lt;&gt;0,AT84,IF(OR(AR84=S.CAL!$BJ$3,AR84=S.CAL!$BJ$4),AR84,"")))),"")</f>
        <v>0</v>
      </c>
      <c r="AN84" s="1093"/>
      <c r="AO84" s="1094"/>
      <c r="AP84" s="666">
        <f>+IF(AND(AU84="",BB84="OUI",BH84="non",BI84="OUI"),AM84,IF(AND(AU84="",BB84="OUI",BH84="oui",BI84="NON"),AM84,IF(AND(AU84="",BB84="NON",BH84="oui",BI84="NON"),M84,IF(AND(AU84="",BB84="NON",BH84="non",BI84="OUI"),M84,IF(AND(AU84="",BB84="OUI",BH84="non",BI84="NON"),"ERREUR",IF(AND(AU84="",BB84="NON",BH84="non",BI84="NON"),AM84,IF(AND(AU84="",BB84="OUI",BH84="",BI84=""),AM84,IF(AND(AU84="",BB84="NON",BH84="",BI84="",AZ84="NON"),M84,IF(AND(AU84="",BH84="",AZ84="OUI",AR84=""),AM84,IF(AND(AU84="",BH84="",AZ84="NON",AR84="",AT84=""),M84,IF(AND(OR(AR84=S.CAL!$BJ$3,AR84=S.CAL!$BJ$4),(VLOOKUP($AM$50,base_nbre_sem_mensu,2,FALSE)=52)),EE84,IF(AND(OR(AR84=S.CAL!$BJ$3,AR84=S.CAL!$BJ$4),(VLOOKUP($AM$50,base_nbre_sem_mensu,2,FALSE)&lt;52)),AM84,IF(AND(AT84&lt;&gt;"",AU84=""),AT84,AU84)))))))))))))</f>
        <v>0</v>
      </c>
      <c r="AQ84" s="1378">
        <f t="shared" si="145"/>
        <v>0</v>
      </c>
      <c r="AR84" s="1098"/>
      <c r="AS84" s="1374"/>
      <c r="AT84" s="1101"/>
      <c r="AU84" s="813"/>
      <c r="AV84" s="1370">
        <f t="shared" si="126"/>
        <v>46081</v>
      </c>
      <c r="AW84" s="1374"/>
      <c r="AX84" s="511">
        <f t="shared" si="146"/>
        <v>46081</v>
      </c>
      <c r="AY84" s="523">
        <f t="shared" si="147"/>
        <v>0</v>
      </c>
      <c r="AZ84" s="520" t="s">
        <v>137</v>
      </c>
      <c r="BA84" s="516">
        <f t="shared" si="148"/>
        <v>0</v>
      </c>
      <c r="BB84" s="549" t="str">
        <f t="shared" si="127"/>
        <v/>
      </c>
      <c r="BC84" s="523">
        <f t="shared" si="149"/>
        <v>0</v>
      </c>
      <c r="BD84" s="523">
        <f t="shared" si="150"/>
        <v>0</v>
      </c>
      <c r="BE84" s="1104"/>
      <c r="BF84" s="514" t="str">
        <f t="shared" si="128"/>
        <v/>
      </c>
      <c r="BG84" s="514" t="str">
        <f t="shared" si="151"/>
        <v>oui</v>
      </c>
      <c r="BH84" s="377" t="str">
        <f t="shared" si="129"/>
        <v/>
      </c>
      <c r="BI84" s="24" t="str">
        <f t="shared" si="130"/>
        <v/>
      </c>
      <c r="BJ84" s="1382"/>
      <c r="BK84" s="1382"/>
      <c r="BL84" s="1382"/>
      <c r="BM84" s="1382"/>
      <c r="BN84" s="1382"/>
      <c r="BO84" s="1382"/>
      <c r="BP84" s="1382"/>
      <c r="BQ84" s="1382"/>
      <c r="BR84" s="1383"/>
      <c r="BS84" s="1370">
        <f t="shared" si="97"/>
        <v>46081</v>
      </c>
      <c r="BT84" s="1384" t="str">
        <f t="shared" si="159"/>
        <v/>
      </c>
      <c r="BU84" s="1382"/>
      <c r="BV84" s="1382"/>
      <c r="BW84" s="1382"/>
      <c r="BX84" s="1382"/>
      <c r="BY84" s="1382"/>
      <c r="BZ84" s="1382"/>
      <c r="CA84" s="1382"/>
      <c r="CB84" s="1382"/>
      <c r="CD84" s="1386">
        <f t="shared" si="152"/>
        <v>0</v>
      </c>
      <c r="DC84" s="16" t="str">
        <f>Février!FC47</f>
        <v>non</v>
      </c>
      <c r="DG84" s="315">
        <f t="shared" si="153"/>
        <v>1</v>
      </c>
      <c r="DH84" s="129">
        <f t="shared" si="131"/>
        <v>10</v>
      </c>
      <c r="DI84" s="129">
        <f t="shared" si="154"/>
        <v>1</v>
      </c>
      <c r="DK84" s="16">
        <f>+IF(AND(Février!$DP$8&lt;&gt;52,AR84=S.CAL!$BJ$4),10,1)</f>
        <v>1</v>
      </c>
      <c r="DN84" s="16">
        <f t="shared" si="132"/>
        <v>1</v>
      </c>
      <c r="DU84" s="1274" t="str">
        <f t="shared" si="155"/>
        <v>Fiche infoA646081</v>
      </c>
      <c r="DV84" s="1362">
        <f t="shared" si="133"/>
        <v>0</v>
      </c>
      <c r="DW84" s="1363">
        <f t="shared" si="134"/>
        <v>0</v>
      </c>
      <c r="DX84" s="1363">
        <f t="shared" si="135"/>
        <v>0</v>
      </c>
      <c r="DY84" s="1363">
        <f t="shared" si="136"/>
        <v>0</v>
      </c>
      <c r="DZ84" s="1363">
        <f t="shared" si="137"/>
        <v>0</v>
      </c>
      <c r="EA84" s="1363">
        <f t="shared" si="138"/>
        <v>0</v>
      </c>
      <c r="EB84" s="1363">
        <f t="shared" si="139"/>
        <v>0</v>
      </c>
      <c r="EC84" s="1363">
        <f t="shared" si="140"/>
        <v>0</v>
      </c>
      <c r="ED84" s="1363">
        <f t="shared" si="156"/>
        <v>0</v>
      </c>
      <c r="EE84" s="1364">
        <f t="shared" si="157"/>
        <v>0</v>
      </c>
      <c r="EG84" s="16" t="str">
        <f t="shared" si="158"/>
        <v>92026</v>
      </c>
      <c r="EH84" s="16" t="str">
        <f t="shared" si="141"/>
        <v>Fiche infoA6</v>
      </c>
      <c r="EI84" s="16" t="str">
        <f t="shared" si="142"/>
        <v/>
      </c>
    </row>
    <row r="85" spans="1:145" x14ac:dyDescent="0.2">
      <c r="A85" s="24" t="str">
        <f>Février!BJ48</f>
        <v>Fiche infoA0</v>
      </c>
      <c r="B85" s="811" t="str">
        <f>Février!AB48</f>
        <v/>
      </c>
      <c r="C85" s="1371"/>
      <c r="D85" s="981">
        <f t="shared" si="98"/>
        <v>0</v>
      </c>
      <c r="E85" s="434">
        <f t="shared" si="99"/>
        <v>0</v>
      </c>
      <c r="F85" s="434">
        <f t="shared" si="100"/>
        <v>0</v>
      </c>
      <c r="G85" s="434">
        <f t="shared" si="101"/>
        <v>0</v>
      </c>
      <c r="H85" s="434">
        <f t="shared" si="102"/>
        <v>0</v>
      </c>
      <c r="I85" s="434">
        <f t="shared" si="103"/>
        <v>0</v>
      </c>
      <c r="J85" s="434">
        <f t="shared" si="104"/>
        <v>0</v>
      </c>
      <c r="K85" s="434">
        <f t="shared" si="105"/>
        <v>0</v>
      </c>
      <c r="L85" s="434">
        <f t="shared" si="143"/>
        <v>0</v>
      </c>
      <c r="M85" s="982">
        <f t="shared" si="144"/>
        <v>0</v>
      </c>
      <c r="O85" s="981">
        <f t="shared" si="160"/>
        <v>0</v>
      </c>
      <c r="P85" s="434">
        <f t="shared" si="161"/>
        <v>0</v>
      </c>
      <c r="Q85" s="434">
        <f t="shared" si="162"/>
        <v>0</v>
      </c>
      <c r="R85" s="434">
        <f t="shared" si="163"/>
        <v>0</v>
      </c>
      <c r="S85" s="434">
        <f t="shared" si="164"/>
        <v>0</v>
      </c>
      <c r="T85" s="434">
        <f t="shared" si="165"/>
        <v>0</v>
      </c>
      <c r="U85" s="434">
        <f t="shared" si="166"/>
        <v>0</v>
      </c>
      <c r="V85" s="434">
        <f t="shared" si="167"/>
        <v>0</v>
      </c>
      <c r="W85" s="434">
        <f t="shared" si="114"/>
        <v>0</v>
      </c>
      <c r="X85" s="982">
        <f t="shared" si="115"/>
        <v>0</v>
      </c>
      <c r="Y85" s="441"/>
      <c r="Z85" s="277">
        <f t="shared" si="116"/>
        <v>0</v>
      </c>
      <c r="AA85" s="277">
        <f t="shared" si="117"/>
        <v>0</v>
      </c>
      <c r="AB85" s="277">
        <f t="shared" si="118"/>
        <v>0</v>
      </c>
      <c r="AC85" s="277">
        <f t="shared" si="119"/>
        <v>0</v>
      </c>
      <c r="AD85" s="277">
        <f t="shared" si="120"/>
        <v>0</v>
      </c>
      <c r="AE85" s="277">
        <f t="shared" si="121"/>
        <v>0</v>
      </c>
      <c r="AF85" s="277">
        <f t="shared" si="122"/>
        <v>0</v>
      </c>
      <c r="AG85" s="277">
        <f t="shared" si="123"/>
        <v>0</v>
      </c>
      <c r="AI85" s="444">
        <f t="shared" si="168"/>
        <v>0</v>
      </c>
      <c r="AJ85" s="1090"/>
      <c r="AK85" s="489"/>
      <c r="AL85" s="811" t="str">
        <f t="shared" si="125"/>
        <v/>
      </c>
      <c r="AM85" s="666">
        <f>IFERROR(IF(AND(AT85="",AR85&lt;&gt;S.CAL!$BJ$3,AR85&lt;&gt;S.CAL!$BJ$4,$AR$50="NON"),M85-BD85,IF(AND(AT85="",AR85&lt;&gt;S.CAL!$BJ$3,AR85&lt;&gt;S.CAL!$BJ$4,$AR$50="OUI"),X85-AI85,IF(AT85&lt;&gt;0,AT85,IF(OR(AR85=S.CAL!$BJ$3,AR85=S.CAL!$BJ$4),AR85,"")))),"")</f>
        <v>0</v>
      </c>
      <c r="AN85" s="1093"/>
      <c r="AO85" s="1094"/>
      <c r="AP85" s="666">
        <f>+IF(AND(AU85="",BB85="OUI",BH85="non",BI85="OUI"),AM85,IF(AND(AU85="",BB85="OUI",BH85="oui",BI85="NON"),AM85,IF(AND(AU85="",BB85="NON",BH85="oui",BI85="NON"),M85,IF(AND(AU85="",BB85="NON",BH85="non",BI85="OUI"),M85,IF(AND(AU85="",BB85="OUI",BH85="non",BI85="NON"),"ERREUR",IF(AND(AU85="",BB85="NON",BH85="non",BI85="NON"),AM85,IF(AND(AU85="",BB85="OUI",BH85="",BI85=""),AM85,IF(AND(AU85="",BB85="NON",BH85="",BI85="",AZ85="NON"),M85,IF(AND(AU85="",BH85="",AZ85="OUI",AR85=""),AM85,IF(AND(AU85="",BH85="",AZ85="NON",AR85="",AT85=""),M85,IF(AND(OR(AR85=S.CAL!$BJ$3,AR85=S.CAL!$BJ$4),(VLOOKUP($AM$50,base_nbre_sem_mensu,2,FALSE)=52)),EE85,IF(AND(OR(AR85=S.CAL!$BJ$3,AR85=S.CAL!$BJ$4),(VLOOKUP($AM$50,base_nbre_sem_mensu,2,FALSE)&lt;52)),AM85,IF(AND(AT85&lt;&gt;"",AU85=""),AT85,AU85)))))))))))))</f>
        <v>0</v>
      </c>
      <c r="AQ85" s="498">
        <f t="shared" si="145"/>
        <v>0</v>
      </c>
      <c r="AR85" s="1106"/>
      <c r="AT85" s="1101"/>
      <c r="AU85" s="813"/>
      <c r="AV85" s="1370" t="str">
        <f t="shared" si="126"/>
        <v/>
      </c>
      <c r="AX85" s="511" t="str">
        <f t="shared" si="146"/>
        <v/>
      </c>
      <c r="AY85" s="523">
        <f t="shared" si="147"/>
        <v>0</v>
      </c>
      <c r="AZ85" s="520" t="s">
        <v>137</v>
      </c>
      <c r="BA85" s="516">
        <f t="shared" si="148"/>
        <v>0</v>
      </c>
      <c r="BB85" s="549" t="str">
        <f t="shared" si="127"/>
        <v/>
      </c>
      <c r="BC85" s="523">
        <f t="shared" si="149"/>
        <v>0</v>
      </c>
      <c r="BD85" s="523">
        <f t="shared" si="150"/>
        <v>0</v>
      </c>
      <c r="BE85" s="1104"/>
      <c r="BF85" s="514" t="str">
        <f t="shared" si="128"/>
        <v/>
      </c>
      <c r="BG85" s="514" t="str">
        <f t="shared" si="151"/>
        <v>oui</v>
      </c>
      <c r="BH85" s="377" t="str">
        <f t="shared" si="129"/>
        <v/>
      </c>
      <c r="BI85" s="24" t="str">
        <f t="shared" si="130"/>
        <v/>
      </c>
      <c r="BJ85" s="1381"/>
      <c r="BK85" s="1381"/>
      <c r="BL85" s="1381"/>
      <c r="BM85" s="1381"/>
      <c r="BN85" s="1381"/>
      <c r="BO85" s="1381"/>
      <c r="BP85" s="1381"/>
      <c r="BQ85" s="1381"/>
      <c r="BS85" s="1370" t="str">
        <f t="shared" si="97"/>
        <v/>
      </c>
      <c r="BT85" s="27" t="str">
        <f t="shared" si="159"/>
        <v/>
      </c>
      <c r="BU85" s="1380"/>
      <c r="BV85" s="1380"/>
      <c r="BW85" s="1380"/>
      <c r="BX85" s="1380"/>
      <c r="BY85" s="1380"/>
      <c r="BZ85" s="1380"/>
      <c r="CA85" s="1380"/>
      <c r="CB85" s="1380"/>
      <c r="CD85" s="1386">
        <f t="shared" si="152"/>
        <v>0</v>
      </c>
      <c r="DC85" s="16" t="str">
        <f>Février!FC48</f>
        <v/>
      </c>
      <c r="DG85" s="315">
        <f t="shared" si="153"/>
        <v>1</v>
      </c>
      <c r="DH85" s="129">
        <f t="shared" si="131"/>
        <v>10</v>
      </c>
      <c r="DI85" s="129">
        <f t="shared" si="154"/>
        <v>1</v>
      </c>
      <c r="DK85" s="16">
        <f>+IF(AND(Février!$DP$8&lt;&gt;52,AR85=S.CAL!$BJ$4),10,1)</f>
        <v>1</v>
      </c>
      <c r="DN85" s="16">
        <f t="shared" si="132"/>
        <v>1</v>
      </c>
      <c r="DU85" s="1274" t="str">
        <f t="shared" si="155"/>
        <v>Fiche infoA0</v>
      </c>
      <c r="DV85" s="1362">
        <f t="shared" si="133"/>
        <v>0</v>
      </c>
      <c r="DW85" s="1363">
        <f t="shared" si="134"/>
        <v>0</v>
      </c>
      <c r="DX85" s="1363">
        <f t="shared" si="135"/>
        <v>0</v>
      </c>
      <c r="DY85" s="1363">
        <f t="shared" si="136"/>
        <v>0</v>
      </c>
      <c r="DZ85" s="1363">
        <f t="shared" si="137"/>
        <v>0</v>
      </c>
      <c r="EA85" s="1363">
        <f t="shared" si="138"/>
        <v>0</v>
      </c>
      <c r="EB85" s="1363">
        <f t="shared" si="139"/>
        <v>0</v>
      </c>
      <c r="EC85" s="1363">
        <f t="shared" si="140"/>
        <v>0</v>
      </c>
      <c r="ED85" s="1363">
        <f t="shared" si="156"/>
        <v>0</v>
      </c>
      <c r="EE85" s="1364">
        <f t="shared" si="157"/>
        <v>0</v>
      </c>
      <c r="EG85" s="16" t="e">
        <f t="shared" si="158"/>
        <v>#VALUE!</v>
      </c>
      <c r="EH85" s="16" t="str">
        <f t="shared" si="141"/>
        <v>Fiche infoA0</v>
      </c>
      <c r="EI85" s="16" t="e">
        <f t="shared" si="142"/>
        <v>#N/A</v>
      </c>
    </row>
    <row r="86" spans="1:145" x14ac:dyDescent="0.2">
      <c r="A86" s="1373" t="str">
        <f>Février!BJ49</f>
        <v>Fiche infoA0</v>
      </c>
      <c r="B86" s="811" t="str">
        <f>Février!AB49</f>
        <v/>
      </c>
      <c r="C86" s="1372"/>
      <c r="D86" s="981">
        <f t="shared" si="98"/>
        <v>0</v>
      </c>
      <c r="E86" s="434">
        <f t="shared" si="99"/>
        <v>0</v>
      </c>
      <c r="F86" s="434">
        <f t="shared" si="100"/>
        <v>0</v>
      </c>
      <c r="G86" s="434">
        <f t="shared" si="101"/>
        <v>0</v>
      </c>
      <c r="H86" s="434">
        <f t="shared" si="102"/>
        <v>0</v>
      </c>
      <c r="I86" s="434">
        <f t="shared" si="103"/>
        <v>0</v>
      </c>
      <c r="J86" s="434">
        <f t="shared" si="104"/>
        <v>0</v>
      </c>
      <c r="K86" s="434">
        <f t="shared" si="105"/>
        <v>0</v>
      </c>
      <c r="L86" s="434">
        <f t="shared" si="143"/>
        <v>0</v>
      </c>
      <c r="M86" s="982">
        <f t="shared" si="144"/>
        <v>0</v>
      </c>
      <c r="N86" s="1374"/>
      <c r="O86" s="981">
        <f t="shared" si="160"/>
        <v>0</v>
      </c>
      <c r="P86" s="434">
        <f t="shared" si="161"/>
        <v>0</v>
      </c>
      <c r="Q86" s="434">
        <f t="shared" si="162"/>
        <v>0</v>
      </c>
      <c r="R86" s="434">
        <f t="shared" si="163"/>
        <v>0</v>
      </c>
      <c r="S86" s="434">
        <f t="shared" si="164"/>
        <v>0</v>
      </c>
      <c r="T86" s="434">
        <f t="shared" si="165"/>
        <v>0</v>
      </c>
      <c r="U86" s="434">
        <f t="shared" si="166"/>
        <v>0</v>
      </c>
      <c r="V86" s="434">
        <f t="shared" si="167"/>
        <v>0</v>
      </c>
      <c r="W86" s="434">
        <f t="shared" si="114"/>
        <v>0</v>
      </c>
      <c r="X86" s="982">
        <f t="shared" si="115"/>
        <v>0</v>
      </c>
      <c r="Y86" s="1375"/>
      <c r="Z86" s="1376">
        <f t="shared" si="116"/>
        <v>0</v>
      </c>
      <c r="AA86" s="1376">
        <f t="shared" si="117"/>
        <v>0</v>
      </c>
      <c r="AB86" s="1376">
        <f t="shared" si="118"/>
        <v>0</v>
      </c>
      <c r="AC86" s="1376">
        <f t="shared" si="119"/>
        <v>0</v>
      </c>
      <c r="AD86" s="1376">
        <f t="shared" si="120"/>
        <v>0</v>
      </c>
      <c r="AE86" s="1376">
        <f t="shared" si="121"/>
        <v>0</v>
      </c>
      <c r="AF86" s="1376">
        <f t="shared" si="122"/>
        <v>0</v>
      </c>
      <c r="AG86" s="1376">
        <f t="shared" si="123"/>
        <v>0</v>
      </c>
      <c r="AH86" s="1374"/>
      <c r="AI86" s="444">
        <f t="shared" si="168"/>
        <v>0</v>
      </c>
      <c r="AJ86" s="1090"/>
      <c r="AK86" s="1377"/>
      <c r="AL86" s="811" t="str">
        <f t="shared" si="125"/>
        <v/>
      </c>
      <c r="AM86" s="666">
        <f>IFERROR(IF(AND(AT86="",AR86&lt;&gt;S.CAL!$BJ$3,AR86&lt;&gt;S.CAL!$BJ$4,$AR$50="NON"),M86-BD86,IF(AND(AT86="",AR86&lt;&gt;S.CAL!$BJ$3,AR86&lt;&gt;S.CAL!$BJ$4,$AR$50="OUI"),X86-AI86,IF(AT86&lt;&gt;0,AT86,IF(OR(AR86=S.CAL!$BJ$3,AR86=S.CAL!$BJ$4),AR86,"")))),"")</f>
        <v>0</v>
      </c>
      <c r="AN86" s="1093"/>
      <c r="AO86" s="1094"/>
      <c r="AP86" s="666">
        <f>+IF(AND(AU86="",BB86="OUI",BH86="non",BI86="OUI"),AM86,IF(AND(AU86="",BB86="OUI",BH86="oui",BI86="NON"),AM86,IF(AND(AU86="",BB86="NON",BH86="oui",BI86="NON"),M86,IF(AND(AU86="",BB86="NON",BH86="non",BI86="OUI"),M86,IF(AND(AU86="",BB86="OUI",BH86="non",BI86="NON"),"ERREUR",IF(AND(AU86="",BB86="NON",BH86="non",BI86="NON"),AM86,IF(AND(AU86="",BB86="OUI",BH86="",BI86=""),AM86,IF(AND(AU86="",BB86="NON",BH86="",BI86="",AZ86="NON"),M86,IF(AND(AU86="",BH86="",AZ86="OUI",AR86=""),AM86,IF(AND(AU86="",BH86="",AZ86="NON",AR86="",AT86=""),M86,IF(AND(OR(AR86=S.CAL!$BJ$3,AR86=S.CAL!$BJ$4),(VLOOKUP($AM$50,base_nbre_sem_mensu,2,FALSE)=52)),EE86,IF(AND(OR(AR86=S.CAL!$BJ$3,AR86=S.CAL!$BJ$4),(VLOOKUP($AM$50,base_nbre_sem_mensu,2,FALSE)&lt;52)),AM86,IF(AND(AT86&lt;&gt;"",AU86=""),AT86,AU86)))))))))))))</f>
        <v>0</v>
      </c>
      <c r="AQ86" s="1378">
        <f t="shared" si="145"/>
        <v>0</v>
      </c>
      <c r="AR86" s="1106"/>
      <c r="AS86" s="1374"/>
      <c r="AT86" s="1101"/>
      <c r="AU86" s="813"/>
      <c r="AV86" s="1370" t="str">
        <f t="shared" si="126"/>
        <v/>
      </c>
      <c r="AW86" s="1374"/>
      <c r="AX86" s="511" t="str">
        <f t="shared" si="146"/>
        <v/>
      </c>
      <c r="AY86" s="523">
        <f t="shared" si="147"/>
        <v>0</v>
      </c>
      <c r="AZ86" s="520" t="s">
        <v>137</v>
      </c>
      <c r="BA86" s="516">
        <f t="shared" si="148"/>
        <v>0</v>
      </c>
      <c r="BB86" s="549" t="str">
        <f t="shared" si="127"/>
        <v/>
      </c>
      <c r="BC86" s="523">
        <f t="shared" si="149"/>
        <v>0</v>
      </c>
      <c r="BD86" s="523">
        <f t="shared" si="150"/>
        <v>0</v>
      </c>
      <c r="BE86" s="1104"/>
      <c r="BF86" s="514" t="str">
        <f t="shared" si="128"/>
        <v/>
      </c>
      <c r="BG86" s="514" t="str">
        <f t="shared" si="151"/>
        <v>oui</v>
      </c>
      <c r="BH86" s="377" t="str">
        <f t="shared" si="129"/>
        <v/>
      </c>
      <c r="BI86" s="24" t="str">
        <f t="shared" si="130"/>
        <v/>
      </c>
      <c r="BJ86" s="1382"/>
      <c r="BK86" s="1382"/>
      <c r="BL86" s="1382"/>
      <c r="BM86" s="1382"/>
      <c r="BN86" s="1382"/>
      <c r="BO86" s="1382"/>
      <c r="BP86" s="1382"/>
      <c r="BQ86" s="1382"/>
      <c r="BR86" s="1383"/>
      <c r="BS86" s="1370" t="str">
        <f t="shared" si="97"/>
        <v/>
      </c>
      <c r="BT86" s="1384" t="str">
        <f t="shared" si="159"/>
        <v/>
      </c>
      <c r="BU86" s="1382"/>
      <c r="BV86" s="1382"/>
      <c r="BW86" s="1382"/>
      <c r="BX86" s="1382"/>
      <c r="BY86" s="1382"/>
      <c r="BZ86" s="1382"/>
      <c r="CA86" s="1382"/>
      <c r="CB86" s="1382"/>
      <c r="CD86" s="1386">
        <f t="shared" si="152"/>
        <v>0</v>
      </c>
      <c r="DC86" s="16" t="str">
        <f>Février!FC49</f>
        <v/>
      </c>
      <c r="DG86" s="315">
        <f t="shared" si="153"/>
        <v>1</v>
      </c>
      <c r="DH86" s="129">
        <f t="shared" si="131"/>
        <v>10</v>
      </c>
      <c r="DI86" s="129">
        <f t="shared" si="154"/>
        <v>1</v>
      </c>
      <c r="DK86" s="16">
        <f>+IF(AND(Février!$DP$8&lt;&gt;52,AR86=S.CAL!$BJ$4),10,1)</f>
        <v>1</v>
      </c>
      <c r="DN86" s="16">
        <f t="shared" si="132"/>
        <v>1</v>
      </c>
      <c r="DU86" s="1274" t="str">
        <f t="shared" si="155"/>
        <v>Fiche infoA0</v>
      </c>
      <c r="DV86" s="1362">
        <f t="shared" si="133"/>
        <v>0</v>
      </c>
      <c r="DW86" s="1363">
        <f t="shared" si="134"/>
        <v>0</v>
      </c>
      <c r="DX86" s="1363">
        <f t="shared" si="135"/>
        <v>0</v>
      </c>
      <c r="DY86" s="1363">
        <f t="shared" si="136"/>
        <v>0</v>
      </c>
      <c r="DZ86" s="1363">
        <f t="shared" si="137"/>
        <v>0</v>
      </c>
      <c r="EA86" s="1363">
        <f t="shared" si="138"/>
        <v>0</v>
      </c>
      <c r="EB86" s="1363">
        <f t="shared" si="139"/>
        <v>0</v>
      </c>
      <c r="EC86" s="1363">
        <f t="shared" si="140"/>
        <v>0</v>
      </c>
      <c r="ED86" s="1363">
        <f t="shared" si="156"/>
        <v>0</v>
      </c>
      <c r="EE86" s="1364">
        <f t="shared" si="157"/>
        <v>0</v>
      </c>
      <c r="EG86" s="16" t="e">
        <f t="shared" si="158"/>
        <v>#VALUE!</v>
      </c>
      <c r="EH86" s="16" t="str">
        <f t="shared" si="141"/>
        <v>Fiche infoA0</v>
      </c>
      <c r="EI86" s="16" t="e">
        <f t="shared" si="142"/>
        <v>#N/A</v>
      </c>
    </row>
    <row r="87" spans="1:145" x14ac:dyDescent="0.2">
      <c r="A87" s="24" t="str">
        <f>Février!BJ50</f>
        <v>Fiche infoA0</v>
      </c>
      <c r="B87" s="812" t="str">
        <f>Février!AB50</f>
        <v/>
      </c>
      <c r="C87" s="1371"/>
      <c r="D87" s="983">
        <f t="shared" si="98"/>
        <v>0</v>
      </c>
      <c r="E87" s="984">
        <f t="shared" si="99"/>
        <v>0</v>
      </c>
      <c r="F87" s="984">
        <f t="shared" si="100"/>
        <v>0</v>
      </c>
      <c r="G87" s="984">
        <f t="shared" si="101"/>
        <v>0</v>
      </c>
      <c r="H87" s="984">
        <f t="shared" si="102"/>
        <v>0</v>
      </c>
      <c r="I87" s="984">
        <f t="shared" si="103"/>
        <v>0</v>
      </c>
      <c r="J87" s="984">
        <f t="shared" si="104"/>
        <v>0</v>
      </c>
      <c r="K87" s="984">
        <f t="shared" si="105"/>
        <v>0</v>
      </c>
      <c r="L87" s="984">
        <f t="shared" si="143"/>
        <v>0</v>
      </c>
      <c r="M87" s="985">
        <f t="shared" si="144"/>
        <v>0</v>
      </c>
      <c r="O87" s="983">
        <f t="shared" si="160"/>
        <v>0</v>
      </c>
      <c r="P87" s="984">
        <f t="shared" si="161"/>
        <v>0</v>
      </c>
      <c r="Q87" s="984">
        <f t="shared" si="162"/>
        <v>0</v>
      </c>
      <c r="R87" s="984">
        <f t="shared" si="163"/>
        <v>0</v>
      </c>
      <c r="S87" s="984">
        <f t="shared" si="164"/>
        <v>0</v>
      </c>
      <c r="T87" s="984">
        <f t="shared" si="165"/>
        <v>0</v>
      </c>
      <c r="U87" s="984">
        <f t="shared" si="166"/>
        <v>0</v>
      </c>
      <c r="V87" s="984">
        <f t="shared" si="167"/>
        <v>0</v>
      </c>
      <c r="W87" s="984">
        <f t="shared" si="114"/>
        <v>0</v>
      </c>
      <c r="X87" s="985">
        <f t="shared" si="115"/>
        <v>0</v>
      </c>
      <c r="Y87" s="441"/>
      <c r="Z87" s="277">
        <f t="shared" si="116"/>
        <v>0</v>
      </c>
      <c r="AA87" s="277">
        <f t="shared" si="117"/>
        <v>0</v>
      </c>
      <c r="AB87" s="277">
        <f t="shared" si="118"/>
        <v>0</v>
      </c>
      <c r="AC87" s="277">
        <f t="shared" si="119"/>
        <v>0</v>
      </c>
      <c r="AD87" s="277">
        <f t="shared" si="120"/>
        <v>0</v>
      </c>
      <c r="AE87" s="277">
        <f t="shared" si="121"/>
        <v>0</v>
      </c>
      <c r="AF87" s="277">
        <f t="shared" si="122"/>
        <v>0</v>
      </c>
      <c r="AG87" s="277">
        <f t="shared" si="123"/>
        <v>0</v>
      </c>
      <c r="AI87" s="444">
        <f t="shared" si="168"/>
        <v>0</v>
      </c>
      <c r="AJ87" s="1090"/>
      <c r="AK87" s="489"/>
      <c r="AL87" s="812" t="str">
        <f t="shared" si="125"/>
        <v/>
      </c>
      <c r="AM87" s="499">
        <f>IFERROR(IF(AND(AT87="",AR87&lt;&gt;S.CAL!$BJ$3,AR87&lt;&gt;S.CAL!$BJ$4,$AR$50="NON"),M87-BD87,IF(AND(AT87="",AR87&lt;&gt;S.CAL!$BJ$3,AR87&lt;&gt;S.CAL!$BJ$4,$AR$50="OUI"),X87-AI87,IF(AT87&lt;&gt;0,AT87,IF(OR(AR87=S.CAL!$BJ$3,AR87=S.CAL!$BJ$4),AR87,"")))),"")</f>
        <v>0</v>
      </c>
      <c r="AN87" s="1095"/>
      <c r="AO87" s="1096"/>
      <c r="AP87" s="499">
        <f>+IF(AND(AU87="",BB87="OUI",BH87="non",BI87="OUI"),AM87,IF(AND(AU87="",BB87="OUI",BH87="oui",BI87="NON"),AM87,IF(AND(AU87="",BB87="NON",BH87="oui",BI87="NON"),M87,IF(AND(AU87="",BB87="NON",BH87="non",BI87="OUI"),M87,IF(AND(AU87="",BB87="OUI",BH87="non",BI87="NON"),"ERREUR",IF(AND(AU87="",BB87="NON",BH87="non",BI87="NON"),AM87,IF(AND(AU87="",BB87="OUI",BH87="",BI87=""),AM87,IF(AND(AU87="",BB87="NON",BH87="",BI87="",AZ87="NON"),M87,IF(AND(AU87="",BH87="",AZ87="OUI",AR87=""),AM87,IF(AND(AU87="",BH87="",AZ87="NON",AR87="",AT87=""),M87,IF(AND(OR(AR87=S.CAL!$BJ$3,AR87=S.CAL!$BJ$4),(VLOOKUP($AM$50,base_nbre_sem_mensu,2,FALSE)=52)),EE87,IF(AND(OR(AR87=S.CAL!$BJ$3,AR87=S.CAL!$BJ$4),(VLOOKUP($AM$50,base_nbre_sem_mensu,2,FALSE)&lt;52)),AM87,IF(AND(AT87&lt;&gt;"",AU87=""),AT87,AU87)))))))))))))</f>
        <v>0</v>
      </c>
      <c r="AQ87" s="498">
        <f t="shared" si="145"/>
        <v>0</v>
      </c>
      <c r="AR87" s="1107"/>
      <c r="AT87" s="1102"/>
      <c r="AU87" s="814"/>
      <c r="AV87" s="812" t="str">
        <f t="shared" si="126"/>
        <v/>
      </c>
      <c r="AX87" s="511" t="str">
        <f t="shared" si="146"/>
        <v/>
      </c>
      <c r="AY87" s="524">
        <f t="shared" si="147"/>
        <v>0</v>
      </c>
      <c r="AZ87" s="521" t="s">
        <v>137</v>
      </c>
      <c r="BA87" s="534">
        <f t="shared" si="148"/>
        <v>0</v>
      </c>
      <c r="BB87" s="522" t="str">
        <f t="shared" si="127"/>
        <v/>
      </c>
      <c r="BC87" s="524">
        <f t="shared" si="149"/>
        <v>0</v>
      </c>
      <c r="BD87" s="524">
        <f t="shared" si="150"/>
        <v>0</v>
      </c>
      <c r="BE87" s="1105"/>
      <c r="BF87" s="514" t="str">
        <f t="shared" si="128"/>
        <v/>
      </c>
      <c r="BG87" s="514" t="str">
        <f t="shared" si="151"/>
        <v>oui</v>
      </c>
      <c r="BH87" s="377" t="str">
        <f t="shared" si="129"/>
        <v/>
      </c>
      <c r="BI87" s="24" t="str">
        <f t="shared" si="130"/>
        <v/>
      </c>
      <c r="BJ87" s="1381"/>
      <c r="BK87" s="1381"/>
      <c r="BL87" s="1381"/>
      <c r="BM87" s="1381"/>
      <c r="BN87" s="1381"/>
      <c r="BO87" s="1381"/>
      <c r="BP87" s="1381"/>
      <c r="BQ87" s="1381"/>
      <c r="BS87" s="812" t="str">
        <f t="shared" si="97"/>
        <v/>
      </c>
      <c r="BT87" s="27" t="str">
        <f t="shared" si="159"/>
        <v/>
      </c>
      <c r="BU87" s="1380"/>
      <c r="BV87" s="1380"/>
      <c r="BW87" s="1380"/>
      <c r="BX87" s="1380"/>
      <c r="BY87" s="1380"/>
      <c r="BZ87" s="1380"/>
      <c r="CA87" s="1380"/>
      <c r="CB87" s="1380"/>
      <c r="CD87" s="1387">
        <f t="shared" si="152"/>
        <v>0</v>
      </c>
      <c r="DC87" s="16" t="str">
        <f>Février!FC50</f>
        <v/>
      </c>
      <c r="DG87" s="315">
        <f t="shared" si="153"/>
        <v>1</v>
      </c>
      <c r="DH87" s="129">
        <f t="shared" si="131"/>
        <v>10</v>
      </c>
      <c r="DI87" s="129">
        <f t="shared" si="154"/>
        <v>1</v>
      </c>
      <c r="DK87" s="16">
        <f>+IF(AND(Février!$DP$8&lt;&gt;52,AR87=S.CAL!$BJ$4),10,1)</f>
        <v>1</v>
      </c>
      <c r="DN87" s="16">
        <f t="shared" si="132"/>
        <v>1</v>
      </c>
      <c r="DU87" s="1274" t="str">
        <f t="shared" si="155"/>
        <v>Fiche infoA0</v>
      </c>
      <c r="DV87" s="1362">
        <f t="shared" si="133"/>
        <v>0</v>
      </c>
      <c r="DW87" s="1363">
        <f t="shared" si="134"/>
        <v>0</v>
      </c>
      <c r="DX87" s="1363">
        <f t="shared" si="135"/>
        <v>0</v>
      </c>
      <c r="DY87" s="1363">
        <f t="shared" si="136"/>
        <v>0</v>
      </c>
      <c r="DZ87" s="1363">
        <f t="shared" si="137"/>
        <v>0</v>
      </c>
      <c r="EA87" s="1363">
        <f t="shared" si="138"/>
        <v>0</v>
      </c>
      <c r="EB87" s="1363">
        <f t="shared" si="139"/>
        <v>0</v>
      </c>
      <c r="EC87" s="1363">
        <f t="shared" si="140"/>
        <v>0</v>
      </c>
      <c r="ED87" s="1363">
        <f t="shared" si="156"/>
        <v>0</v>
      </c>
      <c r="EE87" s="1364">
        <f t="shared" si="157"/>
        <v>0</v>
      </c>
      <c r="EG87" s="16" t="e">
        <f t="shared" si="158"/>
        <v>#VALUE!</v>
      </c>
      <c r="EH87" s="16" t="str">
        <f t="shared" si="141"/>
        <v>Fiche infoA0</v>
      </c>
      <c r="EI87" s="16" t="e">
        <f t="shared" si="142"/>
        <v>#N/A</v>
      </c>
    </row>
    <row r="88" spans="1:145" x14ac:dyDescent="0.2">
      <c r="AM88" s="536">
        <f>SUM(AM57:AM87)</f>
        <v>0</v>
      </c>
      <c r="AN88" s="500">
        <f>SUM(AN57:AN87)</f>
        <v>0</v>
      </c>
      <c r="AO88" s="500">
        <f>SUM(AO57:AO87)</f>
        <v>0</v>
      </c>
      <c r="AP88" s="501">
        <f>SUM(AP57:AP87)</f>
        <v>0</v>
      </c>
      <c r="BD88" s="537">
        <f>SUM(BD57:BD87)</f>
        <v>0</v>
      </c>
      <c r="EE88" s="1364"/>
    </row>
    <row r="89" spans="1:145" x14ac:dyDescent="0.2">
      <c r="X89" s="29" t="s">
        <v>441</v>
      </c>
      <c r="Y89" s="29"/>
      <c r="Z89" s="29"/>
      <c r="AA89" s="29"/>
      <c r="AB89" s="29"/>
      <c r="AC89" s="29"/>
      <c r="AD89" s="29"/>
      <c r="AE89" s="29"/>
      <c r="AF89" s="29"/>
      <c r="AG89" s="29"/>
      <c r="AI89" s="445">
        <f>SUM(AI57:AI87)</f>
        <v>0</v>
      </c>
      <c r="AJ89" s="19"/>
      <c r="AK89" s="19"/>
      <c r="AL89" s="19"/>
      <c r="AM89" s="19"/>
      <c r="AN89" s="19"/>
      <c r="AO89" s="19"/>
      <c r="AP89" s="19"/>
      <c r="AQ89" s="494"/>
    </row>
    <row r="91" spans="1:145" ht="23.25" x14ac:dyDescent="0.35">
      <c r="B91" s="435" t="s">
        <v>794</v>
      </c>
      <c r="C91" s="435"/>
      <c r="D91" s="435"/>
      <c r="BS91" s="19" t="s">
        <v>1524</v>
      </c>
      <c r="EK91" s="16" t="str">
        <f>+EG101</f>
        <v>numero sem</v>
      </c>
      <c r="EL91" s="27" t="s">
        <v>1518</v>
      </c>
      <c r="EM91" s="27" t="s">
        <v>1519</v>
      </c>
      <c r="EN91" s="16" t="s">
        <v>1520</v>
      </c>
    </row>
    <row r="92" spans="1:145" ht="13.5" thickBot="1" x14ac:dyDescent="0.25">
      <c r="AR92" s="1717" t="s">
        <v>989</v>
      </c>
      <c r="AS92" s="1718"/>
      <c r="AT92" s="1719"/>
      <c r="BT92" s="29" t="s">
        <v>1527</v>
      </c>
      <c r="BU92" s="27" t="str">
        <f>+IFERROR(EJ92,"")</f>
        <v>9</v>
      </c>
      <c r="BV92" s="53" t="str">
        <f>IF(BU92="","",+EN92)</f>
        <v>non</v>
      </c>
      <c r="BW92" s="1729" t="str">
        <f>+IF(BV92="oui", "Ecart "&amp;EO92&amp;" hrs","")</f>
        <v/>
      </c>
      <c r="BX92" s="1729"/>
      <c r="EJ92" s="16" t="str">
        <f>LEFT(EK92,LEN(EK92)-4)</f>
        <v>9</v>
      </c>
      <c r="EK92" s="16" t="str" cm="1">
        <f t="array" ref="EK92">IFERROR(INDEX(EG102:EG132,MATCH(0,INDEX(COUNTIF(EK91:EK91,EG102:EG132),0,0),0)),"")</f>
        <v>92026</v>
      </c>
      <c r="EL92" s="27">
        <f>+SUMIFS($EE$12:$EE$537,$EG$12:$EG$537,EK92)</f>
        <v>0</v>
      </c>
      <c r="EM92" s="27">
        <f>+SUMIFS($EI$12:$EI$537,$EG$12:$EG$537,EK92)</f>
        <v>0</v>
      </c>
      <c r="EN92" s="16" t="str">
        <f t="shared" ref="EN92:EN97" si="169">+IF(AND(EL92&lt;&gt;EM92,EK92&lt;&gt;""),"oui","non")</f>
        <v>non</v>
      </c>
      <c r="EO92" s="16">
        <f>+EL92-EM92</f>
        <v>0</v>
      </c>
    </row>
    <row r="93" spans="1:145" ht="13.5" thickTop="1" x14ac:dyDescent="0.2">
      <c r="C93" s="39" t="s">
        <v>793</v>
      </c>
      <c r="D93" s="1713">
        <f>+Identification!$B$7</f>
        <v>0</v>
      </c>
      <c r="E93" s="1713"/>
      <c r="F93" s="1713"/>
      <c r="G93" s="1713"/>
      <c r="O93" s="436" t="s">
        <v>76</v>
      </c>
      <c r="P93" s="32"/>
      <c r="Q93" s="33"/>
      <c r="R93" s="436" t="s">
        <v>140</v>
      </c>
      <c r="S93" s="32"/>
      <c r="T93" s="32"/>
      <c r="U93" s="32"/>
      <c r="V93" s="32"/>
      <c r="W93" s="32"/>
      <c r="X93" s="33"/>
      <c r="AR93" s="1720"/>
      <c r="AS93" s="1721"/>
      <c r="AT93" s="1722"/>
      <c r="BU93" s="27" t="str">
        <f t="shared" ref="BU93:BU97" si="170">+IFERROR(EJ93,"")</f>
        <v>10</v>
      </c>
      <c r="BV93" s="53" t="str">
        <f t="shared" ref="BV93:BV97" si="171">IF(BU93="","",+EN93)</f>
        <v>non</v>
      </c>
      <c r="BW93" s="1729" t="str">
        <f t="shared" ref="BW93:BW97" si="172">+IF(BV93="oui", "Ecart "&amp;EO93&amp;" hrs","")</f>
        <v/>
      </c>
      <c r="BX93" s="1729"/>
      <c r="EJ93" s="16" t="str">
        <f t="shared" ref="EJ93:EJ98" si="173">LEFT(EK93,LEN(EK93)-4)</f>
        <v>10</v>
      </c>
      <c r="EK93" s="16" t="str" cm="1">
        <f t="array" ref="EK93">IFERROR(INDEX(EG102:EG132,MATCH(0,INDEX(COUNTIF(EK91:EK92,EG102:EG132),0,0),0)),"")</f>
        <v>102026</v>
      </c>
      <c r="EL93" s="27">
        <f t="shared" ref="EL93:EL97" si="174">+SUMIFS($EE$12:$EE$537,$EG$12:$EG$537,EK93)</f>
        <v>0</v>
      </c>
      <c r="EM93" s="27">
        <f t="shared" ref="EM93:EM98" si="175">+SUMIFS($EI$12:$EI$537,$EG$12:$EG$537,EK93)</f>
        <v>0</v>
      </c>
      <c r="EN93" s="16" t="str">
        <f t="shared" si="169"/>
        <v>non</v>
      </c>
      <c r="EO93" s="16">
        <f t="shared" ref="EO93:EO98" si="176">+EL93-EM93</f>
        <v>0</v>
      </c>
    </row>
    <row r="94" spans="1:145" x14ac:dyDescent="0.2">
      <c r="O94" s="35"/>
      <c r="Q94" s="36"/>
      <c r="R94" s="1723"/>
      <c r="S94" s="1724"/>
      <c r="T94" s="1724"/>
      <c r="U94" s="1724"/>
      <c r="V94" s="1724"/>
      <c r="W94" s="1724"/>
      <c r="X94" s="1725"/>
      <c r="Y94" s="442"/>
      <c r="Z94" s="442"/>
      <c r="AA94" s="442"/>
      <c r="AB94" s="442"/>
      <c r="AC94" s="442"/>
      <c r="AD94" s="442"/>
      <c r="AE94" s="442"/>
      <c r="AF94" s="442"/>
      <c r="AG94" s="442"/>
      <c r="AR94" s="1720"/>
      <c r="AS94" s="1721"/>
      <c r="AT94" s="1722"/>
      <c r="BU94" s="27" t="str">
        <f t="shared" si="170"/>
        <v>11</v>
      </c>
      <c r="BV94" s="53" t="str">
        <f t="shared" si="171"/>
        <v>non</v>
      </c>
      <c r="BW94" s="1729" t="str">
        <f t="shared" si="172"/>
        <v/>
      </c>
      <c r="BX94" s="1729"/>
      <c r="EJ94" s="16" t="str">
        <f t="shared" si="173"/>
        <v>11</v>
      </c>
      <c r="EK94" s="16" t="str">
        <f t="array" ref="EK94">IFERROR(INDEX(EG102:EG132,MATCH(0,INDEX(COUNTIF(EK91:EK93,EG102:EG132),0,0),0)),"")</f>
        <v>112026</v>
      </c>
      <c r="EL94" s="27">
        <f t="shared" si="174"/>
        <v>0</v>
      </c>
      <c r="EM94" s="27">
        <f t="shared" si="175"/>
        <v>0</v>
      </c>
      <c r="EN94" s="16" t="str">
        <f t="shared" si="169"/>
        <v>non</v>
      </c>
      <c r="EO94" s="16">
        <f t="shared" si="176"/>
        <v>0</v>
      </c>
    </row>
    <row r="95" spans="1:145" x14ac:dyDescent="0.2">
      <c r="C95" s="39" t="s">
        <v>25</v>
      </c>
      <c r="D95" s="1713">
        <f>+Identification!$B$25</f>
        <v>0</v>
      </c>
      <c r="E95" s="1713"/>
      <c r="O95" s="35"/>
      <c r="Q95" s="36"/>
      <c r="R95" s="1723"/>
      <c r="S95" s="1724"/>
      <c r="T95" s="1724"/>
      <c r="U95" s="1724"/>
      <c r="V95" s="1724"/>
      <c r="W95" s="1724"/>
      <c r="X95" s="1725"/>
      <c r="Y95" s="442"/>
      <c r="Z95" s="442"/>
      <c r="AA95" s="442"/>
      <c r="AB95" s="442"/>
      <c r="AC95" s="442"/>
      <c r="AD95" s="442"/>
      <c r="AE95" s="442"/>
      <c r="AF95" s="442"/>
      <c r="AG95" s="442"/>
      <c r="AL95" s="16" t="str">
        <f t="shared" ref="AL95" si="177">C98</f>
        <v>Mois :</v>
      </c>
      <c r="AM95" s="1716">
        <f t="shared" ref="AM95" si="178">D98</f>
        <v>46082</v>
      </c>
      <c r="AN95" s="1716">
        <f t="shared" ref="AN95" si="179">E98</f>
        <v>0</v>
      </c>
      <c r="AR95" s="539" t="str">
        <f>IF(AT95="",AR50,AT95)</f>
        <v>NON</v>
      </c>
      <c r="AS95" s="538" t="s">
        <v>492</v>
      </c>
      <c r="AT95" s="1083"/>
      <c r="BJ95" s="16" t="str">
        <f t="shared" ref="BJ95" si="180">AL95</f>
        <v>Mois :</v>
      </c>
      <c r="BK95" s="1716">
        <f t="shared" ref="BK95" si="181">AM95</f>
        <v>46082</v>
      </c>
      <c r="BL95" s="1716"/>
      <c r="BU95" s="27" t="str">
        <f t="shared" si="170"/>
        <v>12</v>
      </c>
      <c r="BV95" s="53" t="str">
        <f t="shared" si="171"/>
        <v>non</v>
      </c>
      <c r="BW95" s="1729" t="str">
        <f t="shared" si="172"/>
        <v/>
      </c>
      <c r="BX95" s="1729"/>
      <c r="EJ95" s="16" t="str">
        <f t="shared" si="173"/>
        <v>12</v>
      </c>
      <c r="EK95" s="16" t="str">
        <f t="array" ref="EK95">IFERROR(INDEX(EG102:EG132,MATCH(0,INDEX(COUNTIF(EK91:EK94,EG102:EG132),0,0),0)),"")</f>
        <v>122026</v>
      </c>
      <c r="EL95" s="27">
        <f t="shared" si="174"/>
        <v>0</v>
      </c>
      <c r="EM95" s="27">
        <f t="shared" si="175"/>
        <v>0</v>
      </c>
      <c r="EN95" s="16" t="str">
        <f t="shared" si="169"/>
        <v>non</v>
      </c>
      <c r="EO95" s="16">
        <f t="shared" si="176"/>
        <v>0</v>
      </c>
    </row>
    <row r="96" spans="1:145" ht="13.5" thickBot="1" x14ac:dyDescent="0.25">
      <c r="O96" s="42"/>
      <c r="P96" s="43"/>
      <c r="Q96" s="44"/>
      <c r="R96" s="1726"/>
      <c r="S96" s="1727"/>
      <c r="T96" s="1727"/>
      <c r="U96" s="1727"/>
      <c r="V96" s="1727"/>
      <c r="W96" s="1727"/>
      <c r="X96" s="1728"/>
      <c r="Y96" s="442"/>
      <c r="Z96" s="442"/>
      <c r="AA96" s="442"/>
      <c r="AB96" s="442"/>
      <c r="AC96" s="442"/>
      <c r="AD96" s="442"/>
      <c r="AE96" s="442"/>
      <c r="AF96" s="442"/>
      <c r="AG96" s="442"/>
      <c r="BU96" s="27" t="str">
        <f t="shared" si="170"/>
        <v>13</v>
      </c>
      <c r="BV96" s="53" t="str">
        <f t="shared" si="171"/>
        <v>non</v>
      </c>
      <c r="BW96" s="1729" t="str">
        <f t="shared" si="172"/>
        <v/>
      </c>
      <c r="BX96" s="1729"/>
      <c r="EJ96" s="16" t="str">
        <f t="shared" si="173"/>
        <v>13</v>
      </c>
      <c r="EK96" s="16" t="str">
        <f t="array" ref="EK96">IFERROR(INDEX(EG102:EG132,MATCH(0,INDEX(COUNTIF(EK91:EK95,EG102:EG132),0,0),0)),"")</f>
        <v>132026</v>
      </c>
      <c r="EL96" s="27">
        <f t="shared" si="174"/>
        <v>0</v>
      </c>
      <c r="EM96" s="27">
        <f t="shared" si="175"/>
        <v>0</v>
      </c>
      <c r="EN96" s="16" t="str">
        <f t="shared" si="169"/>
        <v>non</v>
      </c>
      <c r="EO96" s="16">
        <f t="shared" si="176"/>
        <v>0</v>
      </c>
    </row>
    <row r="97" spans="1:145" ht="13.5" thickTop="1" x14ac:dyDescent="0.2">
      <c r="AI97" s="535" t="s">
        <v>986</v>
      </c>
      <c r="BU97" s="27" t="str">
        <f t="shared" si="170"/>
        <v>14</v>
      </c>
      <c r="BV97" s="53" t="str">
        <f t="shared" si="171"/>
        <v>non</v>
      </c>
      <c r="BW97" s="1729" t="str">
        <f t="shared" si="172"/>
        <v/>
      </c>
      <c r="BX97" s="1729"/>
      <c r="EJ97" s="16" t="str">
        <f t="shared" si="173"/>
        <v>14</v>
      </c>
      <c r="EK97" s="16" t="str">
        <f t="array" ref="EK97">IFERROR(INDEX(EG102:EG132,MATCH(0,INDEX(COUNTIF(EK91:EK96,EG102:EG132),0,0),0)),"")</f>
        <v>142026</v>
      </c>
      <c r="EL97" s="27">
        <f t="shared" si="174"/>
        <v>0</v>
      </c>
      <c r="EM97" s="27">
        <f t="shared" si="175"/>
        <v>0</v>
      </c>
      <c r="EN97" s="16" t="str">
        <f t="shared" si="169"/>
        <v>non</v>
      </c>
      <c r="EO97" s="16">
        <f t="shared" si="176"/>
        <v>0</v>
      </c>
    </row>
    <row r="98" spans="1:145" x14ac:dyDescent="0.2">
      <c r="C98" s="39" t="s">
        <v>28</v>
      </c>
      <c r="D98" s="1716">
        <f>+Mars!X3</f>
        <v>46082</v>
      </c>
      <c r="E98" s="1716"/>
      <c r="F98" s="39" t="s">
        <v>12</v>
      </c>
      <c r="G98" s="63">
        <f>+Mars!X4</f>
        <v>2026</v>
      </c>
      <c r="EJ98" s="16" t="e">
        <f t="shared" si="173"/>
        <v>#VALUE!</v>
      </c>
      <c r="EK98" s="16" t="str">
        <f t="array" ref="EK98">IFERROR(INDEX($EG$12:$EG$42,MATCH(0,INDEX(COUNTIF($EK$1:EK97,$EG$12:$EG$42),0,0),0)),"")</f>
        <v/>
      </c>
      <c r="EL98" s="27">
        <f>+SUMIFS($EE$12:$EE$537,$EG$12:$EG$537,EK98)</f>
        <v>0</v>
      </c>
      <c r="EM98" s="27">
        <f t="shared" si="175"/>
        <v>0</v>
      </c>
      <c r="EN98" s="16" t="str">
        <f>+IF(AND(EL98&lt;&gt;EM98,EK98&lt;&gt;""),"oui","non")</f>
        <v>non</v>
      </c>
      <c r="EO98" s="16">
        <f t="shared" si="176"/>
        <v>0</v>
      </c>
    </row>
    <row r="99" spans="1:145" x14ac:dyDescent="0.2">
      <c r="AL99" s="1714" t="s">
        <v>960</v>
      </c>
      <c r="AM99" s="1714"/>
      <c r="AN99" s="1714"/>
      <c r="AO99" s="1714"/>
      <c r="AP99" s="1714"/>
      <c r="AQ99" s="492"/>
      <c r="AT99" s="1715" t="s">
        <v>749</v>
      </c>
      <c r="AU99" s="1715"/>
      <c r="AV99" s="1715"/>
      <c r="AW99" s="63"/>
      <c r="AX99" s="63"/>
      <c r="AY99" s="517" t="s">
        <v>975</v>
      </c>
      <c r="AZ99" s="518"/>
      <c r="BA99" s="518"/>
      <c r="BB99" s="518"/>
      <c r="BC99" s="519"/>
      <c r="BD99" s="519"/>
      <c r="BE99" s="519"/>
      <c r="BF99" s="512"/>
      <c r="BG99" s="512"/>
      <c r="BJ99" s="437"/>
      <c r="BK99" s="437"/>
      <c r="BL99" s="437"/>
      <c r="BM99" s="437"/>
      <c r="BN99" s="437"/>
      <c r="BO99" s="437"/>
      <c r="BP99" s="437"/>
      <c r="BQ99" s="437"/>
      <c r="BU99" s="438"/>
      <c r="BV99" s="438"/>
      <c r="BW99" s="438"/>
      <c r="BX99" s="438"/>
      <c r="BY99" s="438"/>
      <c r="BZ99" s="438"/>
      <c r="CA99" s="438"/>
      <c r="CB99" s="438"/>
    </row>
    <row r="100" spans="1:145" ht="15" customHeight="1" x14ac:dyDescent="0.2">
      <c r="D100" s="439" t="s">
        <v>791</v>
      </c>
      <c r="E100" s="438"/>
      <c r="F100" s="438"/>
      <c r="G100" s="438"/>
      <c r="H100" s="438"/>
      <c r="I100" s="438"/>
      <c r="J100" s="438"/>
      <c r="K100" s="438"/>
      <c r="L100" s="438"/>
      <c r="M100" s="438"/>
      <c r="O100" s="440" t="s">
        <v>790</v>
      </c>
      <c r="P100" s="437"/>
      <c r="Q100" s="437"/>
      <c r="R100" s="437"/>
      <c r="S100" s="437"/>
      <c r="T100" s="437"/>
      <c r="U100" s="437"/>
      <c r="V100" s="437"/>
      <c r="W100" s="437"/>
      <c r="X100" s="437"/>
      <c r="BJ100" s="1087" t="s">
        <v>792</v>
      </c>
      <c r="BK100" s="1088"/>
      <c r="BL100" s="1088"/>
      <c r="BM100" s="1088"/>
      <c r="BN100" s="1088"/>
      <c r="BO100" s="1088"/>
      <c r="BP100" s="1088"/>
      <c r="BQ100" s="1088"/>
      <c r="BU100" s="1087" t="s">
        <v>1369</v>
      </c>
      <c r="BV100" s="1088"/>
      <c r="BW100" s="1088"/>
      <c r="BX100" s="1088"/>
      <c r="BY100" s="1088"/>
      <c r="BZ100" s="1088"/>
      <c r="CA100" s="1088"/>
      <c r="CB100" s="1088"/>
      <c r="DG100" s="315" t="s">
        <v>1326</v>
      </c>
      <c r="DH100" s="129"/>
      <c r="DI100" s="129"/>
      <c r="DK100" s="129" t="s">
        <v>1331</v>
      </c>
      <c r="DN100" s="16" t="s">
        <v>1334</v>
      </c>
      <c r="DV100" s="825" t="s">
        <v>1521</v>
      </c>
      <c r="DW100" s="825"/>
      <c r="DX100" s="825"/>
      <c r="DY100" s="825"/>
      <c r="DZ100" s="825"/>
      <c r="EA100" s="825"/>
      <c r="EB100" s="825"/>
      <c r="EC100" s="825"/>
      <c r="ED100" s="825"/>
      <c r="EE100" s="825"/>
    </row>
    <row r="101" spans="1:145" ht="56.25" customHeight="1" x14ac:dyDescent="0.2">
      <c r="A101" s="24" t="s">
        <v>789</v>
      </c>
      <c r="B101" s="432" t="s">
        <v>16</v>
      </c>
      <c r="C101" s="433"/>
      <c r="D101" s="432" t="s">
        <v>219</v>
      </c>
      <c r="E101" s="432" t="s">
        <v>220</v>
      </c>
      <c r="F101" s="432" t="s">
        <v>221</v>
      </c>
      <c r="G101" s="432" t="s">
        <v>222</v>
      </c>
      <c r="H101" s="432" t="s">
        <v>522</v>
      </c>
      <c r="I101" s="432" t="s">
        <v>523</v>
      </c>
      <c r="J101" s="432" t="s">
        <v>524</v>
      </c>
      <c r="K101" s="432" t="s">
        <v>525</v>
      </c>
      <c r="L101" s="432" t="s">
        <v>182</v>
      </c>
      <c r="M101" s="432" t="s">
        <v>183</v>
      </c>
      <c r="N101" s="433"/>
      <c r="O101" s="432" t="s">
        <v>219</v>
      </c>
      <c r="P101" s="432" t="s">
        <v>220</v>
      </c>
      <c r="Q101" s="432" t="s">
        <v>221</v>
      </c>
      <c r="R101" s="432" t="s">
        <v>222</v>
      </c>
      <c r="S101" s="432" t="s">
        <v>522</v>
      </c>
      <c r="T101" s="432" t="s">
        <v>523</v>
      </c>
      <c r="U101" s="432" t="s">
        <v>524</v>
      </c>
      <c r="V101" s="432" t="s">
        <v>525</v>
      </c>
      <c r="W101" s="432" t="s">
        <v>182</v>
      </c>
      <c r="X101" s="432" t="s">
        <v>183</v>
      </c>
      <c r="Y101" s="433"/>
      <c r="Z101" s="432" t="s">
        <v>796</v>
      </c>
      <c r="AA101" s="432" t="s">
        <v>797</v>
      </c>
      <c r="AB101" s="432" t="s">
        <v>798</v>
      </c>
      <c r="AC101" s="432" t="s">
        <v>799</v>
      </c>
      <c r="AD101" s="432" t="s">
        <v>800</v>
      </c>
      <c r="AE101" s="432" t="s">
        <v>801</v>
      </c>
      <c r="AF101" s="432" t="s">
        <v>802</v>
      </c>
      <c r="AG101" s="432" t="s">
        <v>803</v>
      </c>
      <c r="AI101" s="432" t="s">
        <v>804</v>
      </c>
      <c r="AJ101" s="432" t="s">
        <v>795</v>
      </c>
      <c r="AK101" s="433"/>
      <c r="AL101" s="495" t="s">
        <v>16</v>
      </c>
      <c r="AM101" s="530" t="s">
        <v>1003</v>
      </c>
      <c r="AN101" s="1084" t="s">
        <v>958</v>
      </c>
      <c r="AO101" s="1085" t="s">
        <v>959</v>
      </c>
      <c r="AP101" s="496" t="s">
        <v>1707</v>
      </c>
      <c r="AQ101" s="493"/>
      <c r="AR101" s="1086" t="s">
        <v>684</v>
      </c>
      <c r="AT101" s="1086" t="s">
        <v>1333</v>
      </c>
      <c r="AU101" s="1085" t="s">
        <v>1707</v>
      </c>
      <c r="AV101" s="432" t="s">
        <v>16</v>
      </c>
      <c r="AW101" s="433"/>
      <c r="AX101" s="433"/>
      <c r="AY101" s="529" t="s">
        <v>972</v>
      </c>
      <c r="AZ101" s="530" t="s">
        <v>978</v>
      </c>
      <c r="BA101" s="513" t="s">
        <v>976</v>
      </c>
      <c r="BB101" s="550" t="s">
        <v>977</v>
      </c>
      <c r="BC101" s="551" t="s">
        <v>1005</v>
      </c>
      <c r="BD101" s="550" t="s">
        <v>979</v>
      </c>
      <c r="BE101" s="552" t="s">
        <v>1004</v>
      </c>
      <c r="BF101" s="513" t="s">
        <v>980</v>
      </c>
      <c r="BG101" s="513" t="s">
        <v>985</v>
      </c>
      <c r="BI101" s="24" t="s">
        <v>1011</v>
      </c>
      <c r="BJ101" s="432" t="s">
        <v>219</v>
      </c>
      <c r="BK101" s="432" t="s">
        <v>220</v>
      </c>
      <c r="BL101" s="432" t="s">
        <v>221</v>
      </c>
      <c r="BM101" s="432" t="s">
        <v>222</v>
      </c>
      <c r="BN101" s="432" t="s">
        <v>522</v>
      </c>
      <c r="BO101" s="432" t="s">
        <v>523</v>
      </c>
      <c r="BP101" s="432" t="s">
        <v>524</v>
      </c>
      <c r="BQ101" s="432" t="s">
        <v>525</v>
      </c>
      <c r="BS101" s="1361" t="str">
        <f t="shared" ref="BS101:BS132" si="182">AV101</f>
        <v>Jours</v>
      </c>
      <c r="BU101" s="432" t="s">
        <v>219</v>
      </c>
      <c r="BV101" s="432" t="s">
        <v>220</v>
      </c>
      <c r="BW101" s="432" t="s">
        <v>221</v>
      </c>
      <c r="BX101" s="432" t="s">
        <v>222</v>
      </c>
      <c r="BY101" s="432" t="s">
        <v>522</v>
      </c>
      <c r="BZ101" s="432" t="s">
        <v>523</v>
      </c>
      <c r="CA101" s="432" t="s">
        <v>524</v>
      </c>
      <c r="CB101" s="432" t="s">
        <v>525</v>
      </c>
      <c r="CD101" s="1361" t="s">
        <v>1526</v>
      </c>
      <c r="CS101" s="488"/>
      <c r="CT101" s="488"/>
      <c r="CU101" s="488"/>
      <c r="CV101" s="488"/>
      <c r="DG101" s="315" t="s">
        <v>1327</v>
      </c>
      <c r="DH101" s="129" t="s">
        <v>1328</v>
      </c>
      <c r="DI101" s="129" t="s">
        <v>1330</v>
      </c>
      <c r="DK101" s="129" t="s">
        <v>1332</v>
      </c>
      <c r="DU101" s="1361" t="s">
        <v>238</v>
      </c>
      <c r="DV101" s="1361" t="s">
        <v>219</v>
      </c>
      <c r="DW101" s="1361" t="s">
        <v>220</v>
      </c>
      <c r="DX101" s="1361" t="s">
        <v>221</v>
      </c>
      <c r="DY101" s="1361" t="s">
        <v>222</v>
      </c>
      <c r="DZ101" s="1361" t="s">
        <v>522</v>
      </c>
      <c r="EA101" s="1361" t="s">
        <v>523</v>
      </c>
      <c r="EB101" s="1361" t="s">
        <v>524</v>
      </c>
      <c r="EC101" s="1361" t="s">
        <v>525</v>
      </c>
      <c r="ED101" s="1361" t="s">
        <v>182</v>
      </c>
      <c r="EE101" s="1361" t="s">
        <v>183</v>
      </c>
      <c r="EG101" s="1361" t="s">
        <v>1224</v>
      </c>
      <c r="EH101" s="1361" t="s">
        <v>1522</v>
      </c>
      <c r="EI101" s="1361" t="s">
        <v>1523</v>
      </c>
    </row>
    <row r="102" spans="1:145" x14ac:dyDescent="0.2">
      <c r="A102" s="24" t="str">
        <f>Mars!BJ20</f>
        <v>Fiche infoA7</v>
      </c>
      <c r="B102" s="810">
        <f>Mars!AB20</f>
        <v>46082</v>
      </c>
      <c r="C102" s="1371"/>
      <c r="D102" s="978">
        <f t="shared" ref="D102:D132" si="183">IF(AR102&lt;&gt;"",0,IF(DN102=10,0,IFERROR(+IF(BU102="",VLOOKUP(A102,base_horaire,2,FALSE),BU102),0)))</f>
        <v>0</v>
      </c>
      <c r="E102" s="979">
        <f t="shared" ref="E102:E132" si="184">IF(AR102&lt;&gt;"",0,IF(DN102=10,0,IFERROR(+IF(BV102="",VLOOKUP(A102,base_horaire,3,FALSE),BV102),0)))</f>
        <v>0</v>
      </c>
      <c r="F102" s="979">
        <f t="shared" ref="F102:F132" si="185">IF(AR102&lt;&gt;"",0,IF(DN102=10,0,IFERROR(+IF(BW102="",VLOOKUP(A102,base_horaire,4,FALSE),BW102),0)))</f>
        <v>0</v>
      </c>
      <c r="G102" s="979">
        <f t="shared" ref="G102:G132" si="186">IF(AR102&lt;&gt;"",0,IF(DN102=10,0,IFERROR(+IF(BX102="",VLOOKUP(A102,base_horaire,5,FALSE),BX102),0)))</f>
        <v>0</v>
      </c>
      <c r="H102" s="979">
        <f t="shared" ref="H102:H132" si="187">IF(AR102&lt;&gt;"",0,IF(DN102=10,0,IFERROR(+IF(BY102="",VLOOKUP(A102,base_horaire,6,FALSE),BY102),0)))</f>
        <v>0</v>
      </c>
      <c r="I102" s="979">
        <f t="shared" ref="I102:I132" si="188">IF(AR102&lt;&gt;"",0,IF(DN102=10,0,IFERROR(+IF(BZ102="",VLOOKUP(A102,base_horaire,7,FALSE),BZ102),0)))</f>
        <v>0</v>
      </c>
      <c r="J102" s="979">
        <f t="shared" ref="J102:J132" si="189">IF(AR102&lt;&gt;"",0,IF(DN102=10,0,IFERROR(+IF(CA102="",VLOOKUP(A102,base_horaire,8,FALSE),CA102),0)))</f>
        <v>0</v>
      </c>
      <c r="K102" s="979">
        <f t="shared" ref="K102:K132" si="190">IF(AR102&lt;&gt;"",0,IF(DN102=10,0,IFERROR(+IF(CB102="",VLOOKUP(A102,base_horaire,9,FALSE),CB102),0)))</f>
        <v>0</v>
      </c>
      <c r="L102" s="979">
        <f>+E102-D102+G102-F102+I102-H102+K102-J102</f>
        <v>0</v>
      </c>
      <c r="M102" s="980">
        <f>ROUND(+L102*24,2)</f>
        <v>0</v>
      </c>
      <c r="O102" s="978">
        <f t="shared" ref="O102:O109" si="191">IF(AR102&lt;&gt;"",0,IF(DC102="oui",0,IF(AND(ISTEXT(AT102)=TRUE,BJ102=""),0,IF(BJ102="",D102,BJ102))))</f>
        <v>0</v>
      </c>
      <c r="P102" s="979">
        <f t="shared" ref="P102:P109" si="192">IF(AR102&lt;&gt;"",0,IF(DC102="oui",0,IF(AND(ISTEXT(AT102)=TRUE,BK102=""),0,IF(BK102="",E102,BK102))))</f>
        <v>0</v>
      </c>
      <c r="Q102" s="979">
        <f t="shared" ref="Q102:Q109" si="193">IF(AR102&lt;&gt;"",0,IF(DC102="oui",0,IF(AND(ISTEXT(AT102)=TRUE,BL102=""),0,IF(BL102="",F102,BL102))))</f>
        <v>0</v>
      </c>
      <c r="R102" s="979">
        <f t="shared" ref="R102:R109" si="194">IF(AR102&lt;&gt;"",0,IF(DC102="oui",0,IF(AND(ISTEXT(AT102)=TRUE,BM102=""),0,IF(BM102="",G102,BM102))))</f>
        <v>0</v>
      </c>
      <c r="S102" s="979">
        <f t="shared" ref="S102:S109" si="195">IF(AR102&lt;&gt;"",0,IF(DC102="oui",0,IF(AND(ISTEXT(AT102)=TRUE,BN102=""),0,IF(BN102="",H102,BN102))))</f>
        <v>0</v>
      </c>
      <c r="T102" s="979">
        <f t="shared" ref="T102:T109" si="196">IF(AR102&lt;&gt;"",0,IF(DC102="oui",0,IF(AND(ISTEXT(AT102)=TRUE,BO102=""),0,IF(BO102="",I102,BO102))))</f>
        <v>0</v>
      </c>
      <c r="U102" s="979">
        <f t="shared" ref="U102:U109" si="197">IF(AR102&lt;&gt;"",0,IF(DC102="oui",0,IF(AND(ISTEXT(AT102)=TRUE,BP102=""),0,IF(BP102="",J102,BP102))))</f>
        <v>0</v>
      </c>
      <c r="V102" s="979">
        <f t="shared" ref="V102:V109" si="198">IF(AR102&lt;&gt;"",0,IF(DC102="oui",0,IF(AND(ISTEXT(AT102)=TRUE,BQ102=""),0,IF(BQ102="",K102,BQ102))))</f>
        <v>0</v>
      </c>
      <c r="W102" s="979">
        <f t="shared" ref="W102:W132" si="199">+P102-O102+R102-Q102+T102-S102+V102-U102</f>
        <v>0</v>
      </c>
      <c r="X102" s="980">
        <f t="shared" ref="X102:X132" si="200">ROUND(+W102*24,2)</f>
        <v>0</v>
      </c>
      <c r="Y102" s="441"/>
      <c r="Z102" s="277">
        <f t="shared" ref="Z102:Z132" si="201">+IF(AND(O102&gt;D102,D102&gt;0),D102,O102)</f>
        <v>0</v>
      </c>
      <c r="AA102" s="277">
        <f t="shared" ref="AA102:AA132" si="202">+IF(P102&gt;E102,P102,E102)</f>
        <v>0</v>
      </c>
      <c r="AB102" s="277">
        <f t="shared" ref="AB102:AB132" si="203">+IF(AND(Q102&gt;F102,F102&gt;0),F102,Q102)</f>
        <v>0</v>
      </c>
      <c r="AC102" s="277">
        <f t="shared" ref="AC102:AC132" si="204">+IF(R102&gt;G102,R102,G102)</f>
        <v>0</v>
      </c>
      <c r="AD102" s="277">
        <f t="shared" ref="AD102:AD132" si="205">+IF(AND(S102&gt;H102,H102&gt;0),H102,S102)</f>
        <v>0</v>
      </c>
      <c r="AE102" s="277">
        <f t="shared" ref="AE102:AE132" si="206">+IF(T102&gt;I102,T102,I102)</f>
        <v>0</v>
      </c>
      <c r="AF102" s="277">
        <f t="shared" ref="AF102:AF132" si="207">+IF(AND(U102&gt;J102,J102&gt;0),J102,U102)</f>
        <v>0</v>
      </c>
      <c r="AG102" s="277">
        <f t="shared" ref="AG102:AG132" si="208">+IF(V102&gt;K102,V102,K102)</f>
        <v>0</v>
      </c>
      <c r="AI102" s="443">
        <f t="shared" ref="AI102:AI109" si="209">IF(DC102="oui",0,IF(AND(ISTEXT(AT102)=TRUE,OR(X102=0,X102="")),0,ROUND(((((AA102-Z102)-(E102-D102))+((AC102-AB102)-(G102-F102))+((AE102-AD102)-(I102-H102))+(AG102-AF102)-(K102-J102))*24),2)))</f>
        <v>0</v>
      </c>
      <c r="AJ102" s="1089"/>
      <c r="AK102" s="489"/>
      <c r="AL102" s="810">
        <f t="shared" ref="AL102:AL132" si="210">B102</f>
        <v>46082</v>
      </c>
      <c r="AM102" s="497">
        <f>IFERROR(IF(AND(AT102="",AR102&lt;&gt;S.CAL!$BJ$3,AR102&lt;&gt;S.CAL!$BJ$4,$AR$95="NON"),M102-BD102,IF(AND(AT102="",AR102&lt;&gt;S.CAL!$BJ$3,AR102&lt;&gt;S.CAL!$BJ$4,$AR$95="OUI"),X102-AI102,IF(AT102&lt;&gt;0,AT102,IF(OR(AR102=S.CAL!$BJ$3,AR102=S.CAL!$BJ$4),AR102,"")))),"")</f>
        <v>0</v>
      </c>
      <c r="AN102" s="1091"/>
      <c r="AO102" s="1092"/>
      <c r="AP102" s="497">
        <f>+IF(AND(AU102="",BB102="OUI",BH102="non",BI102="OUI"),AM102,IF(AND(AU102="",BB102="OUI",BH102="oui",BI102="NON"),AM102,IF(AND(AU102="",BB102="NON",BH102="oui",BI102="NON"),M102,IF(AND(AU102="",BB102="NON",BH102="non",BI102="OUI"),M102,IF(AND(AU102="",BB102="OUI",BH102="non",BI102="NON"),"ERREUR",IF(AND(AU102="",BB102="NON",BH102="non",BI102="NON"),AM102,IF(AND(AU102="",BB102="OUI",BH102="",BI102=""),AM102,IF(AND(AU102="",BB102="NON",BH102="",BI102="",AZ102="NON"),M102,IF(AND(AU102="",BH102="",AZ102="OUI",AR102=""),AM102,IF(AND(AU102="",BH102="",AZ102="NON",AR102="",AT102=""),M102,IF(AND(OR(AR102=S.CAL!$BJ$3,AR102=S.CAL!$BJ$4),(VLOOKUP($AM$95,base_nbre_sem_mensu,2,FALSE)=52)),EE102,IF(AND(OR(AR102=S.CAL!$BJ$3,AR102=S.CAL!$BJ$4),(VLOOKUP($AM$95,base_nbre_sem_mensu,2,FALSE)&lt;52)),AM102,IF(AND(AT102&lt;&gt;"",AU102=""),AT102,AU102)))))))))))))</f>
        <v>0</v>
      </c>
      <c r="AQ102" s="498">
        <f>AI102-SUM(AN102:AO102)</f>
        <v>0</v>
      </c>
      <c r="AR102" s="1097"/>
      <c r="AT102" s="1100"/>
      <c r="AU102" s="813"/>
      <c r="AV102" s="1369">
        <f t="shared" ref="AV102:AV132" si="211">B102</f>
        <v>46082</v>
      </c>
      <c r="AX102" s="511">
        <f>+AV102</f>
        <v>46082</v>
      </c>
      <c r="AY102" s="528">
        <f>+IF(M102-X102&lt;0,0,M102-X102)</f>
        <v>0</v>
      </c>
      <c r="AZ102" s="531" t="s">
        <v>137</v>
      </c>
      <c r="BA102" s="532">
        <f>+IF(AZ102="OUI",AY102,0)</f>
        <v>0</v>
      </c>
      <c r="BB102" s="533" t="str">
        <f t="shared" ref="BB102:BB132" si="212">IF(AND(BE102="",+IFERROR(VLOOKUP(AT102,Liste_motif_formule,5,FALSE),0)="OUI"),"OUI",IF(AND(BE102="",IFERROR(VLOOKUP(AT102,Liste_motif_formule,5,FALSE),0)="NON"),"NON",IF(AND(BE102="",IFERROR(M102-AT102&gt;=0,0),AT102&lt;&gt;""),"OUI",IF(AND(BE102="",DC102="oui"),"OUI",IF(BE102&lt;&gt;"",BE102,"")))))</f>
        <v/>
      </c>
      <c r="BC102" s="528">
        <f>+IF(BB102="OUI",IFERROR(M102-AT102,M102),0)</f>
        <v>0</v>
      </c>
      <c r="BD102" s="528">
        <f>+BC102+BA102</f>
        <v>0</v>
      </c>
      <c r="BE102" s="1103"/>
      <c r="BF102" s="514" t="str">
        <f t="shared" ref="BF102:BF132" si="213">+IF(AND(AZ102="OUI",BB102="OUI"),"ERREUR","")</f>
        <v/>
      </c>
      <c r="BG102" s="514" t="str">
        <f>+IF(AND(M102=0,AT102=""),"oui","non")</f>
        <v>oui</v>
      </c>
      <c r="BH102" s="377" t="str">
        <f t="shared" ref="BH102:BH132" si="214">IFERROR(+VLOOKUP(AT102,Liste_motif_formule,4,FALSE),"")</f>
        <v/>
      </c>
      <c r="BI102" s="24" t="str">
        <f t="shared" ref="BI102:BI132" si="215">IFERROR(+VLOOKUP(AT102,Liste_motif_formule,5,FALSE),"")</f>
        <v/>
      </c>
      <c r="BJ102" s="1381"/>
      <c r="BK102" s="1381"/>
      <c r="BL102" s="1381"/>
      <c r="BM102" s="1381"/>
      <c r="BN102" s="1381"/>
      <c r="BO102" s="1381"/>
      <c r="BP102" s="1381"/>
      <c r="BQ102" s="1381"/>
      <c r="BS102" s="1369">
        <f t="shared" si="182"/>
        <v>46082</v>
      </c>
      <c r="BT102" s="27">
        <f>IFERROR(WEEKNUM(BS102,21),"")</f>
        <v>9</v>
      </c>
      <c r="BU102" s="1379"/>
      <c r="BV102" s="1379"/>
      <c r="BW102" s="1379"/>
      <c r="BX102" s="1379"/>
      <c r="BY102" s="1379"/>
      <c r="BZ102" s="1379"/>
      <c r="CA102" s="1379"/>
      <c r="CB102" s="1379"/>
      <c r="CD102" s="1385">
        <f>+M102</f>
        <v>0</v>
      </c>
      <c r="DC102" s="16" t="str">
        <f>Mars!FC20</f>
        <v>non</v>
      </c>
      <c r="DG102" s="315">
        <f>IF(OR(AT102=0,AT102=""),1,10)</f>
        <v>1</v>
      </c>
      <c r="DH102" s="129">
        <f t="shared" ref="DH102:DH132" si="216">IFERROR(+VLOOKUP(AT102,Liste_motif_formule,9,FALSE),10)</f>
        <v>10</v>
      </c>
      <c r="DI102" s="129">
        <f>+IF(OR(DG102=1,DH102=1),1,10)</f>
        <v>1</v>
      </c>
      <c r="DK102" s="16">
        <f>+IF(AND(Mars!$DP$8&lt;&gt;52,AR102=S.CAL!$BJ$4),10,1)</f>
        <v>1</v>
      </c>
      <c r="DN102" s="16">
        <f t="shared" ref="DN102:DN132" si="217">+IF(AND(DC102="non",ISTEXT(AT102)=TRUE,IFERROR(VLOOKUP(AT102,Liste_motif_formule,4,FALSE)="non",0),IFERROR(VLOOKUP(AT102,Liste_motif_formule,5,FALSE)="non",0)),10,1)</f>
        <v>1</v>
      </c>
      <c r="DU102" s="1274" t="str">
        <f>+A102&amp;B102</f>
        <v>Fiche infoA746082</v>
      </c>
      <c r="DV102" s="1362">
        <f t="shared" ref="DV102:DV132" si="218">+IFERROR(+IF(BU102="",VLOOKUP(A102,base_horaire,2,FALSE),BU102),0)</f>
        <v>0</v>
      </c>
      <c r="DW102" s="1363">
        <f t="shared" ref="DW102:DW132" si="219">+IFERROR(+IF(BV102="",VLOOKUP(A102,base_horaire,3,FALSE),BV102),0)</f>
        <v>0</v>
      </c>
      <c r="DX102" s="1363">
        <f t="shared" ref="DX102:DX132" si="220">+IFERROR(+IF(BW102="",VLOOKUP(A102,base_horaire,4,FALSE),BW102),0)</f>
        <v>0</v>
      </c>
      <c r="DY102" s="1363">
        <f t="shared" ref="DY102:DY132" si="221">+IFERROR(+IF(BX102="",VLOOKUP(A102,base_horaire,5,FALSE),BX102),0)</f>
        <v>0</v>
      </c>
      <c r="DZ102" s="1363">
        <f t="shared" ref="DZ102:DZ132" si="222">+IFERROR(+IF(BY102="",VLOOKUP(A102,base_horaire,6,FALSE),BY102),0)</f>
        <v>0</v>
      </c>
      <c r="EA102" s="1363">
        <f t="shared" ref="EA102:EA132" si="223">IFERROR(+IF(BZ102="",VLOOKUP(A102,base_horaire,7,FALSE),BZ102),0)</f>
        <v>0</v>
      </c>
      <c r="EB102" s="1363">
        <f t="shared" ref="EB102:EB132" si="224">IFERROR(+IF(CA102="",VLOOKUP(A102,base_horaire,8,FALSE),CA102),0)</f>
        <v>0</v>
      </c>
      <c r="EC102" s="1363">
        <f t="shared" ref="EC102:EC132" si="225">IFERROR(+IF(CB102="",VLOOKUP(A102,base_horaire,9,FALSE),CB102),0)</f>
        <v>0</v>
      </c>
      <c r="ED102" s="1363">
        <f>+DW102-DV102+DY102-DX102+EA102-DZ102+EC102-EB102</f>
        <v>0</v>
      </c>
      <c r="EE102" s="1364">
        <f>ROUND(+ED102*24,2)</f>
        <v>0</v>
      </c>
      <c r="EG102" s="16" t="str">
        <f>+WEEKNUM(B102,21)&amp;YEAR(B102)</f>
        <v>92026</v>
      </c>
      <c r="EH102" s="16" t="str">
        <f t="shared" ref="EH102:EH132" si="226">+A102</f>
        <v>Fiche infoA7</v>
      </c>
      <c r="EI102" s="16" t="str">
        <f t="shared" ref="EI102:EI132" si="227">+VLOOKUP(EH102,Base_heures,6,FALSE)</f>
        <v/>
      </c>
    </row>
    <row r="103" spans="1:145" x14ac:dyDescent="0.2">
      <c r="A103" s="1373" t="str">
        <f>Mars!BJ21</f>
        <v>Fiche infoA1</v>
      </c>
      <c r="B103" s="811">
        <f>Mars!AB21</f>
        <v>46083</v>
      </c>
      <c r="C103" s="1372"/>
      <c r="D103" s="981">
        <f t="shared" si="183"/>
        <v>0</v>
      </c>
      <c r="E103" s="434">
        <f t="shared" si="184"/>
        <v>0</v>
      </c>
      <c r="F103" s="434">
        <f t="shared" si="185"/>
        <v>0</v>
      </c>
      <c r="G103" s="434">
        <f t="shared" si="186"/>
        <v>0</v>
      </c>
      <c r="H103" s="434">
        <f t="shared" si="187"/>
        <v>0</v>
      </c>
      <c r="I103" s="434">
        <f t="shared" si="188"/>
        <v>0</v>
      </c>
      <c r="J103" s="434">
        <f t="shared" si="189"/>
        <v>0</v>
      </c>
      <c r="K103" s="434">
        <f t="shared" si="190"/>
        <v>0</v>
      </c>
      <c r="L103" s="434">
        <f t="shared" ref="L103:L132" si="228">+E103-D103+G103-F103+I103-H103+K103-J103</f>
        <v>0</v>
      </c>
      <c r="M103" s="982">
        <f t="shared" ref="M103:M132" si="229">ROUND(+L103*24,2)</f>
        <v>0</v>
      </c>
      <c r="N103" s="1374"/>
      <c r="O103" s="981">
        <f t="shared" si="191"/>
        <v>0</v>
      </c>
      <c r="P103" s="434">
        <f t="shared" si="192"/>
        <v>0</v>
      </c>
      <c r="Q103" s="434">
        <f t="shared" si="193"/>
        <v>0</v>
      </c>
      <c r="R103" s="434">
        <f t="shared" si="194"/>
        <v>0</v>
      </c>
      <c r="S103" s="434">
        <f t="shared" si="195"/>
        <v>0</v>
      </c>
      <c r="T103" s="434">
        <f t="shared" si="196"/>
        <v>0</v>
      </c>
      <c r="U103" s="434">
        <f t="shared" si="197"/>
        <v>0</v>
      </c>
      <c r="V103" s="434">
        <f t="shared" si="198"/>
        <v>0</v>
      </c>
      <c r="W103" s="434">
        <f t="shared" si="199"/>
        <v>0</v>
      </c>
      <c r="X103" s="982">
        <f t="shared" si="200"/>
        <v>0</v>
      </c>
      <c r="Y103" s="1375"/>
      <c r="Z103" s="1376">
        <f t="shared" si="201"/>
        <v>0</v>
      </c>
      <c r="AA103" s="1376">
        <f t="shared" si="202"/>
        <v>0</v>
      </c>
      <c r="AB103" s="1376">
        <f t="shared" si="203"/>
        <v>0</v>
      </c>
      <c r="AC103" s="1376">
        <f t="shared" si="204"/>
        <v>0</v>
      </c>
      <c r="AD103" s="1376">
        <f t="shared" si="205"/>
        <v>0</v>
      </c>
      <c r="AE103" s="1376">
        <f t="shared" si="206"/>
        <v>0</v>
      </c>
      <c r="AF103" s="1376">
        <f t="shared" si="207"/>
        <v>0</v>
      </c>
      <c r="AG103" s="1376">
        <f t="shared" si="208"/>
        <v>0</v>
      </c>
      <c r="AH103" s="1374"/>
      <c r="AI103" s="444">
        <f t="shared" si="209"/>
        <v>0</v>
      </c>
      <c r="AJ103" s="1090"/>
      <c r="AK103" s="1377"/>
      <c r="AL103" s="811">
        <f t="shared" si="210"/>
        <v>46083</v>
      </c>
      <c r="AM103" s="666">
        <f>IFERROR(IF(AND(AT103="",AR103&lt;&gt;S.CAL!$BJ$3,AR103&lt;&gt;S.CAL!$BJ$4,$AR$95="NON"),M103-BD103,IF(AND(AT103="",AR103&lt;&gt;S.CAL!$BJ$3,AR103&lt;&gt;S.CAL!$BJ$4,$AR$95="OUI"),X103-AI103,IF(AT103&lt;&gt;0,AT103,IF(OR(AR103=S.CAL!$BJ$3,AR103=S.CAL!$BJ$4),AR103,"")))),"")</f>
        <v>0</v>
      </c>
      <c r="AN103" s="1093"/>
      <c r="AO103" s="1094"/>
      <c r="AP103" s="666">
        <f>+IF(AND(AU103="",BB103="OUI",BH103="non",BI103="OUI"),AM103,IF(AND(AU103="",BB103="OUI",BH103="oui",BI103="NON"),AM103,IF(AND(AU103="",BB103="NON",BH103="oui",BI103="NON"),M103,IF(AND(AU103="",BB103="NON",BH103="non",BI103="OUI"),M103,IF(AND(AU103="",BB103="OUI",BH103="non",BI103="NON"),"ERREUR",IF(AND(AU103="",BB103="NON",BH103="non",BI103="NON"),AM103,IF(AND(AU103="",BB103="OUI",BH103="",BI103=""),AM103,IF(AND(AU103="",BB103="NON",BH103="",BI103="",AZ103="NON"),M103,IF(AND(AU103="",BH103="",AZ103="OUI",AR103=""),AM103,IF(AND(AU103="",BH103="",AZ103="NON",AR103="",AT103=""),M103,IF(AND(OR(AR103=S.CAL!$BJ$3,AR103=S.CAL!$BJ$4),(VLOOKUP($AM$95,base_nbre_sem_mensu,2,FALSE)=52)),EE103,IF(AND(OR(AR103=S.CAL!$BJ$3,AR103=S.CAL!$BJ$4),(VLOOKUP($AM$95,base_nbre_sem_mensu,2,FALSE)&lt;52)),AM103,IF(AND(AT103&lt;&gt;"",AU103=""),AT103,AU103)))))))))))))</f>
        <v>0</v>
      </c>
      <c r="AQ103" s="1378">
        <f t="shared" ref="AQ103:AQ132" si="230">AI103-SUM(AN103:AO103)</f>
        <v>0</v>
      </c>
      <c r="AR103" s="1098"/>
      <c r="AS103" s="1374"/>
      <c r="AT103" s="1101"/>
      <c r="AU103" s="813"/>
      <c r="AV103" s="1370">
        <f t="shared" si="211"/>
        <v>46083</v>
      </c>
      <c r="AW103" s="1374"/>
      <c r="AX103" s="511">
        <f t="shared" ref="AX103:AX132" si="231">+AV103</f>
        <v>46083</v>
      </c>
      <c r="AY103" s="523">
        <f t="shared" ref="AY103:AY132" si="232">+IF(M103-X103&lt;0,0,M103-X103)</f>
        <v>0</v>
      </c>
      <c r="AZ103" s="520" t="s">
        <v>137</v>
      </c>
      <c r="BA103" s="516">
        <f t="shared" ref="BA103:BA132" si="233">+IF(AZ103="OUI",AY103,0)</f>
        <v>0</v>
      </c>
      <c r="BB103" s="549" t="str">
        <f t="shared" si="212"/>
        <v/>
      </c>
      <c r="BC103" s="523">
        <f t="shared" ref="BC103:BC132" si="234">+IF(BB103="OUI",IFERROR(M103-AT103,M103),0)</f>
        <v>0</v>
      </c>
      <c r="BD103" s="523">
        <f t="shared" ref="BD103:BD132" si="235">+BC103+BA103</f>
        <v>0</v>
      </c>
      <c r="BE103" s="1104"/>
      <c r="BF103" s="514" t="str">
        <f t="shared" si="213"/>
        <v/>
      </c>
      <c r="BG103" s="514" t="str">
        <f t="shared" ref="BG103:BG132" si="236">+IF(AND(M103=0,AT103=""),"oui","non")</f>
        <v>oui</v>
      </c>
      <c r="BH103" s="377" t="str">
        <f t="shared" si="214"/>
        <v/>
      </c>
      <c r="BI103" s="24" t="str">
        <f t="shared" si="215"/>
        <v/>
      </c>
      <c r="BJ103" s="1382"/>
      <c r="BK103" s="1382"/>
      <c r="BL103" s="1382"/>
      <c r="BM103" s="1382"/>
      <c r="BN103" s="1382"/>
      <c r="BO103" s="1382"/>
      <c r="BP103" s="1382"/>
      <c r="BQ103" s="1382"/>
      <c r="BR103" s="1383"/>
      <c r="BS103" s="1370">
        <f t="shared" si="182"/>
        <v>46083</v>
      </c>
      <c r="BT103" s="1384">
        <f>IFERROR(IF(WEEKDAY(BS103,11)=1,WEEKNUM(BS103,21),""),"")</f>
        <v>10</v>
      </c>
      <c r="BU103" s="1382"/>
      <c r="BV103" s="1382"/>
      <c r="BW103" s="1382"/>
      <c r="BX103" s="1382"/>
      <c r="BY103" s="1382"/>
      <c r="BZ103" s="1382"/>
      <c r="CA103" s="1382"/>
      <c r="CB103" s="1382"/>
      <c r="CD103" s="1386">
        <f t="shared" ref="CD103:CD132" si="237">+M103</f>
        <v>0</v>
      </c>
      <c r="DC103" s="16" t="str">
        <f>Mars!FC21</f>
        <v>non</v>
      </c>
      <c r="DG103" s="315">
        <f t="shared" ref="DG103:DG132" si="238">IF(OR(AT103=0,AT103=""),1,10)</f>
        <v>1</v>
      </c>
      <c r="DH103" s="129">
        <f t="shared" si="216"/>
        <v>10</v>
      </c>
      <c r="DI103" s="129">
        <f t="shared" ref="DI103:DI132" si="239">+IF(OR(DG103=1,DH103=1),1,10)</f>
        <v>1</v>
      </c>
      <c r="DK103" s="16">
        <f>+IF(AND(Mars!$DP$8&lt;&gt;52,AR103=S.CAL!$BJ$4),10,1)</f>
        <v>1</v>
      </c>
      <c r="DN103" s="16">
        <f t="shared" si="217"/>
        <v>1</v>
      </c>
      <c r="DU103" s="1274" t="str">
        <f t="shared" ref="DU103:DU132" si="240">+A103&amp;B103</f>
        <v>Fiche infoA146083</v>
      </c>
      <c r="DV103" s="1362">
        <f t="shared" si="218"/>
        <v>0</v>
      </c>
      <c r="DW103" s="1363">
        <f t="shared" si="219"/>
        <v>0</v>
      </c>
      <c r="DX103" s="1363">
        <f t="shared" si="220"/>
        <v>0</v>
      </c>
      <c r="DY103" s="1363">
        <f t="shared" si="221"/>
        <v>0</v>
      </c>
      <c r="DZ103" s="1363">
        <f t="shared" si="222"/>
        <v>0</v>
      </c>
      <c r="EA103" s="1363">
        <f t="shared" si="223"/>
        <v>0</v>
      </c>
      <c r="EB103" s="1363">
        <f t="shared" si="224"/>
        <v>0</v>
      </c>
      <c r="EC103" s="1363">
        <f t="shared" si="225"/>
        <v>0</v>
      </c>
      <c r="ED103" s="1363">
        <f t="shared" ref="ED103:ED132" si="241">+DW103-DV103+DY103-DX103+EA103-DZ103+EC103-EB103</f>
        <v>0</v>
      </c>
      <c r="EE103" s="1364">
        <f t="shared" ref="EE103:EE132" si="242">ROUND(+ED103*24,2)</f>
        <v>0</v>
      </c>
      <c r="EG103" s="16" t="str">
        <f t="shared" ref="EG103:EG132" si="243">+WEEKNUM(B103,21)&amp;YEAR(B103)</f>
        <v>102026</v>
      </c>
      <c r="EH103" s="16" t="str">
        <f t="shared" si="226"/>
        <v>Fiche infoA1</v>
      </c>
      <c r="EI103" s="16" t="str">
        <f t="shared" si="227"/>
        <v/>
      </c>
    </row>
    <row r="104" spans="1:145" x14ac:dyDescent="0.2">
      <c r="A104" s="24" t="str">
        <f>Mars!BJ22</f>
        <v>Fiche infoA2</v>
      </c>
      <c r="B104" s="811">
        <f>Mars!AB22</f>
        <v>46084</v>
      </c>
      <c r="C104" s="1371"/>
      <c r="D104" s="981">
        <f t="shared" si="183"/>
        <v>0</v>
      </c>
      <c r="E104" s="434">
        <f t="shared" si="184"/>
        <v>0</v>
      </c>
      <c r="F104" s="434">
        <f t="shared" si="185"/>
        <v>0</v>
      </c>
      <c r="G104" s="434">
        <f t="shared" si="186"/>
        <v>0</v>
      </c>
      <c r="H104" s="434">
        <f t="shared" si="187"/>
        <v>0</v>
      </c>
      <c r="I104" s="434">
        <f t="shared" si="188"/>
        <v>0</v>
      </c>
      <c r="J104" s="434">
        <f t="shared" si="189"/>
        <v>0</v>
      </c>
      <c r="K104" s="434">
        <f t="shared" si="190"/>
        <v>0</v>
      </c>
      <c r="L104" s="434">
        <f t="shared" si="228"/>
        <v>0</v>
      </c>
      <c r="M104" s="982">
        <f t="shared" si="229"/>
        <v>0</v>
      </c>
      <c r="O104" s="981">
        <f t="shared" si="191"/>
        <v>0</v>
      </c>
      <c r="P104" s="434">
        <f t="shared" si="192"/>
        <v>0</v>
      </c>
      <c r="Q104" s="434">
        <f t="shared" si="193"/>
        <v>0</v>
      </c>
      <c r="R104" s="434">
        <f t="shared" si="194"/>
        <v>0</v>
      </c>
      <c r="S104" s="434">
        <f t="shared" si="195"/>
        <v>0</v>
      </c>
      <c r="T104" s="434">
        <f t="shared" si="196"/>
        <v>0</v>
      </c>
      <c r="U104" s="434">
        <f t="shared" si="197"/>
        <v>0</v>
      </c>
      <c r="V104" s="434">
        <f t="shared" si="198"/>
        <v>0</v>
      </c>
      <c r="W104" s="434">
        <f t="shared" si="199"/>
        <v>0</v>
      </c>
      <c r="X104" s="982">
        <f t="shared" si="200"/>
        <v>0</v>
      </c>
      <c r="Y104" s="441"/>
      <c r="Z104" s="277">
        <f t="shared" si="201"/>
        <v>0</v>
      </c>
      <c r="AA104" s="277">
        <f t="shared" si="202"/>
        <v>0</v>
      </c>
      <c r="AB104" s="277">
        <f t="shared" si="203"/>
        <v>0</v>
      </c>
      <c r="AC104" s="277">
        <f t="shared" si="204"/>
        <v>0</v>
      </c>
      <c r="AD104" s="277">
        <f t="shared" si="205"/>
        <v>0</v>
      </c>
      <c r="AE104" s="277">
        <f t="shared" si="206"/>
        <v>0</v>
      </c>
      <c r="AF104" s="277">
        <f t="shared" si="207"/>
        <v>0</v>
      </c>
      <c r="AG104" s="277">
        <f t="shared" si="208"/>
        <v>0</v>
      </c>
      <c r="AI104" s="444">
        <f t="shared" si="209"/>
        <v>0</v>
      </c>
      <c r="AJ104" s="1090"/>
      <c r="AK104" s="489"/>
      <c r="AL104" s="811">
        <f t="shared" si="210"/>
        <v>46084</v>
      </c>
      <c r="AM104" s="666">
        <f>IFERROR(IF(AND(AT104="",AR104&lt;&gt;S.CAL!$BJ$3,AR104&lt;&gt;S.CAL!$BJ$4,$AR$95="NON"),M104-BD104,IF(AND(AT104="",AR104&lt;&gt;S.CAL!$BJ$3,AR104&lt;&gt;S.CAL!$BJ$4,$AR$95="OUI"),X104-AI104,IF(AT104&lt;&gt;0,AT104,IF(OR(AR104=S.CAL!$BJ$3,AR104=S.CAL!$BJ$4),AR104,"")))),"")</f>
        <v>0</v>
      </c>
      <c r="AN104" s="1093"/>
      <c r="AO104" s="1094"/>
      <c r="AP104" s="666">
        <f>+IF(AND(AU104="",BB104="OUI",BH104="non",BI104="OUI"),AM104,IF(AND(AU104="",BB104="OUI",BH104="oui",BI104="NON"),AM104,IF(AND(AU104="",BB104="NON",BH104="oui",BI104="NON"),M104,IF(AND(AU104="",BB104="NON",BH104="non",BI104="OUI"),M104,IF(AND(AU104="",BB104="OUI",BH104="non",BI104="NON"),"ERREUR",IF(AND(AU104="",BB104="NON",BH104="non",BI104="NON"),AM104,IF(AND(AU104="",BB104="OUI",BH104="",BI104=""),AM104,IF(AND(AU104="",BB104="NON",BH104="",BI104="",AZ104="NON"),M104,IF(AND(AU104="",BH104="",AZ104="OUI",AR104=""),AM104,IF(AND(AU104="",BH104="",AZ104="NON",AR104="",AT104=""),M104,IF(AND(OR(AR104=S.CAL!$BJ$3,AR104=S.CAL!$BJ$4),(VLOOKUP($AM$95,base_nbre_sem_mensu,2,FALSE)=52)),EE104,IF(AND(OR(AR104=S.CAL!$BJ$3,AR104=S.CAL!$BJ$4),(VLOOKUP($AM$95,base_nbre_sem_mensu,2,FALSE)&lt;52)),AM104,IF(AND(AT104&lt;&gt;"",AU104=""),AT104,AU104)))))))))))))</f>
        <v>0</v>
      </c>
      <c r="AQ104" s="498">
        <f t="shared" si="230"/>
        <v>0</v>
      </c>
      <c r="AR104" s="1098"/>
      <c r="AT104" s="1101"/>
      <c r="AU104" s="813"/>
      <c r="AV104" s="1370">
        <f t="shared" si="211"/>
        <v>46084</v>
      </c>
      <c r="AX104" s="511">
        <f t="shared" si="231"/>
        <v>46084</v>
      </c>
      <c r="AY104" s="523">
        <f t="shared" si="232"/>
        <v>0</v>
      </c>
      <c r="AZ104" s="520" t="s">
        <v>137</v>
      </c>
      <c r="BA104" s="516">
        <f t="shared" si="233"/>
        <v>0</v>
      </c>
      <c r="BB104" s="549" t="str">
        <f t="shared" si="212"/>
        <v/>
      </c>
      <c r="BC104" s="523">
        <f t="shared" si="234"/>
        <v>0</v>
      </c>
      <c r="BD104" s="523">
        <f t="shared" si="235"/>
        <v>0</v>
      </c>
      <c r="BE104" s="1104"/>
      <c r="BF104" s="514" t="str">
        <f t="shared" si="213"/>
        <v/>
      </c>
      <c r="BG104" s="514" t="str">
        <f t="shared" si="236"/>
        <v>oui</v>
      </c>
      <c r="BH104" s="377" t="str">
        <f t="shared" si="214"/>
        <v/>
      </c>
      <c r="BI104" s="24" t="str">
        <f t="shared" si="215"/>
        <v/>
      </c>
      <c r="BJ104" s="1381"/>
      <c r="BK104" s="1381"/>
      <c r="BL104" s="1381"/>
      <c r="BM104" s="1381"/>
      <c r="BN104" s="1381"/>
      <c r="BO104" s="1381"/>
      <c r="BP104" s="1381"/>
      <c r="BQ104" s="1381"/>
      <c r="BS104" s="1370">
        <f t="shared" si="182"/>
        <v>46084</v>
      </c>
      <c r="BT104" s="27" t="str">
        <f t="shared" ref="BT104:BT132" si="244">IFERROR(IF(WEEKDAY(BS104,11)=1,WEEKNUM(BS104,21),""),"")</f>
        <v/>
      </c>
      <c r="BU104" s="1380"/>
      <c r="BV104" s="1380"/>
      <c r="BW104" s="1380"/>
      <c r="BX104" s="1380"/>
      <c r="BY104" s="1380"/>
      <c r="BZ104" s="1380"/>
      <c r="CA104" s="1380"/>
      <c r="CB104" s="1380"/>
      <c r="CD104" s="1386">
        <f t="shared" si="237"/>
        <v>0</v>
      </c>
      <c r="DC104" s="16" t="str">
        <f>Mars!FC22</f>
        <v>non</v>
      </c>
      <c r="DG104" s="315">
        <f t="shared" si="238"/>
        <v>1</v>
      </c>
      <c r="DH104" s="129">
        <f t="shared" si="216"/>
        <v>10</v>
      </c>
      <c r="DI104" s="129">
        <f t="shared" si="239"/>
        <v>1</v>
      </c>
      <c r="DK104" s="16">
        <f>+IF(AND(Mars!$DP$8&lt;&gt;52,AR104=S.CAL!$BJ$4),10,1)</f>
        <v>1</v>
      </c>
      <c r="DN104" s="16">
        <f t="shared" si="217"/>
        <v>1</v>
      </c>
      <c r="DU104" s="1274" t="str">
        <f t="shared" si="240"/>
        <v>Fiche infoA246084</v>
      </c>
      <c r="DV104" s="1362">
        <f t="shared" si="218"/>
        <v>0</v>
      </c>
      <c r="DW104" s="1363">
        <f t="shared" si="219"/>
        <v>0</v>
      </c>
      <c r="DX104" s="1363">
        <f t="shared" si="220"/>
        <v>0</v>
      </c>
      <c r="DY104" s="1363">
        <f t="shared" si="221"/>
        <v>0</v>
      </c>
      <c r="DZ104" s="1363">
        <f t="shared" si="222"/>
        <v>0</v>
      </c>
      <c r="EA104" s="1363">
        <f t="shared" si="223"/>
        <v>0</v>
      </c>
      <c r="EB104" s="1363">
        <f t="shared" si="224"/>
        <v>0</v>
      </c>
      <c r="EC104" s="1363">
        <f t="shared" si="225"/>
        <v>0</v>
      </c>
      <c r="ED104" s="1363">
        <f t="shared" si="241"/>
        <v>0</v>
      </c>
      <c r="EE104" s="1364">
        <f t="shared" si="242"/>
        <v>0</v>
      </c>
      <c r="EG104" s="16" t="str">
        <f t="shared" si="243"/>
        <v>102026</v>
      </c>
      <c r="EH104" s="16" t="str">
        <f t="shared" si="226"/>
        <v>Fiche infoA2</v>
      </c>
      <c r="EI104" s="16" t="str">
        <f t="shared" si="227"/>
        <v/>
      </c>
    </row>
    <row r="105" spans="1:145" x14ac:dyDescent="0.2">
      <c r="A105" s="1373" t="str">
        <f>Mars!BJ23</f>
        <v>Fiche infoA3</v>
      </c>
      <c r="B105" s="811">
        <f>Mars!AB23</f>
        <v>46085</v>
      </c>
      <c r="C105" s="1372"/>
      <c r="D105" s="981">
        <f t="shared" si="183"/>
        <v>0</v>
      </c>
      <c r="E105" s="434">
        <f t="shared" si="184"/>
        <v>0</v>
      </c>
      <c r="F105" s="434">
        <f t="shared" si="185"/>
        <v>0</v>
      </c>
      <c r="G105" s="434">
        <f t="shared" si="186"/>
        <v>0</v>
      </c>
      <c r="H105" s="434">
        <f t="shared" si="187"/>
        <v>0</v>
      </c>
      <c r="I105" s="434">
        <f t="shared" si="188"/>
        <v>0</v>
      </c>
      <c r="J105" s="434">
        <f t="shared" si="189"/>
        <v>0</v>
      </c>
      <c r="K105" s="434">
        <f t="shared" si="190"/>
        <v>0</v>
      </c>
      <c r="L105" s="434">
        <f t="shared" si="228"/>
        <v>0</v>
      </c>
      <c r="M105" s="982">
        <f t="shared" si="229"/>
        <v>0</v>
      </c>
      <c r="N105" s="1374"/>
      <c r="O105" s="981">
        <f t="shared" si="191"/>
        <v>0</v>
      </c>
      <c r="P105" s="434">
        <f t="shared" si="192"/>
        <v>0</v>
      </c>
      <c r="Q105" s="434">
        <f t="shared" si="193"/>
        <v>0</v>
      </c>
      <c r="R105" s="434">
        <f t="shared" si="194"/>
        <v>0</v>
      </c>
      <c r="S105" s="434">
        <f t="shared" si="195"/>
        <v>0</v>
      </c>
      <c r="T105" s="434">
        <f t="shared" si="196"/>
        <v>0</v>
      </c>
      <c r="U105" s="434">
        <f t="shared" si="197"/>
        <v>0</v>
      </c>
      <c r="V105" s="434">
        <f t="shared" si="198"/>
        <v>0</v>
      </c>
      <c r="W105" s="434">
        <f t="shared" si="199"/>
        <v>0</v>
      </c>
      <c r="X105" s="982">
        <f t="shared" si="200"/>
        <v>0</v>
      </c>
      <c r="Y105" s="1375"/>
      <c r="Z105" s="1376">
        <f t="shared" si="201"/>
        <v>0</v>
      </c>
      <c r="AA105" s="1376">
        <f t="shared" si="202"/>
        <v>0</v>
      </c>
      <c r="AB105" s="1376">
        <f t="shared" si="203"/>
        <v>0</v>
      </c>
      <c r="AC105" s="1376">
        <f t="shared" si="204"/>
        <v>0</v>
      </c>
      <c r="AD105" s="1376">
        <f t="shared" si="205"/>
        <v>0</v>
      </c>
      <c r="AE105" s="1376">
        <f t="shared" si="206"/>
        <v>0</v>
      </c>
      <c r="AF105" s="1376">
        <f t="shared" si="207"/>
        <v>0</v>
      </c>
      <c r="AG105" s="1376">
        <f t="shared" si="208"/>
        <v>0</v>
      </c>
      <c r="AH105" s="1374"/>
      <c r="AI105" s="444">
        <f t="shared" si="209"/>
        <v>0</v>
      </c>
      <c r="AJ105" s="1090"/>
      <c r="AK105" s="1377"/>
      <c r="AL105" s="811">
        <f t="shared" si="210"/>
        <v>46085</v>
      </c>
      <c r="AM105" s="666">
        <f>IFERROR(IF(AND(AT105="",AR105&lt;&gt;S.CAL!$BJ$3,AR105&lt;&gt;S.CAL!$BJ$4,$AR$95="NON"),M105-BD105,IF(AND(AT105="",AR105&lt;&gt;S.CAL!$BJ$3,AR105&lt;&gt;S.CAL!$BJ$4,$AR$95="OUI"),X105-AI105,IF(AT105&lt;&gt;0,AT105,IF(OR(AR105=S.CAL!$BJ$3,AR105=S.CAL!$BJ$4),AR105,"")))),"")</f>
        <v>0</v>
      </c>
      <c r="AN105" s="1093"/>
      <c r="AO105" s="1094"/>
      <c r="AP105" s="666">
        <f>+IF(AND(AU105="",BB105="OUI",BH105="non",BI105="OUI"),AM105,IF(AND(AU105="",BB105="OUI",BH105="oui",BI105="NON"),AM105,IF(AND(AU105="",BB105="NON",BH105="oui",BI105="NON"),M105,IF(AND(AU105="",BB105="NON",BH105="non",BI105="OUI"),M105,IF(AND(AU105="",BB105="OUI",BH105="non",BI105="NON"),"ERREUR",IF(AND(AU105="",BB105="NON",BH105="non",BI105="NON"),AM105,IF(AND(AU105="",BB105="OUI",BH105="",BI105=""),AM105,IF(AND(AU105="",BB105="NON",BH105="",BI105="",AZ105="NON"),M105,IF(AND(AU105="",BH105="",AZ105="OUI",AR105=""),AM105,IF(AND(AU105="",BH105="",AZ105="NON",AR105="",AT105=""),M105,IF(AND(OR(AR105=S.CAL!$BJ$3,AR105=S.CAL!$BJ$4),(VLOOKUP($AM$95,base_nbre_sem_mensu,2,FALSE)=52)),EE105,IF(AND(OR(AR105=S.CAL!$BJ$3,AR105=S.CAL!$BJ$4),(VLOOKUP($AM$95,base_nbre_sem_mensu,2,FALSE)&lt;52)),AM105,IF(AND(AT105&lt;&gt;"",AU105=""),AT105,AU105)))))))))))))</f>
        <v>0</v>
      </c>
      <c r="AQ105" s="1378">
        <f t="shared" si="230"/>
        <v>0</v>
      </c>
      <c r="AR105" s="1098"/>
      <c r="AS105" s="1374"/>
      <c r="AT105" s="1101"/>
      <c r="AU105" s="813"/>
      <c r="AV105" s="1370">
        <f t="shared" si="211"/>
        <v>46085</v>
      </c>
      <c r="AW105" s="1374"/>
      <c r="AX105" s="511">
        <f t="shared" si="231"/>
        <v>46085</v>
      </c>
      <c r="AY105" s="523">
        <f t="shared" si="232"/>
        <v>0</v>
      </c>
      <c r="AZ105" s="520" t="s">
        <v>137</v>
      </c>
      <c r="BA105" s="516">
        <f t="shared" si="233"/>
        <v>0</v>
      </c>
      <c r="BB105" s="549" t="str">
        <f t="shared" si="212"/>
        <v/>
      </c>
      <c r="BC105" s="523">
        <f t="shared" si="234"/>
        <v>0</v>
      </c>
      <c r="BD105" s="523">
        <f t="shared" si="235"/>
        <v>0</v>
      </c>
      <c r="BE105" s="1104"/>
      <c r="BF105" s="514" t="str">
        <f t="shared" si="213"/>
        <v/>
      </c>
      <c r="BG105" s="514" t="str">
        <f t="shared" si="236"/>
        <v>oui</v>
      </c>
      <c r="BH105" s="377" t="str">
        <f t="shared" si="214"/>
        <v/>
      </c>
      <c r="BI105" s="24" t="str">
        <f t="shared" si="215"/>
        <v/>
      </c>
      <c r="BJ105" s="1382"/>
      <c r="BK105" s="1382"/>
      <c r="BL105" s="1382"/>
      <c r="BM105" s="1382"/>
      <c r="BN105" s="1382"/>
      <c r="BO105" s="1382"/>
      <c r="BP105" s="1382"/>
      <c r="BQ105" s="1382"/>
      <c r="BR105" s="1383"/>
      <c r="BS105" s="1370">
        <f t="shared" si="182"/>
        <v>46085</v>
      </c>
      <c r="BT105" s="1384" t="str">
        <f t="shared" si="244"/>
        <v/>
      </c>
      <c r="BU105" s="1382"/>
      <c r="BV105" s="1382"/>
      <c r="BW105" s="1382"/>
      <c r="BX105" s="1382"/>
      <c r="BY105" s="1382"/>
      <c r="BZ105" s="1382"/>
      <c r="CA105" s="1382"/>
      <c r="CB105" s="1382"/>
      <c r="CD105" s="1386">
        <f t="shared" si="237"/>
        <v>0</v>
      </c>
      <c r="DC105" s="16" t="str">
        <f>Mars!FC23</f>
        <v>non</v>
      </c>
      <c r="DG105" s="315">
        <f t="shared" si="238"/>
        <v>1</v>
      </c>
      <c r="DH105" s="129">
        <f t="shared" si="216"/>
        <v>10</v>
      </c>
      <c r="DI105" s="129">
        <f t="shared" si="239"/>
        <v>1</v>
      </c>
      <c r="DK105" s="16">
        <f>+IF(AND(Mars!$DP$8&lt;&gt;52,AR105=S.CAL!$BJ$4),10,1)</f>
        <v>1</v>
      </c>
      <c r="DN105" s="16">
        <f t="shared" si="217"/>
        <v>1</v>
      </c>
      <c r="DU105" s="1274" t="str">
        <f t="shared" si="240"/>
        <v>Fiche infoA346085</v>
      </c>
      <c r="DV105" s="1362">
        <f t="shared" si="218"/>
        <v>0</v>
      </c>
      <c r="DW105" s="1363">
        <f t="shared" si="219"/>
        <v>0</v>
      </c>
      <c r="DX105" s="1363">
        <f t="shared" si="220"/>
        <v>0</v>
      </c>
      <c r="DY105" s="1363">
        <f t="shared" si="221"/>
        <v>0</v>
      </c>
      <c r="DZ105" s="1363">
        <f t="shared" si="222"/>
        <v>0</v>
      </c>
      <c r="EA105" s="1363">
        <f t="shared" si="223"/>
        <v>0</v>
      </c>
      <c r="EB105" s="1363">
        <f t="shared" si="224"/>
        <v>0</v>
      </c>
      <c r="EC105" s="1363">
        <f t="shared" si="225"/>
        <v>0</v>
      </c>
      <c r="ED105" s="1363">
        <f t="shared" si="241"/>
        <v>0</v>
      </c>
      <c r="EE105" s="1364">
        <f t="shared" si="242"/>
        <v>0</v>
      </c>
      <c r="EG105" s="16" t="str">
        <f t="shared" si="243"/>
        <v>102026</v>
      </c>
      <c r="EH105" s="16" t="str">
        <f t="shared" si="226"/>
        <v>Fiche infoA3</v>
      </c>
      <c r="EI105" s="16" t="str">
        <f t="shared" si="227"/>
        <v/>
      </c>
    </row>
    <row r="106" spans="1:145" x14ac:dyDescent="0.2">
      <c r="A106" s="24" t="str">
        <f>Mars!BJ24</f>
        <v>Fiche infoA4</v>
      </c>
      <c r="B106" s="811">
        <f>Mars!AB24</f>
        <v>46086</v>
      </c>
      <c r="C106" s="1371"/>
      <c r="D106" s="981">
        <f t="shared" si="183"/>
        <v>0</v>
      </c>
      <c r="E106" s="434">
        <f t="shared" si="184"/>
        <v>0</v>
      </c>
      <c r="F106" s="434">
        <f t="shared" si="185"/>
        <v>0</v>
      </c>
      <c r="G106" s="434">
        <f t="shared" si="186"/>
        <v>0</v>
      </c>
      <c r="H106" s="434">
        <f t="shared" si="187"/>
        <v>0</v>
      </c>
      <c r="I106" s="434">
        <f t="shared" si="188"/>
        <v>0</v>
      </c>
      <c r="J106" s="434">
        <f t="shared" si="189"/>
        <v>0</v>
      </c>
      <c r="K106" s="434">
        <f t="shared" si="190"/>
        <v>0</v>
      </c>
      <c r="L106" s="434">
        <f t="shared" si="228"/>
        <v>0</v>
      </c>
      <c r="M106" s="982">
        <f t="shared" si="229"/>
        <v>0</v>
      </c>
      <c r="O106" s="981">
        <f t="shared" si="191"/>
        <v>0</v>
      </c>
      <c r="P106" s="434">
        <f t="shared" si="192"/>
        <v>0</v>
      </c>
      <c r="Q106" s="434">
        <f t="shared" si="193"/>
        <v>0</v>
      </c>
      <c r="R106" s="434">
        <f t="shared" si="194"/>
        <v>0</v>
      </c>
      <c r="S106" s="434">
        <f t="shared" si="195"/>
        <v>0</v>
      </c>
      <c r="T106" s="434">
        <f t="shared" si="196"/>
        <v>0</v>
      </c>
      <c r="U106" s="434">
        <f t="shared" si="197"/>
        <v>0</v>
      </c>
      <c r="V106" s="434">
        <f t="shared" si="198"/>
        <v>0</v>
      </c>
      <c r="W106" s="434">
        <f t="shared" si="199"/>
        <v>0</v>
      </c>
      <c r="X106" s="982">
        <f t="shared" si="200"/>
        <v>0</v>
      </c>
      <c r="Y106" s="441"/>
      <c r="Z106" s="277">
        <f t="shared" si="201"/>
        <v>0</v>
      </c>
      <c r="AA106" s="277">
        <f t="shared" si="202"/>
        <v>0</v>
      </c>
      <c r="AB106" s="277">
        <f t="shared" si="203"/>
        <v>0</v>
      </c>
      <c r="AC106" s="277">
        <f t="shared" si="204"/>
        <v>0</v>
      </c>
      <c r="AD106" s="277">
        <f t="shared" si="205"/>
        <v>0</v>
      </c>
      <c r="AE106" s="277">
        <f t="shared" si="206"/>
        <v>0</v>
      </c>
      <c r="AF106" s="277">
        <f t="shared" si="207"/>
        <v>0</v>
      </c>
      <c r="AG106" s="277">
        <f t="shared" si="208"/>
        <v>0</v>
      </c>
      <c r="AI106" s="444">
        <f t="shared" si="209"/>
        <v>0</v>
      </c>
      <c r="AJ106" s="1090"/>
      <c r="AK106" s="489"/>
      <c r="AL106" s="811">
        <f t="shared" si="210"/>
        <v>46086</v>
      </c>
      <c r="AM106" s="666">
        <f>IFERROR(IF(AND(AT106="",AR106&lt;&gt;S.CAL!$BJ$3,AR106&lt;&gt;S.CAL!$BJ$4,$AR$95="NON"),M106-BD106,IF(AND(AT106="",AR106&lt;&gt;S.CAL!$BJ$3,AR106&lt;&gt;S.CAL!$BJ$4,$AR$95="OUI"),X106-AI106,IF(AT106&lt;&gt;0,AT106,IF(OR(AR106=S.CAL!$BJ$3,AR106=S.CAL!$BJ$4),AR106,"")))),"")</f>
        <v>0</v>
      </c>
      <c r="AN106" s="1093"/>
      <c r="AO106" s="1094"/>
      <c r="AP106" s="666">
        <f>+IF(AND(AU106="",BB106="OUI",BH106="non",BI106="OUI"),AM106,IF(AND(AU106="",BB106="OUI",BH106="oui",BI106="NON"),AM106,IF(AND(AU106="",BB106="NON",BH106="oui",BI106="NON"),M106,IF(AND(AU106="",BB106="NON",BH106="non",BI106="OUI"),M106,IF(AND(AU106="",BB106="OUI",BH106="non",BI106="NON"),"ERREUR",IF(AND(AU106="",BB106="NON",BH106="non",BI106="NON"),AM106,IF(AND(AU106="",BB106="OUI",BH106="",BI106=""),AM106,IF(AND(AU106="",BB106="NON",BH106="",BI106="",AZ106="NON"),M106,IF(AND(AU106="",BH106="",AZ106="OUI",AR106=""),AM106,IF(AND(AU106="",BH106="",AZ106="NON",AR106="",AT106=""),M106,IF(AND(OR(AR106=S.CAL!$BJ$3,AR106=S.CAL!$BJ$4),(VLOOKUP($AM$95,base_nbre_sem_mensu,2,FALSE)=52)),EE106,IF(AND(OR(AR106=S.CAL!$BJ$3,AR106=S.CAL!$BJ$4),(VLOOKUP($AM$95,base_nbre_sem_mensu,2,FALSE)&lt;52)),AM106,IF(AND(AT106&lt;&gt;"",AU106=""),AT106,AU106)))))))))))))</f>
        <v>0</v>
      </c>
      <c r="AQ106" s="498">
        <f t="shared" si="230"/>
        <v>0</v>
      </c>
      <c r="AR106" s="1098"/>
      <c r="AT106" s="1101"/>
      <c r="AU106" s="813"/>
      <c r="AV106" s="1370">
        <f t="shared" si="211"/>
        <v>46086</v>
      </c>
      <c r="AX106" s="511">
        <f t="shared" si="231"/>
        <v>46086</v>
      </c>
      <c r="AY106" s="523">
        <f t="shared" si="232"/>
        <v>0</v>
      </c>
      <c r="AZ106" s="520" t="s">
        <v>137</v>
      </c>
      <c r="BA106" s="516">
        <f t="shared" si="233"/>
        <v>0</v>
      </c>
      <c r="BB106" s="549" t="str">
        <f t="shared" si="212"/>
        <v/>
      </c>
      <c r="BC106" s="523">
        <f t="shared" si="234"/>
        <v>0</v>
      </c>
      <c r="BD106" s="523">
        <f t="shared" si="235"/>
        <v>0</v>
      </c>
      <c r="BE106" s="1104"/>
      <c r="BF106" s="514" t="str">
        <f t="shared" si="213"/>
        <v/>
      </c>
      <c r="BG106" s="514" t="str">
        <f t="shared" si="236"/>
        <v>oui</v>
      </c>
      <c r="BH106" s="377" t="str">
        <f t="shared" si="214"/>
        <v/>
      </c>
      <c r="BI106" s="24" t="str">
        <f t="shared" si="215"/>
        <v/>
      </c>
      <c r="BJ106" s="1381"/>
      <c r="BK106" s="1381"/>
      <c r="BL106" s="1381"/>
      <c r="BM106" s="1381"/>
      <c r="BN106" s="1381"/>
      <c r="BO106" s="1381"/>
      <c r="BP106" s="1381"/>
      <c r="BQ106" s="1381"/>
      <c r="BS106" s="1370">
        <f t="shared" si="182"/>
        <v>46086</v>
      </c>
      <c r="BT106" s="27" t="str">
        <f t="shared" si="244"/>
        <v/>
      </c>
      <c r="BU106" s="1380"/>
      <c r="BV106" s="1380"/>
      <c r="BW106" s="1380"/>
      <c r="BX106" s="1380"/>
      <c r="BY106" s="1380"/>
      <c r="BZ106" s="1380"/>
      <c r="CA106" s="1380"/>
      <c r="CB106" s="1380"/>
      <c r="CD106" s="1386">
        <f t="shared" si="237"/>
        <v>0</v>
      </c>
      <c r="DC106" s="16" t="str">
        <f>Mars!FC24</f>
        <v>non</v>
      </c>
      <c r="DG106" s="315">
        <f t="shared" si="238"/>
        <v>1</v>
      </c>
      <c r="DH106" s="129">
        <f t="shared" si="216"/>
        <v>10</v>
      </c>
      <c r="DI106" s="129">
        <f t="shared" si="239"/>
        <v>1</v>
      </c>
      <c r="DK106" s="16">
        <f>+IF(AND(Mars!$DP$8&lt;&gt;52,AR106=S.CAL!$BJ$4),10,1)</f>
        <v>1</v>
      </c>
      <c r="DN106" s="16">
        <f t="shared" si="217"/>
        <v>1</v>
      </c>
      <c r="DU106" s="1274" t="str">
        <f t="shared" si="240"/>
        <v>Fiche infoA446086</v>
      </c>
      <c r="DV106" s="1362">
        <f t="shared" si="218"/>
        <v>0</v>
      </c>
      <c r="DW106" s="1363">
        <f t="shared" si="219"/>
        <v>0</v>
      </c>
      <c r="DX106" s="1363">
        <f t="shared" si="220"/>
        <v>0</v>
      </c>
      <c r="DY106" s="1363">
        <f t="shared" si="221"/>
        <v>0</v>
      </c>
      <c r="DZ106" s="1363">
        <f t="shared" si="222"/>
        <v>0</v>
      </c>
      <c r="EA106" s="1363">
        <f t="shared" si="223"/>
        <v>0</v>
      </c>
      <c r="EB106" s="1363">
        <f t="shared" si="224"/>
        <v>0</v>
      </c>
      <c r="EC106" s="1363">
        <f t="shared" si="225"/>
        <v>0</v>
      </c>
      <c r="ED106" s="1363">
        <f t="shared" si="241"/>
        <v>0</v>
      </c>
      <c r="EE106" s="1364">
        <f t="shared" si="242"/>
        <v>0</v>
      </c>
      <c r="EG106" s="16" t="str">
        <f t="shared" si="243"/>
        <v>102026</v>
      </c>
      <c r="EH106" s="16" t="str">
        <f t="shared" si="226"/>
        <v>Fiche infoA4</v>
      </c>
      <c r="EI106" s="16" t="str">
        <f t="shared" si="227"/>
        <v/>
      </c>
    </row>
    <row r="107" spans="1:145" x14ac:dyDescent="0.2">
      <c r="A107" s="1373" t="str">
        <f>Mars!BJ25</f>
        <v>Fiche infoA5</v>
      </c>
      <c r="B107" s="811">
        <f>Mars!AB25</f>
        <v>46087</v>
      </c>
      <c r="C107" s="1372"/>
      <c r="D107" s="981">
        <f t="shared" si="183"/>
        <v>0</v>
      </c>
      <c r="E107" s="434">
        <f t="shared" si="184"/>
        <v>0</v>
      </c>
      <c r="F107" s="434">
        <f t="shared" si="185"/>
        <v>0</v>
      </c>
      <c r="G107" s="434">
        <f t="shared" si="186"/>
        <v>0</v>
      </c>
      <c r="H107" s="434">
        <f t="shared" si="187"/>
        <v>0</v>
      </c>
      <c r="I107" s="434">
        <f t="shared" si="188"/>
        <v>0</v>
      </c>
      <c r="J107" s="434">
        <f t="shared" si="189"/>
        <v>0</v>
      </c>
      <c r="K107" s="434">
        <f t="shared" si="190"/>
        <v>0</v>
      </c>
      <c r="L107" s="434">
        <f t="shared" si="228"/>
        <v>0</v>
      </c>
      <c r="M107" s="982">
        <f t="shared" si="229"/>
        <v>0</v>
      </c>
      <c r="N107" s="1374"/>
      <c r="O107" s="981">
        <f t="shared" si="191"/>
        <v>0</v>
      </c>
      <c r="P107" s="434">
        <f t="shared" si="192"/>
        <v>0</v>
      </c>
      <c r="Q107" s="434">
        <f t="shared" si="193"/>
        <v>0</v>
      </c>
      <c r="R107" s="434">
        <f t="shared" si="194"/>
        <v>0</v>
      </c>
      <c r="S107" s="434">
        <f t="shared" si="195"/>
        <v>0</v>
      </c>
      <c r="T107" s="434">
        <f t="shared" si="196"/>
        <v>0</v>
      </c>
      <c r="U107" s="434">
        <f t="shared" si="197"/>
        <v>0</v>
      </c>
      <c r="V107" s="434">
        <f t="shared" si="198"/>
        <v>0</v>
      </c>
      <c r="W107" s="434">
        <f t="shared" si="199"/>
        <v>0</v>
      </c>
      <c r="X107" s="982">
        <f t="shared" si="200"/>
        <v>0</v>
      </c>
      <c r="Y107" s="1375"/>
      <c r="Z107" s="1376">
        <f t="shared" si="201"/>
        <v>0</v>
      </c>
      <c r="AA107" s="1376">
        <f t="shared" si="202"/>
        <v>0</v>
      </c>
      <c r="AB107" s="1376">
        <f t="shared" si="203"/>
        <v>0</v>
      </c>
      <c r="AC107" s="1376">
        <f t="shared" si="204"/>
        <v>0</v>
      </c>
      <c r="AD107" s="1376">
        <f t="shared" si="205"/>
        <v>0</v>
      </c>
      <c r="AE107" s="1376">
        <f t="shared" si="206"/>
        <v>0</v>
      </c>
      <c r="AF107" s="1376">
        <f t="shared" si="207"/>
        <v>0</v>
      </c>
      <c r="AG107" s="1376">
        <f t="shared" si="208"/>
        <v>0</v>
      </c>
      <c r="AH107" s="1374"/>
      <c r="AI107" s="444">
        <f t="shared" si="209"/>
        <v>0</v>
      </c>
      <c r="AJ107" s="1090"/>
      <c r="AK107" s="1377"/>
      <c r="AL107" s="811">
        <f t="shared" si="210"/>
        <v>46087</v>
      </c>
      <c r="AM107" s="666">
        <f>IFERROR(IF(AND(AT107="",AR107&lt;&gt;S.CAL!$BJ$3,AR107&lt;&gt;S.CAL!$BJ$4,$AR$95="NON"),M107-BD107,IF(AND(AT107="",AR107&lt;&gt;S.CAL!$BJ$3,AR107&lt;&gt;S.CAL!$BJ$4,$AR$95="OUI"),X107-AI107,IF(AT107&lt;&gt;0,AT107,IF(OR(AR107=S.CAL!$BJ$3,AR107=S.CAL!$BJ$4),AR107,"")))),"")</f>
        <v>0</v>
      </c>
      <c r="AN107" s="1093"/>
      <c r="AO107" s="1094"/>
      <c r="AP107" s="666">
        <f>+IF(AND(AU107="",BB107="OUI",BH107="non",BI107="OUI"),AM107,IF(AND(AU107="",BB107="OUI",BH107="oui",BI107="NON"),AM107,IF(AND(AU107="",BB107="NON",BH107="oui",BI107="NON"),M107,IF(AND(AU107="",BB107="NON",BH107="non",BI107="OUI"),M107,IF(AND(AU107="",BB107="OUI",BH107="non",BI107="NON"),"ERREUR",IF(AND(AU107="",BB107="NON",BH107="non",BI107="NON"),AM107,IF(AND(AU107="",BB107="OUI",BH107="",BI107=""),AM107,IF(AND(AU107="",BB107="NON",BH107="",BI107="",AZ107="NON"),M107,IF(AND(AU107="",BH107="",AZ107="OUI",AR107=""),AM107,IF(AND(AU107="",BH107="",AZ107="NON",AR107="",AT107=""),M107,IF(AND(OR(AR107=S.CAL!$BJ$3,AR107=S.CAL!$BJ$4),(VLOOKUP($AM$95,base_nbre_sem_mensu,2,FALSE)=52)),EE107,IF(AND(OR(AR107=S.CAL!$BJ$3,AR107=S.CAL!$BJ$4),(VLOOKUP($AM$95,base_nbre_sem_mensu,2,FALSE)&lt;52)),AM107,IF(AND(AT107&lt;&gt;"",AU107=""),AT107,AU107)))))))))))))</f>
        <v>0</v>
      </c>
      <c r="AQ107" s="1378">
        <f t="shared" si="230"/>
        <v>0</v>
      </c>
      <c r="AR107" s="1098"/>
      <c r="AS107" s="1374"/>
      <c r="AT107" s="1101"/>
      <c r="AU107" s="813"/>
      <c r="AV107" s="1370">
        <f t="shared" si="211"/>
        <v>46087</v>
      </c>
      <c r="AW107" s="1374"/>
      <c r="AX107" s="511">
        <f t="shared" si="231"/>
        <v>46087</v>
      </c>
      <c r="AY107" s="523">
        <f t="shared" si="232"/>
        <v>0</v>
      </c>
      <c r="AZ107" s="520" t="s">
        <v>137</v>
      </c>
      <c r="BA107" s="516">
        <f t="shared" si="233"/>
        <v>0</v>
      </c>
      <c r="BB107" s="549" t="str">
        <f t="shared" si="212"/>
        <v/>
      </c>
      <c r="BC107" s="523">
        <f t="shared" si="234"/>
        <v>0</v>
      </c>
      <c r="BD107" s="523">
        <f t="shared" si="235"/>
        <v>0</v>
      </c>
      <c r="BE107" s="1104"/>
      <c r="BF107" s="514" t="str">
        <f t="shared" si="213"/>
        <v/>
      </c>
      <c r="BG107" s="514" t="str">
        <f t="shared" si="236"/>
        <v>oui</v>
      </c>
      <c r="BH107" s="377" t="str">
        <f t="shared" si="214"/>
        <v/>
      </c>
      <c r="BI107" s="24" t="str">
        <f t="shared" si="215"/>
        <v/>
      </c>
      <c r="BJ107" s="1382"/>
      <c r="BK107" s="1382"/>
      <c r="BL107" s="1382"/>
      <c r="BM107" s="1382"/>
      <c r="BN107" s="1382"/>
      <c r="BO107" s="1382"/>
      <c r="BP107" s="1382"/>
      <c r="BQ107" s="1382"/>
      <c r="BR107" s="1383"/>
      <c r="BS107" s="1370">
        <f t="shared" si="182"/>
        <v>46087</v>
      </c>
      <c r="BT107" s="1384" t="str">
        <f t="shared" si="244"/>
        <v/>
      </c>
      <c r="BU107" s="1382"/>
      <c r="BV107" s="1382"/>
      <c r="BW107" s="1382"/>
      <c r="BX107" s="1382"/>
      <c r="BY107" s="1382"/>
      <c r="BZ107" s="1382"/>
      <c r="CA107" s="1382"/>
      <c r="CB107" s="1382"/>
      <c r="CD107" s="1386">
        <f t="shared" si="237"/>
        <v>0</v>
      </c>
      <c r="DC107" s="16" t="str">
        <f>Mars!FC25</f>
        <v>non</v>
      </c>
      <c r="DG107" s="315">
        <f t="shared" si="238"/>
        <v>1</v>
      </c>
      <c r="DH107" s="129">
        <f t="shared" si="216"/>
        <v>10</v>
      </c>
      <c r="DI107" s="129">
        <f t="shared" si="239"/>
        <v>1</v>
      </c>
      <c r="DK107" s="16">
        <f>+IF(AND(Mars!$DP$8&lt;&gt;52,AR107=S.CAL!$BJ$4),10,1)</f>
        <v>1</v>
      </c>
      <c r="DN107" s="16">
        <f t="shared" si="217"/>
        <v>1</v>
      </c>
      <c r="DU107" s="1274" t="str">
        <f t="shared" si="240"/>
        <v>Fiche infoA546087</v>
      </c>
      <c r="DV107" s="1362">
        <f t="shared" si="218"/>
        <v>0</v>
      </c>
      <c r="DW107" s="1363">
        <f t="shared" si="219"/>
        <v>0</v>
      </c>
      <c r="DX107" s="1363">
        <f t="shared" si="220"/>
        <v>0</v>
      </c>
      <c r="DY107" s="1363">
        <f t="shared" si="221"/>
        <v>0</v>
      </c>
      <c r="DZ107" s="1363">
        <f t="shared" si="222"/>
        <v>0</v>
      </c>
      <c r="EA107" s="1363">
        <f t="shared" si="223"/>
        <v>0</v>
      </c>
      <c r="EB107" s="1363">
        <f t="shared" si="224"/>
        <v>0</v>
      </c>
      <c r="EC107" s="1363">
        <f t="shared" si="225"/>
        <v>0</v>
      </c>
      <c r="ED107" s="1363">
        <f t="shared" si="241"/>
        <v>0</v>
      </c>
      <c r="EE107" s="1364">
        <f t="shared" si="242"/>
        <v>0</v>
      </c>
      <c r="EG107" s="16" t="str">
        <f t="shared" si="243"/>
        <v>102026</v>
      </c>
      <c r="EH107" s="16" t="str">
        <f t="shared" si="226"/>
        <v>Fiche infoA5</v>
      </c>
      <c r="EI107" s="16" t="str">
        <f t="shared" si="227"/>
        <v/>
      </c>
    </row>
    <row r="108" spans="1:145" x14ac:dyDescent="0.2">
      <c r="A108" s="24" t="str">
        <f>Mars!BJ26</f>
        <v>Fiche infoA6</v>
      </c>
      <c r="B108" s="811">
        <f>Mars!AB26</f>
        <v>46088</v>
      </c>
      <c r="C108" s="1371"/>
      <c r="D108" s="981">
        <f t="shared" si="183"/>
        <v>0</v>
      </c>
      <c r="E108" s="434">
        <f t="shared" si="184"/>
        <v>0</v>
      </c>
      <c r="F108" s="434">
        <f t="shared" si="185"/>
        <v>0</v>
      </c>
      <c r="G108" s="434">
        <f t="shared" si="186"/>
        <v>0</v>
      </c>
      <c r="H108" s="434">
        <f t="shared" si="187"/>
        <v>0</v>
      </c>
      <c r="I108" s="434">
        <f t="shared" si="188"/>
        <v>0</v>
      </c>
      <c r="J108" s="434">
        <f t="shared" si="189"/>
        <v>0</v>
      </c>
      <c r="K108" s="434">
        <f t="shared" si="190"/>
        <v>0</v>
      </c>
      <c r="L108" s="434">
        <f t="shared" si="228"/>
        <v>0</v>
      </c>
      <c r="M108" s="982">
        <f t="shared" si="229"/>
        <v>0</v>
      </c>
      <c r="O108" s="981">
        <f t="shared" si="191"/>
        <v>0</v>
      </c>
      <c r="P108" s="434">
        <f t="shared" si="192"/>
        <v>0</v>
      </c>
      <c r="Q108" s="434">
        <f t="shared" si="193"/>
        <v>0</v>
      </c>
      <c r="R108" s="434">
        <f t="shared" si="194"/>
        <v>0</v>
      </c>
      <c r="S108" s="434">
        <f t="shared" si="195"/>
        <v>0</v>
      </c>
      <c r="T108" s="434">
        <f t="shared" si="196"/>
        <v>0</v>
      </c>
      <c r="U108" s="434">
        <f t="shared" si="197"/>
        <v>0</v>
      </c>
      <c r="V108" s="434">
        <f t="shared" si="198"/>
        <v>0</v>
      </c>
      <c r="W108" s="434">
        <f t="shared" si="199"/>
        <v>0</v>
      </c>
      <c r="X108" s="982">
        <f t="shared" si="200"/>
        <v>0</v>
      </c>
      <c r="Y108" s="441"/>
      <c r="Z108" s="277">
        <f t="shared" si="201"/>
        <v>0</v>
      </c>
      <c r="AA108" s="277">
        <f t="shared" si="202"/>
        <v>0</v>
      </c>
      <c r="AB108" s="277">
        <f t="shared" si="203"/>
        <v>0</v>
      </c>
      <c r="AC108" s="277">
        <f t="shared" si="204"/>
        <v>0</v>
      </c>
      <c r="AD108" s="277">
        <f t="shared" si="205"/>
        <v>0</v>
      </c>
      <c r="AE108" s="277">
        <f t="shared" si="206"/>
        <v>0</v>
      </c>
      <c r="AF108" s="277">
        <f t="shared" si="207"/>
        <v>0</v>
      </c>
      <c r="AG108" s="277">
        <f t="shared" si="208"/>
        <v>0</v>
      </c>
      <c r="AI108" s="444">
        <f t="shared" si="209"/>
        <v>0</v>
      </c>
      <c r="AJ108" s="1090"/>
      <c r="AK108" s="489"/>
      <c r="AL108" s="811">
        <f t="shared" si="210"/>
        <v>46088</v>
      </c>
      <c r="AM108" s="666">
        <f>IFERROR(IF(AND(AT108="",AR108&lt;&gt;S.CAL!$BJ$3,AR108&lt;&gt;S.CAL!$BJ$4,$AR$95="NON"),M108-BD108,IF(AND(AT108="",AR108&lt;&gt;S.CAL!$BJ$3,AR108&lt;&gt;S.CAL!$BJ$4,$AR$95="OUI"),X108-AI108,IF(AT108&lt;&gt;0,AT108,IF(OR(AR108=S.CAL!$BJ$3,AR108=S.CAL!$BJ$4),AR108,"")))),"")</f>
        <v>0</v>
      </c>
      <c r="AN108" s="1093"/>
      <c r="AO108" s="1094"/>
      <c r="AP108" s="666">
        <f>+IF(AND(AU108="",BB108="OUI",BH108="non",BI108="OUI"),AM108,IF(AND(AU108="",BB108="OUI",BH108="oui",BI108="NON"),AM108,IF(AND(AU108="",BB108="NON",BH108="oui",BI108="NON"),M108,IF(AND(AU108="",BB108="NON",BH108="non",BI108="OUI"),M108,IF(AND(AU108="",BB108="OUI",BH108="non",BI108="NON"),"ERREUR",IF(AND(AU108="",BB108="NON",BH108="non",BI108="NON"),AM108,IF(AND(AU108="",BB108="OUI",BH108="",BI108=""),AM108,IF(AND(AU108="",BB108="NON",BH108="",BI108="",AZ108="NON"),M108,IF(AND(AU108="",BH108="",AZ108="OUI",AR108=""),AM108,IF(AND(AU108="",BH108="",AZ108="NON",AR108="",AT108=""),M108,IF(AND(OR(AR108=S.CAL!$BJ$3,AR108=S.CAL!$BJ$4),(VLOOKUP($AM$95,base_nbre_sem_mensu,2,FALSE)=52)),EE108,IF(AND(OR(AR108=S.CAL!$BJ$3,AR108=S.CAL!$BJ$4),(VLOOKUP($AM$95,base_nbre_sem_mensu,2,FALSE)&lt;52)),AM108,IF(AND(AT108&lt;&gt;"",AU108=""),AT108,AU108)))))))))))))</f>
        <v>0</v>
      </c>
      <c r="AQ108" s="498">
        <f t="shared" si="230"/>
        <v>0</v>
      </c>
      <c r="AR108" s="1098"/>
      <c r="AT108" s="1101"/>
      <c r="AU108" s="813"/>
      <c r="AV108" s="1370">
        <f t="shared" si="211"/>
        <v>46088</v>
      </c>
      <c r="AX108" s="511">
        <f t="shared" si="231"/>
        <v>46088</v>
      </c>
      <c r="AY108" s="523">
        <f t="shared" si="232"/>
        <v>0</v>
      </c>
      <c r="AZ108" s="520" t="s">
        <v>137</v>
      </c>
      <c r="BA108" s="516">
        <f t="shared" si="233"/>
        <v>0</v>
      </c>
      <c r="BB108" s="549" t="str">
        <f t="shared" si="212"/>
        <v/>
      </c>
      <c r="BC108" s="523">
        <f t="shared" si="234"/>
        <v>0</v>
      </c>
      <c r="BD108" s="523">
        <f t="shared" si="235"/>
        <v>0</v>
      </c>
      <c r="BE108" s="1104"/>
      <c r="BF108" s="514" t="str">
        <f t="shared" si="213"/>
        <v/>
      </c>
      <c r="BG108" s="514" t="str">
        <f t="shared" si="236"/>
        <v>oui</v>
      </c>
      <c r="BH108" s="377" t="str">
        <f t="shared" si="214"/>
        <v/>
      </c>
      <c r="BI108" s="24" t="str">
        <f t="shared" si="215"/>
        <v/>
      </c>
      <c r="BJ108" s="1381"/>
      <c r="BK108" s="1381"/>
      <c r="BL108" s="1381"/>
      <c r="BM108" s="1381"/>
      <c r="BN108" s="1381"/>
      <c r="BO108" s="1381"/>
      <c r="BP108" s="1381"/>
      <c r="BQ108" s="1381"/>
      <c r="BS108" s="1370">
        <f t="shared" si="182"/>
        <v>46088</v>
      </c>
      <c r="BT108" s="27" t="str">
        <f t="shared" si="244"/>
        <v/>
      </c>
      <c r="BU108" s="1380"/>
      <c r="BV108" s="1380"/>
      <c r="BW108" s="1380"/>
      <c r="BX108" s="1380"/>
      <c r="BY108" s="1380"/>
      <c r="BZ108" s="1380"/>
      <c r="CA108" s="1380"/>
      <c r="CB108" s="1380"/>
      <c r="CD108" s="1386">
        <f t="shared" si="237"/>
        <v>0</v>
      </c>
      <c r="DC108" s="16" t="str">
        <f>Mars!FC26</f>
        <v>non</v>
      </c>
      <c r="DG108" s="315">
        <f t="shared" si="238"/>
        <v>1</v>
      </c>
      <c r="DH108" s="129">
        <f t="shared" si="216"/>
        <v>10</v>
      </c>
      <c r="DI108" s="129">
        <f t="shared" si="239"/>
        <v>1</v>
      </c>
      <c r="DK108" s="16">
        <f>+IF(AND(Mars!$DP$8&lt;&gt;52,AR108=S.CAL!$BJ$4),10,1)</f>
        <v>1</v>
      </c>
      <c r="DN108" s="16">
        <f t="shared" si="217"/>
        <v>1</v>
      </c>
      <c r="DU108" s="1274" t="str">
        <f t="shared" si="240"/>
        <v>Fiche infoA646088</v>
      </c>
      <c r="DV108" s="1362">
        <f t="shared" si="218"/>
        <v>0</v>
      </c>
      <c r="DW108" s="1363">
        <f t="shared" si="219"/>
        <v>0</v>
      </c>
      <c r="DX108" s="1363">
        <f t="shared" si="220"/>
        <v>0</v>
      </c>
      <c r="DY108" s="1363">
        <f t="shared" si="221"/>
        <v>0</v>
      </c>
      <c r="DZ108" s="1363">
        <f t="shared" si="222"/>
        <v>0</v>
      </c>
      <c r="EA108" s="1363">
        <f t="shared" si="223"/>
        <v>0</v>
      </c>
      <c r="EB108" s="1363">
        <f t="shared" si="224"/>
        <v>0</v>
      </c>
      <c r="EC108" s="1363">
        <f t="shared" si="225"/>
        <v>0</v>
      </c>
      <c r="ED108" s="1363">
        <f t="shared" si="241"/>
        <v>0</v>
      </c>
      <c r="EE108" s="1364">
        <f t="shared" si="242"/>
        <v>0</v>
      </c>
      <c r="EG108" s="16" t="str">
        <f t="shared" si="243"/>
        <v>102026</v>
      </c>
      <c r="EH108" s="16" t="str">
        <f t="shared" si="226"/>
        <v>Fiche infoA6</v>
      </c>
      <c r="EI108" s="16" t="str">
        <f t="shared" si="227"/>
        <v/>
      </c>
    </row>
    <row r="109" spans="1:145" x14ac:dyDescent="0.2">
      <c r="A109" s="1373" t="str">
        <f>Mars!BJ27</f>
        <v>Fiche infoA7</v>
      </c>
      <c r="B109" s="811">
        <f>Mars!AB27</f>
        <v>46089</v>
      </c>
      <c r="C109" s="1372"/>
      <c r="D109" s="981">
        <f t="shared" si="183"/>
        <v>0</v>
      </c>
      <c r="E109" s="434">
        <f t="shared" si="184"/>
        <v>0</v>
      </c>
      <c r="F109" s="434">
        <f t="shared" si="185"/>
        <v>0</v>
      </c>
      <c r="G109" s="434">
        <f t="shared" si="186"/>
        <v>0</v>
      </c>
      <c r="H109" s="434">
        <f t="shared" si="187"/>
        <v>0</v>
      </c>
      <c r="I109" s="434">
        <f t="shared" si="188"/>
        <v>0</v>
      </c>
      <c r="J109" s="434">
        <f t="shared" si="189"/>
        <v>0</v>
      </c>
      <c r="K109" s="434">
        <f t="shared" si="190"/>
        <v>0</v>
      </c>
      <c r="L109" s="434">
        <f t="shared" si="228"/>
        <v>0</v>
      </c>
      <c r="M109" s="982">
        <f t="shared" si="229"/>
        <v>0</v>
      </c>
      <c r="N109" s="1374"/>
      <c r="O109" s="981">
        <f t="shared" si="191"/>
        <v>0</v>
      </c>
      <c r="P109" s="434">
        <f t="shared" si="192"/>
        <v>0</v>
      </c>
      <c r="Q109" s="434">
        <f t="shared" si="193"/>
        <v>0</v>
      </c>
      <c r="R109" s="434">
        <f t="shared" si="194"/>
        <v>0</v>
      </c>
      <c r="S109" s="434">
        <f t="shared" si="195"/>
        <v>0</v>
      </c>
      <c r="T109" s="434">
        <f t="shared" si="196"/>
        <v>0</v>
      </c>
      <c r="U109" s="434">
        <f t="shared" si="197"/>
        <v>0</v>
      </c>
      <c r="V109" s="434">
        <f t="shared" si="198"/>
        <v>0</v>
      </c>
      <c r="W109" s="434">
        <f t="shared" si="199"/>
        <v>0</v>
      </c>
      <c r="X109" s="982">
        <f t="shared" si="200"/>
        <v>0</v>
      </c>
      <c r="Y109" s="1375"/>
      <c r="Z109" s="1376">
        <f t="shared" si="201"/>
        <v>0</v>
      </c>
      <c r="AA109" s="1376">
        <f t="shared" si="202"/>
        <v>0</v>
      </c>
      <c r="AB109" s="1376">
        <f t="shared" si="203"/>
        <v>0</v>
      </c>
      <c r="AC109" s="1376">
        <f t="shared" si="204"/>
        <v>0</v>
      </c>
      <c r="AD109" s="1376">
        <f t="shared" si="205"/>
        <v>0</v>
      </c>
      <c r="AE109" s="1376">
        <f t="shared" si="206"/>
        <v>0</v>
      </c>
      <c r="AF109" s="1376">
        <f t="shared" si="207"/>
        <v>0</v>
      </c>
      <c r="AG109" s="1376">
        <f t="shared" si="208"/>
        <v>0</v>
      </c>
      <c r="AH109" s="1374"/>
      <c r="AI109" s="444">
        <f t="shared" si="209"/>
        <v>0</v>
      </c>
      <c r="AJ109" s="1090"/>
      <c r="AK109" s="1377"/>
      <c r="AL109" s="811">
        <f t="shared" si="210"/>
        <v>46089</v>
      </c>
      <c r="AM109" s="666">
        <f>IFERROR(IF(AND(AT109="",AR109&lt;&gt;S.CAL!$BJ$3,AR109&lt;&gt;S.CAL!$BJ$4,$AR$95="NON"),M109-BD109,IF(AND(AT109="",AR109&lt;&gt;S.CAL!$BJ$3,AR109&lt;&gt;S.CAL!$BJ$4,$AR$95="OUI"),X109-AI109,IF(AT109&lt;&gt;0,AT109,IF(OR(AR109=S.CAL!$BJ$3,AR109=S.CAL!$BJ$4),AR109,"")))),"")</f>
        <v>0</v>
      </c>
      <c r="AN109" s="1093"/>
      <c r="AO109" s="1094"/>
      <c r="AP109" s="666">
        <f>+IF(AND(AU109="",BB109="OUI",BH109="non",BI109="OUI"),AM109,IF(AND(AU109="",BB109="OUI",BH109="oui",BI109="NON"),AM109,IF(AND(AU109="",BB109="NON",BH109="oui",BI109="NON"),M109,IF(AND(AU109="",BB109="NON",BH109="non",BI109="OUI"),M109,IF(AND(AU109="",BB109="OUI",BH109="non",BI109="NON"),"ERREUR",IF(AND(AU109="",BB109="NON",BH109="non",BI109="NON"),AM109,IF(AND(AU109="",BB109="OUI",BH109="",BI109=""),AM109,IF(AND(AU109="",BB109="NON",BH109="",BI109="",AZ109="NON"),M109,IF(AND(AU109="",BH109="",AZ109="OUI",AR109=""),AM109,IF(AND(AU109="",BH109="",AZ109="NON",AR109="",AT109=""),M109,IF(AND(OR(AR109=S.CAL!$BJ$3,AR109=S.CAL!$BJ$4),(VLOOKUP($AM$95,base_nbre_sem_mensu,2,FALSE)=52)),EE109,IF(AND(OR(AR109=S.CAL!$BJ$3,AR109=S.CAL!$BJ$4),(VLOOKUP($AM$95,base_nbre_sem_mensu,2,FALSE)&lt;52)),AM109,IF(AND(AT109&lt;&gt;"",AU109=""),AT109,AU109)))))))))))))</f>
        <v>0</v>
      </c>
      <c r="AQ109" s="1378">
        <f t="shared" si="230"/>
        <v>0</v>
      </c>
      <c r="AR109" s="1098"/>
      <c r="AS109" s="1374"/>
      <c r="AT109" s="1101"/>
      <c r="AU109" s="813"/>
      <c r="AV109" s="1370">
        <f t="shared" si="211"/>
        <v>46089</v>
      </c>
      <c r="AW109" s="1374"/>
      <c r="AX109" s="511">
        <f t="shared" si="231"/>
        <v>46089</v>
      </c>
      <c r="AY109" s="523">
        <f t="shared" si="232"/>
        <v>0</v>
      </c>
      <c r="AZ109" s="520" t="s">
        <v>137</v>
      </c>
      <c r="BA109" s="516">
        <f t="shared" si="233"/>
        <v>0</v>
      </c>
      <c r="BB109" s="549" t="str">
        <f t="shared" si="212"/>
        <v/>
      </c>
      <c r="BC109" s="523">
        <f t="shared" si="234"/>
        <v>0</v>
      </c>
      <c r="BD109" s="523">
        <f t="shared" si="235"/>
        <v>0</v>
      </c>
      <c r="BE109" s="1104"/>
      <c r="BF109" s="514" t="str">
        <f t="shared" si="213"/>
        <v/>
      </c>
      <c r="BG109" s="514" t="str">
        <f t="shared" si="236"/>
        <v>oui</v>
      </c>
      <c r="BH109" s="377" t="str">
        <f t="shared" si="214"/>
        <v/>
      </c>
      <c r="BI109" s="24" t="str">
        <f t="shared" si="215"/>
        <v/>
      </c>
      <c r="BJ109" s="1382"/>
      <c r="BK109" s="1382"/>
      <c r="BL109" s="1382"/>
      <c r="BM109" s="1382"/>
      <c r="BN109" s="1382"/>
      <c r="BO109" s="1382"/>
      <c r="BP109" s="1382"/>
      <c r="BQ109" s="1382"/>
      <c r="BR109" s="1383"/>
      <c r="BS109" s="1370">
        <f t="shared" si="182"/>
        <v>46089</v>
      </c>
      <c r="BT109" s="1384" t="str">
        <f t="shared" si="244"/>
        <v/>
      </c>
      <c r="BU109" s="1382"/>
      <c r="BV109" s="1382"/>
      <c r="BW109" s="1382"/>
      <c r="BX109" s="1382"/>
      <c r="BY109" s="1382"/>
      <c r="BZ109" s="1382"/>
      <c r="CA109" s="1382"/>
      <c r="CB109" s="1382"/>
      <c r="CD109" s="1386">
        <f t="shared" si="237"/>
        <v>0</v>
      </c>
      <c r="DC109" s="16" t="str">
        <f>Mars!FC27</f>
        <v>non</v>
      </c>
      <c r="DG109" s="315">
        <f t="shared" si="238"/>
        <v>1</v>
      </c>
      <c r="DH109" s="129">
        <f t="shared" si="216"/>
        <v>10</v>
      </c>
      <c r="DI109" s="129">
        <f t="shared" si="239"/>
        <v>1</v>
      </c>
      <c r="DK109" s="16">
        <f>+IF(AND(Mars!$DP$8&lt;&gt;52,AR109=S.CAL!$BJ$4),10,1)</f>
        <v>1</v>
      </c>
      <c r="DN109" s="16">
        <f t="shared" si="217"/>
        <v>1</v>
      </c>
      <c r="DU109" s="1274" t="str">
        <f t="shared" si="240"/>
        <v>Fiche infoA746089</v>
      </c>
      <c r="DV109" s="1362">
        <f t="shared" si="218"/>
        <v>0</v>
      </c>
      <c r="DW109" s="1363">
        <f t="shared" si="219"/>
        <v>0</v>
      </c>
      <c r="DX109" s="1363">
        <f t="shared" si="220"/>
        <v>0</v>
      </c>
      <c r="DY109" s="1363">
        <f t="shared" si="221"/>
        <v>0</v>
      </c>
      <c r="DZ109" s="1363">
        <f t="shared" si="222"/>
        <v>0</v>
      </c>
      <c r="EA109" s="1363">
        <f t="shared" si="223"/>
        <v>0</v>
      </c>
      <c r="EB109" s="1363">
        <f t="shared" si="224"/>
        <v>0</v>
      </c>
      <c r="EC109" s="1363">
        <f t="shared" si="225"/>
        <v>0</v>
      </c>
      <c r="ED109" s="1363">
        <f t="shared" si="241"/>
        <v>0</v>
      </c>
      <c r="EE109" s="1364">
        <f t="shared" si="242"/>
        <v>0</v>
      </c>
      <c r="EG109" s="16" t="str">
        <f t="shared" si="243"/>
        <v>102026</v>
      </c>
      <c r="EH109" s="16" t="str">
        <f t="shared" si="226"/>
        <v>Fiche infoA7</v>
      </c>
      <c r="EI109" s="16" t="str">
        <f t="shared" si="227"/>
        <v/>
      </c>
    </row>
    <row r="110" spans="1:145" x14ac:dyDescent="0.2">
      <c r="A110" s="24" t="str">
        <f>Mars!BJ28</f>
        <v>Fiche infoA1</v>
      </c>
      <c r="B110" s="811">
        <f>Mars!AB28</f>
        <v>46090</v>
      </c>
      <c r="C110" s="1371"/>
      <c r="D110" s="981">
        <f t="shared" si="183"/>
        <v>0</v>
      </c>
      <c r="E110" s="434">
        <f t="shared" si="184"/>
        <v>0</v>
      </c>
      <c r="F110" s="434">
        <f t="shared" si="185"/>
        <v>0</v>
      </c>
      <c r="G110" s="434">
        <f t="shared" si="186"/>
        <v>0</v>
      </c>
      <c r="H110" s="434">
        <f t="shared" si="187"/>
        <v>0</v>
      </c>
      <c r="I110" s="434">
        <f t="shared" si="188"/>
        <v>0</v>
      </c>
      <c r="J110" s="434">
        <f t="shared" si="189"/>
        <v>0</v>
      </c>
      <c r="K110" s="434">
        <f t="shared" si="190"/>
        <v>0</v>
      </c>
      <c r="L110" s="434">
        <f t="shared" si="228"/>
        <v>0</v>
      </c>
      <c r="M110" s="982">
        <f t="shared" si="229"/>
        <v>0</v>
      </c>
      <c r="O110" s="981">
        <f>IF(AR110&lt;&gt;"",0,IF(DC110="oui",0,IF(AND(ISTEXT(AT110)=TRUE,BJ110=""),0,IF(BJ110="",D110,BJ110))))</f>
        <v>0</v>
      </c>
      <c r="P110" s="434">
        <f>IF(AR110&lt;&gt;"",0,IF(DC110="oui",0,IF(AND(ISTEXT(AT110)=TRUE,BK110=""),0,IF(BK110="",E110,BK110))))</f>
        <v>0</v>
      </c>
      <c r="Q110" s="434">
        <f>IF(AR110&lt;&gt;"",0,IF(DC110="oui",0,IF(AND(ISTEXT(AT110)=TRUE,BL110=""),0,IF(BL110="",F110,BL110))))</f>
        <v>0</v>
      </c>
      <c r="R110" s="434">
        <f>IF(AR110&lt;&gt;"",0,IF(DC110="oui",0,IF(AND(ISTEXT(AT110)=TRUE,BM110=""),0,IF(BM110="",G110,BM110))))</f>
        <v>0</v>
      </c>
      <c r="S110" s="434">
        <f>IF(AR110&lt;&gt;"",0,IF(DC110="oui",0,IF(AND(ISTEXT(AT110)=TRUE,BN110=""),0,IF(BN110="",H110,BN110))))</f>
        <v>0</v>
      </c>
      <c r="T110" s="434">
        <f>IF(AR110&lt;&gt;"",0,IF(DC110="oui",0,IF(AND(ISTEXT(AT110)=TRUE,BO110=""),0,IF(BO110="",I110,BO110))))</f>
        <v>0</v>
      </c>
      <c r="U110" s="434">
        <f>IF(AR110&lt;&gt;"",0,IF(DC110="oui",0,IF(AND(ISTEXT(AT110)=TRUE,BP110=""),0,IF(BP110="",J110,BP110))))</f>
        <v>0</v>
      </c>
      <c r="V110" s="434">
        <f>IF(AR110&lt;&gt;"",0,IF(DC110="oui",0,IF(AND(ISTEXT(AT110)=TRUE,BQ110=""),0,IF(BQ110="",K110,BQ110))))</f>
        <v>0</v>
      </c>
      <c r="W110" s="434">
        <f t="shared" si="199"/>
        <v>0</v>
      </c>
      <c r="X110" s="982">
        <f t="shared" si="200"/>
        <v>0</v>
      </c>
      <c r="Y110" s="441"/>
      <c r="Z110" s="277">
        <f t="shared" si="201"/>
        <v>0</v>
      </c>
      <c r="AA110" s="277">
        <f t="shared" si="202"/>
        <v>0</v>
      </c>
      <c r="AB110" s="277">
        <f t="shared" si="203"/>
        <v>0</v>
      </c>
      <c r="AC110" s="277">
        <f t="shared" si="204"/>
        <v>0</v>
      </c>
      <c r="AD110" s="277">
        <f t="shared" si="205"/>
        <v>0</v>
      </c>
      <c r="AE110" s="277">
        <f t="shared" si="206"/>
        <v>0</v>
      </c>
      <c r="AF110" s="277">
        <f t="shared" si="207"/>
        <v>0</v>
      </c>
      <c r="AG110" s="277">
        <f t="shared" si="208"/>
        <v>0</v>
      </c>
      <c r="AI110" s="444">
        <f>IF(DC110="oui",0,IF(AND(ISTEXT(AT110)=TRUE,OR(X110=0,X110="")),0,ROUND(((((AA110-Z110)-(E110-D110))+((AC110-AB110)-(G110-F110))+((AE110-AD110)-(I110-H110))+(AG110-AF110)-(K110-J110))*24),2)))</f>
        <v>0</v>
      </c>
      <c r="AJ110" s="1090"/>
      <c r="AK110" s="489"/>
      <c r="AL110" s="811">
        <f t="shared" si="210"/>
        <v>46090</v>
      </c>
      <c r="AM110" s="666">
        <f>IFERROR(IF(AND(AT110="",AR110&lt;&gt;S.CAL!$BJ$3,AR110&lt;&gt;S.CAL!$BJ$4,$AR$95="NON"),M110-BD110,IF(AND(AT110="",AR110&lt;&gt;S.CAL!$BJ$3,AR110&lt;&gt;S.CAL!$BJ$4,$AR$95="OUI"),X110-AI110,IF(AT110&lt;&gt;0,AT110,IF(OR(AR110=S.CAL!$BJ$3,AR110=S.CAL!$BJ$4),AR110,"")))),"")</f>
        <v>0</v>
      </c>
      <c r="AN110" s="1093"/>
      <c r="AO110" s="1094"/>
      <c r="AP110" s="666">
        <f>+IF(AND(AU110="",BB110="OUI",BH110="non",BI110="OUI"),AM110,IF(AND(AU110="",BB110="OUI",BH110="oui",BI110="NON"),AM110,IF(AND(AU110="",BB110="NON",BH110="oui",BI110="NON"),M110,IF(AND(AU110="",BB110="NON",BH110="non",BI110="OUI"),M110,IF(AND(AU110="",BB110="OUI",BH110="non",BI110="NON"),"ERREUR",IF(AND(AU110="",BB110="NON",BH110="non",BI110="NON"),AM110,IF(AND(AU110="",BB110="OUI",BH110="",BI110=""),AM110,IF(AND(AU110="",BB110="NON",BH110="",BI110="",AZ110="NON"),M110,IF(AND(AU110="",BH110="",AZ110="OUI",AR110=""),AM110,IF(AND(AU110="",BH110="",AZ110="NON",AR110="",AT110=""),M110,IF(AND(OR(AR110=S.CAL!$BJ$3,AR110=S.CAL!$BJ$4),(VLOOKUP($AM$95,base_nbre_sem_mensu,2,FALSE)=52)),EE110,IF(AND(OR(AR110=S.CAL!$BJ$3,AR110=S.CAL!$BJ$4),(VLOOKUP($AM$95,base_nbre_sem_mensu,2,FALSE)&lt;52)),AM110,IF(AND(AT110&lt;&gt;"",AU110=""),AT110,AU110)))))))))))))</f>
        <v>0</v>
      </c>
      <c r="AQ110" s="498">
        <f t="shared" si="230"/>
        <v>0</v>
      </c>
      <c r="AR110" s="1098"/>
      <c r="AT110" s="1101"/>
      <c r="AU110" s="813"/>
      <c r="AV110" s="1370">
        <f t="shared" si="211"/>
        <v>46090</v>
      </c>
      <c r="AX110" s="511">
        <f t="shared" si="231"/>
        <v>46090</v>
      </c>
      <c r="AY110" s="523">
        <f t="shared" si="232"/>
        <v>0</v>
      </c>
      <c r="AZ110" s="520" t="s">
        <v>137</v>
      </c>
      <c r="BA110" s="516">
        <f t="shared" si="233"/>
        <v>0</v>
      </c>
      <c r="BB110" s="549" t="str">
        <f t="shared" si="212"/>
        <v/>
      </c>
      <c r="BC110" s="523">
        <f t="shared" si="234"/>
        <v>0</v>
      </c>
      <c r="BD110" s="523">
        <f t="shared" si="235"/>
        <v>0</v>
      </c>
      <c r="BE110" s="1104"/>
      <c r="BF110" s="514" t="str">
        <f t="shared" si="213"/>
        <v/>
      </c>
      <c r="BG110" s="514" t="str">
        <f t="shared" si="236"/>
        <v>oui</v>
      </c>
      <c r="BH110" s="377" t="str">
        <f t="shared" si="214"/>
        <v/>
      </c>
      <c r="BI110" s="24" t="str">
        <f t="shared" si="215"/>
        <v/>
      </c>
      <c r="BJ110" s="1381"/>
      <c r="BK110" s="1381"/>
      <c r="BL110" s="1381"/>
      <c r="BM110" s="1381"/>
      <c r="BN110" s="1381"/>
      <c r="BO110" s="1381"/>
      <c r="BP110" s="1381"/>
      <c r="BQ110" s="1381"/>
      <c r="BS110" s="1370">
        <f t="shared" si="182"/>
        <v>46090</v>
      </c>
      <c r="BT110" s="27">
        <f t="shared" si="244"/>
        <v>11</v>
      </c>
      <c r="BU110" s="1380"/>
      <c r="BV110" s="1380"/>
      <c r="BW110" s="1380"/>
      <c r="BX110" s="1380"/>
      <c r="BY110" s="1380"/>
      <c r="BZ110" s="1380"/>
      <c r="CA110" s="1380"/>
      <c r="CB110" s="1380"/>
      <c r="CD110" s="1386">
        <f t="shared" si="237"/>
        <v>0</v>
      </c>
      <c r="DC110" s="16" t="str">
        <f>Mars!FC28</f>
        <v>non</v>
      </c>
      <c r="DG110" s="315">
        <f t="shared" si="238"/>
        <v>1</v>
      </c>
      <c r="DH110" s="129">
        <f t="shared" si="216"/>
        <v>10</v>
      </c>
      <c r="DI110" s="129">
        <f t="shared" si="239"/>
        <v>1</v>
      </c>
      <c r="DK110" s="16">
        <f>+IF(AND(Mars!$DP$8&lt;&gt;52,AR110=S.CAL!$BJ$4),10,1)</f>
        <v>1</v>
      </c>
      <c r="DN110" s="16">
        <f t="shared" si="217"/>
        <v>1</v>
      </c>
      <c r="DU110" s="1274" t="str">
        <f t="shared" si="240"/>
        <v>Fiche infoA146090</v>
      </c>
      <c r="DV110" s="1362">
        <f t="shared" si="218"/>
        <v>0</v>
      </c>
      <c r="DW110" s="1363">
        <f t="shared" si="219"/>
        <v>0</v>
      </c>
      <c r="DX110" s="1363">
        <f t="shared" si="220"/>
        <v>0</v>
      </c>
      <c r="DY110" s="1363">
        <f t="shared" si="221"/>
        <v>0</v>
      </c>
      <c r="DZ110" s="1363">
        <f t="shared" si="222"/>
        <v>0</v>
      </c>
      <c r="EA110" s="1363">
        <f t="shared" si="223"/>
        <v>0</v>
      </c>
      <c r="EB110" s="1363">
        <f t="shared" si="224"/>
        <v>0</v>
      </c>
      <c r="EC110" s="1363">
        <f t="shared" si="225"/>
        <v>0</v>
      </c>
      <c r="ED110" s="1363">
        <f t="shared" si="241"/>
        <v>0</v>
      </c>
      <c r="EE110" s="1364">
        <f t="shared" si="242"/>
        <v>0</v>
      </c>
      <c r="EG110" s="16" t="str">
        <f t="shared" si="243"/>
        <v>112026</v>
      </c>
      <c r="EH110" s="16" t="str">
        <f t="shared" si="226"/>
        <v>Fiche infoA1</v>
      </c>
      <c r="EI110" s="16" t="str">
        <f t="shared" si="227"/>
        <v/>
      </c>
    </row>
    <row r="111" spans="1:145" x14ac:dyDescent="0.2">
      <c r="A111" s="1373" t="str">
        <f>Mars!BJ29</f>
        <v>Fiche infoA2</v>
      </c>
      <c r="B111" s="811">
        <f>Mars!AB29</f>
        <v>46091</v>
      </c>
      <c r="C111" s="1372"/>
      <c r="D111" s="981">
        <f t="shared" si="183"/>
        <v>0</v>
      </c>
      <c r="E111" s="434">
        <f t="shared" si="184"/>
        <v>0</v>
      </c>
      <c r="F111" s="434">
        <f t="shared" si="185"/>
        <v>0</v>
      </c>
      <c r="G111" s="434">
        <f t="shared" si="186"/>
        <v>0</v>
      </c>
      <c r="H111" s="434">
        <f t="shared" si="187"/>
        <v>0</v>
      </c>
      <c r="I111" s="434">
        <f t="shared" si="188"/>
        <v>0</v>
      </c>
      <c r="J111" s="434">
        <f t="shared" si="189"/>
        <v>0</v>
      </c>
      <c r="K111" s="434">
        <f t="shared" si="190"/>
        <v>0</v>
      </c>
      <c r="L111" s="434">
        <f t="shared" si="228"/>
        <v>0</v>
      </c>
      <c r="M111" s="982">
        <f t="shared" si="229"/>
        <v>0</v>
      </c>
      <c r="N111" s="1374"/>
      <c r="O111" s="981">
        <f t="shared" ref="O111:O132" si="245">IF(AR111&lt;&gt;"",0,IF(DC111="oui",0,IF(AND(ISTEXT(AT111)=TRUE,BJ111=""),0,IF(BJ111="",D111,BJ111))))</f>
        <v>0</v>
      </c>
      <c r="P111" s="434">
        <f t="shared" ref="P111:P132" si="246">IF(AR111&lt;&gt;"",0,IF(DC111="oui",0,IF(AND(ISTEXT(AT111)=TRUE,BK111=""),0,IF(BK111="",E111,BK111))))</f>
        <v>0</v>
      </c>
      <c r="Q111" s="434">
        <f t="shared" ref="Q111:Q132" si="247">IF(AR111&lt;&gt;"",0,IF(DC111="oui",0,IF(AND(ISTEXT(AT111)=TRUE,BL111=""),0,IF(BL111="",F111,BL111))))</f>
        <v>0</v>
      </c>
      <c r="R111" s="434">
        <f t="shared" ref="R111:R132" si="248">IF(AR111&lt;&gt;"",0,IF(DC111="oui",0,IF(AND(ISTEXT(AT111)=TRUE,BM111=""),0,IF(BM111="",G111,BM111))))</f>
        <v>0</v>
      </c>
      <c r="S111" s="434">
        <f t="shared" ref="S111:S132" si="249">IF(AR111&lt;&gt;"",0,IF(DC111="oui",0,IF(AND(ISTEXT(AT111)=TRUE,BN111=""),0,IF(BN111="",H111,BN111))))</f>
        <v>0</v>
      </c>
      <c r="T111" s="434">
        <f t="shared" ref="T111:T132" si="250">IF(AR111&lt;&gt;"",0,IF(DC111="oui",0,IF(AND(ISTEXT(AT111)=TRUE,BO111=""),0,IF(BO111="",I111,BO111))))</f>
        <v>0</v>
      </c>
      <c r="U111" s="434">
        <f t="shared" ref="U111:U132" si="251">IF(AR111&lt;&gt;"",0,IF(DC111="oui",0,IF(AND(ISTEXT(AT111)=TRUE,BP111=""),0,IF(BP111="",J111,BP111))))</f>
        <v>0</v>
      </c>
      <c r="V111" s="434">
        <f t="shared" ref="V111:V132" si="252">IF(AR111&lt;&gt;"",0,IF(DC111="oui",0,IF(AND(ISTEXT(AT111)=TRUE,BQ111=""),0,IF(BQ111="",K111,BQ111))))</f>
        <v>0</v>
      </c>
      <c r="W111" s="434">
        <f t="shared" si="199"/>
        <v>0</v>
      </c>
      <c r="X111" s="982">
        <f t="shared" si="200"/>
        <v>0</v>
      </c>
      <c r="Y111" s="1375"/>
      <c r="Z111" s="1376">
        <f t="shared" si="201"/>
        <v>0</v>
      </c>
      <c r="AA111" s="1376">
        <f t="shared" si="202"/>
        <v>0</v>
      </c>
      <c r="AB111" s="1376">
        <f t="shared" si="203"/>
        <v>0</v>
      </c>
      <c r="AC111" s="1376">
        <f t="shared" si="204"/>
        <v>0</v>
      </c>
      <c r="AD111" s="1376">
        <f t="shared" si="205"/>
        <v>0</v>
      </c>
      <c r="AE111" s="1376">
        <f t="shared" si="206"/>
        <v>0</v>
      </c>
      <c r="AF111" s="1376">
        <f t="shared" si="207"/>
        <v>0</v>
      </c>
      <c r="AG111" s="1376">
        <f t="shared" si="208"/>
        <v>0</v>
      </c>
      <c r="AH111" s="1374"/>
      <c r="AI111" s="444">
        <f t="shared" ref="AI111:AI132" si="253">IF(DC111="oui",0,IF(AND(ISTEXT(AT111)=TRUE,OR(X111=0,X111="")),0,ROUND(((((AA111-Z111)-(E111-D111))+((AC111-AB111)-(G111-F111))+((AE111-AD111)-(I111-H111))+(AG111-AF111)-(K111-J111))*24),2)))</f>
        <v>0</v>
      </c>
      <c r="AJ111" s="1090"/>
      <c r="AK111" s="1377"/>
      <c r="AL111" s="811">
        <f t="shared" si="210"/>
        <v>46091</v>
      </c>
      <c r="AM111" s="666">
        <f>IFERROR(IF(AND(AT111="",AR111&lt;&gt;S.CAL!$BJ$3,AR111&lt;&gt;S.CAL!$BJ$4,$AR$95="NON"),M111-BD111,IF(AND(AT111="",AR111&lt;&gt;S.CAL!$BJ$3,AR111&lt;&gt;S.CAL!$BJ$4,$AR$95="OUI"),X111-AI111,IF(AT111&lt;&gt;0,AT111,IF(OR(AR111=S.CAL!$BJ$3,AR111=S.CAL!$BJ$4),AR111,"")))),"")</f>
        <v>0</v>
      </c>
      <c r="AN111" s="1093"/>
      <c r="AO111" s="1094"/>
      <c r="AP111" s="666">
        <f>+IF(AND(AU111="",BB111="OUI",BH111="non",BI111="OUI"),AM111,IF(AND(AU111="",BB111="OUI",BH111="oui",BI111="NON"),AM111,IF(AND(AU111="",BB111="NON",BH111="oui",BI111="NON"),M111,IF(AND(AU111="",BB111="NON",BH111="non",BI111="OUI"),M111,IF(AND(AU111="",BB111="OUI",BH111="non",BI111="NON"),"ERREUR",IF(AND(AU111="",BB111="NON",BH111="non",BI111="NON"),AM111,IF(AND(AU111="",BB111="OUI",BH111="",BI111=""),AM111,IF(AND(AU111="",BB111="NON",BH111="",BI111="",AZ111="NON"),M111,IF(AND(AU111="",BH111="",AZ111="OUI",AR111=""),AM111,IF(AND(AU111="",BH111="",AZ111="NON",AR111="",AT111=""),M111,IF(AND(OR(AR111=S.CAL!$BJ$3,AR111=S.CAL!$BJ$4),(VLOOKUP($AM$95,base_nbre_sem_mensu,2,FALSE)=52)),EE111,IF(AND(OR(AR111=S.CAL!$BJ$3,AR111=S.CAL!$BJ$4),(VLOOKUP($AM$95,base_nbre_sem_mensu,2,FALSE)&lt;52)),AM111,IF(AND(AT111&lt;&gt;"",AU111=""),AT111,AU111)))))))))))))</f>
        <v>0</v>
      </c>
      <c r="AQ111" s="1378">
        <f t="shared" si="230"/>
        <v>0</v>
      </c>
      <c r="AR111" s="1098"/>
      <c r="AS111" s="1374"/>
      <c r="AT111" s="1101"/>
      <c r="AU111" s="813"/>
      <c r="AV111" s="1370">
        <f t="shared" si="211"/>
        <v>46091</v>
      </c>
      <c r="AW111" s="1374"/>
      <c r="AX111" s="511">
        <f t="shared" si="231"/>
        <v>46091</v>
      </c>
      <c r="AY111" s="523">
        <f t="shared" si="232"/>
        <v>0</v>
      </c>
      <c r="AZ111" s="520" t="s">
        <v>137</v>
      </c>
      <c r="BA111" s="516">
        <f t="shared" si="233"/>
        <v>0</v>
      </c>
      <c r="BB111" s="549" t="str">
        <f t="shared" si="212"/>
        <v/>
      </c>
      <c r="BC111" s="523">
        <f t="shared" si="234"/>
        <v>0</v>
      </c>
      <c r="BD111" s="523">
        <f t="shared" si="235"/>
        <v>0</v>
      </c>
      <c r="BE111" s="1104"/>
      <c r="BF111" s="514" t="str">
        <f t="shared" si="213"/>
        <v/>
      </c>
      <c r="BG111" s="514" t="str">
        <f t="shared" si="236"/>
        <v>oui</v>
      </c>
      <c r="BH111" s="377" t="str">
        <f t="shared" si="214"/>
        <v/>
      </c>
      <c r="BI111" s="24" t="str">
        <f t="shared" si="215"/>
        <v/>
      </c>
      <c r="BJ111" s="1382"/>
      <c r="BK111" s="1382"/>
      <c r="BL111" s="1382"/>
      <c r="BM111" s="1382"/>
      <c r="BN111" s="1382"/>
      <c r="BO111" s="1382"/>
      <c r="BP111" s="1382"/>
      <c r="BQ111" s="1382"/>
      <c r="BR111" s="1383"/>
      <c r="BS111" s="1370">
        <f t="shared" si="182"/>
        <v>46091</v>
      </c>
      <c r="BT111" s="1384" t="str">
        <f t="shared" si="244"/>
        <v/>
      </c>
      <c r="BU111" s="1382"/>
      <c r="BV111" s="1382"/>
      <c r="BW111" s="1382"/>
      <c r="BX111" s="1382"/>
      <c r="BY111" s="1382"/>
      <c r="BZ111" s="1382"/>
      <c r="CA111" s="1382"/>
      <c r="CB111" s="1382"/>
      <c r="CD111" s="1386">
        <f t="shared" si="237"/>
        <v>0</v>
      </c>
      <c r="DC111" s="16" t="str">
        <f>Mars!FC29</f>
        <v>non</v>
      </c>
      <c r="DG111" s="315">
        <f t="shared" si="238"/>
        <v>1</v>
      </c>
      <c r="DH111" s="129">
        <f t="shared" si="216"/>
        <v>10</v>
      </c>
      <c r="DI111" s="129">
        <f t="shared" si="239"/>
        <v>1</v>
      </c>
      <c r="DK111" s="16">
        <f>+IF(AND(Mars!$DP$8&lt;&gt;52,AR111=S.CAL!$BJ$4),10,1)</f>
        <v>1</v>
      </c>
      <c r="DN111" s="16">
        <f t="shared" si="217"/>
        <v>1</v>
      </c>
      <c r="DU111" s="1274" t="str">
        <f t="shared" si="240"/>
        <v>Fiche infoA246091</v>
      </c>
      <c r="DV111" s="1362">
        <f t="shared" si="218"/>
        <v>0</v>
      </c>
      <c r="DW111" s="1363">
        <f t="shared" si="219"/>
        <v>0</v>
      </c>
      <c r="DX111" s="1363">
        <f t="shared" si="220"/>
        <v>0</v>
      </c>
      <c r="DY111" s="1363">
        <f t="shared" si="221"/>
        <v>0</v>
      </c>
      <c r="DZ111" s="1363">
        <f t="shared" si="222"/>
        <v>0</v>
      </c>
      <c r="EA111" s="1363">
        <f t="shared" si="223"/>
        <v>0</v>
      </c>
      <c r="EB111" s="1363">
        <f t="shared" si="224"/>
        <v>0</v>
      </c>
      <c r="EC111" s="1363">
        <f t="shared" si="225"/>
        <v>0</v>
      </c>
      <c r="ED111" s="1363">
        <f t="shared" si="241"/>
        <v>0</v>
      </c>
      <c r="EE111" s="1364">
        <f t="shared" si="242"/>
        <v>0</v>
      </c>
      <c r="EG111" s="16" t="str">
        <f t="shared" si="243"/>
        <v>112026</v>
      </c>
      <c r="EH111" s="16" t="str">
        <f t="shared" si="226"/>
        <v>Fiche infoA2</v>
      </c>
      <c r="EI111" s="16" t="str">
        <f t="shared" si="227"/>
        <v/>
      </c>
    </row>
    <row r="112" spans="1:145" x14ac:dyDescent="0.2">
      <c r="A112" s="24" t="str">
        <f>Mars!BJ30</f>
        <v>Fiche infoA3</v>
      </c>
      <c r="B112" s="811">
        <f>Mars!AB30</f>
        <v>46092</v>
      </c>
      <c r="C112" s="1371"/>
      <c r="D112" s="981">
        <f t="shared" si="183"/>
        <v>0</v>
      </c>
      <c r="E112" s="434">
        <f t="shared" si="184"/>
        <v>0</v>
      </c>
      <c r="F112" s="434">
        <f t="shared" si="185"/>
        <v>0</v>
      </c>
      <c r="G112" s="434">
        <f t="shared" si="186"/>
        <v>0</v>
      </c>
      <c r="H112" s="434">
        <f t="shared" si="187"/>
        <v>0</v>
      </c>
      <c r="I112" s="434">
        <f t="shared" si="188"/>
        <v>0</v>
      </c>
      <c r="J112" s="434">
        <f t="shared" si="189"/>
        <v>0</v>
      </c>
      <c r="K112" s="434">
        <f t="shared" si="190"/>
        <v>0</v>
      </c>
      <c r="L112" s="434">
        <f t="shared" si="228"/>
        <v>0</v>
      </c>
      <c r="M112" s="982">
        <f t="shared" si="229"/>
        <v>0</v>
      </c>
      <c r="O112" s="981">
        <f t="shared" si="245"/>
        <v>0</v>
      </c>
      <c r="P112" s="434">
        <f t="shared" si="246"/>
        <v>0</v>
      </c>
      <c r="Q112" s="434">
        <f t="shared" si="247"/>
        <v>0</v>
      </c>
      <c r="R112" s="434">
        <f t="shared" si="248"/>
        <v>0</v>
      </c>
      <c r="S112" s="434">
        <f t="shared" si="249"/>
        <v>0</v>
      </c>
      <c r="T112" s="434">
        <f t="shared" si="250"/>
        <v>0</v>
      </c>
      <c r="U112" s="434">
        <f t="shared" si="251"/>
        <v>0</v>
      </c>
      <c r="V112" s="434">
        <f t="shared" si="252"/>
        <v>0</v>
      </c>
      <c r="W112" s="434">
        <f t="shared" si="199"/>
        <v>0</v>
      </c>
      <c r="X112" s="982">
        <f t="shared" si="200"/>
        <v>0</v>
      </c>
      <c r="Y112" s="441"/>
      <c r="Z112" s="277">
        <f t="shared" si="201"/>
        <v>0</v>
      </c>
      <c r="AA112" s="277">
        <f t="shared" si="202"/>
        <v>0</v>
      </c>
      <c r="AB112" s="277">
        <f t="shared" si="203"/>
        <v>0</v>
      </c>
      <c r="AC112" s="277">
        <f t="shared" si="204"/>
        <v>0</v>
      </c>
      <c r="AD112" s="277">
        <f t="shared" si="205"/>
        <v>0</v>
      </c>
      <c r="AE112" s="277">
        <f t="shared" si="206"/>
        <v>0</v>
      </c>
      <c r="AF112" s="277">
        <f t="shared" si="207"/>
        <v>0</v>
      </c>
      <c r="AG112" s="277">
        <f t="shared" si="208"/>
        <v>0</v>
      </c>
      <c r="AI112" s="444">
        <f t="shared" si="253"/>
        <v>0</v>
      </c>
      <c r="AJ112" s="1090"/>
      <c r="AK112" s="489"/>
      <c r="AL112" s="811">
        <f t="shared" si="210"/>
        <v>46092</v>
      </c>
      <c r="AM112" s="666">
        <f>IFERROR(IF(AND(AT112="",AR112&lt;&gt;S.CAL!$BJ$3,AR112&lt;&gt;S.CAL!$BJ$4,$AR$95="NON"),M112-BD112,IF(AND(AT112="",AR112&lt;&gt;S.CAL!$BJ$3,AR112&lt;&gt;S.CAL!$BJ$4,$AR$95="OUI"),X112-AI112,IF(AT112&lt;&gt;0,AT112,IF(OR(AR112=S.CAL!$BJ$3,AR112=S.CAL!$BJ$4),AR112,"")))),"")</f>
        <v>0</v>
      </c>
      <c r="AN112" s="1093"/>
      <c r="AO112" s="1094"/>
      <c r="AP112" s="666">
        <f>+IF(AND(AU112="",BB112="OUI",BH112="non",BI112="OUI"),AM112,IF(AND(AU112="",BB112="OUI",BH112="oui",BI112="NON"),AM112,IF(AND(AU112="",BB112="NON",BH112="oui",BI112="NON"),M112,IF(AND(AU112="",BB112="NON",BH112="non",BI112="OUI"),M112,IF(AND(AU112="",BB112="OUI",BH112="non",BI112="NON"),"ERREUR",IF(AND(AU112="",BB112="NON",BH112="non",BI112="NON"),AM112,IF(AND(AU112="",BB112="OUI",BH112="",BI112=""),AM112,IF(AND(AU112="",BB112="NON",BH112="",BI112="",AZ112="NON"),M112,IF(AND(AU112="",BH112="",AZ112="OUI",AR112=""),AM112,IF(AND(AU112="",BH112="",AZ112="NON",AR112="",AT112=""),M112,IF(AND(OR(AR112=S.CAL!$BJ$3,AR112=S.CAL!$BJ$4),(VLOOKUP($AM$95,base_nbre_sem_mensu,2,FALSE)=52)),EE112,IF(AND(OR(AR112=S.CAL!$BJ$3,AR112=S.CAL!$BJ$4),(VLOOKUP($AM$95,base_nbre_sem_mensu,2,FALSE)&lt;52)),AM112,IF(AND(AT112&lt;&gt;"",AU112=""),AT112,AU112)))))))))))))</f>
        <v>0</v>
      </c>
      <c r="AQ112" s="498">
        <f t="shared" si="230"/>
        <v>0</v>
      </c>
      <c r="AR112" s="1098"/>
      <c r="AT112" s="1101"/>
      <c r="AU112" s="813"/>
      <c r="AV112" s="1370">
        <f t="shared" si="211"/>
        <v>46092</v>
      </c>
      <c r="AX112" s="511">
        <f t="shared" si="231"/>
        <v>46092</v>
      </c>
      <c r="AY112" s="523">
        <f t="shared" si="232"/>
        <v>0</v>
      </c>
      <c r="AZ112" s="520" t="s">
        <v>137</v>
      </c>
      <c r="BA112" s="516">
        <f t="shared" si="233"/>
        <v>0</v>
      </c>
      <c r="BB112" s="549" t="str">
        <f t="shared" si="212"/>
        <v/>
      </c>
      <c r="BC112" s="523">
        <f t="shared" si="234"/>
        <v>0</v>
      </c>
      <c r="BD112" s="523">
        <f t="shared" si="235"/>
        <v>0</v>
      </c>
      <c r="BE112" s="1104"/>
      <c r="BF112" s="514" t="str">
        <f t="shared" si="213"/>
        <v/>
      </c>
      <c r="BG112" s="514" t="str">
        <f t="shared" si="236"/>
        <v>oui</v>
      </c>
      <c r="BH112" s="377" t="str">
        <f t="shared" si="214"/>
        <v/>
      </c>
      <c r="BI112" s="24" t="str">
        <f t="shared" si="215"/>
        <v/>
      </c>
      <c r="BJ112" s="1381"/>
      <c r="BK112" s="1381"/>
      <c r="BL112" s="1381"/>
      <c r="BM112" s="1381"/>
      <c r="BN112" s="1381"/>
      <c r="BO112" s="1381"/>
      <c r="BP112" s="1381"/>
      <c r="BQ112" s="1381"/>
      <c r="BS112" s="1370">
        <f t="shared" si="182"/>
        <v>46092</v>
      </c>
      <c r="BT112" s="27" t="str">
        <f t="shared" si="244"/>
        <v/>
      </c>
      <c r="BU112" s="1380"/>
      <c r="BV112" s="1380"/>
      <c r="BW112" s="1380"/>
      <c r="BX112" s="1380"/>
      <c r="BY112" s="1380"/>
      <c r="BZ112" s="1380"/>
      <c r="CA112" s="1380"/>
      <c r="CB112" s="1380"/>
      <c r="CD112" s="1386">
        <f t="shared" si="237"/>
        <v>0</v>
      </c>
      <c r="DC112" s="16" t="str">
        <f>Mars!FC30</f>
        <v>non</v>
      </c>
      <c r="DG112" s="315">
        <f t="shared" si="238"/>
        <v>1</v>
      </c>
      <c r="DH112" s="129">
        <f t="shared" si="216"/>
        <v>10</v>
      </c>
      <c r="DI112" s="129">
        <f t="shared" si="239"/>
        <v>1</v>
      </c>
      <c r="DK112" s="16">
        <f>+IF(AND(Mars!$DP$8&lt;&gt;52,AR112=S.CAL!$BJ$4),10,1)</f>
        <v>1</v>
      </c>
      <c r="DN112" s="16">
        <f t="shared" si="217"/>
        <v>1</v>
      </c>
      <c r="DU112" s="1274" t="str">
        <f t="shared" si="240"/>
        <v>Fiche infoA346092</v>
      </c>
      <c r="DV112" s="1362">
        <f t="shared" si="218"/>
        <v>0</v>
      </c>
      <c r="DW112" s="1363">
        <f t="shared" si="219"/>
        <v>0</v>
      </c>
      <c r="DX112" s="1363">
        <f t="shared" si="220"/>
        <v>0</v>
      </c>
      <c r="DY112" s="1363">
        <f t="shared" si="221"/>
        <v>0</v>
      </c>
      <c r="DZ112" s="1363">
        <f t="shared" si="222"/>
        <v>0</v>
      </c>
      <c r="EA112" s="1363">
        <f t="shared" si="223"/>
        <v>0</v>
      </c>
      <c r="EB112" s="1363">
        <f t="shared" si="224"/>
        <v>0</v>
      </c>
      <c r="EC112" s="1363">
        <f t="shared" si="225"/>
        <v>0</v>
      </c>
      <c r="ED112" s="1363">
        <f t="shared" si="241"/>
        <v>0</v>
      </c>
      <c r="EE112" s="1364">
        <f t="shared" si="242"/>
        <v>0</v>
      </c>
      <c r="EG112" s="16" t="str">
        <f t="shared" si="243"/>
        <v>112026</v>
      </c>
      <c r="EH112" s="16" t="str">
        <f t="shared" si="226"/>
        <v>Fiche infoA3</v>
      </c>
      <c r="EI112" s="16" t="str">
        <f t="shared" si="227"/>
        <v/>
      </c>
    </row>
    <row r="113" spans="1:139" x14ac:dyDescent="0.2">
      <c r="A113" s="1373" t="str">
        <f>Mars!BJ31</f>
        <v>Fiche infoA4</v>
      </c>
      <c r="B113" s="811">
        <f>Mars!AB31</f>
        <v>46093</v>
      </c>
      <c r="C113" s="1372"/>
      <c r="D113" s="981">
        <f t="shared" si="183"/>
        <v>0</v>
      </c>
      <c r="E113" s="434">
        <f t="shared" si="184"/>
        <v>0</v>
      </c>
      <c r="F113" s="434">
        <f t="shared" si="185"/>
        <v>0</v>
      </c>
      <c r="G113" s="434">
        <f t="shared" si="186"/>
        <v>0</v>
      </c>
      <c r="H113" s="434">
        <f t="shared" si="187"/>
        <v>0</v>
      </c>
      <c r="I113" s="434">
        <f t="shared" si="188"/>
        <v>0</v>
      </c>
      <c r="J113" s="434">
        <f t="shared" si="189"/>
        <v>0</v>
      </c>
      <c r="K113" s="434">
        <f t="shared" si="190"/>
        <v>0</v>
      </c>
      <c r="L113" s="434">
        <f t="shared" si="228"/>
        <v>0</v>
      </c>
      <c r="M113" s="982">
        <f t="shared" si="229"/>
        <v>0</v>
      </c>
      <c r="N113" s="1374"/>
      <c r="O113" s="981">
        <f t="shared" si="245"/>
        <v>0</v>
      </c>
      <c r="P113" s="434">
        <f t="shared" si="246"/>
        <v>0</v>
      </c>
      <c r="Q113" s="434">
        <f t="shared" si="247"/>
        <v>0</v>
      </c>
      <c r="R113" s="434">
        <f t="shared" si="248"/>
        <v>0</v>
      </c>
      <c r="S113" s="434">
        <f t="shared" si="249"/>
        <v>0</v>
      </c>
      <c r="T113" s="434">
        <f t="shared" si="250"/>
        <v>0</v>
      </c>
      <c r="U113" s="434">
        <f t="shared" si="251"/>
        <v>0</v>
      </c>
      <c r="V113" s="434">
        <f t="shared" si="252"/>
        <v>0</v>
      </c>
      <c r="W113" s="434">
        <f t="shared" si="199"/>
        <v>0</v>
      </c>
      <c r="X113" s="982">
        <f t="shared" si="200"/>
        <v>0</v>
      </c>
      <c r="Y113" s="1375"/>
      <c r="Z113" s="1376">
        <f t="shared" si="201"/>
        <v>0</v>
      </c>
      <c r="AA113" s="1376">
        <f t="shared" si="202"/>
        <v>0</v>
      </c>
      <c r="AB113" s="1376">
        <f t="shared" si="203"/>
        <v>0</v>
      </c>
      <c r="AC113" s="1376">
        <f t="shared" si="204"/>
        <v>0</v>
      </c>
      <c r="AD113" s="1376">
        <f t="shared" si="205"/>
        <v>0</v>
      </c>
      <c r="AE113" s="1376">
        <f t="shared" si="206"/>
        <v>0</v>
      </c>
      <c r="AF113" s="1376">
        <f t="shared" si="207"/>
        <v>0</v>
      </c>
      <c r="AG113" s="1376">
        <f t="shared" si="208"/>
        <v>0</v>
      </c>
      <c r="AH113" s="1374"/>
      <c r="AI113" s="444">
        <f t="shared" si="253"/>
        <v>0</v>
      </c>
      <c r="AJ113" s="1090"/>
      <c r="AK113" s="1377"/>
      <c r="AL113" s="811">
        <f t="shared" si="210"/>
        <v>46093</v>
      </c>
      <c r="AM113" s="666">
        <f>IFERROR(IF(AND(AT113="",AR113&lt;&gt;S.CAL!$BJ$3,AR113&lt;&gt;S.CAL!$BJ$4,$AR$95="NON"),M113-BD113,IF(AND(AT113="",AR113&lt;&gt;S.CAL!$BJ$3,AR113&lt;&gt;S.CAL!$BJ$4,$AR$95="OUI"),X113-AI113,IF(AT113&lt;&gt;0,AT113,IF(OR(AR113=S.CAL!$BJ$3,AR113=S.CAL!$BJ$4),AR113,"")))),"")</f>
        <v>0</v>
      </c>
      <c r="AN113" s="1093"/>
      <c r="AO113" s="1094"/>
      <c r="AP113" s="666">
        <f>+IF(AND(AU113="",BB113="OUI",BH113="non",BI113="OUI"),AM113,IF(AND(AU113="",BB113="OUI",BH113="oui",BI113="NON"),AM113,IF(AND(AU113="",BB113="NON",BH113="oui",BI113="NON"),M113,IF(AND(AU113="",BB113="NON",BH113="non",BI113="OUI"),M113,IF(AND(AU113="",BB113="OUI",BH113="non",BI113="NON"),"ERREUR",IF(AND(AU113="",BB113="NON",BH113="non",BI113="NON"),AM113,IF(AND(AU113="",BB113="OUI",BH113="",BI113=""),AM113,IF(AND(AU113="",BB113="NON",BH113="",BI113="",AZ113="NON"),M113,IF(AND(AU113="",BH113="",AZ113="OUI",AR113=""),AM113,IF(AND(AU113="",BH113="",AZ113="NON",AR113="",AT113=""),M113,IF(AND(OR(AR113=S.CAL!$BJ$3,AR113=S.CAL!$BJ$4),(VLOOKUP($AM$95,base_nbre_sem_mensu,2,FALSE)=52)),EE113,IF(AND(OR(AR113=S.CAL!$BJ$3,AR113=S.CAL!$BJ$4),(VLOOKUP($AM$95,base_nbre_sem_mensu,2,FALSE)&lt;52)),AM113,IF(AND(AT113&lt;&gt;"",AU113=""),AT113,AU113)))))))))))))</f>
        <v>0</v>
      </c>
      <c r="AQ113" s="1378">
        <f t="shared" si="230"/>
        <v>0</v>
      </c>
      <c r="AR113" s="1098"/>
      <c r="AS113" s="1374"/>
      <c r="AT113" s="1101"/>
      <c r="AU113" s="813"/>
      <c r="AV113" s="1370">
        <f t="shared" si="211"/>
        <v>46093</v>
      </c>
      <c r="AW113" s="1374"/>
      <c r="AX113" s="511">
        <f t="shared" si="231"/>
        <v>46093</v>
      </c>
      <c r="AY113" s="523">
        <f t="shared" si="232"/>
        <v>0</v>
      </c>
      <c r="AZ113" s="520" t="s">
        <v>137</v>
      </c>
      <c r="BA113" s="516">
        <f t="shared" si="233"/>
        <v>0</v>
      </c>
      <c r="BB113" s="549" t="str">
        <f t="shared" si="212"/>
        <v/>
      </c>
      <c r="BC113" s="523">
        <f t="shared" si="234"/>
        <v>0</v>
      </c>
      <c r="BD113" s="523">
        <f t="shared" si="235"/>
        <v>0</v>
      </c>
      <c r="BE113" s="1104"/>
      <c r="BF113" s="514" t="str">
        <f t="shared" si="213"/>
        <v/>
      </c>
      <c r="BG113" s="514" t="str">
        <f t="shared" si="236"/>
        <v>oui</v>
      </c>
      <c r="BH113" s="377" t="str">
        <f t="shared" si="214"/>
        <v/>
      </c>
      <c r="BI113" s="24" t="str">
        <f t="shared" si="215"/>
        <v/>
      </c>
      <c r="BJ113" s="1382"/>
      <c r="BK113" s="1382"/>
      <c r="BL113" s="1382"/>
      <c r="BM113" s="1382"/>
      <c r="BN113" s="1382"/>
      <c r="BO113" s="1382"/>
      <c r="BP113" s="1382"/>
      <c r="BQ113" s="1382"/>
      <c r="BR113" s="1383"/>
      <c r="BS113" s="1370">
        <f t="shared" si="182"/>
        <v>46093</v>
      </c>
      <c r="BT113" s="1384" t="str">
        <f t="shared" si="244"/>
        <v/>
      </c>
      <c r="BU113" s="1382"/>
      <c r="BV113" s="1382"/>
      <c r="BW113" s="1382"/>
      <c r="BX113" s="1382"/>
      <c r="BY113" s="1382"/>
      <c r="BZ113" s="1382"/>
      <c r="CA113" s="1382"/>
      <c r="CB113" s="1382"/>
      <c r="CD113" s="1386">
        <f t="shared" si="237"/>
        <v>0</v>
      </c>
      <c r="DC113" s="16" t="str">
        <f>Mars!FC31</f>
        <v>non</v>
      </c>
      <c r="DG113" s="315">
        <f t="shared" si="238"/>
        <v>1</v>
      </c>
      <c r="DH113" s="129">
        <f t="shared" si="216"/>
        <v>10</v>
      </c>
      <c r="DI113" s="129">
        <f t="shared" si="239"/>
        <v>1</v>
      </c>
      <c r="DK113" s="16">
        <f>+IF(AND(Mars!$DP$8&lt;&gt;52,AR113=S.CAL!$BJ$4),10,1)</f>
        <v>1</v>
      </c>
      <c r="DN113" s="16">
        <f t="shared" si="217"/>
        <v>1</v>
      </c>
      <c r="DU113" s="1274" t="str">
        <f t="shared" si="240"/>
        <v>Fiche infoA446093</v>
      </c>
      <c r="DV113" s="1362">
        <f t="shared" si="218"/>
        <v>0</v>
      </c>
      <c r="DW113" s="1363">
        <f t="shared" si="219"/>
        <v>0</v>
      </c>
      <c r="DX113" s="1363">
        <f t="shared" si="220"/>
        <v>0</v>
      </c>
      <c r="DY113" s="1363">
        <f t="shared" si="221"/>
        <v>0</v>
      </c>
      <c r="DZ113" s="1363">
        <f t="shared" si="222"/>
        <v>0</v>
      </c>
      <c r="EA113" s="1363">
        <f t="shared" si="223"/>
        <v>0</v>
      </c>
      <c r="EB113" s="1363">
        <f t="shared" si="224"/>
        <v>0</v>
      </c>
      <c r="EC113" s="1363">
        <f t="shared" si="225"/>
        <v>0</v>
      </c>
      <c r="ED113" s="1363">
        <f t="shared" si="241"/>
        <v>0</v>
      </c>
      <c r="EE113" s="1364">
        <f t="shared" si="242"/>
        <v>0</v>
      </c>
      <c r="EG113" s="16" t="str">
        <f t="shared" si="243"/>
        <v>112026</v>
      </c>
      <c r="EH113" s="16" t="str">
        <f t="shared" si="226"/>
        <v>Fiche infoA4</v>
      </c>
      <c r="EI113" s="16" t="str">
        <f t="shared" si="227"/>
        <v/>
      </c>
    </row>
    <row r="114" spans="1:139" x14ac:dyDescent="0.2">
      <c r="A114" s="24" t="str">
        <f>Mars!BJ32</f>
        <v>Fiche infoA5</v>
      </c>
      <c r="B114" s="811">
        <f>Mars!AB32</f>
        <v>46094</v>
      </c>
      <c r="C114" s="1371"/>
      <c r="D114" s="981">
        <f t="shared" si="183"/>
        <v>0</v>
      </c>
      <c r="E114" s="434">
        <f t="shared" si="184"/>
        <v>0</v>
      </c>
      <c r="F114" s="434">
        <f t="shared" si="185"/>
        <v>0</v>
      </c>
      <c r="G114" s="434">
        <f t="shared" si="186"/>
        <v>0</v>
      </c>
      <c r="H114" s="434">
        <f t="shared" si="187"/>
        <v>0</v>
      </c>
      <c r="I114" s="434">
        <f t="shared" si="188"/>
        <v>0</v>
      </c>
      <c r="J114" s="434">
        <f t="shared" si="189"/>
        <v>0</v>
      </c>
      <c r="K114" s="434">
        <f t="shared" si="190"/>
        <v>0</v>
      </c>
      <c r="L114" s="434">
        <f t="shared" si="228"/>
        <v>0</v>
      </c>
      <c r="M114" s="982">
        <f t="shared" si="229"/>
        <v>0</v>
      </c>
      <c r="O114" s="981">
        <f t="shared" si="245"/>
        <v>0</v>
      </c>
      <c r="P114" s="434">
        <f t="shared" si="246"/>
        <v>0</v>
      </c>
      <c r="Q114" s="434">
        <f t="shared" si="247"/>
        <v>0</v>
      </c>
      <c r="R114" s="434">
        <f t="shared" si="248"/>
        <v>0</v>
      </c>
      <c r="S114" s="434">
        <f t="shared" si="249"/>
        <v>0</v>
      </c>
      <c r="T114" s="434">
        <f t="shared" si="250"/>
        <v>0</v>
      </c>
      <c r="U114" s="434">
        <f t="shared" si="251"/>
        <v>0</v>
      </c>
      <c r="V114" s="434">
        <f t="shared" si="252"/>
        <v>0</v>
      </c>
      <c r="W114" s="434">
        <f t="shared" si="199"/>
        <v>0</v>
      </c>
      <c r="X114" s="982">
        <f t="shared" si="200"/>
        <v>0</v>
      </c>
      <c r="Y114" s="441"/>
      <c r="Z114" s="277">
        <f t="shared" si="201"/>
        <v>0</v>
      </c>
      <c r="AA114" s="277">
        <f t="shared" si="202"/>
        <v>0</v>
      </c>
      <c r="AB114" s="277">
        <f t="shared" si="203"/>
        <v>0</v>
      </c>
      <c r="AC114" s="277">
        <f t="shared" si="204"/>
        <v>0</v>
      </c>
      <c r="AD114" s="277">
        <f t="shared" si="205"/>
        <v>0</v>
      </c>
      <c r="AE114" s="277">
        <f t="shared" si="206"/>
        <v>0</v>
      </c>
      <c r="AF114" s="277">
        <f t="shared" si="207"/>
        <v>0</v>
      </c>
      <c r="AG114" s="277">
        <f t="shared" si="208"/>
        <v>0</v>
      </c>
      <c r="AI114" s="444">
        <f t="shared" si="253"/>
        <v>0</v>
      </c>
      <c r="AJ114" s="1090"/>
      <c r="AK114" s="489"/>
      <c r="AL114" s="811">
        <f t="shared" si="210"/>
        <v>46094</v>
      </c>
      <c r="AM114" s="666">
        <f>IFERROR(IF(AND(AT114="",AR114&lt;&gt;S.CAL!$BJ$3,AR114&lt;&gt;S.CAL!$BJ$4,$AR$95="NON"),M114-BD114,IF(AND(AT114="",AR114&lt;&gt;S.CAL!$BJ$3,AR114&lt;&gt;S.CAL!$BJ$4,$AR$95="OUI"),X114-AI114,IF(AT114&lt;&gt;0,AT114,IF(OR(AR114=S.CAL!$BJ$3,AR114=S.CAL!$BJ$4),AR114,"")))),"")</f>
        <v>0</v>
      </c>
      <c r="AN114" s="1093"/>
      <c r="AO114" s="1094"/>
      <c r="AP114" s="666">
        <f>+IF(AND(AU114="",BB114="OUI",BH114="non",BI114="OUI"),AM114,IF(AND(AU114="",BB114="OUI",BH114="oui",BI114="NON"),AM114,IF(AND(AU114="",BB114="NON",BH114="oui",BI114="NON"),M114,IF(AND(AU114="",BB114="NON",BH114="non",BI114="OUI"),M114,IF(AND(AU114="",BB114="OUI",BH114="non",BI114="NON"),"ERREUR",IF(AND(AU114="",BB114="NON",BH114="non",BI114="NON"),AM114,IF(AND(AU114="",BB114="OUI",BH114="",BI114=""),AM114,IF(AND(AU114="",BB114="NON",BH114="",BI114="",AZ114="NON"),M114,IF(AND(AU114="",BH114="",AZ114="OUI",AR114=""),AM114,IF(AND(AU114="",BH114="",AZ114="NON",AR114="",AT114=""),M114,IF(AND(OR(AR114=S.CAL!$BJ$3,AR114=S.CAL!$BJ$4),(VLOOKUP($AM$95,base_nbre_sem_mensu,2,FALSE)=52)),EE114,IF(AND(OR(AR114=S.CAL!$BJ$3,AR114=S.CAL!$BJ$4),(VLOOKUP($AM$95,base_nbre_sem_mensu,2,FALSE)&lt;52)),AM114,IF(AND(AT114&lt;&gt;"",AU114=""),AT114,AU114)))))))))))))</f>
        <v>0</v>
      </c>
      <c r="AQ114" s="498">
        <f t="shared" si="230"/>
        <v>0</v>
      </c>
      <c r="AR114" s="1098"/>
      <c r="AT114" s="1101"/>
      <c r="AU114" s="813"/>
      <c r="AV114" s="1370">
        <f t="shared" si="211"/>
        <v>46094</v>
      </c>
      <c r="AX114" s="511">
        <f t="shared" si="231"/>
        <v>46094</v>
      </c>
      <c r="AY114" s="523">
        <f t="shared" si="232"/>
        <v>0</v>
      </c>
      <c r="AZ114" s="520" t="s">
        <v>137</v>
      </c>
      <c r="BA114" s="516">
        <f t="shared" si="233"/>
        <v>0</v>
      </c>
      <c r="BB114" s="549" t="str">
        <f t="shared" si="212"/>
        <v/>
      </c>
      <c r="BC114" s="523">
        <f t="shared" si="234"/>
        <v>0</v>
      </c>
      <c r="BD114" s="523">
        <f t="shared" si="235"/>
        <v>0</v>
      </c>
      <c r="BE114" s="1104"/>
      <c r="BF114" s="514" t="str">
        <f t="shared" si="213"/>
        <v/>
      </c>
      <c r="BG114" s="514" t="str">
        <f t="shared" si="236"/>
        <v>oui</v>
      </c>
      <c r="BH114" s="377" t="str">
        <f t="shared" si="214"/>
        <v/>
      </c>
      <c r="BI114" s="24" t="str">
        <f t="shared" si="215"/>
        <v/>
      </c>
      <c r="BJ114" s="1381"/>
      <c r="BK114" s="1381"/>
      <c r="BL114" s="1381"/>
      <c r="BM114" s="1381"/>
      <c r="BN114" s="1381"/>
      <c r="BO114" s="1381"/>
      <c r="BP114" s="1381"/>
      <c r="BQ114" s="1381"/>
      <c r="BS114" s="1370">
        <f t="shared" si="182"/>
        <v>46094</v>
      </c>
      <c r="BT114" s="27" t="str">
        <f t="shared" si="244"/>
        <v/>
      </c>
      <c r="BU114" s="1380"/>
      <c r="BV114" s="1380"/>
      <c r="BW114" s="1380"/>
      <c r="BX114" s="1380"/>
      <c r="BY114" s="1380"/>
      <c r="BZ114" s="1380"/>
      <c r="CA114" s="1380"/>
      <c r="CB114" s="1380"/>
      <c r="CD114" s="1386">
        <f t="shared" si="237"/>
        <v>0</v>
      </c>
      <c r="DC114" s="16" t="str">
        <f>Mars!FC32</f>
        <v>non</v>
      </c>
      <c r="DG114" s="315">
        <f t="shared" si="238"/>
        <v>1</v>
      </c>
      <c r="DH114" s="129">
        <f t="shared" si="216"/>
        <v>10</v>
      </c>
      <c r="DI114" s="129">
        <f t="shared" si="239"/>
        <v>1</v>
      </c>
      <c r="DK114" s="16">
        <f>+IF(AND(Mars!$DP$8&lt;&gt;52,AR114=S.CAL!$BJ$4),10,1)</f>
        <v>1</v>
      </c>
      <c r="DN114" s="16">
        <f t="shared" si="217"/>
        <v>1</v>
      </c>
      <c r="DU114" s="1274" t="str">
        <f t="shared" si="240"/>
        <v>Fiche infoA546094</v>
      </c>
      <c r="DV114" s="1362">
        <f t="shared" si="218"/>
        <v>0</v>
      </c>
      <c r="DW114" s="1363">
        <f t="shared" si="219"/>
        <v>0</v>
      </c>
      <c r="DX114" s="1363">
        <f t="shared" si="220"/>
        <v>0</v>
      </c>
      <c r="DY114" s="1363">
        <f t="shared" si="221"/>
        <v>0</v>
      </c>
      <c r="DZ114" s="1363">
        <f t="shared" si="222"/>
        <v>0</v>
      </c>
      <c r="EA114" s="1363">
        <f t="shared" si="223"/>
        <v>0</v>
      </c>
      <c r="EB114" s="1363">
        <f t="shared" si="224"/>
        <v>0</v>
      </c>
      <c r="EC114" s="1363">
        <f t="shared" si="225"/>
        <v>0</v>
      </c>
      <c r="ED114" s="1363">
        <f t="shared" si="241"/>
        <v>0</v>
      </c>
      <c r="EE114" s="1364">
        <f t="shared" si="242"/>
        <v>0</v>
      </c>
      <c r="EG114" s="16" t="str">
        <f t="shared" si="243"/>
        <v>112026</v>
      </c>
      <c r="EH114" s="16" t="str">
        <f t="shared" si="226"/>
        <v>Fiche infoA5</v>
      </c>
      <c r="EI114" s="16" t="str">
        <f t="shared" si="227"/>
        <v/>
      </c>
    </row>
    <row r="115" spans="1:139" x14ac:dyDescent="0.2">
      <c r="A115" s="1373" t="str">
        <f>Mars!BJ33</f>
        <v>Fiche infoA6</v>
      </c>
      <c r="B115" s="811">
        <f>Mars!AB33</f>
        <v>46095</v>
      </c>
      <c r="C115" s="1372"/>
      <c r="D115" s="981">
        <f t="shared" si="183"/>
        <v>0</v>
      </c>
      <c r="E115" s="434">
        <f t="shared" si="184"/>
        <v>0</v>
      </c>
      <c r="F115" s="434">
        <f t="shared" si="185"/>
        <v>0</v>
      </c>
      <c r="G115" s="434">
        <f t="shared" si="186"/>
        <v>0</v>
      </c>
      <c r="H115" s="434">
        <f t="shared" si="187"/>
        <v>0</v>
      </c>
      <c r="I115" s="434">
        <f t="shared" si="188"/>
        <v>0</v>
      </c>
      <c r="J115" s="434">
        <f t="shared" si="189"/>
        <v>0</v>
      </c>
      <c r="K115" s="434">
        <f t="shared" si="190"/>
        <v>0</v>
      </c>
      <c r="L115" s="434">
        <f t="shared" si="228"/>
        <v>0</v>
      </c>
      <c r="M115" s="982">
        <f t="shared" si="229"/>
        <v>0</v>
      </c>
      <c r="N115" s="1374"/>
      <c r="O115" s="981">
        <f t="shared" si="245"/>
        <v>0</v>
      </c>
      <c r="P115" s="434">
        <f t="shared" si="246"/>
        <v>0</v>
      </c>
      <c r="Q115" s="434">
        <f t="shared" si="247"/>
        <v>0</v>
      </c>
      <c r="R115" s="434">
        <f t="shared" si="248"/>
        <v>0</v>
      </c>
      <c r="S115" s="434">
        <f t="shared" si="249"/>
        <v>0</v>
      </c>
      <c r="T115" s="434">
        <f t="shared" si="250"/>
        <v>0</v>
      </c>
      <c r="U115" s="434">
        <f t="shared" si="251"/>
        <v>0</v>
      </c>
      <c r="V115" s="434">
        <f t="shared" si="252"/>
        <v>0</v>
      </c>
      <c r="W115" s="434">
        <f t="shared" si="199"/>
        <v>0</v>
      </c>
      <c r="X115" s="982">
        <f t="shared" si="200"/>
        <v>0</v>
      </c>
      <c r="Y115" s="1375"/>
      <c r="Z115" s="1376">
        <f t="shared" si="201"/>
        <v>0</v>
      </c>
      <c r="AA115" s="1376">
        <f t="shared" si="202"/>
        <v>0</v>
      </c>
      <c r="AB115" s="1376">
        <f t="shared" si="203"/>
        <v>0</v>
      </c>
      <c r="AC115" s="1376">
        <f t="shared" si="204"/>
        <v>0</v>
      </c>
      <c r="AD115" s="1376">
        <f t="shared" si="205"/>
        <v>0</v>
      </c>
      <c r="AE115" s="1376">
        <f t="shared" si="206"/>
        <v>0</v>
      </c>
      <c r="AF115" s="1376">
        <f t="shared" si="207"/>
        <v>0</v>
      </c>
      <c r="AG115" s="1376">
        <f t="shared" si="208"/>
        <v>0</v>
      </c>
      <c r="AH115" s="1374"/>
      <c r="AI115" s="444">
        <f t="shared" si="253"/>
        <v>0</v>
      </c>
      <c r="AJ115" s="1090"/>
      <c r="AK115" s="1377"/>
      <c r="AL115" s="811">
        <f t="shared" si="210"/>
        <v>46095</v>
      </c>
      <c r="AM115" s="666">
        <f>IFERROR(IF(AND(AT115="",AR115&lt;&gt;S.CAL!$BJ$3,AR115&lt;&gt;S.CAL!$BJ$4,$AR$95="NON"),M115-BD115,IF(AND(AT115="",AR115&lt;&gt;S.CAL!$BJ$3,AR115&lt;&gt;S.CAL!$BJ$4,$AR$95="OUI"),X115-AI115,IF(AT115&lt;&gt;0,AT115,IF(OR(AR115=S.CAL!$BJ$3,AR115=S.CAL!$BJ$4),AR115,"")))),"")</f>
        <v>0</v>
      </c>
      <c r="AN115" s="1093"/>
      <c r="AO115" s="1094"/>
      <c r="AP115" s="666">
        <f>+IF(AND(AU115="",BB115="OUI",BH115="non",BI115="OUI"),AM115,IF(AND(AU115="",BB115="OUI",BH115="oui",BI115="NON"),AM115,IF(AND(AU115="",BB115="NON",BH115="oui",BI115="NON"),M115,IF(AND(AU115="",BB115="NON",BH115="non",BI115="OUI"),M115,IF(AND(AU115="",BB115="OUI",BH115="non",BI115="NON"),"ERREUR",IF(AND(AU115="",BB115="NON",BH115="non",BI115="NON"),AM115,IF(AND(AU115="",BB115="OUI",BH115="",BI115=""),AM115,IF(AND(AU115="",BB115="NON",BH115="",BI115="",AZ115="NON"),M115,IF(AND(AU115="",BH115="",AZ115="OUI",AR115=""),AM115,IF(AND(AU115="",BH115="",AZ115="NON",AR115="",AT115=""),M115,IF(AND(OR(AR115=S.CAL!$BJ$3,AR115=S.CAL!$BJ$4),(VLOOKUP($AM$95,base_nbre_sem_mensu,2,FALSE)=52)),EE115,IF(AND(OR(AR115=S.CAL!$BJ$3,AR115=S.CAL!$BJ$4),(VLOOKUP($AM$95,base_nbre_sem_mensu,2,FALSE)&lt;52)),AM115,IF(AND(AT115&lt;&gt;"",AU115=""),AT115,AU115)))))))))))))</f>
        <v>0</v>
      </c>
      <c r="AQ115" s="1378">
        <f t="shared" si="230"/>
        <v>0</v>
      </c>
      <c r="AR115" s="1098"/>
      <c r="AS115" s="1374"/>
      <c r="AT115" s="1101"/>
      <c r="AU115" s="813"/>
      <c r="AV115" s="1370">
        <f t="shared" si="211"/>
        <v>46095</v>
      </c>
      <c r="AW115" s="1374"/>
      <c r="AX115" s="511">
        <f t="shared" si="231"/>
        <v>46095</v>
      </c>
      <c r="AY115" s="523">
        <f t="shared" si="232"/>
        <v>0</v>
      </c>
      <c r="AZ115" s="520" t="s">
        <v>137</v>
      </c>
      <c r="BA115" s="516">
        <f t="shared" si="233"/>
        <v>0</v>
      </c>
      <c r="BB115" s="549" t="str">
        <f t="shared" si="212"/>
        <v/>
      </c>
      <c r="BC115" s="523">
        <f t="shared" si="234"/>
        <v>0</v>
      </c>
      <c r="BD115" s="523">
        <f t="shared" si="235"/>
        <v>0</v>
      </c>
      <c r="BE115" s="1104"/>
      <c r="BF115" s="514" t="str">
        <f t="shared" si="213"/>
        <v/>
      </c>
      <c r="BG115" s="514" t="str">
        <f t="shared" si="236"/>
        <v>oui</v>
      </c>
      <c r="BH115" s="377" t="str">
        <f t="shared" si="214"/>
        <v/>
      </c>
      <c r="BI115" s="24" t="str">
        <f t="shared" si="215"/>
        <v/>
      </c>
      <c r="BJ115" s="1382"/>
      <c r="BK115" s="1382"/>
      <c r="BL115" s="1382"/>
      <c r="BM115" s="1382"/>
      <c r="BN115" s="1382"/>
      <c r="BO115" s="1382"/>
      <c r="BP115" s="1382"/>
      <c r="BQ115" s="1382"/>
      <c r="BR115" s="1383"/>
      <c r="BS115" s="1370">
        <f t="shared" si="182"/>
        <v>46095</v>
      </c>
      <c r="BT115" s="1384" t="str">
        <f t="shared" si="244"/>
        <v/>
      </c>
      <c r="BU115" s="1382"/>
      <c r="BV115" s="1382"/>
      <c r="BW115" s="1382"/>
      <c r="BX115" s="1382"/>
      <c r="BY115" s="1382"/>
      <c r="BZ115" s="1382"/>
      <c r="CA115" s="1382"/>
      <c r="CB115" s="1382"/>
      <c r="CD115" s="1386">
        <f t="shared" si="237"/>
        <v>0</v>
      </c>
      <c r="DC115" s="16" t="str">
        <f>Mars!FC33</f>
        <v>non</v>
      </c>
      <c r="DG115" s="315">
        <f t="shared" si="238"/>
        <v>1</v>
      </c>
      <c r="DH115" s="129">
        <f t="shared" si="216"/>
        <v>10</v>
      </c>
      <c r="DI115" s="129">
        <f t="shared" si="239"/>
        <v>1</v>
      </c>
      <c r="DK115" s="16">
        <f>+IF(AND(Mars!$DP$8&lt;&gt;52,AR115=S.CAL!$BJ$4),10,1)</f>
        <v>1</v>
      </c>
      <c r="DN115" s="16">
        <f t="shared" si="217"/>
        <v>1</v>
      </c>
      <c r="DU115" s="1274" t="str">
        <f t="shared" si="240"/>
        <v>Fiche infoA646095</v>
      </c>
      <c r="DV115" s="1362">
        <f t="shared" si="218"/>
        <v>0</v>
      </c>
      <c r="DW115" s="1363">
        <f t="shared" si="219"/>
        <v>0</v>
      </c>
      <c r="DX115" s="1363">
        <f t="shared" si="220"/>
        <v>0</v>
      </c>
      <c r="DY115" s="1363">
        <f t="shared" si="221"/>
        <v>0</v>
      </c>
      <c r="DZ115" s="1363">
        <f t="shared" si="222"/>
        <v>0</v>
      </c>
      <c r="EA115" s="1363">
        <f t="shared" si="223"/>
        <v>0</v>
      </c>
      <c r="EB115" s="1363">
        <f t="shared" si="224"/>
        <v>0</v>
      </c>
      <c r="EC115" s="1363">
        <f t="shared" si="225"/>
        <v>0</v>
      </c>
      <c r="ED115" s="1363">
        <f t="shared" si="241"/>
        <v>0</v>
      </c>
      <c r="EE115" s="1364">
        <f t="shared" si="242"/>
        <v>0</v>
      </c>
      <c r="EG115" s="16" t="str">
        <f t="shared" si="243"/>
        <v>112026</v>
      </c>
      <c r="EH115" s="16" t="str">
        <f t="shared" si="226"/>
        <v>Fiche infoA6</v>
      </c>
      <c r="EI115" s="16" t="str">
        <f t="shared" si="227"/>
        <v/>
      </c>
    </row>
    <row r="116" spans="1:139" x14ac:dyDescent="0.2">
      <c r="A116" s="24" t="str">
        <f>Mars!BJ34</f>
        <v>Fiche infoA7</v>
      </c>
      <c r="B116" s="811">
        <f>Mars!AB34</f>
        <v>46096</v>
      </c>
      <c r="C116" s="1371"/>
      <c r="D116" s="981">
        <f t="shared" si="183"/>
        <v>0</v>
      </c>
      <c r="E116" s="434">
        <f t="shared" si="184"/>
        <v>0</v>
      </c>
      <c r="F116" s="434">
        <f t="shared" si="185"/>
        <v>0</v>
      </c>
      <c r="G116" s="434">
        <f t="shared" si="186"/>
        <v>0</v>
      </c>
      <c r="H116" s="434">
        <f t="shared" si="187"/>
        <v>0</v>
      </c>
      <c r="I116" s="434">
        <f t="shared" si="188"/>
        <v>0</v>
      </c>
      <c r="J116" s="434">
        <f t="shared" si="189"/>
        <v>0</v>
      </c>
      <c r="K116" s="434">
        <f t="shared" si="190"/>
        <v>0</v>
      </c>
      <c r="L116" s="434">
        <f t="shared" si="228"/>
        <v>0</v>
      </c>
      <c r="M116" s="982">
        <f t="shared" si="229"/>
        <v>0</v>
      </c>
      <c r="O116" s="981">
        <f t="shared" si="245"/>
        <v>0</v>
      </c>
      <c r="P116" s="434">
        <f t="shared" si="246"/>
        <v>0</v>
      </c>
      <c r="Q116" s="434">
        <f t="shared" si="247"/>
        <v>0</v>
      </c>
      <c r="R116" s="434">
        <f t="shared" si="248"/>
        <v>0</v>
      </c>
      <c r="S116" s="434">
        <f t="shared" si="249"/>
        <v>0</v>
      </c>
      <c r="T116" s="434">
        <f t="shared" si="250"/>
        <v>0</v>
      </c>
      <c r="U116" s="434">
        <f t="shared" si="251"/>
        <v>0</v>
      </c>
      <c r="V116" s="434">
        <f t="shared" si="252"/>
        <v>0</v>
      </c>
      <c r="W116" s="434">
        <f t="shared" si="199"/>
        <v>0</v>
      </c>
      <c r="X116" s="982">
        <f t="shared" si="200"/>
        <v>0</v>
      </c>
      <c r="Y116" s="441"/>
      <c r="Z116" s="277">
        <f t="shared" si="201"/>
        <v>0</v>
      </c>
      <c r="AA116" s="277">
        <f t="shared" si="202"/>
        <v>0</v>
      </c>
      <c r="AB116" s="277">
        <f t="shared" si="203"/>
        <v>0</v>
      </c>
      <c r="AC116" s="277">
        <f t="shared" si="204"/>
        <v>0</v>
      </c>
      <c r="AD116" s="277">
        <f t="shared" si="205"/>
        <v>0</v>
      </c>
      <c r="AE116" s="277">
        <f t="shared" si="206"/>
        <v>0</v>
      </c>
      <c r="AF116" s="277">
        <f t="shared" si="207"/>
        <v>0</v>
      </c>
      <c r="AG116" s="277">
        <f t="shared" si="208"/>
        <v>0</v>
      </c>
      <c r="AI116" s="444">
        <f t="shared" si="253"/>
        <v>0</v>
      </c>
      <c r="AJ116" s="1090"/>
      <c r="AK116" s="489"/>
      <c r="AL116" s="811">
        <f t="shared" si="210"/>
        <v>46096</v>
      </c>
      <c r="AM116" s="666">
        <f>IFERROR(IF(AND(AT116="",AR116&lt;&gt;S.CAL!$BJ$3,AR116&lt;&gt;S.CAL!$BJ$4,$AR$95="NON"),M116-BD116,IF(AND(AT116="",AR116&lt;&gt;S.CAL!$BJ$3,AR116&lt;&gt;S.CAL!$BJ$4,$AR$95="OUI"),X116-AI116,IF(AT116&lt;&gt;0,AT116,IF(OR(AR116=S.CAL!$BJ$3,AR116=S.CAL!$BJ$4),AR116,"")))),"")</f>
        <v>0</v>
      </c>
      <c r="AN116" s="1093"/>
      <c r="AO116" s="1094"/>
      <c r="AP116" s="666">
        <f>+IF(AND(AU116="",BB116="OUI",BH116="non",BI116="OUI"),AM116,IF(AND(AU116="",BB116="OUI",BH116="oui",BI116="NON"),AM116,IF(AND(AU116="",BB116="NON",BH116="oui",BI116="NON"),M116,IF(AND(AU116="",BB116="NON",BH116="non",BI116="OUI"),M116,IF(AND(AU116="",BB116="OUI",BH116="non",BI116="NON"),"ERREUR",IF(AND(AU116="",BB116="NON",BH116="non",BI116="NON"),AM116,IF(AND(AU116="",BB116="OUI",BH116="",BI116=""),AM116,IF(AND(AU116="",BB116="NON",BH116="",BI116="",AZ116="NON"),M116,IF(AND(AU116="",BH116="",AZ116="OUI",AR116=""),AM116,IF(AND(AU116="",BH116="",AZ116="NON",AR116="",AT116=""),M116,IF(AND(OR(AR116=S.CAL!$BJ$3,AR116=S.CAL!$BJ$4),(VLOOKUP($AM$95,base_nbre_sem_mensu,2,FALSE)=52)),EE116,IF(AND(OR(AR116=S.CAL!$BJ$3,AR116=S.CAL!$BJ$4),(VLOOKUP($AM$95,base_nbre_sem_mensu,2,FALSE)&lt;52)),AM116,IF(AND(AT116&lt;&gt;"",AU116=""),AT116,AU116)))))))))))))</f>
        <v>0</v>
      </c>
      <c r="AQ116" s="498">
        <f t="shared" si="230"/>
        <v>0</v>
      </c>
      <c r="AR116" s="1098"/>
      <c r="AT116" s="1101"/>
      <c r="AU116" s="813"/>
      <c r="AV116" s="1370">
        <f t="shared" si="211"/>
        <v>46096</v>
      </c>
      <c r="AX116" s="511">
        <f t="shared" si="231"/>
        <v>46096</v>
      </c>
      <c r="AY116" s="523">
        <f t="shared" si="232"/>
        <v>0</v>
      </c>
      <c r="AZ116" s="520" t="s">
        <v>137</v>
      </c>
      <c r="BA116" s="516">
        <f t="shared" si="233"/>
        <v>0</v>
      </c>
      <c r="BB116" s="549" t="str">
        <f t="shared" si="212"/>
        <v/>
      </c>
      <c r="BC116" s="523">
        <f t="shared" si="234"/>
        <v>0</v>
      </c>
      <c r="BD116" s="523">
        <f t="shared" si="235"/>
        <v>0</v>
      </c>
      <c r="BE116" s="1104"/>
      <c r="BF116" s="514" t="str">
        <f t="shared" si="213"/>
        <v/>
      </c>
      <c r="BG116" s="514" t="str">
        <f t="shared" si="236"/>
        <v>oui</v>
      </c>
      <c r="BH116" s="377" t="str">
        <f t="shared" si="214"/>
        <v/>
      </c>
      <c r="BI116" s="24" t="str">
        <f t="shared" si="215"/>
        <v/>
      </c>
      <c r="BJ116" s="1381"/>
      <c r="BK116" s="1381"/>
      <c r="BL116" s="1381"/>
      <c r="BM116" s="1381"/>
      <c r="BN116" s="1381"/>
      <c r="BO116" s="1381"/>
      <c r="BP116" s="1381"/>
      <c r="BQ116" s="1381"/>
      <c r="BS116" s="1370">
        <f t="shared" si="182"/>
        <v>46096</v>
      </c>
      <c r="BT116" s="27" t="str">
        <f t="shared" si="244"/>
        <v/>
      </c>
      <c r="BU116" s="1380"/>
      <c r="BV116" s="1380"/>
      <c r="BW116" s="1380"/>
      <c r="BX116" s="1380"/>
      <c r="BY116" s="1380"/>
      <c r="BZ116" s="1380"/>
      <c r="CA116" s="1380"/>
      <c r="CB116" s="1380"/>
      <c r="CD116" s="1386">
        <f t="shared" si="237"/>
        <v>0</v>
      </c>
      <c r="DC116" s="16" t="str">
        <f>Mars!FC34</f>
        <v>non</v>
      </c>
      <c r="DG116" s="315">
        <f t="shared" si="238"/>
        <v>1</v>
      </c>
      <c r="DH116" s="129">
        <f t="shared" si="216"/>
        <v>10</v>
      </c>
      <c r="DI116" s="129">
        <f t="shared" si="239"/>
        <v>1</v>
      </c>
      <c r="DK116" s="16">
        <f>+IF(AND(Mars!$DP$8&lt;&gt;52,AR116=S.CAL!$BJ$4),10,1)</f>
        <v>1</v>
      </c>
      <c r="DN116" s="16">
        <f t="shared" si="217"/>
        <v>1</v>
      </c>
      <c r="DU116" s="1274" t="str">
        <f t="shared" si="240"/>
        <v>Fiche infoA746096</v>
      </c>
      <c r="DV116" s="1362">
        <f t="shared" si="218"/>
        <v>0</v>
      </c>
      <c r="DW116" s="1363">
        <f t="shared" si="219"/>
        <v>0</v>
      </c>
      <c r="DX116" s="1363">
        <f t="shared" si="220"/>
        <v>0</v>
      </c>
      <c r="DY116" s="1363">
        <f t="shared" si="221"/>
        <v>0</v>
      </c>
      <c r="DZ116" s="1363">
        <f t="shared" si="222"/>
        <v>0</v>
      </c>
      <c r="EA116" s="1363">
        <f t="shared" si="223"/>
        <v>0</v>
      </c>
      <c r="EB116" s="1363">
        <f t="shared" si="224"/>
        <v>0</v>
      </c>
      <c r="EC116" s="1363">
        <f t="shared" si="225"/>
        <v>0</v>
      </c>
      <c r="ED116" s="1363">
        <f t="shared" si="241"/>
        <v>0</v>
      </c>
      <c r="EE116" s="1364">
        <f t="shared" si="242"/>
        <v>0</v>
      </c>
      <c r="EG116" s="16" t="str">
        <f t="shared" si="243"/>
        <v>112026</v>
      </c>
      <c r="EH116" s="16" t="str">
        <f t="shared" si="226"/>
        <v>Fiche infoA7</v>
      </c>
      <c r="EI116" s="16" t="str">
        <f t="shared" si="227"/>
        <v/>
      </c>
    </row>
    <row r="117" spans="1:139" x14ac:dyDescent="0.2">
      <c r="A117" s="1373" t="str">
        <f>Mars!BJ35</f>
        <v>Fiche infoA1</v>
      </c>
      <c r="B117" s="811">
        <f>Mars!AB35</f>
        <v>46097</v>
      </c>
      <c r="C117" s="1372"/>
      <c r="D117" s="981">
        <f t="shared" si="183"/>
        <v>0</v>
      </c>
      <c r="E117" s="434">
        <f t="shared" si="184"/>
        <v>0</v>
      </c>
      <c r="F117" s="434">
        <f t="shared" si="185"/>
        <v>0</v>
      </c>
      <c r="G117" s="434">
        <f t="shared" si="186"/>
        <v>0</v>
      </c>
      <c r="H117" s="434">
        <f t="shared" si="187"/>
        <v>0</v>
      </c>
      <c r="I117" s="434">
        <f t="shared" si="188"/>
        <v>0</v>
      </c>
      <c r="J117" s="434">
        <f t="shared" si="189"/>
        <v>0</v>
      </c>
      <c r="K117" s="434">
        <f t="shared" si="190"/>
        <v>0</v>
      </c>
      <c r="L117" s="434">
        <f t="shared" si="228"/>
        <v>0</v>
      </c>
      <c r="M117" s="982">
        <f t="shared" si="229"/>
        <v>0</v>
      </c>
      <c r="N117" s="1374"/>
      <c r="O117" s="981">
        <f t="shared" si="245"/>
        <v>0</v>
      </c>
      <c r="P117" s="434">
        <f t="shared" si="246"/>
        <v>0</v>
      </c>
      <c r="Q117" s="434">
        <f t="shared" si="247"/>
        <v>0</v>
      </c>
      <c r="R117" s="434">
        <f t="shared" si="248"/>
        <v>0</v>
      </c>
      <c r="S117" s="434">
        <f t="shared" si="249"/>
        <v>0</v>
      </c>
      <c r="T117" s="434">
        <f t="shared" si="250"/>
        <v>0</v>
      </c>
      <c r="U117" s="434">
        <f t="shared" si="251"/>
        <v>0</v>
      </c>
      <c r="V117" s="434">
        <f t="shared" si="252"/>
        <v>0</v>
      </c>
      <c r="W117" s="434">
        <f t="shared" si="199"/>
        <v>0</v>
      </c>
      <c r="X117" s="982">
        <f t="shared" si="200"/>
        <v>0</v>
      </c>
      <c r="Y117" s="1375"/>
      <c r="Z117" s="1376">
        <f t="shared" si="201"/>
        <v>0</v>
      </c>
      <c r="AA117" s="1376">
        <f t="shared" si="202"/>
        <v>0</v>
      </c>
      <c r="AB117" s="1376">
        <f t="shared" si="203"/>
        <v>0</v>
      </c>
      <c r="AC117" s="1376">
        <f t="shared" si="204"/>
        <v>0</v>
      </c>
      <c r="AD117" s="1376">
        <f t="shared" si="205"/>
        <v>0</v>
      </c>
      <c r="AE117" s="1376">
        <f t="shared" si="206"/>
        <v>0</v>
      </c>
      <c r="AF117" s="1376">
        <f t="shared" si="207"/>
        <v>0</v>
      </c>
      <c r="AG117" s="1376">
        <f t="shared" si="208"/>
        <v>0</v>
      </c>
      <c r="AH117" s="1374"/>
      <c r="AI117" s="444">
        <f t="shared" si="253"/>
        <v>0</v>
      </c>
      <c r="AJ117" s="1090"/>
      <c r="AK117" s="1377"/>
      <c r="AL117" s="811">
        <f t="shared" si="210"/>
        <v>46097</v>
      </c>
      <c r="AM117" s="666">
        <f>IFERROR(IF(AND(AT117="",AR117&lt;&gt;S.CAL!$BJ$3,AR117&lt;&gt;S.CAL!$BJ$4,$AR$95="NON"),M117-BD117,IF(AND(AT117="",AR117&lt;&gt;S.CAL!$BJ$3,AR117&lt;&gt;S.CAL!$BJ$4,$AR$95="OUI"),X117-AI117,IF(AT117&lt;&gt;0,AT117,IF(OR(AR117=S.CAL!$BJ$3,AR117=S.CAL!$BJ$4),AR117,"")))),"")</f>
        <v>0</v>
      </c>
      <c r="AN117" s="1093"/>
      <c r="AO117" s="1094"/>
      <c r="AP117" s="666">
        <f>+IF(AND(AU117="",BB117="OUI",BH117="non",BI117="OUI"),AM117,IF(AND(AU117="",BB117="OUI",BH117="oui",BI117="NON"),AM117,IF(AND(AU117="",BB117="NON",BH117="oui",BI117="NON"),M117,IF(AND(AU117="",BB117="NON",BH117="non",BI117="OUI"),M117,IF(AND(AU117="",BB117="OUI",BH117="non",BI117="NON"),"ERREUR",IF(AND(AU117="",BB117="NON",BH117="non",BI117="NON"),AM117,IF(AND(AU117="",BB117="OUI",BH117="",BI117=""),AM117,IF(AND(AU117="",BB117="NON",BH117="",BI117="",AZ117="NON"),M117,IF(AND(AU117="",BH117="",AZ117="OUI",AR117=""),AM117,IF(AND(AU117="",BH117="",AZ117="NON",AR117="",AT117=""),M117,IF(AND(OR(AR117=S.CAL!$BJ$3,AR117=S.CAL!$BJ$4),(VLOOKUP($AM$95,base_nbre_sem_mensu,2,FALSE)=52)),EE117,IF(AND(OR(AR117=S.CAL!$BJ$3,AR117=S.CAL!$BJ$4),(VLOOKUP($AM$95,base_nbre_sem_mensu,2,FALSE)&lt;52)),AM117,IF(AND(AT117&lt;&gt;"",AU117=""),AT117,AU117)))))))))))))</f>
        <v>0</v>
      </c>
      <c r="AQ117" s="1378">
        <f t="shared" si="230"/>
        <v>0</v>
      </c>
      <c r="AR117" s="1098"/>
      <c r="AS117" s="1374"/>
      <c r="AT117" s="1101"/>
      <c r="AU117" s="813"/>
      <c r="AV117" s="1370">
        <f t="shared" si="211"/>
        <v>46097</v>
      </c>
      <c r="AW117" s="1374"/>
      <c r="AX117" s="511">
        <f t="shared" si="231"/>
        <v>46097</v>
      </c>
      <c r="AY117" s="523">
        <f t="shared" si="232"/>
        <v>0</v>
      </c>
      <c r="AZ117" s="520" t="s">
        <v>137</v>
      </c>
      <c r="BA117" s="516">
        <f t="shared" si="233"/>
        <v>0</v>
      </c>
      <c r="BB117" s="549" t="str">
        <f t="shared" si="212"/>
        <v/>
      </c>
      <c r="BC117" s="523">
        <f t="shared" si="234"/>
        <v>0</v>
      </c>
      <c r="BD117" s="523">
        <f t="shared" si="235"/>
        <v>0</v>
      </c>
      <c r="BE117" s="1104"/>
      <c r="BF117" s="514" t="str">
        <f t="shared" si="213"/>
        <v/>
      </c>
      <c r="BG117" s="514" t="str">
        <f t="shared" si="236"/>
        <v>oui</v>
      </c>
      <c r="BH117" s="377" t="str">
        <f t="shared" si="214"/>
        <v/>
      </c>
      <c r="BI117" s="24" t="str">
        <f t="shared" si="215"/>
        <v/>
      </c>
      <c r="BJ117" s="1382"/>
      <c r="BK117" s="1382"/>
      <c r="BL117" s="1382"/>
      <c r="BM117" s="1382"/>
      <c r="BN117" s="1382"/>
      <c r="BO117" s="1382"/>
      <c r="BP117" s="1382"/>
      <c r="BQ117" s="1382"/>
      <c r="BR117" s="1383"/>
      <c r="BS117" s="1370">
        <f t="shared" si="182"/>
        <v>46097</v>
      </c>
      <c r="BT117" s="1384">
        <f t="shared" si="244"/>
        <v>12</v>
      </c>
      <c r="BU117" s="1382"/>
      <c r="BV117" s="1382"/>
      <c r="BW117" s="1382"/>
      <c r="BX117" s="1382"/>
      <c r="BY117" s="1382"/>
      <c r="BZ117" s="1382"/>
      <c r="CA117" s="1382"/>
      <c r="CB117" s="1382"/>
      <c r="CD117" s="1386">
        <f t="shared" si="237"/>
        <v>0</v>
      </c>
      <c r="DC117" s="16" t="str">
        <f>Mars!FC35</f>
        <v>non</v>
      </c>
      <c r="DG117" s="315">
        <f t="shared" si="238"/>
        <v>1</v>
      </c>
      <c r="DH117" s="129">
        <f t="shared" si="216"/>
        <v>10</v>
      </c>
      <c r="DI117" s="129">
        <f t="shared" si="239"/>
        <v>1</v>
      </c>
      <c r="DK117" s="16">
        <f>+IF(AND(Mars!$DP$8&lt;&gt;52,AR117=S.CAL!$BJ$4),10,1)</f>
        <v>1</v>
      </c>
      <c r="DN117" s="16">
        <f t="shared" si="217"/>
        <v>1</v>
      </c>
      <c r="DU117" s="1274" t="str">
        <f t="shared" si="240"/>
        <v>Fiche infoA146097</v>
      </c>
      <c r="DV117" s="1362">
        <f t="shared" si="218"/>
        <v>0</v>
      </c>
      <c r="DW117" s="1363">
        <f t="shared" si="219"/>
        <v>0</v>
      </c>
      <c r="DX117" s="1363">
        <f t="shared" si="220"/>
        <v>0</v>
      </c>
      <c r="DY117" s="1363">
        <f t="shared" si="221"/>
        <v>0</v>
      </c>
      <c r="DZ117" s="1363">
        <f t="shared" si="222"/>
        <v>0</v>
      </c>
      <c r="EA117" s="1363">
        <f t="shared" si="223"/>
        <v>0</v>
      </c>
      <c r="EB117" s="1363">
        <f t="shared" si="224"/>
        <v>0</v>
      </c>
      <c r="EC117" s="1363">
        <f t="shared" si="225"/>
        <v>0</v>
      </c>
      <c r="ED117" s="1363">
        <f t="shared" si="241"/>
        <v>0</v>
      </c>
      <c r="EE117" s="1364">
        <f t="shared" si="242"/>
        <v>0</v>
      </c>
      <c r="EG117" s="16" t="str">
        <f t="shared" si="243"/>
        <v>122026</v>
      </c>
      <c r="EH117" s="16" t="str">
        <f t="shared" si="226"/>
        <v>Fiche infoA1</v>
      </c>
      <c r="EI117" s="16" t="str">
        <f t="shared" si="227"/>
        <v/>
      </c>
    </row>
    <row r="118" spans="1:139" x14ac:dyDescent="0.2">
      <c r="A118" s="24" t="str">
        <f>Mars!BJ36</f>
        <v>Fiche infoA2</v>
      </c>
      <c r="B118" s="811">
        <f>Mars!AB36</f>
        <v>46098</v>
      </c>
      <c r="C118" s="1371"/>
      <c r="D118" s="981">
        <f t="shared" si="183"/>
        <v>0</v>
      </c>
      <c r="E118" s="434">
        <f t="shared" si="184"/>
        <v>0</v>
      </c>
      <c r="F118" s="434">
        <f t="shared" si="185"/>
        <v>0</v>
      </c>
      <c r="G118" s="434">
        <f t="shared" si="186"/>
        <v>0</v>
      </c>
      <c r="H118" s="434">
        <f t="shared" si="187"/>
        <v>0</v>
      </c>
      <c r="I118" s="434">
        <f t="shared" si="188"/>
        <v>0</v>
      </c>
      <c r="J118" s="434">
        <f t="shared" si="189"/>
        <v>0</v>
      </c>
      <c r="K118" s="434">
        <f t="shared" si="190"/>
        <v>0</v>
      </c>
      <c r="L118" s="434">
        <f t="shared" si="228"/>
        <v>0</v>
      </c>
      <c r="M118" s="982">
        <f t="shared" si="229"/>
        <v>0</v>
      </c>
      <c r="O118" s="981">
        <f t="shared" si="245"/>
        <v>0</v>
      </c>
      <c r="P118" s="434">
        <f t="shared" si="246"/>
        <v>0</v>
      </c>
      <c r="Q118" s="434">
        <f t="shared" si="247"/>
        <v>0</v>
      </c>
      <c r="R118" s="434">
        <f t="shared" si="248"/>
        <v>0</v>
      </c>
      <c r="S118" s="434">
        <f t="shared" si="249"/>
        <v>0</v>
      </c>
      <c r="T118" s="434">
        <f t="shared" si="250"/>
        <v>0</v>
      </c>
      <c r="U118" s="434">
        <f t="shared" si="251"/>
        <v>0</v>
      </c>
      <c r="V118" s="434">
        <f t="shared" si="252"/>
        <v>0</v>
      </c>
      <c r="W118" s="434">
        <f t="shared" si="199"/>
        <v>0</v>
      </c>
      <c r="X118" s="982">
        <f t="shared" si="200"/>
        <v>0</v>
      </c>
      <c r="Y118" s="441"/>
      <c r="Z118" s="277">
        <f t="shared" si="201"/>
        <v>0</v>
      </c>
      <c r="AA118" s="277">
        <f t="shared" si="202"/>
        <v>0</v>
      </c>
      <c r="AB118" s="277">
        <f t="shared" si="203"/>
        <v>0</v>
      </c>
      <c r="AC118" s="277">
        <f t="shared" si="204"/>
        <v>0</v>
      </c>
      <c r="AD118" s="277">
        <f t="shared" si="205"/>
        <v>0</v>
      </c>
      <c r="AE118" s="277">
        <f t="shared" si="206"/>
        <v>0</v>
      </c>
      <c r="AF118" s="277">
        <f t="shared" si="207"/>
        <v>0</v>
      </c>
      <c r="AG118" s="277">
        <f t="shared" si="208"/>
        <v>0</v>
      </c>
      <c r="AI118" s="444">
        <f t="shared" si="253"/>
        <v>0</v>
      </c>
      <c r="AJ118" s="1090"/>
      <c r="AK118" s="489"/>
      <c r="AL118" s="811">
        <f t="shared" si="210"/>
        <v>46098</v>
      </c>
      <c r="AM118" s="666">
        <f>IFERROR(IF(AND(AT118="",AR118&lt;&gt;S.CAL!$BJ$3,AR118&lt;&gt;S.CAL!$BJ$4,$AR$95="NON"),M118-BD118,IF(AND(AT118="",AR118&lt;&gt;S.CAL!$BJ$3,AR118&lt;&gt;S.CAL!$BJ$4,$AR$95="OUI"),X118-AI118,IF(AT118&lt;&gt;0,AT118,IF(OR(AR118=S.CAL!$BJ$3,AR118=S.CAL!$BJ$4),AR118,"")))),"")</f>
        <v>0</v>
      </c>
      <c r="AN118" s="1093"/>
      <c r="AO118" s="1094"/>
      <c r="AP118" s="666">
        <f>+IF(AND(AU118="",BB118="OUI",BH118="non",BI118="OUI"),AM118,IF(AND(AU118="",BB118="OUI",BH118="oui",BI118="NON"),AM118,IF(AND(AU118="",BB118="NON",BH118="oui",BI118="NON"),M118,IF(AND(AU118="",BB118="NON",BH118="non",BI118="OUI"),M118,IF(AND(AU118="",BB118="OUI",BH118="non",BI118="NON"),"ERREUR",IF(AND(AU118="",BB118="NON",BH118="non",BI118="NON"),AM118,IF(AND(AU118="",BB118="OUI",BH118="",BI118=""),AM118,IF(AND(AU118="",BB118="NON",BH118="",BI118="",AZ118="NON"),M118,IF(AND(AU118="",BH118="",AZ118="OUI",AR118=""),AM118,IF(AND(AU118="",BH118="",AZ118="NON",AR118="",AT118=""),M118,IF(AND(OR(AR118=S.CAL!$BJ$3,AR118=S.CAL!$BJ$4),(VLOOKUP($AM$95,base_nbre_sem_mensu,2,FALSE)=52)),EE118,IF(AND(OR(AR118=S.CAL!$BJ$3,AR118=S.CAL!$BJ$4),(VLOOKUP($AM$95,base_nbre_sem_mensu,2,FALSE)&lt;52)),AM118,IF(AND(AT118&lt;&gt;"",AU118=""),AT118,AU118)))))))))))))</f>
        <v>0</v>
      </c>
      <c r="AQ118" s="498">
        <f t="shared" si="230"/>
        <v>0</v>
      </c>
      <c r="AR118" s="1098"/>
      <c r="AT118" s="1101"/>
      <c r="AU118" s="813"/>
      <c r="AV118" s="1370">
        <f t="shared" si="211"/>
        <v>46098</v>
      </c>
      <c r="AX118" s="511">
        <f t="shared" si="231"/>
        <v>46098</v>
      </c>
      <c r="AY118" s="523">
        <f t="shared" si="232"/>
        <v>0</v>
      </c>
      <c r="AZ118" s="520" t="s">
        <v>137</v>
      </c>
      <c r="BA118" s="516">
        <f t="shared" si="233"/>
        <v>0</v>
      </c>
      <c r="BB118" s="549" t="str">
        <f t="shared" si="212"/>
        <v/>
      </c>
      <c r="BC118" s="523">
        <f t="shared" si="234"/>
        <v>0</v>
      </c>
      <c r="BD118" s="523">
        <f t="shared" si="235"/>
        <v>0</v>
      </c>
      <c r="BE118" s="1104"/>
      <c r="BF118" s="514" t="str">
        <f t="shared" si="213"/>
        <v/>
      </c>
      <c r="BG118" s="514" t="str">
        <f t="shared" si="236"/>
        <v>oui</v>
      </c>
      <c r="BH118" s="377" t="str">
        <f t="shared" si="214"/>
        <v/>
      </c>
      <c r="BI118" s="24" t="str">
        <f t="shared" si="215"/>
        <v/>
      </c>
      <c r="BJ118" s="1381"/>
      <c r="BK118" s="1381"/>
      <c r="BL118" s="1381"/>
      <c r="BM118" s="1381"/>
      <c r="BN118" s="1381"/>
      <c r="BO118" s="1381"/>
      <c r="BP118" s="1381"/>
      <c r="BQ118" s="1381"/>
      <c r="BS118" s="1370">
        <f t="shared" si="182"/>
        <v>46098</v>
      </c>
      <c r="BT118" s="27" t="str">
        <f t="shared" si="244"/>
        <v/>
      </c>
      <c r="BU118" s="1380"/>
      <c r="BV118" s="1380"/>
      <c r="BW118" s="1380"/>
      <c r="BX118" s="1380"/>
      <c r="BY118" s="1380"/>
      <c r="BZ118" s="1380"/>
      <c r="CA118" s="1380"/>
      <c r="CB118" s="1380"/>
      <c r="CD118" s="1386">
        <f t="shared" si="237"/>
        <v>0</v>
      </c>
      <c r="DC118" s="16" t="str">
        <f>Mars!FC36</f>
        <v>non</v>
      </c>
      <c r="DG118" s="315">
        <f t="shared" si="238"/>
        <v>1</v>
      </c>
      <c r="DH118" s="129">
        <f t="shared" si="216"/>
        <v>10</v>
      </c>
      <c r="DI118" s="129">
        <f t="shared" si="239"/>
        <v>1</v>
      </c>
      <c r="DK118" s="16">
        <f>+IF(AND(Mars!$DP$8&lt;&gt;52,AR118=S.CAL!$BJ$4),10,1)</f>
        <v>1</v>
      </c>
      <c r="DN118" s="16">
        <f t="shared" si="217"/>
        <v>1</v>
      </c>
      <c r="DU118" s="1274" t="str">
        <f t="shared" si="240"/>
        <v>Fiche infoA246098</v>
      </c>
      <c r="DV118" s="1362">
        <f t="shared" si="218"/>
        <v>0</v>
      </c>
      <c r="DW118" s="1363">
        <f t="shared" si="219"/>
        <v>0</v>
      </c>
      <c r="DX118" s="1363">
        <f t="shared" si="220"/>
        <v>0</v>
      </c>
      <c r="DY118" s="1363">
        <f t="shared" si="221"/>
        <v>0</v>
      </c>
      <c r="DZ118" s="1363">
        <f t="shared" si="222"/>
        <v>0</v>
      </c>
      <c r="EA118" s="1363">
        <f t="shared" si="223"/>
        <v>0</v>
      </c>
      <c r="EB118" s="1363">
        <f t="shared" si="224"/>
        <v>0</v>
      </c>
      <c r="EC118" s="1363">
        <f t="shared" si="225"/>
        <v>0</v>
      </c>
      <c r="ED118" s="1363">
        <f t="shared" si="241"/>
        <v>0</v>
      </c>
      <c r="EE118" s="1364">
        <f t="shared" si="242"/>
        <v>0</v>
      </c>
      <c r="EG118" s="16" t="str">
        <f t="shared" si="243"/>
        <v>122026</v>
      </c>
      <c r="EH118" s="16" t="str">
        <f t="shared" si="226"/>
        <v>Fiche infoA2</v>
      </c>
      <c r="EI118" s="16" t="str">
        <f t="shared" si="227"/>
        <v/>
      </c>
    </row>
    <row r="119" spans="1:139" x14ac:dyDescent="0.2">
      <c r="A119" s="1373" t="str">
        <f>Mars!BJ37</f>
        <v>Fiche infoA3</v>
      </c>
      <c r="B119" s="811">
        <f>Mars!AB37</f>
        <v>46099</v>
      </c>
      <c r="C119" s="1372"/>
      <c r="D119" s="981">
        <f t="shared" si="183"/>
        <v>0</v>
      </c>
      <c r="E119" s="434">
        <f t="shared" si="184"/>
        <v>0</v>
      </c>
      <c r="F119" s="434">
        <f t="shared" si="185"/>
        <v>0</v>
      </c>
      <c r="G119" s="434">
        <f t="shared" si="186"/>
        <v>0</v>
      </c>
      <c r="H119" s="434">
        <f t="shared" si="187"/>
        <v>0</v>
      </c>
      <c r="I119" s="434">
        <f t="shared" si="188"/>
        <v>0</v>
      </c>
      <c r="J119" s="434">
        <f t="shared" si="189"/>
        <v>0</v>
      </c>
      <c r="K119" s="434">
        <f t="shared" si="190"/>
        <v>0</v>
      </c>
      <c r="L119" s="434">
        <f t="shared" si="228"/>
        <v>0</v>
      </c>
      <c r="M119" s="982">
        <f t="shared" si="229"/>
        <v>0</v>
      </c>
      <c r="N119" s="1374"/>
      <c r="O119" s="981">
        <f t="shared" si="245"/>
        <v>0</v>
      </c>
      <c r="P119" s="434">
        <f t="shared" si="246"/>
        <v>0</v>
      </c>
      <c r="Q119" s="434">
        <f t="shared" si="247"/>
        <v>0</v>
      </c>
      <c r="R119" s="434">
        <f t="shared" si="248"/>
        <v>0</v>
      </c>
      <c r="S119" s="434">
        <f t="shared" si="249"/>
        <v>0</v>
      </c>
      <c r="T119" s="434">
        <f t="shared" si="250"/>
        <v>0</v>
      </c>
      <c r="U119" s="434">
        <f t="shared" si="251"/>
        <v>0</v>
      </c>
      <c r="V119" s="434">
        <f t="shared" si="252"/>
        <v>0</v>
      </c>
      <c r="W119" s="434">
        <f t="shared" si="199"/>
        <v>0</v>
      </c>
      <c r="X119" s="982">
        <f t="shared" si="200"/>
        <v>0</v>
      </c>
      <c r="Y119" s="1375"/>
      <c r="Z119" s="1376">
        <f t="shared" si="201"/>
        <v>0</v>
      </c>
      <c r="AA119" s="1376">
        <f t="shared" si="202"/>
        <v>0</v>
      </c>
      <c r="AB119" s="1376">
        <f t="shared" si="203"/>
        <v>0</v>
      </c>
      <c r="AC119" s="1376">
        <f t="shared" si="204"/>
        <v>0</v>
      </c>
      <c r="AD119" s="1376">
        <f t="shared" si="205"/>
        <v>0</v>
      </c>
      <c r="AE119" s="1376">
        <f t="shared" si="206"/>
        <v>0</v>
      </c>
      <c r="AF119" s="1376">
        <f t="shared" si="207"/>
        <v>0</v>
      </c>
      <c r="AG119" s="1376">
        <f t="shared" si="208"/>
        <v>0</v>
      </c>
      <c r="AH119" s="1374"/>
      <c r="AI119" s="444">
        <f t="shared" si="253"/>
        <v>0</v>
      </c>
      <c r="AJ119" s="1090"/>
      <c r="AK119" s="1377"/>
      <c r="AL119" s="811">
        <f t="shared" si="210"/>
        <v>46099</v>
      </c>
      <c r="AM119" s="666">
        <f>IFERROR(IF(AND(AT119="",AR119&lt;&gt;S.CAL!$BJ$3,AR119&lt;&gt;S.CAL!$BJ$4,$AR$95="NON"),M119-BD119,IF(AND(AT119="",AR119&lt;&gt;S.CAL!$BJ$3,AR119&lt;&gt;S.CAL!$BJ$4,$AR$95="OUI"),X119-AI119,IF(AT119&lt;&gt;0,AT119,IF(OR(AR119=S.CAL!$BJ$3,AR119=S.CAL!$BJ$4),AR119,"")))),"")</f>
        <v>0</v>
      </c>
      <c r="AN119" s="1093"/>
      <c r="AO119" s="1094"/>
      <c r="AP119" s="666">
        <f>+IF(AND(AU119="",BB119="OUI",BH119="non",BI119="OUI"),AM119,IF(AND(AU119="",BB119="OUI",BH119="oui",BI119="NON"),AM119,IF(AND(AU119="",BB119="NON",BH119="oui",BI119="NON"),M119,IF(AND(AU119="",BB119="NON",BH119="non",BI119="OUI"),M119,IF(AND(AU119="",BB119="OUI",BH119="non",BI119="NON"),"ERREUR",IF(AND(AU119="",BB119="NON",BH119="non",BI119="NON"),AM119,IF(AND(AU119="",BB119="OUI",BH119="",BI119=""),AM119,IF(AND(AU119="",BB119="NON",BH119="",BI119="",AZ119="NON"),M119,IF(AND(AU119="",BH119="",AZ119="OUI",AR119=""),AM119,IF(AND(AU119="",BH119="",AZ119="NON",AR119="",AT119=""),M119,IF(AND(OR(AR119=S.CAL!$BJ$3,AR119=S.CAL!$BJ$4),(VLOOKUP($AM$95,base_nbre_sem_mensu,2,FALSE)=52)),EE119,IF(AND(OR(AR119=S.CAL!$BJ$3,AR119=S.CAL!$BJ$4),(VLOOKUP($AM$95,base_nbre_sem_mensu,2,FALSE)&lt;52)),AM119,IF(AND(AT119&lt;&gt;"",AU119=""),AT119,AU119)))))))))))))</f>
        <v>0</v>
      </c>
      <c r="AQ119" s="1378">
        <f t="shared" si="230"/>
        <v>0</v>
      </c>
      <c r="AR119" s="1098"/>
      <c r="AS119" s="1374"/>
      <c r="AT119" s="1101"/>
      <c r="AU119" s="813"/>
      <c r="AV119" s="1370">
        <f t="shared" si="211"/>
        <v>46099</v>
      </c>
      <c r="AW119" s="1374"/>
      <c r="AX119" s="511">
        <f t="shared" si="231"/>
        <v>46099</v>
      </c>
      <c r="AY119" s="523">
        <f t="shared" si="232"/>
        <v>0</v>
      </c>
      <c r="AZ119" s="520" t="s">
        <v>137</v>
      </c>
      <c r="BA119" s="516">
        <f t="shared" si="233"/>
        <v>0</v>
      </c>
      <c r="BB119" s="549" t="str">
        <f t="shared" si="212"/>
        <v/>
      </c>
      <c r="BC119" s="523">
        <f t="shared" si="234"/>
        <v>0</v>
      </c>
      <c r="BD119" s="523">
        <f t="shared" si="235"/>
        <v>0</v>
      </c>
      <c r="BE119" s="1104"/>
      <c r="BF119" s="514" t="str">
        <f t="shared" si="213"/>
        <v/>
      </c>
      <c r="BG119" s="514" t="str">
        <f t="shared" si="236"/>
        <v>oui</v>
      </c>
      <c r="BH119" s="377" t="str">
        <f t="shared" si="214"/>
        <v/>
      </c>
      <c r="BI119" s="24" t="str">
        <f t="shared" si="215"/>
        <v/>
      </c>
      <c r="BJ119" s="1382"/>
      <c r="BK119" s="1382"/>
      <c r="BL119" s="1382"/>
      <c r="BM119" s="1382"/>
      <c r="BN119" s="1382"/>
      <c r="BO119" s="1382"/>
      <c r="BP119" s="1382"/>
      <c r="BQ119" s="1382"/>
      <c r="BR119" s="1383"/>
      <c r="BS119" s="1370">
        <f t="shared" si="182"/>
        <v>46099</v>
      </c>
      <c r="BT119" s="1384" t="str">
        <f t="shared" si="244"/>
        <v/>
      </c>
      <c r="BU119" s="1382"/>
      <c r="BV119" s="1382"/>
      <c r="BW119" s="1382"/>
      <c r="BX119" s="1382"/>
      <c r="BY119" s="1382"/>
      <c r="BZ119" s="1382"/>
      <c r="CA119" s="1382"/>
      <c r="CB119" s="1382"/>
      <c r="CD119" s="1386">
        <f t="shared" si="237"/>
        <v>0</v>
      </c>
      <c r="DC119" s="16" t="str">
        <f>Mars!FC37</f>
        <v>non</v>
      </c>
      <c r="DG119" s="315">
        <f t="shared" si="238"/>
        <v>1</v>
      </c>
      <c r="DH119" s="129">
        <f t="shared" si="216"/>
        <v>10</v>
      </c>
      <c r="DI119" s="129">
        <f t="shared" si="239"/>
        <v>1</v>
      </c>
      <c r="DK119" s="16">
        <f>+IF(AND(Mars!$DP$8&lt;&gt;52,AR119=S.CAL!$BJ$4),10,1)</f>
        <v>1</v>
      </c>
      <c r="DN119" s="16">
        <f t="shared" si="217"/>
        <v>1</v>
      </c>
      <c r="DU119" s="1274" t="str">
        <f t="shared" si="240"/>
        <v>Fiche infoA346099</v>
      </c>
      <c r="DV119" s="1362">
        <f t="shared" si="218"/>
        <v>0</v>
      </c>
      <c r="DW119" s="1363">
        <f t="shared" si="219"/>
        <v>0</v>
      </c>
      <c r="DX119" s="1363">
        <f t="shared" si="220"/>
        <v>0</v>
      </c>
      <c r="DY119" s="1363">
        <f t="shared" si="221"/>
        <v>0</v>
      </c>
      <c r="DZ119" s="1363">
        <f t="shared" si="222"/>
        <v>0</v>
      </c>
      <c r="EA119" s="1363">
        <f t="shared" si="223"/>
        <v>0</v>
      </c>
      <c r="EB119" s="1363">
        <f t="shared" si="224"/>
        <v>0</v>
      </c>
      <c r="EC119" s="1363">
        <f t="shared" si="225"/>
        <v>0</v>
      </c>
      <c r="ED119" s="1363">
        <f t="shared" si="241"/>
        <v>0</v>
      </c>
      <c r="EE119" s="1364">
        <f t="shared" si="242"/>
        <v>0</v>
      </c>
      <c r="EG119" s="16" t="str">
        <f t="shared" si="243"/>
        <v>122026</v>
      </c>
      <c r="EH119" s="16" t="str">
        <f t="shared" si="226"/>
        <v>Fiche infoA3</v>
      </c>
      <c r="EI119" s="16" t="str">
        <f t="shared" si="227"/>
        <v/>
      </c>
    </row>
    <row r="120" spans="1:139" x14ac:dyDescent="0.2">
      <c r="A120" s="24" t="str">
        <f>Mars!BJ38</f>
        <v>Fiche infoA4</v>
      </c>
      <c r="B120" s="811">
        <f>Mars!AB38</f>
        <v>46100</v>
      </c>
      <c r="C120" s="1371"/>
      <c r="D120" s="981">
        <f t="shared" si="183"/>
        <v>0</v>
      </c>
      <c r="E120" s="434">
        <f t="shared" si="184"/>
        <v>0</v>
      </c>
      <c r="F120" s="434">
        <f t="shared" si="185"/>
        <v>0</v>
      </c>
      <c r="G120" s="434">
        <f t="shared" si="186"/>
        <v>0</v>
      </c>
      <c r="H120" s="434">
        <f t="shared" si="187"/>
        <v>0</v>
      </c>
      <c r="I120" s="434">
        <f t="shared" si="188"/>
        <v>0</v>
      </c>
      <c r="J120" s="434">
        <f t="shared" si="189"/>
        <v>0</v>
      </c>
      <c r="K120" s="434">
        <f t="shared" si="190"/>
        <v>0</v>
      </c>
      <c r="L120" s="434">
        <f t="shared" si="228"/>
        <v>0</v>
      </c>
      <c r="M120" s="982">
        <f t="shared" si="229"/>
        <v>0</v>
      </c>
      <c r="O120" s="981">
        <f t="shared" si="245"/>
        <v>0</v>
      </c>
      <c r="P120" s="434">
        <f t="shared" si="246"/>
        <v>0</v>
      </c>
      <c r="Q120" s="434">
        <f t="shared" si="247"/>
        <v>0</v>
      </c>
      <c r="R120" s="434">
        <f t="shared" si="248"/>
        <v>0</v>
      </c>
      <c r="S120" s="434">
        <f t="shared" si="249"/>
        <v>0</v>
      </c>
      <c r="T120" s="434">
        <f t="shared" si="250"/>
        <v>0</v>
      </c>
      <c r="U120" s="434">
        <f t="shared" si="251"/>
        <v>0</v>
      </c>
      <c r="V120" s="434">
        <f t="shared" si="252"/>
        <v>0</v>
      </c>
      <c r="W120" s="434">
        <f t="shared" si="199"/>
        <v>0</v>
      </c>
      <c r="X120" s="982">
        <f t="shared" si="200"/>
        <v>0</v>
      </c>
      <c r="Y120" s="441"/>
      <c r="Z120" s="277">
        <f t="shared" si="201"/>
        <v>0</v>
      </c>
      <c r="AA120" s="277">
        <f t="shared" si="202"/>
        <v>0</v>
      </c>
      <c r="AB120" s="277">
        <f t="shared" si="203"/>
        <v>0</v>
      </c>
      <c r="AC120" s="277">
        <f t="shared" si="204"/>
        <v>0</v>
      </c>
      <c r="AD120" s="277">
        <f t="shared" si="205"/>
        <v>0</v>
      </c>
      <c r="AE120" s="277">
        <f t="shared" si="206"/>
        <v>0</v>
      </c>
      <c r="AF120" s="277">
        <f t="shared" si="207"/>
        <v>0</v>
      </c>
      <c r="AG120" s="277">
        <f t="shared" si="208"/>
        <v>0</v>
      </c>
      <c r="AI120" s="444">
        <f t="shared" si="253"/>
        <v>0</v>
      </c>
      <c r="AJ120" s="1090"/>
      <c r="AK120" s="489"/>
      <c r="AL120" s="811">
        <f t="shared" si="210"/>
        <v>46100</v>
      </c>
      <c r="AM120" s="666">
        <f>IFERROR(IF(AND(AT120="",AR120&lt;&gt;S.CAL!$BJ$3,AR120&lt;&gt;S.CAL!$BJ$4,$AR$95="NON"),M120-BD120,IF(AND(AT120="",AR120&lt;&gt;S.CAL!$BJ$3,AR120&lt;&gt;S.CAL!$BJ$4,$AR$95="OUI"),X120-AI120,IF(AT120&lt;&gt;0,AT120,IF(OR(AR120=S.CAL!$BJ$3,AR120=S.CAL!$BJ$4),AR120,"")))),"")</f>
        <v>0</v>
      </c>
      <c r="AN120" s="1093"/>
      <c r="AO120" s="1094"/>
      <c r="AP120" s="666">
        <f>+IF(AND(AU120="",BB120="OUI",BH120="non",BI120="OUI"),AM120,IF(AND(AU120="",BB120="OUI",BH120="oui",BI120="NON"),AM120,IF(AND(AU120="",BB120="NON",BH120="oui",BI120="NON"),M120,IF(AND(AU120="",BB120="NON",BH120="non",BI120="OUI"),M120,IF(AND(AU120="",BB120="OUI",BH120="non",BI120="NON"),"ERREUR",IF(AND(AU120="",BB120="NON",BH120="non",BI120="NON"),AM120,IF(AND(AU120="",BB120="OUI",BH120="",BI120=""),AM120,IF(AND(AU120="",BB120="NON",BH120="",BI120="",AZ120="NON"),M120,IF(AND(AU120="",BH120="",AZ120="OUI",AR120=""),AM120,IF(AND(AU120="",BH120="",AZ120="NON",AR120="",AT120=""),M120,IF(AND(OR(AR120=S.CAL!$BJ$3,AR120=S.CAL!$BJ$4),(VLOOKUP($AM$95,base_nbre_sem_mensu,2,FALSE)=52)),EE120,IF(AND(OR(AR120=S.CAL!$BJ$3,AR120=S.CAL!$BJ$4),(VLOOKUP($AM$95,base_nbre_sem_mensu,2,FALSE)&lt;52)),AM120,IF(AND(AT120&lt;&gt;"",AU120=""),AT120,AU120)))))))))))))</f>
        <v>0</v>
      </c>
      <c r="AQ120" s="498">
        <f t="shared" si="230"/>
        <v>0</v>
      </c>
      <c r="AR120" s="1098"/>
      <c r="AT120" s="1101"/>
      <c r="AU120" s="813"/>
      <c r="AV120" s="1370">
        <f t="shared" si="211"/>
        <v>46100</v>
      </c>
      <c r="AX120" s="511">
        <f t="shared" si="231"/>
        <v>46100</v>
      </c>
      <c r="AY120" s="523">
        <f t="shared" si="232"/>
        <v>0</v>
      </c>
      <c r="AZ120" s="520" t="s">
        <v>137</v>
      </c>
      <c r="BA120" s="516">
        <f t="shared" si="233"/>
        <v>0</v>
      </c>
      <c r="BB120" s="549" t="str">
        <f t="shared" si="212"/>
        <v/>
      </c>
      <c r="BC120" s="523">
        <f t="shared" si="234"/>
        <v>0</v>
      </c>
      <c r="BD120" s="523">
        <f t="shared" si="235"/>
        <v>0</v>
      </c>
      <c r="BE120" s="1104"/>
      <c r="BF120" s="514" t="str">
        <f t="shared" si="213"/>
        <v/>
      </c>
      <c r="BG120" s="514" t="str">
        <f t="shared" si="236"/>
        <v>oui</v>
      </c>
      <c r="BH120" s="377" t="str">
        <f t="shared" si="214"/>
        <v/>
      </c>
      <c r="BI120" s="24" t="str">
        <f t="shared" si="215"/>
        <v/>
      </c>
      <c r="BJ120" s="1381"/>
      <c r="BK120" s="1381"/>
      <c r="BL120" s="1381"/>
      <c r="BM120" s="1381"/>
      <c r="BN120" s="1381"/>
      <c r="BO120" s="1381"/>
      <c r="BP120" s="1381"/>
      <c r="BQ120" s="1381"/>
      <c r="BS120" s="1370">
        <f t="shared" si="182"/>
        <v>46100</v>
      </c>
      <c r="BT120" s="27" t="str">
        <f t="shared" si="244"/>
        <v/>
      </c>
      <c r="BU120" s="1380"/>
      <c r="BV120" s="1380"/>
      <c r="BW120" s="1380"/>
      <c r="BX120" s="1380"/>
      <c r="BY120" s="1380"/>
      <c r="BZ120" s="1380"/>
      <c r="CA120" s="1380"/>
      <c r="CB120" s="1380"/>
      <c r="CD120" s="1386">
        <f t="shared" si="237"/>
        <v>0</v>
      </c>
      <c r="DC120" s="16" t="str">
        <f>Mars!FC38</f>
        <v>non</v>
      </c>
      <c r="DG120" s="315">
        <f t="shared" si="238"/>
        <v>1</v>
      </c>
      <c r="DH120" s="129">
        <f t="shared" si="216"/>
        <v>10</v>
      </c>
      <c r="DI120" s="129">
        <f t="shared" si="239"/>
        <v>1</v>
      </c>
      <c r="DK120" s="16">
        <f>+IF(AND(Mars!$DP$8&lt;&gt;52,AR120=S.CAL!$BJ$4),10,1)</f>
        <v>1</v>
      </c>
      <c r="DN120" s="16">
        <f t="shared" si="217"/>
        <v>1</v>
      </c>
      <c r="DU120" s="1274" t="str">
        <f t="shared" si="240"/>
        <v>Fiche infoA446100</v>
      </c>
      <c r="DV120" s="1362">
        <f t="shared" si="218"/>
        <v>0</v>
      </c>
      <c r="DW120" s="1363">
        <f t="shared" si="219"/>
        <v>0</v>
      </c>
      <c r="DX120" s="1363">
        <f t="shared" si="220"/>
        <v>0</v>
      </c>
      <c r="DY120" s="1363">
        <f t="shared" si="221"/>
        <v>0</v>
      </c>
      <c r="DZ120" s="1363">
        <f t="shared" si="222"/>
        <v>0</v>
      </c>
      <c r="EA120" s="1363">
        <f t="shared" si="223"/>
        <v>0</v>
      </c>
      <c r="EB120" s="1363">
        <f t="shared" si="224"/>
        <v>0</v>
      </c>
      <c r="EC120" s="1363">
        <f t="shared" si="225"/>
        <v>0</v>
      </c>
      <c r="ED120" s="1363">
        <f t="shared" si="241"/>
        <v>0</v>
      </c>
      <c r="EE120" s="1364">
        <f t="shared" si="242"/>
        <v>0</v>
      </c>
      <c r="EG120" s="16" t="str">
        <f t="shared" si="243"/>
        <v>122026</v>
      </c>
      <c r="EH120" s="16" t="str">
        <f t="shared" si="226"/>
        <v>Fiche infoA4</v>
      </c>
      <c r="EI120" s="16" t="str">
        <f t="shared" si="227"/>
        <v/>
      </c>
    </row>
    <row r="121" spans="1:139" x14ac:dyDescent="0.2">
      <c r="A121" s="1373" t="str">
        <f>Mars!BJ39</f>
        <v>Fiche infoA5</v>
      </c>
      <c r="B121" s="811">
        <f>Mars!AB39</f>
        <v>46101</v>
      </c>
      <c r="C121" s="1372"/>
      <c r="D121" s="981">
        <f t="shared" si="183"/>
        <v>0</v>
      </c>
      <c r="E121" s="434">
        <f t="shared" si="184"/>
        <v>0</v>
      </c>
      <c r="F121" s="434">
        <f t="shared" si="185"/>
        <v>0</v>
      </c>
      <c r="G121" s="434">
        <f t="shared" si="186"/>
        <v>0</v>
      </c>
      <c r="H121" s="434">
        <f t="shared" si="187"/>
        <v>0</v>
      </c>
      <c r="I121" s="434">
        <f t="shared" si="188"/>
        <v>0</v>
      </c>
      <c r="J121" s="434">
        <f t="shared" si="189"/>
        <v>0</v>
      </c>
      <c r="K121" s="434">
        <f t="shared" si="190"/>
        <v>0</v>
      </c>
      <c r="L121" s="434">
        <f t="shared" si="228"/>
        <v>0</v>
      </c>
      <c r="M121" s="982">
        <f t="shared" si="229"/>
        <v>0</v>
      </c>
      <c r="N121" s="1374"/>
      <c r="O121" s="981">
        <f t="shared" si="245"/>
        <v>0</v>
      </c>
      <c r="P121" s="434">
        <f t="shared" si="246"/>
        <v>0</v>
      </c>
      <c r="Q121" s="434">
        <f t="shared" si="247"/>
        <v>0</v>
      </c>
      <c r="R121" s="434">
        <f t="shared" si="248"/>
        <v>0</v>
      </c>
      <c r="S121" s="434">
        <f t="shared" si="249"/>
        <v>0</v>
      </c>
      <c r="T121" s="434">
        <f t="shared" si="250"/>
        <v>0</v>
      </c>
      <c r="U121" s="434">
        <f t="shared" si="251"/>
        <v>0</v>
      </c>
      <c r="V121" s="434">
        <f t="shared" si="252"/>
        <v>0</v>
      </c>
      <c r="W121" s="434">
        <f t="shared" si="199"/>
        <v>0</v>
      </c>
      <c r="X121" s="982">
        <f t="shared" si="200"/>
        <v>0</v>
      </c>
      <c r="Y121" s="1375"/>
      <c r="Z121" s="1376">
        <f t="shared" si="201"/>
        <v>0</v>
      </c>
      <c r="AA121" s="1376">
        <f t="shared" si="202"/>
        <v>0</v>
      </c>
      <c r="AB121" s="1376">
        <f t="shared" si="203"/>
        <v>0</v>
      </c>
      <c r="AC121" s="1376">
        <f t="shared" si="204"/>
        <v>0</v>
      </c>
      <c r="AD121" s="1376">
        <f t="shared" si="205"/>
        <v>0</v>
      </c>
      <c r="AE121" s="1376">
        <f t="shared" si="206"/>
        <v>0</v>
      </c>
      <c r="AF121" s="1376">
        <f t="shared" si="207"/>
        <v>0</v>
      </c>
      <c r="AG121" s="1376">
        <f t="shared" si="208"/>
        <v>0</v>
      </c>
      <c r="AH121" s="1374"/>
      <c r="AI121" s="444">
        <f t="shared" si="253"/>
        <v>0</v>
      </c>
      <c r="AJ121" s="1090"/>
      <c r="AK121" s="1377"/>
      <c r="AL121" s="811">
        <f t="shared" si="210"/>
        <v>46101</v>
      </c>
      <c r="AM121" s="666">
        <f>IFERROR(IF(AND(AT121="",AR121&lt;&gt;S.CAL!$BJ$3,AR121&lt;&gt;S.CAL!$BJ$4,$AR$95="NON"),M121-BD121,IF(AND(AT121="",AR121&lt;&gt;S.CAL!$BJ$3,AR121&lt;&gt;S.CAL!$BJ$4,$AR$95="OUI"),X121-AI121,IF(AT121&lt;&gt;0,AT121,IF(OR(AR121=S.CAL!$BJ$3,AR121=S.CAL!$BJ$4),AR121,"")))),"")</f>
        <v>0</v>
      </c>
      <c r="AN121" s="1093"/>
      <c r="AO121" s="1094"/>
      <c r="AP121" s="666">
        <f>+IF(AND(AU121="",BB121="OUI",BH121="non",BI121="OUI"),AM121,IF(AND(AU121="",BB121="OUI",BH121="oui",BI121="NON"),AM121,IF(AND(AU121="",BB121="NON",BH121="oui",BI121="NON"),M121,IF(AND(AU121="",BB121="NON",BH121="non",BI121="OUI"),M121,IF(AND(AU121="",BB121="OUI",BH121="non",BI121="NON"),"ERREUR",IF(AND(AU121="",BB121="NON",BH121="non",BI121="NON"),AM121,IF(AND(AU121="",BB121="OUI",BH121="",BI121=""),AM121,IF(AND(AU121="",BB121="NON",BH121="",BI121="",AZ121="NON"),M121,IF(AND(AU121="",BH121="",AZ121="OUI",AR121=""),AM121,IF(AND(AU121="",BH121="",AZ121="NON",AR121="",AT121=""),M121,IF(AND(OR(AR121=S.CAL!$BJ$3,AR121=S.CAL!$BJ$4),(VLOOKUP($AM$95,base_nbre_sem_mensu,2,FALSE)=52)),EE121,IF(AND(OR(AR121=S.CAL!$BJ$3,AR121=S.CAL!$BJ$4),(VLOOKUP($AM$95,base_nbre_sem_mensu,2,FALSE)&lt;52)),AM121,IF(AND(AT121&lt;&gt;"",AU121=""),AT121,AU121)))))))))))))</f>
        <v>0</v>
      </c>
      <c r="AQ121" s="1378">
        <f t="shared" si="230"/>
        <v>0</v>
      </c>
      <c r="AR121" s="1098"/>
      <c r="AS121" s="1374"/>
      <c r="AT121" s="1101"/>
      <c r="AU121" s="813"/>
      <c r="AV121" s="1370">
        <f t="shared" si="211"/>
        <v>46101</v>
      </c>
      <c r="AW121" s="1374"/>
      <c r="AX121" s="511">
        <f t="shared" si="231"/>
        <v>46101</v>
      </c>
      <c r="AY121" s="523">
        <f t="shared" si="232"/>
        <v>0</v>
      </c>
      <c r="AZ121" s="520" t="s">
        <v>137</v>
      </c>
      <c r="BA121" s="516">
        <f t="shared" si="233"/>
        <v>0</v>
      </c>
      <c r="BB121" s="549" t="str">
        <f t="shared" si="212"/>
        <v/>
      </c>
      <c r="BC121" s="523">
        <f t="shared" si="234"/>
        <v>0</v>
      </c>
      <c r="BD121" s="523">
        <f t="shared" si="235"/>
        <v>0</v>
      </c>
      <c r="BE121" s="1104"/>
      <c r="BF121" s="514" t="str">
        <f t="shared" si="213"/>
        <v/>
      </c>
      <c r="BG121" s="514" t="str">
        <f t="shared" si="236"/>
        <v>oui</v>
      </c>
      <c r="BH121" s="377" t="str">
        <f t="shared" si="214"/>
        <v/>
      </c>
      <c r="BI121" s="24" t="str">
        <f t="shared" si="215"/>
        <v/>
      </c>
      <c r="BJ121" s="1382"/>
      <c r="BK121" s="1382"/>
      <c r="BL121" s="1382"/>
      <c r="BM121" s="1382"/>
      <c r="BN121" s="1382"/>
      <c r="BO121" s="1382"/>
      <c r="BP121" s="1382"/>
      <c r="BQ121" s="1382"/>
      <c r="BR121" s="1383"/>
      <c r="BS121" s="1370">
        <f t="shared" si="182"/>
        <v>46101</v>
      </c>
      <c r="BT121" s="1384" t="str">
        <f t="shared" si="244"/>
        <v/>
      </c>
      <c r="BU121" s="1382"/>
      <c r="BV121" s="1382"/>
      <c r="BW121" s="1382"/>
      <c r="BX121" s="1382"/>
      <c r="BY121" s="1382"/>
      <c r="BZ121" s="1382"/>
      <c r="CA121" s="1382"/>
      <c r="CB121" s="1382"/>
      <c r="CD121" s="1386">
        <f t="shared" si="237"/>
        <v>0</v>
      </c>
      <c r="DC121" s="16" t="str">
        <f>Mars!FC39</f>
        <v>non</v>
      </c>
      <c r="DG121" s="315">
        <f t="shared" si="238"/>
        <v>1</v>
      </c>
      <c r="DH121" s="129">
        <f t="shared" si="216"/>
        <v>10</v>
      </c>
      <c r="DI121" s="129">
        <f t="shared" si="239"/>
        <v>1</v>
      </c>
      <c r="DK121" s="16">
        <f>+IF(AND(Mars!$DP$8&lt;&gt;52,AR121=S.CAL!$BJ$4),10,1)</f>
        <v>1</v>
      </c>
      <c r="DN121" s="16">
        <f t="shared" si="217"/>
        <v>1</v>
      </c>
      <c r="DU121" s="1274" t="str">
        <f t="shared" si="240"/>
        <v>Fiche infoA546101</v>
      </c>
      <c r="DV121" s="1362">
        <f t="shared" si="218"/>
        <v>0</v>
      </c>
      <c r="DW121" s="1363">
        <f t="shared" si="219"/>
        <v>0</v>
      </c>
      <c r="DX121" s="1363">
        <f t="shared" si="220"/>
        <v>0</v>
      </c>
      <c r="DY121" s="1363">
        <f t="shared" si="221"/>
        <v>0</v>
      </c>
      <c r="DZ121" s="1363">
        <f t="shared" si="222"/>
        <v>0</v>
      </c>
      <c r="EA121" s="1363">
        <f t="shared" si="223"/>
        <v>0</v>
      </c>
      <c r="EB121" s="1363">
        <f t="shared" si="224"/>
        <v>0</v>
      </c>
      <c r="EC121" s="1363">
        <f t="shared" si="225"/>
        <v>0</v>
      </c>
      <c r="ED121" s="1363">
        <f t="shared" si="241"/>
        <v>0</v>
      </c>
      <c r="EE121" s="1364">
        <f t="shared" si="242"/>
        <v>0</v>
      </c>
      <c r="EG121" s="16" t="str">
        <f t="shared" si="243"/>
        <v>122026</v>
      </c>
      <c r="EH121" s="16" t="str">
        <f t="shared" si="226"/>
        <v>Fiche infoA5</v>
      </c>
      <c r="EI121" s="16" t="str">
        <f t="shared" si="227"/>
        <v/>
      </c>
    </row>
    <row r="122" spans="1:139" x14ac:dyDescent="0.2">
      <c r="A122" s="24" t="str">
        <f>Mars!BJ40</f>
        <v>Fiche infoA6</v>
      </c>
      <c r="B122" s="811">
        <f>Mars!AB40</f>
        <v>46102</v>
      </c>
      <c r="C122" s="1371"/>
      <c r="D122" s="981">
        <f t="shared" si="183"/>
        <v>0</v>
      </c>
      <c r="E122" s="434">
        <f t="shared" si="184"/>
        <v>0</v>
      </c>
      <c r="F122" s="434">
        <f t="shared" si="185"/>
        <v>0</v>
      </c>
      <c r="G122" s="434">
        <f t="shared" si="186"/>
        <v>0</v>
      </c>
      <c r="H122" s="434">
        <f t="shared" si="187"/>
        <v>0</v>
      </c>
      <c r="I122" s="434">
        <f t="shared" si="188"/>
        <v>0</v>
      </c>
      <c r="J122" s="434">
        <f t="shared" si="189"/>
        <v>0</v>
      </c>
      <c r="K122" s="434">
        <f t="shared" si="190"/>
        <v>0</v>
      </c>
      <c r="L122" s="434">
        <f t="shared" si="228"/>
        <v>0</v>
      </c>
      <c r="M122" s="982">
        <f t="shared" si="229"/>
        <v>0</v>
      </c>
      <c r="O122" s="981">
        <f t="shared" si="245"/>
        <v>0</v>
      </c>
      <c r="P122" s="434">
        <f t="shared" si="246"/>
        <v>0</v>
      </c>
      <c r="Q122" s="434">
        <f t="shared" si="247"/>
        <v>0</v>
      </c>
      <c r="R122" s="434">
        <f t="shared" si="248"/>
        <v>0</v>
      </c>
      <c r="S122" s="434">
        <f t="shared" si="249"/>
        <v>0</v>
      </c>
      <c r="T122" s="434">
        <f t="shared" si="250"/>
        <v>0</v>
      </c>
      <c r="U122" s="434">
        <f t="shared" si="251"/>
        <v>0</v>
      </c>
      <c r="V122" s="434">
        <f t="shared" si="252"/>
        <v>0</v>
      </c>
      <c r="W122" s="434">
        <f t="shared" si="199"/>
        <v>0</v>
      </c>
      <c r="X122" s="982">
        <f t="shared" si="200"/>
        <v>0</v>
      </c>
      <c r="Y122" s="441"/>
      <c r="Z122" s="277">
        <f t="shared" si="201"/>
        <v>0</v>
      </c>
      <c r="AA122" s="277">
        <f t="shared" si="202"/>
        <v>0</v>
      </c>
      <c r="AB122" s="277">
        <f t="shared" si="203"/>
        <v>0</v>
      </c>
      <c r="AC122" s="277">
        <f t="shared" si="204"/>
        <v>0</v>
      </c>
      <c r="AD122" s="277">
        <f t="shared" si="205"/>
        <v>0</v>
      </c>
      <c r="AE122" s="277">
        <f t="shared" si="206"/>
        <v>0</v>
      </c>
      <c r="AF122" s="277">
        <f t="shared" si="207"/>
        <v>0</v>
      </c>
      <c r="AG122" s="277">
        <f t="shared" si="208"/>
        <v>0</v>
      </c>
      <c r="AI122" s="444">
        <f t="shared" si="253"/>
        <v>0</v>
      </c>
      <c r="AJ122" s="1090"/>
      <c r="AK122" s="489"/>
      <c r="AL122" s="811">
        <f t="shared" si="210"/>
        <v>46102</v>
      </c>
      <c r="AM122" s="666">
        <f>IFERROR(IF(AND(AT122="",AR122&lt;&gt;S.CAL!$BJ$3,AR122&lt;&gt;S.CAL!$BJ$4,$AR$95="NON"),M122-BD122,IF(AND(AT122="",AR122&lt;&gt;S.CAL!$BJ$3,AR122&lt;&gt;S.CAL!$BJ$4,$AR$95="OUI"),X122-AI122,IF(AT122&lt;&gt;0,AT122,IF(OR(AR122=S.CAL!$BJ$3,AR122=S.CAL!$BJ$4),AR122,"")))),"")</f>
        <v>0</v>
      </c>
      <c r="AN122" s="1093"/>
      <c r="AO122" s="1094"/>
      <c r="AP122" s="666">
        <f>+IF(AND(AU122="",BB122="OUI",BH122="non",BI122="OUI"),AM122,IF(AND(AU122="",BB122="OUI",BH122="oui",BI122="NON"),AM122,IF(AND(AU122="",BB122="NON",BH122="oui",BI122="NON"),M122,IF(AND(AU122="",BB122="NON",BH122="non",BI122="OUI"),M122,IF(AND(AU122="",BB122="OUI",BH122="non",BI122="NON"),"ERREUR",IF(AND(AU122="",BB122="NON",BH122="non",BI122="NON"),AM122,IF(AND(AU122="",BB122="OUI",BH122="",BI122=""),AM122,IF(AND(AU122="",BB122="NON",BH122="",BI122="",AZ122="NON"),M122,IF(AND(AU122="",BH122="",AZ122="OUI",AR122=""),AM122,IF(AND(AU122="",BH122="",AZ122="NON",AR122="",AT122=""),M122,IF(AND(OR(AR122=S.CAL!$BJ$3,AR122=S.CAL!$BJ$4),(VLOOKUP($AM$95,base_nbre_sem_mensu,2,FALSE)=52)),EE122,IF(AND(OR(AR122=S.CAL!$BJ$3,AR122=S.CAL!$BJ$4),(VLOOKUP($AM$95,base_nbre_sem_mensu,2,FALSE)&lt;52)),AM122,IF(AND(AT122&lt;&gt;"",AU122=""),AT122,AU122)))))))))))))</f>
        <v>0</v>
      </c>
      <c r="AQ122" s="498">
        <f t="shared" si="230"/>
        <v>0</v>
      </c>
      <c r="AR122" s="1098"/>
      <c r="AT122" s="1101"/>
      <c r="AU122" s="813"/>
      <c r="AV122" s="1370">
        <f t="shared" si="211"/>
        <v>46102</v>
      </c>
      <c r="AX122" s="511">
        <f t="shared" si="231"/>
        <v>46102</v>
      </c>
      <c r="AY122" s="523">
        <f t="shared" si="232"/>
        <v>0</v>
      </c>
      <c r="AZ122" s="520" t="s">
        <v>137</v>
      </c>
      <c r="BA122" s="516">
        <f t="shared" si="233"/>
        <v>0</v>
      </c>
      <c r="BB122" s="549" t="str">
        <f t="shared" si="212"/>
        <v/>
      </c>
      <c r="BC122" s="523">
        <f t="shared" si="234"/>
        <v>0</v>
      </c>
      <c r="BD122" s="523">
        <f t="shared" si="235"/>
        <v>0</v>
      </c>
      <c r="BE122" s="1104"/>
      <c r="BF122" s="514" t="str">
        <f t="shared" si="213"/>
        <v/>
      </c>
      <c r="BG122" s="514" t="str">
        <f t="shared" si="236"/>
        <v>oui</v>
      </c>
      <c r="BH122" s="377" t="str">
        <f t="shared" si="214"/>
        <v/>
      </c>
      <c r="BI122" s="24" t="str">
        <f t="shared" si="215"/>
        <v/>
      </c>
      <c r="BJ122" s="1381"/>
      <c r="BK122" s="1381"/>
      <c r="BL122" s="1381"/>
      <c r="BM122" s="1381"/>
      <c r="BN122" s="1381"/>
      <c r="BO122" s="1381"/>
      <c r="BP122" s="1381"/>
      <c r="BQ122" s="1381"/>
      <c r="BS122" s="1370">
        <f t="shared" si="182"/>
        <v>46102</v>
      </c>
      <c r="BT122" s="27" t="str">
        <f t="shared" si="244"/>
        <v/>
      </c>
      <c r="BU122" s="1380"/>
      <c r="BV122" s="1380"/>
      <c r="BW122" s="1380"/>
      <c r="BX122" s="1380"/>
      <c r="BY122" s="1380"/>
      <c r="BZ122" s="1380"/>
      <c r="CA122" s="1380"/>
      <c r="CB122" s="1380"/>
      <c r="CD122" s="1386">
        <f t="shared" si="237"/>
        <v>0</v>
      </c>
      <c r="DC122" s="16" t="str">
        <f>Mars!FC40</f>
        <v>non</v>
      </c>
      <c r="DG122" s="315">
        <f t="shared" si="238"/>
        <v>1</v>
      </c>
      <c r="DH122" s="129">
        <f t="shared" si="216"/>
        <v>10</v>
      </c>
      <c r="DI122" s="129">
        <f t="shared" si="239"/>
        <v>1</v>
      </c>
      <c r="DK122" s="16">
        <f>+IF(AND(Mars!$DP$8&lt;&gt;52,AR122=S.CAL!$BJ$4),10,1)</f>
        <v>1</v>
      </c>
      <c r="DN122" s="16">
        <f t="shared" si="217"/>
        <v>1</v>
      </c>
      <c r="DU122" s="1274" t="str">
        <f t="shared" si="240"/>
        <v>Fiche infoA646102</v>
      </c>
      <c r="DV122" s="1362">
        <f t="shared" si="218"/>
        <v>0</v>
      </c>
      <c r="DW122" s="1363">
        <f t="shared" si="219"/>
        <v>0</v>
      </c>
      <c r="DX122" s="1363">
        <f t="shared" si="220"/>
        <v>0</v>
      </c>
      <c r="DY122" s="1363">
        <f t="shared" si="221"/>
        <v>0</v>
      </c>
      <c r="DZ122" s="1363">
        <f t="shared" si="222"/>
        <v>0</v>
      </c>
      <c r="EA122" s="1363">
        <f t="shared" si="223"/>
        <v>0</v>
      </c>
      <c r="EB122" s="1363">
        <f t="shared" si="224"/>
        <v>0</v>
      </c>
      <c r="EC122" s="1363">
        <f t="shared" si="225"/>
        <v>0</v>
      </c>
      <c r="ED122" s="1363">
        <f t="shared" si="241"/>
        <v>0</v>
      </c>
      <c r="EE122" s="1364">
        <f t="shared" si="242"/>
        <v>0</v>
      </c>
      <c r="EG122" s="16" t="str">
        <f t="shared" si="243"/>
        <v>122026</v>
      </c>
      <c r="EH122" s="16" t="str">
        <f t="shared" si="226"/>
        <v>Fiche infoA6</v>
      </c>
      <c r="EI122" s="16" t="str">
        <f t="shared" si="227"/>
        <v/>
      </c>
    </row>
    <row r="123" spans="1:139" x14ac:dyDescent="0.2">
      <c r="A123" s="1373" t="str">
        <f>Mars!BJ41</f>
        <v>Fiche infoA7</v>
      </c>
      <c r="B123" s="811">
        <f>Mars!AB41</f>
        <v>46103</v>
      </c>
      <c r="C123" s="1372"/>
      <c r="D123" s="981">
        <f t="shared" si="183"/>
        <v>0</v>
      </c>
      <c r="E123" s="434">
        <f t="shared" si="184"/>
        <v>0</v>
      </c>
      <c r="F123" s="434">
        <f t="shared" si="185"/>
        <v>0</v>
      </c>
      <c r="G123" s="434">
        <f t="shared" si="186"/>
        <v>0</v>
      </c>
      <c r="H123" s="434">
        <f t="shared" si="187"/>
        <v>0</v>
      </c>
      <c r="I123" s="434">
        <f t="shared" si="188"/>
        <v>0</v>
      </c>
      <c r="J123" s="434">
        <f t="shared" si="189"/>
        <v>0</v>
      </c>
      <c r="K123" s="434">
        <f t="shared" si="190"/>
        <v>0</v>
      </c>
      <c r="L123" s="434">
        <f t="shared" si="228"/>
        <v>0</v>
      </c>
      <c r="M123" s="982">
        <f t="shared" si="229"/>
        <v>0</v>
      </c>
      <c r="N123" s="1374"/>
      <c r="O123" s="981">
        <f t="shared" si="245"/>
        <v>0</v>
      </c>
      <c r="P123" s="434">
        <f t="shared" si="246"/>
        <v>0</v>
      </c>
      <c r="Q123" s="434">
        <f t="shared" si="247"/>
        <v>0</v>
      </c>
      <c r="R123" s="434">
        <f t="shared" si="248"/>
        <v>0</v>
      </c>
      <c r="S123" s="434">
        <f t="shared" si="249"/>
        <v>0</v>
      </c>
      <c r="T123" s="434">
        <f t="shared" si="250"/>
        <v>0</v>
      </c>
      <c r="U123" s="434">
        <f t="shared" si="251"/>
        <v>0</v>
      </c>
      <c r="V123" s="434">
        <f t="shared" si="252"/>
        <v>0</v>
      </c>
      <c r="W123" s="434">
        <f t="shared" si="199"/>
        <v>0</v>
      </c>
      <c r="X123" s="982">
        <f t="shared" si="200"/>
        <v>0</v>
      </c>
      <c r="Y123" s="1375"/>
      <c r="Z123" s="1376">
        <f t="shared" si="201"/>
        <v>0</v>
      </c>
      <c r="AA123" s="1376">
        <f t="shared" si="202"/>
        <v>0</v>
      </c>
      <c r="AB123" s="1376">
        <f t="shared" si="203"/>
        <v>0</v>
      </c>
      <c r="AC123" s="1376">
        <f t="shared" si="204"/>
        <v>0</v>
      </c>
      <c r="AD123" s="1376">
        <f t="shared" si="205"/>
        <v>0</v>
      </c>
      <c r="AE123" s="1376">
        <f t="shared" si="206"/>
        <v>0</v>
      </c>
      <c r="AF123" s="1376">
        <f t="shared" si="207"/>
        <v>0</v>
      </c>
      <c r="AG123" s="1376">
        <f t="shared" si="208"/>
        <v>0</v>
      </c>
      <c r="AH123" s="1374"/>
      <c r="AI123" s="444">
        <f t="shared" si="253"/>
        <v>0</v>
      </c>
      <c r="AJ123" s="1090"/>
      <c r="AK123" s="1377"/>
      <c r="AL123" s="811">
        <f t="shared" si="210"/>
        <v>46103</v>
      </c>
      <c r="AM123" s="666">
        <f>IFERROR(IF(AND(AT123="",AR123&lt;&gt;S.CAL!$BJ$3,AR123&lt;&gt;S.CAL!$BJ$4,$AR$95="NON"),M123-BD123,IF(AND(AT123="",AR123&lt;&gt;S.CAL!$BJ$3,AR123&lt;&gt;S.CAL!$BJ$4,$AR$95="OUI"),X123-AI123,IF(AT123&lt;&gt;0,AT123,IF(OR(AR123=S.CAL!$BJ$3,AR123=S.CAL!$BJ$4),AR123,"")))),"")</f>
        <v>0</v>
      </c>
      <c r="AN123" s="1093"/>
      <c r="AO123" s="1094"/>
      <c r="AP123" s="666">
        <f>+IF(AND(AU123="",BB123="OUI",BH123="non",BI123="OUI"),AM123,IF(AND(AU123="",BB123="OUI",BH123="oui",BI123="NON"),AM123,IF(AND(AU123="",BB123="NON",BH123="oui",BI123="NON"),M123,IF(AND(AU123="",BB123="NON",BH123="non",BI123="OUI"),M123,IF(AND(AU123="",BB123="OUI",BH123="non",BI123="NON"),"ERREUR",IF(AND(AU123="",BB123="NON",BH123="non",BI123="NON"),AM123,IF(AND(AU123="",BB123="OUI",BH123="",BI123=""),AM123,IF(AND(AU123="",BB123="NON",BH123="",BI123="",AZ123="NON"),M123,IF(AND(AU123="",BH123="",AZ123="OUI",AR123=""),AM123,IF(AND(AU123="",BH123="",AZ123="NON",AR123="",AT123=""),M123,IF(AND(OR(AR123=S.CAL!$BJ$3,AR123=S.CAL!$BJ$4),(VLOOKUP($AM$95,base_nbre_sem_mensu,2,FALSE)=52)),EE123,IF(AND(OR(AR123=S.CAL!$BJ$3,AR123=S.CAL!$BJ$4),(VLOOKUP($AM$95,base_nbre_sem_mensu,2,FALSE)&lt;52)),AM123,IF(AND(AT123&lt;&gt;"",AU123=""),AT123,AU123)))))))))))))</f>
        <v>0</v>
      </c>
      <c r="AQ123" s="1378">
        <f t="shared" si="230"/>
        <v>0</v>
      </c>
      <c r="AR123" s="1098"/>
      <c r="AS123" s="1374"/>
      <c r="AT123" s="1101"/>
      <c r="AU123" s="813"/>
      <c r="AV123" s="1370">
        <f t="shared" si="211"/>
        <v>46103</v>
      </c>
      <c r="AW123" s="1374"/>
      <c r="AX123" s="511">
        <f t="shared" si="231"/>
        <v>46103</v>
      </c>
      <c r="AY123" s="523">
        <f t="shared" si="232"/>
        <v>0</v>
      </c>
      <c r="AZ123" s="520" t="s">
        <v>137</v>
      </c>
      <c r="BA123" s="516">
        <f t="shared" si="233"/>
        <v>0</v>
      </c>
      <c r="BB123" s="549" t="str">
        <f t="shared" si="212"/>
        <v/>
      </c>
      <c r="BC123" s="523">
        <f t="shared" si="234"/>
        <v>0</v>
      </c>
      <c r="BD123" s="523">
        <f t="shared" si="235"/>
        <v>0</v>
      </c>
      <c r="BE123" s="1104"/>
      <c r="BF123" s="514" t="str">
        <f t="shared" si="213"/>
        <v/>
      </c>
      <c r="BG123" s="514" t="str">
        <f t="shared" si="236"/>
        <v>oui</v>
      </c>
      <c r="BH123" s="377" t="str">
        <f t="shared" si="214"/>
        <v/>
      </c>
      <c r="BI123" s="24" t="str">
        <f t="shared" si="215"/>
        <v/>
      </c>
      <c r="BJ123" s="1382"/>
      <c r="BK123" s="1382"/>
      <c r="BL123" s="1382"/>
      <c r="BM123" s="1382"/>
      <c r="BN123" s="1382"/>
      <c r="BO123" s="1382"/>
      <c r="BP123" s="1382"/>
      <c r="BQ123" s="1382"/>
      <c r="BR123" s="1383"/>
      <c r="BS123" s="1370">
        <f t="shared" si="182"/>
        <v>46103</v>
      </c>
      <c r="BT123" s="1384" t="str">
        <f t="shared" si="244"/>
        <v/>
      </c>
      <c r="BU123" s="1382"/>
      <c r="BV123" s="1382"/>
      <c r="BW123" s="1382"/>
      <c r="BX123" s="1382"/>
      <c r="BY123" s="1382"/>
      <c r="BZ123" s="1382"/>
      <c r="CA123" s="1382"/>
      <c r="CB123" s="1382"/>
      <c r="CD123" s="1386">
        <f t="shared" si="237"/>
        <v>0</v>
      </c>
      <c r="DC123" s="16" t="str">
        <f>Mars!FC41</f>
        <v>non</v>
      </c>
      <c r="DG123" s="315">
        <f t="shared" si="238"/>
        <v>1</v>
      </c>
      <c r="DH123" s="129">
        <f t="shared" si="216"/>
        <v>10</v>
      </c>
      <c r="DI123" s="129">
        <f t="shared" si="239"/>
        <v>1</v>
      </c>
      <c r="DK123" s="16">
        <f>+IF(AND(Mars!$DP$8&lt;&gt;52,AR123=S.CAL!$BJ$4),10,1)</f>
        <v>1</v>
      </c>
      <c r="DN123" s="16">
        <f t="shared" si="217"/>
        <v>1</v>
      </c>
      <c r="DU123" s="1274" t="str">
        <f t="shared" si="240"/>
        <v>Fiche infoA746103</v>
      </c>
      <c r="DV123" s="1362">
        <f t="shared" si="218"/>
        <v>0</v>
      </c>
      <c r="DW123" s="1363">
        <f t="shared" si="219"/>
        <v>0</v>
      </c>
      <c r="DX123" s="1363">
        <f t="shared" si="220"/>
        <v>0</v>
      </c>
      <c r="DY123" s="1363">
        <f t="shared" si="221"/>
        <v>0</v>
      </c>
      <c r="DZ123" s="1363">
        <f t="shared" si="222"/>
        <v>0</v>
      </c>
      <c r="EA123" s="1363">
        <f t="shared" si="223"/>
        <v>0</v>
      </c>
      <c r="EB123" s="1363">
        <f t="shared" si="224"/>
        <v>0</v>
      </c>
      <c r="EC123" s="1363">
        <f t="shared" si="225"/>
        <v>0</v>
      </c>
      <c r="ED123" s="1363">
        <f t="shared" si="241"/>
        <v>0</v>
      </c>
      <c r="EE123" s="1364">
        <f t="shared" si="242"/>
        <v>0</v>
      </c>
      <c r="EG123" s="16" t="str">
        <f t="shared" si="243"/>
        <v>122026</v>
      </c>
      <c r="EH123" s="16" t="str">
        <f t="shared" si="226"/>
        <v>Fiche infoA7</v>
      </c>
      <c r="EI123" s="16" t="str">
        <f t="shared" si="227"/>
        <v/>
      </c>
    </row>
    <row r="124" spans="1:139" x14ac:dyDescent="0.2">
      <c r="A124" s="24" t="str">
        <f>Mars!BJ42</f>
        <v>Fiche infoA1</v>
      </c>
      <c r="B124" s="811">
        <f>Mars!AB42</f>
        <v>46104</v>
      </c>
      <c r="C124" s="1371"/>
      <c r="D124" s="981">
        <f t="shared" si="183"/>
        <v>0</v>
      </c>
      <c r="E124" s="434">
        <f t="shared" si="184"/>
        <v>0</v>
      </c>
      <c r="F124" s="434">
        <f t="shared" si="185"/>
        <v>0</v>
      </c>
      <c r="G124" s="434">
        <f t="shared" si="186"/>
        <v>0</v>
      </c>
      <c r="H124" s="434">
        <f t="shared" si="187"/>
        <v>0</v>
      </c>
      <c r="I124" s="434">
        <f t="shared" si="188"/>
        <v>0</v>
      </c>
      <c r="J124" s="434">
        <f t="shared" si="189"/>
        <v>0</v>
      </c>
      <c r="K124" s="434">
        <f t="shared" si="190"/>
        <v>0</v>
      </c>
      <c r="L124" s="434">
        <f t="shared" si="228"/>
        <v>0</v>
      </c>
      <c r="M124" s="982">
        <f t="shared" si="229"/>
        <v>0</v>
      </c>
      <c r="O124" s="981">
        <f t="shared" si="245"/>
        <v>0</v>
      </c>
      <c r="P124" s="434">
        <f t="shared" si="246"/>
        <v>0</v>
      </c>
      <c r="Q124" s="434">
        <f t="shared" si="247"/>
        <v>0</v>
      </c>
      <c r="R124" s="434">
        <f t="shared" si="248"/>
        <v>0</v>
      </c>
      <c r="S124" s="434">
        <f t="shared" si="249"/>
        <v>0</v>
      </c>
      <c r="T124" s="434">
        <f t="shared" si="250"/>
        <v>0</v>
      </c>
      <c r="U124" s="434">
        <f t="shared" si="251"/>
        <v>0</v>
      </c>
      <c r="V124" s="434">
        <f t="shared" si="252"/>
        <v>0</v>
      </c>
      <c r="W124" s="434">
        <f t="shared" si="199"/>
        <v>0</v>
      </c>
      <c r="X124" s="982">
        <f t="shared" si="200"/>
        <v>0</v>
      </c>
      <c r="Y124" s="441"/>
      <c r="Z124" s="277">
        <f t="shared" si="201"/>
        <v>0</v>
      </c>
      <c r="AA124" s="277">
        <f t="shared" si="202"/>
        <v>0</v>
      </c>
      <c r="AB124" s="277">
        <f t="shared" si="203"/>
        <v>0</v>
      </c>
      <c r="AC124" s="277">
        <f t="shared" si="204"/>
        <v>0</v>
      </c>
      <c r="AD124" s="277">
        <f t="shared" si="205"/>
        <v>0</v>
      </c>
      <c r="AE124" s="277">
        <f t="shared" si="206"/>
        <v>0</v>
      </c>
      <c r="AF124" s="277">
        <f t="shared" si="207"/>
        <v>0</v>
      </c>
      <c r="AG124" s="277">
        <f t="shared" si="208"/>
        <v>0</v>
      </c>
      <c r="AI124" s="444">
        <f t="shared" si="253"/>
        <v>0</v>
      </c>
      <c r="AJ124" s="1090"/>
      <c r="AK124" s="489"/>
      <c r="AL124" s="811">
        <f t="shared" si="210"/>
        <v>46104</v>
      </c>
      <c r="AM124" s="666">
        <f>IFERROR(IF(AND(AT124="",AR124&lt;&gt;S.CAL!$BJ$3,AR124&lt;&gt;S.CAL!$BJ$4,$AR$95="NON"),M124-BD124,IF(AND(AT124="",AR124&lt;&gt;S.CAL!$BJ$3,AR124&lt;&gt;S.CAL!$BJ$4,$AR$95="OUI"),X124-AI124,IF(AT124&lt;&gt;0,AT124,IF(OR(AR124=S.CAL!$BJ$3,AR124=S.CAL!$BJ$4),AR124,"")))),"")</f>
        <v>0</v>
      </c>
      <c r="AN124" s="1093"/>
      <c r="AO124" s="1094"/>
      <c r="AP124" s="666">
        <f>+IF(AND(AU124="",BB124="OUI",BH124="non",BI124="OUI"),AM124,IF(AND(AU124="",BB124="OUI",BH124="oui",BI124="NON"),AM124,IF(AND(AU124="",BB124="NON",BH124="oui",BI124="NON"),M124,IF(AND(AU124="",BB124="NON",BH124="non",BI124="OUI"),M124,IF(AND(AU124="",BB124="OUI",BH124="non",BI124="NON"),"ERREUR",IF(AND(AU124="",BB124="NON",BH124="non",BI124="NON"),AM124,IF(AND(AU124="",BB124="OUI",BH124="",BI124=""),AM124,IF(AND(AU124="",BB124="NON",BH124="",BI124="",AZ124="NON"),M124,IF(AND(AU124="",BH124="",AZ124="OUI",AR124=""),AM124,IF(AND(AU124="",BH124="",AZ124="NON",AR124="",AT124=""),M124,IF(AND(OR(AR124=S.CAL!$BJ$3,AR124=S.CAL!$BJ$4),(VLOOKUP($AM$95,base_nbre_sem_mensu,2,FALSE)=52)),EE124,IF(AND(OR(AR124=S.CAL!$BJ$3,AR124=S.CAL!$BJ$4),(VLOOKUP($AM$95,base_nbre_sem_mensu,2,FALSE)&lt;52)),AM124,IF(AND(AT124&lt;&gt;"",AU124=""),AT124,AU124)))))))))))))</f>
        <v>0</v>
      </c>
      <c r="AQ124" s="498">
        <f t="shared" si="230"/>
        <v>0</v>
      </c>
      <c r="AR124" s="1098"/>
      <c r="AT124" s="1101"/>
      <c r="AU124" s="813"/>
      <c r="AV124" s="1370">
        <f t="shared" si="211"/>
        <v>46104</v>
      </c>
      <c r="AX124" s="511">
        <f t="shared" si="231"/>
        <v>46104</v>
      </c>
      <c r="AY124" s="523">
        <f t="shared" si="232"/>
        <v>0</v>
      </c>
      <c r="AZ124" s="520" t="s">
        <v>137</v>
      </c>
      <c r="BA124" s="516">
        <f t="shared" si="233"/>
        <v>0</v>
      </c>
      <c r="BB124" s="549" t="str">
        <f t="shared" si="212"/>
        <v/>
      </c>
      <c r="BC124" s="523">
        <f t="shared" si="234"/>
        <v>0</v>
      </c>
      <c r="BD124" s="523">
        <f t="shared" si="235"/>
        <v>0</v>
      </c>
      <c r="BE124" s="1104"/>
      <c r="BF124" s="514" t="str">
        <f t="shared" si="213"/>
        <v/>
      </c>
      <c r="BG124" s="514" t="str">
        <f t="shared" si="236"/>
        <v>oui</v>
      </c>
      <c r="BH124" s="377" t="str">
        <f t="shared" si="214"/>
        <v/>
      </c>
      <c r="BI124" s="24" t="str">
        <f t="shared" si="215"/>
        <v/>
      </c>
      <c r="BJ124" s="1381"/>
      <c r="BK124" s="1381"/>
      <c r="BL124" s="1381"/>
      <c r="BM124" s="1381"/>
      <c r="BN124" s="1381"/>
      <c r="BO124" s="1381"/>
      <c r="BP124" s="1381"/>
      <c r="BQ124" s="1381"/>
      <c r="BS124" s="1370">
        <f t="shared" si="182"/>
        <v>46104</v>
      </c>
      <c r="BT124" s="27">
        <f t="shared" si="244"/>
        <v>13</v>
      </c>
      <c r="BU124" s="1380"/>
      <c r="BV124" s="1380"/>
      <c r="BW124" s="1380"/>
      <c r="BX124" s="1380"/>
      <c r="BY124" s="1380"/>
      <c r="BZ124" s="1380"/>
      <c r="CA124" s="1380"/>
      <c r="CB124" s="1380"/>
      <c r="CD124" s="1386">
        <f t="shared" si="237"/>
        <v>0</v>
      </c>
      <c r="DC124" s="16" t="str">
        <f>Mars!FC42</f>
        <v>non</v>
      </c>
      <c r="DG124" s="315">
        <f t="shared" si="238"/>
        <v>1</v>
      </c>
      <c r="DH124" s="129">
        <f t="shared" si="216"/>
        <v>10</v>
      </c>
      <c r="DI124" s="129">
        <f t="shared" si="239"/>
        <v>1</v>
      </c>
      <c r="DK124" s="16">
        <f>+IF(AND(Mars!$DP$8&lt;&gt;52,AR124=S.CAL!$BJ$4),10,1)</f>
        <v>1</v>
      </c>
      <c r="DN124" s="16">
        <f t="shared" si="217"/>
        <v>1</v>
      </c>
      <c r="DU124" s="1274" t="str">
        <f t="shared" si="240"/>
        <v>Fiche infoA146104</v>
      </c>
      <c r="DV124" s="1362">
        <f t="shared" si="218"/>
        <v>0</v>
      </c>
      <c r="DW124" s="1363">
        <f t="shared" si="219"/>
        <v>0</v>
      </c>
      <c r="DX124" s="1363">
        <f t="shared" si="220"/>
        <v>0</v>
      </c>
      <c r="DY124" s="1363">
        <f t="shared" si="221"/>
        <v>0</v>
      </c>
      <c r="DZ124" s="1363">
        <f t="shared" si="222"/>
        <v>0</v>
      </c>
      <c r="EA124" s="1363">
        <f t="shared" si="223"/>
        <v>0</v>
      </c>
      <c r="EB124" s="1363">
        <f t="shared" si="224"/>
        <v>0</v>
      </c>
      <c r="EC124" s="1363">
        <f t="shared" si="225"/>
        <v>0</v>
      </c>
      <c r="ED124" s="1363">
        <f t="shared" si="241"/>
        <v>0</v>
      </c>
      <c r="EE124" s="1364">
        <f t="shared" si="242"/>
        <v>0</v>
      </c>
      <c r="EG124" s="16" t="str">
        <f t="shared" si="243"/>
        <v>132026</v>
      </c>
      <c r="EH124" s="16" t="str">
        <f t="shared" si="226"/>
        <v>Fiche infoA1</v>
      </c>
      <c r="EI124" s="16" t="str">
        <f t="shared" si="227"/>
        <v/>
      </c>
    </row>
    <row r="125" spans="1:139" x14ac:dyDescent="0.2">
      <c r="A125" s="1373" t="str">
        <f>Mars!BJ43</f>
        <v>Fiche infoA2</v>
      </c>
      <c r="B125" s="811">
        <f>Mars!AB43</f>
        <v>46105</v>
      </c>
      <c r="C125" s="1372"/>
      <c r="D125" s="981">
        <f t="shared" si="183"/>
        <v>0</v>
      </c>
      <c r="E125" s="434">
        <f t="shared" si="184"/>
        <v>0</v>
      </c>
      <c r="F125" s="434">
        <f t="shared" si="185"/>
        <v>0</v>
      </c>
      <c r="G125" s="434">
        <f t="shared" si="186"/>
        <v>0</v>
      </c>
      <c r="H125" s="434">
        <f t="shared" si="187"/>
        <v>0</v>
      </c>
      <c r="I125" s="434">
        <f t="shared" si="188"/>
        <v>0</v>
      </c>
      <c r="J125" s="434">
        <f t="shared" si="189"/>
        <v>0</v>
      </c>
      <c r="K125" s="434">
        <f t="shared" si="190"/>
        <v>0</v>
      </c>
      <c r="L125" s="434">
        <f t="shared" si="228"/>
        <v>0</v>
      </c>
      <c r="M125" s="982">
        <f t="shared" si="229"/>
        <v>0</v>
      </c>
      <c r="N125" s="1374"/>
      <c r="O125" s="981">
        <f t="shared" si="245"/>
        <v>0</v>
      </c>
      <c r="P125" s="434">
        <f t="shared" si="246"/>
        <v>0</v>
      </c>
      <c r="Q125" s="434">
        <f t="shared" si="247"/>
        <v>0</v>
      </c>
      <c r="R125" s="434">
        <f t="shared" si="248"/>
        <v>0</v>
      </c>
      <c r="S125" s="434">
        <f t="shared" si="249"/>
        <v>0</v>
      </c>
      <c r="T125" s="434">
        <f t="shared" si="250"/>
        <v>0</v>
      </c>
      <c r="U125" s="434">
        <f t="shared" si="251"/>
        <v>0</v>
      </c>
      <c r="V125" s="434">
        <f t="shared" si="252"/>
        <v>0</v>
      </c>
      <c r="W125" s="434">
        <f t="shared" si="199"/>
        <v>0</v>
      </c>
      <c r="X125" s="982">
        <f t="shared" si="200"/>
        <v>0</v>
      </c>
      <c r="Y125" s="1375"/>
      <c r="Z125" s="1376">
        <f t="shared" si="201"/>
        <v>0</v>
      </c>
      <c r="AA125" s="1376">
        <f t="shared" si="202"/>
        <v>0</v>
      </c>
      <c r="AB125" s="1376">
        <f t="shared" si="203"/>
        <v>0</v>
      </c>
      <c r="AC125" s="1376">
        <f t="shared" si="204"/>
        <v>0</v>
      </c>
      <c r="AD125" s="1376">
        <f t="shared" si="205"/>
        <v>0</v>
      </c>
      <c r="AE125" s="1376">
        <f t="shared" si="206"/>
        <v>0</v>
      </c>
      <c r="AF125" s="1376">
        <f t="shared" si="207"/>
        <v>0</v>
      </c>
      <c r="AG125" s="1376">
        <f t="shared" si="208"/>
        <v>0</v>
      </c>
      <c r="AH125" s="1374"/>
      <c r="AI125" s="444">
        <f t="shared" si="253"/>
        <v>0</v>
      </c>
      <c r="AJ125" s="1090"/>
      <c r="AK125" s="1377"/>
      <c r="AL125" s="811">
        <f t="shared" si="210"/>
        <v>46105</v>
      </c>
      <c r="AM125" s="666">
        <f>IFERROR(IF(AND(AT125="",AR125&lt;&gt;S.CAL!$BJ$3,AR125&lt;&gt;S.CAL!$BJ$4,$AR$95="NON"),M125-BD125,IF(AND(AT125="",AR125&lt;&gt;S.CAL!$BJ$3,AR125&lt;&gt;S.CAL!$BJ$4,$AR$95="OUI"),X125-AI125,IF(AT125&lt;&gt;0,AT125,IF(OR(AR125=S.CAL!$BJ$3,AR125=S.CAL!$BJ$4),AR125,"")))),"")</f>
        <v>0</v>
      </c>
      <c r="AN125" s="1093"/>
      <c r="AO125" s="1094"/>
      <c r="AP125" s="666">
        <f>+IF(AND(AU125="",BB125="OUI",BH125="non",BI125="OUI"),AM125,IF(AND(AU125="",BB125="OUI",BH125="oui",BI125="NON"),AM125,IF(AND(AU125="",BB125="NON",BH125="oui",BI125="NON"),M125,IF(AND(AU125="",BB125="NON",BH125="non",BI125="OUI"),M125,IF(AND(AU125="",BB125="OUI",BH125="non",BI125="NON"),"ERREUR",IF(AND(AU125="",BB125="NON",BH125="non",BI125="NON"),AM125,IF(AND(AU125="",BB125="OUI",BH125="",BI125=""),AM125,IF(AND(AU125="",BB125="NON",BH125="",BI125="",AZ125="NON"),M125,IF(AND(AU125="",BH125="",AZ125="OUI",AR125=""),AM125,IF(AND(AU125="",BH125="",AZ125="NON",AR125="",AT125=""),M125,IF(AND(OR(AR125=S.CAL!$BJ$3,AR125=S.CAL!$BJ$4),(VLOOKUP($AM$95,base_nbre_sem_mensu,2,FALSE)=52)),EE125,IF(AND(OR(AR125=S.CAL!$BJ$3,AR125=S.CAL!$BJ$4),(VLOOKUP($AM$95,base_nbre_sem_mensu,2,FALSE)&lt;52)),AM125,IF(AND(AT125&lt;&gt;"",AU125=""),AT125,AU125)))))))))))))</f>
        <v>0</v>
      </c>
      <c r="AQ125" s="1378">
        <f t="shared" si="230"/>
        <v>0</v>
      </c>
      <c r="AR125" s="1098"/>
      <c r="AS125" s="1374"/>
      <c r="AT125" s="1101"/>
      <c r="AU125" s="813"/>
      <c r="AV125" s="1370">
        <f t="shared" si="211"/>
        <v>46105</v>
      </c>
      <c r="AW125" s="1374"/>
      <c r="AX125" s="511">
        <f t="shared" si="231"/>
        <v>46105</v>
      </c>
      <c r="AY125" s="523">
        <f t="shared" si="232"/>
        <v>0</v>
      </c>
      <c r="AZ125" s="520" t="s">
        <v>137</v>
      </c>
      <c r="BA125" s="516">
        <f t="shared" si="233"/>
        <v>0</v>
      </c>
      <c r="BB125" s="549" t="str">
        <f t="shared" si="212"/>
        <v/>
      </c>
      <c r="BC125" s="523">
        <f t="shared" si="234"/>
        <v>0</v>
      </c>
      <c r="BD125" s="523">
        <f t="shared" si="235"/>
        <v>0</v>
      </c>
      <c r="BE125" s="1104"/>
      <c r="BF125" s="514" t="str">
        <f t="shared" si="213"/>
        <v/>
      </c>
      <c r="BG125" s="514" t="str">
        <f t="shared" si="236"/>
        <v>oui</v>
      </c>
      <c r="BH125" s="377" t="str">
        <f t="shared" si="214"/>
        <v/>
      </c>
      <c r="BI125" s="24" t="str">
        <f t="shared" si="215"/>
        <v/>
      </c>
      <c r="BJ125" s="1382"/>
      <c r="BK125" s="1382"/>
      <c r="BL125" s="1382"/>
      <c r="BM125" s="1382"/>
      <c r="BN125" s="1382"/>
      <c r="BO125" s="1382"/>
      <c r="BP125" s="1382"/>
      <c r="BQ125" s="1382"/>
      <c r="BR125" s="1383"/>
      <c r="BS125" s="1370">
        <f t="shared" si="182"/>
        <v>46105</v>
      </c>
      <c r="BT125" s="1384" t="str">
        <f t="shared" si="244"/>
        <v/>
      </c>
      <c r="BU125" s="1382"/>
      <c r="BV125" s="1382"/>
      <c r="BW125" s="1382"/>
      <c r="BX125" s="1382"/>
      <c r="BY125" s="1382"/>
      <c r="BZ125" s="1382"/>
      <c r="CA125" s="1382"/>
      <c r="CB125" s="1382"/>
      <c r="CD125" s="1386">
        <f t="shared" si="237"/>
        <v>0</v>
      </c>
      <c r="DC125" s="16" t="str">
        <f>Mars!FC43</f>
        <v>non</v>
      </c>
      <c r="DG125" s="315">
        <f t="shared" si="238"/>
        <v>1</v>
      </c>
      <c r="DH125" s="129">
        <f t="shared" si="216"/>
        <v>10</v>
      </c>
      <c r="DI125" s="129">
        <f t="shared" si="239"/>
        <v>1</v>
      </c>
      <c r="DK125" s="16">
        <f>+IF(AND(Mars!$DP$8&lt;&gt;52,AR125=S.CAL!$BJ$4),10,1)</f>
        <v>1</v>
      </c>
      <c r="DN125" s="16">
        <f t="shared" si="217"/>
        <v>1</v>
      </c>
      <c r="DU125" s="1274" t="str">
        <f t="shared" si="240"/>
        <v>Fiche infoA246105</v>
      </c>
      <c r="DV125" s="1362">
        <f t="shared" si="218"/>
        <v>0</v>
      </c>
      <c r="DW125" s="1363">
        <f t="shared" si="219"/>
        <v>0</v>
      </c>
      <c r="DX125" s="1363">
        <f t="shared" si="220"/>
        <v>0</v>
      </c>
      <c r="DY125" s="1363">
        <f t="shared" si="221"/>
        <v>0</v>
      </c>
      <c r="DZ125" s="1363">
        <f t="shared" si="222"/>
        <v>0</v>
      </c>
      <c r="EA125" s="1363">
        <f t="shared" si="223"/>
        <v>0</v>
      </c>
      <c r="EB125" s="1363">
        <f t="shared" si="224"/>
        <v>0</v>
      </c>
      <c r="EC125" s="1363">
        <f t="shared" si="225"/>
        <v>0</v>
      </c>
      <c r="ED125" s="1363">
        <f t="shared" si="241"/>
        <v>0</v>
      </c>
      <c r="EE125" s="1364">
        <f t="shared" si="242"/>
        <v>0</v>
      </c>
      <c r="EG125" s="16" t="str">
        <f t="shared" si="243"/>
        <v>132026</v>
      </c>
      <c r="EH125" s="16" t="str">
        <f t="shared" si="226"/>
        <v>Fiche infoA2</v>
      </c>
      <c r="EI125" s="16" t="str">
        <f t="shared" si="227"/>
        <v/>
      </c>
    </row>
    <row r="126" spans="1:139" x14ac:dyDescent="0.2">
      <c r="A126" s="24" t="str">
        <f>Mars!BJ44</f>
        <v>Fiche infoA3</v>
      </c>
      <c r="B126" s="811">
        <f>Mars!AB44</f>
        <v>46106</v>
      </c>
      <c r="C126" s="1371"/>
      <c r="D126" s="981">
        <f t="shared" si="183"/>
        <v>0</v>
      </c>
      <c r="E126" s="434">
        <f t="shared" si="184"/>
        <v>0</v>
      </c>
      <c r="F126" s="434">
        <f t="shared" si="185"/>
        <v>0</v>
      </c>
      <c r="G126" s="434">
        <f t="shared" si="186"/>
        <v>0</v>
      </c>
      <c r="H126" s="434">
        <f t="shared" si="187"/>
        <v>0</v>
      </c>
      <c r="I126" s="434">
        <f t="shared" si="188"/>
        <v>0</v>
      </c>
      <c r="J126" s="434">
        <f t="shared" si="189"/>
        <v>0</v>
      </c>
      <c r="K126" s="434">
        <f t="shared" si="190"/>
        <v>0</v>
      </c>
      <c r="L126" s="434">
        <f t="shared" si="228"/>
        <v>0</v>
      </c>
      <c r="M126" s="982">
        <f t="shared" si="229"/>
        <v>0</v>
      </c>
      <c r="O126" s="981">
        <f t="shared" si="245"/>
        <v>0</v>
      </c>
      <c r="P126" s="434">
        <f t="shared" si="246"/>
        <v>0</v>
      </c>
      <c r="Q126" s="434">
        <f t="shared" si="247"/>
        <v>0</v>
      </c>
      <c r="R126" s="434">
        <f t="shared" si="248"/>
        <v>0</v>
      </c>
      <c r="S126" s="434">
        <f t="shared" si="249"/>
        <v>0</v>
      </c>
      <c r="T126" s="434">
        <f t="shared" si="250"/>
        <v>0</v>
      </c>
      <c r="U126" s="434">
        <f t="shared" si="251"/>
        <v>0</v>
      </c>
      <c r="V126" s="434">
        <f t="shared" si="252"/>
        <v>0</v>
      </c>
      <c r="W126" s="434">
        <f t="shared" si="199"/>
        <v>0</v>
      </c>
      <c r="X126" s="982">
        <f t="shared" si="200"/>
        <v>0</v>
      </c>
      <c r="Y126" s="441"/>
      <c r="Z126" s="277">
        <f t="shared" si="201"/>
        <v>0</v>
      </c>
      <c r="AA126" s="277">
        <f t="shared" si="202"/>
        <v>0</v>
      </c>
      <c r="AB126" s="277">
        <f t="shared" si="203"/>
        <v>0</v>
      </c>
      <c r="AC126" s="277">
        <f t="shared" si="204"/>
        <v>0</v>
      </c>
      <c r="AD126" s="277">
        <f t="shared" si="205"/>
        <v>0</v>
      </c>
      <c r="AE126" s="277">
        <f t="shared" si="206"/>
        <v>0</v>
      </c>
      <c r="AF126" s="277">
        <f t="shared" si="207"/>
        <v>0</v>
      </c>
      <c r="AG126" s="277">
        <f t="shared" si="208"/>
        <v>0</v>
      </c>
      <c r="AI126" s="444">
        <f t="shared" si="253"/>
        <v>0</v>
      </c>
      <c r="AJ126" s="1090"/>
      <c r="AK126" s="489"/>
      <c r="AL126" s="811">
        <f t="shared" si="210"/>
        <v>46106</v>
      </c>
      <c r="AM126" s="666">
        <f>IFERROR(IF(AND(AT126="",AR126&lt;&gt;S.CAL!$BJ$3,AR126&lt;&gt;S.CAL!$BJ$4,$AR$95="NON"),M126-BD126,IF(AND(AT126="",AR126&lt;&gt;S.CAL!$BJ$3,AR126&lt;&gt;S.CAL!$BJ$4,$AR$95="OUI"),X126-AI126,IF(AT126&lt;&gt;0,AT126,IF(OR(AR126=S.CAL!$BJ$3,AR126=S.CAL!$BJ$4),AR126,"")))),"")</f>
        <v>0</v>
      </c>
      <c r="AN126" s="1093"/>
      <c r="AO126" s="1094"/>
      <c r="AP126" s="666">
        <f>+IF(AND(AU126="",BB126="OUI",BH126="non",BI126="OUI"),AM126,IF(AND(AU126="",BB126="OUI",BH126="oui",BI126="NON"),AM126,IF(AND(AU126="",BB126="NON",BH126="oui",BI126="NON"),M126,IF(AND(AU126="",BB126="NON",BH126="non",BI126="OUI"),M126,IF(AND(AU126="",BB126="OUI",BH126="non",BI126="NON"),"ERREUR",IF(AND(AU126="",BB126="NON",BH126="non",BI126="NON"),AM126,IF(AND(AU126="",BB126="OUI",BH126="",BI126=""),AM126,IF(AND(AU126="",BB126="NON",BH126="",BI126="",AZ126="NON"),M126,IF(AND(AU126="",BH126="",AZ126="OUI",AR126=""),AM126,IF(AND(AU126="",BH126="",AZ126="NON",AR126="",AT126=""),M126,IF(AND(OR(AR126=S.CAL!$BJ$3,AR126=S.CAL!$BJ$4),(VLOOKUP($AM$95,base_nbre_sem_mensu,2,FALSE)=52)),EE126,IF(AND(OR(AR126=S.CAL!$BJ$3,AR126=S.CAL!$BJ$4),(VLOOKUP($AM$95,base_nbre_sem_mensu,2,FALSE)&lt;52)),AM126,IF(AND(AT126&lt;&gt;"",AU126=""),AT126,AU126)))))))))))))</f>
        <v>0</v>
      </c>
      <c r="AQ126" s="498">
        <f t="shared" si="230"/>
        <v>0</v>
      </c>
      <c r="AR126" s="1098"/>
      <c r="AT126" s="1101"/>
      <c r="AU126" s="813"/>
      <c r="AV126" s="1370">
        <f t="shared" si="211"/>
        <v>46106</v>
      </c>
      <c r="AX126" s="511">
        <f t="shared" si="231"/>
        <v>46106</v>
      </c>
      <c r="AY126" s="523">
        <f t="shared" si="232"/>
        <v>0</v>
      </c>
      <c r="AZ126" s="520" t="s">
        <v>137</v>
      </c>
      <c r="BA126" s="516">
        <f t="shared" si="233"/>
        <v>0</v>
      </c>
      <c r="BB126" s="549" t="str">
        <f t="shared" si="212"/>
        <v/>
      </c>
      <c r="BC126" s="523">
        <f t="shared" si="234"/>
        <v>0</v>
      </c>
      <c r="BD126" s="523">
        <f t="shared" si="235"/>
        <v>0</v>
      </c>
      <c r="BE126" s="1104"/>
      <c r="BF126" s="514" t="str">
        <f t="shared" si="213"/>
        <v/>
      </c>
      <c r="BG126" s="514" t="str">
        <f t="shared" si="236"/>
        <v>oui</v>
      </c>
      <c r="BH126" s="377" t="str">
        <f t="shared" si="214"/>
        <v/>
      </c>
      <c r="BI126" s="24" t="str">
        <f t="shared" si="215"/>
        <v/>
      </c>
      <c r="BJ126" s="1381"/>
      <c r="BK126" s="1381"/>
      <c r="BL126" s="1381"/>
      <c r="BM126" s="1381"/>
      <c r="BN126" s="1381"/>
      <c r="BO126" s="1381"/>
      <c r="BP126" s="1381"/>
      <c r="BQ126" s="1381"/>
      <c r="BS126" s="1370">
        <f t="shared" si="182"/>
        <v>46106</v>
      </c>
      <c r="BT126" s="27" t="str">
        <f t="shared" si="244"/>
        <v/>
      </c>
      <c r="BU126" s="1380"/>
      <c r="BV126" s="1380"/>
      <c r="BW126" s="1380"/>
      <c r="BX126" s="1380"/>
      <c r="BY126" s="1380"/>
      <c r="BZ126" s="1380"/>
      <c r="CA126" s="1380"/>
      <c r="CB126" s="1380"/>
      <c r="CD126" s="1386">
        <f t="shared" si="237"/>
        <v>0</v>
      </c>
      <c r="DC126" s="16" t="str">
        <f>Mars!FC44</f>
        <v>non</v>
      </c>
      <c r="DG126" s="315">
        <f t="shared" si="238"/>
        <v>1</v>
      </c>
      <c r="DH126" s="129">
        <f t="shared" si="216"/>
        <v>10</v>
      </c>
      <c r="DI126" s="129">
        <f t="shared" si="239"/>
        <v>1</v>
      </c>
      <c r="DK126" s="16">
        <f>+IF(AND(Mars!$DP$8&lt;&gt;52,AR126=S.CAL!$BJ$4),10,1)</f>
        <v>1</v>
      </c>
      <c r="DN126" s="16">
        <f t="shared" si="217"/>
        <v>1</v>
      </c>
      <c r="DU126" s="1274" t="str">
        <f t="shared" si="240"/>
        <v>Fiche infoA346106</v>
      </c>
      <c r="DV126" s="1362">
        <f t="shared" si="218"/>
        <v>0</v>
      </c>
      <c r="DW126" s="1363">
        <f t="shared" si="219"/>
        <v>0</v>
      </c>
      <c r="DX126" s="1363">
        <f t="shared" si="220"/>
        <v>0</v>
      </c>
      <c r="DY126" s="1363">
        <f t="shared" si="221"/>
        <v>0</v>
      </c>
      <c r="DZ126" s="1363">
        <f t="shared" si="222"/>
        <v>0</v>
      </c>
      <c r="EA126" s="1363">
        <f t="shared" si="223"/>
        <v>0</v>
      </c>
      <c r="EB126" s="1363">
        <f t="shared" si="224"/>
        <v>0</v>
      </c>
      <c r="EC126" s="1363">
        <f t="shared" si="225"/>
        <v>0</v>
      </c>
      <c r="ED126" s="1363">
        <f t="shared" si="241"/>
        <v>0</v>
      </c>
      <c r="EE126" s="1364">
        <f t="shared" si="242"/>
        <v>0</v>
      </c>
      <c r="EG126" s="16" t="str">
        <f t="shared" si="243"/>
        <v>132026</v>
      </c>
      <c r="EH126" s="16" t="str">
        <f t="shared" si="226"/>
        <v>Fiche infoA3</v>
      </c>
      <c r="EI126" s="16" t="str">
        <f t="shared" si="227"/>
        <v/>
      </c>
    </row>
    <row r="127" spans="1:139" x14ac:dyDescent="0.2">
      <c r="A127" s="1373" t="str">
        <f>Mars!BJ45</f>
        <v>Fiche infoA4</v>
      </c>
      <c r="B127" s="811">
        <f>Mars!AB45</f>
        <v>46107</v>
      </c>
      <c r="C127" s="1372"/>
      <c r="D127" s="981">
        <f t="shared" si="183"/>
        <v>0</v>
      </c>
      <c r="E127" s="434">
        <f t="shared" si="184"/>
        <v>0</v>
      </c>
      <c r="F127" s="434">
        <f t="shared" si="185"/>
        <v>0</v>
      </c>
      <c r="G127" s="434">
        <f t="shared" si="186"/>
        <v>0</v>
      </c>
      <c r="H127" s="434">
        <f t="shared" si="187"/>
        <v>0</v>
      </c>
      <c r="I127" s="434">
        <f t="shared" si="188"/>
        <v>0</v>
      </c>
      <c r="J127" s="434">
        <f t="shared" si="189"/>
        <v>0</v>
      </c>
      <c r="K127" s="434">
        <f t="shared" si="190"/>
        <v>0</v>
      </c>
      <c r="L127" s="434">
        <f t="shared" si="228"/>
        <v>0</v>
      </c>
      <c r="M127" s="982">
        <f t="shared" si="229"/>
        <v>0</v>
      </c>
      <c r="N127" s="1374"/>
      <c r="O127" s="981">
        <f t="shared" si="245"/>
        <v>0</v>
      </c>
      <c r="P127" s="434">
        <f t="shared" si="246"/>
        <v>0</v>
      </c>
      <c r="Q127" s="434">
        <f t="shared" si="247"/>
        <v>0</v>
      </c>
      <c r="R127" s="434">
        <f t="shared" si="248"/>
        <v>0</v>
      </c>
      <c r="S127" s="434">
        <f t="shared" si="249"/>
        <v>0</v>
      </c>
      <c r="T127" s="434">
        <f t="shared" si="250"/>
        <v>0</v>
      </c>
      <c r="U127" s="434">
        <f t="shared" si="251"/>
        <v>0</v>
      </c>
      <c r="V127" s="434">
        <f t="shared" si="252"/>
        <v>0</v>
      </c>
      <c r="W127" s="434">
        <f t="shared" si="199"/>
        <v>0</v>
      </c>
      <c r="X127" s="982">
        <f t="shared" si="200"/>
        <v>0</v>
      </c>
      <c r="Y127" s="1375"/>
      <c r="Z127" s="1376">
        <f t="shared" si="201"/>
        <v>0</v>
      </c>
      <c r="AA127" s="1376">
        <f t="shared" si="202"/>
        <v>0</v>
      </c>
      <c r="AB127" s="1376">
        <f t="shared" si="203"/>
        <v>0</v>
      </c>
      <c r="AC127" s="1376">
        <f t="shared" si="204"/>
        <v>0</v>
      </c>
      <c r="AD127" s="1376">
        <f t="shared" si="205"/>
        <v>0</v>
      </c>
      <c r="AE127" s="1376">
        <f t="shared" si="206"/>
        <v>0</v>
      </c>
      <c r="AF127" s="1376">
        <f t="shared" si="207"/>
        <v>0</v>
      </c>
      <c r="AG127" s="1376">
        <f t="shared" si="208"/>
        <v>0</v>
      </c>
      <c r="AH127" s="1374"/>
      <c r="AI127" s="444">
        <f t="shared" si="253"/>
        <v>0</v>
      </c>
      <c r="AJ127" s="1090"/>
      <c r="AK127" s="1377"/>
      <c r="AL127" s="811">
        <f t="shared" si="210"/>
        <v>46107</v>
      </c>
      <c r="AM127" s="666">
        <f>IFERROR(IF(AND(AT127="",AR127&lt;&gt;S.CAL!$BJ$3,AR127&lt;&gt;S.CAL!$BJ$4,$AR$95="NON"),M127-BD127,IF(AND(AT127="",AR127&lt;&gt;S.CAL!$BJ$3,AR127&lt;&gt;S.CAL!$BJ$4,$AR$95="OUI"),X127-AI127,IF(AT127&lt;&gt;0,AT127,IF(OR(AR127=S.CAL!$BJ$3,AR127=S.CAL!$BJ$4),AR127,"")))),"")</f>
        <v>0</v>
      </c>
      <c r="AN127" s="1093"/>
      <c r="AO127" s="1094"/>
      <c r="AP127" s="666">
        <f>+IF(AND(AU127="",BB127="OUI",BH127="non",BI127="OUI"),AM127,IF(AND(AU127="",BB127="OUI",BH127="oui",BI127="NON"),AM127,IF(AND(AU127="",BB127="NON",BH127="oui",BI127="NON"),M127,IF(AND(AU127="",BB127="NON",BH127="non",BI127="OUI"),M127,IF(AND(AU127="",BB127="OUI",BH127="non",BI127="NON"),"ERREUR",IF(AND(AU127="",BB127="NON",BH127="non",BI127="NON"),AM127,IF(AND(AU127="",BB127="OUI",BH127="",BI127=""),AM127,IF(AND(AU127="",BB127="NON",BH127="",BI127="",AZ127="NON"),M127,IF(AND(AU127="",BH127="",AZ127="OUI",AR127=""),AM127,IF(AND(AU127="",BH127="",AZ127="NON",AR127="",AT127=""),M127,IF(AND(OR(AR127=S.CAL!$BJ$3,AR127=S.CAL!$BJ$4),(VLOOKUP($AM$95,base_nbre_sem_mensu,2,FALSE)=52)),EE127,IF(AND(OR(AR127=S.CAL!$BJ$3,AR127=S.CAL!$BJ$4),(VLOOKUP($AM$95,base_nbre_sem_mensu,2,FALSE)&lt;52)),AM127,IF(AND(AT127&lt;&gt;"",AU127=""),AT127,AU127)))))))))))))</f>
        <v>0</v>
      </c>
      <c r="AQ127" s="1378">
        <f t="shared" si="230"/>
        <v>0</v>
      </c>
      <c r="AR127" s="1098"/>
      <c r="AS127" s="1374"/>
      <c r="AT127" s="1101"/>
      <c r="AU127" s="813"/>
      <c r="AV127" s="1370">
        <f t="shared" si="211"/>
        <v>46107</v>
      </c>
      <c r="AW127" s="1374"/>
      <c r="AX127" s="511">
        <f t="shared" si="231"/>
        <v>46107</v>
      </c>
      <c r="AY127" s="523">
        <f t="shared" si="232"/>
        <v>0</v>
      </c>
      <c r="AZ127" s="520" t="s">
        <v>137</v>
      </c>
      <c r="BA127" s="516">
        <f t="shared" si="233"/>
        <v>0</v>
      </c>
      <c r="BB127" s="549" t="str">
        <f t="shared" si="212"/>
        <v/>
      </c>
      <c r="BC127" s="523">
        <f t="shared" si="234"/>
        <v>0</v>
      </c>
      <c r="BD127" s="523">
        <f t="shared" si="235"/>
        <v>0</v>
      </c>
      <c r="BE127" s="1104"/>
      <c r="BF127" s="514" t="str">
        <f t="shared" si="213"/>
        <v/>
      </c>
      <c r="BG127" s="514" t="str">
        <f t="shared" si="236"/>
        <v>oui</v>
      </c>
      <c r="BH127" s="377" t="str">
        <f t="shared" si="214"/>
        <v/>
      </c>
      <c r="BI127" s="24" t="str">
        <f t="shared" si="215"/>
        <v/>
      </c>
      <c r="BJ127" s="1382"/>
      <c r="BK127" s="1382"/>
      <c r="BL127" s="1382"/>
      <c r="BM127" s="1382"/>
      <c r="BN127" s="1382"/>
      <c r="BO127" s="1382"/>
      <c r="BP127" s="1382"/>
      <c r="BQ127" s="1382"/>
      <c r="BR127" s="1383"/>
      <c r="BS127" s="1370">
        <f t="shared" si="182"/>
        <v>46107</v>
      </c>
      <c r="BT127" s="1384" t="str">
        <f t="shared" si="244"/>
        <v/>
      </c>
      <c r="BU127" s="1382"/>
      <c r="BV127" s="1382"/>
      <c r="BW127" s="1382"/>
      <c r="BX127" s="1382"/>
      <c r="BY127" s="1382"/>
      <c r="BZ127" s="1382"/>
      <c r="CA127" s="1382"/>
      <c r="CB127" s="1382"/>
      <c r="CD127" s="1386">
        <f t="shared" si="237"/>
        <v>0</v>
      </c>
      <c r="DC127" s="16" t="str">
        <f>Mars!FC45</f>
        <v>non</v>
      </c>
      <c r="DG127" s="315">
        <f t="shared" si="238"/>
        <v>1</v>
      </c>
      <c r="DH127" s="129">
        <f t="shared" si="216"/>
        <v>10</v>
      </c>
      <c r="DI127" s="129">
        <f t="shared" si="239"/>
        <v>1</v>
      </c>
      <c r="DK127" s="16">
        <f>+IF(AND(Mars!$DP$8&lt;&gt;52,AR127=S.CAL!$BJ$4),10,1)</f>
        <v>1</v>
      </c>
      <c r="DN127" s="16">
        <f t="shared" si="217"/>
        <v>1</v>
      </c>
      <c r="DU127" s="1274" t="str">
        <f t="shared" si="240"/>
        <v>Fiche infoA446107</v>
      </c>
      <c r="DV127" s="1362">
        <f t="shared" si="218"/>
        <v>0</v>
      </c>
      <c r="DW127" s="1363">
        <f t="shared" si="219"/>
        <v>0</v>
      </c>
      <c r="DX127" s="1363">
        <f t="shared" si="220"/>
        <v>0</v>
      </c>
      <c r="DY127" s="1363">
        <f t="shared" si="221"/>
        <v>0</v>
      </c>
      <c r="DZ127" s="1363">
        <f t="shared" si="222"/>
        <v>0</v>
      </c>
      <c r="EA127" s="1363">
        <f t="shared" si="223"/>
        <v>0</v>
      </c>
      <c r="EB127" s="1363">
        <f t="shared" si="224"/>
        <v>0</v>
      </c>
      <c r="EC127" s="1363">
        <f t="shared" si="225"/>
        <v>0</v>
      </c>
      <c r="ED127" s="1363">
        <f t="shared" si="241"/>
        <v>0</v>
      </c>
      <c r="EE127" s="1364">
        <f t="shared" si="242"/>
        <v>0</v>
      </c>
      <c r="EG127" s="16" t="str">
        <f t="shared" si="243"/>
        <v>132026</v>
      </c>
      <c r="EH127" s="16" t="str">
        <f t="shared" si="226"/>
        <v>Fiche infoA4</v>
      </c>
      <c r="EI127" s="16" t="str">
        <f t="shared" si="227"/>
        <v/>
      </c>
    </row>
    <row r="128" spans="1:139" x14ac:dyDescent="0.2">
      <c r="A128" s="24" t="str">
        <f>Mars!BJ46</f>
        <v>Fiche infoA5</v>
      </c>
      <c r="B128" s="811">
        <f>Mars!AB46</f>
        <v>46108</v>
      </c>
      <c r="C128" s="1371"/>
      <c r="D128" s="981">
        <f t="shared" si="183"/>
        <v>0</v>
      </c>
      <c r="E128" s="434">
        <f t="shared" si="184"/>
        <v>0</v>
      </c>
      <c r="F128" s="434">
        <f t="shared" si="185"/>
        <v>0</v>
      </c>
      <c r="G128" s="434">
        <f t="shared" si="186"/>
        <v>0</v>
      </c>
      <c r="H128" s="434">
        <f t="shared" si="187"/>
        <v>0</v>
      </c>
      <c r="I128" s="434">
        <f t="shared" si="188"/>
        <v>0</v>
      </c>
      <c r="J128" s="434">
        <f t="shared" si="189"/>
        <v>0</v>
      </c>
      <c r="K128" s="434">
        <f t="shared" si="190"/>
        <v>0</v>
      </c>
      <c r="L128" s="434">
        <f t="shared" si="228"/>
        <v>0</v>
      </c>
      <c r="M128" s="982">
        <f t="shared" si="229"/>
        <v>0</v>
      </c>
      <c r="O128" s="981">
        <f t="shared" si="245"/>
        <v>0</v>
      </c>
      <c r="P128" s="434">
        <f t="shared" si="246"/>
        <v>0</v>
      </c>
      <c r="Q128" s="434">
        <f t="shared" si="247"/>
        <v>0</v>
      </c>
      <c r="R128" s="434">
        <f t="shared" si="248"/>
        <v>0</v>
      </c>
      <c r="S128" s="434">
        <f t="shared" si="249"/>
        <v>0</v>
      </c>
      <c r="T128" s="434">
        <f t="shared" si="250"/>
        <v>0</v>
      </c>
      <c r="U128" s="434">
        <f t="shared" si="251"/>
        <v>0</v>
      </c>
      <c r="V128" s="434">
        <f t="shared" si="252"/>
        <v>0</v>
      </c>
      <c r="W128" s="434">
        <f t="shared" si="199"/>
        <v>0</v>
      </c>
      <c r="X128" s="982">
        <f t="shared" si="200"/>
        <v>0</v>
      </c>
      <c r="Y128" s="441"/>
      <c r="Z128" s="277">
        <f t="shared" si="201"/>
        <v>0</v>
      </c>
      <c r="AA128" s="277">
        <f t="shared" si="202"/>
        <v>0</v>
      </c>
      <c r="AB128" s="277">
        <f t="shared" si="203"/>
        <v>0</v>
      </c>
      <c r="AC128" s="277">
        <f t="shared" si="204"/>
        <v>0</v>
      </c>
      <c r="AD128" s="277">
        <f t="shared" si="205"/>
        <v>0</v>
      </c>
      <c r="AE128" s="277">
        <f t="shared" si="206"/>
        <v>0</v>
      </c>
      <c r="AF128" s="277">
        <f t="shared" si="207"/>
        <v>0</v>
      </c>
      <c r="AG128" s="277">
        <f t="shared" si="208"/>
        <v>0</v>
      </c>
      <c r="AI128" s="444">
        <f t="shared" si="253"/>
        <v>0</v>
      </c>
      <c r="AJ128" s="1090"/>
      <c r="AK128" s="489"/>
      <c r="AL128" s="811">
        <f t="shared" si="210"/>
        <v>46108</v>
      </c>
      <c r="AM128" s="666">
        <f>IFERROR(IF(AND(AT128="",AR128&lt;&gt;S.CAL!$BJ$3,AR128&lt;&gt;S.CAL!$BJ$4,$AR$95="NON"),M128-BD128,IF(AND(AT128="",AR128&lt;&gt;S.CAL!$BJ$3,AR128&lt;&gt;S.CAL!$BJ$4,$AR$95="OUI"),X128-AI128,IF(AT128&lt;&gt;0,AT128,IF(OR(AR128=S.CAL!$BJ$3,AR128=S.CAL!$BJ$4),AR128,"")))),"")</f>
        <v>0</v>
      </c>
      <c r="AN128" s="1093"/>
      <c r="AO128" s="1094"/>
      <c r="AP128" s="666">
        <f>+IF(AND(AU128="",BB128="OUI",BH128="non",BI128="OUI"),AM128,IF(AND(AU128="",BB128="OUI",BH128="oui",BI128="NON"),AM128,IF(AND(AU128="",BB128="NON",BH128="oui",BI128="NON"),M128,IF(AND(AU128="",BB128="NON",BH128="non",BI128="OUI"),M128,IF(AND(AU128="",BB128="OUI",BH128="non",BI128="NON"),"ERREUR",IF(AND(AU128="",BB128="NON",BH128="non",BI128="NON"),AM128,IF(AND(AU128="",BB128="OUI",BH128="",BI128=""),AM128,IF(AND(AU128="",BB128="NON",BH128="",BI128="",AZ128="NON"),M128,IF(AND(AU128="",BH128="",AZ128="OUI",AR128=""),AM128,IF(AND(AU128="",BH128="",AZ128="NON",AR128="",AT128=""),M128,IF(AND(OR(AR128=S.CAL!$BJ$3,AR128=S.CAL!$BJ$4),(VLOOKUP($AM$95,base_nbre_sem_mensu,2,FALSE)=52)),EE128,IF(AND(OR(AR128=S.CAL!$BJ$3,AR128=S.CAL!$BJ$4),(VLOOKUP($AM$95,base_nbre_sem_mensu,2,FALSE)&lt;52)),AM128,IF(AND(AT128&lt;&gt;"",AU128=""),AT128,AU128)))))))))))))</f>
        <v>0</v>
      </c>
      <c r="AQ128" s="498">
        <f t="shared" si="230"/>
        <v>0</v>
      </c>
      <c r="AR128" s="1098"/>
      <c r="AT128" s="1101"/>
      <c r="AU128" s="813"/>
      <c r="AV128" s="1370">
        <f t="shared" si="211"/>
        <v>46108</v>
      </c>
      <c r="AX128" s="511">
        <f t="shared" si="231"/>
        <v>46108</v>
      </c>
      <c r="AY128" s="523">
        <f t="shared" si="232"/>
        <v>0</v>
      </c>
      <c r="AZ128" s="520" t="s">
        <v>137</v>
      </c>
      <c r="BA128" s="516">
        <f t="shared" si="233"/>
        <v>0</v>
      </c>
      <c r="BB128" s="549" t="str">
        <f t="shared" si="212"/>
        <v/>
      </c>
      <c r="BC128" s="523">
        <f t="shared" si="234"/>
        <v>0</v>
      </c>
      <c r="BD128" s="523">
        <f t="shared" si="235"/>
        <v>0</v>
      </c>
      <c r="BE128" s="1104"/>
      <c r="BF128" s="514" t="str">
        <f t="shared" si="213"/>
        <v/>
      </c>
      <c r="BG128" s="514" t="str">
        <f t="shared" si="236"/>
        <v>oui</v>
      </c>
      <c r="BH128" s="377" t="str">
        <f t="shared" si="214"/>
        <v/>
      </c>
      <c r="BI128" s="24" t="str">
        <f t="shared" si="215"/>
        <v/>
      </c>
      <c r="BJ128" s="1381"/>
      <c r="BK128" s="1381"/>
      <c r="BL128" s="1381"/>
      <c r="BM128" s="1381"/>
      <c r="BN128" s="1381"/>
      <c r="BO128" s="1381"/>
      <c r="BP128" s="1381"/>
      <c r="BQ128" s="1381"/>
      <c r="BS128" s="1370">
        <f t="shared" si="182"/>
        <v>46108</v>
      </c>
      <c r="BT128" s="27" t="str">
        <f t="shared" si="244"/>
        <v/>
      </c>
      <c r="BU128" s="1380"/>
      <c r="BV128" s="1380"/>
      <c r="BW128" s="1380"/>
      <c r="BX128" s="1380"/>
      <c r="BY128" s="1380"/>
      <c r="BZ128" s="1380"/>
      <c r="CA128" s="1380"/>
      <c r="CB128" s="1380"/>
      <c r="CD128" s="1386">
        <f t="shared" si="237"/>
        <v>0</v>
      </c>
      <c r="DC128" s="16" t="str">
        <f>Mars!FC46</f>
        <v>non</v>
      </c>
      <c r="DG128" s="315">
        <f t="shared" si="238"/>
        <v>1</v>
      </c>
      <c r="DH128" s="129">
        <f t="shared" si="216"/>
        <v>10</v>
      </c>
      <c r="DI128" s="129">
        <f t="shared" si="239"/>
        <v>1</v>
      </c>
      <c r="DK128" s="16">
        <f>+IF(AND(Mars!$DP$8&lt;&gt;52,AR128=S.CAL!$BJ$4),10,1)</f>
        <v>1</v>
      </c>
      <c r="DN128" s="16">
        <f t="shared" si="217"/>
        <v>1</v>
      </c>
      <c r="DU128" s="1274" t="str">
        <f t="shared" si="240"/>
        <v>Fiche infoA546108</v>
      </c>
      <c r="DV128" s="1362">
        <f t="shared" si="218"/>
        <v>0</v>
      </c>
      <c r="DW128" s="1363">
        <f t="shared" si="219"/>
        <v>0</v>
      </c>
      <c r="DX128" s="1363">
        <f t="shared" si="220"/>
        <v>0</v>
      </c>
      <c r="DY128" s="1363">
        <f t="shared" si="221"/>
        <v>0</v>
      </c>
      <c r="DZ128" s="1363">
        <f t="shared" si="222"/>
        <v>0</v>
      </c>
      <c r="EA128" s="1363">
        <f t="shared" si="223"/>
        <v>0</v>
      </c>
      <c r="EB128" s="1363">
        <f t="shared" si="224"/>
        <v>0</v>
      </c>
      <c r="EC128" s="1363">
        <f t="shared" si="225"/>
        <v>0</v>
      </c>
      <c r="ED128" s="1363">
        <f t="shared" si="241"/>
        <v>0</v>
      </c>
      <c r="EE128" s="1364">
        <f t="shared" si="242"/>
        <v>0</v>
      </c>
      <c r="EG128" s="16" t="str">
        <f t="shared" si="243"/>
        <v>132026</v>
      </c>
      <c r="EH128" s="16" t="str">
        <f t="shared" si="226"/>
        <v>Fiche infoA5</v>
      </c>
      <c r="EI128" s="16" t="str">
        <f t="shared" si="227"/>
        <v/>
      </c>
    </row>
    <row r="129" spans="1:145" x14ac:dyDescent="0.2">
      <c r="A129" s="1373" t="str">
        <f>Mars!BJ47</f>
        <v>Fiche infoA6</v>
      </c>
      <c r="B129" s="811">
        <f>Mars!AB47</f>
        <v>46109</v>
      </c>
      <c r="C129" s="1372"/>
      <c r="D129" s="981">
        <f t="shared" si="183"/>
        <v>0</v>
      </c>
      <c r="E129" s="434">
        <f t="shared" si="184"/>
        <v>0</v>
      </c>
      <c r="F129" s="434">
        <f t="shared" si="185"/>
        <v>0</v>
      </c>
      <c r="G129" s="434">
        <f t="shared" si="186"/>
        <v>0</v>
      </c>
      <c r="H129" s="434">
        <f t="shared" si="187"/>
        <v>0</v>
      </c>
      <c r="I129" s="434">
        <f t="shared" si="188"/>
        <v>0</v>
      </c>
      <c r="J129" s="434">
        <f t="shared" si="189"/>
        <v>0</v>
      </c>
      <c r="K129" s="434">
        <f t="shared" si="190"/>
        <v>0</v>
      </c>
      <c r="L129" s="434">
        <f t="shared" si="228"/>
        <v>0</v>
      </c>
      <c r="M129" s="982">
        <f t="shared" si="229"/>
        <v>0</v>
      </c>
      <c r="N129" s="1374"/>
      <c r="O129" s="981">
        <f t="shared" si="245"/>
        <v>0</v>
      </c>
      <c r="P129" s="434">
        <f t="shared" si="246"/>
        <v>0</v>
      </c>
      <c r="Q129" s="434">
        <f t="shared" si="247"/>
        <v>0</v>
      </c>
      <c r="R129" s="434">
        <f t="shared" si="248"/>
        <v>0</v>
      </c>
      <c r="S129" s="434">
        <f t="shared" si="249"/>
        <v>0</v>
      </c>
      <c r="T129" s="434">
        <f t="shared" si="250"/>
        <v>0</v>
      </c>
      <c r="U129" s="434">
        <f t="shared" si="251"/>
        <v>0</v>
      </c>
      <c r="V129" s="434">
        <f t="shared" si="252"/>
        <v>0</v>
      </c>
      <c r="W129" s="434">
        <f t="shared" si="199"/>
        <v>0</v>
      </c>
      <c r="X129" s="982">
        <f t="shared" si="200"/>
        <v>0</v>
      </c>
      <c r="Y129" s="1375"/>
      <c r="Z129" s="1376">
        <f t="shared" si="201"/>
        <v>0</v>
      </c>
      <c r="AA129" s="1376">
        <f t="shared" si="202"/>
        <v>0</v>
      </c>
      <c r="AB129" s="1376">
        <f t="shared" si="203"/>
        <v>0</v>
      </c>
      <c r="AC129" s="1376">
        <f t="shared" si="204"/>
        <v>0</v>
      </c>
      <c r="AD129" s="1376">
        <f t="shared" si="205"/>
        <v>0</v>
      </c>
      <c r="AE129" s="1376">
        <f t="shared" si="206"/>
        <v>0</v>
      </c>
      <c r="AF129" s="1376">
        <f t="shared" si="207"/>
        <v>0</v>
      </c>
      <c r="AG129" s="1376">
        <f t="shared" si="208"/>
        <v>0</v>
      </c>
      <c r="AH129" s="1374"/>
      <c r="AI129" s="444">
        <f t="shared" si="253"/>
        <v>0</v>
      </c>
      <c r="AJ129" s="1090"/>
      <c r="AK129" s="1377"/>
      <c r="AL129" s="811">
        <f t="shared" si="210"/>
        <v>46109</v>
      </c>
      <c r="AM129" s="666">
        <f>IFERROR(IF(AND(AT129="",AR129&lt;&gt;S.CAL!$BJ$3,AR129&lt;&gt;S.CAL!$BJ$4,$AR$95="NON"),M129-BD129,IF(AND(AT129="",AR129&lt;&gt;S.CAL!$BJ$3,AR129&lt;&gt;S.CAL!$BJ$4,$AR$95="OUI"),X129-AI129,IF(AT129&lt;&gt;0,AT129,IF(OR(AR129=S.CAL!$BJ$3,AR129=S.CAL!$BJ$4),AR129,"")))),"")</f>
        <v>0</v>
      </c>
      <c r="AN129" s="1093"/>
      <c r="AO129" s="1094"/>
      <c r="AP129" s="666">
        <f>+IF(AND(AU129="",BB129="OUI",BH129="non",BI129="OUI"),AM129,IF(AND(AU129="",BB129="OUI",BH129="oui",BI129="NON"),AM129,IF(AND(AU129="",BB129="NON",BH129="oui",BI129="NON"),M129,IF(AND(AU129="",BB129="NON",BH129="non",BI129="OUI"),M129,IF(AND(AU129="",BB129="OUI",BH129="non",BI129="NON"),"ERREUR",IF(AND(AU129="",BB129="NON",BH129="non",BI129="NON"),AM129,IF(AND(AU129="",BB129="OUI",BH129="",BI129=""),AM129,IF(AND(AU129="",BB129="NON",BH129="",BI129="",AZ129="NON"),M129,IF(AND(AU129="",BH129="",AZ129="OUI",AR129=""),AM129,IF(AND(AU129="",BH129="",AZ129="NON",AR129="",AT129=""),M129,IF(AND(OR(AR129=S.CAL!$BJ$3,AR129=S.CAL!$BJ$4),(VLOOKUP($AM$95,base_nbre_sem_mensu,2,FALSE)=52)),EE129,IF(AND(OR(AR129=S.CAL!$BJ$3,AR129=S.CAL!$BJ$4),(VLOOKUP($AM$95,base_nbre_sem_mensu,2,FALSE)&lt;52)),AM129,IF(AND(AT129&lt;&gt;"",AU129=""),AT129,AU129)))))))))))))</f>
        <v>0</v>
      </c>
      <c r="AQ129" s="1378">
        <f t="shared" si="230"/>
        <v>0</v>
      </c>
      <c r="AR129" s="1098"/>
      <c r="AS129" s="1374"/>
      <c r="AT129" s="1101"/>
      <c r="AU129" s="813"/>
      <c r="AV129" s="1370">
        <f t="shared" si="211"/>
        <v>46109</v>
      </c>
      <c r="AW129" s="1374"/>
      <c r="AX129" s="511">
        <f t="shared" si="231"/>
        <v>46109</v>
      </c>
      <c r="AY129" s="523">
        <f t="shared" si="232"/>
        <v>0</v>
      </c>
      <c r="AZ129" s="520" t="s">
        <v>137</v>
      </c>
      <c r="BA129" s="516">
        <f t="shared" si="233"/>
        <v>0</v>
      </c>
      <c r="BB129" s="549" t="str">
        <f t="shared" si="212"/>
        <v/>
      </c>
      <c r="BC129" s="523">
        <f t="shared" si="234"/>
        <v>0</v>
      </c>
      <c r="BD129" s="523">
        <f t="shared" si="235"/>
        <v>0</v>
      </c>
      <c r="BE129" s="1104"/>
      <c r="BF129" s="514" t="str">
        <f t="shared" si="213"/>
        <v/>
      </c>
      <c r="BG129" s="514" t="str">
        <f t="shared" si="236"/>
        <v>oui</v>
      </c>
      <c r="BH129" s="377" t="str">
        <f t="shared" si="214"/>
        <v/>
      </c>
      <c r="BI129" s="24" t="str">
        <f t="shared" si="215"/>
        <v/>
      </c>
      <c r="BJ129" s="1382"/>
      <c r="BK129" s="1382"/>
      <c r="BL129" s="1382"/>
      <c r="BM129" s="1382"/>
      <c r="BN129" s="1382"/>
      <c r="BO129" s="1382"/>
      <c r="BP129" s="1382"/>
      <c r="BQ129" s="1382"/>
      <c r="BR129" s="1383"/>
      <c r="BS129" s="1370">
        <f t="shared" si="182"/>
        <v>46109</v>
      </c>
      <c r="BT129" s="1384" t="str">
        <f t="shared" si="244"/>
        <v/>
      </c>
      <c r="BU129" s="1382"/>
      <c r="BV129" s="1382"/>
      <c r="BW129" s="1382"/>
      <c r="BX129" s="1382"/>
      <c r="BY129" s="1382"/>
      <c r="BZ129" s="1382"/>
      <c r="CA129" s="1382"/>
      <c r="CB129" s="1382"/>
      <c r="CD129" s="1386">
        <f t="shared" si="237"/>
        <v>0</v>
      </c>
      <c r="DC129" s="16" t="str">
        <f>Mars!FC47</f>
        <v>non</v>
      </c>
      <c r="DG129" s="315">
        <f t="shared" si="238"/>
        <v>1</v>
      </c>
      <c r="DH129" s="129">
        <f t="shared" si="216"/>
        <v>10</v>
      </c>
      <c r="DI129" s="129">
        <f t="shared" si="239"/>
        <v>1</v>
      </c>
      <c r="DK129" s="16">
        <f>+IF(AND(Mars!$DP$8&lt;&gt;52,AR129=S.CAL!$BJ$4),10,1)</f>
        <v>1</v>
      </c>
      <c r="DN129" s="16">
        <f t="shared" si="217"/>
        <v>1</v>
      </c>
      <c r="DU129" s="1274" t="str">
        <f t="shared" si="240"/>
        <v>Fiche infoA646109</v>
      </c>
      <c r="DV129" s="1362">
        <f t="shared" si="218"/>
        <v>0</v>
      </c>
      <c r="DW129" s="1363">
        <f t="shared" si="219"/>
        <v>0</v>
      </c>
      <c r="DX129" s="1363">
        <f t="shared" si="220"/>
        <v>0</v>
      </c>
      <c r="DY129" s="1363">
        <f t="shared" si="221"/>
        <v>0</v>
      </c>
      <c r="DZ129" s="1363">
        <f t="shared" si="222"/>
        <v>0</v>
      </c>
      <c r="EA129" s="1363">
        <f t="shared" si="223"/>
        <v>0</v>
      </c>
      <c r="EB129" s="1363">
        <f t="shared" si="224"/>
        <v>0</v>
      </c>
      <c r="EC129" s="1363">
        <f t="shared" si="225"/>
        <v>0</v>
      </c>
      <c r="ED129" s="1363">
        <f t="shared" si="241"/>
        <v>0</v>
      </c>
      <c r="EE129" s="1364">
        <f t="shared" si="242"/>
        <v>0</v>
      </c>
      <c r="EG129" s="16" t="str">
        <f t="shared" si="243"/>
        <v>132026</v>
      </c>
      <c r="EH129" s="16" t="str">
        <f t="shared" si="226"/>
        <v>Fiche infoA6</v>
      </c>
      <c r="EI129" s="16" t="str">
        <f t="shared" si="227"/>
        <v/>
      </c>
    </row>
    <row r="130" spans="1:145" x14ac:dyDescent="0.2">
      <c r="A130" s="24" t="str">
        <f>Mars!BJ48</f>
        <v>Fiche infoA7</v>
      </c>
      <c r="B130" s="811">
        <f>Mars!AB48</f>
        <v>46110</v>
      </c>
      <c r="C130" s="1371"/>
      <c r="D130" s="981">
        <f t="shared" si="183"/>
        <v>0</v>
      </c>
      <c r="E130" s="434">
        <f t="shared" si="184"/>
        <v>0</v>
      </c>
      <c r="F130" s="434">
        <f t="shared" si="185"/>
        <v>0</v>
      </c>
      <c r="G130" s="434">
        <f t="shared" si="186"/>
        <v>0</v>
      </c>
      <c r="H130" s="434">
        <f t="shared" si="187"/>
        <v>0</v>
      </c>
      <c r="I130" s="434">
        <f t="shared" si="188"/>
        <v>0</v>
      </c>
      <c r="J130" s="434">
        <f t="shared" si="189"/>
        <v>0</v>
      </c>
      <c r="K130" s="434">
        <f t="shared" si="190"/>
        <v>0</v>
      </c>
      <c r="L130" s="434">
        <f t="shared" si="228"/>
        <v>0</v>
      </c>
      <c r="M130" s="982">
        <f t="shared" si="229"/>
        <v>0</v>
      </c>
      <c r="O130" s="981">
        <f t="shared" si="245"/>
        <v>0</v>
      </c>
      <c r="P130" s="434">
        <f t="shared" si="246"/>
        <v>0</v>
      </c>
      <c r="Q130" s="434">
        <f t="shared" si="247"/>
        <v>0</v>
      </c>
      <c r="R130" s="434">
        <f t="shared" si="248"/>
        <v>0</v>
      </c>
      <c r="S130" s="434">
        <f t="shared" si="249"/>
        <v>0</v>
      </c>
      <c r="T130" s="434">
        <f t="shared" si="250"/>
        <v>0</v>
      </c>
      <c r="U130" s="434">
        <f t="shared" si="251"/>
        <v>0</v>
      </c>
      <c r="V130" s="434">
        <f t="shared" si="252"/>
        <v>0</v>
      </c>
      <c r="W130" s="434">
        <f t="shared" si="199"/>
        <v>0</v>
      </c>
      <c r="X130" s="982">
        <f t="shared" si="200"/>
        <v>0</v>
      </c>
      <c r="Y130" s="441"/>
      <c r="Z130" s="277">
        <f t="shared" si="201"/>
        <v>0</v>
      </c>
      <c r="AA130" s="277">
        <f t="shared" si="202"/>
        <v>0</v>
      </c>
      <c r="AB130" s="277">
        <f t="shared" si="203"/>
        <v>0</v>
      </c>
      <c r="AC130" s="277">
        <f t="shared" si="204"/>
        <v>0</v>
      </c>
      <c r="AD130" s="277">
        <f t="shared" si="205"/>
        <v>0</v>
      </c>
      <c r="AE130" s="277">
        <f t="shared" si="206"/>
        <v>0</v>
      </c>
      <c r="AF130" s="277">
        <f t="shared" si="207"/>
        <v>0</v>
      </c>
      <c r="AG130" s="277">
        <f t="shared" si="208"/>
        <v>0</v>
      </c>
      <c r="AI130" s="444">
        <f t="shared" si="253"/>
        <v>0</v>
      </c>
      <c r="AJ130" s="1090"/>
      <c r="AK130" s="489"/>
      <c r="AL130" s="811">
        <f t="shared" si="210"/>
        <v>46110</v>
      </c>
      <c r="AM130" s="666">
        <f>IFERROR(IF(AND(AT130="",AR130&lt;&gt;S.CAL!$BJ$3,AR130&lt;&gt;S.CAL!$BJ$4,$AR$95="NON"),M130-BD130,IF(AND(AT130="",AR130&lt;&gt;S.CAL!$BJ$3,AR130&lt;&gt;S.CAL!$BJ$4,$AR$95="OUI"),X130-AI130,IF(AT130&lt;&gt;0,AT130,IF(OR(AR130=S.CAL!$BJ$3,AR130=S.CAL!$BJ$4),AR130,"")))),"")</f>
        <v>0</v>
      </c>
      <c r="AN130" s="1093"/>
      <c r="AO130" s="1094"/>
      <c r="AP130" s="666">
        <f>+IF(AND(AU130="",BB130="OUI",BH130="non",BI130="OUI"),AM130,IF(AND(AU130="",BB130="OUI",BH130="oui",BI130="NON"),AM130,IF(AND(AU130="",BB130="NON",BH130="oui",BI130="NON"),M130,IF(AND(AU130="",BB130="NON",BH130="non",BI130="OUI"),M130,IF(AND(AU130="",BB130="OUI",BH130="non",BI130="NON"),"ERREUR",IF(AND(AU130="",BB130="NON",BH130="non",BI130="NON"),AM130,IF(AND(AU130="",BB130="OUI",BH130="",BI130=""),AM130,IF(AND(AU130="",BB130="NON",BH130="",BI130="",AZ130="NON"),M130,IF(AND(AU130="",BH130="",AZ130="OUI",AR130=""),AM130,IF(AND(AU130="",BH130="",AZ130="NON",AR130="",AT130=""),M130,IF(AND(OR(AR130=S.CAL!$BJ$3,AR130=S.CAL!$BJ$4),(VLOOKUP($AM$95,base_nbre_sem_mensu,2,FALSE)=52)),EE130,IF(AND(OR(AR130=S.CAL!$BJ$3,AR130=S.CAL!$BJ$4),(VLOOKUP($AM$95,base_nbre_sem_mensu,2,FALSE)&lt;52)),AM130,IF(AND(AT130&lt;&gt;"",AU130=""),AT130,AU130)))))))))))))</f>
        <v>0</v>
      </c>
      <c r="AQ130" s="498">
        <f t="shared" si="230"/>
        <v>0</v>
      </c>
      <c r="AR130" s="1098"/>
      <c r="AT130" s="1101"/>
      <c r="AU130" s="813"/>
      <c r="AV130" s="1370">
        <f t="shared" si="211"/>
        <v>46110</v>
      </c>
      <c r="AX130" s="511">
        <f t="shared" si="231"/>
        <v>46110</v>
      </c>
      <c r="AY130" s="523">
        <f t="shared" si="232"/>
        <v>0</v>
      </c>
      <c r="AZ130" s="520" t="s">
        <v>137</v>
      </c>
      <c r="BA130" s="516">
        <f t="shared" si="233"/>
        <v>0</v>
      </c>
      <c r="BB130" s="549" t="str">
        <f t="shared" si="212"/>
        <v/>
      </c>
      <c r="BC130" s="523">
        <f t="shared" si="234"/>
        <v>0</v>
      </c>
      <c r="BD130" s="523">
        <f t="shared" si="235"/>
        <v>0</v>
      </c>
      <c r="BE130" s="1104"/>
      <c r="BF130" s="514" t="str">
        <f t="shared" si="213"/>
        <v/>
      </c>
      <c r="BG130" s="514" t="str">
        <f t="shared" si="236"/>
        <v>oui</v>
      </c>
      <c r="BH130" s="377" t="str">
        <f t="shared" si="214"/>
        <v/>
      </c>
      <c r="BI130" s="24" t="str">
        <f t="shared" si="215"/>
        <v/>
      </c>
      <c r="BJ130" s="1381"/>
      <c r="BK130" s="1381"/>
      <c r="BL130" s="1381"/>
      <c r="BM130" s="1381"/>
      <c r="BN130" s="1381"/>
      <c r="BO130" s="1381"/>
      <c r="BP130" s="1381"/>
      <c r="BQ130" s="1381"/>
      <c r="BS130" s="1370">
        <f t="shared" si="182"/>
        <v>46110</v>
      </c>
      <c r="BT130" s="27" t="str">
        <f t="shared" si="244"/>
        <v/>
      </c>
      <c r="BU130" s="1380"/>
      <c r="BV130" s="1380"/>
      <c r="BW130" s="1380"/>
      <c r="BX130" s="1380"/>
      <c r="BY130" s="1380"/>
      <c r="BZ130" s="1380"/>
      <c r="CA130" s="1380"/>
      <c r="CB130" s="1380"/>
      <c r="CD130" s="1386">
        <f t="shared" si="237"/>
        <v>0</v>
      </c>
      <c r="DC130" s="16" t="str">
        <f>Mars!FC48</f>
        <v>non</v>
      </c>
      <c r="DG130" s="315">
        <f t="shared" si="238"/>
        <v>1</v>
      </c>
      <c r="DH130" s="129">
        <f t="shared" si="216"/>
        <v>10</v>
      </c>
      <c r="DI130" s="129">
        <f t="shared" si="239"/>
        <v>1</v>
      </c>
      <c r="DK130" s="16">
        <f>+IF(AND(Mars!$DP$8&lt;&gt;52,AR130=S.CAL!$BJ$4),10,1)</f>
        <v>1</v>
      </c>
      <c r="DN130" s="16">
        <f t="shared" si="217"/>
        <v>1</v>
      </c>
      <c r="DU130" s="1274" t="str">
        <f t="shared" si="240"/>
        <v>Fiche infoA746110</v>
      </c>
      <c r="DV130" s="1362">
        <f t="shared" si="218"/>
        <v>0</v>
      </c>
      <c r="DW130" s="1363">
        <f t="shared" si="219"/>
        <v>0</v>
      </c>
      <c r="DX130" s="1363">
        <f t="shared" si="220"/>
        <v>0</v>
      </c>
      <c r="DY130" s="1363">
        <f t="shared" si="221"/>
        <v>0</v>
      </c>
      <c r="DZ130" s="1363">
        <f t="shared" si="222"/>
        <v>0</v>
      </c>
      <c r="EA130" s="1363">
        <f t="shared" si="223"/>
        <v>0</v>
      </c>
      <c r="EB130" s="1363">
        <f t="shared" si="224"/>
        <v>0</v>
      </c>
      <c r="EC130" s="1363">
        <f t="shared" si="225"/>
        <v>0</v>
      </c>
      <c r="ED130" s="1363">
        <f t="shared" si="241"/>
        <v>0</v>
      </c>
      <c r="EE130" s="1364">
        <f t="shared" si="242"/>
        <v>0</v>
      </c>
      <c r="EG130" s="16" t="str">
        <f t="shared" si="243"/>
        <v>132026</v>
      </c>
      <c r="EH130" s="16" t="str">
        <f t="shared" si="226"/>
        <v>Fiche infoA7</v>
      </c>
      <c r="EI130" s="16" t="str">
        <f t="shared" si="227"/>
        <v/>
      </c>
    </row>
    <row r="131" spans="1:145" x14ac:dyDescent="0.2">
      <c r="A131" s="1373" t="str">
        <f>Mars!BJ49</f>
        <v>Fiche infoA1</v>
      </c>
      <c r="B131" s="811">
        <f>Mars!AB49</f>
        <v>46111</v>
      </c>
      <c r="C131" s="1372"/>
      <c r="D131" s="981">
        <f t="shared" si="183"/>
        <v>0</v>
      </c>
      <c r="E131" s="434">
        <f t="shared" si="184"/>
        <v>0</v>
      </c>
      <c r="F131" s="434">
        <f t="shared" si="185"/>
        <v>0</v>
      </c>
      <c r="G131" s="434">
        <f t="shared" si="186"/>
        <v>0</v>
      </c>
      <c r="H131" s="434">
        <f t="shared" si="187"/>
        <v>0</v>
      </c>
      <c r="I131" s="434">
        <f t="shared" si="188"/>
        <v>0</v>
      </c>
      <c r="J131" s="434">
        <f t="shared" si="189"/>
        <v>0</v>
      </c>
      <c r="K131" s="434">
        <f t="shared" si="190"/>
        <v>0</v>
      </c>
      <c r="L131" s="434">
        <f t="shared" si="228"/>
        <v>0</v>
      </c>
      <c r="M131" s="982">
        <f t="shared" si="229"/>
        <v>0</v>
      </c>
      <c r="N131" s="1374"/>
      <c r="O131" s="981">
        <f t="shared" si="245"/>
        <v>0</v>
      </c>
      <c r="P131" s="434">
        <f t="shared" si="246"/>
        <v>0</v>
      </c>
      <c r="Q131" s="434">
        <f t="shared" si="247"/>
        <v>0</v>
      </c>
      <c r="R131" s="434">
        <f t="shared" si="248"/>
        <v>0</v>
      </c>
      <c r="S131" s="434">
        <f t="shared" si="249"/>
        <v>0</v>
      </c>
      <c r="T131" s="434">
        <f t="shared" si="250"/>
        <v>0</v>
      </c>
      <c r="U131" s="434">
        <f t="shared" si="251"/>
        <v>0</v>
      </c>
      <c r="V131" s="434">
        <f t="shared" si="252"/>
        <v>0</v>
      </c>
      <c r="W131" s="434">
        <f t="shared" si="199"/>
        <v>0</v>
      </c>
      <c r="X131" s="982">
        <f t="shared" si="200"/>
        <v>0</v>
      </c>
      <c r="Y131" s="1375"/>
      <c r="Z131" s="1376">
        <f t="shared" si="201"/>
        <v>0</v>
      </c>
      <c r="AA131" s="1376">
        <f t="shared" si="202"/>
        <v>0</v>
      </c>
      <c r="AB131" s="1376">
        <f t="shared" si="203"/>
        <v>0</v>
      </c>
      <c r="AC131" s="1376">
        <f t="shared" si="204"/>
        <v>0</v>
      </c>
      <c r="AD131" s="1376">
        <f t="shared" si="205"/>
        <v>0</v>
      </c>
      <c r="AE131" s="1376">
        <f t="shared" si="206"/>
        <v>0</v>
      </c>
      <c r="AF131" s="1376">
        <f t="shared" si="207"/>
        <v>0</v>
      </c>
      <c r="AG131" s="1376">
        <f t="shared" si="208"/>
        <v>0</v>
      </c>
      <c r="AH131" s="1374"/>
      <c r="AI131" s="444">
        <f t="shared" si="253"/>
        <v>0</v>
      </c>
      <c r="AJ131" s="1090"/>
      <c r="AK131" s="1377"/>
      <c r="AL131" s="811">
        <f t="shared" si="210"/>
        <v>46111</v>
      </c>
      <c r="AM131" s="666">
        <f>IFERROR(IF(AND(AT131="",AR131&lt;&gt;S.CAL!$BJ$3,AR131&lt;&gt;S.CAL!$BJ$4,$AR$95="NON"),M131-BD131,IF(AND(AT131="",AR131&lt;&gt;S.CAL!$BJ$3,AR131&lt;&gt;S.CAL!$BJ$4,$AR$95="OUI"),X131-AI131,IF(AT131&lt;&gt;0,AT131,IF(OR(AR131=S.CAL!$BJ$3,AR131=S.CAL!$BJ$4),AR131,"")))),"")</f>
        <v>0</v>
      </c>
      <c r="AN131" s="1093"/>
      <c r="AO131" s="1094"/>
      <c r="AP131" s="666">
        <f>+IF(AND(AU131="",BB131="OUI",BH131="non",BI131="OUI"),AM131,IF(AND(AU131="",BB131="OUI",BH131="oui",BI131="NON"),AM131,IF(AND(AU131="",BB131="NON",BH131="oui",BI131="NON"),M131,IF(AND(AU131="",BB131="NON",BH131="non",BI131="OUI"),M131,IF(AND(AU131="",BB131="OUI",BH131="non",BI131="NON"),"ERREUR",IF(AND(AU131="",BB131="NON",BH131="non",BI131="NON"),AM131,IF(AND(AU131="",BB131="OUI",BH131="",BI131=""),AM131,IF(AND(AU131="",BB131="NON",BH131="",BI131="",AZ131="NON"),M131,IF(AND(AU131="",BH131="",AZ131="OUI",AR131=""),AM131,IF(AND(AU131="",BH131="",AZ131="NON",AR131="",AT131=""),M131,IF(AND(OR(AR131=S.CAL!$BJ$3,AR131=S.CAL!$BJ$4),(VLOOKUP($AM$95,base_nbre_sem_mensu,2,FALSE)=52)),EE131,IF(AND(OR(AR131=S.CAL!$BJ$3,AR131=S.CAL!$BJ$4),(VLOOKUP($AM$95,base_nbre_sem_mensu,2,FALSE)&lt;52)),AM131,IF(AND(AT131&lt;&gt;"",AU131=""),AT131,AU131)))))))))))))</f>
        <v>0</v>
      </c>
      <c r="AQ131" s="1378">
        <f t="shared" si="230"/>
        <v>0</v>
      </c>
      <c r="AR131" s="1098"/>
      <c r="AS131" s="1374"/>
      <c r="AT131" s="1101"/>
      <c r="AU131" s="813"/>
      <c r="AV131" s="1370">
        <f t="shared" si="211"/>
        <v>46111</v>
      </c>
      <c r="AW131" s="1374"/>
      <c r="AX131" s="511">
        <f t="shared" si="231"/>
        <v>46111</v>
      </c>
      <c r="AY131" s="523">
        <f t="shared" si="232"/>
        <v>0</v>
      </c>
      <c r="AZ131" s="520" t="s">
        <v>137</v>
      </c>
      <c r="BA131" s="516">
        <f t="shared" si="233"/>
        <v>0</v>
      </c>
      <c r="BB131" s="549" t="str">
        <f t="shared" si="212"/>
        <v/>
      </c>
      <c r="BC131" s="523">
        <f t="shared" si="234"/>
        <v>0</v>
      </c>
      <c r="BD131" s="523">
        <f t="shared" si="235"/>
        <v>0</v>
      </c>
      <c r="BE131" s="1104"/>
      <c r="BF131" s="514" t="str">
        <f t="shared" si="213"/>
        <v/>
      </c>
      <c r="BG131" s="514" t="str">
        <f t="shared" si="236"/>
        <v>oui</v>
      </c>
      <c r="BH131" s="377" t="str">
        <f t="shared" si="214"/>
        <v/>
      </c>
      <c r="BI131" s="24" t="str">
        <f t="shared" si="215"/>
        <v/>
      </c>
      <c r="BJ131" s="1382"/>
      <c r="BK131" s="1382"/>
      <c r="BL131" s="1382"/>
      <c r="BM131" s="1382"/>
      <c r="BN131" s="1382"/>
      <c r="BO131" s="1382"/>
      <c r="BP131" s="1382"/>
      <c r="BQ131" s="1382"/>
      <c r="BR131" s="1383"/>
      <c r="BS131" s="1370">
        <f t="shared" si="182"/>
        <v>46111</v>
      </c>
      <c r="BT131" s="1384">
        <f t="shared" si="244"/>
        <v>14</v>
      </c>
      <c r="BU131" s="1382"/>
      <c r="BV131" s="1382"/>
      <c r="BW131" s="1382"/>
      <c r="BX131" s="1382"/>
      <c r="BY131" s="1382"/>
      <c r="BZ131" s="1382"/>
      <c r="CA131" s="1382"/>
      <c r="CB131" s="1382"/>
      <c r="CD131" s="1386">
        <f t="shared" si="237"/>
        <v>0</v>
      </c>
      <c r="DC131" s="16" t="str">
        <f>Mars!FC49</f>
        <v>non</v>
      </c>
      <c r="DG131" s="315">
        <f t="shared" si="238"/>
        <v>1</v>
      </c>
      <c r="DH131" s="129">
        <f t="shared" si="216"/>
        <v>10</v>
      </c>
      <c r="DI131" s="129">
        <f t="shared" si="239"/>
        <v>1</v>
      </c>
      <c r="DK131" s="16">
        <f>+IF(AND(Mars!$DP$8&lt;&gt;52,AR131=S.CAL!$BJ$4),10,1)</f>
        <v>1</v>
      </c>
      <c r="DN131" s="16">
        <f t="shared" si="217"/>
        <v>1</v>
      </c>
      <c r="DU131" s="1274" t="str">
        <f t="shared" si="240"/>
        <v>Fiche infoA146111</v>
      </c>
      <c r="DV131" s="1362">
        <f t="shared" si="218"/>
        <v>0</v>
      </c>
      <c r="DW131" s="1363">
        <f t="shared" si="219"/>
        <v>0</v>
      </c>
      <c r="DX131" s="1363">
        <f t="shared" si="220"/>
        <v>0</v>
      </c>
      <c r="DY131" s="1363">
        <f t="shared" si="221"/>
        <v>0</v>
      </c>
      <c r="DZ131" s="1363">
        <f t="shared" si="222"/>
        <v>0</v>
      </c>
      <c r="EA131" s="1363">
        <f t="shared" si="223"/>
        <v>0</v>
      </c>
      <c r="EB131" s="1363">
        <f t="shared" si="224"/>
        <v>0</v>
      </c>
      <c r="EC131" s="1363">
        <f t="shared" si="225"/>
        <v>0</v>
      </c>
      <c r="ED131" s="1363">
        <f t="shared" si="241"/>
        <v>0</v>
      </c>
      <c r="EE131" s="1364">
        <f t="shared" si="242"/>
        <v>0</v>
      </c>
      <c r="EG131" s="16" t="str">
        <f t="shared" si="243"/>
        <v>142026</v>
      </c>
      <c r="EH131" s="16" t="str">
        <f t="shared" si="226"/>
        <v>Fiche infoA1</v>
      </c>
      <c r="EI131" s="16" t="str">
        <f t="shared" si="227"/>
        <v/>
      </c>
    </row>
    <row r="132" spans="1:145" x14ac:dyDescent="0.2">
      <c r="A132" s="24" t="str">
        <f>Mars!BJ50</f>
        <v>Fiche infoA2</v>
      </c>
      <c r="B132" s="812">
        <f>Mars!AB50</f>
        <v>46112</v>
      </c>
      <c r="C132" s="1371"/>
      <c r="D132" s="983">
        <f t="shared" si="183"/>
        <v>0</v>
      </c>
      <c r="E132" s="984">
        <f t="shared" si="184"/>
        <v>0</v>
      </c>
      <c r="F132" s="984">
        <f t="shared" si="185"/>
        <v>0</v>
      </c>
      <c r="G132" s="984">
        <f t="shared" si="186"/>
        <v>0</v>
      </c>
      <c r="H132" s="984">
        <f t="shared" si="187"/>
        <v>0</v>
      </c>
      <c r="I132" s="984">
        <f t="shared" si="188"/>
        <v>0</v>
      </c>
      <c r="J132" s="984">
        <f t="shared" si="189"/>
        <v>0</v>
      </c>
      <c r="K132" s="984">
        <f t="shared" si="190"/>
        <v>0</v>
      </c>
      <c r="L132" s="984">
        <f t="shared" si="228"/>
        <v>0</v>
      </c>
      <c r="M132" s="985">
        <f t="shared" si="229"/>
        <v>0</v>
      </c>
      <c r="O132" s="983">
        <f t="shared" si="245"/>
        <v>0</v>
      </c>
      <c r="P132" s="984">
        <f t="shared" si="246"/>
        <v>0</v>
      </c>
      <c r="Q132" s="984">
        <f t="shared" si="247"/>
        <v>0</v>
      </c>
      <c r="R132" s="984">
        <f t="shared" si="248"/>
        <v>0</v>
      </c>
      <c r="S132" s="984">
        <f t="shared" si="249"/>
        <v>0</v>
      </c>
      <c r="T132" s="984">
        <f t="shared" si="250"/>
        <v>0</v>
      </c>
      <c r="U132" s="984">
        <f t="shared" si="251"/>
        <v>0</v>
      </c>
      <c r="V132" s="984">
        <f t="shared" si="252"/>
        <v>0</v>
      </c>
      <c r="W132" s="984">
        <f t="shared" si="199"/>
        <v>0</v>
      </c>
      <c r="X132" s="985">
        <f t="shared" si="200"/>
        <v>0</v>
      </c>
      <c r="Y132" s="441"/>
      <c r="Z132" s="277">
        <f t="shared" si="201"/>
        <v>0</v>
      </c>
      <c r="AA132" s="277">
        <f t="shared" si="202"/>
        <v>0</v>
      </c>
      <c r="AB132" s="277">
        <f t="shared" si="203"/>
        <v>0</v>
      </c>
      <c r="AC132" s="277">
        <f t="shared" si="204"/>
        <v>0</v>
      </c>
      <c r="AD132" s="277">
        <f t="shared" si="205"/>
        <v>0</v>
      </c>
      <c r="AE132" s="277">
        <f t="shared" si="206"/>
        <v>0</v>
      </c>
      <c r="AF132" s="277">
        <f t="shared" si="207"/>
        <v>0</v>
      </c>
      <c r="AG132" s="277">
        <f t="shared" si="208"/>
        <v>0</v>
      </c>
      <c r="AI132" s="444">
        <f t="shared" si="253"/>
        <v>0</v>
      </c>
      <c r="AJ132" s="1090"/>
      <c r="AK132" s="489"/>
      <c r="AL132" s="812">
        <f t="shared" si="210"/>
        <v>46112</v>
      </c>
      <c r="AM132" s="499">
        <f>IFERROR(IF(AND(AT132="",AR132&lt;&gt;S.CAL!$BJ$3,AR132&lt;&gt;S.CAL!$BJ$4,$AR$95="NON"),M132-BD132,IF(AND(AT132="",AR132&lt;&gt;S.CAL!$BJ$3,AR132&lt;&gt;S.CAL!$BJ$4,$AR$95="OUI"),X132-AI132,IF(AT132&lt;&gt;0,AT132,IF(OR(AR132=S.CAL!$BJ$3,AR132=S.CAL!$BJ$4),AR132,"")))),"")</f>
        <v>0</v>
      </c>
      <c r="AN132" s="1095"/>
      <c r="AO132" s="1096"/>
      <c r="AP132" s="499">
        <f>+IF(AND(AU132="",BB132="OUI",BH132="non",BI132="OUI"),AM132,IF(AND(AU132="",BB132="OUI",BH132="oui",BI132="NON"),AM132,IF(AND(AU132="",BB132="NON",BH132="oui",BI132="NON"),M132,IF(AND(AU132="",BB132="NON",BH132="non",BI132="OUI"),M132,IF(AND(AU132="",BB132="OUI",BH132="non",BI132="NON"),"ERREUR",IF(AND(AU132="",BB132="NON",BH132="non",BI132="NON"),AM132,IF(AND(AU132="",BB132="OUI",BH132="",BI132=""),AM132,IF(AND(AU132="",BB132="NON",BH132="",BI132="",AZ132="NON"),M132,IF(AND(AU132="",BH132="",AZ132="OUI",AR132=""),AM132,IF(AND(AU132="",BH132="",AZ132="NON",AR132="",AT132=""),M132,IF(AND(OR(AR132=S.CAL!$BJ$3,AR132=S.CAL!$BJ$4),(VLOOKUP($AM$95,base_nbre_sem_mensu,2,FALSE)=52)),EE132,IF(AND(OR(AR132=S.CAL!$BJ$3,AR132=S.CAL!$BJ$4),(VLOOKUP($AM$95,base_nbre_sem_mensu,2,FALSE)&lt;52)),AM132,IF(AND(AT132&lt;&gt;"",AU132=""),AT132,AU132)))))))))))))</f>
        <v>0</v>
      </c>
      <c r="AQ132" s="498">
        <f t="shared" si="230"/>
        <v>0</v>
      </c>
      <c r="AR132" s="1099"/>
      <c r="AT132" s="1102"/>
      <c r="AU132" s="814"/>
      <c r="AV132" s="812">
        <f t="shared" si="211"/>
        <v>46112</v>
      </c>
      <c r="AX132" s="511">
        <f t="shared" si="231"/>
        <v>46112</v>
      </c>
      <c r="AY132" s="524">
        <f t="shared" si="232"/>
        <v>0</v>
      </c>
      <c r="AZ132" s="521" t="s">
        <v>137</v>
      </c>
      <c r="BA132" s="534">
        <f t="shared" si="233"/>
        <v>0</v>
      </c>
      <c r="BB132" s="522" t="str">
        <f t="shared" si="212"/>
        <v/>
      </c>
      <c r="BC132" s="524">
        <f t="shared" si="234"/>
        <v>0</v>
      </c>
      <c r="BD132" s="524">
        <f t="shared" si="235"/>
        <v>0</v>
      </c>
      <c r="BE132" s="1105"/>
      <c r="BF132" s="514" t="str">
        <f t="shared" si="213"/>
        <v/>
      </c>
      <c r="BG132" s="514" t="str">
        <f t="shared" si="236"/>
        <v>oui</v>
      </c>
      <c r="BH132" s="377" t="str">
        <f t="shared" si="214"/>
        <v/>
      </c>
      <c r="BI132" s="24" t="str">
        <f t="shared" si="215"/>
        <v/>
      </c>
      <c r="BJ132" s="1381"/>
      <c r="BK132" s="1381"/>
      <c r="BL132" s="1381"/>
      <c r="BM132" s="1381"/>
      <c r="BN132" s="1381"/>
      <c r="BO132" s="1381"/>
      <c r="BP132" s="1381"/>
      <c r="BQ132" s="1381"/>
      <c r="BS132" s="812">
        <f t="shared" si="182"/>
        <v>46112</v>
      </c>
      <c r="BT132" s="27" t="str">
        <f t="shared" si="244"/>
        <v/>
      </c>
      <c r="BU132" s="1380"/>
      <c r="BV132" s="1380"/>
      <c r="BW132" s="1380"/>
      <c r="BX132" s="1380"/>
      <c r="BY132" s="1380"/>
      <c r="BZ132" s="1380"/>
      <c r="CA132" s="1380"/>
      <c r="CB132" s="1380"/>
      <c r="CD132" s="1387">
        <f t="shared" si="237"/>
        <v>0</v>
      </c>
      <c r="DC132" s="16" t="str">
        <f>Mars!FC50</f>
        <v>non</v>
      </c>
      <c r="DG132" s="315">
        <f t="shared" si="238"/>
        <v>1</v>
      </c>
      <c r="DH132" s="129">
        <f t="shared" si="216"/>
        <v>10</v>
      </c>
      <c r="DI132" s="129">
        <f t="shared" si="239"/>
        <v>1</v>
      </c>
      <c r="DK132" s="16">
        <f>+IF(AND(Mars!$DP$8&lt;&gt;52,AR132=S.CAL!$BJ$4),10,1)</f>
        <v>1</v>
      </c>
      <c r="DN132" s="16">
        <f t="shared" si="217"/>
        <v>1</v>
      </c>
      <c r="DU132" s="1274" t="str">
        <f t="shared" si="240"/>
        <v>Fiche infoA246112</v>
      </c>
      <c r="DV132" s="1362">
        <f t="shared" si="218"/>
        <v>0</v>
      </c>
      <c r="DW132" s="1363">
        <f t="shared" si="219"/>
        <v>0</v>
      </c>
      <c r="DX132" s="1363">
        <f t="shared" si="220"/>
        <v>0</v>
      </c>
      <c r="DY132" s="1363">
        <f t="shared" si="221"/>
        <v>0</v>
      </c>
      <c r="DZ132" s="1363">
        <f t="shared" si="222"/>
        <v>0</v>
      </c>
      <c r="EA132" s="1363">
        <f t="shared" si="223"/>
        <v>0</v>
      </c>
      <c r="EB132" s="1363">
        <f t="shared" si="224"/>
        <v>0</v>
      </c>
      <c r="EC132" s="1363">
        <f t="shared" si="225"/>
        <v>0</v>
      </c>
      <c r="ED132" s="1363">
        <f t="shared" si="241"/>
        <v>0</v>
      </c>
      <c r="EE132" s="1364">
        <f t="shared" si="242"/>
        <v>0</v>
      </c>
      <c r="EG132" s="16" t="str">
        <f t="shared" si="243"/>
        <v>142026</v>
      </c>
      <c r="EH132" s="16" t="str">
        <f t="shared" si="226"/>
        <v>Fiche infoA2</v>
      </c>
      <c r="EI132" s="16" t="str">
        <f t="shared" si="227"/>
        <v/>
      </c>
    </row>
    <row r="133" spans="1:145" x14ac:dyDescent="0.2">
      <c r="AM133" s="536">
        <f>SUM(AM102:AM132)</f>
        <v>0</v>
      </c>
      <c r="AN133" s="500">
        <f>SUM(AN102:AN132)</f>
        <v>0</v>
      </c>
      <c r="AO133" s="500">
        <f>SUM(AO102:AO132)</f>
        <v>0</v>
      </c>
      <c r="AP133" s="501">
        <f>SUM(AP102:AP132)</f>
        <v>0</v>
      </c>
      <c r="BD133" s="547">
        <f>SUM(BD102:BD132)</f>
        <v>0</v>
      </c>
      <c r="EE133" s="1364"/>
    </row>
    <row r="134" spans="1:145" x14ac:dyDescent="0.2">
      <c r="X134" s="29" t="s">
        <v>441</v>
      </c>
      <c r="Y134" s="29"/>
      <c r="Z134" s="29"/>
      <c r="AA134" s="29"/>
      <c r="AB134" s="29"/>
      <c r="AC134" s="29"/>
      <c r="AD134" s="29"/>
      <c r="AE134" s="29"/>
      <c r="AF134" s="29"/>
      <c r="AG134" s="29"/>
      <c r="AI134" s="445">
        <f>SUM(AI102:AI132)</f>
        <v>0</v>
      </c>
      <c r="AJ134" s="19"/>
      <c r="AK134" s="19"/>
      <c r="AL134" s="19"/>
      <c r="AM134" s="19"/>
      <c r="AN134" s="19"/>
      <c r="AO134" s="19"/>
      <c r="AP134" s="19"/>
      <c r="AQ134" s="494"/>
    </row>
    <row r="136" spans="1:145" ht="23.25" x14ac:dyDescent="0.35">
      <c r="B136" s="435" t="s">
        <v>794</v>
      </c>
      <c r="C136" s="435"/>
      <c r="D136" s="435"/>
      <c r="BS136" s="19" t="s">
        <v>1524</v>
      </c>
      <c r="EK136" s="16" t="str">
        <f>+EG146</f>
        <v>numero sem</v>
      </c>
      <c r="EL136" s="27" t="s">
        <v>1518</v>
      </c>
      <c r="EM136" s="27" t="s">
        <v>1519</v>
      </c>
      <c r="EN136" s="16" t="s">
        <v>1520</v>
      </c>
    </row>
    <row r="137" spans="1:145" ht="13.5" thickBot="1" x14ac:dyDescent="0.25">
      <c r="AR137" s="1717" t="s">
        <v>989</v>
      </c>
      <c r="AS137" s="1718"/>
      <c r="AT137" s="1719"/>
      <c r="BT137" s="29" t="s">
        <v>1527</v>
      </c>
      <c r="BU137" s="27" t="str">
        <f>+IFERROR(EJ137,"")</f>
        <v>14</v>
      </c>
      <c r="BV137" s="53" t="str">
        <f>IF(BU137="","",+EN137)</f>
        <v>non</v>
      </c>
      <c r="BW137" s="1729" t="str">
        <f>+IF(BV137="oui", "Ecart "&amp;EO137&amp;" hrs","")</f>
        <v/>
      </c>
      <c r="BX137" s="1729"/>
      <c r="EJ137" s="16" t="str">
        <f>LEFT(EK137,LEN(EK137)-4)</f>
        <v>14</v>
      </c>
      <c r="EK137" s="16" t="str" cm="1">
        <f t="array" ref="EK137">IFERROR(INDEX(EG147:EG177,MATCH(0,INDEX(COUNTIF(EK136:EK136,EG147:EG177),0,0),0)),"")</f>
        <v>142026</v>
      </c>
      <c r="EL137" s="27">
        <f>+SUMIFS($EE$12:$EE$537,$EG$12:$EG$537,EK137)</f>
        <v>0</v>
      </c>
      <c r="EM137" s="27">
        <f>+SUMIFS($EI$12:$EI$537,$EG$12:$EG$537,EK137)</f>
        <v>0</v>
      </c>
      <c r="EN137" s="16" t="str">
        <f t="shared" ref="EN137:EN142" si="254">+IF(AND(EL137&lt;&gt;EM137,EK137&lt;&gt;""),"oui","non")</f>
        <v>non</v>
      </c>
      <c r="EO137" s="16">
        <f>+EL137-EM137</f>
        <v>0</v>
      </c>
    </row>
    <row r="138" spans="1:145" ht="13.5" thickTop="1" x14ac:dyDescent="0.2">
      <c r="C138" s="39" t="s">
        <v>793</v>
      </c>
      <c r="D138" s="1713">
        <f>+Identification!$B$7</f>
        <v>0</v>
      </c>
      <c r="E138" s="1713"/>
      <c r="F138" s="1713"/>
      <c r="G138" s="1713"/>
      <c r="O138" s="436" t="s">
        <v>76</v>
      </c>
      <c r="P138" s="32"/>
      <c r="Q138" s="33"/>
      <c r="R138" s="436" t="s">
        <v>140</v>
      </c>
      <c r="S138" s="32"/>
      <c r="T138" s="32"/>
      <c r="U138" s="32"/>
      <c r="V138" s="32"/>
      <c r="W138" s="32"/>
      <c r="X138" s="33"/>
      <c r="AR138" s="1720"/>
      <c r="AS138" s="1721"/>
      <c r="AT138" s="1722"/>
      <c r="BU138" s="27" t="str">
        <f t="shared" ref="BU138:BU142" si="255">+IFERROR(EJ138,"")</f>
        <v>15</v>
      </c>
      <c r="BV138" s="53" t="str">
        <f t="shared" ref="BV138:BV142" si="256">IF(BU138="","",+EN138)</f>
        <v>non</v>
      </c>
      <c r="BW138" s="1729" t="str">
        <f t="shared" ref="BW138:BW142" si="257">+IF(BV138="oui", "Ecart "&amp;EO138&amp;" hrs","")</f>
        <v/>
      </c>
      <c r="BX138" s="1729"/>
      <c r="EJ138" s="16" t="str">
        <f t="shared" ref="EJ138:EJ143" si="258">LEFT(EK138,LEN(EK138)-4)</f>
        <v>15</v>
      </c>
      <c r="EK138" s="16" t="str" cm="1">
        <f t="array" ref="EK138">IFERROR(INDEX(EG147:EG177,MATCH(0,INDEX(COUNTIF(EK136:EK137,EG147:EG177),0,0),0)),"")</f>
        <v>152026</v>
      </c>
      <c r="EL138" s="27">
        <f t="shared" ref="EL138:EL142" si="259">+SUMIFS($EE$12:$EE$537,$EG$12:$EG$537,EK138)</f>
        <v>0</v>
      </c>
      <c r="EM138" s="27">
        <f t="shared" ref="EM138:EM143" si="260">+SUMIFS($EI$12:$EI$537,$EG$12:$EG$537,EK138)</f>
        <v>0</v>
      </c>
      <c r="EN138" s="16" t="str">
        <f t="shared" si="254"/>
        <v>non</v>
      </c>
      <c r="EO138" s="16">
        <f t="shared" ref="EO138:EO143" si="261">+EL138-EM138</f>
        <v>0</v>
      </c>
    </row>
    <row r="139" spans="1:145" x14ac:dyDescent="0.2">
      <c r="O139" s="35"/>
      <c r="Q139" s="36"/>
      <c r="R139" s="1723"/>
      <c r="S139" s="1724"/>
      <c r="T139" s="1724"/>
      <c r="U139" s="1724"/>
      <c r="V139" s="1724"/>
      <c r="W139" s="1724"/>
      <c r="X139" s="1725"/>
      <c r="Y139" s="442"/>
      <c r="Z139" s="442"/>
      <c r="AA139" s="442"/>
      <c r="AB139" s="442"/>
      <c r="AC139" s="442"/>
      <c r="AD139" s="442"/>
      <c r="AE139" s="442"/>
      <c r="AF139" s="442"/>
      <c r="AG139" s="442"/>
      <c r="AR139" s="1720"/>
      <c r="AS139" s="1721"/>
      <c r="AT139" s="1722"/>
      <c r="BU139" s="27" t="str">
        <f t="shared" si="255"/>
        <v>16</v>
      </c>
      <c r="BV139" s="53" t="str">
        <f t="shared" si="256"/>
        <v>non</v>
      </c>
      <c r="BW139" s="1729" t="str">
        <f t="shared" si="257"/>
        <v/>
      </c>
      <c r="BX139" s="1729"/>
      <c r="EJ139" s="16" t="str">
        <f t="shared" si="258"/>
        <v>16</v>
      </c>
      <c r="EK139" s="16" t="str">
        <f t="array" ref="EK139">IFERROR(INDEX(EG147:EG177,MATCH(0,INDEX(COUNTIF(EK136:EK138,EG147:EG177),0,0),0)),"")</f>
        <v>162026</v>
      </c>
      <c r="EL139" s="27">
        <f t="shared" si="259"/>
        <v>0</v>
      </c>
      <c r="EM139" s="27">
        <f t="shared" si="260"/>
        <v>0</v>
      </c>
      <c r="EN139" s="16" t="str">
        <f t="shared" si="254"/>
        <v>non</v>
      </c>
      <c r="EO139" s="16">
        <f t="shared" si="261"/>
        <v>0</v>
      </c>
    </row>
    <row r="140" spans="1:145" x14ac:dyDescent="0.2">
      <c r="C140" s="39" t="s">
        <v>25</v>
      </c>
      <c r="D140" s="1713">
        <f>+Identification!$B$25</f>
        <v>0</v>
      </c>
      <c r="E140" s="1713"/>
      <c r="O140" s="35"/>
      <c r="Q140" s="36"/>
      <c r="R140" s="1723"/>
      <c r="S140" s="1724"/>
      <c r="T140" s="1724"/>
      <c r="U140" s="1724"/>
      <c r="V140" s="1724"/>
      <c r="W140" s="1724"/>
      <c r="X140" s="1725"/>
      <c r="Y140" s="442"/>
      <c r="Z140" s="442"/>
      <c r="AA140" s="442"/>
      <c r="AB140" s="442"/>
      <c r="AC140" s="442"/>
      <c r="AD140" s="442"/>
      <c r="AE140" s="442"/>
      <c r="AF140" s="442"/>
      <c r="AG140" s="442"/>
      <c r="AL140" s="16" t="str">
        <f t="shared" ref="AL140" si="262">C143</f>
        <v>Mois :</v>
      </c>
      <c r="AM140" s="1716">
        <f t="shared" ref="AM140" si="263">D143</f>
        <v>46113</v>
      </c>
      <c r="AN140" s="1716">
        <f t="shared" ref="AN140" si="264">E143</f>
        <v>0</v>
      </c>
      <c r="AR140" s="539" t="str">
        <f>IF(AT140="",AR95,AT140)</f>
        <v>NON</v>
      </c>
      <c r="AS140" s="538" t="s">
        <v>492</v>
      </c>
      <c r="AT140" s="1083"/>
      <c r="BJ140" s="16" t="str">
        <f t="shared" ref="BJ140" si="265">AL140</f>
        <v>Mois :</v>
      </c>
      <c r="BK140" s="1716">
        <f t="shared" ref="BK140" si="266">AM140</f>
        <v>46113</v>
      </c>
      <c r="BL140" s="1716"/>
      <c r="BU140" s="27" t="str">
        <f t="shared" si="255"/>
        <v>17</v>
      </c>
      <c r="BV140" s="53" t="str">
        <f t="shared" si="256"/>
        <v>non</v>
      </c>
      <c r="BW140" s="1729" t="str">
        <f t="shared" si="257"/>
        <v/>
      </c>
      <c r="BX140" s="1729"/>
      <c r="EJ140" s="16" t="str">
        <f t="shared" si="258"/>
        <v>17</v>
      </c>
      <c r="EK140" s="16" t="str">
        <f t="array" ref="EK140">IFERROR(INDEX(EG147:EG177,MATCH(0,INDEX(COUNTIF(EK136:EK139,EG147:EG177),0,0),0)),"")</f>
        <v>172026</v>
      </c>
      <c r="EL140" s="27">
        <f t="shared" si="259"/>
        <v>0</v>
      </c>
      <c r="EM140" s="27">
        <f t="shared" si="260"/>
        <v>0</v>
      </c>
      <c r="EN140" s="16" t="str">
        <f t="shared" si="254"/>
        <v>non</v>
      </c>
      <c r="EO140" s="16">
        <f t="shared" si="261"/>
        <v>0</v>
      </c>
    </row>
    <row r="141" spans="1:145" ht="13.5" thickBot="1" x14ac:dyDescent="0.25">
      <c r="O141" s="42"/>
      <c r="P141" s="43"/>
      <c r="Q141" s="44"/>
      <c r="R141" s="1726"/>
      <c r="S141" s="1727"/>
      <c r="T141" s="1727"/>
      <c r="U141" s="1727"/>
      <c r="V141" s="1727"/>
      <c r="W141" s="1727"/>
      <c r="X141" s="1728"/>
      <c r="Y141" s="442"/>
      <c r="Z141" s="442"/>
      <c r="AA141" s="442"/>
      <c r="AB141" s="442"/>
      <c r="AC141" s="442"/>
      <c r="AD141" s="442"/>
      <c r="AE141" s="442"/>
      <c r="AF141" s="442"/>
      <c r="AG141" s="442"/>
      <c r="BU141" s="27" t="str">
        <f t="shared" si="255"/>
        <v>18</v>
      </c>
      <c r="BV141" s="53" t="str">
        <f t="shared" si="256"/>
        <v>non</v>
      </c>
      <c r="BW141" s="1729" t="str">
        <f t="shared" si="257"/>
        <v/>
      </c>
      <c r="BX141" s="1729"/>
      <c r="EJ141" s="16" t="str">
        <f t="shared" si="258"/>
        <v>18</v>
      </c>
      <c r="EK141" s="16" t="str">
        <f t="array" ref="EK141">IFERROR(INDEX(EG147:EG177,MATCH(0,INDEX(COUNTIF(EK136:EK140,EG147:EG177),0,0),0)),"")</f>
        <v>182026</v>
      </c>
      <c r="EL141" s="27">
        <f t="shared" si="259"/>
        <v>0</v>
      </c>
      <c r="EM141" s="27">
        <f t="shared" si="260"/>
        <v>0</v>
      </c>
      <c r="EN141" s="16" t="str">
        <f t="shared" si="254"/>
        <v>non</v>
      </c>
      <c r="EO141" s="16">
        <f t="shared" si="261"/>
        <v>0</v>
      </c>
    </row>
    <row r="142" spans="1:145" ht="13.5" thickTop="1" x14ac:dyDescent="0.2">
      <c r="AI142" s="535" t="s">
        <v>986</v>
      </c>
      <c r="BU142" s="27" t="str">
        <f t="shared" si="255"/>
        <v/>
      </c>
      <c r="BV142" s="53" t="str">
        <f t="shared" si="256"/>
        <v/>
      </c>
      <c r="BW142" s="1729" t="str">
        <f t="shared" si="257"/>
        <v/>
      </c>
      <c r="BX142" s="1729"/>
      <c r="EJ142" s="16" t="e">
        <f t="shared" si="258"/>
        <v>#VALUE!</v>
      </c>
      <c r="EK142" s="16" t="str">
        <f t="array" ref="EK142">IFERROR(INDEX(EG147:EG177,MATCH(0,INDEX(COUNTIF(EK136:EK141,EG147:EG177),0,0),0)),"")</f>
        <v/>
      </c>
      <c r="EL142" s="27">
        <f t="shared" si="259"/>
        <v>0</v>
      </c>
      <c r="EM142" s="27">
        <f t="shared" si="260"/>
        <v>0</v>
      </c>
      <c r="EN142" s="16" t="str">
        <f t="shared" si="254"/>
        <v>non</v>
      </c>
      <c r="EO142" s="16">
        <f t="shared" si="261"/>
        <v>0</v>
      </c>
    </row>
    <row r="143" spans="1:145" x14ac:dyDescent="0.2">
      <c r="C143" s="39" t="s">
        <v>28</v>
      </c>
      <c r="D143" s="1716">
        <f>+Avril!X3</f>
        <v>46113</v>
      </c>
      <c r="E143" s="1716"/>
      <c r="F143" s="39" t="s">
        <v>12</v>
      </c>
      <c r="G143" s="63">
        <f>+Avril!X4</f>
        <v>2026</v>
      </c>
      <c r="EJ143" s="16" t="e">
        <f t="shared" si="258"/>
        <v>#VALUE!</v>
      </c>
      <c r="EK143" s="16" t="str">
        <f t="array" ref="EK143">IFERROR(INDEX($EG$12:$EG$42,MATCH(0,INDEX(COUNTIF($EK$1:EK142,$EG$12:$EG$42),0,0),0)),"")</f>
        <v/>
      </c>
      <c r="EL143" s="27">
        <f>+SUMIFS($EE$12:$EE$537,$EG$12:$EG$537,EK143)</f>
        <v>0</v>
      </c>
      <c r="EM143" s="27">
        <f t="shared" si="260"/>
        <v>0</v>
      </c>
      <c r="EN143" s="16" t="str">
        <f>+IF(AND(EL143&lt;&gt;EM143,EK143&lt;&gt;""),"oui","non")</f>
        <v>non</v>
      </c>
      <c r="EO143" s="16">
        <f t="shared" si="261"/>
        <v>0</v>
      </c>
    </row>
    <row r="144" spans="1:145" x14ac:dyDescent="0.2">
      <c r="AL144" s="1714" t="s">
        <v>960</v>
      </c>
      <c r="AM144" s="1714"/>
      <c r="AN144" s="1714"/>
      <c r="AO144" s="1714"/>
      <c r="AP144" s="1714"/>
      <c r="AQ144" s="492"/>
      <c r="AT144" s="1715" t="s">
        <v>749</v>
      </c>
      <c r="AU144" s="1715"/>
      <c r="AV144" s="1715"/>
      <c r="AW144" s="63"/>
      <c r="AX144" s="63"/>
      <c r="AY144" s="517" t="s">
        <v>975</v>
      </c>
      <c r="AZ144" s="518"/>
      <c r="BA144" s="518"/>
      <c r="BB144" s="518"/>
      <c r="BC144" s="519"/>
      <c r="BD144" s="519"/>
      <c r="BE144" s="519"/>
      <c r="BF144" s="512"/>
      <c r="BG144" s="512"/>
      <c r="BJ144" s="437"/>
      <c r="BK144" s="437"/>
      <c r="BL144" s="437"/>
      <c r="BM144" s="437"/>
      <c r="BN144" s="437"/>
      <c r="BO144" s="437"/>
      <c r="BP144" s="437"/>
      <c r="BQ144" s="437"/>
      <c r="BU144" s="438"/>
      <c r="BV144" s="438"/>
      <c r="BW144" s="438"/>
      <c r="BX144" s="438"/>
      <c r="BY144" s="438"/>
      <c r="BZ144" s="438"/>
      <c r="CA144" s="438"/>
      <c r="CB144" s="438"/>
    </row>
    <row r="145" spans="1:139" ht="15" customHeight="1" x14ac:dyDescent="0.2">
      <c r="D145" s="439" t="s">
        <v>791</v>
      </c>
      <c r="E145" s="438"/>
      <c r="F145" s="438"/>
      <c r="G145" s="438"/>
      <c r="H145" s="438"/>
      <c r="I145" s="438"/>
      <c r="J145" s="438"/>
      <c r="K145" s="438"/>
      <c r="L145" s="438"/>
      <c r="M145" s="438"/>
      <c r="O145" s="440" t="s">
        <v>790</v>
      </c>
      <c r="P145" s="437"/>
      <c r="Q145" s="437"/>
      <c r="R145" s="437"/>
      <c r="S145" s="437"/>
      <c r="T145" s="437"/>
      <c r="U145" s="437"/>
      <c r="V145" s="437"/>
      <c r="W145" s="437"/>
      <c r="X145" s="437"/>
      <c r="BJ145" s="1087" t="s">
        <v>792</v>
      </c>
      <c r="BK145" s="1088"/>
      <c r="BL145" s="1088"/>
      <c r="BM145" s="1088"/>
      <c r="BN145" s="1088"/>
      <c r="BO145" s="1088"/>
      <c r="BP145" s="1088"/>
      <c r="BQ145" s="1088"/>
      <c r="BU145" s="1087" t="s">
        <v>1369</v>
      </c>
      <c r="BV145" s="1088"/>
      <c r="BW145" s="1088"/>
      <c r="BX145" s="1088"/>
      <c r="BY145" s="1088"/>
      <c r="BZ145" s="1088"/>
      <c r="CA145" s="1088"/>
      <c r="CB145" s="1088"/>
      <c r="DG145" s="315" t="s">
        <v>1326</v>
      </c>
      <c r="DH145" s="129"/>
      <c r="DI145" s="129"/>
      <c r="DK145" s="129" t="s">
        <v>1331</v>
      </c>
      <c r="DN145" s="16" t="s">
        <v>1334</v>
      </c>
      <c r="DV145" s="825" t="s">
        <v>1521</v>
      </c>
      <c r="DW145" s="825"/>
      <c r="DX145" s="825"/>
      <c r="DY145" s="825"/>
      <c r="DZ145" s="825"/>
      <c r="EA145" s="825"/>
      <c r="EB145" s="825"/>
      <c r="EC145" s="825"/>
      <c r="ED145" s="825"/>
      <c r="EE145" s="825"/>
    </row>
    <row r="146" spans="1:139" ht="56.25" customHeight="1" x14ac:dyDescent="0.2">
      <c r="A146" s="24" t="s">
        <v>789</v>
      </c>
      <c r="B146" s="432" t="s">
        <v>16</v>
      </c>
      <c r="C146" s="433"/>
      <c r="D146" s="432" t="s">
        <v>219</v>
      </c>
      <c r="E146" s="432" t="s">
        <v>220</v>
      </c>
      <c r="F146" s="432" t="s">
        <v>221</v>
      </c>
      <c r="G146" s="432" t="s">
        <v>222</v>
      </c>
      <c r="H146" s="432" t="s">
        <v>522</v>
      </c>
      <c r="I146" s="432" t="s">
        <v>523</v>
      </c>
      <c r="J146" s="432" t="s">
        <v>524</v>
      </c>
      <c r="K146" s="432" t="s">
        <v>525</v>
      </c>
      <c r="L146" s="432" t="s">
        <v>182</v>
      </c>
      <c r="M146" s="432" t="s">
        <v>183</v>
      </c>
      <c r="N146" s="433"/>
      <c r="O146" s="432" t="s">
        <v>219</v>
      </c>
      <c r="P146" s="432" t="s">
        <v>220</v>
      </c>
      <c r="Q146" s="432" t="s">
        <v>221</v>
      </c>
      <c r="R146" s="432" t="s">
        <v>222</v>
      </c>
      <c r="S146" s="432" t="s">
        <v>522</v>
      </c>
      <c r="T146" s="432" t="s">
        <v>523</v>
      </c>
      <c r="U146" s="432" t="s">
        <v>524</v>
      </c>
      <c r="V146" s="432" t="s">
        <v>525</v>
      </c>
      <c r="W146" s="432" t="s">
        <v>182</v>
      </c>
      <c r="X146" s="432" t="s">
        <v>183</v>
      </c>
      <c r="Y146" s="433"/>
      <c r="Z146" s="432" t="s">
        <v>796</v>
      </c>
      <c r="AA146" s="432" t="s">
        <v>797</v>
      </c>
      <c r="AB146" s="432" t="s">
        <v>798</v>
      </c>
      <c r="AC146" s="432" t="s">
        <v>799</v>
      </c>
      <c r="AD146" s="432" t="s">
        <v>800</v>
      </c>
      <c r="AE146" s="432" t="s">
        <v>801</v>
      </c>
      <c r="AF146" s="432" t="s">
        <v>802</v>
      </c>
      <c r="AG146" s="432" t="s">
        <v>803</v>
      </c>
      <c r="AI146" s="432" t="s">
        <v>804</v>
      </c>
      <c r="AJ146" s="432" t="s">
        <v>795</v>
      </c>
      <c r="AK146" s="433"/>
      <c r="AL146" s="495" t="s">
        <v>16</v>
      </c>
      <c r="AM146" s="530" t="s">
        <v>1003</v>
      </c>
      <c r="AN146" s="1084" t="s">
        <v>958</v>
      </c>
      <c r="AO146" s="1085" t="s">
        <v>959</v>
      </c>
      <c r="AP146" s="496" t="s">
        <v>1707</v>
      </c>
      <c r="AQ146" s="493"/>
      <c r="AR146" s="1086" t="s">
        <v>684</v>
      </c>
      <c r="AT146" s="1086" t="s">
        <v>1333</v>
      </c>
      <c r="AU146" s="1085" t="s">
        <v>1707</v>
      </c>
      <c r="AV146" s="432" t="s">
        <v>16</v>
      </c>
      <c r="AW146" s="433"/>
      <c r="AX146" s="433"/>
      <c r="AY146" s="529" t="s">
        <v>972</v>
      </c>
      <c r="AZ146" s="530" t="s">
        <v>978</v>
      </c>
      <c r="BA146" s="513" t="s">
        <v>976</v>
      </c>
      <c r="BB146" s="550" t="s">
        <v>977</v>
      </c>
      <c r="BC146" s="551" t="s">
        <v>1005</v>
      </c>
      <c r="BD146" s="550" t="s">
        <v>979</v>
      </c>
      <c r="BE146" s="552" t="s">
        <v>1004</v>
      </c>
      <c r="BF146" s="513" t="s">
        <v>980</v>
      </c>
      <c r="BG146" s="513" t="s">
        <v>985</v>
      </c>
      <c r="BI146" s="24" t="s">
        <v>1011</v>
      </c>
      <c r="BJ146" s="432" t="s">
        <v>219</v>
      </c>
      <c r="BK146" s="432" t="s">
        <v>220</v>
      </c>
      <c r="BL146" s="432" t="s">
        <v>221</v>
      </c>
      <c r="BM146" s="432" t="s">
        <v>222</v>
      </c>
      <c r="BN146" s="432" t="s">
        <v>522</v>
      </c>
      <c r="BO146" s="432" t="s">
        <v>523</v>
      </c>
      <c r="BP146" s="432" t="s">
        <v>524</v>
      </c>
      <c r="BQ146" s="432" t="s">
        <v>525</v>
      </c>
      <c r="BS146" s="1361" t="str">
        <f t="shared" ref="BS146:BS177" si="267">AV146</f>
        <v>Jours</v>
      </c>
      <c r="BU146" s="432" t="s">
        <v>219</v>
      </c>
      <c r="BV146" s="432" t="s">
        <v>220</v>
      </c>
      <c r="BW146" s="432" t="s">
        <v>221</v>
      </c>
      <c r="BX146" s="432" t="s">
        <v>222</v>
      </c>
      <c r="BY146" s="432" t="s">
        <v>522</v>
      </c>
      <c r="BZ146" s="432" t="s">
        <v>523</v>
      </c>
      <c r="CA146" s="432" t="s">
        <v>524</v>
      </c>
      <c r="CB146" s="432" t="s">
        <v>525</v>
      </c>
      <c r="CD146" s="1361" t="s">
        <v>1526</v>
      </c>
      <c r="CS146" s="488"/>
      <c r="CT146" s="488"/>
      <c r="CU146" s="488"/>
      <c r="CV146" s="488"/>
      <c r="DG146" s="315" t="s">
        <v>1327</v>
      </c>
      <c r="DH146" s="129" t="s">
        <v>1328</v>
      </c>
      <c r="DI146" s="129" t="s">
        <v>1330</v>
      </c>
      <c r="DK146" s="129" t="s">
        <v>1332</v>
      </c>
      <c r="DU146" s="1361" t="s">
        <v>238</v>
      </c>
      <c r="DV146" s="1361" t="s">
        <v>219</v>
      </c>
      <c r="DW146" s="1361" t="s">
        <v>220</v>
      </c>
      <c r="DX146" s="1361" t="s">
        <v>221</v>
      </c>
      <c r="DY146" s="1361" t="s">
        <v>222</v>
      </c>
      <c r="DZ146" s="1361" t="s">
        <v>522</v>
      </c>
      <c r="EA146" s="1361" t="s">
        <v>523</v>
      </c>
      <c r="EB146" s="1361" t="s">
        <v>524</v>
      </c>
      <c r="EC146" s="1361" t="s">
        <v>525</v>
      </c>
      <c r="ED146" s="1361" t="s">
        <v>182</v>
      </c>
      <c r="EE146" s="1361" t="s">
        <v>183</v>
      </c>
      <c r="EG146" s="1361" t="s">
        <v>1224</v>
      </c>
      <c r="EH146" s="1361" t="s">
        <v>1522</v>
      </c>
      <c r="EI146" s="1361" t="s">
        <v>1523</v>
      </c>
    </row>
    <row r="147" spans="1:139" x14ac:dyDescent="0.2">
      <c r="A147" s="24" t="str">
        <f>Avril!BJ20</f>
        <v>Fiche infoA3</v>
      </c>
      <c r="B147" s="810">
        <f>Avril!AB20</f>
        <v>46113</v>
      </c>
      <c r="C147" s="1371"/>
      <c r="D147" s="978">
        <f t="shared" ref="D147:D177" si="268">IF(AR147&lt;&gt;"",0,IF(DN147=10,0,IFERROR(+IF(BU147="",VLOOKUP(A147,base_horaire,2,FALSE),BU147),0)))</f>
        <v>0</v>
      </c>
      <c r="E147" s="979">
        <f t="shared" ref="E147:E177" si="269">IF(AR147&lt;&gt;"",0,IF(DN147=10,0,IFERROR(+IF(BV147="",VLOOKUP(A147,base_horaire,3,FALSE),BV147),0)))</f>
        <v>0</v>
      </c>
      <c r="F147" s="979">
        <f t="shared" ref="F147:F177" si="270">IF(AR147&lt;&gt;"",0,IF(DN147=10,0,IFERROR(+IF(BW147="",VLOOKUP(A147,base_horaire,4,FALSE),BW147),0)))</f>
        <v>0</v>
      </c>
      <c r="G147" s="979">
        <f t="shared" ref="G147:G177" si="271">IF(AR147&lt;&gt;"",0,IF(DN147=10,0,IFERROR(+IF(BX147="",VLOOKUP(A147,base_horaire,5,FALSE),BX147),0)))</f>
        <v>0</v>
      </c>
      <c r="H147" s="979">
        <f t="shared" ref="H147:H177" si="272">IF(AR147&lt;&gt;"",0,IF(DN147=10,0,IFERROR(+IF(BY147="",VLOOKUP(A147,base_horaire,6,FALSE),BY147),0)))</f>
        <v>0</v>
      </c>
      <c r="I147" s="979">
        <f t="shared" ref="I147:I177" si="273">IF(AR147&lt;&gt;"",0,IF(DN147=10,0,IFERROR(+IF(BZ147="",VLOOKUP(A147,base_horaire,7,FALSE),BZ147),0)))</f>
        <v>0</v>
      </c>
      <c r="J147" s="979">
        <f t="shared" ref="J147:J177" si="274">IF(AR147&lt;&gt;"",0,IF(DN147=10,0,IFERROR(+IF(CA147="",VLOOKUP(A147,base_horaire,8,FALSE),CA147),0)))</f>
        <v>0</v>
      </c>
      <c r="K147" s="979">
        <f t="shared" ref="K147:K177" si="275">IF(AR147&lt;&gt;"",0,IF(DN147=10,0,IFERROR(+IF(CB147="",VLOOKUP(A147,base_horaire,9,FALSE),CB147),0)))</f>
        <v>0</v>
      </c>
      <c r="L147" s="979">
        <f>+E147-D147+G147-F147+I147-H147+K147-J147</f>
        <v>0</v>
      </c>
      <c r="M147" s="980">
        <f>ROUND(+L147*24,2)</f>
        <v>0</v>
      </c>
      <c r="O147" s="978">
        <f t="shared" ref="O147:O154" si="276">IF(AR147&lt;&gt;"",0,IF(DC147="oui",0,IF(AND(ISTEXT(AT147)=TRUE,BJ147=""),0,IF(BJ147="",D147,BJ147))))</f>
        <v>0</v>
      </c>
      <c r="P147" s="979">
        <f t="shared" ref="P147:P154" si="277">IF(AR147&lt;&gt;"",0,IF(DC147="oui",0,IF(AND(ISTEXT(AT147)=TRUE,BK147=""),0,IF(BK147="",E147,BK147))))</f>
        <v>0</v>
      </c>
      <c r="Q147" s="979">
        <f t="shared" ref="Q147:Q154" si="278">IF(AR147&lt;&gt;"",0,IF(DC147="oui",0,IF(AND(ISTEXT(AT147)=TRUE,BL147=""),0,IF(BL147="",F147,BL147))))</f>
        <v>0</v>
      </c>
      <c r="R147" s="979">
        <f t="shared" ref="R147:R154" si="279">IF(AR147&lt;&gt;"",0,IF(DC147="oui",0,IF(AND(ISTEXT(AT147)=TRUE,BM147=""),0,IF(BM147="",G147,BM147))))</f>
        <v>0</v>
      </c>
      <c r="S147" s="979">
        <f t="shared" ref="S147:S154" si="280">IF(AR147&lt;&gt;"",0,IF(DC147="oui",0,IF(AND(ISTEXT(AT147)=TRUE,BN147=""),0,IF(BN147="",H147,BN147))))</f>
        <v>0</v>
      </c>
      <c r="T147" s="979">
        <f t="shared" ref="T147:T154" si="281">IF(AR147&lt;&gt;"",0,IF(DC147="oui",0,IF(AND(ISTEXT(AT147)=TRUE,BO147=""),0,IF(BO147="",I147,BO147))))</f>
        <v>0</v>
      </c>
      <c r="U147" s="979">
        <f t="shared" ref="U147:U154" si="282">IF(AR147&lt;&gt;"",0,IF(DC147="oui",0,IF(AND(ISTEXT(AT147)=TRUE,BP147=""),0,IF(BP147="",J147,BP147))))</f>
        <v>0</v>
      </c>
      <c r="V147" s="979">
        <f t="shared" ref="V147:V154" si="283">IF(AR147&lt;&gt;"",0,IF(DC147="oui",0,IF(AND(ISTEXT(AT147)=TRUE,BQ147=""),0,IF(BQ147="",K147,BQ147))))</f>
        <v>0</v>
      </c>
      <c r="W147" s="979">
        <f t="shared" ref="W147:W177" si="284">+P147-O147+R147-Q147+T147-S147+V147-U147</f>
        <v>0</v>
      </c>
      <c r="X147" s="980">
        <f t="shared" ref="X147:X177" si="285">ROUND(+W147*24,2)</f>
        <v>0</v>
      </c>
      <c r="Y147" s="441"/>
      <c r="Z147" s="277">
        <f t="shared" ref="Z147:Z177" si="286">+IF(AND(O147&gt;D147,D147&gt;0),D147,O147)</f>
        <v>0</v>
      </c>
      <c r="AA147" s="277">
        <f t="shared" ref="AA147:AA177" si="287">+IF(P147&gt;E147,P147,E147)</f>
        <v>0</v>
      </c>
      <c r="AB147" s="277">
        <f t="shared" ref="AB147:AB177" si="288">+IF(AND(Q147&gt;F147,F147&gt;0),F147,Q147)</f>
        <v>0</v>
      </c>
      <c r="AC147" s="277">
        <f t="shared" ref="AC147:AC177" si="289">+IF(R147&gt;G147,R147,G147)</f>
        <v>0</v>
      </c>
      <c r="AD147" s="277">
        <f t="shared" ref="AD147:AD177" si="290">+IF(AND(S147&gt;H147,H147&gt;0),H147,S147)</f>
        <v>0</v>
      </c>
      <c r="AE147" s="277">
        <f t="shared" ref="AE147:AE177" si="291">+IF(T147&gt;I147,T147,I147)</f>
        <v>0</v>
      </c>
      <c r="AF147" s="277">
        <f t="shared" ref="AF147:AF177" si="292">+IF(AND(U147&gt;J147,J147&gt;0),J147,U147)</f>
        <v>0</v>
      </c>
      <c r="AG147" s="277">
        <f t="shared" ref="AG147:AG177" si="293">+IF(V147&gt;K147,V147,K147)</f>
        <v>0</v>
      </c>
      <c r="AI147" s="443">
        <f t="shared" ref="AI147:AI154" si="294">IF(DC147="oui",0,IF(AND(ISTEXT(AT147)=TRUE,OR(X147=0,X147="")),0,ROUND(((((AA147-Z147)-(E147-D147))+((AC147-AB147)-(G147-F147))+((AE147-AD147)-(I147-H147))+(AG147-AF147)-(K147-J147))*24),2)))</f>
        <v>0</v>
      </c>
      <c r="AJ147" s="1089"/>
      <c r="AK147" s="489"/>
      <c r="AL147" s="810">
        <f t="shared" ref="AL147:AL177" si="295">B147</f>
        <v>46113</v>
      </c>
      <c r="AM147" s="497">
        <f>IFERROR(IF(AND(AT147="",AR147&lt;&gt;S.CAL!$BJ$3,AR147&lt;&gt;S.CAL!$BJ$4,$AR$140="NON"),M147-BD147,IF(AND(AT147="",AR147&lt;&gt;S.CAL!$BJ$3,AR147&lt;&gt;S.CAL!$BJ$4,$AR$140="OUI"),X147-AI147,IF(AT147&lt;&gt;0,AT147,IF(OR(AR147=S.CAL!$BJ$3,AR147=S.CAL!$BJ$4),AR147,"")))),"")</f>
        <v>0</v>
      </c>
      <c r="AN147" s="1091"/>
      <c r="AO147" s="1092"/>
      <c r="AP147" s="497">
        <f>+IF(AND(AU147="",BB147="OUI",BH147="non",BI147="OUI"),AM147,IF(AND(AU147="",BB147="OUI",BH147="oui",BI147="NON"),AM147,IF(AND(AU147="",BB147="NON",BH147="oui",BI147="NON"),M147,IF(AND(AU147="",BB147="NON",BH147="non",BI147="OUI"),M147,IF(AND(AU147="",BB147="OUI",BH147="non",BI147="NON"),"ERREUR",IF(AND(AU147="",BB147="NON",BH147="non",BI147="NON"),AM147,IF(AND(AU147="",BB147="OUI",BH147="",BI147=""),AM147,IF(AND(AU147="",BB147="NON",BH147="",BI147="",AZ147="NON"),M147,IF(AND(AU147="",BH147="",AZ147="OUI",AR147=""),AM147,IF(AND(AU147="",BH147="",AZ147="NON",AR147="",AT147=""),M147,IF(AND(OR(AR147=S.CAL!$BJ$3,AR147=S.CAL!$BJ$4),(VLOOKUP($AM$140,base_nbre_sem_mensu,2,FALSE)=52)),EE147,IF(AND(OR(AR147=S.CAL!$BJ$3,AR147=S.CAL!$BJ$4),(VLOOKUP($AM$140,base_nbre_sem_mensu,2,FALSE)&lt;52)),AM147,IF(AND(AT147&lt;&gt;"",AU147=""),AT147,AU147)))))))))))))</f>
        <v>0</v>
      </c>
      <c r="AQ147" s="498">
        <f>AI147-SUM(AN147:AO147)</f>
        <v>0</v>
      </c>
      <c r="AR147" s="1097"/>
      <c r="AT147" s="1100"/>
      <c r="AU147" s="813"/>
      <c r="AV147" s="1369">
        <f t="shared" ref="AV147:AV177" si="296">B147</f>
        <v>46113</v>
      </c>
      <c r="AX147" s="511">
        <f>+AV147</f>
        <v>46113</v>
      </c>
      <c r="AY147" s="528">
        <f>+IF(M147-X147&lt;0,0,M147-X147)</f>
        <v>0</v>
      </c>
      <c r="AZ147" s="531" t="s">
        <v>137</v>
      </c>
      <c r="BA147" s="532">
        <f>+IF(AZ147="OUI",AY147,0)</f>
        <v>0</v>
      </c>
      <c r="BB147" s="533" t="str">
        <f t="shared" ref="BB147:BB177" si="297">IF(AND(BE147="",+IFERROR(VLOOKUP(AT147,Liste_motif_formule,5,FALSE),0)="OUI"),"OUI",IF(AND(BE147="",IFERROR(VLOOKUP(AT147,Liste_motif_formule,5,FALSE),0)="NON"),"NON",IF(AND(BE147="",IFERROR(M147-AT147&gt;=0,0),AT147&lt;&gt;""),"OUI",IF(AND(BE147="",DC147="oui"),"OUI",IF(BE147&lt;&gt;"",BE147,"")))))</f>
        <v/>
      </c>
      <c r="BC147" s="528">
        <f>+IF(BB147="OUI",IFERROR(M147-AT147,M147),0)</f>
        <v>0</v>
      </c>
      <c r="BD147" s="528">
        <f>+BC147+BA147</f>
        <v>0</v>
      </c>
      <c r="BE147" s="490"/>
      <c r="BF147" s="514" t="str">
        <f t="shared" ref="BF147:BF177" si="298">+IF(AND(AZ147="OUI",BB147="OUI"),"ERREUR","")</f>
        <v/>
      </c>
      <c r="BG147" s="514" t="str">
        <f>+IF(AND(M147=0,AT147=""),"oui","non")</f>
        <v>oui</v>
      </c>
      <c r="BH147" s="377" t="str">
        <f t="shared" ref="BH147:BH177" si="299">IFERROR(+VLOOKUP(AT147,Liste_motif_formule,4,FALSE),"")</f>
        <v/>
      </c>
      <c r="BI147" s="24" t="str">
        <f t="shared" ref="BI147:BI177" si="300">IFERROR(+VLOOKUP(AT147,Liste_motif_formule,5,FALSE),"")</f>
        <v/>
      </c>
      <c r="BJ147" s="1381"/>
      <c r="BK147" s="1381"/>
      <c r="BL147" s="1381"/>
      <c r="BM147" s="1381"/>
      <c r="BN147" s="1381"/>
      <c r="BO147" s="1381"/>
      <c r="BP147" s="1381"/>
      <c r="BQ147" s="1381"/>
      <c r="BS147" s="1369">
        <f t="shared" si="267"/>
        <v>46113</v>
      </c>
      <c r="BT147" s="27">
        <f>IFERROR(WEEKNUM(BS147,21),"")</f>
        <v>14</v>
      </c>
      <c r="BU147" s="1379"/>
      <c r="BV147" s="1379"/>
      <c r="BW147" s="1379"/>
      <c r="BX147" s="1379"/>
      <c r="BY147" s="1379"/>
      <c r="BZ147" s="1379"/>
      <c r="CA147" s="1379"/>
      <c r="CB147" s="1379"/>
      <c r="CD147" s="1385">
        <f>+M147</f>
        <v>0</v>
      </c>
      <c r="DC147" s="16" t="str">
        <f>Avril!FC20</f>
        <v>non</v>
      </c>
      <c r="DG147" s="315">
        <f>IF(OR(AT147=0,AT147=""),1,10)</f>
        <v>1</v>
      </c>
      <c r="DH147" s="129">
        <f t="shared" ref="DH147:DH177" si="301">IFERROR(+VLOOKUP(AT147,Liste_motif_formule,9,FALSE),10)</f>
        <v>10</v>
      </c>
      <c r="DI147" s="129">
        <f>+IF(OR(DG147=1,DH147=1),1,10)</f>
        <v>1</v>
      </c>
      <c r="DK147" s="16">
        <f>+IF(AND(Avril!$DP$8&lt;&gt;52,AR147=S.CAL!$BJ$4),10,1)</f>
        <v>1</v>
      </c>
      <c r="DN147" s="16">
        <f t="shared" ref="DN147:DN177" si="302">+IF(AND(DC147="non",ISTEXT(AT147)=TRUE,IFERROR(VLOOKUP(AT147,Liste_motif_formule,4,FALSE)="non",0),IFERROR(VLOOKUP(AT147,Liste_motif_formule,5,FALSE)="non",0)),10,1)</f>
        <v>1</v>
      </c>
      <c r="DU147" s="1274" t="str">
        <f>+A147&amp;B147</f>
        <v>Fiche infoA346113</v>
      </c>
      <c r="DV147" s="1362">
        <f t="shared" ref="DV147:DV177" si="303">+IFERROR(+IF(BU147="",VLOOKUP(A147,base_horaire,2,FALSE),BU147),0)</f>
        <v>0</v>
      </c>
      <c r="DW147" s="1363">
        <f t="shared" ref="DW147:DW177" si="304">+IFERROR(+IF(BV147="",VLOOKUP(A147,base_horaire,3,FALSE),BV147),0)</f>
        <v>0</v>
      </c>
      <c r="DX147" s="1363">
        <f t="shared" ref="DX147:DX177" si="305">+IFERROR(+IF(BW147="",VLOOKUP(A147,base_horaire,4,FALSE),BW147),0)</f>
        <v>0</v>
      </c>
      <c r="DY147" s="1363">
        <f t="shared" ref="DY147:DY177" si="306">+IFERROR(+IF(BX147="",VLOOKUP(A147,base_horaire,5,FALSE),BX147),0)</f>
        <v>0</v>
      </c>
      <c r="DZ147" s="1363">
        <f t="shared" ref="DZ147:DZ177" si="307">+IFERROR(+IF(BY147="",VLOOKUP(A147,base_horaire,6,FALSE),BY147),0)</f>
        <v>0</v>
      </c>
      <c r="EA147" s="1363">
        <f t="shared" ref="EA147:EA177" si="308">IFERROR(+IF(BZ147="",VLOOKUP(A147,base_horaire,7,FALSE),BZ147),0)</f>
        <v>0</v>
      </c>
      <c r="EB147" s="1363">
        <f t="shared" ref="EB147:EB177" si="309">IFERROR(+IF(CA147="",VLOOKUP(A147,base_horaire,8,FALSE),CA147),0)</f>
        <v>0</v>
      </c>
      <c r="EC147" s="1363">
        <f t="shared" ref="EC147:EC177" si="310">IFERROR(+IF(CB147="",VLOOKUP(A147,base_horaire,9,FALSE),CB147),0)</f>
        <v>0</v>
      </c>
      <c r="ED147" s="1363">
        <f>+DW147-DV147+DY147-DX147+EA147-DZ147+EC147-EB147</f>
        <v>0</v>
      </c>
      <c r="EE147" s="1364">
        <f>ROUND(+ED147*24,2)</f>
        <v>0</v>
      </c>
      <c r="EG147" s="16" t="str">
        <f>+WEEKNUM(B147,21)&amp;YEAR(B147)</f>
        <v>142026</v>
      </c>
      <c r="EH147" s="16" t="str">
        <f t="shared" ref="EH147:EH177" si="311">+A147</f>
        <v>Fiche infoA3</v>
      </c>
      <c r="EI147" s="16" t="str">
        <f t="shared" ref="EI147:EI177" si="312">+VLOOKUP(EH147,Base_heures,6,FALSE)</f>
        <v/>
      </c>
    </row>
    <row r="148" spans="1:139" x14ac:dyDescent="0.2">
      <c r="A148" s="1373" t="str">
        <f>Avril!BJ21</f>
        <v>Fiche infoA4</v>
      </c>
      <c r="B148" s="811">
        <f>Avril!AB21</f>
        <v>46114</v>
      </c>
      <c r="C148" s="1372"/>
      <c r="D148" s="981">
        <f t="shared" si="268"/>
        <v>0</v>
      </c>
      <c r="E148" s="434">
        <f t="shared" si="269"/>
        <v>0</v>
      </c>
      <c r="F148" s="434">
        <f t="shared" si="270"/>
        <v>0</v>
      </c>
      <c r="G148" s="434">
        <f t="shared" si="271"/>
        <v>0</v>
      </c>
      <c r="H148" s="434">
        <f t="shared" si="272"/>
        <v>0</v>
      </c>
      <c r="I148" s="434">
        <f t="shared" si="273"/>
        <v>0</v>
      </c>
      <c r="J148" s="434">
        <f t="shared" si="274"/>
        <v>0</v>
      </c>
      <c r="K148" s="434">
        <f t="shared" si="275"/>
        <v>0</v>
      </c>
      <c r="L148" s="434">
        <f t="shared" ref="L148:L177" si="313">+E148-D148+G148-F148+I148-H148+K148-J148</f>
        <v>0</v>
      </c>
      <c r="M148" s="982">
        <f t="shared" ref="M148:M177" si="314">ROUND(+L148*24,2)</f>
        <v>0</v>
      </c>
      <c r="N148" s="1374"/>
      <c r="O148" s="981">
        <f t="shared" si="276"/>
        <v>0</v>
      </c>
      <c r="P148" s="434">
        <f t="shared" si="277"/>
        <v>0</v>
      </c>
      <c r="Q148" s="434">
        <f t="shared" si="278"/>
        <v>0</v>
      </c>
      <c r="R148" s="434">
        <f t="shared" si="279"/>
        <v>0</v>
      </c>
      <c r="S148" s="434">
        <f t="shared" si="280"/>
        <v>0</v>
      </c>
      <c r="T148" s="434">
        <f t="shared" si="281"/>
        <v>0</v>
      </c>
      <c r="U148" s="434">
        <f t="shared" si="282"/>
        <v>0</v>
      </c>
      <c r="V148" s="434">
        <f t="shared" si="283"/>
        <v>0</v>
      </c>
      <c r="W148" s="434">
        <f t="shared" si="284"/>
        <v>0</v>
      </c>
      <c r="X148" s="982">
        <f t="shared" si="285"/>
        <v>0</v>
      </c>
      <c r="Y148" s="1375"/>
      <c r="Z148" s="1376">
        <f t="shared" si="286"/>
        <v>0</v>
      </c>
      <c r="AA148" s="1376">
        <f t="shared" si="287"/>
        <v>0</v>
      </c>
      <c r="AB148" s="1376">
        <f t="shared" si="288"/>
        <v>0</v>
      </c>
      <c r="AC148" s="1376">
        <f t="shared" si="289"/>
        <v>0</v>
      </c>
      <c r="AD148" s="1376">
        <f t="shared" si="290"/>
        <v>0</v>
      </c>
      <c r="AE148" s="1376">
        <f t="shared" si="291"/>
        <v>0</v>
      </c>
      <c r="AF148" s="1376">
        <f t="shared" si="292"/>
        <v>0</v>
      </c>
      <c r="AG148" s="1376">
        <f t="shared" si="293"/>
        <v>0</v>
      </c>
      <c r="AH148" s="1374"/>
      <c r="AI148" s="444">
        <f t="shared" si="294"/>
        <v>0</v>
      </c>
      <c r="AJ148" s="1090"/>
      <c r="AK148" s="1377"/>
      <c r="AL148" s="811">
        <f t="shared" si="295"/>
        <v>46114</v>
      </c>
      <c r="AM148" s="666">
        <f>IFERROR(IF(AND(AT148="",AR148&lt;&gt;S.CAL!$BJ$3,AR148&lt;&gt;S.CAL!$BJ$4,$AR$140="NON"),M148-BD148,IF(AND(AT148="",AR148&lt;&gt;S.CAL!$BJ$3,AR148&lt;&gt;S.CAL!$BJ$4,$AR$140="OUI"),X148-AI148,IF(AT148&lt;&gt;0,AT148,IF(OR(AR148=S.CAL!$BJ$3,AR148=S.CAL!$BJ$4),AR148,"")))),"")</f>
        <v>0</v>
      </c>
      <c r="AN148" s="1093"/>
      <c r="AO148" s="1094"/>
      <c r="AP148" s="666">
        <f>+IF(AND(AU148="",BB148="OUI",BH148="non",BI148="OUI"),AM148,IF(AND(AU148="",BB148="OUI",BH148="oui",BI148="NON"),AM148,IF(AND(AU148="",BB148="NON",BH148="oui",BI148="NON"),M148,IF(AND(AU148="",BB148="NON",BH148="non",BI148="OUI"),M148,IF(AND(AU148="",BB148="OUI",BH148="non",BI148="NON"),"ERREUR",IF(AND(AU148="",BB148="NON",BH148="non",BI148="NON"),AM148,IF(AND(AU148="",BB148="OUI",BH148="",BI148=""),AM148,IF(AND(AU148="",BB148="NON",BH148="",BI148="",AZ148="NON"),M148,IF(AND(AU148="",BH148="",AZ148="OUI",AR148=""),AM148,IF(AND(AU148="",BH148="",AZ148="NON",AR148="",AT148=""),M148,IF(AND(OR(AR148=S.CAL!$BJ$3,AR148=S.CAL!$BJ$4),(VLOOKUP($AM$140,base_nbre_sem_mensu,2,FALSE)=52)),EE148,IF(AND(OR(AR148=S.CAL!$BJ$3,AR148=S.CAL!$BJ$4),(VLOOKUP($AM$140,base_nbre_sem_mensu,2,FALSE)&lt;52)),AM148,IF(AND(AT148&lt;&gt;"",AU148=""),AT148,AU148)))))))))))))</f>
        <v>0</v>
      </c>
      <c r="AQ148" s="1378">
        <f t="shared" ref="AQ148:AQ177" si="315">AI148-SUM(AN148:AO148)</f>
        <v>0</v>
      </c>
      <c r="AR148" s="1098"/>
      <c r="AS148" s="1374"/>
      <c r="AT148" s="1101"/>
      <c r="AU148" s="813"/>
      <c r="AV148" s="1370">
        <f t="shared" si="296"/>
        <v>46114</v>
      </c>
      <c r="AW148" s="1374"/>
      <c r="AX148" s="511">
        <f t="shared" ref="AX148:AX177" si="316">+AV148</f>
        <v>46114</v>
      </c>
      <c r="AY148" s="523">
        <f t="shared" ref="AY148:AY177" si="317">+IF(M148-X148&lt;0,0,M148-X148)</f>
        <v>0</v>
      </c>
      <c r="AZ148" s="520" t="s">
        <v>137</v>
      </c>
      <c r="BA148" s="516">
        <f t="shared" ref="BA148:BA177" si="318">+IF(AZ148="OUI",AY148,0)</f>
        <v>0</v>
      </c>
      <c r="BB148" s="549" t="str">
        <f t="shared" si="297"/>
        <v/>
      </c>
      <c r="BC148" s="523">
        <f t="shared" ref="BC148:BC177" si="319">+IF(BB148="OUI",IFERROR(M148-AT148,M148),0)</f>
        <v>0</v>
      </c>
      <c r="BD148" s="523">
        <f t="shared" ref="BD148:BD177" si="320">+BC148+BA148</f>
        <v>0</v>
      </c>
      <c r="BE148" s="732"/>
      <c r="BF148" s="514" t="str">
        <f t="shared" si="298"/>
        <v/>
      </c>
      <c r="BG148" s="514" t="str">
        <f t="shared" ref="BG148:BG177" si="321">+IF(AND(M148=0,AT148=""),"oui","non")</f>
        <v>oui</v>
      </c>
      <c r="BH148" s="377" t="str">
        <f t="shared" si="299"/>
        <v/>
      </c>
      <c r="BI148" s="24" t="str">
        <f t="shared" si="300"/>
        <v/>
      </c>
      <c r="BJ148" s="1382"/>
      <c r="BK148" s="1382"/>
      <c r="BL148" s="1382"/>
      <c r="BM148" s="1382"/>
      <c r="BN148" s="1382"/>
      <c r="BO148" s="1382"/>
      <c r="BP148" s="1382"/>
      <c r="BQ148" s="1382"/>
      <c r="BR148" s="1383"/>
      <c r="BS148" s="1370">
        <f t="shared" si="267"/>
        <v>46114</v>
      </c>
      <c r="BT148" s="1384" t="str">
        <f>IFERROR(IF(WEEKDAY(BS148,11)=1,WEEKNUM(BS148,21),""),"")</f>
        <v/>
      </c>
      <c r="BU148" s="1382"/>
      <c r="BV148" s="1382"/>
      <c r="BW148" s="1382"/>
      <c r="BX148" s="1382"/>
      <c r="BY148" s="1382"/>
      <c r="BZ148" s="1382"/>
      <c r="CA148" s="1382"/>
      <c r="CB148" s="1382"/>
      <c r="CD148" s="1386">
        <f t="shared" ref="CD148:CD177" si="322">+M148</f>
        <v>0</v>
      </c>
      <c r="DC148" s="16" t="str">
        <f>Avril!FC21</f>
        <v>non</v>
      </c>
      <c r="DG148" s="315">
        <f t="shared" ref="DG148:DG177" si="323">IF(OR(AT148=0,AT148=""),1,10)</f>
        <v>1</v>
      </c>
      <c r="DH148" s="129">
        <f t="shared" si="301"/>
        <v>10</v>
      </c>
      <c r="DI148" s="129">
        <f t="shared" ref="DI148:DI177" si="324">+IF(OR(DG148=1,DH148=1),1,10)</f>
        <v>1</v>
      </c>
      <c r="DK148" s="16">
        <f>+IF(AND(Avril!$DP$8&lt;&gt;52,AR148=S.CAL!$BJ$4),10,1)</f>
        <v>1</v>
      </c>
      <c r="DN148" s="16">
        <f t="shared" si="302"/>
        <v>1</v>
      </c>
      <c r="DU148" s="1274" t="str">
        <f t="shared" ref="DU148:DU177" si="325">+A148&amp;B148</f>
        <v>Fiche infoA446114</v>
      </c>
      <c r="DV148" s="1362">
        <f t="shared" si="303"/>
        <v>0</v>
      </c>
      <c r="DW148" s="1363">
        <f t="shared" si="304"/>
        <v>0</v>
      </c>
      <c r="DX148" s="1363">
        <f t="shared" si="305"/>
        <v>0</v>
      </c>
      <c r="DY148" s="1363">
        <f t="shared" si="306"/>
        <v>0</v>
      </c>
      <c r="DZ148" s="1363">
        <f t="shared" si="307"/>
        <v>0</v>
      </c>
      <c r="EA148" s="1363">
        <f t="shared" si="308"/>
        <v>0</v>
      </c>
      <c r="EB148" s="1363">
        <f t="shared" si="309"/>
        <v>0</v>
      </c>
      <c r="EC148" s="1363">
        <f t="shared" si="310"/>
        <v>0</v>
      </c>
      <c r="ED148" s="1363">
        <f t="shared" ref="ED148:ED177" si="326">+DW148-DV148+DY148-DX148+EA148-DZ148+EC148-EB148</f>
        <v>0</v>
      </c>
      <c r="EE148" s="1364">
        <f t="shared" ref="EE148:EE177" si="327">ROUND(+ED148*24,2)</f>
        <v>0</v>
      </c>
      <c r="EG148" s="16" t="str">
        <f t="shared" ref="EG148:EG177" si="328">+WEEKNUM(B148,21)&amp;YEAR(B148)</f>
        <v>142026</v>
      </c>
      <c r="EH148" s="16" t="str">
        <f t="shared" si="311"/>
        <v>Fiche infoA4</v>
      </c>
      <c r="EI148" s="16" t="str">
        <f t="shared" si="312"/>
        <v/>
      </c>
    </row>
    <row r="149" spans="1:139" x14ac:dyDescent="0.2">
      <c r="A149" s="24" t="str">
        <f>Avril!BJ22</f>
        <v>Fiche infoA5</v>
      </c>
      <c r="B149" s="811">
        <f>Avril!AB22</f>
        <v>46115</v>
      </c>
      <c r="C149" s="1371"/>
      <c r="D149" s="981">
        <f t="shared" si="268"/>
        <v>0</v>
      </c>
      <c r="E149" s="434">
        <f t="shared" si="269"/>
        <v>0</v>
      </c>
      <c r="F149" s="434">
        <f t="shared" si="270"/>
        <v>0</v>
      </c>
      <c r="G149" s="434">
        <f t="shared" si="271"/>
        <v>0</v>
      </c>
      <c r="H149" s="434">
        <f t="shared" si="272"/>
        <v>0</v>
      </c>
      <c r="I149" s="434">
        <f t="shared" si="273"/>
        <v>0</v>
      </c>
      <c r="J149" s="434">
        <f t="shared" si="274"/>
        <v>0</v>
      </c>
      <c r="K149" s="434">
        <f t="shared" si="275"/>
        <v>0</v>
      </c>
      <c r="L149" s="434">
        <f t="shared" si="313"/>
        <v>0</v>
      </c>
      <c r="M149" s="982">
        <f t="shared" si="314"/>
        <v>0</v>
      </c>
      <c r="O149" s="981">
        <f t="shared" si="276"/>
        <v>0</v>
      </c>
      <c r="P149" s="434">
        <f t="shared" si="277"/>
        <v>0</v>
      </c>
      <c r="Q149" s="434">
        <f t="shared" si="278"/>
        <v>0</v>
      </c>
      <c r="R149" s="434">
        <f t="shared" si="279"/>
        <v>0</v>
      </c>
      <c r="S149" s="434">
        <f t="shared" si="280"/>
        <v>0</v>
      </c>
      <c r="T149" s="434">
        <f t="shared" si="281"/>
        <v>0</v>
      </c>
      <c r="U149" s="434">
        <f t="shared" si="282"/>
        <v>0</v>
      </c>
      <c r="V149" s="434">
        <f t="shared" si="283"/>
        <v>0</v>
      </c>
      <c r="W149" s="434">
        <f t="shared" si="284"/>
        <v>0</v>
      </c>
      <c r="X149" s="982">
        <f t="shared" si="285"/>
        <v>0</v>
      </c>
      <c r="Y149" s="441"/>
      <c r="Z149" s="277">
        <f t="shared" si="286"/>
        <v>0</v>
      </c>
      <c r="AA149" s="277">
        <f t="shared" si="287"/>
        <v>0</v>
      </c>
      <c r="AB149" s="277">
        <f t="shared" si="288"/>
        <v>0</v>
      </c>
      <c r="AC149" s="277">
        <f t="shared" si="289"/>
        <v>0</v>
      </c>
      <c r="AD149" s="277">
        <f t="shared" si="290"/>
        <v>0</v>
      </c>
      <c r="AE149" s="277">
        <f t="shared" si="291"/>
        <v>0</v>
      </c>
      <c r="AF149" s="277">
        <f t="shared" si="292"/>
        <v>0</v>
      </c>
      <c r="AG149" s="277">
        <f t="shared" si="293"/>
        <v>0</v>
      </c>
      <c r="AI149" s="444">
        <f t="shared" si="294"/>
        <v>0</v>
      </c>
      <c r="AJ149" s="1090"/>
      <c r="AK149" s="489"/>
      <c r="AL149" s="811">
        <f t="shared" si="295"/>
        <v>46115</v>
      </c>
      <c r="AM149" s="666">
        <f>IFERROR(IF(AND(AT149="",AR149&lt;&gt;S.CAL!$BJ$3,AR149&lt;&gt;S.CAL!$BJ$4,$AR$140="NON"),M149-BD149,IF(AND(AT149="",AR149&lt;&gt;S.CAL!$BJ$3,AR149&lt;&gt;S.CAL!$BJ$4,$AR$140="OUI"),X149-AI149,IF(AT149&lt;&gt;0,AT149,IF(OR(AR149=S.CAL!$BJ$3,AR149=S.CAL!$BJ$4),AR149,"")))),"")</f>
        <v>0</v>
      </c>
      <c r="AN149" s="1093"/>
      <c r="AO149" s="1094"/>
      <c r="AP149" s="666">
        <f>+IF(AND(AU149="",BB149="OUI",BH149="non",BI149="OUI"),AM149,IF(AND(AU149="",BB149="OUI",BH149="oui",BI149="NON"),AM149,IF(AND(AU149="",BB149="NON",BH149="oui",BI149="NON"),M149,IF(AND(AU149="",BB149="NON",BH149="non",BI149="OUI"),M149,IF(AND(AU149="",BB149="OUI",BH149="non",BI149="NON"),"ERREUR",IF(AND(AU149="",BB149="NON",BH149="non",BI149="NON"),AM149,IF(AND(AU149="",BB149="OUI",BH149="",BI149=""),AM149,IF(AND(AU149="",BB149="NON",BH149="",BI149="",AZ149="NON"),M149,IF(AND(AU149="",BH149="",AZ149="OUI",AR149=""),AM149,IF(AND(AU149="",BH149="",AZ149="NON",AR149="",AT149=""),M149,IF(AND(OR(AR149=S.CAL!$BJ$3,AR149=S.CAL!$BJ$4),(VLOOKUP($AM$140,base_nbre_sem_mensu,2,FALSE)=52)),EE149,IF(AND(OR(AR149=S.CAL!$BJ$3,AR149=S.CAL!$BJ$4),(VLOOKUP($AM$140,base_nbre_sem_mensu,2,FALSE)&lt;52)),AM149,IF(AND(AT149&lt;&gt;"",AU149=""),AT149,AU149)))))))))))))</f>
        <v>0</v>
      </c>
      <c r="AQ149" s="498">
        <f t="shared" si="315"/>
        <v>0</v>
      </c>
      <c r="AR149" s="1098"/>
      <c r="AT149" s="1101"/>
      <c r="AU149" s="813"/>
      <c r="AV149" s="1370">
        <f t="shared" si="296"/>
        <v>46115</v>
      </c>
      <c r="AX149" s="511">
        <f t="shared" si="316"/>
        <v>46115</v>
      </c>
      <c r="AY149" s="523">
        <f t="shared" si="317"/>
        <v>0</v>
      </c>
      <c r="AZ149" s="520" t="s">
        <v>137</v>
      </c>
      <c r="BA149" s="516">
        <f t="shared" si="318"/>
        <v>0</v>
      </c>
      <c r="BB149" s="549" t="str">
        <f t="shared" si="297"/>
        <v/>
      </c>
      <c r="BC149" s="523">
        <f t="shared" si="319"/>
        <v>0</v>
      </c>
      <c r="BD149" s="523">
        <f t="shared" si="320"/>
        <v>0</v>
      </c>
      <c r="BE149" s="732"/>
      <c r="BF149" s="514" t="str">
        <f t="shared" si="298"/>
        <v/>
      </c>
      <c r="BG149" s="514" t="str">
        <f t="shared" si="321"/>
        <v>oui</v>
      </c>
      <c r="BH149" s="377" t="str">
        <f t="shared" si="299"/>
        <v/>
      </c>
      <c r="BI149" s="24" t="str">
        <f t="shared" si="300"/>
        <v/>
      </c>
      <c r="BJ149" s="1381"/>
      <c r="BK149" s="1381"/>
      <c r="BL149" s="1381"/>
      <c r="BM149" s="1381"/>
      <c r="BN149" s="1381"/>
      <c r="BO149" s="1381"/>
      <c r="BP149" s="1381"/>
      <c r="BQ149" s="1381"/>
      <c r="BS149" s="1370">
        <f t="shared" si="267"/>
        <v>46115</v>
      </c>
      <c r="BT149" s="27" t="str">
        <f t="shared" ref="BT149:BT177" si="329">IFERROR(IF(WEEKDAY(BS149,11)=1,WEEKNUM(BS149,21),""),"")</f>
        <v/>
      </c>
      <c r="BU149" s="1380"/>
      <c r="BV149" s="1380"/>
      <c r="BW149" s="1380"/>
      <c r="BX149" s="1380"/>
      <c r="BY149" s="1380"/>
      <c r="BZ149" s="1380"/>
      <c r="CA149" s="1380"/>
      <c r="CB149" s="1380"/>
      <c r="CD149" s="1386">
        <f t="shared" si="322"/>
        <v>0</v>
      </c>
      <c r="DC149" s="16" t="str">
        <f>Avril!FC22</f>
        <v>non</v>
      </c>
      <c r="DG149" s="315">
        <f t="shared" si="323"/>
        <v>1</v>
      </c>
      <c r="DH149" s="129">
        <f t="shared" si="301"/>
        <v>10</v>
      </c>
      <c r="DI149" s="129">
        <f t="shared" si="324"/>
        <v>1</v>
      </c>
      <c r="DK149" s="16">
        <f>+IF(AND(Avril!$DP$8&lt;&gt;52,AR149=S.CAL!$BJ$4),10,1)</f>
        <v>1</v>
      </c>
      <c r="DN149" s="16">
        <f t="shared" si="302"/>
        <v>1</v>
      </c>
      <c r="DU149" s="1274" t="str">
        <f t="shared" si="325"/>
        <v>Fiche infoA546115</v>
      </c>
      <c r="DV149" s="1362">
        <f t="shared" si="303"/>
        <v>0</v>
      </c>
      <c r="DW149" s="1363">
        <f t="shared" si="304"/>
        <v>0</v>
      </c>
      <c r="DX149" s="1363">
        <f t="shared" si="305"/>
        <v>0</v>
      </c>
      <c r="DY149" s="1363">
        <f t="shared" si="306"/>
        <v>0</v>
      </c>
      <c r="DZ149" s="1363">
        <f t="shared" si="307"/>
        <v>0</v>
      </c>
      <c r="EA149" s="1363">
        <f t="shared" si="308"/>
        <v>0</v>
      </c>
      <c r="EB149" s="1363">
        <f t="shared" si="309"/>
        <v>0</v>
      </c>
      <c r="EC149" s="1363">
        <f t="shared" si="310"/>
        <v>0</v>
      </c>
      <c r="ED149" s="1363">
        <f t="shared" si="326"/>
        <v>0</v>
      </c>
      <c r="EE149" s="1364">
        <f t="shared" si="327"/>
        <v>0</v>
      </c>
      <c r="EG149" s="16" t="str">
        <f t="shared" si="328"/>
        <v>142026</v>
      </c>
      <c r="EH149" s="16" t="str">
        <f t="shared" si="311"/>
        <v>Fiche infoA5</v>
      </c>
      <c r="EI149" s="16" t="str">
        <f t="shared" si="312"/>
        <v/>
      </c>
    </row>
    <row r="150" spans="1:139" x14ac:dyDescent="0.2">
      <c r="A150" s="1373" t="str">
        <f>Avril!BJ23</f>
        <v>Fiche infoA6</v>
      </c>
      <c r="B150" s="811">
        <f>Avril!AB23</f>
        <v>46116</v>
      </c>
      <c r="C150" s="1372"/>
      <c r="D150" s="981">
        <f t="shared" si="268"/>
        <v>0</v>
      </c>
      <c r="E150" s="434">
        <f t="shared" si="269"/>
        <v>0</v>
      </c>
      <c r="F150" s="434">
        <f t="shared" si="270"/>
        <v>0</v>
      </c>
      <c r="G150" s="434">
        <f t="shared" si="271"/>
        <v>0</v>
      </c>
      <c r="H150" s="434">
        <f t="shared" si="272"/>
        <v>0</v>
      </c>
      <c r="I150" s="434">
        <f t="shared" si="273"/>
        <v>0</v>
      </c>
      <c r="J150" s="434">
        <f t="shared" si="274"/>
        <v>0</v>
      </c>
      <c r="K150" s="434">
        <f t="shared" si="275"/>
        <v>0</v>
      </c>
      <c r="L150" s="434">
        <f t="shared" si="313"/>
        <v>0</v>
      </c>
      <c r="M150" s="982">
        <f t="shared" si="314"/>
        <v>0</v>
      </c>
      <c r="N150" s="1374"/>
      <c r="O150" s="981">
        <f t="shared" si="276"/>
        <v>0</v>
      </c>
      <c r="P150" s="434">
        <f t="shared" si="277"/>
        <v>0</v>
      </c>
      <c r="Q150" s="434">
        <f t="shared" si="278"/>
        <v>0</v>
      </c>
      <c r="R150" s="434">
        <f t="shared" si="279"/>
        <v>0</v>
      </c>
      <c r="S150" s="434">
        <f t="shared" si="280"/>
        <v>0</v>
      </c>
      <c r="T150" s="434">
        <f t="shared" si="281"/>
        <v>0</v>
      </c>
      <c r="U150" s="434">
        <f t="shared" si="282"/>
        <v>0</v>
      </c>
      <c r="V150" s="434">
        <f t="shared" si="283"/>
        <v>0</v>
      </c>
      <c r="W150" s="434">
        <f t="shared" si="284"/>
        <v>0</v>
      </c>
      <c r="X150" s="982">
        <f t="shared" si="285"/>
        <v>0</v>
      </c>
      <c r="Y150" s="1375"/>
      <c r="Z150" s="1376">
        <f t="shared" si="286"/>
        <v>0</v>
      </c>
      <c r="AA150" s="1376">
        <f t="shared" si="287"/>
        <v>0</v>
      </c>
      <c r="AB150" s="1376">
        <f t="shared" si="288"/>
        <v>0</v>
      </c>
      <c r="AC150" s="1376">
        <f t="shared" si="289"/>
        <v>0</v>
      </c>
      <c r="AD150" s="1376">
        <f t="shared" si="290"/>
        <v>0</v>
      </c>
      <c r="AE150" s="1376">
        <f t="shared" si="291"/>
        <v>0</v>
      </c>
      <c r="AF150" s="1376">
        <f t="shared" si="292"/>
        <v>0</v>
      </c>
      <c r="AG150" s="1376">
        <f t="shared" si="293"/>
        <v>0</v>
      </c>
      <c r="AH150" s="1374"/>
      <c r="AI150" s="444">
        <f t="shared" si="294"/>
        <v>0</v>
      </c>
      <c r="AJ150" s="1090"/>
      <c r="AK150" s="1377"/>
      <c r="AL150" s="811">
        <f t="shared" si="295"/>
        <v>46116</v>
      </c>
      <c r="AM150" s="666">
        <f>IFERROR(IF(AND(AT150="",AR150&lt;&gt;S.CAL!$BJ$3,AR150&lt;&gt;S.CAL!$BJ$4,$AR$140="NON"),M150-BD150,IF(AND(AT150="",AR150&lt;&gt;S.CAL!$BJ$3,AR150&lt;&gt;S.CAL!$BJ$4,$AR$140="OUI"),X150-AI150,IF(AT150&lt;&gt;0,AT150,IF(OR(AR150=S.CAL!$BJ$3,AR150=S.CAL!$BJ$4),AR150,"")))),"")</f>
        <v>0</v>
      </c>
      <c r="AN150" s="1093"/>
      <c r="AO150" s="1094"/>
      <c r="AP150" s="666">
        <f>+IF(AND(AU150="",BB150="OUI",BH150="non",BI150="OUI"),AM150,IF(AND(AU150="",BB150="OUI",BH150="oui",BI150="NON"),AM150,IF(AND(AU150="",BB150="NON",BH150="oui",BI150="NON"),M150,IF(AND(AU150="",BB150="NON",BH150="non",BI150="OUI"),M150,IF(AND(AU150="",BB150="OUI",BH150="non",BI150="NON"),"ERREUR",IF(AND(AU150="",BB150="NON",BH150="non",BI150="NON"),AM150,IF(AND(AU150="",BB150="OUI",BH150="",BI150=""),AM150,IF(AND(AU150="",BB150="NON",BH150="",BI150="",AZ150="NON"),M150,IF(AND(AU150="",BH150="",AZ150="OUI",AR150=""),AM150,IF(AND(AU150="",BH150="",AZ150="NON",AR150="",AT150=""),M150,IF(AND(OR(AR150=S.CAL!$BJ$3,AR150=S.CAL!$BJ$4),(VLOOKUP($AM$140,base_nbre_sem_mensu,2,FALSE)=52)),EE150,IF(AND(OR(AR150=S.CAL!$BJ$3,AR150=S.CAL!$BJ$4),(VLOOKUP($AM$140,base_nbre_sem_mensu,2,FALSE)&lt;52)),AM150,IF(AND(AT150&lt;&gt;"",AU150=""),AT150,AU150)))))))))))))</f>
        <v>0</v>
      </c>
      <c r="AQ150" s="1378">
        <f t="shared" si="315"/>
        <v>0</v>
      </c>
      <c r="AR150" s="1098"/>
      <c r="AS150" s="1374"/>
      <c r="AT150" s="1101"/>
      <c r="AU150" s="813"/>
      <c r="AV150" s="1370">
        <f t="shared" si="296"/>
        <v>46116</v>
      </c>
      <c r="AW150" s="1374"/>
      <c r="AX150" s="511">
        <f t="shared" si="316"/>
        <v>46116</v>
      </c>
      <c r="AY150" s="523">
        <f t="shared" si="317"/>
        <v>0</v>
      </c>
      <c r="AZ150" s="520" t="s">
        <v>137</v>
      </c>
      <c r="BA150" s="516">
        <f t="shared" si="318"/>
        <v>0</v>
      </c>
      <c r="BB150" s="549" t="str">
        <f t="shared" si="297"/>
        <v/>
      </c>
      <c r="BC150" s="523">
        <f t="shared" si="319"/>
        <v>0</v>
      </c>
      <c r="BD150" s="523">
        <f t="shared" si="320"/>
        <v>0</v>
      </c>
      <c r="BE150" s="732"/>
      <c r="BF150" s="514" t="str">
        <f t="shared" si="298"/>
        <v/>
      </c>
      <c r="BG150" s="514" t="str">
        <f t="shared" si="321"/>
        <v>oui</v>
      </c>
      <c r="BH150" s="377" t="str">
        <f t="shared" si="299"/>
        <v/>
      </c>
      <c r="BI150" s="24" t="str">
        <f t="shared" si="300"/>
        <v/>
      </c>
      <c r="BJ150" s="1382"/>
      <c r="BK150" s="1382"/>
      <c r="BL150" s="1382"/>
      <c r="BM150" s="1382"/>
      <c r="BN150" s="1382"/>
      <c r="BO150" s="1382"/>
      <c r="BP150" s="1382"/>
      <c r="BQ150" s="1382"/>
      <c r="BR150" s="1383"/>
      <c r="BS150" s="1370">
        <f t="shared" si="267"/>
        <v>46116</v>
      </c>
      <c r="BT150" s="1384" t="str">
        <f t="shared" si="329"/>
        <v/>
      </c>
      <c r="BU150" s="1382"/>
      <c r="BV150" s="1382"/>
      <c r="BW150" s="1382"/>
      <c r="BX150" s="1382"/>
      <c r="BY150" s="1382"/>
      <c r="BZ150" s="1382"/>
      <c r="CA150" s="1382"/>
      <c r="CB150" s="1382"/>
      <c r="CD150" s="1386">
        <f t="shared" si="322"/>
        <v>0</v>
      </c>
      <c r="DC150" s="16" t="str">
        <f>Avril!FC23</f>
        <v>non</v>
      </c>
      <c r="DG150" s="315">
        <f t="shared" si="323"/>
        <v>1</v>
      </c>
      <c r="DH150" s="129">
        <f t="shared" si="301"/>
        <v>10</v>
      </c>
      <c r="DI150" s="129">
        <f t="shared" si="324"/>
        <v>1</v>
      </c>
      <c r="DK150" s="16">
        <f>+IF(AND(Avril!$DP$8&lt;&gt;52,AR150=S.CAL!$BJ$4),10,1)</f>
        <v>1</v>
      </c>
      <c r="DN150" s="16">
        <f t="shared" si="302"/>
        <v>1</v>
      </c>
      <c r="DU150" s="1274" t="str">
        <f t="shared" si="325"/>
        <v>Fiche infoA646116</v>
      </c>
      <c r="DV150" s="1362">
        <f t="shared" si="303"/>
        <v>0</v>
      </c>
      <c r="DW150" s="1363">
        <f t="shared" si="304"/>
        <v>0</v>
      </c>
      <c r="DX150" s="1363">
        <f t="shared" si="305"/>
        <v>0</v>
      </c>
      <c r="DY150" s="1363">
        <f t="shared" si="306"/>
        <v>0</v>
      </c>
      <c r="DZ150" s="1363">
        <f t="shared" si="307"/>
        <v>0</v>
      </c>
      <c r="EA150" s="1363">
        <f t="shared" si="308"/>
        <v>0</v>
      </c>
      <c r="EB150" s="1363">
        <f t="shared" si="309"/>
        <v>0</v>
      </c>
      <c r="EC150" s="1363">
        <f t="shared" si="310"/>
        <v>0</v>
      </c>
      <c r="ED150" s="1363">
        <f t="shared" si="326"/>
        <v>0</v>
      </c>
      <c r="EE150" s="1364">
        <f t="shared" si="327"/>
        <v>0</v>
      </c>
      <c r="EG150" s="16" t="str">
        <f t="shared" si="328"/>
        <v>142026</v>
      </c>
      <c r="EH150" s="16" t="str">
        <f t="shared" si="311"/>
        <v>Fiche infoA6</v>
      </c>
      <c r="EI150" s="16" t="str">
        <f t="shared" si="312"/>
        <v/>
      </c>
    </row>
    <row r="151" spans="1:139" x14ac:dyDescent="0.2">
      <c r="A151" s="24" t="str">
        <f>Avril!BJ24</f>
        <v>Fiche infoA7</v>
      </c>
      <c r="B151" s="811">
        <f>Avril!AB24</f>
        <v>46117</v>
      </c>
      <c r="C151" s="1371"/>
      <c r="D151" s="981">
        <f t="shared" si="268"/>
        <v>0</v>
      </c>
      <c r="E151" s="434">
        <f t="shared" si="269"/>
        <v>0</v>
      </c>
      <c r="F151" s="434">
        <f t="shared" si="270"/>
        <v>0</v>
      </c>
      <c r="G151" s="434">
        <f t="shared" si="271"/>
        <v>0</v>
      </c>
      <c r="H151" s="434">
        <f t="shared" si="272"/>
        <v>0</v>
      </c>
      <c r="I151" s="434">
        <f t="shared" si="273"/>
        <v>0</v>
      </c>
      <c r="J151" s="434">
        <f t="shared" si="274"/>
        <v>0</v>
      </c>
      <c r="K151" s="434">
        <f t="shared" si="275"/>
        <v>0</v>
      </c>
      <c r="L151" s="434">
        <f t="shared" si="313"/>
        <v>0</v>
      </c>
      <c r="M151" s="982">
        <f t="shared" si="314"/>
        <v>0</v>
      </c>
      <c r="O151" s="981">
        <f t="shared" si="276"/>
        <v>0</v>
      </c>
      <c r="P151" s="434">
        <f t="shared" si="277"/>
        <v>0</v>
      </c>
      <c r="Q151" s="434">
        <f t="shared" si="278"/>
        <v>0</v>
      </c>
      <c r="R151" s="434">
        <f t="shared" si="279"/>
        <v>0</v>
      </c>
      <c r="S151" s="434">
        <f t="shared" si="280"/>
        <v>0</v>
      </c>
      <c r="T151" s="434">
        <f t="shared" si="281"/>
        <v>0</v>
      </c>
      <c r="U151" s="434">
        <f t="shared" si="282"/>
        <v>0</v>
      </c>
      <c r="V151" s="434">
        <f t="shared" si="283"/>
        <v>0</v>
      </c>
      <c r="W151" s="434">
        <f t="shared" si="284"/>
        <v>0</v>
      </c>
      <c r="X151" s="982">
        <f t="shared" si="285"/>
        <v>0</v>
      </c>
      <c r="Y151" s="441"/>
      <c r="Z151" s="277">
        <f t="shared" si="286"/>
        <v>0</v>
      </c>
      <c r="AA151" s="277">
        <f t="shared" si="287"/>
        <v>0</v>
      </c>
      <c r="AB151" s="277">
        <f t="shared" si="288"/>
        <v>0</v>
      </c>
      <c r="AC151" s="277">
        <f t="shared" si="289"/>
        <v>0</v>
      </c>
      <c r="AD151" s="277">
        <f t="shared" si="290"/>
        <v>0</v>
      </c>
      <c r="AE151" s="277">
        <f t="shared" si="291"/>
        <v>0</v>
      </c>
      <c r="AF151" s="277">
        <f t="shared" si="292"/>
        <v>0</v>
      </c>
      <c r="AG151" s="277">
        <f t="shared" si="293"/>
        <v>0</v>
      </c>
      <c r="AI151" s="444">
        <f t="shared" si="294"/>
        <v>0</v>
      </c>
      <c r="AJ151" s="1090"/>
      <c r="AK151" s="489"/>
      <c r="AL151" s="811">
        <f t="shared" si="295"/>
        <v>46117</v>
      </c>
      <c r="AM151" s="666">
        <f>IFERROR(IF(AND(AT151="",AR151&lt;&gt;S.CAL!$BJ$3,AR151&lt;&gt;S.CAL!$BJ$4,$AR$140="NON"),M151-BD151,IF(AND(AT151="",AR151&lt;&gt;S.CAL!$BJ$3,AR151&lt;&gt;S.CAL!$BJ$4,$AR$140="OUI"),X151-AI151,IF(AT151&lt;&gt;0,AT151,IF(OR(AR151=S.CAL!$BJ$3,AR151=S.CAL!$BJ$4),AR151,"")))),"")</f>
        <v>0</v>
      </c>
      <c r="AN151" s="1093"/>
      <c r="AO151" s="1094"/>
      <c r="AP151" s="666">
        <f>+IF(AND(AU151="",BB151="OUI",BH151="non",BI151="OUI"),AM151,IF(AND(AU151="",BB151="OUI",BH151="oui",BI151="NON"),AM151,IF(AND(AU151="",BB151="NON",BH151="oui",BI151="NON"),M151,IF(AND(AU151="",BB151="NON",BH151="non",BI151="OUI"),M151,IF(AND(AU151="",BB151="OUI",BH151="non",BI151="NON"),"ERREUR",IF(AND(AU151="",BB151="NON",BH151="non",BI151="NON"),AM151,IF(AND(AU151="",BB151="OUI",BH151="",BI151=""),AM151,IF(AND(AU151="",BB151="NON",BH151="",BI151="",AZ151="NON"),M151,IF(AND(AU151="",BH151="",AZ151="OUI",AR151=""),AM151,IF(AND(AU151="",BH151="",AZ151="NON",AR151="",AT151=""),M151,IF(AND(OR(AR151=S.CAL!$BJ$3,AR151=S.CAL!$BJ$4),(VLOOKUP($AM$140,base_nbre_sem_mensu,2,FALSE)=52)),EE151,IF(AND(OR(AR151=S.CAL!$BJ$3,AR151=S.CAL!$BJ$4),(VLOOKUP($AM$140,base_nbre_sem_mensu,2,FALSE)&lt;52)),AM151,IF(AND(AT151&lt;&gt;"",AU151=""),AT151,AU151)))))))))))))</f>
        <v>0</v>
      </c>
      <c r="AQ151" s="498">
        <f t="shared" si="315"/>
        <v>0</v>
      </c>
      <c r="AR151" s="1098"/>
      <c r="AT151" s="1101"/>
      <c r="AU151" s="813"/>
      <c r="AV151" s="1370">
        <f t="shared" si="296"/>
        <v>46117</v>
      </c>
      <c r="AX151" s="511">
        <f t="shared" si="316"/>
        <v>46117</v>
      </c>
      <c r="AY151" s="523">
        <f t="shared" si="317"/>
        <v>0</v>
      </c>
      <c r="AZ151" s="520" t="s">
        <v>137</v>
      </c>
      <c r="BA151" s="516">
        <f t="shared" si="318"/>
        <v>0</v>
      </c>
      <c r="BB151" s="549" t="str">
        <f t="shared" si="297"/>
        <v/>
      </c>
      <c r="BC151" s="523">
        <f t="shared" si="319"/>
        <v>0</v>
      </c>
      <c r="BD151" s="523">
        <f t="shared" si="320"/>
        <v>0</v>
      </c>
      <c r="BE151" s="732"/>
      <c r="BF151" s="514" t="str">
        <f t="shared" si="298"/>
        <v/>
      </c>
      <c r="BG151" s="514" t="str">
        <f t="shared" si="321"/>
        <v>oui</v>
      </c>
      <c r="BH151" s="377" t="str">
        <f t="shared" si="299"/>
        <v/>
      </c>
      <c r="BI151" s="24" t="str">
        <f t="shared" si="300"/>
        <v/>
      </c>
      <c r="BJ151" s="1381"/>
      <c r="BK151" s="1381"/>
      <c r="BL151" s="1381"/>
      <c r="BM151" s="1381"/>
      <c r="BN151" s="1381"/>
      <c r="BO151" s="1381"/>
      <c r="BP151" s="1381"/>
      <c r="BQ151" s="1381"/>
      <c r="BS151" s="1370">
        <f t="shared" si="267"/>
        <v>46117</v>
      </c>
      <c r="BT151" s="27" t="str">
        <f t="shared" si="329"/>
        <v/>
      </c>
      <c r="BU151" s="1380"/>
      <c r="BV151" s="1380"/>
      <c r="BW151" s="1380"/>
      <c r="BX151" s="1380"/>
      <c r="BY151" s="1380"/>
      <c r="BZ151" s="1380"/>
      <c r="CA151" s="1380"/>
      <c r="CB151" s="1380"/>
      <c r="CD151" s="1386">
        <f t="shared" si="322"/>
        <v>0</v>
      </c>
      <c r="DC151" s="16" t="str">
        <f>Avril!FC24</f>
        <v>non</v>
      </c>
      <c r="DG151" s="315">
        <f t="shared" si="323"/>
        <v>1</v>
      </c>
      <c r="DH151" s="129">
        <f t="shared" si="301"/>
        <v>10</v>
      </c>
      <c r="DI151" s="129">
        <f t="shared" si="324"/>
        <v>1</v>
      </c>
      <c r="DK151" s="16">
        <f>+IF(AND(Avril!$DP$8&lt;&gt;52,AR151=S.CAL!$BJ$4),10,1)</f>
        <v>1</v>
      </c>
      <c r="DN151" s="16">
        <f t="shared" si="302"/>
        <v>1</v>
      </c>
      <c r="DU151" s="1274" t="str">
        <f t="shared" si="325"/>
        <v>Fiche infoA746117</v>
      </c>
      <c r="DV151" s="1362">
        <f t="shared" si="303"/>
        <v>0</v>
      </c>
      <c r="DW151" s="1363">
        <f t="shared" si="304"/>
        <v>0</v>
      </c>
      <c r="DX151" s="1363">
        <f t="shared" si="305"/>
        <v>0</v>
      </c>
      <c r="DY151" s="1363">
        <f t="shared" si="306"/>
        <v>0</v>
      </c>
      <c r="DZ151" s="1363">
        <f t="shared" si="307"/>
        <v>0</v>
      </c>
      <c r="EA151" s="1363">
        <f t="shared" si="308"/>
        <v>0</v>
      </c>
      <c r="EB151" s="1363">
        <f t="shared" si="309"/>
        <v>0</v>
      </c>
      <c r="EC151" s="1363">
        <f t="shared" si="310"/>
        <v>0</v>
      </c>
      <c r="ED151" s="1363">
        <f t="shared" si="326"/>
        <v>0</v>
      </c>
      <c r="EE151" s="1364">
        <f t="shared" si="327"/>
        <v>0</v>
      </c>
      <c r="EG151" s="16" t="str">
        <f t="shared" si="328"/>
        <v>142026</v>
      </c>
      <c r="EH151" s="16" t="str">
        <f t="shared" si="311"/>
        <v>Fiche infoA7</v>
      </c>
      <c r="EI151" s="16" t="str">
        <f t="shared" si="312"/>
        <v/>
      </c>
    </row>
    <row r="152" spans="1:139" x14ac:dyDescent="0.2">
      <c r="A152" s="1373" t="str">
        <f>Avril!BJ25</f>
        <v>Fiche infoA1</v>
      </c>
      <c r="B152" s="811">
        <f>Avril!AB25</f>
        <v>46118</v>
      </c>
      <c r="C152" s="1372"/>
      <c r="D152" s="981">
        <f t="shared" si="268"/>
        <v>0</v>
      </c>
      <c r="E152" s="434">
        <f t="shared" si="269"/>
        <v>0</v>
      </c>
      <c r="F152" s="434">
        <f t="shared" si="270"/>
        <v>0</v>
      </c>
      <c r="G152" s="434">
        <f t="shared" si="271"/>
        <v>0</v>
      </c>
      <c r="H152" s="434">
        <f t="shared" si="272"/>
        <v>0</v>
      </c>
      <c r="I152" s="434">
        <f t="shared" si="273"/>
        <v>0</v>
      </c>
      <c r="J152" s="434">
        <f t="shared" si="274"/>
        <v>0</v>
      </c>
      <c r="K152" s="434">
        <f t="shared" si="275"/>
        <v>0</v>
      </c>
      <c r="L152" s="434">
        <f t="shared" si="313"/>
        <v>0</v>
      </c>
      <c r="M152" s="982">
        <f t="shared" si="314"/>
        <v>0</v>
      </c>
      <c r="N152" s="1374"/>
      <c r="O152" s="981">
        <f t="shared" si="276"/>
        <v>0</v>
      </c>
      <c r="P152" s="434">
        <f t="shared" si="277"/>
        <v>0</v>
      </c>
      <c r="Q152" s="434">
        <f t="shared" si="278"/>
        <v>0</v>
      </c>
      <c r="R152" s="434">
        <f t="shared" si="279"/>
        <v>0</v>
      </c>
      <c r="S152" s="434">
        <f t="shared" si="280"/>
        <v>0</v>
      </c>
      <c r="T152" s="434">
        <f t="shared" si="281"/>
        <v>0</v>
      </c>
      <c r="U152" s="434">
        <f t="shared" si="282"/>
        <v>0</v>
      </c>
      <c r="V152" s="434">
        <f t="shared" si="283"/>
        <v>0</v>
      </c>
      <c r="W152" s="434">
        <f t="shared" si="284"/>
        <v>0</v>
      </c>
      <c r="X152" s="982">
        <f t="shared" si="285"/>
        <v>0</v>
      </c>
      <c r="Y152" s="1375"/>
      <c r="Z152" s="1376">
        <f t="shared" si="286"/>
        <v>0</v>
      </c>
      <c r="AA152" s="1376">
        <f t="shared" si="287"/>
        <v>0</v>
      </c>
      <c r="AB152" s="1376">
        <f t="shared" si="288"/>
        <v>0</v>
      </c>
      <c r="AC152" s="1376">
        <f t="shared" si="289"/>
        <v>0</v>
      </c>
      <c r="AD152" s="1376">
        <f t="shared" si="290"/>
        <v>0</v>
      </c>
      <c r="AE152" s="1376">
        <f t="shared" si="291"/>
        <v>0</v>
      </c>
      <c r="AF152" s="1376">
        <f t="shared" si="292"/>
        <v>0</v>
      </c>
      <c r="AG152" s="1376">
        <f t="shared" si="293"/>
        <v>0</v>
      </c>
      <c r="AH152" s="1374"/>
      <c r="AI152" s="444">
        <f t="shared" si="294"/>
        <v>0</v>
      </c>
      <c r="AJ152" s="1090"/>
      <c r="AK152" s="1377"/>
      <c r="AL152" s="811">
        <f t="shared" si="295"/>
        <v>46118</v>
      </c>
      <c r="AM152" s="666">
        <f>IFERROR(IF(AND(AT152="",AR152&lt;&gt;S.CAL!$BJ$3,AR152&lt;&gt;S.CAL!$BJ$4,$AR$140="NON"),M152-BD152,IF(AND(AT152="",AR152&lt;&gt;S.CAL!$BJ$3,AR152&lt;&gt;S.CAL!$BJ$4,$AR$140="OUI"),X152-AI152,IF(AT152&lt;&gt;0,AT152,IF(OR(AR152=S.CAL!$BJ$3,AR152=S.CAL!$BJ$4),AR152,"")))),"")</f>
        <v>0</v>
      </c>
      <c r="AN152" s="1093"/>
      <c r="AO152" s="1094"/>
      <c r="AP152" s="666">
        <f>+IF(AND(AU152="",BB152="OUI",BH152="non",BI152="OUI"),AM152,IF(AND(AU152="",BB152="OUI",BH152="oui",BI152="NON"),AM152,IF(AND(AU152="",BB152="NON",BH152="oui",BI152="NON"),M152,IF(AND(AU152="",BB152="NON",BH152="non",BI152="OUI"),M152,IF(AND(AU152="",BB152="OUI",BH152="non",BI152="NON"),"ERREUR",IF(AND(AU152="",BB152="NON",BH152="non",BI152="NON"),AM152,IF(AND(AU152="",BB152="OUI",BH152="",BI152=""),AM152,IF(AND(AU152="",BB152="NON",BH152="",BI152="",AZ152="NON"),M152,IF(AND(AU152="",BH152="",AZ152="OUI",AR152=""),AM152,IF(AND(AU152="",BH152="",AZ152="NON",AR152="",AT152=""),M152,IF(AND(OR(AR152=S.CAL!$BJ$3,AR152=S.CAL!$BJ$4),(VLOOKUP($AM$140,base_nbre_sem_mensu,2,FALSE)=52)),EE152,IF(AND(OR(AR152=S.CAL!$BJ$3,AR152=S.CAL!$BJ$4),(VLOOKUP($AM$140,base_nbre_sem_mensu,2,FALSE)&lt;52)),AM152,IF(AND(AT152&lt;&gt;"",AU152=""),AT152,AU152)))))))))))))</f>
        <v>0</v>
      </c>
      <c r="AQ152" s="1378">
        <f t="shared" si="315"/>
        <v>0</v>
      </c>
      <c r="AR152" s="1098"/>
      <c r="AS152" s="1374"/>
      <c r="AT152" s="1101"/>
      <c r="AU152" s="813"/>
      <c r="AV152" s="1370">
        <f t="shared" si="296"/>
        <v>46118</v>
      </c>
      <c r="AW152" s="1374"/>
      <c r="AX152" s="511">
        <f t="shared" si="316"/>
        <v>46118</v>
      </c>
      <c r="AY152" s="523">
        <f t="shared" si="317"/>
        <v>0</v>
      </c>
      <c r="AZ152" s="520" t="s">
        <v>137</v>
      </c>
      <c r="BA152" s="516">
        <f t="shared" si="318"/>
        <v>0</v>
      </c>
      <c r="BB152" s="549" t="str">
        <f t="shared" si="297"/>
        <v/>
      </c>
      <c r="BC152" s="523">
        <f t="shared" si="319"/>
        <v>0</v>
      </c>
      <c r="BD152" s="523">
        <f t="shared" si="320"/>
        <v>0</v>
      </c>
      <c r="BE152" s="732"/>
      <c r="BF152" s="514" t="str">
        <f t="shared" si="298"/>
        <v/>
      </c>
      <c r="BG152" s="514" t="str">
        <f t="shared" si="321"/>
        <v>oui</v>
      </c>
      <c r="BH152" s="377" t="str">
        <f t="shared" si="299"/>
        <v/>
      </c>
      <c r="BI152" s="24" t="str">
        <f t="shared" si="300"/>
        <v/>
      </c>
      <c r="BJ152" s="1382"/>
      <c r="BK152" s="1382"/>
      <c r="BL152" s="1382"/>
      <c r="BM152" s="1382"/>
      <c r="BN152" s="1382"/>
      <c r="BO152" s="1382"/>
      <c r="BP152" s="1382"/>
      <c r="BQ152" s="1382"/>
      <c r="BR152" s="1383"/>
      <c r="BS152" s="1370">
        <f t="shared" si="267"/>
        <v>46118</v>
      </c>
      <c r="BT152" s="1384">
        <f t="shared" si="329"/>
        <v>15</v>
      </c>
      <c r="BU152" s="1382"/>
      <c r="BV152" s="1382"/>
      <c r="BW152" s="1382"/>
      <c r="BX152" s="1382"/>
      <c r="BY152" s="1382"/>
      <c r="BZ152" s="1382"/>
      <c r="CA152" s="1382"/>
      <c r="CB152" s="1382"/>
      <c r="CD152" s="1386">
        <f t="shared" si="322"/>
        <v>0</v>
      </c>
      <c r="DC152" s="16" t="str">
        <f>Avril!FC25</f>
        <v>non</v>
      </c>
      <c r="DG152" s="315">
        <f t="shared" si="323"/>
        <v>1</v>
      </c>
      <c r="DH152" s="129">
        <f t="shared" si="301"/>
        <v>10</v>
      </c>
      <c r="DI152" s="129">
        <f t="shared" si="324"/>
        <v>1</v>
      </c>
      <c r="DK152" s="16">
        <f>+IF(AND(Avril!$DP$8&lt;&gt;52,AR152=S.CAL!$BJ$4),10,1)</f>
        <v>1</v>
      </c>
      <c r="DN152" s="16">
        <f t="shared" si="302"/>
        <v>1</v>
      </c>
      <c r="DU152" s="1274" t="str">
        <f t="shared" si="325"/>
        <v>Fiche infoA146118</v>
      </c>
      <c r="DV152" s="1362">
        <f t="shared" si="303"/>
        <v>0</v>
      </c>
      <c r="DW152" s="1363">
        <f t="shared" si="304"/>
        <v>0</v>
      </c>
      <c r="DX152" s="1363">
        <f t="shared" si="305"/>
        <v>0</v>
      </c>
      <c r="DY152" s="1363">
        <f t="shared" si="306"/>
        <v>0</v>
      </c>
      <c r="DZ152" s="1363">
        <f t="shared" si="307"/>
        <v>0</v>
      </c>
      <c r="EA152" s="1363">
        <f t="shared" si="308"/>
        <v>0</v>
      </c>
      <c r="EB152" s="1363">
        <f t="shared" si="309"/>
        <v>0</v>
      </c>
      <c r="EC152" s="1363">
        <f t="shared" si="310"/>
        <v>0</v>
      </c>
      <c r="ED152" s="1363">
        <f t="shared" si="326"/>
        <v>0</v>
      </c>
      <c r="EE152" s="1364">
        <f t="shared" si="327"/>
        <v>0</v>
      </c>
      <c r="EG152" s="16" t="str">
        <f t="shared" si="328"/>
        <v>152026</v>
      </c>
      <c r="EH152" s="16" t="str">
        <f t="shared" si="311"/>
        <v>Fiche infoA1</v>
      </c>
      <c r="EI152" s="16" t="str">
        <f t="shared" si="312"/>
        <v/>
      </c>
    </row>
    <row r="153" spans="1:139" x14ac:dyDescent="0.2">
      <c r="A153" s="24" t="str">
        <f>Avril!BJ26</f>
        <v>Fiche infoA2</v>
      </c>
      <c r="B153" s="811">
        <f>Avril!AB26</f>
        <v>46119</v>
      </c>
      <c r="C153" s="1371"/>
      <c r="D153" s="981">
        <f t="shared" si="268"/>
        <v>0</v>
      </c>
      <c r="E153" s="434">
        <f t="shared" si="269"/>
        <v>0</v>
      </c>
      <c r="F153" s="434">
        <f t="shared" si="270"/>
        <v>0</v>
      </c>
      <c r="G153" s="434">
        <f t="shared" si="271"/>
        <v>0</v>
      </c>
      <c r="H153" s="434">
        <f t="shared" si="272"/>
        <v>0</v>
      </c>
      <c r="I153" s="434">
        <f t="shared" si="273"/>
        <v>0</v>
      </c>
      <c r="J153" s="434">
        <f t="shared" si="274"/>
        <v>0</v>
      </c>
      <c r="K153" s="434">
        <f t="shared" si="275"/>
        <v>0</v>
      </c>
      <c r="L153" s="434">
        <f t="shared" si="313"/>
        <v>0</v>
      </c>
      <c r="M153" s="982">
        <f t="shared" si="314"/>
        <v>0</v>
      </c>
      <c r="O153" s="981">
        <f t="shared" si="276"/>
        <v>0</v>
      </c>
      <c r="P153" s="434">
        <f t="shared" si="277"/>
        <v>0</v>
      </c>
      <c r="Q153" s="434">
        <f t="shared" si="278"/>
        <v>0</v>
      </c>
      <c r="R153" s="434">
        <f t="shared" si="279"/>
        <v>0</v>
      </c>
      <c r="S153" s="434">
        <f t="shared" si="280"/>
        <v>0</v>
      </c>
      <c r="T153" s="434">
        <f t="shared" si="281"/>
        <v>0</v>
      </c>
      <c r="U153" s="434">
        <f t="shared" si="282"/>
        <v>0</v>
      </c>
      <c r="V153" s="434">
        <f t="shared" si="283"/>
        <v>0</v>
      </c>
      <c r="W153" s="434">
        <f t="shared" si="284"/>
        <v>0</v>
      </c>
      <c r="X153" s="982">
        <f t="shared" si="285"/>
        <v>0</v>
      </c>
      <c r="Y153" s="441"/>
      <c r="Z153" s="277">
        <f t="shared" si="286"/>
        <v>0</v>
      </c>
      <c r="AA153" s="277">
        <f t="shared" si="287"/>
        <v>0</v>
      </c>
      <c r="AB153" s="277">
        <f t="shared" si="288"/>
        <v>0</v>
      </c>
      <c r="AC153" s="277">
        <f t="shared" si="289"/>
        <v>0</v>
      </c>
      <c r="AD153" s="277">
        <f t="shared" si="290"/>
        <v>0</v>
      </c>
      <c r="AE153" s="277">
        <f t="shared" si="291"/>
        <v>0</v>
      </c>
      <c r="AF153" s="277">
        <f t="shared" si="292"/>
        <v>0</v>
      </c>
      <c r="AG153" s="277">
        <f t="shared" si="293"/>
        <v>0</v>
      </c>
      <c r="AI153" s="444">
        <f t="shared" si="294"/>
        <v>0</v>
      </c>
      <c r="AJ153" s="1090"/>
      <c r="AK153" s="489"/>
      <c r="AL153" s="811">
        <f t="shared" si="295"/>
        <v>46119</v>
      </c>
      <c r="AM153" s="666">
        <f>IFERROR(IF(AND(AT153="",AR153&lt;&gt;S.CAL!$BJ$3,AR153&lt;&gt;S.CAL!$BJ$4,$AR$140="NON"),M153-BD153,IF(AND(AT153="",AR153&lt;&gt;S.CAL!$BJ$3,AR153&lt;&gt;S.CAL!$BJ$4,$AR$140="OUI"),X153-AI153,IF(AT153&lt;&gt;0,AT153,IF(OR(AR153=S.CAL!$BJ$3,AR153=S.CAL!$BJ$4),AR153,"")))),"")</f>
        <v>0</v>
      </c>
      <c r="AN153" s="1093"/>
      <c r="AO153" s="1094"/>
      <c r="AP153" s="666">
        <f>+IF(AND(AU153="",BB153="OUI",BH153="non",BI153="OUI"),AM153,IF(AND(AU153="",BB153="OUI",BH153="oui",BI153="NON"),AM153,IF(AND(AU153="",BB153="NON",BH153="oui",BI153="NON"),M153,IF(AND(AU153="",BB153="NON",BH153="non",BI153="OUI"),M153,IF(AND(AU153="",BB153="OUI",BH153="non",BI153="NON"),"ERREUR",IF(AND(AU153="",BB153="NON",BH153="non",BI153="NON"),AM153,IF(AND(AU153="",BB153="OUI",BH153="",BI153=""),AM153,IF(AND(AU153="",BB153="NON",BH153="",BI153="",AZ153="NON"),M153,IF(AND(AU153="",BH153="",AZ153="OUI",AR153=""),AM153,IF(AND(AU153="",BH153="",AZ153="NON",AR153="",AT153=""),M153,IF(AND(OR(AR153=S.CAL!$BJ$3,AR153=S.CAL!$BJ$4),(VLOOKUP($AM$140,base_nbre_sem_mensu,2,FALSE)=52)),EE153,IF(AND(OR(AR153=S.CAL!$BJ$3,AR153=S.CAL!$BJ$4),(VLOOKUP($AM$140,base_nbre_sem_mensu,2,FALSE)&lt;52)),AM153,IF(AND(AT153&lt;&gt;"",AU153=""),AT153,AU153)))))))))))))</f>
        <v>0</v>
      </c>
      <c r="AQ153" s="498">
        <f t="shared" si="315"/>
        <v>0</v>
      </c>
      <c r="AR153" s="1098"/>
      <c r="AT153" s="1101"/>
      <c r="AU153" s="813"/>
      <c r="AV153" s="1370">
        <f t="shared" si="296"/>
        <v>46119</v>
      </c>
      <c r="AX153" s="511">
        <f t="shared" si="316"/>
        <v>46119</v>
      </c>
      <c r="AY153" s="523">
        <f t="shared" si="317"/>
        <v>0</v>
      </c>
      <c r="AZ153" s="520" t="s">
        <v>137</v>
      </c>
      <c r="BA153" s="516">
        <f t="shared" si="318"/>
        <v>0</v>
      </c>
      <c r="BB153" s="549" t="str">
        <f t="shared" si="297"/>
        <v/>
      </c>
      <c r="BC153" s="523">
        <f t="shared" si="319"/>
        <v>0</v>
      </c>
      <c r="BD153" s="523">
        <f t="shared" si="320"/>
        <v>0</v>
      </c>
      <c r="BE153" s="732"/>
      <c r="BF153" s="514" t="str">
        <f t="shared" si="298"/>
        <v/>
      </c>
      <c r="BG153" s="514" t="str">
        <f t="shared" si="321"/>
        <v>oui</v>
      </c>
      <c r="BH153" s="377" t="str">
        <f t="shared" si="299"/>
        <v/>
      </c>
      <c r="BI153" s="24" t="str">
        <f t="shared" si="300"/>
        <v/>
      </c>
      <c r="BJ153" s="1381"/>
      <c r="BK153" s="1381"/>
      <c r="BL153" s="1381"/>
      <c r="BM153" s="1381"/>
      <c r="BN153" s="1381"/>
      <c r="BO153" s="1381"/>
      <c r="BP153" s="1381"/>
      <c r="BQ153" s="1381"/>
      <c r="BS153" s="1370">
        <f t="shared" si="267"/>
        <v>46119</v>
      </c>
      <c r="BT153" s="27" t="str">
        <f t="shared" si="329"/>
        <v/>
      </c>
      <c r="BU153" s="1380"/>
      <c r="BV153" s="1380"/>
      <c r="BW153" s="1380"/>
      <c r="BX153" s="1380"/>
      <c r="BY153" s="1380"/>
      <c r="BZ153" s="1380"/>
      <c r="CA153" s="1380"/>
      <c r="CB153" s="1380"/>
      <c r="CD153" s="1386">
        <f t="shared" si="322"/>
        <v>0</v>
      </c>
      <c r="DC153" s="16" t="str">
        <f>Avril!FC26</f>
        <v>non</v>
      </c>
      <c r="DG153" s="315">
        <f t="shared" si="323"/>
        <v>1</v>
      </c>
      <c r="DH153" s="129">
        <f t="shared" si="301"/>
        <v>10</v>
      </c>
      <c r="DI153" s="129">
        <f t="shared" si="324"/>
        <v>1</v>
      </c>
      <c r="DK153" s="16">
        <f>+IF(AND(Avril!$DP$8&lt;&gt;52,AR153=S.CAL!$BJ$4),10,1)</f>
        <v>1</v>
      </c>
      <c r="DN153" s="16">
        <f t="shared" si="302"/>
        <v>1</v>
      </c>
      <c r="DU153" s="1274" t="str">
        <f t="shared" si="325"/>
        <v>Fiche infoA246119</v>
      </c>
      <c r="DV153" s="1362">
        <f t="shared" si="303"/>
        <v>0</v>
      </c>
      <c r="DW153" s="1363">
        <f t="shared" si="304"/>
        <v>0</v>
      </c>
      <c r="DX153" s="1363">
        <f t="shared" si="305"/>
        <v>0</v>
      </c>
      <c r="DY153" s="1363">
        <f t="shared" si="306"/>
        <v>0</v>
      </c>
      <c r="DZ153" s="1363">
        <f t="shared" si="307"/>
        <v>0</v>
      </c>
      <c r="EA153" s="1363">
        <f t="shared" si="308"/>
        <v>0</v>
      </c>
      <c r="EB153" s="1363">
        <f t="shared" si="309"/>
        <v>0</v>
      </c>
      <c r="EC153" s="1363">
        <f t="shared" si="310"/>
        <v>0</v>
      </c>
      <c r="ED153" s="1363">
        <f t="shared" si="326"/>
        <v>0</v>
      </c>
      <c r="EE153" s="1364">
        <f t="shared" si="327"/>
        <v>0</v>
      </c>
      <c r="EG153" s="16" t="str">
        <f t="shared" si="328"/>
        <v>152026</v>
      </c>
      <c r="EH153" s="16" t="str">
        <f t="shared" si="311"/>
        <v>Fiche infoA2</v>
      </c>
      <c r="EI153" s="16" t="str">
        <f t="shared" si="312"/>
        <v/>
      </c>
    </row>
    <row r="154" spans="1:139" x14ac:dyDescent="0.2">
      <c r="A154" s="1373" t="str">
        <f>Avril!BJ27</f>
        <v>Fiche infoA3</v>
      </c>
      <c r="B154" s="811">
        <f>Avril!AB27</f>
        <v>46120</v>
      </c>
      <c r="C154" s="1372"/>
      <c r="D154" s="981">
        <f t="shared" si="268"/>
        <v>0</v>
      </c>
      <c r="E154" s="434">
        <f t="shared" si="269"/>
        <v>0</v>
      </c>
      <c r="F154" s="434">
        <f t="shared" si="270"/>
        <v>0</v>
      </c>
      <c r="G154" s="434">
        <f t="shared" si="271"/>
        <v>0</v>
      </c>
      <c r="H154" s="434">
        <f t="shared" si="272"/>
        <v>0</v>
      </c>
      <c r="I154" s="434">
        <f t="shared" si="273"/>
        <v>0</v>
      </c>
      <c r="J154" s="434">
        <f t="shared" si="274"/>
        <v>0</v>
      </c>
      <c r="K154" s="434">
        <f t="shared" si="275"/>
        <v>0</v>
      </c>
      <c r="L154" s="434">
        <f t="shared" si="313"/>
        <v>0</v>
      </c>
      <c r="M154" s="982">
        <f t="shared" si="314"/>
        <v>0</v>
      </c>
      <c r="N154" s="1374"/>
      <c r="O154" s="981">
        <f t="shared" si="276"/>
        <v>0</v>
      </c>
      <c r="P154" s="434">
        <f t="shared" si="277"/>
        <v>0</v>
      </c>
      <c r="Q154" s="434">
        <f t="shared" si="278"/>
        <v>0</v>
      </c>
      <c r="R154" s="434">
        <f t="shared" si="279"/>
        <v>0</v>
      </c>
      <c r="S154" s="434">
        <f t="shared" si="280"/>
        <v>0</v>
      </c>
      <c r="T154" s="434">
        <f t="shared" si="281"/>
        <v>0</v>
      </c>
      <c r="U154" s="434">
        <f t="shared" si="282"/>
        <v>0</v>
      </c>
      <c r="V154" s="434">
        <f t="shared" si="283"/>
        <v>0</v>
      </c>
      <c r="W154" s="434">
        <f t="shared" si="284"/>
        <v>0</v>
      </c>
      <c r="X154" s="982">
        <f t="shared" si="285"/>
        <v>0</v>
      </c>
      <c r="Y154" s="1375"/>
      <c r="Z154" s="1376">
        <f t="shared" si="286"/>
        <v>0</v>
      </c>
      <c r="AA154" s="1376">
        <f t="shared" si="287"/>
        <v>0</v>
      </c>
      <c r="AB154" s="1376">
        <f t="shared" si="288"/>
        <v>0</v>
      </c>
      <c r="AC154" s="1376">
        <f t="shared" si="289"/>
        <v>0</v>
      </c>
      <c r="AD154" s="1376">
        <f t="shared" si="290"/>
        <v>0</v>
      </c>
      <c r="AE154" s="1376">
        <f t="shared" si="291"/>
        <v>0</v>
      </c>
      <c r="AF154" s="1376">
        <f t="shared" si="292"/>
        <v>0</v>
      </c>
      <c r="AG154" s="1376">
        <f t="shared" si="293"/>
        <v>0</v>
      </c>
      <c r="AH154" s="1374"/>
      <c r="AI154" s="444">
        <f t="shared" si="294"/>
        <v>0</v>
      </c>
      <c r="AJ154" s="1090"/>
      <c r="AK154" s="1377"/>
      <c r="AL154" s="811">
        <f t="shared" si="295"/>
        <v>46120</v>
      </c>
      <c r="AM154" s="666">
        <f>IFERROR(IF(AND(AT154="",AR154&lt;&gt;S.CAL!$BJ$3,AR154&lt;&gt;S.CAL!$BJ$4,$AR$140="NON"),M154-BD154,IF(AND(AT154="",AR154&lt;&gt;S.CAL!$BJ$3,AR154&lt;&gt;S.CAL!$BJ$4,$AR$140="OUI"),X154-AI154,IF(AT154&lt;&gt;0,AT154,IF(OR(AR154=S.CAL!$BJ$3,AR154=S.CAL!$BJ$4),AR154,"")))),"")</f>
        <v>0</v>
      </c>
      <c r="AN154" s="1093"/>
      <c r="AO154" s="1094"/>
      <c r="AP154" s="666">
        <f>+IF(AND(AU154="",BB154="OUI",BH154="non",BI154="OUI"),AM154,IF(AND(AU154="",BB154="OUI",BH154="oui",BI154="NON"),AM154,IF(AND(AU154="",BB154="NON",BH154="oui",BI154="NON"),M154,IF(AND(AU154="",BB154="NON",BH154="non",BI154="OUI"),M154,IF(AND(AU154="",BB154="OUI",BH154="non",BI154="NON"),"ERREUR",IF(AND(AU154="",BB154="NON",BH154="non",BI154="NON"),AM154,IF(AND(AU154="",BB154="OUI",BH154="",BI154=""),AM154,IF(AND(AU154="",BB154="NON",BH154="",BI154="",AZ154="NON"),M154,IF(AND(AU154="",BH154="",AZ154="OUI",AR154=""),AM154,IF(AND(AU154="",BH154="",AZ154="NON",AR154="",AT154=""),M154,IF(AND(OR(AR154=S.CAL!$BJ$3,AR154=S.CAL!$BJ$4),(VLOOKUP($AM$140,base_nbre_sem_mensu,2,FALSE)=52)),EE154,IF(AND(OR(AR154=S.CAL!$BJ$3,AR154=S.CAL!$BJ$4),(VLOOKUP($AM$140,base_nbre_sem_mensu,2,FALSE)&lt;52)),AM154,IF(AND(AT154&lt;&gt;"",AU154=""),AT154,AU154)))))))))))))</f>
        <v>0</v>
      </c>
      <c r="AQ154" s="1378">
        <f t="shared" si="315"/>
        <v>0</v>
      </c>
      <c r="AR154" s="1098"/>
      <c r="AS154" s="1374"/>
      <c r="AT154" s="1101"/>
      <c r="AU154" s="813"/>
      <c r="AV154" s="1370">
        <f t="shared" si="296"/>
        <v>46120</v>
      </c>
      <c r="AW154" s="1374"/>
      <c r="AX154" s="511">
        <f t="shared" si="316"/>
        <v>46120</v>
      </c>
      <c r="AY154" s="523">
        <f t="shared" si="317"/>
        <v>0</v>
      </c>
      <c r="AZ154" s="520" t="s">
        <v>137</v>
      </c>
      <c r="BA154" s="516">
        <f t="shared" si="318"/>
        <v>0</v>
      </c>
      <c r="BB154" s="549" t="str">
        <f t="shared" si="297"/>
        <v/>
      </c>
      <c r="BC154" s="523">
        <f t="shared" si="319"/>
        <v>0</v>
      </c>
      <c r="BD154" s="523">
        <f t="shared" si="320"/>
        <v>0</v>
      </c>
      <c r="BE154" s="732"/>
      <c r="BF154" s="514" t="str">
        <f t="shared" si="298"/>
        <v/>
      </c>
      <c r="BG154" s="514" t="str">
        <f t="shared" si="321"/>
        <v>oui</v>
      </c>
      <c r="BH154" s="377" t="str">
        <f t="shared" si="299"/>
        <v/>
      </c>
      <c r="BI154" s="24" t="str">
        <f t="shared" si="300"/>
        <v/>
      </c>
      <c r="BJ154" s="1382"/>
      <c r="BK154" s="1382"/>
      <c r="BL154" s="1382"/>
      <c r="BM154" s="1382"/>
      <c r="BN154" s="1382"/>
      <c r="BO154" s="1382"/>
      <c r="BP154" s="1382"/>
      <c r="BQ154" s="1382"/>
      <c r="BR154" s="1383"/>
      <c r="BS154" s="1370">
        <f t="shared" si="267"/>
        <v>46120</v>
      </c>
      <c r="BT154" s="1384" t="str">
        <f t="shared" si="329"/>
        <v/>
      </c>
      <c r="BU154" s="1382"/>
      <c r="BV154" s="1382"/>
      <c r="BW154" s="1382"/>
      <c r="BX154" s="1382"/>
      <c r="BY154" s="1382"/>
      <c r="BZ154" s="1382"/>
      <c r="CA154" s="1382"/>
      <c r="CB154" s="1382"/>
      <c r="CD154" s="1386">
        <f t="shared" si="322"/>
        <v>0</v>
      </c>
      <c r="DC154" s="16" t="str">
        <f>Avril!FC27</f>
        <v>non</v>
      </c>
      <c r="DG154" s="315">
        <f t="shared" si="323"/>
        <v>1</v>
      </c>
      <c r="DH154" s="129">
        <f t="shared" si="301"/>
        <v>10</v>
      </c>
      <c r="DI154" s="129">
        <f t="shared" si="324"/>
        <v>1</v>
      </c>
      <c r="DK154" s="16">
        <f>+IF(AND(Avril!$DP$8&lt;&gt;52,AR154=S.CAL!$BJ$4),10,1)</f>
        <v>1</v>
      </c>
      <c r="DN154" s="16">
        <f t="shared" si="302"/>
        <v>1</v>
      </c>
      <c r="DU154" s="1274" t="str">
        <f t="shared" si="325"/>
        <v>Fiche infoA346120</v>
      </c>
      <c r="DV154" s="1362">
        <f t="shared" si="303"/>
        <v>0</v>
      </c>
      <c r="DW154" s="1363">
        <f t="shared" si="304"/>
        <v>0</v>
      </c>
      <c r="DX154" s="1363">
        <f t="shared" si="305"/>
        <v>0</v>
      </c>
      <c r="DY154" s="1363">
        <f t="shared" si="306"/>
        <v>0</v>
      </c>
      <c r="DZ154" s="1363">
        <f t="shared" si="307"/>
        <v>0</v>
      </c>
      <c r="EA154" s="1363">
        <f t="shared" si="308"/>
        <v>0</v>
      </c>
      <c r="EB154" s="1363">
        <f t="shared" si="309"/>
        <v>0</v>
      </c>
      <c r="EC154" s="1363">
        <f t="shared" si="310"/>
        <v>0</v>
      </c>
      <c r="ED154" s="1363">
        <f t="shared" si="326"/>
        <v>0</v>
      </c>
      <c r="EE154" s="1364">
        <f t="shared" si="327"/>
        <v>0</v>
      </c>
      <c r="EG154" s="16" t="str">
        <f t="shared" si="328"/>
        <v>152026</v>
      </c>
      <c r="EH154" s="16" t="str">
        <f t="shared" si="311"/>
        <v>Fiche infoA3</v>
      </c>
      <c r="EI154" s="16" t="str">
        <f t="shared" si="312"/>
        <v/>
      </c>
    </row>
    <row r="155" spans="1:139" x14ac:dyDescent="0.2">
      <c r="A155" s="24" t="str">
        <f>Avril!BJ28</f>
        <v>Fiche infoA4</v>
      </c>
      <c r="B155" s="811">
        <f>Avril!AB28</f>
        <v>46121</v>
      </c>
      <c r="C155" s="1371"/>
      <c r="D155" s="981">
        <f t="shared" si="268"/>
        <v>0</v>
      </c>
      <c r="E155" s="434">
        <f t="shared" si="269"/>
        <v>0</v>
      </c>
      <c r="F155" s="434">
        <f t="shared" si="270"/>
        <v>0</v>
      </c>
      <c r="G155" s="434">
        <f t="shared" si="271"/>
        <v>0</v>
      </c>
      <c r="H155" s="434">
        <f t="shared" si="272"/>
        <v>0</v>
      </c>
      <c r="I155" s="434">
        <f t="shared" si="273"/>
        <v>0</v>
      </c>
      <c r="J155" s="434">
        <f t="shared" si="274"/>
        <v>0</v>
      </c>
      <c r="K155" s="434">
        <f t="shared" si="275"/>
        <v>0</v>
      </c>
      <c r="L155" s="434">
        <f t="shared" si="313"/>
        <v>0</v>
      </c>
      <c r="M155" s="982">
        <f t="shared" si="314"/>
        <v>0</v>
      </c>
      <c r="O155" s="981">
        <f>IF(AR155&lt;&gt;"",0,IF(DC155="oui",0,IF(AND(ISTEXT(AT155)=TRUE,BJ155=""),0,IF(BJ155="",D155,BJ155))))</f>
        <v>0</v>
      </c>
      <c r="P155" s="434">
        <f>IF(AR155&lt;&gt;"",0,IF(DC155="oui",0,IF(AND(ISTEXT(AT155)=TRUE,BK155=""),0,IF(BK155="",E155,BK155))))</f>
        <v>0</v>
      </c>
      <c r="Q155" s="434">
        <f>IF(AR155&lt;&gt;"",0,IF(DC155="oui",0,IF(AND(ISTEXT(AT155)=TRUE,BL155=""),0,IF(BL155="",F155,BL155))))</f>
        <v>0</v>
      </c>
      <c r="R155" s="434">
        <f>IF(AR155&lt;&gt;"",0,IF(DC155="oui",0,IF(AND(ISTEXT(AT155)=TRUE,BM155=""),0,IF(BM155="",G155,BM155))))</f>
        <v>0</v>
      </c>
      <c r="S155" s="434">
        <f>IF(AR155&lt;&gt;"",0,IF(DC155="oui",0,IF(AND(ISTEXT(AT155)=TRUE,BN155=""),0,IF(BN155="",H155,BN155))))</f>
        <v>0</v>
      </c>
      <c r="T155" s="434">
        <f>IF(AR155&lt;&gt;"",0,IF(DC155="oui",0,IF(AND(ISTEXT(AT155)=TRUE,BO155=""),0,IF(BO155="",I155,BO155))))</f>
        <v>0</v>
      </c>
      <c r="U155" s="434">
        <f>IF(AR155&lt;&gt;"",0,IF(DC155="oui",0,IF(AND(ISTEXT(AT155)=TRUE,BP155=""),0,IF(BP155="",J155,BP155))))</f>
        <v>0</v>
      </c>
      <c r="V155" s="434">
        <f>IF(AR155&lt;&gt;"",0,IF(DC155="oui",0,IF(AND(ISTEXT(AT155)=TRUE,BQ155=""),0,IF(BQ155="",K155,BQ155))))</f>
        <v>0</v>
      </c>
      <c r="W155" s="434">
        <f t="shared" si="284"/>
        <v>0</v>
      </c>
      <c r="X155" s="982">
        <f t="shared" si="285"/>
        <v>0</v>
      </c>
      <c r="Y155" s="441"/>
      <c r="Z155" s="277">
        <f t="shared" si="286"/>
        <v>0</v>
      </c>
      <c r="AA155" s="277">
        <f t="shared" si="287"/>
        <v>0</v>
      </c>
      <c r="AB155" s="277">
        <f t="shared" si="288"/>
        <v>0</v>
      </c>
      <c r="AC155" s="277">
        <f t="shared" si="289"/>
        <v>0</v>
      </c>
      <c r="AD155" s="277">
        <f t="shared" si="290"/>
        <v>0</v>
      </c>
      <c r="AE155" s="277">
        <f t="shared" si="291"/>
        <v>0</v>
      </c>
      <c r="AF155" s="277">
        <f t="shared" si="292"/>
        <v>0</v>
      </c>
      <c r="AG155" s="277">
        <f t="shared" si="293"/>
        <v>0</v>
      </c>
      <c r="AI155" s="444">
        <f>IF(DC155="oui",0,IF(AND(ISTEXT(AT155)=TRUE,OR(X155=0,X155="")),0,ROUND(((((AA155-Z155)-(E155-D155))+((AC155-AB155)-(G155-F155))+((AE155-AD155)-(I155-H155))+(AG155-AF155)-(K155-J155))*24),2)))</f>
        <v>0</v>
      </c>
      <c r="AJ155" s="1090"/>
      <c r="AK155" s="489"/>
      <c r="AL155" s="811">
        <f t="shared" si="295"/>
        <v>46121</v>
      </c>
      <c r="AM155" s="666">
        <f>IFERROR(IF(AND(AT155="",AR155&lt;&gt;S.CAL!$BJ$3,AR155&lt;&gt;S.CAL!$BJ$4,$AR$140="NON"),M155-BD155,IF(AND(AT155="",AR155&lt;&gt;S.CAL!$BJ$3,AR155&lt;&gt;S.CAL!$BJ$4,$AR$140="OUI"),X155-AI155,IF(AT155&lt;&gt;0,AT155,IF(OR(AR155=S.CAL!$BJ$3,AR155=S.CAL!$BJ$4),AR155,"")))),"")</f>
        <v>0</v>
      </c>
      <c r="AN155" s="1093"/>
      <c r="AO155" s="1094"/>
      <c r="AP155" s="666">
        <f>+IF(AND(AU155="",BB155="OUI",BH155="non",BI155="OUI"),AM155,IF(AND(AU155="",BB155="OUI",BH155="oui",BI155="NON"),AM155,IF(AND(AU155="",BB155="NON",BH155="oui",BI155="NON"),M155,IF(AND(AU155="",BB155="NON",BH155="non",BI155="OUI"),M155,IF(AND(AU155="",BB155="OUI",BH155="non",BI155="NON"),"ERREUR",IF(AND(AU155="",BB155="NON",BH155="non",BI155="NON"),AM155,IF(AND(AU155="",BB155="OUI",BH155="",BI155=""),AM155,IF(AND(AU155="",BB155="NON",BH155="",BI155="",AZ155="NON"),M155,IF(AND(AU155="",BH155="",AZ155="OUI",AR155=""),AM155,IF(AND(AU155="",BH155="",AZ155="NON",AR155="",AT155=""),M155,IF(AND(OR(AR155=S.CAL!$BJ$3,AR155=S.CAL!$BJ$4),(VLOOKUP($AM$140,base_nbre_sem_mensu,2,FALSE)=52)),EE155,IF(AND(OR(AR155=S.CAL!$BJ$3,AR155=S.CAL!$BJ$4),(VLOOKUP($AM$140,base_nbre_sem_mensu,2,FALSE)&lt;52)),AM155,IF(AND(AT155&lt;&gt;"",AU155=""),AT155,AU155)))))))))))))</f>
        <v>0</v>
      </c>
      <c r="AQ155" s="498">
        <f t="shared" si="315"/>
        <v>0</v>
      </c>
      <c r="AR155" s="1098"/>
      <c r="AT155" s="1101"/>
      <c r="AU155" s="813"/>
      <c r="AV155" s="1370">
        <f t="shared" si="296"/>
        <v>46121</v>
      </c>
      <c r="AX155" s="511">
        <f t="shared" si="316"/>
        <v>46121</v>
      </c>
      <c r="AY155" s="523">
        <f t="shared" si="317"/>
        <v>0</v>
      </c>
      <c r="AZ155" s="520" t="s">
        <v>137</v>
      </c>
      <c r="BA155" s="516">
        <f t="shared" si="318"/>
        <v>0</v>
      </c>
      <c r="BB155" s="549" t="str">
        <f t="shared" si="297"/>
        <v/>
      </c>
      <c r="BC155" s="523">
        <f t="shared" si="319"/>
        <v>0</v>
      </c>
      <c r="BD155" s="523">
        <f t="shared" si="320"/>
        <v>0</v>
      </c>
      <c r="BE155" s="732"/>
      <c r="BF155" s="514" t="str">
        <f t="shared" si="298"/>
        <v/>
      </c>
      <c r="BG155" s="514" t="str">
        <f t="shared" si="321"/>
        <v>oui</v>
      </c>
      <c r="BH155" s="377" t="str">
        <f t="shared" si="299"/>
        <v/>
      </c>
      <c r="BI155" s="24" t="str">
        <f t="shared" si="300"/>
        <v/>
      </c>
      <c r="BJ155" s="1381"/>
      <c r="BK155" s="1381"/>
      <c r="BL155" s="1381"/>
      <c r="BM155" s="1381"/>
      <c r="BN155" s="1381"/>
      <c r="BO155" s="1381"/>
      <c r="BP155" s="1381"/>
      <c r="BQ155" s="1381"/>
      <c r="BS155" s="1370">
        <f t="shared" si="267"/>
        <v>46121</v>
      </c>
      <c r="BT155" s="27" t="str">
        <f t="shared" si="329"/>
        <v/>
      </c>
      <c r="BU155" s="1380"/>
      <c r="BV155" s="1380"/>
      <c r="BW155" s="1380"/>
      <c r="BX155" s="1380"/>
      <c r="BY155" s="1380"/>
      <c r="BZ155" s="1380"/>
      <c r="CA155" s="1380"/>
      <c r="CB155" s="1380"/>
      <c r="CD155" s="1386">
        <f t="shared" si="322"/>
        <v>0</v>
      </c>
      <c r="DC155" s="16" t="str">
        <f>Avril!FC28</f>
        <v>non</v>
      </c>
      <c r="DG155" s="315">
        <f t="shared" si="323"/>
        <v>1</v>
      </c>
      <c r="DH155" s="129">
        <f t="shared" si="301"/>
        <v>10</v>
      </c>
      <c r="DI155" s="129">
        <f t="shared" si="324"/>
        <v>1</v>
      </c>
      <c r="DK155" s="16">
        <f>+IF(AND(Avril!$DP$8&lt;&gt;52,AR155=S.CAL!$BJ$4),10,1)</f>
        <v>1</v>
      </c>
      <c r="DN155" s="16">
        <f t="shared" si="302"/>
        <v>1</v>
      </c>
      <c r="DU155" s="1274" t="str">
        <f t="shared" si="325"/>
        <v>Fiche infoA446121</v>
      </c>
      <c r="DV155" s="1362">
        <f t="shared" si="303"/>
        <v>0</v>
      </c>
      <c r="DW155" s="1363">
        <f t="shared" si="304"/>
        <v>0</v>
      </c>
      <c r="DX155" s="1363">
        <f t="shared" si="305"/>
        <v>0</v>
      </c>
      <c r="DY155" s="1363">
        <f t="shared" si="306"/>
        <v>0</v>
      </c>
      <c r="DZ155" s="1363">
        <f t="shared" si="307"/>
        <v>0</v>
      </c>
      <c r="EA155" s="1363">
        <f t="shared" si="308"/>
        <v>0</v>
      </c>
      <c r="EB155" s="1363">
        <f t="shared" si="309"/>
        <v>0</v>
      </c>
      <c r="EC155" s="1363">
        <f t="shared" si="310"/>
        <v>0</v>
      </c>
      <c r="ED155" s="1363">
        <f t="shared" si="326"/>
        <v>0</v>
      </c>
      <c r="EE155" s="1364">
        <f t="shared" si="327"/>
        <v>0</v>
      </c>
      <c r="EG155" s="16" t="str">
        <f t="shared" si="328"/>
        <v>152026</v>
      </c>
      <c r="EH155" s="16" t="str">
        <f t="shared" si="311"/>
        <v>Fiche infoA4</v>
      </c>
      <c r="EI155" s="16" t="str">
        <f t="shared" si="312"/>
        <v/>
      </c>
    </row>
    <row r="156" spans="1:139" x14ac:dyDescent="0.2">
      <c r="A156" s="1373" t="str">
        <f>Avril!BJ29</f>
        <v>Fiche infoA5</v>
      </c>
      <c r="B156" s="811">
        <f>Avril!AB29</f>
        <v>46122</v>
      </c>
      <c r="C156" s="1372"/>
      <c r="D156" s="981">
        <f t="shared" si="268"/>
        <v>0</v>
      </c>
      <c r="E156" s="434">
        <f t="shared" si="269"/>
        <v>0</v>
      </c>
      <c r="F156" s="434">
        <f t="shared" si="270"/>
        <v>0</v>
      </c>
      <c r="G156" s="434">
        <f t="shared" si="271"/>
        <v>0</v>
      </c>
      <c r="H156" s="434">
        <f t="shared" si="272"/>
        <v>0</v>
      </c>
      <c r="I156" s="434">
        <f t="shared" si="273"/>
        <v>0</v>
      </c>
      <c r="J156" s="434">
        <f t="shared" si="274"/>
        <v>0</v>
      </c>
      <c r="K156" s="434">
        <f t="shared" si="275"/>
        <v>0</v>
      </c>
      <c r="L156" s="434">
        <f t="shared" si="313"/>
        <v>0</v>
      </c>
      <c r="M156" s="982">
        <f t="shared" si="314"/>
        <v>0</v>
      </c>
      <c r="N156" s="1374"/>
      <c r="O156" s="981">
        <f t="shared" ref="O156:O177" si="330">IF(AR156&lt;&gt;"",0,IF(DC156="oui",0,IF(AND(ISTEXT(AT156)=TRUE,BJ156=""),0,IF(BJ156="",D156,BJ156))))</f>
        <v>0</v>
      </c>
      <c r="P156" s="434">
        <f t="shared" ref="P156:P177" si="331">IF(AR156&lt;&gt;"",0,IF(DC156="oui",0,IF(AND(ISTEXT(AT156)=TRUE,BK156=""),0,IF(BK156="",E156,BK156))))</f>
        <v>0</v>
      </c>
      <c r="Q156" s="434">
        <f t="shared" ref="Q156:Q177" si="332">IF(AR156&lt;&gt;"",0,IF(DC156="oui",0,IF(AND(ISTEXT(AT156)=TRUE,BL156=""),0,IF(BL156="",F156,BL156))))</f>
        <v>0</v>
      </c>
      <c r="R156" s="434">
        <f t="shared" ref="R156:R177" si="333">IF(AR156&lt;&gt;"",0,IF(DC156="oui",0,IF(AND(ISTEXT(AT156)=TRUE,BM156=""),0,IF(BM156="",G156,BM156))))</f>
        <v>0</v>
      </c>
      <c r="S156" s="434">
        <f t="shared" ref="S156:S177" si="334">IF(AR156&lt;&gt;"",0,IF(DC156="oui",0,IF(AND(ISTEXT(AT156)=TRUE,BN156=""),0,IF(BN156="",H156,BN156))))</f>
        <v>0</v>
      </c>
      <c r="T156" s="434">
        <f t="shared" ref="T156:T177" si="335">IF(AR156&lt;&gt;"",0,IF(DC156="oui",0,IF(AND(ISTEXT(AT156)=TRUE,BO156=""),0,IF(BO156="",I156,BO156))))</f>
        <v>0</v>
      </c>
      <c r="U156" s="434">
        <f t="shared" ref="U156:U177" si="336">IF(AR156&lt;&gt;"",0,IF(DC156="oui",0,IF(AND(ISTEXT(AT156)=TRUE,BP156=""),0,IF(BP156="",J156,BP156))))</f>
        <v>0</v>
      </c>
      <c r="V156" s="434">
        <f t="shared" ref="V156:V177" si="337">IF(AR156&lt;&gt;"",0,IF(DC156="oui",0,IF(AND(ISTEXT(AT156)=TRUE,BQ156=""),0,IF(BQ156="",K156,BQ156))))</f>
        <v>0</v>
      </c>
      <c r="W156" s="434">
        <f t="shared" si="284"/>
        <v>0</v>
      </c>
      <c r="X156" s="982">
        <f t="shared" si="285"/>
        <v>0</v>
      </c>
      <c r="Y156" s="1375"/>
      <c r="Z156" s="1376">
        <f t="shared" si="286"/>
        <v>0</v>
      </c>
      <c r="AA156" s="1376">
        <f t="shared" si="287"/>
        <v>0</v>
      </c>
      <c r="AB156" s="1376">
        <f t="shared" si="288"/>
        <v>0</v>
      </c>
      <c r="AC156" s="1376">
        <f t="shared" si="289"/>
        <v>0</v>
      </c>
      <c r="AD156" s="1376">
        <f t="shared" si="290"/>
        <v>0</v>
      </c>
      <c r="AE156" s="1376">
        <f t="shared" si="291"/>
        <v>0</v>
      </c>
      <c r="AF156" s="1376">
        <f t="shared" si="292"/>
        <v>0</v>
      </c>
      <c r="AG156" s="1376">
        <f t="shared" si="293"/>
        <v>0</v>
      </c>
      <c r="AH156" s="1374"/>
      <c r="AI156" s="444">
        <f t="shared" ref="AI156:AI177" si="338">IF(DC156="oui",0,IF(AND(ISTEXT(AT156)=TRUE,OR(X156=0,X156="")),0,ROUND(((((AA156-Z156)-(E156-D156))+((AC156-AB156)-(G156-F156))+((AE156-AD156)-(I156-H156))+(AG156-AF156)-(K156-J156))*24),2)))</f>
        <v>0</v>
      </c>
      <c r="AJ156" s="1090"/>
      <c r="AK156" s="1377"/>
      <c r="AL156" s="811">
        <f t="shared" si="295"/>
        <v>46122</v>
      </c>
      <c r="AM156" s="666">
        <f>IFERROR(IF(AND(AT156="",AR156&lt;&gt;S.CAL!$BJ$3,AR156&lt;&gt;S.CAL!$BJ$4,$AR$140="NON"),M156-BD156,IF(AND(AT156="",AR156&lt;&gt;S.CAL!$BJ$3,AR156&lt;&gt;S.CAL!$BJ$4,$AR$140="OUI"),X156-AI156,IF(AT156&lt;&gt;0,AT156,IF(OR(AR156=S.CAL!$BJ$3,AR156=S.CAL!$BJ$4),AR156,"")))),"")</f>
        <v>0</v>
      </c>
      <c r="AN156" s="1093"/>
      <c r="AO156" s="1094"/>
      <c r="AP156" s="666">
        <f>+IF(AND(AU156="",BB156="OUI",BH156="non",BI156="OUI"),AM156,IF(AND(AU156="",BB156="OUI",BH156="oui",BI156="NON"),AM156,IF(AND(AU156="",BB156="NON",BH156="oui",BI156="NON"),M156,IF(AND(AU156="",BB156="NON",BH156="non",BI156="OUI"),M156,IF(AND(AU156="",BB156="OUI",BH156="non",BI156="NON"),"ERREUR",IF(AND(AU156="",BB156="NON",BH156="non",BI156="NON"),AM156,IF(AND(AU156="",BB156="OUI",BH156="",BI156=""),AM156,IF(AND(AU156="",BB156="NON",BH156="",BI156="",AZ156="NON"),M156,IF(AND(AU156="",BH156="",AZ156="OUI",AR156=""),AM156,IF(AND(AU156="",BH156="",AZ156="NON",AR156="",AT156=""),M156,IF(AND(OR(AR156=S.CAL!$BJ$3,AR156=S.CAL!$BJ$4),(VLOOKUP($AM$140,base_nbre_sem_mensu,2,FALSE)=52)),EE156,IF(AND(OR(AR156=S.CAL!$BJ$3,AR156=S.CAL!$BJ$4),(VLOOKUP($AM$140,base_nbre_sem_mensu,2,FALSE)&lt;52)),AM156,IF(AND(AT156&lt;&gt;"",AU156=""),AT156,AU156)))))))))))))</f>
        <v>0</v>
      </c>
      <c r="AQ156" s="1378">
        <f t="shared" si="315"/>
        <v>0</v>
      </c>
      <c r="AR156" s="1098"/>
      <c r="AS156" s="1374"/>
      <c r="AT156" s="1101"/>
      <c r="AU156" s="813"/>
      <c r="AV156" s="1370">
        <f t="shared" si="296"/>
        <v>46122</v>
      </c>
      <c r="AW156" s="1374"/>
      <c r="AX156" s="511">
        <f t="shared" si="316"/>
        <v>46122</v>
      </c>
      <c r="AY156" s="523">
        <f t="shared" si="317"/>
        <v>0</v>
      </c>
      <c r="AZ156" s="520" t="s">
        <v>137</v>
      </c>
      <c r="BA156" s="516">
        <f t="shared" si="318"/>
        <v>0</v>
      </c>
      <c r="BB156" s="549" t="str">
        <f t="shared" si="297"/>
        <v/>
      </c>
      <c r="BC156" s="523">
        <f t="shared" si="319"/>
        <v>0</v>
      </c>
      <c r="BD156" s="523">
        <f t="shared" si="320"/>
        <v>0</v>
      </c>
      <c r="BE156" s="732"/>
      <c r="BF156" s="514" t="str">
        <f t="shared" si="298"/>
        <v/>
      </c>
      <c r="BG156" s="514" t="str">
        <f t="shared" si="321"/>
        <v>oui</v>
      </c>
      <c r="BH156" s="377" t="str">
        <f t="shared" si="299"/>
        <v/>
      </c>
      <c r="BI156" s="24" t="str">
        <f t="shared" si="300"/>
        <v/>
      </c>
      <c r="BJ156" s="1382"/>
      <c r="BK156" s="1382"/>
      <c r="BL156" s="1382"/>
      <c r="BM156" s="1382"/>
      <c r="BN156" s="1382"/>
      <c r="BO156" s="1382"/>
      <c r="BP156" s="1382"/>
      <c r="BQ156" s="1382"/>
      <c r="BR156" s="1383"/>
      <c r="BS156" s="1370">
        <f t="shared" si="267"/>
        <v>46122</v>
      </c>
      <c r="BT156" s="1384" t="str">
        <f t="shared" si="329"/>
        <v/>
      </c>
      <c r="BU156" s="1382"/>
      <c r="BV156" s="1382"/>
      <c r="BW156" s="1382"/>
      <c r="BX156" s="1382"/>
      <c r="BY156" s="1382"/>
      <c r="BZ156" s="1382"/>
      <c r="CA156" s="1382"/>
      <c r="CB156" s="1382"/>
      <c r="CD156" s="1386">
        <f t="shared" si="322"/>
        <v>0</v>
      </c>
      <c r="DC156" s="16" t="str">
        <f>Avril!FC29</f>
        <v>non</v>
      </c>
      <c r="DG156" s="315">
        <f t="shared" si="323"/>
        <v>1</v>
      </c>
      <c r="DH156" s="129">
        <f t="shared" si="301"/>
        <v>10</v>
      </c>
      <c r="DI156" s="129">
        <f t="shared" si="324"/>
        <v>1</v>
      </c>
      <c r="DK156" s="16">
        <f>+IF(AND(Avril!$DP$8&lt;&gt;52,AR156=S.CAL!$BJ$4),10,1)</f>
        <v>1</v>
      </c>
      <c r="DN156" s="16">
        <f t="shared" si="302"/>
        <v>1</v>
      </c>
      <c r="DU156" s="1274" t="str">
        <f t="shared" si="325"/>
        <v>Fiche infoA546122</v>
      </c>
      <c r="DV156" s="1362">
        <f t="shared" si="303"/>
        <v>0</v>
      </c>
      <c r="DW156" s="1363">
        <f t="shared" si="304"/>
        <v>0</v>
      </c>
      <c r="DX156" s="1363">
        <f t="shared" si="305"/>
        <v>0</v>
      </c>
      <c r="DY156" s="1363">
        <f t="shared" si="306"/>
        <v>0</v>
      </c>
      <c r="DZ156" s="1363">
        <f t="shared" si="307"/>
        <v>0</v>
      </c>
      <c r="EA156" s="1363">
        <f t="shared" si="308"/>
        <v>0</v>
      </c>
      <c r="EB156" s="1363">
        <f t="shared" si="309"/>
        <v>0</v>
      </c>
      <c r="EC156" s="1363">
        <f t="shared" si="310"/>
        <v>0</v>
      </c>
      <c r="ED156" s="1363">
        <f t="shared" si="326"/>
        <v>0</v>
      </c>
      <c r="EE156" s="1364">
        <f t="shared" si="327"/>
        <v>0</v>
      </c>
      <c r="EG156" s="16" t="str">
        <f t="shared" si="328"/>
        <v>152026</v>
      </c>
      <c r="EH156" s="16" t="str">
        <f t="shared" si="311"/>
        <v>Fiche infoA5</v>
      </c>
      <c r="EI156" s="16" t="str">
        <f t="shared" si="312"/>
        <v/>
      </c>
    </row>
    <row r="157" spans="1:139" x14ac:dyDescent="0.2">
      <c r="A157" s="24" t="str">
        <f>Avril!BJ30</f>
        <v>Fiche infoA6</v>
      </c>
      <c r="B157" s="811">
        <f>Avril!AB30</f>
        <v>46123</v>
      </c>
      <c r="C157" s="1371"/>
      <c r="D157" s="981">
        <f t="shared" si="268"/>
        <v>0</v>
      </c>
      <c r="E157" s="434">
        <f t="shared" si="269"/>
        <v>0</v>
      </c>
      <c r="F157" s="434">
        <f t="shared" si="270"/>
        <v>0</v>
      </c>
      <c r="G157" s="434">
        <f t="shared" si="271"/>
        <v>0</v>
      </c>
      <c r="H157" s="434">
        <f t="shared" si="272"/>
        <v>0</v>
      </c>
      <c r="I157" s="434">
        <f t="shared" si="273"/>
        <v>0</v>
      </c>
      <c r="J157" s="434">
        <f t="shared" si="274"/>
        <v>0</v>
      </c>
      <c r="K157" s="434">
        <f t="shared" si="275"/>
        <v>0</v>
      </c>
      <c r="L157" s="434">
        <f t="shared" si="313"/>
        <v>0</v>
      </c>
      <c r="M157" s="982">
        <f t="shared" si="314"/>
        <v>0</v>
      </c>
      <c r="O157" s="981">
        <f t="shared" si="330"/>
        <v>0</v>
      </c>
      <c r="P157" s="434">
        <f t="shared" si="331"/>
        <v>0</v>
      </c>
      <c r="Q157" s="434">
        <f t="shared" si="332"/>
        <v>0</v>
      </c>
      <c r="R157" s="434">
        <f t="shared" si="333"/>
        <v>0</v>
      </c>
      <c r="S157" s="434">
        <f t="shared" si="334"/>
        <v>0</v>
      </c>
      <c r="T157" s="434">
        <f t="shared" si="335"/>
        <v>0</v>
      </c>
      <c r="U157" s="434">
        <f t="shared" si="336"/>
        <v>0</v>
      </c>
      <c r="V157" s="434">
        <f t="shared" si="337"/>
        <v>0</v>
      </c>
      <c r="W157" s="434">
        <f t="shared" si="284"/>
        <v>0</v>
      </c>
      <c r="X157" s="982">
        <f t="shared" si="285"/>
        <v>0</v>
      </c>
      <c r="Y157" s="441"/>
      <c r="Z157" s="277">
        <f t="shared" si="286"/>
        <v>0</v>
      </c>
      <c r="AA157" s="277">
        <f t="shared" si="287"/>
        <v>0</v>
      </c>
      <c r="AB157" s="277">
        <f t="shared" si="288"/>
        <v>0</v>
      </c>
      <c r="AC157" s="277">
        <f t="shared" si="289"/>
        <v>0</v>
      </c>
      <c r="AD157" s="277">
        <f t="shared" si="290"/>
        <v>0</v>
      </c>
      <c r="AE157" s="277">
        <f t="shared" si="291"/>
        <v>0</v>
      </c>
      <c r="AF157" s="277">
        <f t="shared" si="292"/>
        <v>0</v>
      </c>
      <c r="AG157" s="277">
        <f t="shared" si="293"/>
        <v>0</v>
      </c>
      <c r="AI157" s="444">
        <f t="shared" si="338"/>
        <v>0</v>
      </c>
      <c r="AJ157" s="1090"/>
      <c r="AK157" s="489"/>
      <c r="AL157" s="811">
        <f t="shared" si="295"/>
        <v>46123</v>
      </c>
      <c r="AM157" s="666">
        <f>IFERROR(IF(AND(AT157="",AR157&lt;&gt;S.CAL!$BJ$3,AR157&lt;&gt;S.CAL!$BJ$4,$AR$140="NON"),M157-BD157,IF(AND(AT157="",AR157&lt;&gt;S.CAL!$BJ$3,AR157&lt;&gt;S.CAL!$BJ$4,$AR$140="OUI"),X157-AI157,IF(AT157&lt;&gt;0,AT157,IF(OR(AR157=S.CAL!$BJ$3,AR157=S.CAL!$BJ$4),AR157,"")))),"")</f>
        <v>0</v>
      </c>
      <c r="AN157" s="1093"/>
      <c r="AO157" s="1094"/>
      <c r="AP157" s="666">
        <f>+IF(AND(AU157="",BB157="OUI",BH157="non",BI157="OUI"),AM157,IF(AND(AU157="",BB157="OUI",BH157="oui",BI157="NON"),AM157,IF(AND(AU157="",BB157="NON",BH157="oui",BI157="NON"),M157,IF(AND(AU157="",BB157="NON",BH157="non",BI157="OUI"),M157,IF(AND(AU157="",BB157="OUI",BH157="non",BI157="NON"),"ERREUR",IF(AND(AU157="",BB157="NON",BH157="non",BI157="NON"),AM157,IF(AND(AU157="",BB157="OUI",BH157="",BI157=""),AM157,IF(AND(AU157="",BB157="NON",BH157="",BI157="",AZ157="NON"),M157,IF(AND(AU157="",BH157="",AZ157="OUI",AR157=""),AM157,IF(AND(AU157="",BH157="",AZ157="NON",AR157="",AT157=""),M157,IF(AND(OR(AR157=S.CAL!$BJ$3,AR157=S.CAL!$BJ$4),(VLOOKUP($AM$140,base_nbre_sem_mensu,2,FALSE)=52)),EE157,IF(AND(OR(AR157=S.CAL!$BJ$3,AR157=S.CAL!$BJ$4),(VLOOKUP($AM$140,base_nbre_sem_mensu,2,FALSE)&lt;52)),AM157,IF(AND(AT157&lt;&gt;"",AU157=""),AT157,AU157)))))))))))))</f>
        <v>0</v>
      </c>
      <c r="AQ157" s="498">
        <f t="shared" si="315"/>
        <v>0</v>
      </c>
      <c r="AR157" s="1098"/>
      <c r="AT157" s="1101"/>
      <c r="AU157" s="813"/>
      <c r="AV157" s="1370">
        <f t="shared" si="296"/>
        <v>46123</v>
      </c>
      <c r="AX157" s="511">
        <f t="shared" si="316"/>
        <v>46123</v>
      </c>
      <c r="AY157" s="523">
        <f t="shared" si="317"/>
        <v>0</v>
      </c>
      <c r="AZ157" s="520" t="s">
        <v>137</v>
      </c>
      <c r="BA157" s="516">
        <f t="shared" si="318"/>
        <v>0</v>
      </c>
      <c r="BB157" s="549" t="str">
        <f t="shared" si="297"/>
        <v/>
      </c>
      <c r="BC157" s="523">
        <f t="shared" si="319"/>
        <v>0</v>
      </c>
      <c r="BD157" s="523">
        <f t="shared" si="320"/>
        <v>0</v>
      </c>
      <c r="BE157" s="732"/>
      <c r="BF157" s="514" t="str">
        <f t="shared" si="298"/>
        <v/>
      </c>
      <c r="BG157" s="514" t="str">
        <f t="shared" si="321"/>
        <v>oui</v>
      </c>
      <c r="BH157" s="377" t="str">
        <f t="shared" si="299"/>
        <v/>
      </c>
      <c r="BI157" s="24" t="str">
        <f t="shared" si="300"/>
        <v/>
      </c>
      <c r="BJ157" s="1381"/>
      <c r="BK157" s="1381"/>
      <c r="BL157" s="1381"/>
      <c r="BM157" s="1381"/>
      <c r="BN157" s="1381"/>
      <c r="BO157" s="1381"/>
      <c r="BP157" s="1381"/>
      <c r="BQ157" s="1381"/>
      <c r="BS157" s="1370">
        <f t="shared" si="267"/>
        <v>46123</v>
      </c>
      <c r="BT157" s="27" t="str">
        <f t="shared" si="329"/>
        <v/>
      </c>
      <c r="BU157" s="1380"/>
      <c r="BV157" s="1380"/>
      <c r="BW157" s="1380"/>
      <c r="BX157" s="1380"/>
      <c r="BY157" s="1380"/>
      <c r="BZ157" s="1380"/>
      <c r="CA157" s="1380"/>
      <c r="CB157" s="1380"/>
      <c r="CD157" s="1386">
        <f t="shared" si="322"/>
        <v>0</v>
      </c>
      <c r="DC157" s="16" t="str">
        <f>Avril!FC30</f>
        <v>non</v>
      </c>
      <c r="DG157" s="315">
        <f t="shared" si="323"/>
        <v>1</v>
      </c>
      <c r="DH157" s="129">
        <f t="shared" si="301"/>
        <v>10</v>
      </c>
      <c r="DI157" s="129">
        <f t="shared" si="324"/>
        <v>1</v>
      </c>
      <c r="DK157" s="16">
        <f>+IF(AND(Avril!$DP$8&lt;&gt;52,AR157=S.CAL!$BJ$4),10,1)</f>
        <v>1</v>
      </c>
      <c r="DN157" s="16">
        <f t="shared" si="302"/>
        <v>1</v>
      </c>
      <c r="DU157" s="1274" t="str">
        <f t="shared" si="325"/>
        <v>Fiche infoA646123</v>
      </c>
      <c r="DV157" s="1362">
        <f t="shared" si="303"/>
        <v>0</v>
      </c>
      <c r="DW157" s="1363">
        <f t="shared" si="304"/>
        <v>0</v>
      </c>
      <c r="DX157" s="1363">
        <f t="shared" si="305"/>
        <v>0</v>
      </c>
      <c r="DY157" s="1363">
        <f t="shared" si="306"/>
        <v>0</v>
      </c>
      <c r="DZ157" s="1363">
        <f t="shared" si="307"/>
        <v>0</v>
      </c>
      <c r="EA157" s="1363">
        <f t="shared" si="308"/>
        <v>0</v>
      </c>
      <c r="EB157" s="1363">
        <f t="shared" si="309"/>
        <v>0</v>
      </c>
      <c r="EC157" s="1363">
        <f t="shared" si="310"/>
        <v>0</v>
      </c>
      <c r="ED157" s="1363">
        <f t="shared" si="326"/>
        <v>0</v>
      </c>
      <c r="EE157" s="1364">
        <f t="shared" si="327"/>
        <v>0</v>
      </c>
      <c r="EG157" s="16" t="str">
        <f t="shared" si="328"/>
        <v>152026</v>
      </c>
      <c r="EH157" s="16" t="str">
        <f t="shared" si="311"/>
        <v>Fiche infoA6</v>
      </c>
      <c r="EI157" s="16" t="str">
        <f t="shared" si="312"/>
        <v/>
      </c>
    </row>
    <row r="158" spans="1:139" x14ac:dyDescent="0.2">
      <c r="A158" s="1373" t="str">
        <f>Avril!BJ31</f>
        <v>Fiche infoA7</v>
      </c>
      <c r="B158" s="811">
        <f>Avril!AB31</f>
        <v>46124</v>
      </c>
      <c r="C158" s="1372"/>
      <c r="D158" s="981">
        <f t="shared" si="268"/>
        <v>0</v>
      </c>
      <c r="E158" s="434">
        <f t="shared" si="269"/>
        <v>0</v>
      </c>
      <c r="F158" s="434">
        <f t="shared" si="270"/>
        <v>0</v>
      </c>
      <c r="G158" s="434">
        <f t="shared" si="271"/>
        <v>0</v>
      </c>
      <c r="H158" s="434">
        <f t="shared" si="272"/>
        <v>0</v>
      </c>
      <c r="I158" s="434">
        <f t="shared" si="273"/>
        <v>0</v>
      </c>
      <c r="J158" s="434">
        <f t="shared" si="274"/>
        <v>0</v>
      </c>
      <c r="K158" s="434">
        <f t="shared" si="275"/>
        <v>0</v>
      </c>
      <c r="L158" s="434">
        <f t="shared" si="313"/>
        <v>0</v>
      </c>
      <c r="M158" s="982">
        <f t="shared" si="314"/>
        <v>0</v>
      </c>
      <c r="N158" s="1374"/>
      <c r="O158" s="981">
        <f t="shared" si="330"/>
        <v>0</v>
      </c>
      <c r="P158" s="434">
        <f t="shared" si="331"/>
        <v>0</v>
      </c>
      <c r="Q158" s="434">
        <f t="shared" si="332"/>
        <v>0</v>
      </c>
      <c r="R158" s="434">
        <f t="shared" si="333"/>
        <v>0</v>
      </c>
      <c r="S158" s="434">
        <f t="shared" si="334"/>
        <v>0</v>
      </c>
      <c r="T158" s="434">
        <f t="shared" si="335"/>
        <v>0</v>
      </c>
      <c r="U158" s="434">
        <f t="shared" si="336"/>
        <v>0</v>
      </c>
      <c r="V158" s="434">
        <f t="shared" si="337"/>
        <v>0</v>
      </c>
      <c r="W158" s="434">
        <f t="shared" si="284"/>
        <v>0</v>
      </c>
      <c r="X158" s="982">
        <f t="shared" si="285"/>
        <v>0</v>
      </c>
      <c r="Y158" s="1375"/>
      <c r="Z158" s="1376">
        <f t="shared" si="286"/>
        <v>0</v>
      </c>
      <c r="AA158" s="1376">
        <f t="shared" si="287"/>
        <v>0</v>
      </c>
      <c r="AB158" s="1376">
        <f t="shared" si="288"/>
        <v>0</v>
      </c>
      <c r="AC158" s="1376">
        <f t="shared" si="289"/>
        <v>0</v>
      </c>
      <c r="AD158" s="1376">
        <f t="shared" si="290"/>
        <v>0</v>
      </c>
      <c r="AE158" s="1376">
        <f t="shared" si="291"/>
        <v>0</v>
      </c>
      <c r="AF158" s="1376">
        <f t="shared" si="292"/>
        <v>0</v>
      </c>
      <c r="AG158" s="1376">
        <f t="shared" si="293"/>
        <v>0</v>
      </c>
      <c r="AH158" s="1374"/>
      <c r="AI158" s="444">
        <f t="shared" si="338"/>
        <v>0</v>
      </c>
      <c r="AJ158" s="1090"/>
      <c r="AK158" s="1377"/>
      <c r="AL158" s="811">
        <f t="shared" si="295"/>
        <v>46124</v>
      </c>
      <c r="AM158" s="666">
        <f>IFERROR(IF(AND(AT158="",AR158&lt;&gt;S.CAL!$BJ$3,AR158&lt;&gt;S.CAL!$BJ$4,$AR$140="NON"),M158-BD158,IF(AND(AT158="",AR158&lt;&gt;S.CAL!$BJ$3,AR158&lt;&gt;S.CAL!$BJ$4,$AR$140="OUI"),X158-AI158,IF(AT158&lt;&gt;0,AT158,IF(OR(AR158=S.CAL!$BJ$3,AR158=S.CAL!$BJ$4),AR158,"")))),"")</f>
        <v>0</v>
      </c>
      <c r="AN158" s="1093"/>
      <c r="AO158" s="1094"/>
      <c r="AP158" s="666">
        <f>+IF(AND(AU158="",BB158="OUI",BH158="non",BI158="OUI"),AM158,IF(AND(AU158="",BB158="OUI",BH158="oui",BI158="NON"),AM158,IF(AND(AU158="",BB158="NON",BH158="oui",BI158="NON"),M158,IF(AND(AU158="",BB158="NON",BH158="non",BI158="OUI"),M158,IF(AND(AU158="",BB158="OUI",BH158="non",BI158="NON"),"ERREUR",IF(AND(AU158="",BB158="NON",BH158="non",BI158="NON"),AM158,IF(AND(AU158="",BB158="OUI",BH158="",BI158=""),AM158,IF(AND(AU158="",BB158="NON",BH158="",BI158="",AZ158="NON"),M158,IF(AND(AU158="",BH158="",AZ158="OUI",AR158=""),AM158,IF(AND(AU158="",BH158="",AZ158="NON",AR158="",AT158=""),M158,IF(AND(OR(AR158=S.CAL!$BJ$3,AR158=S.CAL!$BJ$4),(VLOOKUP($AM$140,base_nbre_sem_mensu,2,FALSE)=52)),EE158,IF(AND(OR(AR158=S.CAL!$BJ$3,AR158=S.CAL!$BJ$4),(VLOOKUP($AM$140,base_nbre_sem_mensu,2,FALSE)&lt;52)),AM158,IF(AND(AT158&lt;&gt;"",AU158=""),AT158,AU158)))))))))))))</f>
        <v>0</v>
      </c>
      <c r="AQ158" s="1378">
        <f t="shared" si="315"/>
        <v>0</v>
      </c>
      <c r="AR158" s="1098"/>
      <c r="AS158" s="1374"/>
      <c r="AT158" s="1101"/>
      <c r="AU158" s="813"/>
      <c r="AV158" s="1370">
        <f t="shared" si="296"/>
        <v>46124</v>
      </c>
      <c r="AW158" s="1374"/>
      <c r="AX158" s="511">
        <f t="shared" si="316"/>
        <v>46124</v>
      </c>
      <c r="AY158" s="523">
        <f t="shared" si="317"/>
        <v>0</v>
      </c>
      <c r="AZ158" s="520" t="s">
        <v>137</v>
      </c>
      <c r="BA158" s="516">
        <f t="shared" si="318"/>
        <v>0</v>
      </c>
      <c r="BB158" s="549" t="str">
        <f t="shared" si="297"/>
        <v/>
      </c>
      <c r="BC158" s="523">
        <f t="shared" si="319"/>
        <v>0</v>
      </c>
      <c r="BD158" s="523">
        <f t="shared" si="320"/>
        <v>0</v>
      </c>
      <c r="BE158" s="732"/>
      <c r="BF158" s="514" t="str">
        <f t="shared" si="298"/>
        <v/>
      </c>
      <c r="BG158" s="514" t="str">
        <f t="shared" si="321"/>
        <v>oui</v>
      </c>
      <c r="BH158" s="377" t="str">
        <f t="shared" si="299"/>
        <v/>
      </c>
      <c r="BI158" s="24" t="str">
        <f t="shared" si="300"/>
        <v/>
      </c>
      <c r="BJ158" s="1382"/>
      <c r="BK158" s="1382"/>
      <c r="BL158" s="1382"/>
      <c r="BM158" s="1382"/>
      <c r="BN158" s="1382"/>
      <c r="BO158" s="1382"/>
      <c r="BP158" s="1382"/>
      <c r="BQ158" s="1382"/>
      <c r="BR158" s="1383"/>
      <c r="BS158" s="1370">
        <f t="shared" si="267"/>
        <v>46124</v>
      </c>
      <c r="BT158" s="1384" t="str">
        <f t="shared" si="329"/>
        <v/>
      </c>
      <c r="BU158" s="1382"/>
      <c r="BV158" s="1382"/>
      <c r="BW158" s="1382"/>
      <c r="BX158" s="1382"/>
      <c r="BY158" s="1382"/>
      <c r="BZ158" s="1382"/>
      <c r="CA158" s="1382"/>
      <c r="CB158" s="1382"/>
      <c r="CD158" s="1386">
        <f t="shared" si="322"/>
        <v>0</v>
      </c>
      <c r="DC158" s="16" t="str">
        <f>Avril!FC31</f>
        <v>non</v>
      </c>
      <c r="DG158" s="315">
        <f t="shared" si="323"/>
        <v>1</v>
      </c>
      <c r="DH158" s="129">
        <f t="shared" si="301"/>
        <v>10</v>
      </c>
      <c r="DI158" s="129">
        <f t="shared" si="324"/>
        <v>1</v>
      </c>
      <c r="DK158" s="16">
        <f>+IF(AND(Avril!$DP$8&lt;&gt;52,AR158=S.CAL!$BJ$4),10,1)</f>
        <v>1</v>
      </c>
      <c r="DN158" s="16">
        <f t="shared" si="302"/>
        <v>1</v>
      </c>
      <c r="DU158" s="1274" t="str">
        <f t="shared" si="325"/>
        <v>Fiche infoA746124</v>
      </c>
      <c r="DV158" s="1362">
        <f t="shared" si="303"/>
        <v>0</v>
      </c>
      <c r="DW158" s="1363">
        <f t="shared" si="304"/>
        <v>0</v>
      </c>
      <c r="DX158" s="1363">
        <f t="shared" si="305"/>
        <v>0</v>
      </c>
      <c r="DY158" s="1363">
        <f t="shared" si="306"/>
        <v>0</v>
      </c>
      <c r="DZ158" s="1363">
        <f t="shared" si="307"/>
        <v>0</v>
      </c>
      <c r="EA158" s="1363">
        <f t="shared" si="308"/>
        <v>0</v>
      </c>
      <c r="EB158" s="1363">
        <f t="shared" si="309"/>
        <v>0</v>
      </c>
      <c r="EC158" s="1363">
        <f t="shared" si="310"/>
        <v>0</v>
      </c>
      <c r="ED158" s="1363">
        <f t="shared" si="326"/>
        <v>0</v>
      </c>
      <c r="EE158" s="1364">
        <f t="shared" si="327"/>
        <v>0</v>
      </c>
      <c r="EG158" s="16" t="str">
        <f t="shared" si="328"/>
        <v>152026</v>
      </c>
      <c r="EH158" s="16" t="str">
        <f t="shared" si="311"/>
        <v>Fiche infoA7</v>
      </c>
      <c r="EI158" s="16" t="str">
        <f t="shared" si="312"/>
        <v/>
      </c>
    </row>
    <row r="159" spans="1:139" x14ac:dyDescent="0.2">
      <c r="A159" s="24" t="str">
        <f>Avril!BJ32</f>
        <v>Fiche infoA1</v>
      </c>
      <c r="B159" s="811">
        <f>Avril!AB32</f>
        <v>46125</v>
      </c>
      <c r="C159" s="1371"/>
      <c r="D159" s="981">
        <f t="shared" si="268"/>
        <v>0</v>
      </c>
      <c r="E159" s="434">
        <f t="shared" si="269"/>
        <v>0</v>
      </c>
      <c r="F159" s="434">
        <f t="shared" si="270"/>
        <v>0</v>
      </c>
      <c r="G159" s="434">
        <f t="shared" si="271"/>
        <v>0</v>
      </c>
      <c r="H159" s="434">
        <f t="shared" si="272"/>
        <v>0</v>
      </c>
      <c r="I159" s="434">
        <f t="shared" si="273"/>
        <v>0</v>
      </c>
      <c r="J159" s="434">
        <f t="shared" si="274"/>
        <v>0</v>
      </c>
      <c r="K159" s="434">
        <f t="shared" si="275"/>
        <v>0</v>
      </c>
      <c r="L159" s="434">
        <f t="shared" si="313"/>
        <v>0</v>
      </c>
      <c r="M159" s="982">
        <f t="shared" si="314"/>
        <v>0</v>
      </c>
      <c r="O159" s="981">
        <f t="shared" si="330"/>
        <v>0</v>
      </c>
      <c r="P159" s="434">
        <f t="shared" si="331"/>
        <v>0</v>
      </c>
      <c r="Q159" s="434">
        <f t="shared" si="332"/>
        <v>0</v>
      </c>
      <c r="R159" s="434">
        <f t="shared" si="333"/>
        <v>0</v>
      </c>
      <c r="S159" s="434">
        <f t="shared" si="334"/>
        <v>0</v>
      </c>
      <c r="T159" s="434">
        <f t="shared" si="335"/>
        <v>0</v>
      </c>
      <c r="U159" s="434">
        <f t="shared" si="336"/>
        <v>0</v>
      </c>
      <c r="V159" s="434">
        <f t="shared" si="337"/>
        <v>0</v>
      </c>
      <c r="W159" s="434">
        <f t="shared" si="284"/>
        <v>0</v>
      </c>
      <c r="X159" s="982">
        <f t="shared" si="285"/>
        <v>0</v>
      </c>
      <c r="Y159" s="441"/>
      <c r="Z159" s="277">
        <f t="shared" si="286"/>
        <v>0</v>
      </c>
      <c r="AA159" s="277">
        <f t="shared" si="287"/>
        <v>0</v>
      </c>
      <c r="AB159" s="277">
        <f t="shared" si="288"/>
        <v>0</v>
      </c>
      <c r="AC159" s="277">
        <f t="shared" si="289"/>
        <v>0</v>
      </c>
      <c r="AD159" s="277">
        <f t="shared" si="290"/>
        <v>0</v>
      </c>
      <c r="AE159" s="277">
        <f t="shared" si="291"/>
        <v>0</v>
      </c>
      <c r="AF159" s="277">
        <f t="shared" si="292"/>
        <v>0</v>
      </c>
      <c r="AG159" s="277">
        <f t="shared" si="293"/>
        <v>0</v>
      </c>
      <c r="AI159" s="444">
        <f t="shared" si="338"/>
        <v>0</v>
      </c>
      <c r="AJ159" s="1090"/>
      <c r="AK159" s="489"/>
      <c r="AL159" s="811">
        <f t="shared" si="295"/>
        <v>46125</v>
      </c>
      <c r="AM159" s="666">
        <f>IFERROR(IF(AND(AT159="",AR159&lt;&gt;S.CAL!$BJ$3,AR159&lt;&gt;S.CAL!$BJ$4,$AR$140="NON"),M159-BD159,IF(AND(AT159="",AR159&lt;&gt;S.CAL!$BJ$3,AR159&lt;&gt;S.CAL!$BJ$4,$AR$140="OUI"),X159-AI159,IF(AT159&lt;&gt;0,AT159,IF(OR(AR159=S.CAL!$BJ$3,AR159=S.CAL!$BJ$4),AR159,"")))),"")</f>
        <v>0</v>
      </c>
      <c r="AN159" s="1093"/>
      <c r="AO159" s="1094"/>
      <c r="AP159" s="666">
        <f>+IF(AND(AU159="",BB159="OUI",BH159="non",BI159="OUI"),AM159,IF(AND(AU159="",BB159="OUI",BH159="oui",BI159="NON"),AM159,IF(AND(AU159="",BB159="NON",BH159="oui",BI159="NON"),M159,IF(AND(AU159="",BB159="NON",BH159="non",BI159="OUI"),M159,IF(AND(AU159="",BB159="OUI",BH159="non",BI159="NON"),"ERREUR",IF(AND(AU159="",BB159="NON",BH159="non",BI159="NON"),AM159,IF(AND(AU159="",BB159="OUI",BH159="",BI159=""),AM159,IF(AND(AU159="",BB159="NON",BH159="",BI159="",AZ159="NON"),M159,IF(AND(AU159="",BH159="",AZ159="OUI",AR159=""),AM159,IF(AND(AU159="",BH159="",AZ159="NON",AR159="",AT159=""),M159,IF(AND(OR(AR159=S.CAL!$BJ$3,AR159=S.CAL!$BJ$4),(VLOOKUP($AM$140,base_nbre_sem_mensu,2,FALSE)=52)),EE159,IF(AND(OR(AR159=S.CAL!$BJ$3,AR159=S.CAL!$BJ$4),(VLOOKUP($AM$140,base_nbre_sem_mensu,2,FALSE)&lt;52)),AM159,IF(AND(AT159&lt;&gt;"",AU159=""),AT159,AU159)))))))))))))</f>
        <v>0</v>
      </c>
      <c r="AQ159" s="498">
        <f t="shared" si="315"/>
        <v>0</v>
      </c>
      <c r="AR159" s="1098"/>
      <c r="AT159" s="1101"/>
      <c r="AU159" s="813"/>
      <c r="AV159" s="1370">
        <f t="shared" si="296"/>
        <v>46125</v>
      </c>
      <c r="AX159" s="511">
        <f t="shared" si="316"/>
        <v>46125</v>
      </c>
      <c r="AY159" s="523">
        <f t="shared" si="317"/>
        <v>0</v>
      </c>
      <c r="AZ159" s="520" t="s">
        <v>137</v>
      </c>
      <c r="BA159" s="516">
        <f t="shared" si="318"/>
        <v>0</v>
      </c>
      <c r="BB159" s="549" t="str">
        <f t="shared" si="297"/>
        <v/>
      </c>
      <c r="BC159" s="523">
        <f t="shared" si="319"/>
        <v>0</v>
      </c>
      <c r="BD159" s="523">
        <f t="shared" si="320"/>
        <v>0</v>
      </c>
      <c r="BE159" s="732"/>
      <c r="BF159" s="514" t="str">
        <f t="shared" si="298"/>
        <v/>
      </c>
      <c r="BG159" s="514" t="str">
        <f t="shared" si="321"/>
        <v>oui</v>
      </c>
      <c r="BH159" s="377" t="str">
        <f t="shared" si="299"/>
        <v/>
      </c>
      <c r="BI159" s="24" t="str">
        <f t="shared" si="300"/>
        <v/>
      </c>
      <c r="BJ159" s="1381"/>
      <c r="BK159" s="1381"/>
      <c r="BL159" s="1381"/>
      <c r="BM159" s="1381"/>
      <c r="BN159" s="1381"/>
      <c r="BO159" s="1381"/>
      <c r="BP159" s="1381"/>
      <c r="BQ159" s="1381"/>
      <c r="BS159" s="1370">
        <f t="shared" si="267"/>
        <v>46125</v>
      </c>
      <c r="BT159" s="27">
        <f t="shared" si="329"/>
        <v>16</v>
      </c>
      <c r="BU159" s="1380"/>
      <c r="BV159" s="1380"/>
      <c r="BW159" s="1380"/>
      <c r="BX159" s="1380"/>
      <c r="BY159" s="1380"/>
      <c r="BZ159" s="1380"/>
      <c r="CA159" s="1380"/>
      <c r="CB159" s="1380"/>
      <c r="CD159" s="1386">
        <f t="shared" si="322"/>
        <v>0</v>
      </c>
      <c r="DC159" s="16" t="str">
        <f>Avril!FC32</f>
        <v>non</v>
      </c>
      <c r="DG159" s="315">
        <f t="shared" si="323"/>
        <v>1</v>
      </c>
      <c r="DH159" s="129">
        <f t="shared" si="301"/>
        <v>10</v>
      </c>
      <c r="DI159" s="129">
        <f t="shared" si="324"/>
        <v>1</v>
      </c>
      <c r="DK159" s="16">
        <f>+IF(AND(Avril!$DP$8&lt;&gt;52,AR159=S.CAL!$BJ$4),10,1)</f>
        <v>1</v>
      </c>
      <c r="DN159" s="16">
        <f t="shared" si="302"/>
        <v>1</v>
      </c>
      <c r="DU159" s="1274" t="str">
        <f t="shared" si="325"/>
        <v>Fiche infoA146125</v>
      </c>
      <c r="DV159" s="1362">
        <f t="shared" si="303"/>
        <v>0</v>
      </c>
      <c r="DW159" s="1363">
        <f t="shared" si="304"/>
        <v>0</v>
      </c>
      <c r="DX159" s="1363">
        <f t="shared" si="305"/>
        <v>0</v>
      </c>
      <c r="DY159" s="1363">
        <f t="shared" si="306"/>
        <v>0</v>
      </c>
      <c r="DZ159" s="1363">
        <f t="shared" si="307"/>
        <v>0</v>
      </c>
      <c r="EA159" s="1363">
        <f t="shared" si="308"/>
        <v>0</v>
      </c>
      <c r="EB159" s="1363">
        <f t="shared" si="309"/>
        <v>0</v>
      </c>
      <c r="EC159" s="1363">
        <f t="shared" si="310"/>
        <v>0</v>
      </c>
      <c r="ED159" s="1363">
        <f t="shared" si="326"/>
        <v>0</v>
      </c>
      <c r="EE159" s="1364">
        <f t="shared" si="327"/>
        <v>0</v>
      </c>
      <c r="EG159" s="16" t="str">
        <f t="shared" si="328"/>
        <v>162026</v>
      </c>
      <c r="EH159" s="16" t="str">
        <f t="shared" si="311"/>
        <v>Fiche infoA1</v>
      </c>
      <c r="EI159" s="16" t="str">
        <f t="shared" si="312"/>
        <v/>
      </c>
    </row>
    <row r="160" spans="1:139" x14ac:dyDescent="0.2">
      <c r="A160" s="1373" t="str">
        <f>Avril!BJ33</f>
        <v>Fiche infoA2</v>
      </c>
      <c r="B160" s="811">
        <f>Avril!AB33</f>
        <v>46126</v>
      </c>
      <c r="C160" s="1372"/>
      <c r="D160" s="981">
        <f t="shared" si="268"/>
        <v>0</v>
      </c>
      <c r="E160" s="434">
        <f t="shared" si="269"/>
        <v>0</v>
      </c>
      <c r="F160" s="434">
        <f t="shared" si="270"/>
        <v>0</v>
      </c>
      <c r="G160" s="434">
        <f t="shared" si="271"/>
        <v>0</v>
      </c>
      <c r="H160" s="434">
        <f t="shared" si="272"/>
        <v>0</v>
      </c>
      <c r="I160" s="434">
        <f t="shared" si="273"/>
        <v>0</v>
      </c>
      <c r="J160" s="434">
        <f t="shared" si="274"/>
        <v>0</v>
      </c>
      <c r="K160" s="434">
        <f t="shared" si="275"/>
        <v>0</v>
      </c>
      <c r="L160" s="434">
        <f t="shared" si="313"/>
        <v>0</v>
      </c>
      <c r="M160" s="982">
        <f t="shared" si="314"/>
        <v>0</v>
      </c>
      <c r="N160" s="1374"/>
      <c r="O160" s="981">
        <f t="shared" si="330"/>
        <v>0</v>
      </c>
      <c r="P160" s="434">
        <f t="shared" si="331"/>
        <v>0</v>
      </c>
      <c r="Q160" s="434">
        <f t="shared" si="332"/>
        <v>0</v>
      </c>
      <c r="R160" s="434">
        <f t="shared" si="333"/>
        <v>0</v>
      </c>
      <c r="S160" s="434">
        <f t="shared" si="334"/>
        <v>0</v>
      </c>
      <c r="T160" s="434">
        <f t="shared" si="335"/>
        <v>0</v>
      </c>
      <c r="U160" s="434">
        <f t="shared" si="336"/>
        <v>0</v>
      </c>
      <c r="V160" s="434">
        <f t="shared" si="337"/>
        <v>0</v>
      </c>
      <c r="W160" s="434">
        <f t="shared" si="284"/>
        <v>0</v>
      </c>
      <c r="X160" s="982">
        <f t="shared" si="285"/>
        <v>0</v>
      </c>
      <c r="Y160" s="1375"/>
      <c r="Z160" s="1376">
        <f t="shared" si="286"/>
        <v>0</v>
      </c>
      <c r="AA160" s="1376">
        <f t="shared" si="287"/>
        <v>0</v>
      </c>
      <c r="AB160" s="1376">
        <f t="shared" si="288"/>
        <v>0</v>
      </c>
      <c r="AC160" s="1376">
        <f t="shared" si="289"/>
        <v>0</v>
      </c>
      <c r="AD160" s="1376">
        <f t="shared" si="290"/>
        <v>0</v>
      </c>
      <c r="AE160" s="1376">
        <f t="shared" si="291"/>
        <v>0</v>
      </c>
      <c r="AF160" s="1376">
        <f t="shared" si="292"/>
        <v>0</v>
      </c>
      <c r="AG160" s="1376">
        <f t="shared" si="293"/>
        <v>0</v>
      </c>
      <c r="AH160" s="1374"/>
      <c r="AI160" s="444">
        <f t="shared" si="338"/>
        <v>0</v>
      </c>
      <c r="AJ160" s="1090"/>
      <c r="AK160" s="1377"/>
      <c r="AL160" s="811">
        <f t="shared" si="295"/>
        <v>46126</v>
      </c>
      <c r="AM160" s="666">
        <f>IFERROR(IF(AND(AT160="",AR160&lt;&gt;S.CAL!$BJ$3,AR160&lt;&gt;S.CAL!$BJ$4,$AR$140="NON"),M160-BD160,IF(AND(AT160="",AR160&lt;&gt;S.CAL!$BJ$3,AR160&lt;&gt;S.CAL!$BJ$4,$AR$140="OUI"),X160-AI160,IF(AT160&lt;&gt;0,AT160,IF(OR(AR160=S.CAL!$BJ$3,AR160=S.CAL!$BJ$4),AR160,"")))),"")</f>
        <v>0</v>
      </c>
      <c r="AN160" s="1093"/>
      <c r="AO160" s="1094"/>
      <c r="AP160" s="666">
        <f>+IF(AND(AU160="",BB160="OUI",BH160="non",BI160="OUI"),AM160,IF(AND(AU160="",BB160="OUI",BH160="oui",BI160="NON"),AM160,IF(AND(AU160="",BB160="NON",BH160="oui",BI160="NON"),M160,IF(AND(AU160="",BB160="NON",BH160="non",BI160="OUI"),M160,IF(AND(AU160="",BB160="OUI",BH160="non",BI160="NON"),"ERREUR",IF(AND(AU160="",BB160="NON",BH160="non",BI160="NON"),AM160,IF(AND(AU160="",BB160="OUI",BH160="",BI160=""),AM160,IF(AND(AU160="",BB160="NON",BH160="",BI160="",AZ160="NON"),M160,IF(AND(AU160="",BH160="",AZ160="OUI",AR160=""),AM160,IF(AND(AU160="",BH160="",AZ160="NON",AR160="",AT160=""),M160,IF(AND(OR(AR160=S.CAL!$BJ$3,AR160=S.CAL!$BJ$4),(VLOOKUP($AM$140,base_nbre_sem_mensu,2,FALSE)=52)),EE160,IF(AND(OR(AR160=S.CAL!$BJ$3,AR160=S.CAL!$BJ$4),(VLOOKUP($AM$140,base_nbre_sem_mensu,2,FALSE)&lt;52)),AM160,IF(AND(AT160&lt;&gt;"",AU160=""),AT160,AU160)))))))))))))</f>
        <v>0</v>
      </c>
      <c r="AQ160" s="1378">
        <f t="shared" si="315"/>
        <v>0</v>
      </c>
      <c r="AR160" s="1098"/>
      <c r="AS160" s="1374"/>
      <c r="AT160" s="1101"/>
      <c r="AU160" s="813"/>
      <c r="AV160" s="1370">
        <f t="shared" si="296"/>
        <v>46126</v>
      </c>
      <c r="AW160" s="1374"/>
      <c r="AX160" s="511">
        <f t="shared" si="316"/>
        <v>46126</v>
      </c>
      <c r="AY160" s="523">
        <f t="shared" si="317"/>
        <v>0</v>
      </c>
      <c r="AZ160" s="520" t="s">
        <v>137</v>
      </c>
      <c r="BA160" s="516">
        <f t="shared" si="318"/>
        <v>0</v>
      </c>
      <c r="BB160" s="549" t="str">
        <f t="shared" si="297"/>
        <v/>
      </c>
      <c r="BC160" s="523">
        <f t="shared" si="319"/>
        <v>0</v>
      </c>
      <c r="BD160" s="523">
        <f t="shared" si="320"/>
        <v>0</v>
      </c>
      <c r="BE160" s="732"/>
      <c r="BF160" s="514" t="str">
        <f t="shared" si="298"/>
        <v/>
      </c>
      <c r="BG160" s="514" t="str">
        <f t="shared" si="321"/>
        <v>oui</v>
      </c>
      <c r="BH160" s="377" t="str">
        <f t="shared" si="299"/>
        <v/>
      </c>
      <c r="BI160" s="24" t="str">
        <f t="shared" si="300"/>
        <v/>
      </c>
      <c r="BJ160" s="1382"/>
      <c r="BK160" s="1382"/>
      <c r="BL160" s="1382"/>
      <c r="BM160" s="1382"/>
      <c r="BN160" s="1382"/>
      <c r="BO160" s="1382"/>
      <c r="BP160" s="1382"/>
      <c r="BQ160" s="1382"/>
      <c r="BR160" s="1383"/>
      <c r="BS160" s="1370">
        <f t="shared" si="267"/>
        <v>46126</v>
      </c>
      <c r="BT160" s="1384" t="str">
        <f t="shared" si="329"/>
        <v/>
      </c>
      <c r="BU160" s="1382"/>
      <c r="BV160" s="1382"/>
      <c r="BW160" s="1382"/>
      <c r="BX160" s="1382"/>
      <c r="BY160" s="1382"/>
      <c r="BZ160" s="1382"/>
      <c r="CA160" s="1382"/>
      <c r="CB160" s="1382"/>
      <c r="CD160" s="1386">
        <f t="shared" si="322"/>
        <v>0</v>
      </c>
      <c r="DC160" s="16" t="str">
        <f>Avril!FC33</f>
        <v>non</v>
      </c>
      <c r="DG160" s="315">
        <f t="shared" si="323"/>
        <v>1</v>
      </c>
      <c r="DH160" s="129">
        <f t="shared" si="301"/>
        <v>10</v>
      </c>
      <c r="DI160" s="129">
        <f t="shared" si="324"/>
        <v>1</v>
      </c>
      <c r="DK160" s="16">
        <f>+IF(AND(Avril!$DP$8&lt;&gt;52,AR160=S.CAL!$BJ$4),10,1)</f>
        <v>1</v>
      </c>
      <c r="DN160" s="16">
        <f t="shared" si="302"/>
        <v>1</v>
      </c>
      <c r="DU160" s="1274" t="str">
        <f t="shared" si="325"/>
        <v>Fiche infoA246126</v>
      </c>
      <c r="DV160" s="1362">
        <f t="shared" si="303"/>
        <v>0</v>
      </c>
      <c r="DW160" s="1363">
        <f t="shared" si="304"/>
        <v>0</v>
      </c>
      <c r="DX160" s="1363">
        <f t="shared" si="305"/>
        <v>0</v>
      </c>
      <c r="DY160" s="1363">
        <f t="shared" si="306"/>
        <v>0</v>
      </c>
      <c r="DZ160" s="1363">
        <f t="shared" si="307"/>
        <v>0</v>
      </c>
      <c r="EA160" s="1363">
        <f t="shared" si="308"/>
        <v>0</v>
      </c>
      <c r="EB160" s="1363">
        <f t="shared" si="309"/>
        <v>0</v>
      </c>
      <c r="EC160" s="1363">
        <f t="shared" si="310"/>
        <v>0</v>
      </c>
      <c r="ED160" s="1363">
        <f t="shared" si="326"/>
        <v>0</v>
      </c>
      <c r="EE160" s="1364">
        <f t="shared" si="327"/>
        <v>0</v>
      </c>
      <c r="EG160" s="16" t="str">
        <f t="shared" si="328"/>
        <v>162026</v>
      </c>
      <c r="EH160" s="16" t="str">
        <f t="shared" si="311"/>
        <v>Fiche infoA2</v>
      </c>
      <c r="EI160" s="16" t="str">
        <f t="shared" si="312"/>
        <v/>
      </c>
    </row>
    <row r="161" spans="1:139" x14ac:dyDescent="0.2">
      <c r="A161" s="24" t="str">
        <f>Avril!BJ34</f>
        <v>Fiche infoA3</v>
      </c>
      <c r="B161" s="811">
        <f>Avril!AB34</f>
        <v>46127</v>
      </c>
      <c r="C161" s="1371"/>
      <c r="D161" s="981">
        <f t="shared" si="268"/>
        <v>0</v>
      </c>
      <c r="E161" s="434">
        <f t="shared" si="269"/>
        <v>0</v>
      </c>
      <c r="F161" s="434">
        <f t="shared" si="270"/>
        <v>0</v>
      </c>
      <c r="G161" s="434">
        <f t="shared" si="271"/>
        <v>0</v>
      </c>
      <c r="H161" s="434">
        <f t="shared" si="272"/>
        <v>0</v>
      </c>
      <c r="I161" s="434">
        <f t="shared" si="273"/>
        <v>0</v>
      </c>
      <c r="J161" s="434">
        <f t="shared" si="274"/>
        <v>0</v>
      </c>
      <c r="K161" s="434">
        <f t="shared" si="275"/>
        <v>0</v>
      </c>
      <c r="L161" s="434">
        <f t="shared" si="313"/>
        <v>0</v>
      </c>
      <c r="M161" s="982">
        <f t="shared" si="314"/>
        <v>0</v>
      </c>
      <c r="O161" s="981">
        <f t="shared" si="330"/>
        <v>0</v>
      </c>
      <c r="P161" s="434">
        <f t="shared" si="331"/>
        <v>0</v>
      </c>
      <c r="Q161" s="434">
        <f t="shared" si="332"/>
        <v>0</v>
      </c>
      <c r="R161" s="434">
        <f t="shared" si="333"/>
        <v>0</v>
      </c>
      <c r="S161" s="434">
        <f t="shared" si="334"/>
        <v>0</v>
      </c>
      <c r="T161" s="434">
        <f t="shared" si="335"/>
        <v>0</v>
      </c>
      <c r="U161" s="434">
        <f t="shared" si="336"/>
        <v>0</v>
      </c>
      <c r="V161" s="434">
        <f t="shared" si="337"/>
        <v>0</v>
      </c>
      <c r="W161" s="434">
        <f t="shared" si="284"/>
        <v>0</v>
      </c>
      <c r="X161" s="982">
        <f t="shared" si="285"/>
        <v>0</v>
      </c>
      <c r="Y161" s="441"/>
      <c r="Z161" s="277">
        <f t="shared" si="286"/>
        <v>0</v>
      </c>
      <c r="AA161" s="277">
        <f t="shared" si="287"/>
        <v>0</v>
      </c>
      <c r="AB161" s="277">
        <f t="shared" si="288"/>
        <v>0</v>
      </c>
      <c r="AC161" s="277">
        <f t="shared" si="289"/>
        <v>0</v>
      </c>
      <c r="AD161" s="277">
        <f t="shared" si="290"/>
        <v>0</v>
      </c>
      <c r="AE161" s="277">
        <f t="shared" si="291"/>
        <v>0</v>
      </c>
      <c r="AF161" s="277">
        <f t="shared" si="292"/>
        <v>0</v>
      </c>
      <c r="AG161" s="277">
        <f t="shared" si="293"/>
        <v>0</v>
      </c>
      <c r="AI161" s="444">
        <f t="shared" si="338"/>
        <v>0</v>
      </c>
      <c r="AJ161" s="1090"/>
      <c r="AK161" s="489"/>
      <c r="AL161" s="811">
        <f t="shared" si="295"/>
        <v>46127</v>
      </c>
      <c r="AM161" s="666">
        <f>IFERROR(IF(AND(AT161="",AR161&lt;&gt;S.CAL!$BJ$3,AR161&lt;&gt;S.CAL!$BJ$4,$AR$140="NON"),M161-BD161,IF(AND(AT161="",AR161&lt;&gt;S.CAL!$BJ$3,AR161&lt;&gt;S.CAL!$BJ$4,$AR$140="OUI"),X161-AI161,IF(AT161&lt;&gt;0,AT161,IF(OR(AR161=S.CAL!$BJ$3,AR161=S.CAL!$BJ$4),AR161,"")))),"")</f>
        <v>0</v>
      </c>
      <c r="AN161" s="1093"/>
      <c r="AO161" s="1094"/>
      <c r="AP161" s="666">
        <f>+IF(AND(AU161="",BB161="OUI",BH161="non",BI161="OUI"),AM161,IF(AND(AU161="",BB161="OUI",BH161="oui",BI161="NON"),AM161,IF(AND(AU161="",BB161="NON",BH161="oui",BI161="NON"),M161,IF(AND(AU161="",BB161="NON",BH161="non",BI161="OUI"),M161,IF(AND(AU161="",BB161="OUI",BH161="non",BI161="NON"),"ERREUR",IF(AND(AU161="",BB161="NON",BH161="non",BI161="NON"),AM161,IF(AND(AU161="",BB161="OUI",BH161="",BI161=""),AM161,IF(AND(AU161="",BB161="NON",BH161="",BI161="",AZ161="NON"),M161,IF(AND(AU161="",BH161="",AZ161="OUI",AR161=""),AM161,IF(AND(AU161="",BH161="",AZ161="NON",AR161="",AT161=""),M161,IF(AND(OR(AR161=S.CAL!$BJ$3,AR161=S.CAL!$BJ$4),(VLOOKUP($AM$140,base_nbre_sem_mensu,2,FALSE)=52)),EE161,IF(AND(OR(AR161=S.CAL!$BJ$3,AR161=S.CAL!$BJ$4),(VLOOKUP($AM$140,base_nbre_sem_mensu,2,FALSE)&lt;52)),AM161,IF(AND(AT161&lt;&gt;"",AU161=""),AT161,AU161)))))))))))))</f>
        <v>0</v>
      </c>
      <c r="AQ161" s="498">
        <f t="shared" si="315"/>
        <v>0</v>
      </c>
      <c r="AR161" s="1098"/>
      <c r="AT161" s="1101"/>
      <c r="AU161" s="813"/>
      <c r="AV161" s="1370">
        <f t="shared" si="296"/>
        <v>46127</v>
      </c>
      <c r="AX161" s="511">
        <f t="shared" si="316"/>
        <v>46127</v>
      </c>
      <c r="AY161" s="523">
        <f t="shared" si="317"/>
        <v>0</v>
      </c>
      <c r="AZ161" s="520" t="s">
        <v>137</v>
      </c>
      <c r="BA161" s="516">
        <f t="shared" si="318"/>
        <v>0</v>
      </c>
      <c r="BB161" s="549" t="str">
        <f t="shared" si="297"/>
        <v/>
      </c>
      <c r="BC161" s="523">
        <f t="shared" si="319"/>
        <v>0</v>
      </c>
      <c r="BD161" s="523">
        <f t="shared" si="320"/>
        <v>0</v>
      </c>
      <c r="BE161" s="732"/>
      <c r="BF161" s="514" t="str">
        <f t="shared" si="298"/>
        <v/>
      </c>
      <c r="BG161" s="514" t="str">
        <f t="shared" si="321"/>
        <v>oui</v>
      </c>
      <c r="BH161" s="377" t="str">
        <f t="shared" si="299"/>
        <v/>
      </c>
      <c r="BI161" s="24" t="str">
        <f t="shared" si="300"/>
        <v/>
      </c>
      <c r="BJ161" s="1381"/>
      <c r="BK161" s="1381"/>
      <c r="BL161" s="1381"/>
      <c r="BM161" s="1381"/>
      <c r="BN161" s="1381"/>
      <c r="BO161" s="1381"/>
      <c r="BP161" s="1381"/>
      <c r="BQ161" s="1381"/>
      <c r="BS161" s="1370">
        <f t="shared" si="267"/>
        <v>46127</v>
      </c>
      <c r="BT161" s="27" t="str">
        <f t="shared" si="329"/>
        <v/>
      </c>
      <c r="BU161" s="1380"/>
      <c r="BV161" s="1380"/>
      <c r="BW161" s="1380"/>
      <c r="BX161" s="1380"/>
      <c r="BY161" s="1380"/>
      <c r="BZ161" s="1380"/>
      <c r="CA161" s="1380"/>
      <c r="CB161" s="1380"/>
      <c r="CD161" s="1386">
        <f t="shared" si="322"/>
        <v>0</v>
      </c>
      <c r="DC161" s="16" t="str">
        <f>Avril!FC34</f>
        <v>non</v>
      </c>
      <c r="DG161" s="315">
        <f t="shared" si="323"/>
        <v>1</v>
      </c>
      <c r="DH161" s="129">
        <f t="shared" si="301"/>
        <v>10</v>
      </c>
      <c r="DI161" s="129">
        <f t="shared" si="324"/>
        <v>1</v>
      </c>
      <c r="DK161" s="16">
        <f>+IF(AND(Avril!$DP$8&lt;&gt;52,AR161=S.CAL!$BJ$4),10,1)</f>
        <v>1</v>
      </c>
      <c r="DN161" s="16">
        <f t="shared" si="302"/>
        <v>1</v>
      </c>
      <c r="DU161" s="1274" t="str">
        <f t="shared" si="325"/>
        <v>Fiche infoA346127</v>
      </c>
      <c r="DV161" s="1362">
        <f t="shared" si="303"/>
        <v>0</v>
      </c>
      <c r="DW161" s="1363">
        <f t="shared" si="304"/>
        <v>0</v>
      </c>
      <c r="DX161" s="1363">
        <f t="shared" si="305"/>
        <v>0</v>
      </c>
      <c r="DY161" s="1363">
        <f t="shared" si="306"/>
        <v>0</v>
      </c>
      <c r="DZ161" s="1363">
        <f t="shared" si="307"/>
        <v>0</v>
      </c>
      <c r="EA161" s="1363">
        <f t="shared" si="308"/>
        <v>0</v>
      </c>
      <c r="EB161" s="1363">
        <f t="shared" si="309"/>
        <v>0</v>
      </c>
      <c r="EC161" s="1363">
        <f t="shared" si="310"/>
        <v>0</v>
      </c>
      <c r="ED161" s="1363">
        <f t="shared" si="326"/>
        <v>0</v>
      </c>
      <c r="EE161" s="1364">
        <f t="shared" si="327"/>
        <v>0</v>
      </c>
      <c r="EG161" s="16" t="str">
        <f t="shared" si="328"/>
        <v>162026</v>
      </c>
      <c r="EH161" s="16" t="str">
        <f t="shared" si="311"/>
        <v>Fiche infoA3</v>
      </c>
      <c r="EI161" s="16" t="str">
        <f t="shared" si="312"/>
        <v/>
      </c>
    </row>
    <row r="162" spans="1:139" x14ac:dyDescent="0.2">
      <c r="A162" s="1373" t="str">
        <f>Avril!BJ35</f>
        <v>Fiche infoA4</v>
      </c>
      <c r="B162" s="811">
        <f>Avril!AB35</f>
        <v>46128</v>
      </c>
      <c r="C162" s="1372"/>
      <c r="D162" s="981">
        <f t="shared" si="268"/>
        <v>0</v>
      </c>
      <c r="E162" s="434">
        <f t="shared" si="269"/>
        <v>0</v>
      </c>
      <c r="F162" s="434">
        <f t="shared" si="270"/>
        <v>0</v>
      </c>
      <c r="G162" s="434">
        <f t="shared" si="271"/>
        <v>0</v>
      </c>
      <c r="H162" s="434">
        <f t="shared" si="272"/>
        <v>0</v>
      </c>
      <c r="I162" s="434">
        <f t="shared" si="273"/>
        <v>0</v>
      </c>
      <c r="J162" s="434">
        <f t="shared" si="274"/>
        <v>0</v>
      </c>
      <c r="K162" s="434">
        <f t="shared" si="275"/>
        <v>0</v>
      </c>
      <c r="L162" s="434">
        <f t="shared" si="313"/>
        <v>0</v>
      </c>
      <c r="M162" s="982">
        <f t="shared" si="314"/>
        <v>0</v>
      </c>
      <c r="N162" s="1374"/>
      <c r="O162" s="981">
        <f t="shared" si="330"/>
        <v>0</v>
      </c>
      <c r="P162" s="434">
        <f t="shared" si="331"/>
        <v>0</v>
      </c>
      <c r="Q162" s="434">
        <f t="shared" si="332"/>
        <v>0</v>
      </c>
      <c r="R162" s="434">
        <f t="shared" si="333"/>
        <v>0</v>
      </c>
      <c r="S162" s="434">
        <f t="shared" si="334"/>
        <v>0</v>
      </c>
      <c r="T162" s="434">
        <f t="shared" si="335"/>
        <v>0</v>
      </c>
      <c r="U162" s="434">
        <f t="shared" si="336"/>
        <v>0</v>
      </c>
      <c r="V162" s="434">
        <f t="shared" si="337"/>
        <v>0</v>
      </c>
      <c r="W162" s="434">
        <f t="shared" si="284"/>
        <v>0</v>
      </c>
      <c r="X162" s="982">
        <f t="shared" si="285"/>
        <v>0</v>
      </c>
      <c r="Y162" s="1375"/>
      <c r="Z162" s="1376">
        <f t="shared" si="286"/>
        <v>0</v>
      </c>
      <c r="AA162" s="1376">
        <f t="shared" si="287"/>
        <v>0</v>
      </c>
      <c r="AB162" s="1376">
        <f t="shared" si="288"/>
        <v>0</v>
      </c>
      <c r="AC162" s="1376">
        <f t="shared" si="289"/>
        <v>0</v>
      </c>
      <c r="AD162" s="1376">
        <f t="shared" si="290"/>
        <v>0</v>
      </c>
      <c r="AE162" s="1376">
        <f t="shared" si="291"/>
        <v>0</v>
      </c>
      <c r="AF162" s="1376">
        <f t="shared" si="292"/>
        <v>0</v>
      </c>
      <c r="AG162" s="1376">
        <f t="shared" si="293"/>
        <v>0</v>
      </c>
      <c r="AH162" s="1374"/>
      <c r="AI162" s="444">
        <f t="shared" si="338"/>
        <v>0</v>
      </c>
      <c r="AJ162" s="1090"/>
      <c r="AK162" s="1377"/>
      <c r="AL162" s="811">
        <f t="shared" si="295"/>
        <v>46128</v>
      </c>
      <c r="AM162" s="666">
        <f>IFERROR(IF(AND(AT162="",AR162&lt;&gt;S.CAL!$BJ$3,AR162&lt;&gt;S.CAL!$BJ$4,$AR$140="NON"),M162-BD162,IF(AND(AT162="",AR162&lt;&gt;S.CAL!$BJ$3,AR162&lt;&gt;S.CAL!$BJ$4,$AR$140="OUI"),X162-AI162,IF(AT162&lt;&gt;0,AT162,IF(OR(AR162=S.CAL!$BJ$3,AR162=S.CAL!$BJ$4),AR162,"")))),"")</f>
        <v>0</v>
      </c>
      <c r="AN162" s="1093"/>
      <c r="AO162" s="1094"/>
      <c r="AP162" s="666">
        <f>+IF(AND(AU162="",BB162="OUI",BH162="non",BI162="OUI"),AM162,IF(AND(AU162="",BB162="OUI",BH162="oui",BI162="NON"),AM162,IF(AND(AU162="",BB162="NON",BH162="oui",BI162="NON"),M162,IF(AND(AU162="",BB162="NON",BH162="non",BI162="OUI"),M162,IF(AND(AU162="",BB162="OUI",BH162="non",BI162="NON"),"ERREUR",IF(AND(AU162="",BB162="NON",BH162="non",BI162="NON"),AM162,IF(AND(AU162="",BB162="OUI",BH162="",BI162=""),AM162,IF(AND(AU162="",BB162="NON",BH162="",BI162="",AZ162="NON"),M162,IF(AND(AU162="",BH162="",AZ162="OUI",AR162=""),AM162,IF(AND(AU162="",BH162="",AZ162="NON",AR162="",AT162=""),M162,IF(AND(OR(AR162=S.CAL!$BJ$3,AR162=S.CAL!$BJ$4),(VLOOKUP($AM$140,base_nbre_sem_mensu,2,FALSE)=52)),EE162,IF(AND(OR(AR162=S.CAL!$BJ$3,AR162=S.CAL!$BJ$4),(VLOOKUP($AM$140,base_nbre_sem_mensu,2,FALSE)&lt;52)),AM162,IF(AND(AT162&lt;&gt;"",AU162=""),AT162,AU162)))))))))))))</f>
        <v>0</v>
      </c>
      <c r="AQ162" s="1378">
        <f t="shared" si="315"/>
        <v>0</v>
      </c>
      <c r="AR162" s="1098"/>
      <c r="AS162" s="1374"/>
      <c r="AT162" s="1101"/>
      <c r="AU162" s="813"/>
      <c r="AV162" s="1370">
        <f t="shared" si="296"/>
        <v>46128</v>
      </c>
      <c r="AW162" s="1374"/>
      <c r="AX162" s="511">
        <f t="shared" si="316"/>
        <v>46128</v>
      </c>
      <c r="AY162" s="523">
        <f t="shared" si="317"/>
        <v>0</v>
      </c>
      <c r="AZ162" s="520" t="s">
        <v>137</v>
      </c>
      <c r="BA162" s="516">
        <f t="shared" si="318"/>
        <v>0</v>
      </c>
      <c r="BB162" s="549" t="str">
        <f t="shared" si="297"/>
        <v/>
      </c>
      <c r="BC162" s="523">
        <f t="shared" si="319"/>
        <v>0</v>
      </c>
      <c r="BD162" s="523">
        <f t="shared" si="320"/>
        <v>0</v>
      </c>
      <c r="BE162" s="732"/>
      <c r="BF162" s="514" t="str">
        <f t="shared" si="298"/>
        <v/>
      </c>
      <c r="BG162" s="514" t="str">
        <f t="shared" si="321"/>
        <v>oui</v>
      </c>
      <c r="BH162" s="377" t="str">
        <f t="shared" si="299"/>
        <v/>
      </c>
      <c r="BI162" s="24" t="str">
        <f t="shared" si="300"/>
        <v/>
      </c>
      <c r="BJ162" s="1382"/>
      <c r="BK162" s="1382"/>
      <c r="BL162" s="1382"/>
      <c r="BM162" s="1382"/>
      <c r="BN162" s="1382"/>
      <c r="BO162" s="1382"/>
      <c r="BP162" s="1382"/>
      <c r="BQ162" s="1382"/>
      <c r="BR162" s="1383"/>
      <c r="BS162" s="1370">
        <f t="shared" si="267"/>
        <v>46128</v>
      </c>
      <c r="BT162" s="1384" t="str">
        <f t="shared" si="329"/>
        <v/>
      </c>
      <c r="BU162" s="1382"/>
      <c r="BV162" s="1382"/>
      <c r="BW162" s="1382"/>
      <c r="BX162" s="1382"/>
      <c r="BY162" s="1382"/>
      <c r="BZ162" s="1382"/>
      <c r="CA162" s="1382"/>
      <c r="CB162" s="1382"/>
      <c r="CD162" s="1386">
        <f t="shared" si="322"/>
        <v>0</v>
      </c>
      <c r="DC162" s="16" t="str">
        <f>Avril!FC35</f>
        <v>non</v>
      </c>
      <c r="DG162" s="315">
        <f t="shared" si="323"/>
        <v>1</v>
      </c>
      <c r="DH162" s="129">
        <f t="shared" si="301"/>
        <v>10</v>
      </c>
      <c r="DI162" s="129">
        <f t="shared" si="324"/>
        <v>1</v>
      </c>
      <c r="DK162" s="16">
        <f>+IF(AND(Avril!$DP$8&lt;&gt;52,AR162=S.CAL!$BJ$4),10,1)</f>
        <v>1</v>
      </c>
      <c r="DN162" s="16">
        <f t="shared" si="302"/>
        <v>1</v>
      </c>
      <c r="DU162" s="1274" t="str">
        <f t="shared" si="325"/>
        <v>Fiche infoA446128</v>
      </c>
      <c r="DV162" s="1362">
        <f t="shared" si="303"/>
        <v>0</v>
      </c>
      <c r="DW162" s="1363">
        <f t="shared" si="304"/>
        <v>0</v>
      </c>
      <c r="DX162" s="1363">
        <f t="shared" si="305"/>
        <v>0</v>
      </c>
      <c r="DY162" s="1363">
        <f t="shared" si="306"/>
        <v>0</v>
      </c>
      <c r="DZ162" s="1363">
        <f t="shared" si="307"/>
        <v>0</v>
      </c>
      <c r="EA162" s="1363">
        <f t="shared" si="308"/>
        <v>0</v>
      </c>
      <c r="EB162" s="1363">
        <f t="shared" si="309"/>
        <v>0</v>
      </c>
      <c r="EC162" s="1363">
        <f t="shared" si="310"/>
        <v>0</v>
      </c>
      <c r="ED162" s="1363">
        <f t="shared" si="326"/>
        <v>0</v>
      </c>
      <c r="EE162" s="1364">
        <f t="shared" si="327"/>
        <v>0</v>
      </c>
      <c r="EG162" s="16" t="str">
        <f t="shared" si="328"/>
        <v>162026</v>
      </c>
      <c r="EH162" s="16" t="str">
        <f t="shared" si="311"/>
        <v>Fiche infoA4</v>
      </c>
      <c r="EI162" s="16" t="str">
        <f t="shared" si="312"/>
        <v/>
      </c>
    </row>
    <row r="163" spans="1:139" x14ac:dyDescent="0.2">
      <c r="A163" s="24" t="str">
        <f>Avril!BJ36</f>
        <v>Fiche infoA5</v>
      </c>
      <c r="B163" s="811">
        <f>Avril!AB36</f>
        <v>46129</v>
      </c>
      <c r="C163" s="1371"/>
      <c r="D163" s="981">
        <f t="shared" si="268"/>
        <v>0</v>
      </c>
      <c r="E163" s="434">
        <f t="shared" si="269"/>
        <v>0</v>
      </c>
      <c r="F163" s="434">
        <f t="shared" si="270"/>
        <v>0</v>
      </c>
      <c r="G163" s="434">
        <f t="shared" si="271"/>
        <v>0</v>
      </c>
      <c r="H163" s="434">
        <f t="shared" si="272"/>
        <v>0</v>
      </c>
      <c r="I163" s="434">
        <f t="shared" si="273"/>
        <v>0</v>
      </c>
      <c r="J163" s="434">
        <f t="shared" si="274"/>
        <v>0</v>
      </c>
      <c r="K163" s="434">
        <f t="shared" si="275"/>
        <v>0</v>
      </c>
      <c r="L163" s="434">
        <f t="shared" si="313"/>
        <v>0</v>
      </c>
      <c r="M163" s="982">
        <f t="shared" si="314"/>
        <v>0</v>
      </c>
      <c r="O163" s="981">
        <f t="shared" si="330"/>
        <v>0</v>
      </c>
      <c r="P163" s="434">
        <f t="shared" si="331"/>
        <v>0</v>
      </c>
      <c r="Q163" s="434">
        <f t="shared" si="332"/>
        <v>0</v>
      </c>
      <c r="R163" s="434">
        <f t="shared" si="333"/>
        <v>0</v>
      </c>
      <c r="S163" s="434">
        <f t="shared" si="334"/>
        <v>0</v>
      </c>
      <c r="T163" s="434">
        <f t="shared" si="335"/>
        <v>0</v>
      </c>
      <c r="U163" s="434">
        <f t="shared" si="336"/>
        <v>0</v>
      </c>
      <c r="V163" s="434">
        <f t="shared" si="337"/>
        <v>0</v>
      </c>
      <c r="W163" s="434">
        <f t="shared" si="284"/>
        <v>0</v>
      </c>
      <c r="X163" s="982">
        <f t="shared" si="285"/>
        <v>0</v>
      </c>
      <c r="Y163" s="441"/>
      <c r="Z163" s="277">
        <f t="shared" si="286"/>
        <v>0</v>
      </c>
      <c r="AA163" s="277">
        <f t="shared" si="287"/>
        <v>0</v>
      </c>
      <c r="AB163" s="277">
        <f t="shared" si="288"/>
        <v>0</v>
      </c>
      <c r="AC163" s="277">
        <f t="shared" si="289"/>
        <v>0</v>
      </c>
      <c r="AD163" s="277">
        <f t="shared" si="290"/>
        <v>0</v>
      </c>
      <c r="AE163" s="277">
        <f t="shared" si="291"/>
        <v>0</v>
      </c>
      <c r="AF163" s="277">
        <f t="shared" si="292"/>
        <v>0</v>
      </c>
      <c r="AG163" s="277">
        <f t="shared" si="293"/>
        <v>0</v>
      </c>
      <c r="AI163" s="444">
        <f t="shared" si="338"/>
        <v>0</v>
      </c>
      <c r="AJ163" s="1090"/>
      <c r="AK163" s="489"/>
      <c r="AL163" s="811">
        <f t="shared" si="295"/>
        <v>46129</v>
      </c>
      <c r="AM163" s="666">
        <f>IFERROR(IF(AND(AT163="",AR163&lt;&gt;S.CAL!$BJ$3,AR163&lt;&gt;S.CAL!$BJ$4,$AR$140="NON"),M163-BD163,IF(AND(AT163="",AR163&lt;&gt;S.CAL!$BJ$3,AR163&lt;&gt;S.CAL!$BJ$4,$AR$140="OUI"),X163-AI163,IF(AT163&lt;&gt;0,AT163,IF(OR(AR163=S.CAL!$BJ$3,AR163=S.CAL!$BJ$4),AR163,"")))),"")</f>
        <v>0</v>
      </c>
      <c r="AN163" s="1093"/>
      <c r="AO163" s="1094"/>
      <c r="AP163" s="666">
        <f>+IF(AND(AU163="",BB163="OUI",BH163="non",BI163="OUI"),AM163,IF(AND(AU163="",BB163="OUI",BH163="oui",BI163="NON"),AM163,IF(AND(AU163="",BB163="NON",BH163="oui",BI163="NON"),M163,IF(AND(AU163="",BB163="NON",BH163="non",BI163="OUI"),M163,IF(AND(AU163="",BB163="OUI",BH163="non",BI163="NON"),"ERREUR",IF(AND(AU163="",BB163="NON",BH163="non",BI163="NON"),AM163,IF(AND(AU163="",BB163="OUI",BH163="",BI163=""),AM163,IF(AND(AU163="",BB163="NON",BH163="",BI163="",AZ163="NON"),M163,IF(AND(AU163="",BH163="",AZ163="OUI",AR163=""),AM163,IF(AND(AU163="",BH163="",AZ163="NON",AR163="",AT163=""),M163,IF(AND(OR(AR163=S.CAL!$BJ$3,AR163=S.CAL!$BJ$4),(VLOOKUP($AM$140,base_nbre_sem_mensu,2,FALSE)=52)),EE163,IF(AND(OR(AR163=S.CAL!$BJ$3,AR163=S.CAL!$BJ$4),(VLOOKUP($AM$140,base_nbre_sem_mensu,2,FALSE)&lt;52)),AM163,IF(AND(AT163&lt;&gt;"",AU163=""),AT163,AU163)))))))))))))</f>
        <v>0</v>
      </c>
      <c r="AQ163" s="498">
        <f t="shared" si="315"/>
        <v>0</v>
      </c>
      <c r="AR163" s="1098"/>
      <c r="AT163" s="1101"/>
      <c r="AU163" s="813"/>
      <c r="AV163" s="1370">
        <f t="shared" si="296"/>
        <v>46129</v>
      </c>
      <c r="AX163" s="511">
        <f t="shared" si="316"/>
        <v>46129</v>
      </c>
      <c r="AY163" s="523">
        <f t="shared" si="317"/>
        <v>0</v>
      </c>
      <c r="AZ163" s="520" t="s">
        <v>137</v>
      </c>
      <c r="BA163" s="516">
        <f t="shared" si="318"/>
        <v>0</v>
      </c>
      <c r="BB163" s="549" t="str">
        <f t="shared" si="297"/>
        <v/>
      </c>
      <c r="BC163" s="523">
        <f t="shared" si="319"/>
        <v>0</v>
      </c>
      <c r="BD163" s="523">
        <f t="shared" si="320"/>
        <v>0</v>
      </c>
      <c r="BE163" s="732"/>
      <c r="BF163" s="514" t="str">
        <f t="shared" si="298"/>
        <v/>
      </c>
      <c r="BG163" s="514" t="str">
        <f t="shared" si="321"/>
        <v>oui</v>
      </c>
      <c r="BH163" s="377" t="str">
        <f t="shared" si="299"/>
        <v/>
      </c>
      <c r="BI163" s="24" t="str">
        <f t="shared" si="300"/>
        <v/>
      </c>
      <c r="BJ163" s="1381"/>
      <c r="BK163" s="1381"/>
      <c r="BL163" s="1381"/>
      <c r="BM163" s="1381"/>
      <c r="BN163" s="1381"/>
      <c r="BO163" s="1381"/>
      <c r="BP163" s="1381"/>
      <c r="BQ163" s="1381"/>
      <c r="BS163" s="1370">
        <f t="shared" si="267"/>
        <v>46129</v>
      </c>
      <c r="BT163" s="27" t="str">
        <f t="shared" si="329"/>
        <v/>
      </c>
      <c r="BU163" s="1380"/>
      <c r="BV163" s="1380"/>
      <c r="BW163" s="1380"/>
      <c r="BX163" s="1380"/>
      <c r="BY163" s="1380"/>
      <c r="BZ163" s="1380"/>
      <c r="CA163" s="1380"/>
      <c r="CB163" s="1380"/>
      <c r="CD163" s="1386">
        <f t="shared" si="322"/>
        <v>0</v>
      </c>
      <c r="DC163" s="16" t="str">
        <f>Avril!FC36</f>
        <v>non</v>
      </c>
      <c r="DG163" s="315">
        <f t="shared" si="323"/>
        <v>1</v>
      </c>
      <c r="DH163" s="129">
        <f t="shared" si="301"/>
        <v>10</v>
      </c>
      <c r="DI163" s="129">
        <f t="shared" si="324"/>
        <v>1</v>
      </c>
      <c r="DK163" s="16">
        <f>+IF(AND(Avril!$DP$8&lt;&gt;52,AR163=S.CAL!$BJ$4),10,1)</f>
        <v>1</v>
      </c>
      <c r="DN163" s="16">
        <f t="shared" si="302"/>
        <v>1</v>
      </c>
      <c r="DU163" s="1274" t="str">
        <f t="shared" si="325"/>
        <v>Fiche infoA546129</v>
      </c>
      <c r="DV163" s="1362">
        <f t="shared" si="303"/>
        <v>0</v>
      </c>
      <c r="DW163" s="1363">
        <f t="shared" si="304"/>
        <v>0</v>
      </c>
      <c r="DX163" s="1363">
        <f t="shared" si="305"/>
        <v>0</v>
      </c>
      <c r="DY163" s="1363">
        <f t="shared" si="306"/>
        <v>0</v>
      </c>
      <c r="DZ163" s="1363">
        <f t="shared" si="307"/>
        <v>0</v>
      </c>
      <c r="EA163" s="1363">
        <f t="shared" si="308"/>
        <v>0</v>
      </c>
      <c r="EB163" s="1363">
        <f t="shared" si="309"/>
        <v>0</v>
      </c>
      <c r="EC163" s="1363">
        <f t="shared" si="310"/>
        <v>0</v>
      </c>
      <c r="ED163" s="1363">
        <f t="shared" si="326"/>
        <v>0</v>
      </c>
      <c r="EE163" s="1364">
        <f t="shared" si="327"/>
        <v>0</v>
      </c>
      <c r="EG163" s="16" t="str">
        <f t="shared" si="328"/>
        <v>162026</v>
      </c>
      <c r="EH163" s="16" t="str">
        <f t="shared" si="311"/>
        <v>Fiche infoA5</v>
      </c>
      <c r="EI163" s="16" t="str">
        <f t="shared" si="312"/>
        <v/>
      </c>
    </row>
    <row r="164" spans="1:139" x14ac:dyDescent="0.2">
      <c r="A164" s="1373" t="str">
        <f>Avril!BJ37</f>
        <v>Fiche infoA6</v>
      </c>
      <c r="B164" s="811">
        <f>Avril!AB37</f>
        <v>46130</v>
      </c>
      <c r="C164" s="1372"/>
      <c r="D164" s="981">
        <f t="shared" si="268"/>
        <v>0</v>
      </c>
      <c r="E164" s="434">
        <f t="shared" si="269"/>
        <v>0</v>
      </c>
      <c r="F164" s="434">
        <f t="shared" si="270"/>
        <v>0</v>
      </c>
      <c r="G164" s="434">
        <f t="shared" si="271"/>
        <v>0</v>
      </c>
      <c r="H164" s="434">
        <f t="shared" si="272"/>
        <v>0</v>
      </c>
      <c r="I164" s="434">
        <f t="shared" si="273"/>
        <v>0</v>
      </c>
      <c r="J164" s="434">
        <f t="shared" si="274"/>
        <v>0</v>
      </c>
      <c r="K164" s="434">
        <f t="shared" si="275"/>
        <v>0</v>
      </c>
      <c r="L164" s="434">
        <f t="shared" si="313"/>
        <v>0</v>
      </c>
      <c r="M164" s="982">
        <f t="shared" si="314"/>
        <v>0</v>
      </c>
      <c r="N164" s="1374"/>
      <c r="O164" s="981">
        <f t="shared" si="330"/>
        <v>0</v>
      </c>
      <c r="P164" s="434">
        <f t="shared" si="331"/>
        <v>0</v>
      </c>
      <c r="Q164" s="434">
        <f t="shared" si="332"/>
        <v>0</v>
      </c>
      <c r="R164" s="434">
        <f t="shared" si="333"/>
        <v>0</v>
      </c>
      <c r="S164" s="434">
        <f t="shared" si="334"/>
        <v>0</v>
      </c>
      <c r="T164" s="434">
        <f t="shared" si="335"/>
        <v>0</v>
      </c>
      <c r="U164" s="434">
        <f t="shared" si="336"/>
        <v>0</v>
      </c>
      <c r="V164" s="434">
        <f t="shared" si="337"/>
        <v>0</v>
      </c>
      <c r="W164" s="434">
        <f t="shared" si="284"/>
        <v>0</v>
      </c>
      <c r="X164" s="982">
        <f t="shared" si="285"/>
        <v>0</v>
      </c>
      <c r="Y164" s="1375"/>
      <c r="Z164" s="1376">
        <f t="shared" si="286"/>
        <v>0</v>
      </c>
      <c r="AA164" s="1376">
        <f t="shared" si="287"/>
        <v>0</v>
      </c>
      <c r="AB164" s="1376">
        <f t="shared" si="288"/>
        <v>0</v>
      </c>
      <c r="AC164" s="1376">
        <f t="shared" si="289"/>
        <v>0</v>
      </c>
      <c r="AD164" s="1376">
        <f t="shared" si="290"/>
        <v>0</v>
      </c>
      <c r="AE164" s="1376">
        <f t="shared" si="291"/>
        <v>0</v>
      </c>
      <c r="AF164" s="1376">
        <f t="shared" si="292"/>
        <v>0</v>
      </c>
      <c r="AG164" s="1376">
        <f t="shared" si="293"/>
        <v>0</v>
      </c>
      <c r="AH164" s="1374"/>
      <c r="AI164" s="444">
        <f t="shared" si="338"/>
        <v>0</v>
      </c>
      <c r="AJ164" s="1090"/>
      <c r="AK164" s="1377"/>
      <c r="AL164" s="811">
        <f t="shared" si="295"/>
        <v>46130</v>
      </c>
      <c r="AM164" s="666">
        <f>IFERROR(IF(AND(AT164="",AR164&lt;&gt;S.CAL!$BJ$3,AR164&lt;&gt;S.CAL!$BJ$4,$AR$140="NON"),M164-BD164,IF(AND(AT164="",AR164&lt;&gt;S.CAL!$BJ$3,AR164&lt;&gt;S.CAL!$BJ$4,$AR$140="OUI"),X164-AI164,IF(AT164&lt;&gt;0,AT164,IF(OR(AR164=S.CAL!$BJ$3,AR164=S.CAL!$BJ$4),AR164,"")))),"")</f>
        <v>0</v>
      </c>
      <c r="AN164" s="1093"/>
      <c r="AO164" s="1094"/>
      <c r="AP164" s="666">
        <f>+IF(AND(AU164="",BB164="OUI",BH164="non",BI164="OUI"),AM164,IF(AND(AU164="",BB164="OUI",BH164="oui",BI164="NON"),AM164,IF(AND(AU164="",BB164="NON",BH164="oui",BI164="NON"),M164,IF(AND(AU164="",BB164="NON",BH164="non",BI164="OUI"),M164,IF(AND(AU164="",BB164="OUI",BH164="non",BI164="NON"),"ERREUR",IF(AND(AU164="",BB164="NON",BH164="non",BI164="NON"),AM164,IF(AND(AU164="",BB164="OUI",BH164="",BI164=""),AM164,IF(AND(AU164="",BB164="NON",BH164="",BI164="",AZ164="NON"),M164,IF(AND(AU164="",BH164="",AZ164="OUI",AR164=""),AM164,IF(AND(AU164="",BH164="",AZ164="NON",AR164="",AT164=""),M164,IF(AND(OR(AR164=S.CAL!$BJ$3,AR164=S.CAL!$BJ$4),(VLOOKUP($AM$140,base_nbre_sem_mensu,2,FALSE)=52)),EE164,IF(AND(OR(AR164=S.CAL!$BJ$3,AR164=S.CAL!$BJ$4),(VLOOKUP($AM$140,base_nbre_sem_mensu,2,FALSE)&lt;52)),AM164,IF(AND(AT164&lt;&gt;"",AU164=""),AT164,AU164)))))))))))))</f>
        <v>0</v>
      </c>
      <c r="AQ164" s="1378">
        <f t="shared" si="315"/>
        <v>0</v>
      </c>
      <c r="AR164" s="1098"/>
      <c r="AS164" s="1374"/>
      <c r="AT164" s="1101"/>
      <c r="AU164" s="813"/>
      <c r="AV164" s="1370">
        <f t="shared" si="296"/>
        <v>46130</v>
      </c>
      <c r="AW164" s="1374"/>
      <c r="AX164" s="511">
        <f t="shared" si="316"/>
        <v>46130</v>
      </c>
      <c r="AY164" s="523">
        <f t="shared" si="317"/>
        <v>0</v>
      </c>
      <c r="AZ164" s="520" t="s">
        <v>137</v>
      </c>
      <c r="BA164" s="516">
        <f t="shared" si="318"/>
        <v>0</v>
      </c>
      <c r="BB164" s="549" t="str">
        <f t="shared" si="297"/>
        <v/>
      </c>
      <c r="BC164" s="523">
        <f t="shared" si="319"/>
        <v>0</v>
      </c>
      <c r="BD164" s="523">
        <f t="shared" si="320"/>
        <v>0</v>
      </c>
      <c r="BE164" s="732"/>
      <c r="BF164" s="514" t="str">
        <f t="shared" si="298"/>
        <v/>
      </c>
      <c r="BG164" s="514" t="str">
        <f t="shared" si="321"/>
        <v>oui</v>
      </c>
      <c r="BH164" s="377" t="str">
        <f t="shared" si="299"/>
        <v/>
      </c>
      <c r="BI164" s="24" t="str">
        <f t="shared" si="300"/>
        <v/>
      </c>
      <c r="BJ164" s="1382"/>
      <c r="BK164" s="1382"/>
      <c r="BL164" s="1382"/>
      <c r="BM164" s="1382"/>
      <c r="BN164" s="1382"/>
      <c r="BO164" s="1382"/>
      <c r="BP164" s="1382"/>
      <c r="BQ164" s="1382"/>
      <c r="BR164" s="1383"/>
      <c r="BS164" s="1370">
        <f t="shared" si="267"/>
        <v>46130</v>
      </c>
      <c r="BT164" s="1384" t="str">
        <f t="shared" si="329"/>
        <v/>
      </c>
      <c r="BU164" s="1382"/>
      <c r="BV164" s="1382"/>
      <c r="BW164" s="1382"/>
      <c r="BX164" s="1382"/>
      <c r="BY164" s="1382"/>
      <c r="BZ164" s="1382"/>
      <c r="CA164" s="1382"/>
      <c r="CB164" s="1382"/>
      <c r="CD164" s="1386">
        <f t="shared" si="322"/>
        <v>0</v>
      </c>
      <c r="DC164" s="16" t="str">
        <f>Avril!FC37</f>
        <v>non</v>
      </c>
      <c r="DG164" s="315">
        <f t="shared" si="323"/>
        <v>1</v>
      </c>
      <c r="DH164" s="129">
        <f t="shared" si="301"/>
        <v>10</v>
      </c>
      <c r="DI164" s="129">
        <f t="shared" si="324"/>
        <v>1</v>
      </c>
      <c r="DK164" s="16">
        <f>+IF(AND(Avril!$DP$8&lt;&gt;52,AR164=S.CAL!$BJ$4),10,1)</f>
        <v>1</v>
      </c>
      <c r="DN164" s="16">
        <f t="shared" si="302"/>
        <v>1</v>
      </c>
      <c r="DU164" s="1274" t="str">
        <f t="shared" si="325"/>
        <v>Fiche infoA646130</v>
      </c>
      <c r="DV164" s="1362">
        <f t="shared" si="303"/>
        <v>0</v>
      </c>
      <c r="DW164" s="1363">
        <f t="shared" si="304"/>
        <v>0</v>
      </c>
      <c r="DX164" s="1363">
        <f t="shared" si="305"/>
        <v>0</v>
      </c>
      <c r="DY164" s="1363">
        <f t="shared" si="306"/>
        <v>0</v>
      </c>
      <c r="DZ164" s="1363">
        <f t="shared" si="307"/>
        <v>0</v>
      </c>
      <c r="EA164" s="1363">
        <f t="shared" si="308"/>
        <v>0</v>
      </c>
      <c r="EB164" s="1363">
        <f t="shared" si="309"/>
        <v>0</v>
      </c>
      <c r="EC164" s="1363">
        <f t="shared" si="310"/>
        <v>0</v>
      </c>
      <c r="ED164" s="1363">
        <f t="shared" si="326"/>
        <v>0</v>
      </c>
      <c r="EE164" s="1364">
        <f t="shared" si="327"/>
        <v>0</v>
      </c>
      <c r="EG164" s="16" t="str">
        <f t="shared" si="328"/>
        <v>162026</v>
      </c>
      <c r="EH164" s="16" t="str">
        <f t="shared" si="311"/>
        <v>Fiche infoA6</v>
      </c>
      <c r="EI164" s="16" t="str">
        <f t="shared" si="312"/>
        <v/>
      </c>
    </row>
    <row r="165" spans="1:139" x14ac:dyDescent="0.2">
      <c r="A165" s="24" t="str">
        <f>Avril!BJ38</f>
        <v>Fiche infoA7</v>
      </c>
      <c r="B165" s="811">
        <f>Avril!AB38</f>
        <v>46131</v>
      </c>
      <c r="C165" s="1371"/>
      <c r="D165" s="981">
        <f t="shared" si="268"/>
        <v>0</v>
      </c>
      <c r="E165" s="434">
        <f t="shared" si="269"/>
        <v>0</v>
      </c>
      <c r="F165" s="434">
        <f t="shared" si="270"/>
        <v>0</v>
      </c>
      <c r="G165" s="434">
        <f t="shared" si="271"/>
        <v>0</v>
      </c>
      <c r="H165" s="434">
        <f t="shared" si="272"/>
        <v>0</v>
      </c>
      <c r="I165" s="434">
        <f t="shared" si="273"/>
        <v>0</v>
      </c>
      <c r="J165" s="434">
        <f t="shared" si="274"/>
        <v>0</v>
      </c>
      <c r="K165" s="434">
        <f t="shared" si="275"/>
        <v>0</v>
      </c>
      <c r="L165" s="434">
        <f t="shared" si="313"/>
        <v>0</v>
      </c>
      <c r="M165" s="982">
        <f t="shared" si="314"/>
        <v>0</v>
      </c>
      <c r="O165" s="981">
        <f t="shared" si="330"/>
        <v>0</v>
      </c>
      <c r="P165" s="434">
        <f t="shared" si="331"/>
        <v>0</v>
      </c>
      <c r="Q165" s="434">
        <f t="shared" si="332"/>
        <v>0</v>
      </c>
      <c r="R165" s="434">
        <f t="shared" si="333"/>
        <v>0</v>
      </c>
      <c r="S165" s="434">
        <f t="shared" si="334"/>
        <v>0</v>
      </c>
      <c r="T165" s="434">
        <f t="shared" si="335"/>
        <v>0</v>
      </c>
      <c r="U165" s="434">
        <f t="shared" si="336"/>
        <v>0</v>
      </c>
      <c r="V165" s="434">
        <f t="shared" si="337"/>
        <v>0</v>
      </c>
      <c r="W165" s="434">
        <f t="shared" si="284"/>
        <v>0</v>
      </c>
      <c r="X165" s="982">
        <f t="shared" si="285"/>
        <v>0</v>
      </c>
      <c r="Y165" s="441"/>
      <c r="Z165" s="277">
        <f t="shared" si="286"/>
        <v>0</v>
      </c>
      <c r="AA165" s="277">
        <f t="shared" si="287"/>
        <v>0</v>
      </c>
      <c r="AB165" s="277">
        <f t="shared" si="288"/>
        <v>0</v>
      </c>
      <c r="AC165" s="277">
        <f t="shared" si="289"/>
        <v>0</v>
      </c>
      <c r="AD165" s="277">
        <f t="shared" si="290"/>
        <v>0</v>
      </c>
      <c r="AE165" s="277">
        <f t="shared" si="291"/>
        <v>0</v>
      </c>
      <c r="AF165" s="277">
        <f t="shared" si="292"/>
        <v>0</v>
      </c>
      <c r="AG165" s="277">
        <f t="shared" si="293"/>
        <v>0</v>
      </c>
      <c r="AI165" s="444">
        <f t="shared" si="338"/>
        <v>0</v>
      </c>
      <c r="AJ165" s="1090"/>
      <c r="AK165" s="489"/>
      <c r="AL165" s="811">
        <f t="shared" si="295"/>
        <v>46131</v>
      </c>
      <c r="AM165" s="666">
        <f>IFERROR(IF(AND(AT165="",AR165&lt;&gt;S.CAL!$BJ$3,AR165&lt;&gt;S.CAL!$BJ$4,$AR$140="NON"),M165-BD165,IF(AND(AT165="",AR165&lt;&gt;S.CAL!$BJ$3,AR165&lt;&gt;S.CAL!$BJ$4,$AR$140="OUI"),X165-AI165,IF(AT165&lt;&gt;0,AT165,IF(OR(AR165=S.CAL!$BJ$3,AR165=S.CAL!$BJ$4),AR165,"")))),"")</f>
        <v>0</v>
      </c>
      <c r="AN165" s="1093"/>
      <c r="AO165" s="1094"/>
      <c r="AP165" s="666">
        <f>+IF(AND(AU165="",BB165="OUI",BH165="non",BI165="OUI"),AM165,IF(AND(AU165="",BB165="OUI",BH165="oui",BI165="NON"),AM165,IF(AND(AU165="",BB165="NON",BH165="oui",BI165="NON"),M165,IF(AND(AU165="",BB165="NON",BH165="non",BI165="OUI"),M165,IF(AND(AU165="",BB165="OUI",BH165="non",BI165="NON"),"ERREUR",IF(AND(AU165="",BB165="NON",BH165="non",BI165="NON"),AM165,IF(AND(AU165="",BB165="OUI",BH165="",BI165=""),AM165,IF(AND(AU165="",BB165="NON",BH165="",BI165="",AZ165="NON"),M165,IF(AND(AU165="",BH165="",AZ165="OUI",AR165=""),AM165,IF(AND(AU165="",BH165="",AZ165="NON",AR165="",AT165=""),M165,IF(AND(OR(AR165=S.CAL!$BJ$3,AR165=S.CAL!$BJ$4),(VLOOKUP($AM$140,base_nbre_sem_mensu,2,FALSE)=52)),EE165,IF(AND(OR(AR165=S.CAL!$BJ$3,AR165=S.CAL!$BJ$4),(VLOOKUP($AM$140,base_nbre_sem_mensu,2,FALSE)&lt;52)),AM165,IF(AND(AT165&lt;&gt;"",AU165=""),AT165,AU165)))))))))))))</f>
        <v>0</v>
      </c>
      <c r="AQ165" s="498">
        <f t="shared" si="315"/>
        <v>0</v>
      </c>
      <c r="AR165" s="1098"/>
      <c r="AT165" s="1101"/>
      <c r="AU165" s="813"/>
      <c r="AV165" s="1370">
        <f t="shared" si="296"/>
        <v>46131</v>
      </c>
      <c r="AX165" s="511">
        <f t="shared" si="316"/>
        <v>46131</v>
      </c>
      <c r="AY165" s="523">
        <f t="shared" si="317"/>
        <v>0</v>
      </c>
      <c r="AZ165" s="520" t="s">
        <v>137</v>
      </c>
      <c r="BA165" s="516">
        <f t="shared" si="318"/>
        <v>0</v>
      </c>
      <c r="BB165" s="549" t="str">
        <f t="shared" si="297"/>
        <v/>
      </c>
      <c r="BC165" s="523">
        <f t="shared" si="319"/>
        <v>0</v>
      </c>
      <c r="BD165" s="523">
        <f t="shared" si="320"/>
        <v>0</v>
      </c>
      <c r="BE165" s="732"/>
      <c r="BF165" s="514" t="str">
        <f t="shared" si="298"/>
        <v/>
      </c>
      <c r="BG165" s="514" t="str">
        <f t="shared" si="321"/>
        <v>oui</v>
      </c>
      <c r="BH165" s="377" t="str">
        <f t="shared" si="299"/>
        <v/>
      </c>
      <c r="BI165" s="24" t="str">
        <f t="shared" si="300"/>
        <v/>
      </c>
      <c r="BJ165" s="1381"/>
      <c r="BK165" s="1381"/>
      <c r="BL165" s="1381"/>
      <c r="BM165" s="1381"/>
      <c r="BN165" s="1381"/>
      <c r="BO165" s="1381"/>
      <c r="BP165" s="1381"/>
      <c r="BQ165" s="1381"/>
      <c r="BS165" s="1370">
        <f t="shared" si="267"/>
        <v>46131</v>
      </c>
      <c r="BT165" s="27" t="str">
        <f t="shared" si="329"/>
        <v/>
      </c>
      <c r="BU165" s="1380"/>
      <c r="BV165" s="1380"/>
      <c r="BW165" s="1380"/>
      <c r="BX165" s="1380"/>
      <c r="BY165" s="1380"/>
      <c r="BZ165" s="1380"/>
      <c r="CA165" s="1380"/>
      <c r="CB165" s="1380"/>
      <c r="CD165" s="1386">
        <f t="shared" si="322"/>
        <v>0</v>
      </c>
      <c r="DC165" s="16" t="str">
        <f>Avril!FC38</f>
        <v>non</v>
      </c>
      <c r="DG165" s="315">
        <f t="shared" si="323"/>
        <v>1</v>
      </c>
      <c r="DH165" s="129">
        <f t="shared" si="301"/>
        <v>10</v>
      </c>
      <c r="DI165" s="129">
        <f t="shared" si="324"/>
        <v>1</v>
      </c>
      <c r="DK165" s="16">
        <f>+IF(AND(Avril!$DP$8&lt;&gt;52,AR165=S.CAL!$BJ$4),10,1)</f>
        <v>1</v>
      </c>
      <c r="DN165" s="16">
        <f t="shared" si="302"/>
        <v>1</v>
      </c>
      <c r="DU165" s="1274" t="str">
        <f t="shared" si="325"/>
        <v>Fiche infoA746131</v>
      </c>
      <c r="DV165" s="1362">
        <f t="shared" si="303"/>
        <v>0</v>
      </c>
      <c r="DW165" s="1363">
        <f t="shared" si="304"/>
        <v>0</v>
      </c>
      <c r="DX165" s="1363">
        <f t="shared" si="305"/>
        <v>0</v>
      </c>
      <c r="DY165" s="1363">
        <f t="shared" si="306"/>
        <v>0</v>
      </c>
      <c r="DZ165" s="1363">
        <f t="shared" si="307"/>
        <v>0</v>
      </c>
      <c r="EA165" s="1363">
        <f t="shared" si="308"/>
        <v>0</v>
      </c>
      <c r="EB165" s="1363">
        <f t="shared" si="309"/>
        <v>0</v>
      </c>
      <c r="EC165" s="1363">
        <f t="shared" si="310"/>
        <v>0</v>
      </c>
      <c r="ED165" s="1363">
        <f t="shared" si="326"/>
        <v>0</v>
      </c>
      <c r="EE165" s="1364">
        <f t="shared" si="327"/>
        <v>0</v>
      </c>
      <c r="EG165" s="16" t="str">
        <f t="shared" si="328"/>
        <v>162026</v>
      </c>
      <c r="EH165" s="16" t="str">
        <f t="shared" si="311"/>
        <v>Fiche infoA7</v>
      </c>
      <c r="EI165" s="16" t="str">
        <f t="shared" si="312"/>
        <v/>
      </c>
    </row>
    <row r="166" spans="1:139" x14ac:dyDescent="0.2">
      <c r="A166" s="1373" t="str">
        <f>Avril!BJ39</f>
        <v>Fiche infoA1</v>
      </c>
      <c r="B166" s="811">
        <f>Avril!AB39</f>
        <v>46132</v>
      </c>
      <c r="C166" s="1372"/>
      <c r="D166" s="981">
        <f t="shared" si="268"/>
        <v>0</v>
      </c>
      <c r="E166" s="434">
        <f t="shared" si="269"/>
        <v>0</v>
      </c>
      <c r="F166" s="434">
        <f t="shared" si="270"/>
        <v>0</v>
      </c>
      <c r="G166" s="434">
        <f t="shared" si="271"/>
        <v>0</v>
      </c>
      <c r="H166" s="434">
        <f t="shared" si="272"/>
        <v>0</v>
      </c>
      <c r="I166" s="434">
        <f t="shared" si="273"/>
        <v>0</v>
      </c>
      <c r="J166" s="434">
        <f t="shared" si="274"/>
        <v>0</v>
      </c>
      <c r="K166" s="434">
        <f t="shared" si="275"/>
        <v>0</v>
      </c>
      <c r="L166" s="434">
        <f t="shared" si="313"/>
        <v>0</v>
      </c>
      <c r="M166" s="982">
        <f t="shared" si="314"/>
        <v>0</v>
      </c>
      <c r="N166" s="1374"/>
      <c r="O166" s="981">
        <f t="shared" si="330"/>
        <v>0</v>
      </c>
      <c r="P166" s="434">
        <f t="shared" si="331"/>
        <v>0</v>
      </c>
      <c r="Q166" s="434">
        <f t="shared" si="332"/>
        <v>0</v>
      </c>
      <c r="R166" s="434">
        <f t="shared" si="333"/>
        <v>0</v>
      </c>
      <c r="S166" s="434">
        <f t="shared" si="334"/>
        <v>0</v>
      </c>
      <c r="T166" s="434">
        <f t="shared" si="335"/>
        <v>0</v>
      </c>
      <c r="U166" s="434">
        <f t="shared" si="336"/>
        <v>0</v>
      </c>
      <c r="V166" s="434">
        <f t="shared" si="337"/>
        <v>0</v>
      </c>
      <c r="W166" s="434">
        <f t="shared" si="284"/>
        <v>0</v>
      </c>
      <c r="X166" s="982">
        <f t="shared" si="285"/>
        <v>0</v>
      </c>
      <c r="Y166" s="1375"/>
      <c r="Z166" s="1376">
        <f t="shared" si="286"/>
        <v>0</v>
      </c>
      <c r="AA166" s="1376">
        <f t="shared" si="287"/>
        <v>0</v>
      </c>
      <c r="AB166" s="1376">
        <f t="shared" si="288"/>
        <v>0</v>
      </c>
      <c r="AC166" s="1376">
        <f t="shared" si="289"/>
        <v>0</v>
      </c>
      <c r="AD166" s="1376">
        <f t="shared" si="290"/>
        <v>0</v>
      </c>
      <c r="AE166" s="1376">
        <f t="shared" si="291"/>
        <v>0</v>
      </c>
      <c r="AF166" s="1376">
        <f t="shared" si="292"/>
        <v>0</v>
      </c>
      <c r="AG166" s="1376">
        <f t="shared" si="293"/>
        <v>0</v>
      </c>
      <c r="AH166" s="1374"/>
      <c r="AI166" s="444">
        <f t="shared" si="338"/>
        <v>0</v>
      </c>
      <c r="AJ166" s="1090"/>
      <c r="AK166" s="1377"/>
      <c r="AL166" s="811">
        <f t="shared" si="295"/>
        <v>46132</v>
      </c>
      <c r="AM166" s="666">
        <f>IFERROR(IF(AND(AT166="",AR166&lt;&gt;S.CAL!$BJ$3,AR166&lt;&gt;S.CAL!$BJ$4,$AR$140="NON"),M166-BD166,IF(AND(AT166="",AR166&lt;&gt;S.CAL!$BJ$3,AR166&lt;&gt;S.CAL!$BJ$4,$AR$140="OUI"),X166-AI166,IF(AT166&lt;&gt;0,AT166,IF(OR(AR166=S.CAL!$BJ$3,AR166=S.CAL!$BJ$4),AR166,"")))),"")</f>
        <v>0</v>
      </c>
      <c r="AN166" s="1093"/>
      <c r="AO166" s="1094"/>
      <c r="AP166" s="666">
        <f>+IF(AND(AU166="",BB166="OUI",BH166="non",BI166="OUI"),AM166,IF(AND(AU166="",BB166="OUI",BH166="oui",BI166="NON"),AM166,IF(AND(AU166="",BB166="NON",BH166="oui",BI166="NON"),M166,IF(AND(AU166="",BB166="NON",BH166="non",BI166="OUI"),M166,IF(AND(AU166="",BB166="OUI",BH166="non",BI166="NON"),"ERREUR",IF(AND(AU166="",BB166="NON",BH166="non",BI166="NON"),AM166,IF(AND(AU166="",BB166="OUI",BH166="",BI166=""),AM166,IF(AND(AU166="",BB166="NON",BH166="",BI166="",AZ166="NON"),M166,IF(AND(AU166="",BH166="",AZ166="OUI",AR166=""),AM166,IF(AND(AU166="",BH166="",AZ166="NON",AR166="",AT166=""),M166,IF(AND(OR(AR166=S.CAL!$BJ$3,AR166=S.CAL!$BJ$4),(VLOOKUP($AM$140,base_nbre_sem_mensu,2,FALSE)=52)),EE166,IF(AND(OR(AR166=S.CAL!$BJ$3,AR166=S.CAL!$BJ$4),(VLOOKUP($AM$140,base_nbre_sem_mensu,2,FALSE)&lt;52)),AM166,IF(AND(AT166&lt;&gt;"",AU166=""),AT166,AU166)))))))))))))</f>
        <v>0</v>
      </c>
      <c r="AQ166" s="1378">
        <f t="shared" si="315"/>
        <v>0</v>
      </c>
      <c r="AR166" s="1098"/>
      <c r="AS166" s="1374"/>
      <c r="AT166" s="1101"/>
      <c r="AU166" s="813"/>
      <c r="AV166" s="1370">
        <f t="shared" si="296"/>
        <v>46132</v>
      </c>
      <c r="AW166" s="1374"/>
      <c r="AX166" s="511">
        <f t="shared" si="316"/>
        <v>46132</v>
      </c>
      <c r="AY166" s="523">
        <f t="shared" si="317"/>
        <v>0</v>
      </c>
      <c r="AZ166" s="520" t="s">
        <v>137</v>
      </c>
      <c r="BA166" s="516">
        <f t="shared" si="318"/>
        <v>0</v>
      </c>
      <c r="BB166" s="549" t="str">
        <f t="shared" si="297"/>
        <v/>
      </c>
      <c r="BC166" s="523">
        <f t="shared" si="319"/>
        <v>0</v>
      </c>
      <c r="BD166" s="523">
        <f t="shared" si="320"/>
        <v>0</v>
      </c>
      <c r="BE166" s="732"/>
      <c r="BF166" s="514" t="str">
        <f t="shared" si="298"/>
        <v/>
      </c>
      <c r="BG166" s="514" t="str">
        <f t="shared" si="321"/>
        <v>oui</v>
      </c>
      <c r="BH166" s="377" t="str">
        <f t="shared" si="299"/>
        <v/>
      </c>
      <c r="BI166" s="24" t="str">
        <f t="shared" si="300"/>
        <v/>
      </c>
      <c r="BJ166" s="1382"/>
      <c r="BK166" s="1382"/>
      <c r="BL166" s="1382"/>
      <c r="BM166" s="1382"/>
      <c r="BN166" s="1382"/>
      <c r="BO166" s="1382"/>
      <c r="BP166" s="1382"/>
      <c r="BQ166" s="1382"/>
      <c r="BR166" s="1383"/>
      <c r="BS166" s="1370">
        <f t="shared" si="267"/>
        <v>46132</v>
      </c>
      <c r="BT166" s="1384">
        <f t="shared" si="329"/>
        <v>17</v>
      </c>
      <c r="BU166" s="1382"/>
      <c r="BV166" s="1382"/>
      <c r="BW166" s="1382"/>
      <c r="BX166" s="1382"/>
      <c r="BY166" s="1382"/>
      <c r="BZ166" s="1382"/>
      <c r="CA166" s="1382"/>
      <c r="CB166" s="1382"/>
      <c r="CD166" s="1386">
        <f t="shared" si="322"/>
        <v>0</v>
      </c>
      <c r="DC166" s="16" t="str">
        <f>Avril!FC39</f>
        <v>non</v>
      </c>
      <c r="DG166" s="315">
        <f t="shared" si="323"/>
        <v>1</v>
      </c>
      <c r="DH166" s="129">
        <f t="shared" si="301"/>
        <v>10</v>
      </c>
      <c r="DI166" s="129">
        <f t="shared" si="324"/>
        <v>1</v>
      </c>
      <c r="DK166" s="16">
        <f>+IF(AND(Avril!$DP$8&lt;&gt;52,AR166=S.CAL!$BJ$4),10,1)</f>
        <v>1</v>
      </c>
      <c r="DN166" s="16">
        <f t="shared" si="302"/>
        <v>1</v>
      </c>
      <c r="DU166" s="1274" t="str">
        <f t="shared" si="325"/>
        <v>Fiche infoA146132</v>
      </c>
      <c r="DV166" s="1362">
        <f t="shared" si="303"/>
        <v>0</v>
      </c>
      <c r="DW166" s="1363">
        <f t="shared" si="304"/>
        <v>0</v>
      </c>
      <c r="DX166" s="1363">
        <f t="shared" si="305"/>
        <v>0</v>
      </c>
      <c r="DY166" s="1363">
        <f t="shared" si="306"/>
        <v>0</v>
      </c>
      <c r="DZ166" s="1363">
        <f t="shared" si="307"/>
        <v>0</v>
      </c>
      <c r="EA166" s="1363">
        <f t="shared" si="308"/>
        <v>0</v>
      </c>
      <c r="EB166" s="1363">
        <f t="shared" si="309"/>
        <v>0</v>
      </c>
      <c r="EC166" s="1363">
        <f t="shared" si="310"/>
        <v>0</v>
      </c>
      <c r="ED166" s="1363">
        <f t="shared" si="326"/>
        <v>0</v>
      </c>
      <c r="EE166" s="1364">
        <f t="shared" si="327"/>
        <v>0</v>
      </c>
      <c r="EG166" s="16" t="str">
        <f t="shared" si="328"/>
        <v>172026</v>
      </c>
      <c r="EH166" s="16" t="str">
        <f t="shared" si="311"/>
        <v>Fiche infoA1</v>
      </c>
      <c r="EI166" s="16" t="str">
        <f t="shared" si="312"/>
        <v/>
      </c>
    </row>
    <row r="167" spans="1:139" x14ac:dyDescent="0.2">
      <c r="A167" s="24" t="str">
        <f>Avril!BJ40</f>
        <v>Fiche infoA2</v>
      </c>
      <c r="B167" s="811">
        <f>Avril!AB40</f>
        <v>46133</v>
      </c>
      <c r="C167" s="1371"/>
      <c r="D167" s="981">
        <f t="shared" si="268"/>
        <v>0</v>
      </c>
      <c r="E167" s="434">
        <f t="shared" si="269"/>
        <v>0</v>
      </c>
      <c r="F167" s="434">
        <f t="shared" si="270"/>
        <v>0</v>
      </c>
      <c r="G167" s="434">
        <f t="shared" si="271"/>
        <v>0</v>
      </c>
      <c r="H167" s="434">
        <f t="shared" si="272"/>
        <v>0</v>
      </c>
      <c r="I167" s="434">
        <f t="shared" si="273"/>
        <v>0</v>
      </c>
      <c r="J167" s="434">
        <f t="shared" si="274"/>
        <v>0</v>
      </c>
      <c r="K167" s="434">
        <f t="shared" si="275"/>
        <v>0</v>
      </c>
      <c r="L167" s="434">
        <f t="shared" si="313"/>
        <v>0</v>
      </c>
      <c r="M167" s="982">
        <f t="shared" si="314"/>
        <v>0</v>
      </c>
      <c r="O167" s="981">
        <f t="shared" si="330"/>
        <v>0</v>
      </c>
      <c r="P167" s="434">
        <f t="shared" si="331"/>
        <v>0</v>
      </c>
      <c r="Q167" s="434">
        <f t="shared" si="332"/>
        <v>0</v>
      </c>
      <c r="R167" s="434">
        <f t="shared" si="333"/>
        <v>0</v>
      </c>
      <c r="S167" s="434">
        <f t="shared" si="334"/>
        <v>0</v>
      </c>
      <c r="T167" s="434">
        <f t="shared" si="335"/>
        <v>0</v>
      </c>
      <c r="U167" s="434">
        <f t="shared" si="336"/>
        <v>0</v>
      </c>
      <c r="V167" s="434">
        <f t="shared" si="337"/>
        <v>0</v>
      </c>
      <c r="W167" s="434">
        <f t="shared" si="284"/>
        <v>0</v>
      </c>
      <c r="X167" s="982">
        <f t="shared" si="285"/>
        <v>0</v>
      </c>
      <c r="Y167" s="441"/>
      <c r="Z167" s="277">
        <f t="shared" si="286"/>
        <v>0</v>
      </c>
      <c r="AA167" s="277">
        <f t="shared" si="287"/>
        <v>0</v>
      </c>
      <c r="AB167" s="277">
        <f t="shared" si="288"/>
        <v>0</v>
      </c>
      <c r="AC167" s="277">
        <f t="shared" si="289"/>
        <v>0</v>
      </c>
      <c r="AD167" s="277">
        <f t="shared" si="290"/>
        <v>0</v>
      </c>
      <c r="AE167" s="277">
        <f t="shared" si="291"/>
        <v>0</v>
      </c>
      <c r="AF167" s="277">
        <f t="shared" si="292"/>
        <v>0</v>
      </c>
      <c r="AG167" s="277">
        <f t="shared" si="293"/>
        <v>0</v>
      </c>
      <c r="AI167" s="444">
        <f t="shared" si="338"/>
        <v>0</v>
      </c>
      <c r="AJ167" s="1090"/>
      <c r="AK167" s="489"/>
      <c r="AL167" s="811">
        <f t="shared" si="295"/>
        <v>46133</v>
      </c>
      <c r="AM167" s="666">
        <f>IFERROR(IF(AND(AT167="",AR167&lt;&gt;S.CAL!$BJ$3,AR167&lt;&gt;S.CAL!$BJ$4,$AR$140="NON"),M167-BD167,IF(AND(AT167="",AR167&lt;&gt;S.CAL!$BJ$3,AR167&lt;&gt;S.CAL!$BJ$4,$AR$140="OUI"),X167-AI167,IF(AT167&lt;&gt;0,AT167,IF(OR(AR167=S.CAL!$BJ$3,AR167=S.CAL!$BJ$4),AR167,"")))),"")</f>
        <v>0</v>
      </c>
      <c r="AN167" s="1093"/>
      <c r="AO167" s="1094"/>
      <c r="AP167" s="666">
        <f>+IF(AND(AU167="",BB167="OUI",BH167="non",BI167="OUI"),AM167,IF(AND(AU167="",BB167="OUI",BH167="oui",BI167="NON"),AM167,IF(AND(AU167="",BB167="NON",BH167="oui",BI167="NON"),M167,IF(AND(AU167="",BB167="NON",BH167="non",BI167="OUI"),M167,IF(AND(AU167="",BB167="OUI",BH167="non",BI167="NON"),"ERREUR",IF(AND(AU167="",BB167="NON",BH167="non",BI167="NON"),AM167,IF(AND(AU167="",BB167="OUI",BH167="",BI167=""),AM167,IF(AND(AU167="",BB167="NON",BH167="",BI167="",AZ167="NON"),M167,IF(AND(AU167="",BH167="",AZ167="OUI",AR167=""),AM167,IF(AND(AU167="",BH167="",AZ167="NON",AR167="",AT167=""),M167,IF(AND(OR(AR167=S.CAL!$BJ$3,AR167=S.CAL!$BJ$4),(VLOOKUP($AM$140,base_nbre_sem_mensu,2,FALSE)=52)),EE167,IF(AND(OR(AR167=S.CAL!$BJ$3,AR167=S.CAL!$BJ$4),(VLOOKUP($AM$140,base_nbre_sem_mensu,2,FALSE)&lt;52)),AM167,IF(AND(AT167&lt;&gt;"",AU167=""),AT167,AU167)))))))))))))</f>
        <v>0</v>
      </c>
      <c r="AQ167" s="498">
        <f t="shared" si="315"/>
        <v>0</v>
      </c>
      <c r="AR167" s="1098"/>
      <c r="AT167" s="1101"/>
      <c r="AU167" s="813"/>
      <c r="AV167" s="1370">
        <f t="shared" si="296"/>
        <v>46133</v>
      </c>
      <c r="AX167" s="511">
        <f t="shared" si="316"/>
        <v>46133</v>
      </c>
      <c r="AY167" s="523">
        <f t="shared" si="317"/>
        <v>0</v>
      </c>
      <c r="AZ167" s="520" t="s">
        <v>137</v>
      </c>
      <c r="BA167" s="516">
        <f t="shared" si="318"/>
        <v>0</v>
      </c>
      <c r="BB167" s="549" t="str">
        <f t="shared" si="297"/>
        <v/>
      </c>
      <c r="BC167" s="523">
        <f t="shared" si="319"/>
        <v>0</v>
      </c>
      <c r="BD167" s="523">
        <f t="shared" si="320"/>
        <v>0</v>
      </c>
      <c r="BE167" s="732"/>
      <c r="BF167" s="514" t="str">
        <f t="shared" si="298"/>
        <v/>
      </c>
      <c r="BG167" s="514" t="str">
        <f t="shared" si="321"/>
        <v>oui</v>
      </c>
      <c r="BH167" s="377" t="str">
        <f t="shared" si="299"/>
        <v/>
      </c>
      <c r="BI167" s="24" t="str">
        <f t="shared" si="300"/>
        <v/>
      </c>
      <c r="BJ167" s="1381"/>
      <c r="BK167" s="1381"/>
      <c r="BL167" s="1381"/>
      <c r="BM167" s="1381"/>
      <c r="BN167" s="1381"/>
      <c r="BO167" s="1381"/>
      <c r="BP167" s="1381"/>
      <c r="BQ167" s="1381"/>
      <c r="BS167" s="1370">
        <f t="shared" si="267"/>
        <v>46133</v>
      </c>
      <c r="BT167" s="27" t="str">
        <f t="shared" si="329"/>
        <v/>
      </c>
      <c r="BU167" s="1380"/>
      <c r="BV167" s="1380"/>
      <c r="BW167" s="1380"/>
      <c r="BX167" s="1380"/>
      <c r="BY167" s="1380"/>
      <c r="BZ167" s="1380"/>
      <c r="CA167" s="1380"/>
      <c r="CB167" s="1380"/>
      <c r="CD167" s="1386">
        <f t="shared" si="322"/>
        <v>0</v>
      </c>
      <c r="DC167" s="16" t="str">
        <f>Avril!FC40</f>
        <v>non</v>
      </c>
      <c r="DG167" s="315">
        <f t="shared" si="323"/>
        <v>1</v>
      </c>
      <c r="DH167" s="129">
        <f t="shared" si="301"/>
        <v>10</v>
      </c>
      <c r="DI167" s="129">
        <f t="shared" si="324"/>
        <v>1</v>
      </c>
      <c r="DK167" s="16">
        <f>+IF(AND(Avril!$DP$8&lt;&gt;52,AR167=S.CAL!$BJ$4),10,1)</f>
        <v>1</v>
      </c>
      <c r="DN167" s="16">
        <f t="shared" si="302"/>
        <v>1</v>
      </c>
      <c r="DU167" s="1274" t="str">
        <f t="shared" si="325"/>
        <v>Fiche infoA246133</v>
      </c>
      <c r="DV167" s="1362">
        <f t="shared" si="303"/>
        <v>0</v>
      </c>
      <c r="DW167" s="1363">
        <f t="shared" si="304"/>
        <v>0</v>
      </c>
      <c r="DX167" s="1363">
        <f t="shared" si="305"/>
        <v>0</v>
      </c>
      <c r="DY167" s="1363">
        <f t="shared" si="306"/>
        <v>0</v>
      </c>
      <c r="DZ167" s="1363">
        <f t="shared" si="307"/>
        <v>0</v>
      </c>
      <c r="EA167" s="1363">
        <f t="shared" si="308"/>
        <v>0</v>
      </c>
      <c r="EB167" s="1363">
        <f t="shared" si="309"/>
        <v>0</v>
      </c>
      <c r="EC167" s="1363">
        <f t="shared" si="310"/>
        <v>0</v>
      </c>
      <c r="ED167" s="1363">
        <f t="shared" si="326"/>
        <v>0</v>
      </c>
      <c r="EE167" s="1364">
        <f t="shared" si="327"/>
        <v>0</v>
      </c>
      <c r="EG167" s="16" t="str">
        <f t="shared" si="328"/>
        <v>172026</v>
      </c>
      <c r="EH167" s="16" t="str">
        <f t="shared" si="311"/>
        <v>Fiche infoA2</v>
      </c>
      <c r="EI167" s="16" t="str">
        <f t="shared" si="312"/>
        <v/>
      </c>
    </row>
    <row r="168" spans="1:139" x14ac:dyDescent="0.2">
      <c r="A168" s="1373" t="str">
        <f>Avril!BJ41</f>
        <v>Fiche infoA3</v>
      </c>
      <c r="B168" s="811">
        <f>Avril!AB41</f>
        <v>46134</v>
      </c>
      <c r="C168" s="1372"/>
      <c r="D168" s="981">
        <f t="shared" si="268"/>
        <v>0</v>
      </c>
      <c r="E168" s="434">
        <f t="shared" si="269"/>
        <v>0</v>
      </c>
      <c r="F168" s="434">
        <f t="shared" si="270"/>
        <v>0</v>
      </c>
      <c r="G168" s="434">
        <f t="shared" si="271"/>
        <v>0</v>
      </c>
      <c r="H168" s="434">
        <f t="shared" si="272"/>
        <v>0</v>
      </c>
      <c r="I168" s="434">
        <f t="shared" si="273"/>
        <v>0</v>
      </c>
      <c r="J168" s="434">
        <f t="shared" si="274"/>
        <v>0</v>
      </c>
      <c r="K168" s="434">
        <f t="shared" si="275"/>
        <v>0</v>
      </c>
      <c r="L168" s="434">
        <f t="shared" si="313"/>
        <v>0</v>
      </c>
      <c r="M168" s="982">
        <f t="shared" si="314"/>
        <v>0</v>
      </c>
      <c r="N168" s="1374"/>
      <c r="O168" s="981">
        <f t="shared" si="330"/>
        <v>0</v>
      </c>
      <c r="P168" s="434">
        <f t="shared" si="331"/>
        <v>0</v>
      </c>
      <c r="Q168" s="434">
        <f t="shared" si="332"/>
        <v>0</v>
      </c>
      <c r="R168" s="434">
        <f t="shared" si="333"/>
        <v>0</v>
      </c>
      <c r="S168" s="434">
        <f t="shared" si="334"/>
        <v>0</v>
      </c>
      <c r="T168" s="434">
        <f t="shared" si="335"/>
        <v>0</v>
      </c>
      <c r="U168" s="434">
        <f t="shared" si="336"/>
        <v>0</v>
      </c>
      <c r="V168" s="434">
        <f t="shared" si="337"/>
        <v>0</v>
      </c>
      <c r="W168" s="434">
        <f t="shared" si="284"/>
        <v>0</v>
      </c>
      <c r="X168" s="982">
        <f t="shared" si="285"/>
        <v>0</v>
      </c>
      <c r="Y168" s="1375"/>
      <c r="Z168" s="1376">
        <f t="shared" si="286"/>
        <v>0</v>
      </c>
      <c r="AA168" s="1376">
        <f t="shared" si="287"/>
        <v>0</v>
      </c>
      <c r="AB168" s="1376">
        <f t="shared" si="288"/>
        <v>0</v>
      </c>
      <c r="AC168" s="1376">
        <f t="shared" si="289"/>
        <v>0</v>
      </c>
      <c r="AD168" s="1376">
        <f t="shared" si="290"/>
        <v>0</v>
      </c>
      <c r="AE168" s="1376">
        <f t="shared" si="291"/>
        <v>0</v>
      </c>
      <c r="AF168" s="1376">
        <f t="shared" si="292"/>
        <v>0</v>
      </c>
      <c r="AG168" s="1376">
        <f t="shared" si="293"/>
        <v>0</v>
      </c>
      <c r="AH168" s="1374"/>
      <c r="AI168" s="444">
        <f t="shared" si="338"/>
        <v>0</v>
      </c>
      <c r="AJ168" s="1090"/>
      <c r="AK168" s="1377"/>
      <c r="AL168" s="811">
        <f t="shared" si="295"/>
        <v>46134</v>
      </c>
      <c r="AM168" s="666">
        <f>IFERROR(IF(AND(AT168="",AR168&lt;&gt;S.CAL!$BJ$3,AR168&lt;&gt;S.CAL!$BJ$4,$AR$140="NON"),M168-BD168,IF(AND(AT168="",AR168&lt;&gt;S.CAL!$BJ$3,AR168&lt;&gt;S.CAL!$BJ$4,$AR$140="OUI"),X168-AI168,IF(AT168&lt;&gt;0,AT168,IF(OR(AR168=S.CAL!$BJ$3,AR168=S.CAL!$BJ$4),AR168,"")))),"")</f>
        <v>0</v>
      </c>
      <c r="AN168" s="1093"/>
      <c r="AO168" s="1094"/>
      <c r="AP168" s="666">
        <f>+IF(AND(AU168="",BB168="OUI",BH168="non",BI168="OUI"),AM168,IF(AND(AU168="",BB168="OUI",BH168="oui",BI168="NON"),AM168,IF(AND(AU168="",BB168="NON",BH168="oui",BI168="NON"),M168,IF(AND(AU168="",BB168="NON",BH168="non",BI168="OUI"),M168,IF(AND(AU168="",BB168="OUI",BH168="non",BI168="NON"),"ERREUR",IF(AND(AU168="",BB168="NON",BH168="non",BI168="NON"),AM168,IF(AND(AU168="",BB168="OUI",BH168="",BI168=""),AM168,IF(AND(AU168="",BB168="NON",BH168="",BI168="",AZ168="NON"),M168,IF(AND(AU168="",BH168="",AZ168="OUI",AR168=""),AM168,IF(AND(AU168="",BH168="",AZ168="NON",AR168="",AT168=""),M168,IF(AND(OR(AR168=S.CAL!$BJ$3,AR168=S.CAL!$BJ$4),(VLOOKUP($AM$140,base_nbre_sem_mensu,2,FALSE)=52)),EE168,IF(AND(OR(AR168=S.CAL!$BJ$3,AR168=S.CAL!$BJ$4),(VLOOKUP($AM$140,base_nbre_sem_mensu,2,FALSE)&lt;52)),AM168,IF(AND(AT168&lt;&gt;"",AU168=""),AT168,AU168)))))))))))))</f>
        <v>0</v>
      </c>
      <c r="AQ168" s="1378">
        <f t="shared" si="315"/>
        <v>0</v>
      </c>
      <c r="AR168" s="1098"/>
      <c r="AS168" s="1374"/>
      <c r="AT168" s="1101"/>
      <c r="AU168" s="813"/>
      <c r="AV168" s="1370">
        <f t="shared" si="296"/>
        <v>46134</v>
      </c>
      <c r="AW168" s="1374"/>
      <c r="AX168" s="511">
        <f t="shared" si="316"/>
        <v>46134</v>
      </c>
      <c r="AY168" s="523">
        <f t="shared" si="317"/>
        <v>0</v>
      </c>
      <c r="AZ168" s="520" t="s">
        <v>137</v>
      </c>
      <c r="BA168" s="516">
        <f t="shared" si="318"/>
        <v>0</v>
      </c>
      <c r="BB168" s="549" t="str">
        <f t="shared" si="297"/>
        <v/>
      </c>
      <c r="BC168" s="523">
        <f t="shared" si="319"/>
        <v>0</v>
      </c>
      <c r="BD168" s="523">
        <f t="shared" si="320"/>
        <v>0</v>
      </c>
      <c r="BE168" s="732"/>
      <c r="BF168" s="514" t="str">
        <f t="shared" si="298"/>
        <v/>
      </c>
      <c r="BG168" s="514" t="str">
        <f t="shared" si="321"/>
        <v>oui</v>
      </c>
      <c r="BH168" s="377" t="str">
        <f t="shared" si="299"/>
        <v/>
      </c>
      <c r="BI168" s="24" t="str">
        <f t="shared" si="300"/>
        <v/>
      </c>
      <c r="BJ168" s="1382"/>
      <c r="BK168" s="1382"/>
      <c r="BL168" s="1382"/>
      <c r="BM168" s="1382"/>
      <c r="BN168" s="1382"/>
      <c r="BO168" s="1382"/>
      <c r="BP168" s="1382"/>
      <c r="BQ168" s="1382"/>
      <c r="BR168" s="1383"/>
      <c r="BS168" s="1370">
        <f t="shared" si="267"/>
        <v>46134</v>
      </c>
      <c r="BT168" s="1384" t="str">
        <f t="shared" si="329"/>
        <v/>
      </c>
      <c r="BU168" s="1382"/>
      <c r="BV168" s="1382"/>
      <c r="BW168" s="1382"/>
      <c r="BX168" s="1382"/>
      <c r="BY168" s="1382"/>
      <c r="BZ168" s="1382"/>
      <c r="CA168" s="1382"/>
      <c r="CB168" s="1382"/>
      <c r="CD168" s="1386">
        <f t="shared" si="322"/>
        <v>0</v>
      </c>
      <c r="DC168" s="16" t="str">
        <f>Avril!FC41</f>
        <v>non</v>
      </c>
      <c r="DG168" s="315">
        <f t="shared" si="323"/>
        <v>1</v>
      </c>
      <c r="DH168" s="129">
        <f t="shared" si="301"/>
        <v>10</v>
      </c>
      <c r="DI168" s="129">
        <f t="shared" si="324"/>
        <v>1</v>
      </c>
      <c r="DK168" s="16">
        <f>+IF(AND(Avril!$DP$8&lt;&gt;52,AR168=S.CAL!$BJ$4),10,1)</f>
        <v>1</v>
      </c>
      <c r="DN168" s="16">
        <f t="shared" si="302"/>
        <v>1</v>
      </c>
      <c r="DU168" s="1274" t="str">
        <f t="shared" si="325"/>
        <v>Fiche infoA346134</v>
      </c>
      <c r="DV168" s="1362">
        <f t="shared" si="303"/>
        <v>0</v>
      </c>
      <c r="DW168" s="1363">
        <f t="shared" si="304"/>
        <v>0</v>
      </c>
      <c r="DX168" s="1363">
        <f t="shared" si="305"/>
        <v>0</v>
      </c>
      <c r="DY168" s="1363">
        <f t="shared" si="306"/>
        <v>0</v>
      </c>
      <c r="DZ168" s="1363">
        <f t="shared" si="307"/>
        <v>0</v>
      </c>
      <c r="EA168" s="1363">
        <f t="shared" si="308"/>
        <v>0</v>
      </c>
      <c r="EB168" s="1363">
        <f t="shared" si="309"/>
        <v>0</v>
      </c>
      <c r="EC168" s="1363">
        <f t="shared" si="310"/>
        <v>0</v>
      </c>
      <c r="ED168" s="1363">
        <f t="shared" si="326"/>
        <v>0</v>
      </c>
      <c r="EE168" s="1364">
        <f t="shared" si="327"/>
        <v>0</v>
      </c>
      <c r="EG168" s="16" t="str">
        <f t="shared" si="328"/>
        <v>172026</v>
      </c>
      <c r="EH168" s="16" t="str">
        <f t="shared" si="311"/>
        <v>Fiche infoA3</v>
      </c>
      <c r="EI168" s="16" t="str">
        <f t="shared" si="312"/>
        <v/>
      </c>
    </row>
    <row r="169" spans="1:139" x14ac:dyDescent="0.2">
      <c r="A169" s="24" t="str">
        <f>Avril!BJ42</f>
        <v>Fiche infoA4</v>
      </c>
      <c r="B169" s="811">
        <f>Avril!AB42</f>
        <v>46135</v>
      </c>
      <c r="C169" s="1371"/>
      <c r="D169" s="981">
        <f t="shared" si="268"/>
        <v>0</v>
      </c>
      <c r="E169" s="434">
        <f t="shared" si="269"/>
        <v>0</v>
      </c>
      <c r="F169" s="434">
        <f t="shared" si="270"/>
        <v>0</v>
      </c>
      <c r="G169" s="434">
        <f t="shared" si="271"/>
        <v>0</v>
      </c>
      <c r="H169" s="434">
        <f t="shared" si="272"/>
        <v>0</v>
      </c>
      <c r="I169" s="434">
        <f t="shared" si="273"/>
        <v>0</v>
      </c>
      <c r="J169" s="434">
        <f t="shared" si="274"/>
        <v>0</v>
      </c>
      <c r="K169" s="434">
        <f t="shared" si="275"/>
        <v>0</v>
      </c>
      <c r="L169" s="434">
        <f t="shared" si="313"/>
        <v>0</v>
      </c>
      <c r="M169" s="982">
        <f t="shared" si="314"/>
        <v>0</v>
      </c>
      <c r="O169" s="981">
        <f t="shared" si="330"/>
        <v>0</v>
      </c>
      <c r="P169" s="434">
        <f t="shared" si="331"/>
        <v>0</v>
      </c>
      <c r="Q169" s="434">
        <f t="shared" si="332"/>
        <v>0</v>
      </c>
      <c r="R169" s="434">
        <f t="shared" si="333"/>
        <v>0</v>
      </c>
      <c r="S169" s="434">
        <f t="shared" si="334"/>
        <v>0</v>
      </c>
      <c r="T169" s="434">
        <f t="shared" si="335"/>
        <v>0</v>
      </c>
      <c r="U169" s="434">
        <f t="shared" si="336"/>
        <v>0</v>
      </c>
      <c r="V169" s="434">
        <f t="shared" si="337"/>
        <v>0</v>
      </c>
      <c r="W169" s="434">
        <f t="shared" si="284"/>
        <v>0</v>
      </c>
      <c r="X169" s="982">
        <f t="shared" si="285"/>
        <v>0</v>
      </c>
      <c r="Y169" s="441"/>
      <c r="Z169" s="277">
        <f t="shared" si="286"/>
        <v>0</v>
      </c>
      <c r="AA169" s="277">
        <f t="shared" si="287"/>
        <v>0</v>
      </c>
      <c r="AB169" s="277">
        <f t="shared" si="288"/>
        <v>0</v>
      </c>
      <c r="AC169" s="277">
        <f t="shared" si="289"/>
        <v>0</v>
      </c>
      <c r="AD169" s="277">
        <f t="shared" si="290"/>
        <v>0</v>
      </c>
      <c r="AE169" s="277">
        <f t="shared" si="291"/>
        <v>0</v>
      </c>
      <c r="AF169" s="277">
        <f t="shared" si="292"/>
        <v>0</v>
      </c>
      <c r="AG169" s="277">
        <f t="shared" si="293"/>
        <v>0</v>
      </c>
      <c r="AI169" s="444">
        <f t="shared" si="338"/>
        <v>0</v>
      </c>
      <c r="AJ169" s="1090"/>
      <c r="AK169" s="489"/>
      <c r="AL169" s="811">
        <f t="shared" si="295"/>
        <v>46135</v>
      </c>
      <c r="AM169" s="666">
        <f>IFERROR(IF(AND(AT169="",AR169&lt;&gt;S.CAL!$BJ$3,AR169&lt;&gt;S.CAL!$BJ$4,$AR$140="NON"),M169-BD169,IF(AND(AT169="",AR169&lt;&gt;S.CAL!$BJ$3,AR169&lt;&gt;S.CAL!$BJ$4,$AR$140="OUI"),X169-AI169,IF(AT169&lt;&gt;0,AT169,IF(OR(AR169=S.CAL!$BJ$3,AR169=S.CAL!$BJ$4),AR169,"")))),"")</f>
        <v>0</v>
      </c>
      <c r="AN169" s="1093"/>
      <c r="AO169" s="1094"/>
      <c r="AP169" s="666">
        <f>+IF(AND(AU169="",BB169="OUI",BH169="non",BI169="OUI"),AM169,IF(AND(AU169="",BB169="OUI",BH169="oui",BI169="NON"),AM169,IF(AND(AU169="",BB169="NON",BH169="oui",BI169="NON"),M169,IF(AND(AU169="",BB169="NON",BH169="non",BI169="OUI"),M169,IF(AND(AU169="",BB169="OUI",BH169="non",BI169="NON"),"ERREUR",IF(AND(AU169="",BB169="NON",BH169="non",BI169="NON"),AM169,IF(AND(AU169="",BB169="OUI",BH169="",BI169=""),AM169,IF(AND(AU169="",BB169="NON",BH169="",BI169="",AZ169="NON"),M169,IF(AND(AU169="",BH169="",AZ169="OUI",AR169=""),AM169,IF(AND(AU169="",BH169="",AZ169="NON",AR169="",AT169=""),M169,IF(AND(OR(AR169=S.CAL!$BJ$3,AR169=S.CAL!$BJ$4),(VLOOKUP($AM$140,base_nbre_sem_mensu,2,FALSE)=52)),EE169,IF(AND(OR(AR169=S.CAL!$BJ$3,AR169=S.CAL!$BJ$4),(VLOOKUP($AM$140,base_nbre_sem_mensu,2,FALSE)&lt;52)),AM169,IF(AND(AT169&lt;&gt;"",AU169=""),AT169,AU169)))))))))))))</f>
        <v>0</v>
      </c>
      <c r="AQ169" s="498">
        <f t="shared" si="315"/>
        <v>0</v>
      </c>
      <c r="AR169" s="1098"/>
      <c r="AT169" s="1101"/>
      <c r="AU169" s="813"/>
      <c r="AV169" s="1370">
        <f t="shared" si="296"/>
        <v>46135</v>
      </c>
      <c r="AX169" s="511">
        <f t="shared" si="316"/>
        <v>46135</v>
      </c>
      <c r="AY169" s="523">
        <f t="shared" si="317"/>
        <v>0</v>
      </c>
      <c r="AZ169" s="520" t="s">
        <v>137</v>
      </c>
      <c r="BA169" s="516">
        <f t="shared" si="318"/>
        <v>0</v>
      </c>
      <c r="BB169" s="549" t="str">
        <f t="shared" si="297"/>
        <v/>
      </c>
      <c r="BC169" s="523">
        <f t="shared" si="319"/>
        <v>0</v>
      </c>
      <c r="BD169" s="523">
        <f t="shared" si="320"/>
        <v>0</v>
      </c>
      <c r="BE169" s="732"/>
      <c r="BF169" s="514" t="str">
        <f t="shared" si="298"/>
        <v/>
      </c>
      <c r="BG169" s="514" t="str">
        <f t="shared" si="321"/>
        <v>oui</v>
      </c>
      <c r="BH169" s="377" t="str">
        <f t="shared" si="299"/>
        <v/>
      </c>
      <c r="BI169" s="24" t="str">
        <f t="shared" si="300"/>
        <v/>
      </c>
      <c r="BJ169" s="1381"/>
      <c r="BK169" s="1381"/>
      <c r="BL169" s="1381"/>
      <c r="BM169" s="1381"/>
      <c r="BN169" s="1381"/>
      <c r="BO169" s="1381"/>
      <c r="BP169" s="1381"/>
      <c r="BQ169" s="1381"/>
      <c r="BS169" s="1370">
        <f t="shared" si="267"/>
        <v>46135</v>
      </c>
      <c r="BT169" s="27" t="str">
        <f t="shared" si="329"/>
        <v/>
      </c>
      <c r="BU169" s="1380"/>
      <c r="BV169" s="1380"/>
      <c r="BW169" s="1380"/>
      <c r="BX169" s="1380"/>
      <c r="BY169" s="1380"/>
      <c r="BZ169" s="1380"/>
      <c r="CA169" s="1380"/>
      <c r="CB169" s="1380"/>
      <c r="CD169" s="1386">
        <f t="shared" si="322"/>
        <v>0</v>
      </c>
      <c r="DC169" s="16" t="str">
        <f>Avril!FC42</f>
        <v>non</v>
      </c>
      <c r="DG169" s="315">
        <f t="shared" si="323"/>
        <v>1</v>
      </c>
      <c r="DH169" s="129">
        <f t="shared" si="301"/>
        <v>10</v>
      </c>
      <c r="DI169" s="129">
        <f t="shared" si="324"/>
        <v>1</v>
      </c>
      <c r="DK169" s="16">
        <f>+IF(AND(Avril!$DP$8&lt;&gt;52,AR169=S.CAL!$BJ$4),10,1)</f>
        <v>1</v>
      </c>
      <c r="DN169" s="16">
        <f t="shared" si="302"/>
        <v>1</v>
      </c>
      <c r="DU169" s="1274" t="str">
        <f t="shared" si="325"/>
        <v>Fiche infoA446135</v>
      </c>
      <c r="DV169" s="1362">
        <f t="shared" si="303"/>
        <v>0</v>
      </c>
      <c r="DW169" s="1363">
        <f t="shared" si="304"/>
        <v>0</v>
      </c>
      <c r="DX169" s="1363">
        <f t="shared" si="305"/>
        <v>0</v>
      </c>
      <c r="DY169" s="1363">
        <f t="shared" si="306"/>
        <v>0</v>
      </c>
      <c r="DZ169" s="1363">
        <f t="shared" si="307"/>
        <v>0</v>
      </c>
      <c r="EA169" s="1363">
        <f t="shared" si="308"/>
        <v>0</v>
      </c>
      <c r="EB169" s="1363">
        <f t="shared" si="309"/>
        <v>0</v>
      </c>
      <c r="EC169" s="1363">
        <f t="shared" si="310"/>
        <v>0</v>
      </c>
      <c r="ED169" s="1363">
        <f t="shared" si="326"/>
        <v>0</v>
      </c>
      <c r="EE169" s="1364">
        <f t="shared" si="327"/>
        <v>0</v>
      </c>
      <c r="EG169" s="16" t="str">
        <f t="shared" si="328"/>
        <v>172026</v>
      </c>
      <c r="EH169" s="16" t="str">
        <f t="shared" si="311"/>
        <v>Fiche infoA4</v>
      </c>
      <c r="EI169" s="16" t="str">
        <f t="shared" si="312"/>
        <v/>
      </c>
    </row>
    <row r="170" spans="1:139" x14ac:dyDescent="0.2">
      <c r="A170" s="1373" t="str">
        <f>Avril!BJ43</f>
        <v>Fiche infoA5</v>
      </c>
      <c r="B170" s="811">
        <f>Avril!AB43</f>
        <v>46136</v>
      </c>
      <c r="C170" s="1372"/>
      <c r="D170" s="981">
        <f t="shared" si="268"/>
        <v>0</v>
      </c>
      <c r="E170" s="434">
        <f t="shared" si="269"/>
        <v>0</v>
      </c>
      <c r="F170" s="434">
        <f t="shared" si="270"/>
        <v>0</v>
      </c>
      <c r="G170" s="434">
        <f t="shared" si="271"/>
        <v>0</v>
      </c>
      <c r="H170" s="434">
        <f t="shared" si="272"/>
        <v>0</v>
      </c>
      <c r="I170" s="434">
        <f t="shared" si="273"/>
        <v>0</v>
      </c>
      <c r="J170" s="434">
        <f t="shared" si="274"/>
        <v>0</v>
      </c>
      <c r="K170" s="434">
        <f t="shared" si="275"/>
        <v>0</v>
      </c>
      <c r="L170" s="434">
        <f t="shared" si="313"/>
        <v>0</v>
      </c>
      <c r="M170" s="982">
        <f t="shared" si="314"/>
        <v>0</v>
      </c>
      <c r="N170" s="1374"/>
      <c r="O170" s="981">
        <f t="shared" si="330"/>
        <v>0</v>
      </c>
      <c r="P170" s="434">
        <f t="shared" si="331"/>
        <v>0</v>
      </c>
      <c r="Q170" s="434">
        <f t="shared" si="332"/>
        <v>0</v>
      </c>
      <c r="R170" s="434">
        <f t="shared" si="333"/>
        <v>0</v>
      </c>
      <c r="S170" s="434">
        <f t="shared" si="334"/>
        <v>0</v>
      </c>
      <c r="T170" s="434">
        <f t="shared" si="335"/>
        <v>0</v>
      </c>
      <c r="U170" s="434">
        <f t="shared" si="336"/>
        <v>0</v>
      </c>
      <c r="V170" s="434">
        <f t="shared" si="337"/>
        <v>0</v>
      </c>
      <c r="W170" s="434">
        <f t="shared" si="284"/>
        <v>0</v>
      </c>
      <c r="X170" s="982">
        <f t="shared" si="285"/>
        <v>0</v>
      </c>
      <c r="Y170" s="1375"/>
      <c r="Z170" s="1376">
        <f t="shared" si="286"/>
        <v>0</v>
      </c>
      <c r="AA170" s="1376">
        <f t="shared" si="287"/>
        <v>0</v>
      </c>
      <c r="AB170" s="1376">
        <f t="shared" si="288"/>
        <v>0</v>
      </c>
      <c r="AC170" s="1376">
        <f t="shared" si="289"/>
        <v>0</v>
      </c>
      <c r="AD170" s="1376">
        <f t="shared" si="290"/>
        <v>0</v>
      </c>
      <c r="AE170" s="1376">
        <f t="shared" si="291"/>
        <v>0</v>
      </c>
      <c r="AF170" s="1376">
        <f t="shared" si="292"/>
        <v>0</v>
      </c>
      <c r="AG170" s="1376">
        <f t="shared" si="293"/>
        <v>0</v>
      </c>
      <c r="AH170" s="1374"/>
      <c r="AI170" s="444">
        <f t="shared" si="338"/>
        <v>0</v>
      </c>
      <c r="AJ170" s="1090"/>
      <c r="AK170" s="1377"/>
      <c r="AL170" s="811">
        <f t="shared" si="295"/>
        <v>46136</v>
      </c>
      <c r="AM170" s="666">
        <f>IFERROR(IF(AND(AT170="",AR170&lt;&gt;S.CAL!$BJ$3,AR170&lt;&gt;S.CAL!$BJ$4,$AR$140="NON"),M170-BD170,IF(AND(AT170="",AR170&lt;&gt;S.CAL!$BJ$3,AR170&lt;&gt;S.CAL!$BJ$4,$AR$140="OUI"),X170-AI170,IF(AT170&lt;&gt;0,AT170,IF(OR(AR170=S.CAL!$BJ$3,AR170=S.CAL!$BJ$4),AR170,"")))),"")</f>
        <v>0</v>
      </c>
      <c r="AN170" s="1093"/>
      <c r="AO170" s="1094"/>
      <c r="AP170" s="666">
        <f>+IF(AND(AU170="",BB170="OUI",BH170="non",BI170="OUI"),AM170,IF(AND(AU170="",BB170="OUI",BH170="oui",BI170="NON"),AM170,IF(AND(AU170="",BB170="NON",BH170="oui",BI170="NON"),M170,IF(AND(AU170="",BB170="NON",BH170="non",BI170="OUI"),M170,IF(AND(AU170="",BB170="OUI",BH170="non",BI170="NON"),"ERREUR",IF(AND(AU170="",BB170="NON",BH170="non",BI170="NON"),AM170,IF(AND(AU170="",BB170="OUI",BH170="",BI170=""),AM170,IF(AND(AU170="",BB170="NON",BH170="",BI170="",AZ170="NON"),M170,IF(AND(AU170="",BH170="",AZ170="OUI",AR170=""),AM170,IF(AND(AU170="",BH170="",AZ170="NON",AR170="",AT170=""),M170,IF(AND(OR(AR170=S.CAL!$BJ$3,AR170=S.CAL!$BJ$4),(VLOOKUP($AM$140,base_nbre_sem_mensu,2,FALSE)=52)),EE170,IF(AND(OR(AR170=S.CAL!$BJ$3,AR170=S.CAL!$BJ$4),(VLOOKUP($AM$140,base_nbre_sem_mensu,2,FALSE)&lt;52)),AM170,IF(AND(AT170&lt;&gt;"",AU170=""),AT170,AU170)))))))))))))</f>
        <v>0</v>
      </c>
      <c r="AQ170" s="1378">
        <f t="shared" si="315"/>
        <v>0</v>
      </c>
      <c r="AR170" s="1098"/>
      <c r="AS170" s="1374"/>
      <c r="AT170" s="1101"/>
      <c r="AU170" s="813"/>
      <c r="AV170" s="1370">
        <f t="shared" si="296"/>
        <v>46136</v>
      </c>
      <c r="AW170" s="1374"/>
      <c r="AX170" s="511">
        <f t="shared" si="316"/>
        <v>46136</v>
      </c>
      <c r="AY170" s="523">
        <f t="shared" si="317"/>
        <v>0</v>
      </c>
      <c r="AZ170" s="520" t="s">
        <v>137</v>
      </c>
      <c r="BA170" s="516">
        <f t="shared" si="318"/>
        <v>0</v>
      </c>
      <c r="BB170" s="549" t="str">
        <f t="shared" si="297"/>
        <v/>
      </c>
      <c r="BC170" s="523">
        <f t="shared" si="319"/>
        <v>0</v>
      </c>
      <c r="BD170" s="523">
        <f t="shared" si="320"/>
        <v>0</v>
      </c>
      <c r="BE170" s="732"/>
      <c r="BF170" s="514" t="str">
        <f t="shared" si="298"/>
        <v/>
      </c>
      <c r="BG170" s="514" t="str">
        <f t="shared" si="321"/>
        <v>oui</v>
      </c>
      <c r="BH170" s="377" t="str">
        <f t="shared" si="299"/>
        <v/>
      </c>
      <c r="BI170" s="24" t="str">
        <f t="shared" si="300"/>
        <v/>
      </c>
      <c r="BJ170" s="1382"/>
      <c r="BK170" s="1382"/>
      <c r="BL170" s="1382"/>
      <c r="BM170" s="1382"/>
      <c r="BN170" s="1382"/>
      <c r="BO170" s="1382"/>
      <c r="BP170" s="1382"/>
      <c r="BQ170" s="1382"/>
      <c r="BR170" s="1383"/>
      <c r="BS170" s="1370">
        <f t="shared" si="267"/>
        <v>46136</v>
      </c>
      <c r="BT170" s="1384" t="str">
        <f t="shared" si="329"/>
        <v/>
      </c>
      <c r="BU170" s="1382"/>
      <c r="BV170" s="1382"/>
      <c r="BW170" s="1382"/>
      <c r="BX170" s="1382"/>
      <c r="BY170" s="1382"/>
      <c r="BZ170" s="1382"/>
      <c r="CA170" s="1382"/>
      <c r="CB170" s="1382"/>
      <c r="CD170" s="1386">
        <f t="shared" si="322"/>
        <v>0</v>
      </c>
      <c r="DC170" s="16" t="str">
        <f>Avril!FC43</f>
        <v>non</v>
      </c>
      <c r="DG170" s="315">
        <f t="shared" si="323"/>
        <v>1</v>
      </c>
      <c r="DH170" s="129">
        <f t="shared" si="301"/>
        <v>10</v>
      </c>
      <c r="DI170" s="129">
        <f t="shared" si="324"/>
        <v>1</v>
      </c>
      <c r="DK170" s="16">
        <f>+IF(AND(Avril!$DP$8&lt;&gt;52,AR170=S.CAL!$BJ$4),10,1)</f>
        <v>1</v>
      </c>
      <c r="DN170" s="16">
        <f t="shared" si="302"/>
        <v>1</v>
      </c>
      <c r="DU170" s="1274" t="str">
        <f t="shared" si="325"/>
        <v>Fiche infoA546136</v>
      </c>
      <c r="DV170" s="1362">
        <f t="shared" si="303"/>
        <v>0</v>
      </c>
      <c r="DW170" s="1363">
        <f t="shared" si="304"/>
        <v>0</v>
      </c>
      <c r="DX170" s="1363">
        <f t="shared" si="305"/>
        <v>0</v>
      </c>
      <c r="DY170" s="1363">
        <f t="shared" si="306"/>
        <v>0</v>
      </c>
      <c r="DZ170" s="1363">
        <f t="shared" si="307"/>
        <v>0</v>
      </c>
      <c r="EA170" s="1363">
        <f t="shared" si="308"/>
        <v>0</v>
      </c>
      <c r="EB170" s="1363">
        <f t="shared" si="309"/>
        <v>0</v>
      </c>
      <c r="EC170" s="1363">
        <f t="shared" si="310"/>
        <v>0</v>
      </c>
      <c r="ED170" s="1363">
        <f t="shared" si="326"/>
        <v>0</v>
      </c>
      <c r="EE170" s="1364">
        <f t="shared" si="327"/>
        <v>0</v>
      </c>
      <c r="EG170" s="16" t="str">
        <f t="shared" si="328"/>
        <v>172026</v>
      </c>
      <c r="EH170" s="16" t="str">
        <f t="shared" si="311"/>
        <v>Fiche infoA5</v>
      </c>
      <c r="EI170" s="16" t="str">
        <f t="shared" si="312"/>
        <v/>
      </c>
    </row>
    <row r="171" spans="1:139" x14ac:dyDescent="0.2">
      <c r="A171" s="24" t="str">
        <f>Avril!BJ44</f>
        <v>Fiche infoA6</v>
      </c>
      <c r="B171" s="811">
        <f>Avril!AB44</f>
        <v>46137</v>
      </c>
      <c r="C171" s="1371"/>
      <c r="D171" s="981">
        <f t="shared" si="268"/>
        <v>0</v>
      </c>
      <c r="E171" s="434">
        <f t="shared" si="269"/>
        <v>0</v>
      </c>
      <c r="F171" s="434">
        <f t="shared" si="270"/>
        <v>0</v>
      </c>
      <c r="G171" s="434">
        <f t="shared" si="271"/>
        <v>0</v>
      </c>
      <c r="H171" s="434">
        <f t="shared" si="272"/>
        <v>0</v>
      </c>
      <c r="I171" s="434">
        <f t="shared" si="273"/>
        <v>0</v>
      </c>
      <c r="J171" s="434">
        <f t="shared" si="274"/>
        <v>0</v>
      </c>
      <c r="K171" s="434">
        <f t="shared" si="275"/>
        <v>0</v>
      </c>
      <c r="L171" s="434">
        <f t="shared" si="313"/>
        <v>0</v>
      </c>
      <c r="M171" s="982">
        <f t="shared" si="314"/>
        <v>0</v>
      </c>
      <c r="O171" s="981">
        <f t="shared" si="330"/>
        <v>0</v>
      </c>
      <c r="P171" s="434">
        <f t="shared" si="331"/>
        <v>0</v>
      </c>
      <c r="Q171" s="434">
        <f t="shared" si="332"/>
        <v>0</v>
      </c>
      <c r="R171" s="434">
        <f t="shared" si="333"/>
        <v>0</v>
      </c>
      <c r="S171" s="434">
        <f t="shared" si="334"/>
        <v>0</v>
      </c>
      <c r="T171" s="434">
        <f t="shared" si="335"/>
        <v>0</v>
      </c>
      <c r="U171" s="434">
        <f t="shared" si="336"/>
        <v>0</v>
      </c>
      <c r="V171" s="434">
        <f t="shared" si="337"/>
        <v>0</v>
      </c>
      <c r="W171" s="434">
        <f t="shared" si="284"/>
        <v>0</v>
      </c>
      <c r="X171" s="982">
        <f t="shared" si="285"/>
        <v>0</v>
      </c>
      <c r="Y171" s="441"/>
      <c r="Z171" s="277">
        <f t="shared" si="286"/>
        <v>0</v>
      </c>
      <c r="AA171" s="277">
        <f t="shared" si="287"/>
        <v>0</v>
      </c>
      <c r="AB171" s="277">
        <f t="shared" si="288"/>
        <v>0</v>
      </c>
      <c r="AC171" s="277">
        <f t="shared" si="289"/>
        <v>0</v>
      </c>
      <c r="AD171" s="277">
        <f t="shared" si="290"/>
        <v>0</v>
      </c>
      <c r="AE171" s="277">
        <f t="shared" si="291"/>
        <v>0</v>
      </c>
      <c r="AF171" s="277">
        <f t="shared" si="292"/>
        <v>0</v>
      </c>
      <c r="AG171" s="277">
        <f t="shared" si="293"/>
        <v>0</v>
      </c>
      <c r="AI171" s="444">
        <f t="shared" si="338"/>
        <v>0</v>
      </c>
      <c r="AJ171" s="1090"/>
      <c r="AK171" s="489"/>
      <c r="AL171" s="811">
        <f t="shared" si="295"/>
        <v>46137</v>
      </c>
      <c r="AM171" s="666">
        <f>IFERROR(IF(AND(AT171="",AR171&lt;&gt;S.CAL!$BJ$3,AR171&lt;&gt;S.CAL!$BJ$4,$AR$140="NON"),M171-BD171,IF(AND(AT171="",AR171&lt;&gt;S.CAL!$BJ$3,AR171&lt;&gt;S.CAL!$BJ$4,$AR$140="OUI"),X171-AI171,IF(AT171&lt;&gt;0,AT171,IF(OR(AR171=S.CAL!$BJ$3,AR171=S.CAL!$BJ$4),AR171,"")))),"")</f>
        <v>0</v>
      </c>
      <c r="AN171" s="1093"/>
      <c r="AO171" s="1094"/>
      <c r="AP171" s="666">
        <f>+IF(AND(AU171="",BB171="OUI",BH171="non",BI171="OUI"),AM171,IF(AND(AU171="",BB171="OUI",BH171="oui",BI171="NON"),AM171,IF(AND(AU171="",BB171="NON",BH171="oui",BI171="NON"),M171,IF(AND(AU171="",BB171="NON",BH171="non",BI171="OUI"),M171,IF(AND(AU171="",BB171="OUI",BH171="non",BI171="NON"),"ERREUR",IF(AND(AU171="",BB171="NON",BH171="non",BI171="NON"),AM171,IF(AND(AU171="",BB171="OUI",BH171="",BI171=""),AM171,IF(AND(AU171="",BB171="NON",BH171="",BI171="",AZ171="NON"),M171,IF(AND(AU171="",BH171="",AZ171="OUI",AR171=""),AM171,IF(AND(AU171="",BH171="",AZ171="NON",AR171="",AT171=""),M171,IF(AND(OR(AR171=S.CAL!$BJ$3,AR171=S.CAL!$BJ$4),(VLOOKUP($AM$140,base_nbre_sem_mensu,2,FALSE)=52)),EE171,IF(AND(OR(AR171=S.CAL!$BJ$3,AR171=S.CAL!$BJ$4),(VLOOKUP($AM$140,base_nbre_sem_mensu,2,FALSE)&lt;52)),AM171,IF(AND(AT171&lt;&gt;"",AU171=""),AT171,AU171)))))))))))))</f>
        <v>0</v>
      </c>
      <c r="AQ171" s="498">
        <f t="shared" si="315"/>
        <v>0</v>
      </c>
      <c r="AR171" s="1098"/>
      <c r="AT171" s="1101"/>
      <c r="AU171" s="813"/>
      <c r="AV171" s="1370">
        <f t="shared" si="296"/>
        <v>46137</v>
      </c>
      <c r="AX171" s="511">
        <f t="shared" si="316"/>
        <v>46137</v>
      </c>
      <c r="AY171" s="523">
        <f t="shared" si="317"/>
        <v>0</v>
      </c>
      <c r="AZ171" s="520" t="s">
        <v>137</v>
      </c>
      <c r="BA171" s="516">
        <f t="shared" si="318"/>
        <v>0</v>
      </c>
      <c r="BB171" s="549" t="str">
        <f t="shared" si="297"/>
        <v/>
      </c>
      <c r="BC171" s="523">
        <f t="shared" si="319"/>
        <v>0</v>
      </c>
      <c r="BD171" s="523">
        <f t="shared" si="320"/>
        <v>0</v>
      </c>
      <c r="BE171" s="732"/>
      <c r="BF171" s="514" t="str">
        <f t="shared" si="298"/>
        <v/>
      </c>
      <c r="BG171" s="514" t="str">
        <f t="shared" si="321"/>
        <v>oui</v>
      </c>
      <c r="BH171" s="377" t="str">
        <f t="shared" si="299"/>
        <v/>
      </c>
      <c r="BI171" s="24" t="str">
        <f t="shared" si="300"/>
        <v/>
      </c>
      <c r="BJ171" s="1381"/>
      <c r="BK171" s="1381"/>
      <c r="BL171" s="1381"/>
      <c r="BM171" s="1381"/>
      <c r="BN171" s="1381"/>
      <c r="BO171" s="1381"/>
      <c r="BP171" s="1381"/>
      <c r="BQ171" s="1381"/>
      <c r="BS171" s="1370">
        <f t="shared" si="267"/>
        <v>46137</v>
      </c>
      <c r="BT171" s="27" t="str">
        <f t="shared" si="329"/>
        <v/>
      </c>
      <c r="BU171" s="1380"/>
      <c r="BV171" s="1380"/>
      <c r="BW171" s="1380"/>
      <c r="BX171" s="1380"/>
      <c r="BY171" s="1380"/>
      <c r="BZ171" s="1380"/>
      <c r="CA171" s="1380"/>
      <c r="CB171" s="1380"/>
      <c r="CD171" s="1386">
        <f t="shared" si="322"/>
        <v>0</v>
      </c>
      <c r="DC171" s="16" t="str">
        <f>Avril!FC44</f>
        <v>non</v>
      </c>
      <c r="DG171" s="315">
        <f t="shared" si="323"/>
        <v>1</v>
      </c>
      <c r="DH171" s="129">
        <f t="shared" si="301"/>
        <v>10</v>
      </c>
      <c r="DI171" s="129">
        <f t="shared" si="324"/>
        <v>1</v>
      </c>
      <c r="DK171" s="16">
        <f>+IF(AND(Avril!$DP$8&lt;&gt;52,AR171=S.CAL!$BJ$4),10,1)</f>
        <v>1</v>
      </c>
      <c r="DN171" s="16">
        <f t="shared" si="302"/>
        <v>1</v>
      </c>
      <c r="DU171" s="1274" t="str">
        <f t="shared" si="325"/>
        <v>Fiche infoA646137</v>
      </c>
      <c r="DV171" s="1362">
        <f t="shared" si="303"/>
        <v>0</v>
      </c>
      <c r="DW171" s="1363">
        <f t="shared" si="304"/>
        <v>0</v>
      </c>
      <c r="DX171" s="1363">
        <f t="shared" si="305"/>
        <v>0</v>
      </c>
      <c r="DY171" s="1363">
        <f t="shared" si="306"/>
        <v>0</v>
      </c>
      <c r="DZ171" s="1363">
        <f t="shared" si="307"/>
        <v>0</v>
      </c>
      <c r="EA171" s="1363">
        <f t="shared" si="308"/>
        <v>0</v>
      </c>
      <c r="EB171" s="1363">
        <f t="shared" si="309"/>
        <v>0</v>
      </c>
      <c r="EC171" s="1363">
        <f t="shared" si="310"/>
        <v>0</v>
      </c>
      <c r="ED171" s="1363">
        <f t="shared" si="326"/>
        <v>0</v>
      </c>
      <c r="EE171" s="1364">
        <f t="shared" si="327"/>
        <v>0</v>
      </c>
      <c r="EG171" s="16" t="str">
        <f t="shared" si="328"/>
        <v>172026</v>
      </c>
      <c r="EH171" s="16" t="str">
        <f t="shared" si="311"/>
        <v>Fiche infoA6</v>
      </c>
      <c r="EI171" s="16" t="str">
        <f t="shared" si="312"/>
        <v/>
      </c>
    </row>
    <row r="172" spans="1:139" x14ac:dyDescent="0.2">
      <c r="A172" s="1373" t="str">
        <f>Avril!BJ45</f>
        <v>Fiche infoA7</v>
      </c>
      <c r="B172" s="811">
        <f>Avril!AB45</f>
        <v>46138</v>
      </c>
      <c r="C172" s="1372"/>
      <c r="D172" s="981">
        <f t="shared" si="268"/>
        <v>0</v>
      </c>
      <c r="E172" s="434">
        <f t="shared" si="269"/>
        <v>0</v>
      </c>
      <c r="F172" s="434">
        <f t="shared" si="270"/>
        <v>0</v>
      </c>
      <c r="G172" s="434">
        <f t="shared" si="271"/>
        <v>0</v>
      </c>
      <c r="H172" s="434">
        <f t="shared" si="272"/>
        <v>0</v>
      </c>
      <c r="I172" s="434">
        <f t="shared" si="273"/>
        <v>0</v>
      </c>
      <c r="J172" s="434">
        <f t="shared" si="274"/>
        <v>0</v>
      </c>
      <c r="K172" s="434">
        <f t="shared" si="275"/>
        <v>0</v>
      </c>
      <c r="L172" s="434">
        <f t="shared" si="313"/>
        <v>0</v>
      </c>
      <c r="M172" s="982">
        <f t="shared" si="314"/>
        <v>0</v>
      </c>
      <c r="N172" s="1374"/>
      <c r="O172" s="981">
        <f t="shared" si="330"/>
        <v>0</v>
      </c>
      <c r="P172" s="434">
        <f t="shared" si="331"/>
        <v>0</v>
      </c>
      <c r="Q172" s="434">
        <f t="shared" si="332"/>
        <v>0</v>
      </c>
      <c r="R172" s="434">
        <f t="shared" si="333"/>
        <v>0</v>
      </c>
      <c r="S172" s="434">
        <f t="shared" si="334"/>
        <v>0</v>
      </c>
      <c r="T172" s="434">
        <f t="shared" si="335"/>
        <v>0</v>
      </c>
      <c r="U172" s="434">
        <f t="shared" si="336"/>
        <v>0</v>
      </c>
      <c r="V172" s="434">
        <f t="shared" si="337"/>
        <v>0</v>
      </c>
      <c r="W172" s="434">
        <f t="shared" si="284"/>
        <v>0</v>
      </c>
      <c r="X172" s="982">
        <f t="shared" si="285"/>
        <v>0</v>
      </c>
      <c r="Y172" s="1375"/>
      <c r="Z172" s="1376">
        <f t="shared" si="286"/>
        <v>0</v>
      </c>
      <c r="AA172" s="1376">
        <f t="shared" si="287"/>
        <v>0</v>
      </c>
      <c r="AB172" s="1376">
        <f t="shared" si="288"/>
        <v>0</v>
      </c>
      <c r="AC172" s="1376">
        <f t="shared" si="289"/>
        <v>0</v>
      </c>
      <c r="AD172" s="1376">
        <f t="shared" si="290"/>
        <v>0</v>
      </c>
      <c r="AE172" s="1376">
        <f t="shared" si="291"/>
        <v>0</v>
      </c>
      <c r="AF172" s="1376">
        <f t="shared" si="292"/>
        <v>0</v>
      </c>
      <c r="AG172" s="1376">
        <f t="shared" si="293"/>
        <v>0</v>
      </c>
      <c r="AH172" s="1374"/>
      <c r="AI172" s="444">
        <f t="shared" si="338"/>
        <v>0</v>
      </c>
      <c r="AJ172" s="1090"/>
      <c r="AK172" s="1377"/>
      <c r="AL172" s="811">
        <f t="shared" si="295"/>
        <v>46138</v>
      </c>
      <c r="AM172" s="666">
        <f>IFERROR(IF(AND(AT172="",AR172&lt;&gt;S.CAL!$BJ$3,AR172&lt;&gt;S.CAL!$BJ$4,$AR$140="NON"),M172-BD172,IF(AND(AT172="",AR172&lt;&gt;S.CAL!$BJ$3,AR172&lt;&gt;S.CAL!$BJ$4,$AR$140="OUI"),X172-AI172,IF(AT172&lt;&gt;0,AT172,IF(OR(AR172=S.CAL!$BJ$3,AR172=S.CAL!$BJ$4),AR172,"")))),"")</f>
        <v>0</v>
      </c>
      <c r="AN172" s="1093"/>
      <c r="AO172" s="1094"/>
      <c r="AP172" s="666">
        <f>+IF(AND(AU172="",BB172="OUI",BH172="non",BI172="OUI"),AM172,IF(AND(AU172="",BB172="OUI",BH172="oui",BI172="NON"),AM172,IF(AND(AU172="",BB172="NON",BH172="oui",BI172="NON"),M172,IF(AND(AU172="",BB172="NON",BH172="non",BI172="OUI"),M172,IF(AND(AU172="",BB172="OUI",BH172="non",BI172="NON"),"ERREUR",IF(AND(AU172="",BB172="NON",BH172="non",BI172="NON"),AM172,IF(AND(AU172="",BB172="OUI",BH172="",BI172=""),AM172,IF(AND(AU172="",BB172="NON",BH172="",BI172="",AZ172="NON"),M172,IF(AND(AU172="",BH172="",AZ172="OUI",AR172=""),AM172,IF(AND(AU172="",BH172="",AZ172="NON",AR172="",AT172=""),M172,IF(AND(OR(AR172=S.CAL!$BJ$3,AR172=S.CAL!$BJ$4),(VLOOKUP($AM$140,base_nbre_sem_mensu,2,FALSE)=52)),EE172,IF(AND(OR(AR172=S.CAL!$BJ$3,AR172=S.CAL!$BJ$4),(VLOOKUP($AM$140,base_nbre_sem_mensu,2,FALSE)&lt;52)),AM172,IF(AND(AT172&lt;&gt;"",AU172=""),AT172,AU172)))))))))))))</f>
        <v>0</v>
      </c>
      <c r="AQ172" s="1378">
        <f t="shared" si="315"/>
        <v>0</v>
      </c>
      <c r="AR172" s="1098"/>
      <c r="AS172" s="1374"/>
      <c r="AT172" s="1101"/>
      <c r="AU172" s="813"/>
      <c r="AV172" s="1370">
        <f t="shared" si="296"/>
        <v>46138</v>
      </c>
      <c r="AW172" s="1374"/>
      <c r="AX172" s="511">
        <f t="shared" si="316"/>
        <v>46138</v>
      </c>
      <c r="AY172" s="523">
        <f t="shared" si="317"/>
        <v>0</v>
      </c>
      <c r="AZ172" s="520" t="s">
        <v>137</v>
      </c>
      <c r="BA172" s="516">
        <f t="shared" si="318"/>
        <v>0</v>
      </c>
      <c r="BB172" s="549" t="str">
        <f t="shared" si="297"/>
        <v/>
      </c>
      <c r="BC172" s="523">
        <f t="shared" si="319"/>
        <v>0</v>
      </c>
      <c r="BD172" s="523">
        <f t="shared" si="320"/>
        <v>0</v>
      </c>
      <c r="BE172" s="732"/>
      <c r="BF172" s="514" t="str">
        <f t="shared" si="298"/>
        <v/>
      </c>
      <c r="BG172" s="514" t="str">
        <f t="shared" si="321"/>
        <v>oui</v>
      </c>
      <c r="BH172" s="377" t="str">
        <f t="shared" si="299"/>
        <v/>
      </c>
      <c r="BI172" s="24" t="str">
        <f t="shared" si="300"/>
        <v/>
      </c>
      <c r="BJ172" s="1382"/>
      <c r="BK172" s="1382"/>
      <c r="BL172" s="1382"/>
      <c r="BM172" s="1382"/>
      <c r="BN172" s="1382"/>
      <c r="BO172" s="1382"/>
      <c r="BP172" s="1382"/>
      <c r="BQ172" s="1382"/>
      <c r="BR172" s="1383"/>
      <c r="BS172" s="1370">
        <f t="shared" si="267"/>
        <v>46138</v>
      </c>
      <c r="BT172" s="1384" t="str">
        <f t="shared" si="329"/>
        <v/>
      </c>
      <c r="BU172" s="1382"/>
      <c r="BV172" s="1382"/>
      <c r="BW172" s="1382"/>
      <c r="BX172" s="1382"/>
      <c r="BY172" s="1382"/>
      <c r="BZ172" s="1382"/>
      <c r="CA172" s="1382"/>
      <c r="CB172" s="1382"/>
      <c r="CD172" s="1386">
        <f t="shared" si="322"/>
        <v>0</v>
      </c>
      <c r="DC172" s="16" t="str">
        <f>Avril!FC45</f>
        <v>non</v>
      </c>
      <c r="DG172" s="315">
        <f t="shared" si="323"/>
        <v>1</v>
      </c>
      <c r="DH172" s="129">
        <f t="shared" si="301"/>
        <v>10</v>
      </c>
      <c r="DI172" s="129">
        <f t="shared" si="324"/>
        <v>1</v>
      </c>
      <c r="DK172" s="16">
        <f>+IF(AND(Avril!$DP$8&lt;&gt;52,AR172=S.CAL!$BJ$4),10,1)</f>
        <v>1</v>
      </c>
      <c r="DN172" s="16">
        <f t="shared" si="302"/>
        <v>1</v>
      </c>
      <c r="DU172" s="1274" t="str">
        <f t="shared" si="325"/>
        <v>Fiche infoA746138</v>
      </c>
      <c r="DV172" s="1362">
        <f t="shared" si="303"/>
        <v>0</v>
      </c>
      <c r="DW172" s="1363">
        <f t="shared" si="304"/>
        <v>0</v>
      </c>
      <c r="DX172" s="1363">
        <f t="shared" si="305"/>
        <v>0</v>
      </c>
      <c r="DY172" s="1363">
        <f t="shared" si="306"/>
        <v>0</v>
      </c>
      <c r="DZ172" s="1363">
        <f t="shared" si="307"/>
        <v>0</v>
      </c>
      <c r="EA172" s="1363">
        <f t="shared" si="308"/>
        <v>0</v>
      </c>
      <c r="EB172" s="1363">
        <f t="shared" si="309"/>
        <v>0</v>
      </c>
      <c r="EC172" s="1363">
        <f t="shared" si="310"/>
        <v>0</v>
      </c>
      <c r="ED172" s="1363">
        <f t="shared" si="326"/>
        <v>0</v>
      </c>
      <c r="EE172" s="1364">
        <f t="shared" si="327"/>
        <v>0</v>
      </c>
      <c r="EG172" s="16" t="str">
        <f t="shared" si="328"/>
        <v>172026</v>
      </c>
      <c r="EH172" s="16" t="str">
        <f t="shared" si="311"/>
        <v>Fiche infoA7</v>
      </c>
      <c r="EI172" s="16" t="str">
        <f t="shared" si="312"/>
        <v/>
      </c>
    </row>
    <row r="173" spans="1:139" x14ac:dyDescent="0.2">
      <c r="A173" s="24" t="str">
        <f>Avril!BJ46</f>
        <v>Fiche infoA1</v>
      </c>
      <c r="B173" s="811">
        <f>Avril!AB46</f>
        <v>46139</v>
      </c>
      <c r="C173" s="1371"/>
      <c r="D173" s="981">
        <f t="shared" si="268"/>
        <v>0</v>
      </c>
      <c r="E173" s="434">
        <f t="shared" si="269"/>
        <v>0</v>
      </c>
      <c r="F173" s="434">
        <f t="shared" si="270"/>
        <v>0</v>
      </c>
      <c r="G173" s="434">
        <f t="shared" si="271"/>
        <v>0</v>
      </c>
      <c r="H173" s="434">
        <f t="shared" si="272"/>
        <v>0</v>
      </c>
      <c r="I173" s="434">
        <f t="shared" si="273"/>
        <v>0</v>
      </c>
      <c r="J173" s="434">
        <f t="shared" si="274"/>
        <v>0</v>
      </c>
      <c r="K173" s="434">
        <f t="shared" si="275"/>
        <v>0</v>
      </c>
      <c r="L173" s="434">
        <f t="shared" si="313"/>
        <v>0</v>
      </c>
      <c r="M173" s="982">
        <f t="shared" si="314"/>
        <v>0</v>
      </c>
      <c r="O173" s="981">
        <f t="shared" si="330"/>
        <v>0</v>
      </c>
      <c r="P173" s="434">
        <f t="shared" si="331"/>
        <v>0</v>
      </c>
      <c r="Q173" s="434">
        <f t="shared" si="332"/>
        <v>0</v>
      </c>
      <c r="R173" s="434">
        <f t="shared" si="333"/>
        <v>0</v>
      </c>
      <c r="S173" s="434">
        <f t="shared" si="334"/>
        <v>0</v>
      </c>
      <c r="T173" s="434">
        <f t="shared" si="335"/>
        <v>0</v>
      </c>
      <c r="U173" s="434">
        <f t="shared" si="336"/>
        <v>0</v>
      </c>
      <c r="V173" s="434">
        <f t="shared" si="337"/>
        <v>0</v>
      </c>
      <c r="W173" s="434">
        <f t="shared" si="284"/>
        <v>0</v>
      </c>
      <c r="X173" s="982">
        <f t="shared" si="285"/>
        <v>0</v>
      </c>
      <c r="Y173" s="441"/>
      <c r="Z173" s="277">
        <f t="shared" si="286"/>
        <v>0</v>
      </c>
      <c r="AA173" s="277">
        <f t="shared" si="287"/>
        <v>0</v>
      </c>
      <c r="AB173" s="277">
        <f t="shared" si="288"/>
        <v>0</v>
      </c>
      <c r="AC173" s="277">
        <f t="shared" si="289"/>
        <v>0</v>
      </c>
      <c r="AD173" s="277">
        <f t="shared" si="290"/>
        <v>0</v>
      </c>
      <c r="AE173" s="277">
        <f t="shared" si="291"/>
        <v>0</v>
      </c>
      <c r="AF173" s="277">
        <f t="shared" si="292"/>
        <v>0</v>
      </c>
      <c r="AG173" s="277">
        <f t="shared" si="293"/>
        <v>0</v>
      </c>
      <c r="AI173" s="444">
        <f t="shared" si="338"/>
        <v>0</v>
      </c>
      <c r="AJ173" s="1090"/>
      <c r="AK173" s="489"/>
      <c r="AL173" s="811">
        <f t="shared" si="295"/>
        <v>46139</v>
      </c>
      <c r="AM173" s="666">
        <f>IFERROR(IF(AND(AT173="",AR173&lt;&gt;S.CAL!$BJ$3,AR173&lt;&gt;S.CAL!$BJ$4,$AR$140="NON"),M173-BD173,IF(AND(AT173="",AR173&lt;&gt;S.CAL!$BJ$3,AR173&lt;&gt;S.CAL!$BJ$4,$AR$140="OUI"),X173-AI173,IF(AT173&lt;&gt;0,AT173,IF(OR(AR173=S.CAL!$BJ$3,AR173=S.CAL!$BJ$4),AR173,"")))),"")</f>
        <v>0</v>
      </c>
      <c r="AN173" s="1093"/>
      <c r="AO173" s="1094"/>
      <c r="AP173" s="666">
        <f>+IF(AND(AU173="",BB173="OUI",BH173="non",BI173="OUI"),AM173,IF(AND(AU173="",BB173="OUI",BH173="oui",BI173="NON"),AM173,IF(AND(AU173="",BB173="NON",BH173="oui",BI173="NON"),M173,IF(AND(AU173="",BB173="NON",BH173="non",BI173="OUI"),M173,IF(AND(AU173="",BB173="OUI",BH173="non",BI173="NON"),"ERREUR",IF(AND(AU173="",BB173="NON",BH173="non",BI173="NON"),AM173,IF(AND(AU173="",BB173="OUI",BH173="",BI173=""),AM173,IF(AND(AU173="",BB173="NON",BH173="",BI173="",AZ173="NON"),M173,IF(AND(AU173="",BH173="",AZ173="OUI",AR173=""),AM173,IF(AND(AU173="",BH173="",AZ173="NON",AR173="",AT173=""),M173,IF(AND(OR(AR173=S.CAL!$BJ$3,AR173=S.CAL!$BJ$4),(VLOOKUP($AM$140,base_nbre_sem_mensu,2,FALSE)=52)),EE173,IF(AND(OR(AR173=S.CAL!$BJ$3,AR173=S.CAL!$BJ$4),(VLOOKUP($AM$140,base_nbre_sem_mensu,2,FALSE)&lt;52)),AM173,IF(AND(AT173&lt;&gt;"",AU173=""),AT173,AU173)))))))))))))</f>
        <v>0</v>
      </c>
      <c r="AQ173" s="498">
        <f t="shared" si="315"/>
        <v>0</v>
      </c>
      <c r="AR173" s="1098"/>
      <c r="AT173" s="1101"/>
      <c r="AU173" s="813"/>
      <c r="AV173" s="1370">
        <f t="shared" si="296"/>
        <v>46139</v>
      </c>
      <c r="AX173" s="511">
        <f t="shared" si="316"/>
        <v>46139</v>
      </c>
      <c r="AY173" s="523">
        <f t="shared" si="317"/>
        <v>0</v>
      </c>
      <c r="AZ173" s="520" t="s">
        <v>137</v>
      </c>
      <c r="BA173" s="516">
        <f t="shared" si="318"/>
        <v>0</v>
      </c>
      <c r="BB173" s="549" t="str">
        <f t="shared" si="297"/>
        <v/>
      </c>
      <c r="BC173" s="523">
        <f t="shared" si="319"/>
        <v>0</v>
      </c>
      <c r="BD173" s="523">
        <f t="shared" si="320"/>
        <v>0</v>
      </c>
      <c r="BE173" s="732"/>
      <c r="BF173" s="514" t="str">
        <f t="shared" si="298"/>
        <v/>
      </c>
      <c r="BG173" s="514" t="str">
        <f t="shared" si="321"/>
        <v>oui</v>
      </c>
      <c r="BH173" s="377" t="str">
        <f t="shared" si="299"/>
        <v/>
      </c>
      <c r="BI173" s="24" t="str">
        <f t="shared" si="300"/>
        <v/>
      </c>
      <c r="BJ173" s="1381"/>
      <c r="BK173" s="1381"/>
      <c r="BL173" s="1381"/>
      <c r="BM173" s="1381"/>
      <c r="BN173" s="1381"/>
      <c r="BO173" s="1381"/>
      <c r="BP173" s="1381"/>
      <c r="BQ173" s="1381"/>
      <c r="BS173" s="1370">
        <f t="shared" si="267"/>
        <v>46139</v>
      </c>
      <c r="BT173" s="27">
        <f t="shared" si="329"/>
        <v>18</v>
      </c>
      <c r="BU173" s="1380"/>
      <c r="BV173" s="1380"/>
      <c r="BW173" s="1380"/>
      <c r="BX173" s="1380"/>
      <c r="BY173" s="1380"/>
      <c r="BZ173" s="1380"/>
      <c r="CA173" s="1380"/>
      <c r="CB173" s="1380"/>
      <c r="CD173" s="1386">
        <f t="shared" si="322"/>
        <v>0</v>
      </c>
      <c r="DC173" s="16" t="str">
        <f>Avril!FC46</f>
        <v>non</v>
      </c>
      <c r="DG173" s="315">
        <f t="shared" si="323"/>
        <v>1</v>
      </c>
      <c r="DH173" s="129">
        <f t="shared" si="301"/>
        <v>10</v>
      </c>
      <c r="DI173" s="129">
        <f t="shared" si="324"/>
        <v>1</v>
      </c>
      <c r="DK173" s="16">
        <f>+IF(AND(Avril!$DP$8&lt;&gt;52,AR173=S.CAL!$BJ$4),10,1)</f>
        <v>1</v>
      </c>
      <c r="DN173" s="16">
        <f t="shared" si="302"/>
        <v>1</v>
      </c>
      <c r="DU173" s="1274" t="str">
        <f t="shared" si="325"/>
        <v>Fiche infoA146139</v>
      </c>
      <c r="DV173" s="1362">
        <f t="shared" si="303"/>
        <v>0</v>
      </c>
      <c r="DW173" s="1363">
        <f t="shared" si="304"/>
        <v>0</v>
      </c>
      <c r="DX173" s="1363">
        <f t="shared" si="305"/>
        <v>0</v>
      </c>
      <c r="DY173" s="1363">
        <f t="shared" si="306"/>
        <v>0</v>
      </c>
      <c r="DZ173" s="1363">
        <f t="shared" si="307"/>
        <v>0</v>
      </c>
      <c r="EA173" s="1363">
        <f t="shared" si="308"/>
        <v>0</v>
      </c>
      <c r="EB173" s="1363">
        <f t="shared" si="309"/>
        <v>0</v>
      </c>
      <c r="EC173" s="1363">
        <f t="shared" si="310"/>
        <v>0</v>
      </c>
      <c r="ED173" s="1363">
        <f t="shared" si="326"/>
        <v>0</v>
      </c>
      <c r="EE173" s="1364">
        <f t="shared" si="327"/>
        <v>0</v>
      </c>
      <c r="EG173" s="16" t="str">
        <f t="shared" si="328"/>
        <v>182026</v>
      </c>
      <c r="EH173" s="16" t="str">
        <f t="shared" si="311"/>
        <v>Fiche infoA1</v>
      </c>
      <c r="EI173" s="16" t="str">
        <f t="shared" si="312"/>
        <v/>
      </c>
    </row>
    <row r="174" spans="1:139" x14ac:dyDescent="0.2">
      <c r="A174" s="1373" t="str">
        <f>Avril!BJ47</f>
        <v>Fiche infoA2</v>
      </c>
      <c r="B174" s="811">
        <f>Avril!AB47</f>
        <v>46140</v>
      </c>
      <c r="C174" s="1372"/>
      <c r="D174" s="981">
        <f t="shared" si="268"/>
        <v>0</v>
      </c>
      <c r="E174" s="434">
        <f t="shared" si="269"/>
        <v>0</v>
      </c>
      <c r="F174" s="434">
        <f t="shared" si="270"/>
        <v>0</v>
      </c>
      <c r="G174" s="434">
        <f t="shared" si="271"/>
        <v>0</v>
      </c>
      <c r="H174" s="434">
        <f t="shared" si="272"/>
        <v>0</v>
      </c>
      <c r="I174" s="434">
        <f t="shared" si="273"/>
        <v>0</v>
      </c>
      <c r="J174" s="434">
        <f t="shared" si="274"/>
        <v>0</v>
      </c>
      <c r="K174" s="434">
        <f t="shared" si="275"/>
        <v>0</v>
      </c>
      <c r="L174" s="434">
        <f t="shared" si="313"/>
        <v>0</v>
      </c>
      <c r="M174" s="982">
        <f t="shared" si="314"/>
        <v>0</v>
      </c>
      <c r="N174" s="1374"/>
      <c r="O174" s="981">
        <f t="shared" si="330"/>
        <v>0</v>
      </c>
      <c r="P174" s="434">
        <f t="shared" si="331"/>
        <v>0</v>
      </c>
      <c r="Q174" s="434">
        <f t="shared" si="332"/>
        <v>0</v>
      </c>
      <c r="R174" s="434">
        <f t="shared" si="333"/>
        <v>0</v>
      </c>
      <c r="S174" s="434">
        <f t="shared" si="334"/>
        <v>0</v>
      </c>
      <c r="T174" s="434">
        <f t="shared" si="335"/>
        <v>0</v>
      </c>
      <c r="U174" s="434">
        <f t="shared" si="336"/>
        <v>0</v>
      </c>
      <c r="V174" s="434">
        <f t="shared" si="337"/>
        <v>0</v>
      </c>
      <c r="W174" s="434">
        <f t="shared" si="284"/>
        <v>0</v>
      </c>
      <c r="X174" s="982">
        <f t="shared" si="285"/>
        <v>0</v>
      </c>
      <c r="Y174" s="1375"/>
      <c r="Z174" s="1376">
        <f t="shared" si="286"/>
        <v>0</v>
      </c>
      <c r="AA174" s="1376">
        <f t="shared" si="287"/>
        <v>0</v>
      </c>
      <c r="AB174" s="1376">
        <f t="shared" si="288"/>
        <v>0</v>
      </c>
      <c r="AC174" s="1376">
        <f t="shared" si="289"/>
        <v>0</v>
      </c>
      <c r="AD174" s="1376">
        <f t="shared" si="290"/>
        <v>0</v>
      </c>
      <c r="AE174" s="1376">
        <f t="shared" si="291"/>
        <v>0</v>
      </c>
      <c r="AF174" s="1376">
        <f t="shared" si="292"/>
        <v>0</v>
      </c>
      <c r="AG174" s="1376">
        <f t="shared" si="293"/>
        <v>0</v>
      </c>
      <c r="AH174" s="1374"/>
      <c r="AI174" s="444">
        <f t="shared" si="338"/>
        <v>0</v>
      </c>
      <c r="AJ174" s="1090"/>
      <c r="AK174" s="1377"/>
      <c r="AL174" s="811">
        <f t="shared" si="295"/>
        <v>46140</v>
      </c>
      <c r="AM174" s="666">
        <f>IFERROR(IF(AND(AT174="",AR174&lt;&gt;S.CAL!$BJ$3,AR174&lt;&gt;S.CAL!$BJ$4,$AR$140="NON"),M174-BD174,IF(AND(AT174="",AR174&lt;&gt;S.CAL!$BJ$3,AR174&lt;&gt;S.CAL!$BJ$4,$AR$140="OUI"),X174-AI174,IF(AT174&lt;&gt;0,AT174,IF(OR(AR174=S.CAL!$BJ$3,AR174=S.CAL!$BJ$4),AR174,"")))),"")</f>
        <v>0</v>
      </c>
      <c r="AN174" s="1093"/>
      <c r="AO174" s="1094"/>
      <c r="AP174" s="666">
        <f>+IF(AND(AU174="",BB174="OUI",BH174="non",BI174="OUI"),AM174,IF(AND(AU174="",BB174="OUI",BH174="oui",BI174="NON"),AM174,IF(AND(AU174="",BB174="NON",BH174="oui",BI174="NON"),M174,IF(AND(AU174="",BB174="NON",BH174="non",BI174="OUI"),M174,IF(AND(AU174="",BB174="OUI",BH174="non",BI174="NON"),"ERREUR",IF(AND(AU174="",BB174="NON",BH174="non",BI174="NON"),AM174,IF(AND(AU174="",BB174="OUI",BH174="",BI174=""),AM174,IF(AND(AU174="",BB174="NON",BH174="",BI174="",AZ174="NON"),M174,IF(AND(AU174="",BH174="",AZ174="OUI",AR174=""),AM174,IF(AND(AU174="",BH174="",AZ174="NON",AR174="",AT174=""),M174,IF(AND(OR(AR174=S.CAL!$BJ$3,AR174=S.CAL!$BJ$4),(VLOOKUP($AM$140,base_nbre_sem_mensu,2,FALSE)=52)),EE174,IF(AND(OR(AR174=S.CAL!$BJ$3,AR174=S.CAL!$BJ$4),(VLOOKUP($AM$140,base_nbre_sem_mensu,2,FALSE)&lt;52)),AM174,IF(AND(AT174&lt;&gt;"",AU174=""),AT174,AU174)))))))))))))</f>
        <v>0</v>
      </c>
      <c r="AQ174" s="1378">
        <f t="shared" si="315"/>
        <v>0</v>
      </c>
      <c r="AR174" s="1098"/>
      <c r="AS174" s="1374"/>
      <c r="AT174" s="1101"/>
      <c r="AU174" s="813"/>
      <c r="AV174" s="1370">
        <f t="shared" si="296"/>
        <v>46140</v>
      </c>
      <c r="AW174" s="1374"/>
      <c r="AX174" s="511">
        <f t="shared" si="316"/>
        <v>46140</v>
      </c>
      <c r="AY174" s="523">
        <f t="shared" si="317"/>
        <v>0</v>
      </c>
      <c r="AZ174" s="520" t="s">
        <v>137</v>
      </c>
      <c r="BA174" s="516">
        <f t="shared" si="318"/>
        <v>0</v>
      </c>
      <c r="BB174" s="549" t="str">
        <f t="shared" si="297"/>
        <v/>
      </c>
      <c r="BC174" s="523">
        <f t="shared" si="319"/>
        <v>0</v>
      </c>
      <c r="BD174" s="523">
        <f t="shared" si="320"/>
        <v>0</v>
      </c>
      <c r="BE174" s="732"/>
      <c r="BF174" s="514" t="str">
        <f t="shared" si="298"/>
        <v/>
      </c>
      <c r="BG174" s="514" t="str">
        <f t="shared" si="321"/>
        <v>oui</v>
      </c>
      <c r="BH174" s="377" t="str">
        <f t="shared" si="299"/>
        <v/>
      </c>
      <c r="BI174" s="24" t="str">
        <f t="shared" si="300"/>
        <v/>
      </c>
      <c r="BJ174" s="1382"/>
      <c r="BK174" s="1382"/>
      <c r="BL174" s="1382"/>
      <c r="BM174" s="1382"/>
      <c r="BN174" s="1382"/>
      <c r="BO174" s="1382"/>
      <c r="BP174" s="1382"/>
      <c r="BQ174" s="1382"/>
      <c r="BR174" s="1383"/>
      <c r="BS174" s="1370">
        <f t="shared" si="267"/>
        <v>46140</v>
      </c>
      <c r="BT174" s="1384" t="str">
        <f t="shared" si="329"/>
        <v/>
      </c>
      <c r="BU174" s="1382"/>
      <c r="BV174" s="1382"/>
      <c r="BW174" s="1382"/>
      <c r="BX174" s="1382"/>
      <c r="BY174" s="1382"/>
      <c r="BZ174" s="1382"/>
      <c r="CA174" s="1382"/>
      <c r="CB174" s="1382"/>
      <c r="CD174" s="1386">
        <f t="shared" si="322"/>
        <v>0</v>
      </c>
      <c r="DC174" s="16" t="str">
        <f>Avril!FC47</f>
        <v>non</v>
      </c>
      <c r="DG174" s="315">
        <f t="shared" si="323"/>
        <v>1</v>
      </c>
      <c r="DH174" s="129">
        <f t="shared" si="301"/>
        <v>10</v>
      </c>
      <c r="DI174" s="129">
        <f t="shared" si="324"/>
        <v>1</v>
      </c>
      <c r="DK174" s="16">
        <f>+IF(AND(Avril!$DP$8&lt;&gt;52,AR174=S.CAL!$BJ$4),10,1)</f>
        <v>1</v>
      </c>
      <c r="DN174" s="16">
        <f t="shared" si="302"/>
        <v>1</v>
      </c>
      <c r="DU174" s="1274" t="str">
        <f t="shared" si="325"/>
        <v>Fiche infoA246140</v>
      </c>
      <c r="DV174" s="1362">
        <f t="shared" si="303"/>
        <v>0</v>
      </c>
      <c r="DW174" s="1363">
        <f t="shared" si="304"/>
        <v>0</v>
      </c>
      <c r="DX174" s="1363">
        <f t="shared" si="305"/>
        <v>0</v>
      </c>
      <c r="DY174" s="1363">
        <f t="shared" si="306"/>
        <v>0</v>
      </c>
      <c r="DZ174" s="1363">
        <f t="shared" si="307"/>
        <v>0</v>
      </c>
      <c r="EA174" s="1363">
        <f t="shared" si="308"/>
        <v>0</v>
      </c>
      <c r="EB174" s="1363">
        <f t="shared" si="309"/>
        <v>0</v>
      </c>
      <c r="EC174" s="1363">
        <f t="shared" si="310"/>
        <v>0</v>
      </c>
      <c r="ED174" s="1363">
        <f t="shared" si="326"/>
        <v>0</v>
      </c>
      <c r="EE174" s="1364">
        <f t="shared" si="327"/>
        <v>0</v>
      </c>
      <c r="EG174" s="16" t="str">
        <f t="shared" si="328"/>
        <v>182026</v>
      </c>
      <c r="EH174" s="16" t="str">
        <f t="shared" si="311"/>
        <v>Fiche infoA2</v>
      </c>
      <c r="EI174" s="16" t="str">
        <f t="shared" si="312"/>
        <v/>
      </c>
    </row>
    <row r="175" spans="1:139" x14ac:dyDescent="0.2">
      <c r="A175" s="24" t="str">
        <f>Avril!BJ48</f>
        <v>Fiche infoA3</v>
      </c>
      <c r="B175" s="811">
        <f>Avril!AB48</f>
        <v>46141</v>
      </c>
      <c r="C175" s="1371"/>
      <c r="D175" s="981">
        <f t="shared" si="268"/>
        <v>0</v>
      </c>
      <c r="E175" s="434">
        <f t="shared" si="269"/>
        <v>0</v>
      </c>
      <c r="F175" s="434">
        <f t="shared" si="270"/>
        <v>0</v>
      </c>
      <c r="G175" s="434">
        <f t="shared" si="271"/>
        <v>0</v>
      </c>
      <c r="H175" s="434">
        <f t="shared" si="272"/>
        <v>0</v>
      </c>
      <c r="I175" s="434">
        <f t="shared" si="273"/>
        <v>0</v>
      </c>
      <c r="J175" s="434">
        <f t="shared" si="274"/>
        <v>0</v>
      </c>
      <c r="K175" s="434">
        <f t="shared" si="275"/>
        <v>0</v>
      </c>
      <c r="L175" s="434">
        <f t="shared" si="313"/>
        <v>0</v>
      </c>
      <c r="M175" s="982">
        <f t="shared" si="314"/>
        <v>0</v>
      </c>
      <c r="O175" s="981">
        <f t="shared" si="330"/>
        <v>0</v>
      </c>
      <c r="P175" s="434">
        <f t="shared" si="331"/>
        <v>0</v>
      </c>
      <c r="Q175" s="434">
        <f t="shared" si="332"/>
        <v>0</v>
      </c>
      <c r="R175" s="434">
        <f t="shared" si="333"/>
        <v>0</v>
      </c>
      <c r="S175" s="434">
        <f t="shared" si="334"/>
        <v>0</v>
      </c>
      <c r="T175" s="434">
        <f t="shared" si="335"/>
        <v>0</v>
      </c>
      <c r="U175" s="434">
        <f t="shared" si="336"/>
        <v>0</v>
      </c>
      <c r="V175" s="434">
        <f t="shared" si="337"/>
        <v>0</v>
      </c>
      <c r="W175" s="434">
        <f t="shared" si="284"/>
        <v>0</v>
      </c>
      <c r="X175" s="982">
        <f t="shared" si="285"/>
        <v>0</v>
      </c>
      <c r="Y175" s="441"/>
      <c r="Z175" s="277">
        <f t="shared" si="286"/>
        <v>0</v>
      </c>
      <c r="AA175" s="277">
        <f t="shared" si="287"/>
        <v>0</v>
      </c>
      <c r="AB175" s="277">
        <f t="shared" si="288"/>
        <v>0</v>
      </c>
      <c r="AC175" s="277">
        <f t="shared" si="289"/>
        <v>0</v>
      </c>
      <c r="AD175" s="277">
        <f t="shared" si="290"/>
        <v>0</v>
      </c>
      <c r="AE175" s="277">
        <f t="shared" si="291"/>
        <v>0</v>
      </c>
      <c r="AF175" s="277">
        <f t="shared" si="292"/>
        <v>0</v>
      </c>
      <c r="AG175" s="277">
        <f t="shared" si="293"/>
        <v>0</v>
      </c>
      <c r="AI175" s="444">
        <f t="shared" si="338"/>
        <v>0</v>
      </c>
      <c r="AJ175" s="1090"/>
      <c r="AK175" s="489"/>
      <c r="AL175" s="811">
        <f t="shared" si="295"/>
        <v>46141</v>
      </c>
      <c r="AM175" s="666">
        <f>IFERROR(IF(AND(AT175="",AR175&lt;&gt;S.CAL!$BJ$3,AR175&lt;&gt;S.CAL!$BJ$4,$AR$140="NON"),M175-BD175,IF(AND(AT175="",AR175&lt;&gt;S.CAL!$BJ$3,AR175&lt;&gt;S.CAL!$BJ$4,$AR$140="OUI"),X175-AI175,IF(AT175&lt;&gt;0,AT175,IF(OR(AR175=S.CAL!$BJ$3,AR175=S.CAL!$BJ$4),AR175,"")))),"")</f>
        <v>0</v>
      </c>
      <c r="AN175" s="1093"/>
      <c r="AO175" s="1094"/>
      <c r="AP175" s="666">
        <f>+IF(AND(AU175="",BB175="OUI",BH175="non",BI175="OUI"),AM175,IF(AND(AU175="",BB175="OUI",BH175="oui",BI175="NON"),AM175,IF(AND(AU175="",BB175="NON",BH175="oui",BI175="NON"),M175,IF(AND(AU175="",BB175="NON",BH175="non",BI175="OUI"),M175,IF(AND(AU175="",BB175="OUI",BH175="non",BI175="NON"),"ERREUR",IF(AND(AU175="",BB175="NON",BH175="non",BI175="NON"),AM175,IF(AND(AU175="",BB175="OUI",BH175="",BI175=""),AM175,IF(AND(AU175="",BB175="NON",BH175="",BI175="",AZ175="NON"),M175,IF(AND(AU175="",BH175="",AZ175="OUI",AR175=""),AM175,IF(AND(AU175="",BH175="",AZ175="NON",AR175="",AT175=""),M175,IF(AND(OR(AR175=S.CAL!$BJ$3,AR175=S.CAL!$BJ$4),(VLOOKUP($AM$140,base_nbre_sem_mensu,2,FALSE)=52)),EE175,IF(AND(OR(AR175=S.CAL!$BJ$3,AR175=S.CAL!$BJ$4),(VLOOKUP($AM$140,base_nbre_sem_mensu,2,FALSE)&lt;52)),AM175,IF(AND(AT175&lt;&gt;"",AU175=""),AT175,AU175)))))))))))))</f>
        <v>0</v>
      </c>
      <c r="AQ175" s="498">
        <f t="shared" si="315"/>
        <v>0</v>
      </c>
      <c r="AR175" s="1098"/>
      <c r="AT175" s="1101"/>
      <c r="AU175" s="813"/>
      <c r="AV175" s="1370">
        <f t="shared" si="296"/>
        <v>46141</v>
      </c>
      <c r="AX175" s="511">
        <f t="shared" si="316"/>
        <v>46141</v>
      </c>
      <c r="AY175" s="523">
        <f t="shared" si="317"/>
        <v>0</v>
      </c>
      <c r="AZ175" s="520" t="s">
        <v>137</v>
      </c>
      <c r="BA175" s="516">
        <f t="shared" si="318"/>
        <v>0</v>
      </c>
      <c r="BB175" s="549" t="str">
        <f t="shared" si="297"/>
        <v/>
      </c>
      <c r="BC175" s="523">
        <f t="shared" si="319"/>
        <v>0</v>
      </c>
      <c r="BD175" s="523">
        <f t="shared" si="320"/>
        <v>0</v>
      </c>
      <c r="BE175" s="732"/>
      <c r="BF175" s="514" t="str">
        <f t="shared" si="298"/>
        <v/>
      </c>
      <c r="BG175" s="514" t="str">
        <f t="shared" si="321"/>
        <v>oui</v>
      </c>
      <c r="BH175" s="377" t="str">
        <f t="shared" si="299"/>
        <v/>
      </c>
      <c r="BI175" s="24" t="str">
        <f t="shared" si="300"/>
        <v/>
      </c>
      <c r="BJ175" s="1381"/>
      <c r="BK175" s="1381"/>
      <c r="BL175" s="1381"/>
      <c r="BM175" s="1381"/>
      <c r="BN175" s="1381"/>
      <c r="BO175" s="1381"/>
      <c r="BP175" s="1381"/>
      <c r="BQ175" s="1381"/>
      <c r="BS175" s="1370">
        <f t="shared" si="267"/>
        <v>46141</v>
      </c>
      <c r="BT175" s="27" t="str">
        <f t="shared" si="329"/>
        <v/>
      </c>
      <c r="BU175" s="1380"/>
      <c r="BV175" s="1380"/>
      <c r="BW175" s="1380"/>
      <c r="BX175" s="1380"/>
      <c r="BY175" s="1380"/>
      <c r="BZ175" s="1380"/>
      <c r="CA175" s="1380"/>
      <c r="CB175" s="1380"/>
      <c r="CD175" s="1386">
        <f t="shared" si="322"/>
        <v>0</v>
      </c>
      <c r="DC175" s="16" t="str">
        <f>Avril!FC48</f>
        <v>non</v>
      </c>
      <c r="DG175" s="315">
        <f t="shared" si="323"/>
        <v>1</v>
      </c>
      <c r="DH175" s="129">
        <f t="shared" si="301"/>
        <v>10</v>
      </c>
      <c r="DI175" s="129">
        <f t="shared" si="324"/>
        <v>1</v>
      </c>
      <c r="DK175" s="16">
        <f>+IF(AND(Avril!$DP$8&lt;&gt;52,AR175=S.CAL!$BJ$4),10,1)</f>
        <v>1</v>
      </c>
      <c r="DN175" s="16">
        <f t="shared" si="302"/>
        <v>1</v>
      </c>
      <c r="DU175" s="1274" t="str">
        <f t="shared" si="325"/>
        <v>Fiche infoA346141</v>
      </c>
      <c r="DV175" s="1362">
        <f t="shared" si="303"/>
        <v>0</v>
      </c>
      <c r="DW175" s="1363">
        <f t="shared" si="304"/>
        <v>0</v>
      </c>
      <c r="DX175" s="1363">
        <f t="shared" si="305"/>
        <v>0</v>
      </c>
      <c r="DY175" s="1363">
        <f t="shared" si="306"/>
        <v>0</v>
      </c>
      <c r="DZ175" s="1363">
        <f t="shared" si="307"/>
        <v>0</v>
      </c>
      <c r="EA175" s="1363">
        <f t="shared" si="308"/>
        <v>0</v>
      </c>
      <c r="EB175" s="1363">
        <f t="shared" si="309"/>
        <v>0</v>
      </c>
      <c r="EC175" s="1363">
        <f t="shared" si="310"/>
        <v>0</v>
      </c>
      <c r="ED175" s="1363">
        <f t="shared" si="326"/>
        <v>0</v>
      </c>
      <c r="EE175" s="1364">
        <f t="shared" si="327"/>
        <v>0</v>
      </c>
      <c r="EG175" s="16" t="str">
        <f t="shared" si="328"/>
        <v>182026</v>
      </c>
      <c r="EH175" s="16" t="str">
        <f t="shared" si="311"/>
        <v>Fiche infoA3</v>
      </c>
      <c r="EI175" s="16" t="str">
        <f t="shared" si="312"/>
        <v/>
      </c>
    </row>
    <row r="176" spans="1:139" x14ac:dyDescent="0.2">
      <c r="A176" s="1373" t="str">
        <f>Avril!BJ49</f>
        <v>Fiche infoA4</v>
      </c>
      <c r="B176" s="811">
        <f>Avril!AB49</f>
        <v>46142</v>
      </c>
      <c r="C176" s="1372"/>
      <c r="D176" s="981">
        <f t="shared" si="268"/>
        <v>0</v>
      </c>
      <c r="E176" s="434">
        <f t="shared" si="269"/>
        <v>0</v>
      </c>
      <c r="F176" s="434">
        <f t="shared" si="270"/>
        <v>0</v>
      </c>
      <c r="G176" s="434">
        <f t="shared" si="271"/>
        <v>0</v>
      </c>
      <c r="H176" s="434">
        <f t="shared" si="272"/>
        <v>0</v>
      </c>
      <c r="I176" s="434">
        <f t="shared" si="273"/>
        <v>0</v>
      </c>
      <c r="J176" s="434">
        <f t="shared" si="274"/>
        <v>0</v>
      </c>
      <c r="K176" s="434">
        <f t="shared" si="275"/>
        <v>0</v>
      </c>
      <c r="L176" s="434">
        <f t="shared" si="313"/>
        <v>0</v>
      </c>
      <c r="M176" s="982">
        <f t="shared" si="314"/>
        <v>0</v>
      </c>
      <c r="N176" s="1374"/>
      <c r="O176" s="981">
        <f t="shared" si="330"/>
        <v>0</v>
      </c>
      <c r="P176" s="434">
        <f t="shared" si="331"/>
        <v>0</v>
      </c>
      <c r="Q176" s="434">
        <f t="shared" si="332"/>
        <v>0</v>
      </c>
      <c r="R176" s="434">
        <f t="shared" si="333"/>
        <v>0</v>
      </c>
      <c r="S176" s="434">
        <f t="shared" si="334"/>
        <v>0</v>
      </c>
      <c r="T176" s="434">
        <f t="shared" si="335"/>
        <v>0</v>
      </c>
      <c r="U176" s="434">
        <f t="shared" si="336"/>
        <v>0</v>
      </c>
      <c r="V176" s="434">
        <f t="shared" si="337"/>
        <v>0</v>
      </c>
      <c r="W176" s="434">
        <f t="shared" si="284"/>
        <v>0</v>
      </c>
      <c r="X176" s="982">
        <f t="shared" si="285"/>
        <v>0</v>
      </c>
      <c r="Y176" s="1375"/>
      <c r="Z176" s="1376">
        <f t="shared" si="286"/>
        <v>0</v>
      </c>
      <c r="AA176" s="1376">
        <f t="shared" si="287"/>
        <v>0</v>
      </c>
      <c r="AB176" s="1376">
        <f t="shared" si="288"/>
        <v>0</v>
      </c>
      <c r="AC176" s="1376">
        <f t="shared" si="289"/>
        <v>0</v>
      </c>
      <c r="AD176" s="1376">
        <f t="shared" si="290"/>
        <v>0</v>
      </c>
      <c r="AE176" s="1376">
        <f t="shared" si="291"/>
        <v>0</v>
      </c>
      <c r="AF176" s="1376">
        <f t="shared" si="292"/>
        <v>0</v>
      </c>
      <c r="AG176" s="1376">
        <f t="shared" si="293"/>
        <v>0</v>
      </c>
      <c r="AH176" s="1374"/>
      <c r="AI176" s="444">
        <f t="shared" si="338"/>
        <v>0</v>
      </c>
      <c r="AJ176" s="1090"/>
      <c r="AK176" s="1377"/>
      <c r="AL176" s="811">
        <f t="shared" si="295"/>
        <v>46142</v>
      </c>
      <c r="AM176" s="666">
        <f>IFERROR(IF(AND(AT176="",AR176&lt;&gt;S.CAL!$BJ$3,AR176&lt;&gt;S.CAL!$BJ$4,$AR$140="NON"),M176-BD176,IF(AND(AT176="",AR176&lt;&gt;S.CAL!$BJ$3,AR176&lt;&gt;S.CAL!$BJ$4,$AR$140="OUI"),X176-AI176,IF(AT176&lt;&gt;0,AT176,IF(OR(AR176=S.CAL!$BJ$3,AR176=S.CAL!$BJ$4),AR176,"")))),"")</f>
        <v>0</v>
      </c>
      <c r="AN176" s="1093"/>
      <c r="AO176" s="1094"/>
      <c r="AP176" s="666">
        <f>+IF(AND(AU176="",BB176="OUI",BH176="non",BI176="OUI"),AM176,IF(AND(AU176="",BB176="OUI",BH176="oui",BI176="NON"),AM176,IF(AND(AU176="",BB176="NON",BH176="oui",BI176="NON"),M176,IF(AND(AU176="",BB176="NON",BH176="non",BI176="OUI"),M176,IF(AND(AU176="",BB176="OUI",BH176="non",BI176="NON"),"ERREUR",IF(AND(AU176="",BB176="NON",BH176="non",BI176="NON"),AM176,IF(AND(AU176="",BB176="OUI",BH176="",BI176=""),AM176,IF(AND(AU176="",BB176="NON",BH176="",BI176="",AZ176="NON"),M176,IF(AND(AU176="",BH176="",AZ176="OUI",AR176=""),AM176,IF(AND(AU176="",BH176="",AZ176="NON",AR176="",AT176=""),M176,IF(AND(OR(AR176=S.CAL!$BJ$3,AR176=S.CAL!$BJ$4),(VLOOKUP($AM$140,base_nbre_sem_mensu,2,FALSE)=52)),EE176,IF(AND(OR(AR176=S.CAL!$BJ$3,AR176=S.CAL!$BJ$4),(VLOOKUP($AM$140,base_nbre_sem_mensu,2,FALSE)&lt;52)),AM176,IF(AND(AT176&lt;&gt;"",AU176=""),AT176,AU176)))))))))))))</f>
        <v>0</v>
      </c>
      <c r="AQ176" s="1378">
        <f t="shared" si="315"/>
        <v>0</v>
      </c>
      <c r="AR176" s="1098"/>
      <c r="AS176" s="1374"/>
      <c r="AT176" s="1101"/>
      <c r="AU176" s="813"/>
      <c r="AV176" s="1370">
        <f t="shared" si="296"/>
        <v>46142</v>
      </c>
      <c r="AW176" s="1374"/>
      <c r="AX176" s="511">
        <f t="shared" si="316"/>
        <v>46142</v>
      </c>
      <c r="AY176" s="523">
        <f t="shared" si="317"/>
        <v>0</v>
      </c>
      <c r="AZ176" s="520" t="s">
        <v>137</v>
      </c>
      <c r="BA176" s="516">
        <f t="shared" si="318"/>
        <v>0</v>
      </c>
      <c r="BB176" s="549" t="str">
        <f t="shared" si="297"/>
        <v/>
      </c>
      <c r="BC176" s="523">
        <f t="shared" si="319"/>
        <v>0</v>
      </c>
      <c r="BD176" s="523">
        <f t="shared" si="320"/>
        <v>0</v>
      </c>
      <c r="BE176" s="732"/>
      <c r="BF176" s="514" t="str">
        <f t="shared" si="298"/>
        <v/>
      </c>
      <c r="BG176" s="514" t="str">
        <f t="shared" si="321"/>
        <v>oui</v>
      </c>
      <c r="BH176" s="377" t="str">
        <f t="shared" si="299"/>
        <v/>
      </c>
      <c r="BI176" s="24" t="str">
        <f t="shared" si="300"/>
        <v/>
      </c>
      <c r="BJ176" s="1382"/>
      <c r="BK176" s="1382"/>
      <c r="BL176" s="1382"/>
      <c r="BM176" s="1382"/>
      <c r="BN176" s="1382"/>
      <c r="BO176" s="1382"/>
      <c r="BP176" s="1382"/>
      <c r="BQ176" s="1382"/>
      <c r="BR176" s="1383"/>
      <c r="BS176" s="1370">
        <f t="shared" si="267"/>
        <v>46142</v>
      </c>
      <c r="BT176" s="1384" t="str">
        <f t="shared" si="329"/>
        <v/>
      </c>
      <c r="BU176" s="1382"/>
      <c r="BV176" s="1382"/>
      <c r="BW176" s="1382"/>
      <c r="BX176" s="1382"/>
      <c r="BY176" s="1382"/>
      <c r="BZ176" s="1382"/>
      <c r="CA176" s="1382"/>
      <c r="CB176" s="1382"/>
      <c r="CD176" s="1386">
        <f t="shared" si="322"/>
        <v>0</v>
      </c>
      <c r="DC176" s="16" t="str">
        <f>Avril!FC49</f>
        <v>non</v>
      </c>
      <c r="DG176" s="315">
        <f t="shared" si="323"/>
        <v>1</v>
      </c>
      <c r="DH176" s="129">
        <f t="shared" si="301"/>
        <v>10</v>
      </c>
      <c r="DI176" s="129">
        <f t="shared" si="324"/>
        <v>1</v>
      </c>
      <c r="DK176" s="16">
        <f>+IF(AND(Avril!$DP$8&lt;&gt;52,AR176=S.CAL!$BJ$4),10,1)</f>
        <v>1</v>
      </c>
      <c r="DN176" s="16">
        <f t="shared" si="302"/>
        <v>1</v>
      </c>
      <c r="DU176" s="1274" t="str">
        <f t="shared" si="325"/>
        <v>Fiche infoA446142</v>
      </c>
      <c r="DV176" s="1362">
        <f t="shared" si="303"/>
        <v>0</v>
      </c>
      <c r="DW176" s="1363">
        <f t="shared" si="304"/>
        <v>0</v>
      </c>
      <c r="DX176" s="1363">
        <f t="shared" si="305"/>
        <v>0</v>
      </c>
      <c r="DY176" s="1363">
        <f t="shared" si="306"/>
        <v>0</v>
      </c>
      <c r="DZ176" s="1363">
        <f t="shared" si="307"/>
        <v>0</v>
      </c>
      <c r="EA176" s="1363">
        <f t="shared" si="308"/>
        <v>0</v>
      </c>
      <c r="EB176" s="1363">
        <f t="shared" si="309"/>
        <v>0</v>
      </c>
      <c r="EC176" s="1363">
        <f t="shared" si="310"/>
        <v>0</v>
      </c>
      <c r="ED176" s="1363">
        <f t="shared" si="326"/>
        <v>0</v>
      </c>
      <c r="EE176" s="1364">
        <f t="shared" si="327"/>
        <v>0</v>
      </c>
      <c r="EG176" s="16" t="str">
        <f t="shared" si="328"/>
        <v>182026</v>
      </c>
      <c r="EH176" s="16" t="str">
        <f t="shared" si="311"/>
        <v>Fiche infoA4</v>
      </c>
      <c r="EI176" s="16" t="str">
        <f t="shared" si="312"/>
        <v/>
      </c>
    </row>
    <row r="177" spans="1:145" x14ac:dyDescent="0.2">
      <c r="A177" s="24" t="str">
        <f>Avril!BJ50</f>
        <v>Fiche infoA0</v>
      </c>
      <c r="B177" s="812" t="str">
        <f>Avril!AB50</f>
        <v/>
      </c>
      <c r="C177" s="1371"/>
      <c r="D177" s="983">
        <f t="shared" si="268"/>
        <v>0</v>
      </c>
      <c r="E177" s="984">
        <f t="shared" si="269"/>
        <v>0</v>
      </c>
      <c r="F177" s="984">
        <f t="shared" si="270"/>
        <v>0</v>
      </c>
      <c r="G177" s="984">
        <f t="shared" si="271"/>
        <v>0</v>
      </c>
      <c r="H177" s="984">
        <f t="shared" si="272"/>
        <v>0</v>
      </c>
      <c r="I177" s="984">
        <f t="shared" si="273"/>
        <v>0</v>
      </c>
      <c r="J177" s="984">
        <f t="shared" si="274"/>
        <v>0</v>
      </c>
      <c r="K177" s="984">
        <f t="shared" si="275"/>
        <v>0</v>
      </c>
      <c r="L177" s="984">
        <f t="shared" si="313"/>
        <v>0</v>
      </c>
      <c r="M177" s="985">
        <f t="shared" si="314"/>
        <v>0</v>
      </c>
      <c r="O177" s="983">
        <f t="shared" si="330"/>
        <v>0</v>
      </c>
      <c r="P177" s="984">
        <f t="shared" si="331"/>
        <v>0</v>
      </c>
      <c r="Q177" s="984">
        <f t="shared" si="332"/>
        <v>0</v>
      </c>
      <c r="R177" s="984">
        <f t="shared" si="333"/>
        <v>0</v>
      </c>
      <c r="S177" s="984">
        <f t="shared" si="334"/>
        <v>0</v>
      </c>
      <c r="T177" s="984">
        <f t="shared" si="335"/>
        <v>0</v>
      </c>
      <c r="U177" s="984">
        <f t="shared" si="336"/>
        <v>0</v>
      </c>
      <c r="V177" s="984">
        <f t="shared" si="337"/>
        <v>0</v>
      </c>
      <c r="W177" s="984">
        <f t="shared" si="284"/>
        <v>0</v>
      </c>
      <c r="X177" s="985">
        <f t="shared" si="285"/>
        <v>0</v>
      </c>
      <c r="Y177" s="441"/>
      <c r="Z177" s="277">
        <f t="shared" si="286"/>
        <v>0</v>
      </c>
      <c r="AA177" s="277">
        <f t="shared" si="287"/>
        <v>0</v>
      </c>
      <c r="AB177" s="277">
        <f t="shared" si="288"/>
        <v>0</v>
      </c>
      <c r="AC177" s="277">
        <f t="shared" si="289"/>
        <v>0</v>
      </c>
      <c r="AD177" s="277">
        <f t="shared" si="290"/>
        <v>0</v>
      </c>
      <c r="AE177" s="277">
        <f t="shared" si="291"/>
        <v>0</v>
      </c>
      <c r="AF177" s="277">
        <f t="shared" si="292"/>
        <v>0</v>
      </c>
      <c r="AG177" s="277">
        <f t="shared" si="293"/>
        <v>0</v>
      </c>
      <c r="AI177" s="444">
        <f t="shared" si="338"/>
        <v>0</v>
      </c>
      <c r="AJ177" s="1090"/>
      <c r="AK177" s="489"/>
      <c r="AL177" s="812" t="str">
        <f t="shared" si="295"/>
        <v/>
      </c>
      <c r="AM177" s="499">
        <f>IFERROR(IF(AND(AT177="",AR177&lt;&gt;S.CAL!$BJ$3,AR177&lt;&gt;S.CAL!$BJ$4,$AR$140="NON"),M177-BD177,IF(AND(AT177="",AR177&lt;&gt;S.CAL!$BJ$3,AR177&lt;&gt;S.CAL!$BJ$4,$AR$140="OUI"),X177-AI177,IF(AT177&lt;&gt;0,AT177,IF(OR(AR177=S.CAL!$BJ$3,AR177=S.CAL!$BJ$4),AR177,"")))),"")</f>
        <v>0</v>
      </c>
      <c r="AN177" s="1095"/>
      <c r="AO177" s="1096"/>
      <c r="AP177" s="499">
        <f>+IF(AND(AU177="",BB177="OUI",BH177="non",BI177="OUI"),AM177,IF(AND(AU177="",BB177="OUI",BH177="oui",BI177="NON"),AM177,IF(AND(AU177="",BB177="NON",BH177="oui",BI177="NON"),M177,IF(AND(AU177="",BB177="NON",BH177="non",BI177="OUI"),M177,IF(AND(AU177="",BB177="OUI",BH177="non",BI177="NON"),"ERREUR",IF(AND(AU177="",BB177="NON",BH177="non",BI177="NON"),AM177,IF(AND(AU177="",BB177="OUI",BH177="",BI177=""),AM177,IF(AND(AU177="",BB177="NON",BH177="",BI177="",AZ177="NON"),M177,IF(AND(AU177="",BH177="",AZ177="OUI",AR177=""),AM177,IF(AND(AU177="",BH177="",AZ177="NON",AR177="",AT177=""),M177,IF(AND(OR(AR177=S.CAL!$BJ$3,AR177=S.CAL!$BJ$4),(VLOOKUP($AM$140,base_nbre_sem_mensu,2,FALSE)=52)),EE177,IF(AND(OR(AR177=S.CAL!$BJ$3,AR177=S.CAL!$BJ$4),(VLOOKUP($AM$140,base_nbre_sem_mensu,2,FALSE)&lt;52)),AM177,IF(AND(AT177&lt;&gt;"",AU177=""),AT177,AU177)))))))))))))</f>
        <v>0</v>
      </c>
      <c r="AQ177" s="498">
        <f t="shared" si="315"/>
        <v>0</v>
      </c>
      <c r="AR177" s="505"/>
      <c r="AT177" s="977"/>
      <c r="AU177" s="814"/>
      <c r="AV177" s="812" t="str">
        <f t="shared" si="296"/>
        <v/>
      </c>
      <c r="AX177" s="511" t="str">
        <f t="shared" si="316"/>
        <v/>
      </c>
      <c r="AY177" s="524">
        <f t="shared" si="317"/>
        <v>0</v>
      </c>
      <c r="AZ177" s="521" t="s">
        <v>137</v>
      </c>
      <c r="BA177" s="534">
        <f t="shared" si="318"/>
        <v>0</v>
      </c>
      <c r="BB177" s="522" t="str">
        <f t="shared" si="297"/>
        <v/>
      </c>
      <c r="BC177" s="524">
        <f t="shared" si="319"/>
        <v>0</v>
      </c>
      <c r="BD177" s="524">
        <f t="shared" si="320"/>
        <v>0</v>
      </c>
      <c r="BE177" s="491"/>
      <c r="BF177" s="514" t="str">
        <f t="shared" si="298"/>
        <v/>
      </c>
      <c r="BG177" s="514" t="str">
        <f t="shared" si="321"/>
        <v>oui</v>
      </c>
      <c r="BH177" s="377" t="str">
        <f t="shared" si="299"/>
        <v/>
      </c>
      <c r="BI177" s="24" t="str">
        <f t="shared" si="300"/>
        <v/>
      </c>
      <c r="BJ177" s="1381"/>
      <c r="BK177" s="1381"/>
      <c r="BL177" s="1381"/>
      <c r="BM177" s="1381"/>
      <c r="BN177" s="1381"/>
      <c r="BO177" s="1381"/>
      <c r="BP177" s="1381"/>
      <c r="BQ177" s="1381"/>
      <c r="BS177" s="812" t="str">
        <f t="shared" si="267"/>
        <v/>
      </c>
      <c r="BT177" s="27" t="str">
        <f t="shared" si="329"/>
        <v/>
      </c>
      <c r="BU177" s="1380"/>
      <c r="BV177" s="1380"/>
      <c r="BW177" s="1380"/>
      <c r="BX177" s="1380"/>
      <c r="BY177" s="1380"/>
      <c r="BZ177" s="1380"/>
      <c r="CA177" s="1380"/>
      <c r="CB177" s="1380"/>
      <c r="CD177" s="1387">
        <f t="shared" si="322"/>
        <v>0</v>
      </c>
      <c r="DC177" s="16" t="str">
        <f>Avril!FC50</f>
        <v/>
      </c>
      <c r="DG177" s="315">
        <f t="shared" si="323"/>
        <v>1</v>
      </c>
      <c r="DH177" s="129">
        <f t="shared" si="301"/>
        <v>10</v>
      </c>
      <c r="DI177" s="129">
        <f t="shared" si="324"/>
        <v>1</v>
      </c>
      <c r="DK177" s="16">
        <f>+IF(AND(Avril!$DP$8&lt;&gt;52,AR177=S.CAL!$BJ$4),10,1)</f>
        <v>1</v>
      </c>
      <c r="DN177" s="16">
        <f t="shared" si="302"/>
        <v>1</v>
      </c>
      <c r="DU177" s="1274" t="str">
        <f t="shared" si="325"/>
        <v>Fiche infoA0</v>
      </c>
      <c r="DV177" s="1362">
        <f t="shared" si="303"/>
        <v>0</v>
      </c>
      <c r="DW177" s="1363">
        <f t="shared" si="304"/>
        <v>0</v>
      </c>
      <c r="DX177" s="1363">
        <f t="shared" si="305"/>
        <v>0</v>
      </c>
      <c r="DY177" s="1363">
        <f t="shared" si="306"/>
        <v>0</v>
      </c>
      <c r="DZ177" s="1363">
        <f t="shared" si="307"/>
        <v>0</v>
      </c>
      <c r="EA177" s="1363">
        <f t="shared" si="308"/>
        <v>0</v>
      </c>
      <c r="EB177" s="1363">
        <f t="shared" si="309"/>
        <v>0</v>
      </c>
      <c r="EC177" s="1363">
        <f t="shared" si="310"/>
        <v>0</v>
      </c>
      <c r="ED177" s="1363">
        <f t="shared" si="326"/>
        <v>0</v>
      </c>
      <c r="EE177" s="1364">
        <f t="shared" si="327"/>
        <v>0</v>
      </c>
      <c r="EG177" s="16" t="e">
        <f t="shared" si="328"/>
        <v>#VALUE!</v>
      </c>
      <c r="EH177" s="16" t="str">
        <f t="shared" si="311"/>
        <v>Fiche infoA0</v>
      </c>
      <c r="EI177" s="16" t="e">
        <f t="shared" si="312"/>
        <v>#N/A</v>
      </c>
    </row>
    <row r="178" spans="1:145" x14ac:dyDescent="0.2">
      <c r="AM178" s="536">
        <f>SUM(AM147:AM177)</f>
        <v>0</v>
      </c>
      <c r="AN178" s="500">
        <f>SUM(AN147:AN177)</f>
        <v>0</v>
      </c>
      <c r="AO178" s="500">
        <f>SUM(AO147:AO177)</f>
        <v>0</v>
      </c>
      <c r="AP178" s="501">
        <f>SUM(AP147:AP177)</f>
        <v>0</v>
      </c>
      <c r="BD178" s="537">
        <f>SUM(BD147:BD177)</f>
        <v>0</v>
      </c>
      <c r="EE178" s="1364"/>
    </row>
    <row r="179" spans="1:145" x14ac:dyDescent="0.2">
      <c r="X179" s="29" t="s">
        <v>441</v>
      </c>
      <c r="Y179" s="29"/>
      <c r="Z179" s="29"/>
      <c r="AA179" s="29"/>
      <c r="AB179" s="29"/>
      <c r="AC179" s="29"/>
      <c r="AD179" s="29"/>
      <c r="AE179" s="29"/>
      <c r="AF179" s="29"/>
      <c r="AG179" s="29"/>
      <c r="AI179" s="445">
        <f>SUM(AI147:AI177)</f>
        <v>0</v>
      </c>
      <c r="AJ179" s="19"/>
      <c r="AK179" s="19"/>
      <c r="AL179" s="19"/>
      <c r="AM179" s="19"/>
      <c r="AN179" s="19"/>
      <c r="AO179" s="19"/>
      <c r="AP179" s="19"/>
      <c r="AQ179" s="494"/>
    </row>
    <row r="181" spans="1:145" ht="23.25" x14ac:dyDescent="0.35">
      <c r="B181" s="435" t="s">
        <v>794</v>
      </c>
      <c r="C181" s="435"/>
      <c r="D181" s="435"/>
      <c r="BS181" s="19" t="s">
        <v>1524</v>
      </c>
      <c r="EK181" s="16" t="str">
        <f>+EG191</f>
        <v>numero sem</v>
      </c>
      <c r="EL181" s="27" t="s">
        <v>1518</v>
      </c>
      <c r="EM181" s="27" t="s">
        <v>1519</v>
      </c>
      <c r="EN181" s="16" t="s">
        <v>1520</v>
      </c>
    </row>
    <row r="182" spans="1:145" ht="13.5" thickBot="1" x14ac:dyDescent="0.25">
      <c r="AR182" s="1717" t="s">
        <v>989</v>
      </c>
      <c r="AS182" s="1718"/>
      <c r="AT182" s="1719"/>
      <c r="BT182" s="29" t="s">
        <v>1527</v>
      </c>
      <c r="BU182" s="27" t="str">
        <f>+IFERROR(EJ182,"")</f>
        <v>18</v>
      </c>
      <c r="BV182" s="53" t="str">
        <f>IF(BU182="","",+EN182)</f>
        <v>non</v>
      </c>
      <c r="BW182" s="1729" t="str">
        <f>+IF(BV182="oui", "Ecart "&amp;EO182&amp;" hrs","")</f>
        <v/>
      </c>
      <c r="BX182" s="1729"/>
      <c r="EJ182" s="16" t="str">
        <f>LEFT(EK182,LEN(EK182)-4)</f>
        <v>18</v>
      </c>
      <c r="EK182" s="16" t="str" cm="1">
        <f t="array" ref="EK182">IFERROR(INDEX(EG192:EG222,MATCH(0,INDEX(COUNTIF(EK181:EK181,EG192:EG222),0,0),0)),"")</f>
        <v>182026</v>
      </c>
      <c r="EL182" s="27">
        <f>+SUMIFS($EE$12:$EE$537,$EG$12:$EG$537,EK182)</f>
        <v>0</v>
      </c>
      <c r="EM182" s="27">
        <f>+SUMIFS($EI$12:$EI$537,$EG$12:$EG$537,EK182)</f>
        <v>0</v>
      </c>
      <c r="EN182" s="16" t="str">
        <f t="shared" ref="EN182:EN187" si="339">+IF(AND(EL182&lt;&gt;EM182,EK182&lt;&gt;""),"oui","non")</f>
        <v>non</v>
      </c>
      <c r="EO182" s="16">
        <f>+EL182-EM182</f>
        <v>0</v>
      </c>
    </row>
    <row r="183" spans="1:145" ht="13.5" thickTop="1" x14ac:dyDescent="0.2">
      <c r="C183" s="39" t="s">
        <v>793</v>
      </c>
      <c r="D183" s="1713">
        <f>+Identification!$B$7</f>
        <v>0</v>
      </c>
      <c r="E183" s="1713"/>
      <c r="F183" s="1713"/>
      <c r="G183" s="1713"/>
      <c r="O183" s="436" t="s">
        <v>76</v>
      </c>
      <c r="P183" s="32"/>
      <c r="Q183" s="33"/>
      <c r="R183" s="436" t="s">
        <v>140</v>
      </c>
      <c r="S183" s="32"/>
      <c r="T183" s="32"/>
      <c r="U183" s="32"/>
      <c r="V183" s="32"/>
      <c r="W183" s="32"/>
      <c r="X183" s="33"/>
      <c r="AR183" s="1720"/>
      <c r="AS183" s="1721"/>
      <c r="AT183" s="1722"/>
      <c r="BU183" s="27" t="str">
        <f t="shared" ref="BU183:BU187" si="340">+IFERROR(EJ183,"")</f>
        <v>19</v>
      </c>
      <c r="BV183" s="53" t="str">
        <f t="shared" ref="BV183:BV187" si="341">IF(BU183="","",+EN183)</f>
        <v>non</v>
      </c>
      <c r="BW183" s="1729" t="str">
        <f t="shared" ref="BW183:BW187" si="342">+IF(BV183="oui", "Ecart "&amp;EO183&amp;" hrs","")</f>
        <v/>
      </c>
      <c r="BX183" s="1729"/>
      <c r="EJ183" s="16" t="str">
        <f t="shared" ref="EJ183:EJ188" si="343">LEFT(EK183,LEN(EK183)-4)</f>
        <v>19</v>
      </c>
      <c r="EK183" s="16" t="str" cm="1">
        <f t="array" ref="EK183">IFERROR(INDEX(EG192:EG222,MATCH(0,INDEX(COUNTIF(EK181:EK182,EG192:EG222),0,0),0)),"")</f>
        <v>192026</v>
      </c>
      <c r="EL183" s="27">
        <f t="shared" ref="EL183:EL187" si="344">+SUMIFS($EE$12:$EE$537,$EG$12:$EG$537,EK183)</f>
        <v>0</v>
      </c>
      <c r="EM183" s="27">
        <f t="shared" ref="EM183:EM188" si="345">+SUMIFS($EI$12:$EI$537,$EG$12:$EG$537,EK183)</f>
        <v>0</v>
      </c>
      <c r="EN183" s="16" t="str">
        <f t="shared" si="339"/>
        <v>non</v>
      </c>
      <c r="EO183" s="16">
        <f t="shared" ref="EO183:EO188" si="346">+EL183-EM183</f>
        <v>0</v>
      </c>
    </row>
    <row r="184" spans="1:145" x14ac:dyDescent="0.2">
      <c r="O184" s="35"/>
      <c r="Q184" s="36"/>
      <c r="R184" s="1723"/>
      <c r="S184" s="1724"/>
      <c r="T184" s="1724"/>
      <c r="U184" s="1724"/>
      <c r="V184" s="1724"/>
      <c r="W184" s="1724"/>
      <c r="X184" s="1725"/>
      <c r="Y184" s="442"/>
      <c r="Z184" s="442"/>
      <c r="AA184" s="442"/>
      <c r="AB184" s="442"/>
      <c r="AC184" s="442"/>
      <c r="AD184" s="442"/>
      <c r="AE184" s="442"/>
      <c r="AF184" s="442"/>
      <c r="AG184" s="442"/>
      <c r="AR184" s="1720"/>
      <c r="AS184" s="1721"/>
      <c r="AT184" s="1722"/>
      <c r="BU184" s="27" t="str">
        <f t="shared" si="340"/>
        <v>20</v>
      </c>
      <c r="BV184" s="53" t="str">
        <f t="shared" si="341"/>
        <v>non</v>
      </c>
      <c r="BW184" s="1729" t="str">
        <f t="shared" si="342"/>
        <v/>
      </c>
      <c r="BX184" s="1729"/>
      <c r="EJ184" s="16" t="str">
        <f t="shared" si="343"/>
        <v>20</v>
      </c>
      <c r="EK184" s="16" t="str">
        <f t="array" ref="EK184">IFERROR(INDEX(EG192:EG222,MATCH(0,INDEX(COUNTIF(EK181:EK183,EG192:EG222),0,0),0)),"")</f>
        <v>202026</v>
      </c>
      <c r="EL184" s="27">
        <f t="shared" si="344"/>
        <v>0</v>
      </c>
      <c r="EM184" s="27">
        <f t="shared" si="345"/>
        <v>0</v>
      </c>
      <c r="EN184" s="16" t="str">
        <f t="shared" si="339"/>
        <v>non</v>
      </c>
      <c r="EO184" s="16">
        <f t="shared" si="346"/>
        <v>0</v>
      </c>
    </row>
    <row r="185" spans="1:145" x14ac:dyDescent="0.2">
      <c r="C185" s="39" t="s">
        <v>25</v>
      </c>
      <c r="D185" s="1713">
        <f>+Identification!$B$25</f>
        <v>0</v>
      </c>
      <c r="E185" s="1713"/>
      <c r="O185" s="35"/>
      <c r="Q185" s="36"/>
      <c r="R185" s="1723"/>
      <c r="S185" s="1724"/>
      <c r="T185" s="1724"/>
      <c r="U185" s="1724"/>
      <c r="V185" s="1724"/>
      <c r="W185" s="1724"/>
      <c r="X185" s="1725"/>
      <c r="Y185" s="442"/>
      <c r="Z185" s="442"/>
      <c r="AA185" s="442"/>
      <c r="AB185" s="442"/>
      <c r="AC185" s="442"/>
      <c r="AD185" s="442"/>
      <c r="AE185" s="442"/>
      <c r="AF185" s="442"/>
      <c r="AG185" s="442"/>
      <c r="AL185" s="16" t="str">
        <f t="shared" ref="AL185" si="347">C188</f>
        <v>Mois :</v>
      </c>
      <c r="AM185" s="1716">
        <f t="shared" ref="AM185" si="348">D188</f>
        <v>46143</v>
      </c>
      <c r="AN185" s="1716">
        <f t="shared" ref="AN185" si="349">E188</f>
        <v>0</v>
      </c>
      <c r="AR185" s="539" t="str">
        <f>IF(AT185="",AR140,AT185)</f>
        <v>NON</v>
      </c>
      <c r="AS185" s="538" t="s">
        <v>492</v>
      </c>
      <c r="AT185" s="1083"/>
      <c r="BJ185" s="16" t="str">
        <f t="shared" ref="BJ185" si="350">AL185</f>
        <v>Mois :</v>
      </c>
      <c r="BK185" s="1716">
        <f t="shared" ref="BK185" si="351">AM185</f>
        <v>46143</v>
      </c>
      <c r="BL185" s="1716"/>
      <c r="BU185" s="27" t="str">
        <f t="shared" si="340"/>
        <v>21</v>
      </c>
      <c r="BV185" s="53" t="str">
        <f t="shared" si="341"/>
        <v>non</v>
      </c>
      <c r="BW185" s="1729" t="str">
        <f t="shared" si="342"/>
        <v/>
      </c>
      <c r="BX185" s="1729"/>
      <c r="EJ185" s="16" t="str">
        <f t="shared" si="343"/>
        <v>21</v>
      </c>
      <c r="EK185" s="16" t="str">
        <f t="array" ref="EK185">IFERROR(INDEX(EG192:EG222,MATCH(0,INDEX(COUNTIF(EK181:EK184,EG192:EG222),0,0),0)),"")</f>
        <v>212026</v>
      </c>
      <c r="EL185" s="27">
        <f t="shared" si="344"/>
        <v>0</v>
      </c>
      <c r="EM185" s="27">
        <f t="shared" si="345"/>
        <v>0</v>
      </c>
      <c r="EN185" s="16" t="str">
        <f t="shared" si="339"/>
        <v>non</v>
      </c>
      <c r="EO185" s="16">
        <f t="shared" si="346"/>
        <v>0</v>
      </c>
    </row>
    <row r="186" spans="1:145" ht="13.5" thickBot="1" x14ac:dyDescent="0.25">
      <c r="O186" s="42"/>
      <c r="P186" s="43"/>
      <c r="Q186" s="44"/>
      <c r="R186" s="1726"/>
      <c r="S186" s="1727"/>
      <c r="T186" s="1727"/>
      <c r="U186" s="1727"/>
      <c r="V186" s="1727"/>
      <c r="W186" s="1727"/>
      <c r="X186" s="1728"/>
      <c r="Y186" s="442"/>
      <c r="Z186" s="442"/>
      <c r="AA186" s="442"/>
      <c r="AB186" s="442"/>
      <c r="AC186" s="442"/>
      <c r="AD186" s="442"/>
      <c r="AE186" s="442"/>
      <c r="AF186" s="442"/>
      <c r="AG186" s="442"/>
      <c r="BU186" s="27" t="str">
        <f t="shared" si="340"/>
        <v>22</v>
      </c>
      <c r="BV186" s="53" t="str">
        <f t="shared" si="341"/>
        <v>non</v>
      </c>
      <c r="BW186" s="1729" t="str">
        <f t="shared" si="342"/>
        <v/>
      </c>
      <c r="BX186" s="1729"/>
      <c r="EJ186" s="16" t="str">
        <f t="shared" si="343"/>
        <v>22</v>
      </c>
      <c r="EK186" s="16" t="str">
        <f t="array" ref="EK186">IFERROR(INDEX(EG192:EG222,MATCH(0,INDEX(COUNTIF(EK181:EK185,EG192:EG222),0,0),0)),"")</f>
        <v>222026</v>
      </c>
      <c r="EL186" s="27">
        <f t="shared" si="344"/>
        <v>0</v>
      </c>
      <c r="EM186" s="27">
        <f t="shared" si="345"/>
        <v>0</v>
      </c>
      <c r="EN186" s="16" t="str">
        <f t="shared" si="339"/>
        <v>non</v>
      </c>
      <c r="EO186" s="16">
        <f t="shared" si="346"/>
        <v>0</v>
      </c>
    </row>
    <row r="187" spans="1:145" ht="13.5" thickTop="1" x14ac:dyDescent="0.2">
      <c r="AI187" s="535" t="s">
        <v>986</v>
      </c>
      <c r="BU187" s="27" t="str">
        <f t="shared" si="340"/>
        <v/>
      </c>
      <c r="BV187" s="53" t="str">
        <f t="shared" si="341"/>
        <v/>
      </c>
      <c r="BW187" s="1729" t="str">
        <f t="shared" si="342"/>
        <v/>
      </c>
      <c r="BX187" s="1729"/>
      <c r="EJ187" s="16" t="e">
        <f t="shared" si="343"/>
        <v>#VALUE!</v>
      </c>
      <c r="EK187" s="16" t="str">
        <f t="array" ref="EK187">IFERROR(INDEX(EG192:EG222,MATCH(0,INDEX(COUNTIF(EK181:EK186,EG192:EG222),0,0),0)),"")</f>
        <v/>
      </c>
      <c r="EL187" s="27">
        <f t="shared" si="344"/>
        <v>0</v>
      </c>
      <c r="EM187" s="27">
        <f t="shared" si="345"/>
        <v>0</v>
      </c>
      <c r="EN187" s="16" t="str">
        <f t="shared" si="339"/>
        <v>non</v>
      </c>
      <c r="EO187" s="16">
        <f t="shared" si="346"/>
        <v>0</v>
      </c>
    </row>
    <row r="188" spans="1:145" x14ac:dyDescent="0.2">
      <c r="C188" s="39" t="s">
        <v>28</v>
      </c>
      <c r="D188" s="1716">
        <f>+Mai!X3</f>
        <v>46143</v>
      </c>
      <c r="E188" s="1716"/>
      <c r="F188" s="39" t="s">
        <v>12</v>
      </c>
      <c r="G188" s="63">
        <f>+Mai!X4</f>
        <v>2026</v>
      </c>
      <c r="EJ188" s="16" t="e">
        <f t="shared" si="343"/>
        <v>#VALUE!</v>
      </c>
      <c r="EK188" s="16" t="str">
        <f t="array" ref="EK188">IFERROR(INDEX($EG$12:$EG$42,MATCH(0,INDEX(COUNTIF($EK$1:EK187,$EG$12:$EG$42),0,0),0)),"")</f>
        <v/>
      </c>
      <c r="EL188" s="27">
        <f>+SUMIFS($EE$12:$EE$537,$EG$12:$EG$537,EK188)</f>
        <v>0</v>
      </c>
      <c r="EM188" s="27">
        <f t="shared" si="345"/>
        <v>0</v>
      </c>
      <c r="EN188" s="16" t="str">
        <f>+IF(AND(EL188&lt;&gt;EM188,EK188&lt;&gt;""),"oui","non")</f>
        <v>non</v>
      </c>
      <c r="EO188" s="16">
        <f t="shared" si="346"/>
        <v>0</v>
      </c>
    </row>
    <row r="189" spans="1:145" x14ac:dyDescent="0.2">
      <c r="AL189" s="1714" t="s">
        <v>960</v>
      </c>
      <c r="AM189" s="1714"/>
      <c r="AN189" s="1714"/>
      <c r="AO189" s="1714"/>
      <c r="AP189" s="1714"/>
      <c r="AQ189" s="492"/>
      <c r="AT189" s="1715" t="s">
        <v>749</v>
      </c>
      <c r="AU189" s="1715"/>
      <c r="AV189" s="1715"/>
      <c r="AW189" s="63"/>
      <c r="AX189" s="63"/>
      <c r="AY189" s="517" t="s">
        <v>975</v>
      </c>
      <c r="AZ189" s="518"/>
      <c r="BA189" s="518"/>
      <c r="BB189" s="518"/>
      <c r="BC189" s="519"/>
      <c r="BD189" s="519"/>
      <c r="BE189" s="519"/>
      <c r="BF189" s="512"/>
      <c r="BG189" s="512"/>
      <c r="BJ189" s="437"/>
      <c r="BK189" s="437"/>
      <c r="BL189" s="437"/>
      <c r="BM189" s="437"/>
      <c r="BN189" s="437"/>
      <c r="BO189" s="437"/>
      <c r="BP189" s="437"/>
      <c r="BQ189" s="437"/>
      <c r="BU189" s="438"/>
      <c r="BV189" s="438"/>
      <c r="BW189" s="438"/>
      <c r="BX189" s="438"/>
      <c r="BY189" s="438"/>
      <c r="BZ189" s="438"/>
      <c r="CA189" s="438"/>
      <c r="CB189" s="438"/>
    </row>
    <row r="190" spans="1:145" ht="15" customHeight="1" x14ac:dyDescent="0.2">
      <c r="D190" s="439" t="s">
        <v>791</v>
      </c>
      <c r="E190" s="438"/>
      <c r="F190" s="438"/>
      <c r="G190" s="438"/>
      <c r="H190" s="438"/>
      <c r="I190" s="438"/>
      <c r="J190" s="438"/>
      <c r="K190" s="438"/>
      <c r="L190" s="438"/>
      <c r="M190" s="438"/>
      <c r="O190" s="440" t="s">
        <v>790</v>
      </c>
      <c r="P190" s="437"/>
      <c r="Q190" s="437"/>
      <c r="R190" s="437"/>
      <c r="S190" s="437"/>
      <c r="T190" s="437"/>
      <c r="U190" s="437"/>
      <c r="V190" s="437"/>
      <c r="W190" s="437"/>
      <c r="X190" s="437"/>
      <c r="BJ190" s="1087" t="s">
        <v>792</v>
      </c>
      <c r="BK190" s="1088"/>
      <c r="BL190" s="1088"/>
      <c r="BM190" s="1088"/>
      <c r="BN190" s="1088"/>
      <c r="BO190" s="1088"/>
      <c r="BP190" s="1088"/>
      <c r="BQ190" s="1088"/>
      <c r="BU190" s="1087" t="s">
        <v>1369</v>
      </c>
      <c r="BV190" s="1088"/>
      <c r="BW190" s="1088"/>
      <c r="BX190" s="1088"/>
      <c r="BY190" s="1088"/>
      <c r="BZ190" s="1088"/>
      <c r="CA190" s="1088"/>
      <c r="CB190" s="1088"/>
      <c r="DG190" s="315" t="s">
        <v>1326</v>
      </c>
      <c r="DH190" s="129"/>
      <c r="DI190" s="129"/>
      <c r="DK190" s="129" t="s">
        <v>1331</v>
      </c>
      <c r="DN190" s="16" t="s">
        <v>1334</v>
      </c>
      <c r="DV190" s="825" t="s">
        <v>1521</v>
      </c>
      <c r="DW190" s="825"/>
      <c r="DX190" s="825"/>
      <c r="DY190" s="825"/>
      <c r="DZ190" s="825"/>
      <c r="EA190" s="825"/>
      <c r="EB190" s="825"/>
      <c r="EC190" s="825"/>
      <c r="ED190" s="825"/>
      <c r="EE190" s="825"/>
    </row>
    <row r="191" spans="1:145" ht="56.25" customHeight="1" x14ac:dyDescent="0.2">
      <c r="A191" s="24" t="s">
        <v>789</v>
      </c>
      <c r="B191" s="432" t="s">
        <v>16</v>
      </c>
      <c r="C191" s="433"/>
      <c r="D191" s="432" t="s">
        <v>219</v>
      </c>
      <c r="E191" s="432" t="s">
        <v>220</v>
      </c>
      <c r="F191" s="432" t="s">
        <v>221</v>
      </c>
      <c r="G191" s="432" t="s">
        <v>222</v>
      </c>
      <c r="H191" s="432" t="s">
        <v>522</v>
      </c>
      <c r="I191" s="432" t="s">
        <v>523</v>
      </c>
      <c r="J191" s="432" t="s">
        <v>524</v>
      </c>
      <c r="K191" s="432" t="s">
        <v>525</v>
      </c>
      <c r="L191" s="432" t="s">
        <v>182</v>
      </c>
      <c r="M191" s="432" t="s">
        <v>183</v>
      </c>
      <c r="N191" s="433"/>
      <c r="O191" s="432" t="s">
        <v>219</v>
      </c>
      <c r="P191" s="432" t="s">
        <v>220</v>
      </c>
      <c r="Q191" s="432" t="s">
        <v>221</v>
      </c>
      <c r="R191" s="432" t="s">
        <v>222</v>
      </c>
      <c r="S191" s="432" t="s">
        <v>522</v>
      </c>
      <c r="T191" s="432" t="s">
        <v>523</v>
      </c>
      <c r="U191" s="432" t="s">
        <v>524</v>
      </c>
      <c r="V191" s="432" t="s">
        <v>525</v>
      </c>
      <c r="W191" s="432" t="s">
        <v>182</v>
      </c>
      <c r="X191" s="432" t="s">
        <v>183</v>
      </c>
      <c r="Y191" s="433"/>
      <c r="Z191" s="432" t="s">
        <v>796</v>
      </c>
      <c r="AA191" s="432" t="s">
        <v>797</v>
      </c>
      <c r="AB191" s="432" t="s">
        <v>798</v>
      </c>
      <c r="AC191" s="432" t="s">
        <v>799</v>
      </c>
      <c r="AD191" s="432" t="s">
        <v>800</v>
      </c>
      <c r="AE191" s="432" t="s">
        <v>801</v>
      </c>
      <c r="AF191" s="432" t="s">
        <v>802</v>
      </c>
      <c r="AG191" s="432" t="s">
        <v>803</v>
      </c>
      <c r="AI191" s="432" t="s">
        <v>804</v>
      </c>
      <c r="AJ191" s="432" t="s">
        <v>795</v>
      </c>
      <c r="AK191" s="433"/>
      <c r="AL191" s="495" t="s">
        <v>16</v>
      </c>
      <c r="AM191" s="530" t="s">
        <v>1003</v>
      </c>
      <c r="AN191" s="1084" t="s">
        <v>958</v>
      </c>
      <c r="AO191" s="1085" t="s">
        <v>959</v>
      </c>
      <c r="AP191" s="496" t="s">
        <v>1707</v>
      </c>
      <c r="AQ191" s="493"/>
      <c r="AR191" s="1086" t="s">
        <v>684</v>
      </c>
      <c r="AT191" s="1086" t="s">
        <v>1333</v>
      </c>
      <c r="AU191" s="1085" t="s">
        <v>1707</v>
      </c>
      <c r="AV191" s="432" t="s">
        <v>16</v>
      </c>
      <c r="AW191" s="433"/>
      <c r="AX191" s="433"/>
      <c r="AY191" s="529" t="s">
        <v>972</v>
      </c>
      <c r="AZ191" s="530" t="s">
        <v>978</v>
      </c>
      <c r="BA191" s="513" t="s">
        <v>976</v>
      </c>
      <c r="BB191" s="550" t="s">
        <v>977</v>
      </c>
      <c r="BC191" s="551" t="s">
        <v>1005</v>
      </c>
      <c r="BD191" s="550" t="s">
        <v>979</v>
      </c>
      <c r="BE191" s="552" t="s">
        <v>1004</v>
      </c>
      <c r="BF191" s="513" t="s">
        <v>980</v>
      </c>
      <c r="BG191" s="513" t="s">
        <v>985</v>
      </c>
      <c r="BI191" s="24" t="s">
        <v>1011</v>
      </c>
      <c r="BJ191" s="432" t="s">
        <v>219</v>
      </c>
      <c r="BK191" s="432" t="s">
        <v>220</v>
      </c>
      <c r="BL191" s="432" t="s">
        <v>221</v>
      </c>
      <c r="BM191" s="432" t="s">
        <v>222</v>
      </c>
      <c r="BN191" s="432" t="s">
        <v>522</v>
      </c>
      <c r="BO191" s="432" t="s">
        <v>523</v>
      </c>
      <c r="BP191" s="432" t="s">
        <v>524</v>
      </c>
      <c r="BQ191" s="432" t="s">
        <v>525</v>
      </c>
      <c r="BS191" s="1361" t="str">
        <f t="shared" ref="BS191:BS222" si="352">AV191</f>
        <v>Jours</v>
      </c>
      <c r="BU191" s="432" t="s">
        <v>219</v>
      </c>
      <c r="BV191" s="432" t="s">
        <v>220</v>
      </c>
      <c r="BW191" s="432" t="s">
        <v>221</v>
      </c>
      <c r="BX191" s="432" t="s">
        <v>222</v>
      </c>
      <c r="BY191" s="432" t="s">
        <v>522</v>
      </c>
      <c r="BZ191" s="432" t="s">
        <v>523</v>
      </c>
      <c r="CA191" s="432" t="s">
        <v>524</v>
      </c>
      <c r="CB191" s="432" t="s">
        <v>525</v>
      </c>
      <c r="CD191" s="1361" t="s">
        <v>1526</v>
      </c>
      <c r="CS191" s="488"/>
      <c r="CT191" s="488"/>
      <c r="CU191" s="488"/>
      <c r="CV191" s="488"/>
      <c r="DG191" s="315" t="s">
        <v>1327</v>
      </c>
      <c r="DH191" s="129" t="s">
        <v>1328</v>
      </c>
      <c r="DI191" s="129" t="s">
        <v>1330</v>
      </c>
      <c r="DK191" s="129" t="s">
        <v>1332</v>
      </c>
      <c r="DU191" s="1361" t="s">
        <v>238</v>
      </c>
      <c r="DV191" s="1361" t="s">
        <v>219</v>
      </c>
      <c r="DW191" s="1361" t="s">
        <v>220</v>
      </c>
      <c r="DX191" s="1361" t="s">
        <v>221</v>
      </c>
      <c r="DY191" s="1361" t="s">
        <v>222</v>
      </c>
      <c r="DZ191" s="1361" t="s">
        <v>522</v>
      </c>
      <c r="EA191" s="1361" t="s">
        <v>523</v>
      </c>
      <c r="EB191" s="1361" t="s">
        <v>524</v>
      </c>
      <c r="EC191" s="1361" t="s">
        <v>525</v>
      </c>
      <c r="ED191" s="1361" t="s">
        <v>182</v>
      </c>
      <c r="EE191" s="1361" t="s">
        <v>183</v>
      </c>
      <c r="EG191" s="1361" t="s">
        <v>1224</v>
      </c>
      <c r="EH191" s="1361" t="s">
        <v>1522</v>
      </c>
      <c r="EI191" s="1361" t="s">
        <v>1523</v>
      </c>
    </row>
    <row r="192" spans="1:145" x14ac:dyDescent="0.2">
      <c r="A192" s="24" t="str">
        <f>Mai!BJ20</f>
        <v>Fiche infoA5</v>
      </c>
      <c r="B192" s="810">
        <f>Mai!AB20</f>
        <v>46143</v>
      </c>
      <c r="C192" s="1371"/>
      <c r="D192" s="978">
        <f t="shared" ref="D192:D222" si="353">IF(AR192&lt;&gt;"",0,IF(DN192=10,0,IFERROR(+IF(BU192="",VLOOKUP(A192,base_horaire,2,FALSE),BU192),0)))</f>
        <v>0</v>
      </c>
      <c r="E192" s="979">
        <f t="shared" ref="E192:E222" si="354">IF(AR192&lt;&gt;"",0,IF(DN192=10,0,IFERROR(+IF(BV192="",VLOOKUP(A192,base_horaire,3,FALSE),BV192),0)))</f>
        <v>0</v>
      </c>
      <c r="F192" s="979">
        <f t="shared" ref="F192:F222" si="355">IF(AR192&lt;&gt;"",0,IF(DN192=10,0,IFERROR(+IF(BW192="",VLOOKUP(A192,base_horaire,4,FALSE),BW192),0)))</f>
        <v>0</v>
      </c>
      <c r="G192" s="979">
        <f t="shared" ref="G192:G222" si="356">IF(AR192&lt;&gt;"",0,IF(DN192=10,0,IFERROR(+IF(BX192="",VLOOKUP(A192,base_horaire,5,FALSE),BX192),0)))</f>
        <v>0</v>
      </c>
      <c r="H192" s="979">
        <f t="shared" ref="H192:H222" si="357">IF(AR192&lt;&gt;"",0,IF(DN192=10,0,IFERROR(+IF(BY192="",VLOOKUP(A192,base_horaire,6,FALSE),BY192),0)))</f>
        <v>0</v>
      </c>
      <c r="I192" s="979">
        <f t="shared" ref="I192:I222" si="358">IF(AR192&lt;&gt;"",0,IF(DN192=10,0,IFERROR(+IF(BZ192="",VLOOKUP(A192,base_horaire,7,FALSE),BZ192),0)))</f>
        <v>0</v>
      </c>
      <c r="J192" s="979">
        <f t="shared" ref="J192:J222" si="359">IF(AR192&lt;&gt;"",0,IF(DN192=10,0,IFERROR(+IF(CA192="",VLOOKUP(A192,base_horaire,8,FALSE),CA192),0)))</f>
        <v>0</v>
      </c>
      <c r="K192" s="979">
        <f t="shared" ref="K192:K222" si="360">IF(AR192&lt;&gt;"",0,IF(DN192=10,0,IFERROR(+IF(CB192="",VLOOKUP(A192,base_horaire,9,FALSE),CB192),0)))</f>
        <v>0</v>
      </c>
      <c r="L192" s="979">
        <f>+E192-D192+G192-F192+I192-H192+K192-J192</f>
        <v>0</v>
      </c>
      <c r="M192" s="980">
        <f>ROUND(+L192*24,2)</f>
        <v>0</v>
      </c>
      <c r="O192" s="978">
        <f t="shared" ref="O192:O199" si="361">IF(AR192&lt;&gt;"",0,IF(DC192="oui",0,IF(AND(ISTEXT(AT192)=TRUE,BJ192=""),0,IF(BJ192="",D192,BJ192))))</f>
        <v>0</v>
      </c>
      <c r="P192" s="979">
        <f t="shared" ref="P192:P199" si="362">IF(AR192&lt;&gt;"",0,IF(DC192="oui",0,IF(AND(ISTEXT(AT192)=TRUE,BK192=""),0,IF(BK192="",E192,BK192))))</f>
        <v>0</v>
      </c>
      <c r="Q192" s="979">
        <f t="shared" ref="Q192:Q199" si="363">IF(AR192&lt;&gt;"",0,IF(DC192="oui",0,IF(AND(ISTEXT(AT192)=TRUE,BL192=""),0,IF(BL192="",F192,BL192))))</f>
        <v>0</v>
      </c>
      <c r="R192" s="979">
        <f t="shared" ref="R192:R199" si="364">IF(AR192&lt;&gt;"",0,IF(DC192="oui",0,IF(AND(ISTEXT(AT192)=TRUE,BM192=""),0,IF(BM192="",G192,BM192))))</f>
        <v>0</v>
      </c>
      <c r="S192" s="979">
        <f t="shared" ref="S192:S199" si="365">IF(AR192&lt;&gt;"",0,IF(DC192="oui",0,IF(AND(ISTEXT(AT192)=TRUE,BN192=""),0,IF(BN192="",H192,BN192))))</f>
        <v>0</v>
      </c>
      <c r="T192" s="979">
        <f t="shared" ref="T192:T199" si="366">IF(AR192&lt;&gt;"",0,IF(DC192="oui",0,IF(AND(ISTEXT(AT192)=TRUE,BO192=""),0,IF(BO192="",I192,BO192))))</f>
        <v>0</v>
      </c>
      <c r="U192" s="979">
        <f t="shared" ref="U192:U199" si="367">IF(AR192&lt;&gt;"",0,IF(DC192="oui",0,IF(AND(ISTEXT(AT192)=TRUE,BP192=""),0,IF(BP192="",J192,BP192))))</f>
        <v>0</v>
      </c>
      <c r="V192" s="979">
        <f t="shared" ref="V192:V199" si="368">IF(AR192&lt;&gt;"",0,IF(DC192="oui",0,IF(AND(ISTEXT(AT192)=TRUE,BQ192=""),0,IF(BQ192="",K192,BQ192))))</f>
        <v>0</v>
      </c>
      <c r="W192" s="979">
        <f t="shared" ref="W192:W222" si="369">+P192-O192+R192-Q192+T192-S192+V192-U192</f>
        <v>0</v>
      </c>
      <c r="X192" s="980">
        <f t="shared" ref="X192:X222" si="370">ROUND(+W192*24,2)</f>
        <v>0</v>
      </c>
      <c r="Y192" s="441"/>
      <c r="Z192" s="277">
        <f t="shared" ref="Z192:Z222" si="371">+IF(AND(O192&gt;D192,D192&gt;0),D192,O192)</f>
        <v>0</v>
      </c>
      <c r="AA192" s="277">
        <f t="shared" ref="AA192:AA222" si="372">+IF(P192&gt;E192,P192,E192)</f>
        <v>0</v>
      </c>
      <c r="AB192" s="277">
        <f t="shared" ref="AB192:AB222" si="373">+IF(AND(Q192&gt;F192,F192&gt;0),F192,Q192)</f>
        <v>0</v>
      </c>
      <c r="AC192" s="277">
        <f t="shared" ref="AC192:AC222" si="374">+IF(R192&gt;G192,R192,G192)</f>
        <v>0</v>
      </c>
      <c r="AD192" s="277">
        <f t="shared" ref="AD192:AD222" si="375">+IF(AND(S192&gt;H192,H192&gt;0),H192,S192)</f>
        <v>0</v>
      </c>
      <c r="AE192" s="277">
        <f t="shared" ref="AE192:AE222" si="376">+IF(T192&gt;I192,T192,I192)</f>
        <v>0</v>
      </c>
      <c r="AF192" s="277">
        <f t="shared" ref="AF192:AF222" si="377">+IF(AND(U192&gt;J192,J192&gt;0),J192,U192)</f>
        <v>0</v>
      </c>
      <c r="AG192" s="277">
        <f t="shared" ref="AG192:AG222" si="378">+IF(V192&gt;K192,V192,K192)</f>
        <v>0</v>
      </c>
      <c r="AI192" s="443">
        <f t="shared" ref="AI192:AI199" si="379">IF(DC192="oui",0,IF(AND(ISTEXT(AT192)=TRUE,OR(X192=0,X192="")),0,ROUND(((((AA192-Z192)-(E192-D192))+((AC192-AB192)-(G192-F192))+((AE192-AD192)-(I192-H192))+(AG192-AF192)-(K192-J192))*24),2)))</f>
        <v>0</v>
      </c>
      <c r="AJ192" s="1089"/>
      <c r="AK192" s="489"/>
      <c r="AL192" s="810">
        <f t="shared" ref="AL192:AL222" si="380">B192</f>
        <v>46143</v>
      </c>
      <c r="AM192" s="497">
        <f>IFERROR(IF(AND(AT192="",AR192&lt;&gt;S.CAL!$BJ$3,AR192&lt;&gt;S.CAL!$BJ$4,$AR$185="NON"),M192-BD192,IF(AND(AT192="",AR192&lt;&gt;S.CAL!$BJ$3,AR192&lt;&gt;S.CAL!$BJ$4,$AR$185="OUI"),X192-AI192,IF(AT192&lt;&gt;0,AT192,IF(OR(AR192=S.CAL!$BJ$3,AR192=S.CAL!$BJ$4),AR192,"")))),"")</f>
        <v>0</v>
      </c>
      <c r="AN192" s="1091"/>
      <c r="AO192" s="1092"/>
      <c r="AP192" s="497">
        <f>+IF(AND(AU192="",BB192="OUI",BH192="non",BI192="OUI"),AM192,IF(AND(AU192="",BB192="OUI",BH192="oui",BI192="NON"),AM192,IF(AND(AU192="",BB192="NON",BH192="oui",BI192="NON"),M192,IF(AND(AU192="",BB192="NON",BH192="non",BI192="OUI"),M192,IF(AND(AU192="",BB192="OUI",BH192="non",BI192="NON"),"ERREUR",IF(AND(AU192="",BB192="NON",BH192="non",BI192="NON"),AM192,IF(AND(AU192="",BB192="OUI",BH192="",BI192=""),AM192,IF(AND(AU192="",BB192="NON",BH192="",BI192="",AZ192="NON"),M192,IF(AND(AU192="",BH192="",AZ192="OUI",AR192=""),AM192,IF(AND(AU192="",BH192="",AZ192="NON",AR192="",AT192=""),M192,IF(AND(OR(AR192=S.CAL!$BJ$3,AR192=S.CAL!$BJ$4),(VLOOKUP($AM$185,base_nbre_sem_mensu,2,FALSE)=52)),EE192,IF(AND(OR(AR192=S.CAL!$BJ$3,AR192=S.CAL!$BJ$4),(VLOOKUP($AM$185,base_nbre_sem_mensu,2,FALSE)&lt;52)),AM192,IF(AND(AT192&lt;&gt;"",AU192=""),AT192,AU192)))))))))))))</f>
        <v>0</v>
      </c>
      <c r="AQ192" s="498">
        <f>AI192-SUM(AN192:AO192)</f>
        <v>0</v>
      </c>
      <c r="AR192" s="1097"/>
      <c r="AT192" s="1100"/>
      <c r="AU192" s="813"/>
      <c r="AV192" s="1369">
        <f t="shared" ref="AV192:AV222" si="381">B192</f>
        <v>46143</v>
      </c>
      <c r="AX192" s="511">
        <f>+AV192</f>
        <v>46143</v>
      </c>
      <c r="AY192" s="528">
        <f>+IF(M192-X192&lt;0,0,M192-X192)</f>
        <v>0</v>
      </c>
      <c r="AZ192" s="531" t="s">
        <v>137</v>
      </c>
      <c r="BA192" s="532">
        <f>+IF(AZ192="OUI",AY192,0)</f>
        <v>0</v>
      </c>
      <c r="BB192" s="533" t="str">
        <f t="shared" ref="BB192:BB222" si="382">IF(AND(BE192="",+IFERROR(VLOOKUP(AT192,Liste_motif_formule,5,FALSE),0)="OUI"),"OUI",IF(AND(BE192="",IFERROR(VLOOKUP(AT192,Liste_motif_formule,5,FALSE),0)="NON"),"NON",IF(AND(BE192="",IFERROR(M192-AT192&gt;=0,0),AT192&lt;&gt;""),"OUI",IF(AND(BE192="",DC192="oui"),"OUI",IF(BE192&lt;&gt;"",BE192,"")))))</f>
        <v/>
      </c>
      <c r="BC192" s="528">
        <f>+IF(BB192="OUI",IFERROR(M192-AT192,M192),0)</f>
        <v>0</v>
      </c>
      <c r="BD192" s="528">
        <f>+BC192+BA192</f>
        <v>0</v>
      </c>
      <c r="BE192" s="490"/>
      <c r="BF192" s="514" t="str">
        <f t="shared" ref="BF192:BF222" si="383">+IF(AND(AZ192="OUI",BB192="OUI"),"ERREUR","")</f>
        <v/>
      </c>
      <c r="BG192" s="514" t="str">
        <f>+IF(AND(M192=0,AT192=""),"oui","non")</f>
        <v>oui</v>
      </c>
      <c r="BH192" s="377" t="str">
        <f t="shared" ref="BH192:BH222" si="384">IFERROR(+VLOOKUP(AT192,Liste_motif_formule,4,FALSE),"")</f>
        <v/>
      </c>
      <c r="BI192" s="24" t="str">
        <f t="shared" ref="BI192:BI222" si="385">IFERROR(+VLOOKUP(AT192,Liste_motif_formule,5,FALSE),"")</f>
        <v/>
      </c>
      <c r="BJ192" s="1381"/>
      <c r="BK192" s="1381"/>
      <c r="BL192" s="1381"/>
      <c r="BM192" s="1381"/>
      <c r="BN192" s="1381"/>
      <c r="BO192" s="1381"/>
      <c r="BP192" s="1381"/>
      <c r="BQ192" s="1381"/>
      <c r="BS192" s="1369">
        <f t="shared" si="352"/>
        <v>46143</v>
      </c>
      <c r="BT192" s="27">
        <f>IFERROR(WEEKNUM(BS192,21),"")</f>
        <v>18</v>
      </c>
      <c r="BU192" s="1379"/>
      <c r="BV192" s="1379"/>
      <c r="BW192" s="1379"/>
      <c r="BX192" s="1379"/>
      <c r="BY192" s="1379"/>
      <c r="BZ192" s="1379"/>
      <c r="CA192" s="1379"/>
      <c r="CB192" s="1379"/>
      <c r="CD192" s="1385">
        <f>+M192</f>
        <v>0</v>
      </c>
      <c r="DC192" s="16" t="str">
        <f>Mai!FC20</f>
        <v>non</v>
      </c>
      <c r="DG192" s="315">
        <f>IF(OR(AT192=0,AT192=""),1,10)</f>
        <v>1</v>
      </c>
      <c r="DH192" s="129">
        <f t="shared" ref="DH192:DH222" si="386">IFERROR(+VLOOKUP(AT192,Liste_motif_formule,9,FALSE),10)</f>
        <v>10</v>
      </c>
      <c r="DI192" s="129">
        <f>+IF(OR(DG192=1,DH192=1),1,10)</f>
        <v>1</v>
      </c>
      <c r="DK192" s="16">
        <f>+IF(AND(Mai!$DP$8&lt;&gt;52,AR192=S.CAL!$BJ$4),10,1)</f>
        <v>1</v>
      </c>
      <c r="DN192" s="16">
        <f t="shared" ref="DN192:DN222" si="387">+IF(AND(DC192="non",ISTEXT(AT192)=TRUE,IFERROR(VLOOKUP(AT192,Liste_motif_formule,4,FALSE)="non",0),IFERROR(VLOOKUP(AT192,Liste_motif_formule,5,FALSE)="non",0)),10,1)</f>
        <v>1</v>
      </c>
      <c r="DU192" s="1274" t="str">
        <f>+A192&amp;B192</f>
        <v>Fiche infoA546143</v>
      </c>
      <c r="DV192" s="1362">
        <f t="shared" ref="DV192:DV222" si="388">+IFERROR(+IF(BU192="",VLOOKUP(A192,base_horaire,2,FALSE),BU192),0)</f>
        <v>0</v>
      </c>
      <c r="DW192" s="1363">
        <f t="shared" ref="DW192:DW222" si="389">+IFERROR(+IF(BV192="",VLOOKUP(A192,base_horaire,3,FALSE),BV192),0)</f>
        <v>0</v>
      </c>
      <c r="DX192" s="1363">
        <f t="shared" ref="DX192:DX222" si="390">+IFERROR(+IF(BW192="",VLOOKUP(A192,base_horaire,4,FALSE),BW192),0)</f>
        <v>0</v>
      </c>
      <c r="DY192" s="1363">
        <f t="shared" ref="DY192:DY222" si="391">+IFERROR(+IF(BX192="",VLOOKUP(A192,base_horaire,5,FALSE),BX192),0)</f>
        <v>0</v>
      </c>
      <c r="DZ192" s="1363">
        <f t="shared" ref="DZ192:DZ222" si="392">+IFERROR(+IF(BY192="",VLOOKUP(A192,base_horaire,6,FALSE),BY192),0)</f>
        <v>0</v>
      </c>
      <c r="EA192" s="1363">
        <f t="shared" ref="EA192:EA222" si="393">IFERROR(+IF(BZ192="",VLOOKUP(A192,base_horaire,7,FALSE),BZ192),0)</f>
        <v>0</v>
      </c>
      <c r="EB192" s="1363">
        <f t="shared" ref="EB192:EB222" si="394">IFERROR(+IF(CA192="",VLOOKUP(A192,base_horaire,8,FALSE),CA192),0)</f>
        <v>0</v>
      </c>
      <c r="EC192" s="1363">
        <f t="shared" ref="EC192:EC222" si="395">IFERROR(+IF(CB192="",VLOOKUP(A192,base_horaire,9,FALSE),CB192),0)</f>
        <v>0</v>
      </c>
      <c r="ED192" s="1363">
        <f>+DW192-DV192+DY192-DX192+EA192-DZ192+EC192-EB192</f>
        <v>0</v>
      </c>
      <c r="EE192" s="1364">
        <f>ROUND(+ED192*24,2)</f>
        <v>0</v>
      </c>
      <c r="EG192" s="16" t="str">
        <f>+WEEKNUM(B192,21)&amp;YEAR(B192)</f>
        <v>182026</v>
      </c>
      <c r="EH192" s="16" t="str">
        <f t="shared" ref="EH192:EH222" si="396">+A192</f>
        <v>Fiche infoA5</v>
      </c>
      <c r="EI192" s="16" t="str">
        <f t="shared" ref="EI192:EI222" si="397">+VLOOKUP(EH192,Base_heures,6,FALSE)</f>
        <v/>
      </c>
    </row>
    <row r="193" spans="1:139" x14ac:dyDescent="0.2">
      <c r="A193" s="1373" t="str">
        <f>Mai!BJ21</f>
        <v>Fiche infoA6</v>
      </c>
      <c r="B193" s="811">
        <f>Mai!AB21</f>
        <v>46144</v>
      </c>
      <c r="C193" s="1372"/>
      <c r="D193" s="981">
        <f t="shared" si="353"/>
        <v>0</v>
      </c>
      <c r="E193" s="434">
        <f t="shared" si="354"/>
        <v>0</v>
      </c>
      <c r="F193" s="434">
        <f t="shared" si="355"/>
        <v>0</v>
      </c>
      <c r="G193" s="434">
        <f t="shared" si="356"/>
        <v>0</v>
      </c>
      <c r="H193" s="434">
        <f t="shared" si="357"/>
        <v>0</v>
      </c>
      <c r="I193" s="434">
        <f t="shared" si="358"/>
        <v>0</v>
      </c>
      <c r="J193" s="434">
        <f t="shared" si="359"/>
        <v>0</v>
      </c>
      <c r="K193" s="434">
        <f t="shared" si="360"/>
        <v>0</v>
      </c>
      <c r="L193" s="434">
        <f t="shared" ref="L193:L222" si="398">+E193-D193+G193-F193+I193-H193+K193-J193</f>
        <v>0</v>
      </c>
      <c r="M193" s="982">
        <f t="shared" ref="M193:M222" si="399">ROUND(+L193*24,2)</f>
        <v>0</v>
      </c>
      <c r="N193" s="1374"/>
      <c r="O193" s="981">
        <f t="shared" si="361"/>
        <v>0</v>
      </c>
      <c r="P193" s="434">
        <f t="shared" si="362"/>
        <v>0</v>
      </c>
      <c r="Q193" s="434">
        <f t="shared" si="363"/>
        <v>0</v>
      </c>
      <c r="R193" s="434">
        <f t="shared" si="364"/>
        <v>0</v>
      </c>
      <c r="S193" s="434">
        <f t="shared" si="365"/>
        <v>0</v>
      </c>
      <c r="T193" s="434">
        <f t="shared" si="366"/>
        <v>0</v>
      </c>
      <c r="U193" s="434">
        <f t="shared" si="367"/>
        <v>0</v>
      </c>
      <c r="V193" s="434">
        <f t="shared" si="368"/>
        <v>0</v>
      </c>
      <c r="W193" s="434">
        <f t="shared" si="369"/>
        <v>0</v>
      </c>
      <c r="X193" s="982">
        <f t="shared" si="370"/>
        <v>0</v>
      </c>
      <c r="Y193" s="1375"/>
      <c r="Z193" s="1376">
        <f t="shared" si="371"/>
        <v>0</v>
      </c>
      <c r="AA193" s="1376">
        <f t="shared" si="372"/>
        <v>0</v>
      </c>
      <c r="AB193" s="1376">
        <f t="shared" si="373"/>
        <v>0</v>
      </c>
      <c r="AC193" s="1376">
        <f t="shared" si="374"/>
        <v>0</v>
      </c>
      <c r="AD193" s="1376">
        <f t="shared" si="375"/>
        <v>0</v>
      </c>
      <c r="AE193" s="1376">
        <f t="shared" si="376"/>
        <v>0</v>
      </c>
      <c r="AF193" s="1376">
        <f t="shared" si="377"/>
        <v>0</v>
      </c>
      <c r="AG193" s="1376">
        <f t="shared" si="378"/>
        <v>0</v>
      </c>
      <c r="AH193" s="1374"/>
      <c r="AI193" s="444">
        <f t="shared" si="379"/>
        <v>0</v>
      </c>
      <c r="AJ193" s="1090"/>
      <c r="AK193" s="1377"/>
      <c r="AL193" s="811">
        <f t="shared" si="380"/>
        <v>46144</v>
      </c>
      <c r="AM193" s="666">
        <f>IFERROR(IF(AND(AT193="",AR193&lt;&gt;S.CAL!$BJ$3,AR193&lt;&gt;S.CAL!$BJ$4,$AR$185="NON"),M193-BD193,IF(AND(AT193="",AR193&lt;&gt;S.CAL!$BJ$3,AR193&lt;&gt;S.CAL!$BJ$4,$AR$185="OUI"),X193-AI193,IF(AT193&lt;&gt;0,AT193,IF(OR(AR193=S.CAL!$BJ$3,AR193=S.CAL!$BJ$4),AR193,"")))),"")</f>
        <v>0</v>
      </c>
      <c r="AN193" s="1093"/>
      <c r="AO193" s="1094"/>
      <c r="AP193" s="666">
        <f>+IF(AND(AU193="",BB193="OUI",BH193="non",BI193="OUI"),AM193,IF(AND(AU193="",BB193="OUI",BH193="oui",BI193="NON"),AM193,IF(AND(AU193="",BB193="NON",BH193="oui",BI193="NON"),M193,IF(AND(AU193="",BB193="NON",BH193="non",BI193="OUI"),M193,IF(AND(AU193="",BB193="OUI",BH193="non",BI193="NON"),"ERREUR",IF(AND(AU193="",BB193="NON",BH193="non",BI193="NON"),AM193,IF(AND(AU193="",BB193="OUI",BH193="",BI193=""),AM193,IF(AND(AU193="",BB193="NON",BH193="",BI193="",AZ193="NON"),M193,IF(AND(AU193="",BH193="",AZ193="OUI",AR193=""),AM193,IF(AND(AU193="",BH193="",AZ193="NON",AR193="",AT193=""),M193,IF(AND(OR(AR193=S.CAL!$BJ$3,AR193=S.CAL!$BJ$4),(VLOOKUP($AM$185,base_nbre_sem_mensu,2,FALSE)=52)),EE193,IF(AND(OR(AR193=S.CAL!$BJ$3,AR193=S.CAL!$BJ$4),(VLOOKUP($AM$185,base_nbre_sem_mensu,2,FALSE)&lt;52)),AM193,IF(AND(AT193&lt;&gt;"",AU193=""),AT193,AU193)))))))))))))</f>
        <v>0</v>
      </c>
      <c r="AQ193" s="1378">
        <f t="shared" ref="AQ193:AQ222" si="400">AI193-SUM(AN193:AO193)</f>
        <v>0</v>
      </c>
      <c r="AR193" s="1098"/>
      <c r="AS193" s="1374"/>
      <c r="AT193" s="1101"/>
      <c r="AU193" s="813"/>
      <c r="AV193" s="1370">
        <f t="shared" si="381"/>
        <v>46144</v>
      </c>
      <c r="AW193" s="1374"/>
      <c r="AX193" s="511">
        <f t="shared" ref="AX193:AX222" si="401">+AV193</f>
        <v>46144</v>
      </c>
      <c r="AY193" s="523">
        <f t="shared" ref="AY193:AY222" si="402">+IF(M193-X193&lt;0,0,M193-X193)</f>
        <v>0</v>
      </c>
      <c r="AZ193" s="520" t="s">
        <v>137</v>
      </c>
      <c r="BA193" s="516">
        <f t="shared" ref="BA193:BA222" si="403">+IF(AZ193="OUI",AY193,0)</f>
        <v>0</v>
      </c>
      <c r="BB193" s="549" t="str">
        <f t="shared" si="382"/>
        <v/>
      </c>
      <c r="BC193" s="523">
        <f t="shared" ref="BC193:BC222" si="404">+IF(BB193="OUI",IFERROR(M193-AT193,M193),0)</f>
        <v>0</v>
      </c>
      <c r="BD193" s="523">
        <f t="shared" ref="BD193:BD222" si="405">+BC193+BA193</f>
        <v>0</v>
      </c>
      <c r="BE193" s="732"/>
      <c r="BF193" s="514" t="str">
        <f t="shared" si="383"/>
        <v/>
      </c>
      <c r="BG193" s="514" t="str">
        <f t="shared" ref="BG193:BG222" si="406">+IF(AND(M193=0,AT193=""),"oui","non")</f>
        <v>oui</v>
      </c>
      <c r="BH193" s="377" t="str">
        <f t="shared" si="384"/>
        <v/>
      </c>
      <c r="BI193" s="24" t="str">
        <f t="shared" si="385"/>
        <v/>
      </c>
      <c r="BJ193" s="1382"/>
      <c r="BK193" s="1382"/>
      <c r="BL193" s="1382"/>
      <c r="BM193" s="1382"/>
      <c r="BN193" s="1382"/>
      <c r="BO193" s="1382"/>
      <c r="BP193" s="1382"/>
      <c r="BQ193" s="1382"/>
      <c r="BR193" s="1383"/>
      <c r="BS193" s="1370">
        <f t="shared" si="352"/>
        <v>46144</v>
      </c>
      <c r="BT193" s="1384" t="str">
        <f>IFERROR(IF(WEEKDAY(BS193,11)=1,WEEKNUM(BS193,21),""),"")</f>
        <v/>
      </c>
      <c r="BU193" s="1382"/>
      <c r="BV193" s="1382"/>
      <c r="BW193" s="1382"/>
      <c r="BX193" s="1382"/>
      <c r="BY193" s="1382"/>
      <c r="BZ193" s="1382"/>
      <c r="CA193" s="1382"/>
      <c r="CB193" s="1382"/>
      <c r="CD193" s="1386">
        <f t="shared" ref="CD193:CD222" si="407">+M193</f>
        <v>0</v>
      </c>
      <c r="DC193" s="16" t="str">
        <f>Mai!FC21</f>
        <v>non</v>
      </c>
      <c r="DG193" s="315">
        <f t="shared" ref="DG193:DG222" si="408">IF(OR(AT193=0,AT193=""),1,10)</f>
        <v>1</v>
      </c>
      <c r="DH193" s="129">
        <f t="shared" si="386"/>
        <v>10</v>
      </c>
      <c r="DI193" s="129">
        <f t="shared" ref="DI193:DI222" si="409">+IF(OR(DG193=1,DH193=1),1,10)</f>
        <v>1</v>
      </c>
      <c r="DK193" s="16">
        <f>+IF(AND(Mai!$DP$8&lt;&gt;52,AR193=S.CAL!$BJ$4),10,1)</f>
        <v>1</v>
      </c>
      <c r="DN193" s="16">
        <f t="shared" si="387"/>
        <v>1</v>
      </c>
      <c r="DU193" s="1274" t="str">
        <f t="shared" ref="DU193:DU222" si="410">+A193&amp;B193</f>
        <v>Fiche infoA646144</v>
      </c>
      <c r="DV193" s="1362">
        <f t="shared" si="388"/>
        <v>0</v>
      </c>
      <c r="DW193" s="1363">
        <f t="shared" si="389"/>
        <v>0</v>
      </c>
      <c r="DX193" s="1363">
        <f t="shared" si="390"/>
        <v>0</v>
      </c>
      <c r="DY193" s="1363">
        <f t="shared" si="391"/>
        <v>0</v>
      </c>
      <c r="DZ193" s="1363">
        <f t="shared" si="392"/>
        <v>0</v>
      </c>
      <c r="EA193" s="1363">
        <f t="shared" si="393"/>
        <v>0</v>
      </c>
      <c r="EB193" s="1363">
        <f t="shared" si="394"/>
        <v>0</v>
      </c>
      <c r="EC193" s="1363">
        <f t="shared" si="395"/>
        <v>0</v>
      </c>
      <c r="ED193" s="1363">
        <f t="shared" ref="ED193:ED222" si="411">+DW193-DV193+DY193-DX193+EA193-DZ193+EC193-EB193</f>
        <v>0</v>
      </c>
      <c r="EE193" s="1364">
        <f t="shared" ref="EE193:EE222" si="412">ROUND(+ED193*24,2)</f>
        <v>0</v>
      </c>
      <c r="EG193" s="16" t="str">
        <f t="shared" ref="EG193:EG222" si="413">+WEEKNUM(B193,21)&amp;YEAR(B193)</f>
        <v>182026</v>
      </c>
      <c r="EH193" s="16" t="str">
        <f t="shared" si="396"/>
        <v>Fiche infoA6</v>
      </c>
      <c r="EI193" s="16" t="str">
        <f t="shared" si="397"/>
        <v/>
      </c>
    </row>
    <row r="194" spans="1:139" x14ac:dyDescent="0.2">
      <c r="A194" s="24" t="str">
        <f>Mai!BJ22</f>
        <v>Fiche infoA7</v>
      </c>
      <c r="B194" s="811">
        <f>Mai!AB22</f>
        <v>46145</v>
      </c>
      <c r="C194" s="1371"/>
      <c r="D194" s="981">
        <f t="shared" si="353"/>
        <v>0</v>
      </c>
      <c r="E194" s="434">
        <f t="shared" si="354"/>
        <v>0</v>
      </c>
      <c r="F194" s="434">
        <f t="shared" si="355"/>
        <v>0</v>
      </c>
      <c r="G194" s="434">
        <f t="shared" si="356"/>
        <v>0</v>
      </c>
      <c r="H194" s="434">
        <f t="shared" si="357"/>
        <v>0</v>
      </c>
      <c r="I194" s="434">
        <f t="shared" si="358"/>
        <v>0</v>
      </c>
      <c r="J194" s="434">
        <f t="shared" si="359"/>
        <v>0</v>
      </c>
      <c r="K194" s="434">
        <f t="shared" si="360"/>
        <v>0</v>
      </c>
      <c r="L194" s="434">
        <f t="shared" si="398"/>
        <v>0</v>
      </c>
      <c r="M194" s="982">
        <f t="shared" si="399"/>
        <v>0</v>
      </c>
      <c r="O194" s="981">
        <f t="shared" si="361"/>
        <v>0</v>
      </c>
      <c r="P194" s="434">
        <f t="shared" si="362"/>
        <v>0</v>
      </c>
      <c r="Q194" s="434">
        <f t="shared" si="363"/>
        <v>0</v>
      </c>
      <c r="R194" s="434">
        <f t="shared" si="364"/>
        <v>0</v>
      </c>
      <c r="S194" s="434">
        <f t="shared" si="365"/>
        <v>0</v>
      </c>
      <c r="T194" s="434">
        <f t="shared" si="366"/>
        <v>0</v>
      </c>
      <c r="U194" s="434">
        <f t="shared" si="367"/>
        <v>0</v>
      </c>
      <c r="V194" s="434">
        <f t="shared" si="368"/>
        <v>0</v>
      </c>
      <c r="W194" s="434">
        <f t="shared" si="369"/>
        <v>0</v>
      </c>
      <c r="X194" s="982">
        <f t="shared" si="370"/>
        <v>0</v>
      </c>
      <c r="Y194" s="441"/>
      <c r="Z194" s="277">
        <f t="shared" si="371"/>
        <v>0</v>
      </c>
      <c r="AA194" s="277">
        <f t="shared" si="372"/>
        <v>0</v>
      </c>
      <c r="AB194" s="277">
        <f t="shared" si="373"/>
        <v>0</v>
      </c>
      <c r="AC194" s="277">
        <f t="shared" si="374"/>
        <v>0</v>
      </c>
      <c r="AD194" s="277">
        <f t="shared" si="375"/>
        <v>0</v>
      </c>
      <c r="AE194" s="277">
        <f t="shared" si="376"/>
        <v>0</v>
      </c>
      <c r="AF194" s="277">
        <f t="shared" si="377"/>
        <v>0</v>
      </c>
      <c r="AG194" s="277">
        <f t="shared" si="378"/>
        <v>0</v>
      </c>
      <c r="AI194" s="444">
        <f t="shared" si="379"/>
        <v>0</v>
      </c>
      <c r="AJ194" s="1090"/>
      <c r="AK194" s="489"/>
      <c r="AL194" s="811">
        <f t="shared" si="380"/>
        <v>46145</v>
      </c>
      <c r="AM194" s="666">
        <f>IFERROR(IF(AND(AT194="",AR194&lt;&gt;S.CAL!$BJ$3,AR194&lt;&gt;S.CAL!$BJ$4,$AR$185="NON"),M194-BD194,IF(AND(AT194="",AR194&lt;&gt;S.CAL!$BJ$3,AR194&lt;&gt;S.CAL!$BJ$4,$AR$185="OUI"),X194-AI194,IF(AT194&lt;&gt;0,AT194,IF(OR(AR194=S.CAL!$BJ$3,AR194=S.CAL!$BJ$4),AR194,"")))),"")</f>
        <v>0</v>
      </c>
      <c r="AN194" s="1093"/>
      <c r="AO194" s="1094"/>
      <c r="AP194" s="666">
        <f>+IF(AND(AU194="",BB194="OUI",BH194="non",BI194="OUI"),AM194,IF(AND(AU194="",BB194="OUI",BH194="oui",BI194="NON"),AM194,IF(AND(AU194="",BB194="NON",BH194="oui",BI194="NON"),M194,IF(AND(AU194="",BB194="NON",BH194="non",BI194="OUI"),M194,IF(AND(AU194="",BB194="OUI",BH194="non",BI194="NON"),"ERREUR",IF(AND(AU194="",BB194="NON",BH194="non",BI194="NON"),AM194,IF(AND(AU194="",BB194="OUI",BH194="",BI194=""),AM194,IF(AND(AU194="",BB194="NON",BH194="",BI194="",AZ194="NON"),M194,IF(AND(AU194="",BH194="",AZ194="OUI",AR194=""),AM194,IF(AND(AU194="",BH194="",AZ194="NON",AR194="",AT194=""),M194,IF(AND(OR(AR194=S.CAL!$BJ$3,AR194=S.CAL!$BJ$4),(VLOOKUP($AM$185,base_nbre_sem_mensu,2,FALSE)=52)),EE194,IF(AND(OR(AR194=S.CAL!$BJ$3,AR194=S.CAL!$BJ$4),(VLOOKUP($AM$185,base_nbre_sem_mensu,2,FALSE)&lt;52)),AM194,IF(AND(AT194&lt;&gt;"",AU194=""),AT194,AU194)))))))))))))</f>
        <v>0</v>
      </c>
      <c r="AQ194" s="498">
        <f t="shared" si="400"/>
        <v>0</v>
      </c>
      <c r="AR194" s="1098"/>
      <c r="AT194" s="1101"/>
      <c r="AU194" s="813"/>
      <c r="AV194" s="1370">
        <f t="shared" si="381"/>
        <v>46145</v>
      </c>
      <c r="AX194" s="511">
        <f t="shared" si="401"/>
        <v>46145</v>
      </c>
      <c r="AY194" s="523">
        <f t="shared" si="402"/>
        <v>0</v>
      </c>
      <c r="AZ194" s="520" t="s">
        <v>137</v>
      </c>
      <c r="BA194" s="516">
        <f t="shared" si="403"/>
        <v>0</v>
      </c>
      <c r="BB194" s="549" t="str">
        <f t="shared" si="382"/>
        <v/>
      </c>
      <c r="BC194" s="523">
        <f t="shared" si="404"/>
        <v>0</v>
      </c>
      <c r="BD194" s="523">
        <f t="shared" si="405"/>
        <v>0</v>
      </c>
      <c r="BE194" s="732"/>
      <c r="BF194" s="514" t="str">
        <f t="shared" si="383"/>
        <v/>
      </c>
      <c r="BG194" s="514" t="str">
        <f t="shared" si="406"/>
        <v>oui</v>
      </c>
      <c r="BH194" s="377" t="str">
        <f t="shared" si="384"/>
        <v/>
      </c>
      <c r="BI194" s="24" t="str">
        <f t="shared" si="385"/>
        <v/>
      </c>
      <c r="BJ194" s="1381"/>
      <c r="BK194" s="1381"/>
      <c r="BL194" s="1381"/>
      <c r="BM194" s="1381"/>
      <c r="BN194" s="1381"/>
      <c r="BO194" s="1381"/>
      <c r="BP194" s="1381"/>
      <c r="BQ194" s="1381"/>
      <c r="BS194" s="1370">
        <f t="shared" si="352"/>
        <v>46145</v>
      </c>
      <c r="BT194" s="27" t="str">
        <f t="shared" ref="BT194:BT222" si="414">IFERROR(IF(WEEKDAY(BS194,11)=1,WEEKNUM(BS194,21),""),"")</f>
        <v/>
      </c>
      <c r="BU194" s="1380"/>
      <c r="BV194" s="1380"/>
      <c r="BW194" s="1380"/>
      <c r="BX194" s="1380"/>
      <c r="BY194" s="1380"/>
      <c r="BZ194" s="1380"/>
      <c r="CA194" s="1380"/>
      <c r="CB194" s="1380"/>
      <c r="CD194" s="1386">
        <f t="shared" si="407"/>
        <v>0</v>
      </c>
      <c r="DC194" s="16" t="str">
        <f>Mai!FC22</f>
        <v>non</v>
      </c>
      <c r="DG194" s="315">
        <f t="shared" si="408"/>
        <v>1</v>
      </c>
      <c r="DH194" s="129">
        <f t="shared" si="386"/>
        <v>10</v>
      </c>
      <c r="DI194" s="129">
        <f t="shared" si="409"/>
        <v>1</v>
      </c>
      <c r="DK194" s="16">
        <f>+IF(AND(Mai!$DP$8&lt;&gt;52,AR194=S.CAL!$BJ$4),10,1)</f>
        <v>1</v>
      </c>
      <c r="DN194" s="16">
        <f t="shared" si="387"/>
        <v>1</v>
      </c>
      <c r="DU194" s="1274" t="str">
        <f t="shared" si="410"/>
        <v>Fiche infoA746145</v>
      </c>
      <c r="DV194" s="1362">
        <f t="shared" si="388"/>
        <v>0</v>
      </c>
      <c r="DW194" s="1363">
        <f t="shared" si="389"/>
        <v>0</v>
      </c>
      <c r="DX194" s="1363">
        <f t="shared" si="390"/>
        <v>0</v>
      </c>
      <c r="DY194" s="1363">
        <f t="shared" si="391"/>
        <v>0</v>
      </c>
      <c r="DZ194" s="1363">
        <f t="shared" si="392"/>
        <v>0</v>
      </c>
      <c r="EA194" s="1363">
        <f t="shared" si="393"/>
        <v>0</v>
      </c>
      <c r="EB194" s="1363">
        <f t="shared" si="394"/>
        <v>0</v>
      </c>
      <c r="EC194" s="1363">
        <f t="shared" si="395"/>
        <v>0</v>
      </c>
      <c r="ED194" s="1363">
        <f t="shared" si="411"/>
        <v>0</v>
      </c>
      <c r="EE194" s="1364">
        <f t="shared" si="412"/>
        <v>0</v>
      </c>
      <c r="EG194" s="16" t="str">
        <f t="shared" si="413"/>
        <v>182026</v>
      </c>
      <c r="EH194" s="16" t="str">
        <f t="shared" si="396"/>
        <v>Fiche infoA7</v>
      </c>
      <c r="EI194" s="16" t="str">
        <f t="shared" si="397"/>
        <v/>
      </c>
    </row>
    <row r="195" spans="1:139" x14ac:dyDescent="0.2">
      <c r="A195" s="1373" t="str">
        <f>Mai!BJ23</f>
        <v>Fiche infoA1</v>
      </c>
      <c r="B195" s="811">
        <f>Mai!AB23</f>
        <v>46146</v>
      </c>
      <c r="C195" s="1372"/>
      <c r="D195" s="981">
        <f t="shared" si="353"/>
        <v>0</v>
      </c>
      <c r="E195" s="434">
        <f t="shared" si="354"/>
        <v>0</v>
      </c>
      <c r="F195" s="434">
        <f t="shared" si="355"/>
        <v>0</v>
      </c>
      <c r="G195" s="434">
        <f t="shared" si="356"/>
        <v>0</v>
      </c>
      <c r="H195" s="434">
        <f t="shared" si="357"/>
        <v>0</v>
      </c>
      <c r="I195" s="434">
        <f t="shared" si="358"/>
        <v>0</v>
      </c>
      <c r="J195" s="434">
        <f t="shared" si="359"/>
        <v>0</v>
      </c>
      <c r="K195" s="434">
        <f t="shared" si="360"/>
        <v>0</v>
      </c>
      <c r="L195" s="434">
        <f t="shared" si="398"/>
        <v>0</v>
      </c>
      <c r="M195" s="982">
        <f t="shared" si="399"/>
        <v>0</v>
      </c>
      <c r="N195" s="1374"/>
      <c r="O195" s="981">
        <f t="shared" si="361"/>
        <v>0</v>
      </c>
      <c r="P195" s="434">
        <f t="shared" si="362"/>
        <v>0</v>
      </c>
      <c r="Q195" s="434">
        <f t="shared" si="363"/>
        <v>0</v>
      </c>
      <c r="R195" s="434">
        <f t="shared" si="364"/>
        <v>0</v>
      </c>
      <c r="S195" s="434">
        <f t="shared" si="365"/>
        <v>0</v>
      </c>
      <c r="T195" s="434">
        <f t="shared" si="366"/>
        <v>0</v>
      </c>
      <c r="U195" s="434">
        <f t="shared" si="367"/>
        <v>0</v>
      </c>
      <c r="V195" s="434">
        <f t="shared" si="368"/>
        <v>0</v>
      </c>
      <c r="W195" s="434">
        <f t="shared" si="369"/>
        <v>0</v>
      </c>
      <c r="X195" s="982">
        <f t="shared" si="370"/>
        <v>0</v>
      </c>
      <c r="Y195" s="1375"/>
      <c r="Z195" s="1376">
        <f t="shared" si="371"/>
        <v>0</v>
      </c>
      <c r="AA195" s="1376">
        <f t="shared" si="372"/>
        <v>0</v>
      </c>
      <c r="AB195" s="1376">
        <f t="shared" si="373"/>
        <v>0</v>
      </c>
      <c r="AC195" s="1376">
        <f t="shared" si="374"/>
        <v>0</v>
      </c>
      <c r="AD195" s="1376">
        <f t="shared" si="375"/>
        <v>0</v>
      </c>
      <c r="AE195" s="1376">
        <f t="shared" si="376"/>
        <v>0</v>
      </c>
      <c r="AF195" s="1376">
        <f t="shared" si="377"/>
        <v>0</v>
      </c>
      <c r="AG195" s="1376">
        <f t="shared" si="378"/>
        <v>0</v>
      </c>
      <c r="AH195" s="1374"/>
      <c r="AI195" s="444">
        <f t="shared" si="379"/>
        <v>0</v>
      </c>
      <c r="AJ195" s="1090"/>
      <c r="AK195" s="1377"/>
      <c r="AL195" s="811">
        <f t="shared" si="380"/>
        <v>46146</v>
      </c>
      <c r="AM195" s="666">
        <f>IFERROR(IF(AND(AT195="",AR195&lt;&gt;S.CAL!$BJ$3,AR195&lt;&gt;S.CAL!$BJ$4,$AR$185="NON"),M195-BD195,IF(AND(AT195="",AR195&lt;&gt;S.CAL!$BJ$3,AR195&lt;&gt;S.CAL!$BJ$4,$AR$185="OUI"),X195-AI195,IF(AT195&lt;&gt;0,AT195,IF(OR(AR195=S.CAL!$BJ$3,AR195=S.CAL!$BJ$4),AR195,"")))),"")</f>
        <v>0</v>
      </c>
      <c r="AN195" s="1093"/>
      <c r="AO195" s="1094"/>
      <c r="AP195" s="666">
        <f>+IF(AND(AU195="",BB195="OUI",BH195="non",BI195="OUI"),AM195,IF(AND(AU195="",BB195="OUI",BH195="oui",BI195="NON"),AM195,IF(AND(AU195="",BB195="NON",BH195="oui",BI195="NON"),M195,IF(AND(AU195="",BB195="NON",BH195="non",BI195="OUI"),M195,IF(AND(AU195="",BB195="OUI",BH195="non",BI195="NON"),"ERREUR",IF(AND(AU195="",BB195="NON",BH195="non",BI195="NON"),AM195,IF(AND(AU195="",BB195="OUI",BH195="",BI195=""),AM195,IF(AND(AU195="",BB195="NON",BH195="",BI195="",AZ195="NON"),M195,IF(AND(AU195="",BH195="",AZ195="OUI",AR195=""),AM195,IF(AND(AU195="",BH195="",AZ195="NON",AR195="",AT195=""),M195,IF(AND(OR(AR195=S.CAL!$BJ$3,AR195=S.CAL!$BJ$4),(VLOOKUP($AM$185,base_nbre_sem_mensu,2,FALSE)=52)),EE195,IF(AND(OR(AR195=S.CAL!$BJ$3,AR195=S.CAL!$BJ$4),(VLOOKUP($AM$185,base_nbre_sem_mensu,2,FALSE)&lt;52)),AM195,IF(AND(AT195&lt;&gt;"",AU195=""),AT195,AU195)))))))))))))</f>
        <v>0</v>
      </c>
      <c r="AQ195" s="1378">
        <f t="shared" si="400"/>
        <v>0</v>
      </c>
      <c r="AR195" s="1098"/>
      <c r="AS195" s="1374"/>
      <c r="AT195" s="1101"/>
      <c r="AU195" s="813"/>
      <c r="AV195" s="1370">
        <f t="shared" si="381"/>
        <v>46146</v>
      </c>
      <c r="AW195" s="1374"/>
      <c r="AX195" s="511">
        <f t="shared" si="401"/>
        <v>46146</v>
      </c>
      <c r="AY195" s="523">
        <f t="shared" si="402"/>
        <v>0</v>
      </c>
      <c r="AZ195" s="520" t="s">
        <v>137</v>
      </c>
      <c r="BA195" s="516">
        <f t="shared" si="403"/>
        <v>0</v>
      </c>
      <c r="BB195" s="549" t="str">
        <f t="shared" si="382"/>
        <v/>
      </c>
      <c r="BC195" s="523">
        <f t="shared" si="404"/>
        <v>0</v>
      </c>
      <c r="BD195" s="523">
        <f t="shared" si="405"/>
        <v>0</v>
      </c>
      <c r="BE195" s="732"/>
      <c r="BF195" s="514" t="str">
        <f t="shared" si="383"/>
        <v/>
      </c>
      <c r="BG195" s="514" t="str">
        <f t="shared" si="406"/>
        <v>oui</v>
      </c>
      <c r="BH195" s="377" t="str">
        <f t="shared" si="384"/>
        <v/>
      </c>
      <c r="BI195" s="24" t="str">
        <f t="shared" si="385"/>
        <v/>
      </c>
      <c r="BJ195" s="1382"/>
      <c r="BK195" s="1382"/>
      <c r="BL195" s="1382"/>
      <c r="BM195" s="1382"/>
      <c r="BN195" s="1382"/>
      <c r="BO195" s="1382"/>
      <c r="BP195" s="1382"/>
      <c r="BQ195" s="1382"/>
      <c r="BR195" s="1383"/>
      <c r="BS195" s="1370">
        <f t="shared" si="352"/>
        <v>46146</v>
      </c>
      <c r="BT195" s="1384">
        <f t="shared" si="414"/>
        <v>19</v>
      </c>
      <c r="BU195" s="1382"/>
      <c r="BV195" s="1382"/>
      <c r="BW195" s="1382"/>
      <c r="BX195" s="1382"/>
      <c r="BY195" s="1382"/>
      <c r="BZ195" s="1382"/>
      <c r="CA195" s="1382"/>
      <c r="CB195" s="1382"/>
      <c r="CD195" s="1386">
        <f t="shared" si="407"/>
        <v>0</v>
      </c>
      <c r="DC195" s="16" t="str">
        <f>Mai!FC23</f>
        <v>non</v>
      </c>
      <c r="DG195" s="315">
        <f t="shared" si="408"/>
        <v>1</v>
      </c>
      <c r="DH195" s="129">
        <f t="shared" si="386"/>
        <v>10</v>
      </c>
      <c r="DI195" s="129">
        <f t="shared" si="409"/>
        <v>1</v>
      </c>
      <c r="DK195" s="16">
        <f>+IF(AND(Mai!$DP$8&lt;&gt;52,AR195=S.CAL!$BJ$4),10,1)</f>
        <v>1</v>
      </c>
      <c r="DN195" s="16">
        <f t="shared" si="387"/>
        <v>1</v>
      </c>
      <c r="DU195" s="1274" t="str">
        <f t="shared" si="410"/>
        <v>Fiche infoA146146</v>
      </c>
      <c r="DV195" s="1362">
        <f t="shared" si="388"/>
        <v>0</v>
      </c>
      <c r="DW195" s="1363">
        <f t="shared" si="389"/>
        <v>0</v>
      </c>
      <c r="DX195" s="1363">
        <f t="shared" si="390"/>
        <v>0</v>
      </c>
      <c r="DY195" s="1363">
        <f t="shared" si="391"/>
        <v>0</v>
      </c>
      <c r="DZ195" s="1363">
        <f t="shared" si="392"/>
        <v>0</v>
      </c>
      <c r="EA195" s="1363">
        <f t="shared" si="393"/>
        <v>0</v>
      </c>
      <c r="EB195" s="1363">
        <f t="shared" si="394"/>
        <v>0</v>
      </c>
      <c r="EC195" s="1363">
        <f t="shared" si="395"/>
        <v>0</v>
      </c>
      <c r="ED195" s="1363">
        <f t="shared" si="411"/>
        <v>0</v>
      </c>
      <c r="EE195" s="1364">
        <f t="shared" si="412"/>
        <v>0</v>
      </c>
      <c r="EG195" s="16" t="str">
        <f t="shared" si="413"/>
        <v>192026</v>
      </c>
      <c r="EH195" s="16" t="str">
        <f t="shared" si="396"/>
        <v>Fiche infoA1</v>
      </c>
      <c r="EI195" s="16" t="str">
        <f t="shared" si="397"/>
        <v/>
      </c>
    </row>
    <row r="196" spans="1:139" x14ac:dyDescent="0.2">
      <c r="A196" s="24" t="str">
        <f>Mai!BJ24</f>
        <v>Fiche infoA2</v>
      </c>
      <c r="B196" s="811">
        <f>Mai!AB24</f>
        <v>46147</v>
      </c>
      <c r="C196" s="1371"/>
      <c r="D196" s="981">
        <f t="shared" si="353"/>
        <v>0</v>
      </c>
      <c r="E196" s="434">
        <f t="shared" si="354"/>
        <v>0</v>
      </c>
      <c r="F196" s="434">
        <f t="shared" si="355"/>
        <v>0</v>
      </c>
      <c r="G196" s="434">
        <f t="shared" si="356"/>
        <v>0</v>
      </c>
      <c r="H196" s="434">
        <f t="shared" si="357"/>
        <v>0</v>
      </c>
      <c r="I196" s="434">
        <f t="shared" si="358"/>
        <v>0</v>
      </c>
      <c r="J196" s="434">
        <f t="shared" si="359"/>
        <v>0</v>
      </c>
      <c r="K196" s="434">
        <f t="shared" si="360"/>
        <v>0</v>
      </c>
      <c r="L196" s="434">
        <f t="shared" si="398"/>
        <v>0</v>
      </c>
      <c r="M196" s="982">
        <f t="shared" si="399"/>
        <v>0</v>
      </c>
      <c r="O196" s="981">
        <f t="shared" si="361"/>
        <v>0</v>
      </c>
      <c r="P196" s="434">
        <f t="shared" si="362"/>
        <v>0</v>
      </c>
      <c r="Q196" s="434">
        <f t="shared" si="363"/>
        <v>0</v>
      </c>
      <c r="R196" s="434">
        <f t="shared" si="364"/>
        <v>0</v>
      </c>
      <c r="S196" s="434">
        <f t="shared" si="365"/>
        <v>0</v>
      </c>
      <c r="T196" s="434">
        <f t="shared" si="366"/>
        <v>0</v>
      </c>
      <c r="U196" s="434">
        <f t="shared" si="367"/>
        <v>0</v>
      </c>
      <c r="V196" s="434">
        <f t="shared" si="368"/>
        <v>0</v>
      </c>
      <c r="W196" s="434">
        <f t="shared" si="369"/>
        <v>0</v>
      </c>
      <c r="X196" s="982">
        <f t="shared" si="370"/>
        <v>0</v>
      </c>
      <c r="Y196" s="441"/>
      <c r="Z196" s="277">
        <f t="shared" si="371"/>
        <v>0</v>
      </c>
      <c r="AA196" s="277">
        <f t="shared" si="372"/>
        <v>0</v>
      </c>
      <c r="AB196" s="277">
        <f t="shared" si="373"/>
        <v>0</v>
      </c>
      <c r="AC196" s="277">
        <f t="shared" si="374"/>
        <v>0</v>
      </c>
      <c r="AD196" s="277">
        <f t="shared" si="375"/>
        <v>0</v>
      </c>
      <c r="AE196" s="277">
        <f t="shared" si="376"/>
        <v>0</v>
      </c>
      <c r="AF196" s="277">
        <f t="shared" si="377"/>
        <v>0</v>
      </c>
      <c r="AG196" s="277">
        <f t="shared" si="378"/>
        <v>0</v>
      </c>
      <c r="AI196" s="444">
        <f t="shared" si="379"/>
        <v>0</v>
      </c>
      <c r="AJ196" s="1090"/>
      <c r="AK196" s="489"/>
      <c r="AL196" s="811">
        <f t="shared" si="380"/>
        <v>46147</v>
      </c>
      <c r="AM196" s="666">
        <f>IFERROR(IF(AND(AT196="",AR196&lt;&gt;S.CAL!$BJ$3,AR196&lt;&gt;S.CAL!$BJ$4,$AR$185="NON"),M196-BD196,IF(AND(AT196="",AR196&lt;&gt;S.CAL!$BJ$3,AR196&lt;&gt;S.CAL!$BJ$4,$AR$185="OUI"),X196-AI196,IF(AT196&lt;&gt;0,AT196,IF(OR(AR196=S.CAL!$BJ$3,AR196=S.CAL!$BJ$4),AR196,"")))),"")</f>
        <v>0</v>
      </c>
      <c r="AN196" s="1093"/>
      <c r="AO196" s="1094"/>
      <c r="AP196" s="666">
        <f>+IF(AND(AU196="",BB196="OUI",BH196="non",BI196="OUI"),AM196,IF(AND(AU196="",BB196="OUI",BH196="oui",BI196="NON"),AM196,IF(AND(AU196="",BB196="NON",BH196="oui",BI196="NON"),M196,IF(AND(AU196="",BB196="NON",BH196="non",BI196="OUI"),M196,IF(AND(AU196="",BB196="OUI",BH196="non",BI196="NON"),"ERREUR",IF(AND(AU196="",BB196="NON",BH196="non",BI196="NON"),AM196,IF(AND(AU196="",BB196="OUI",BH196="",BI196=""),AM196,IF(AND(AU196="",BB196="NON",BH196="",BI196="",AZ196="NON"),M196,IF(AND(AU196="",BH196="",AZ196="OUI",AR196=""),AM196,IF(AND(AU196="",BH196="",AZ196="NON",AR196="",AT196=""),M196,IF(AND(OR(AR196=S.CAL!$BJ$3,AR196=S.CAL!$BJ$4),(VLOOKUP($AM$185,base_nbre_sem_mensu,2,FALSE)=52)),EE196,IF(AND(OR(AR196=S.CAL!$BJ$3,AR196=S.CAL!$BJ$4),(VLOOKUP($AM$185,base_nbre_sem_mensu,2,FALSE)&lt;52)),AM196,IF(AND(AT196&lt;&gt;"",AU196=""),AT196,AU196)))))))))))))</f>
        <v>0</v>
      </c>
      <c r="AQ196" s="498">
        <f t="shared" si="400"/>
        <v>0</v>
      </c>
      <c r="AR196" s="1098"/>
      <c r="AT196" s="1101"/>
      <c r="AU196" s="813"/>
      <c r="AV196" s="1370">
        <f t="shared" si="381"/>
        <v>46147</v>
      </c>
      <c r="AX196" s="511">
        <f t="shared" si="401"/>
        <v>46147</v>
      </c>
      <c r="AY196" s="523">
        <f t="shared" si="402"/>
        <v>0</v>
      </c>
      <c r="AZ196" s="520" t="s">
        <v>137</v>
      </c>
      <c r="BA196" s="516">
        <f t="shared" si="403"/>
        <v>0</v>
      </c>
      <c r="BB196" s="549" t="str">
        <f t="shared" si="382"/>
        <v/>
      </c>
      <c r="BC196" s="523">
        <f t="shared" si="404"/>
        <v>0</v>
      </c>
      <c r="BD196" s="523">
        <f t="shared" si="405"/>
        <v>0</v>
      </c>
      <c r="BE196" s="732"/>
      <c r="BF196" s="514" t="str">
        <f t="shared" si="383"/>
        <v/>
      </c>
      <c r="BG196" s="514" t="str">
        <f t="shared" si="406"/>
        <v>oui</v>
      </c>
      <c r="BH196" s="377" t="str">
        <f t="shared" si="384"/>
        <v/>
      </c>
      <c r="BI196" s="24" t="str">
        <f t="shared" si="385"/>
        <v/>
      </c>
      <c r="BJ196" s="1381"/>
      <c r="BK196" s="1381"/>
      <c r="BL196" s="1381"/>
      <c r="BM196" s="1381"/>
      <c r="BN196" s="1381"/>
      <c r="BO196" s="1381"/>
      <c r="BP196" s="1381"/>
      <c r="BQ196" s="1381"/>
      <c r="BS196" s="1370">
        <f t="shared" si="352"/>
        <v>46147</v>
      </c>
      <c r="BT196" s="27" t="str">
        <f t="shared" si="414"/>
        <v/>
      </c>
      <c r="BU196" s="1380"/>
      <c r="BV196" s="1380"/>
      <c r="BW196" s="1380"/>
      <c r="BX196" s="1380"/>
      <c r="BY196" s="1380"/>
      <c r="BZ196" s="1380"/>
      <c r="CA196" s="1380"/>
      <c r="CB196" s="1380"/>
      <c r="CD196" s="1386">
        <f t="shared" si="407"/>
        <v>0</v>
      </c>
      <c r="DC196" s="16" t="str">
        <f>Mai!FC24</f>
        <v>non</v>
      </c>
      <c r="DG196" s="315">
        <f t="shared" si="408"/>
        <v>1</v>
      </c>
      <c r="DH196" s="129">
        <f t="shared" si="386"/>
        <v>10</v>
      </c>
      <c r="DI196" s="129">
        <f t="shared" si="409"/>
        <v>1</v>
      </c>
      <c r="DK196" s="16">
        <f>+IF(AND(Mai!$DP$8&lt;&gt;52,AR196=S.CAL!$BJ$4),10,1)</f>
        <v>1</v>
      </c>
      <c r="DN196" s="16">
        <f t="shared" si="387"/>
        <v>1</v>
      </c>
      <c r="DU196" s="1274" t="str">
        <f t="shared" si="410"/>
        <v>Fiche infoA246147</v>
      </c>
      <c r="DV196" s="1362">
        <f t="shared" si="388"/>
        <v>0</v>
      </c>
      <c r="DW196" s="1363">
        <f t="shared" si="389"/>
        <v>0</v>
      </c>
      <c r="DX196" s="1363">
        <f t="shared" si="390"/>
        <v>0</v>
      </c>
      <c r="DY196" s="1363">
        <f t="shared" si="391"/>
        <v>0</v>
      </c>
      <c r="DZ196" s="1363">
        <f t="shared" si="392"/>
        <v>0</v>
      </c>
      <c r="EA196" s="1363">
        <f t="shared" si="393"/>
        <v>0</v>
      </c>
      <c r="EB196" s="1363">
        <f t="shared" si="394"/>
        <v>0</v>
      </c>
      <c r="EC196" s="1363">
        <f t="shared" si="395"/>
        <v>0</v>
      </c>
      <c r="ED196" s="1363">
        <f t="shared" si="411"/>
        <v>0</v>
      </c>
      <c r="EE196" s="1364">
        <f t="shared" si="412"/>
        <v>0</v>
      </c>
      <c r="EG196" s="16" t="str">
        <f t="shared" si="413"/>
        <v>192026</v>
      </c>
      <c r="EH196" s="16" t="str">
        <f t="shared" si="396"/>
        <v>Fiche infoA2</v>
      </c>
      <c r="EI196" s="16" t="str">
        <f t="shared" si="397"/>
        <v/>
      </c>
    </row>
    <row r="197" spans="1:139" x14ac:dyDescent="0.2">
      <c r="A197" s="1373" t="str">
        <f>Mai!BJ25</f>
        <v>Fiche infoA3</v>
      </c>
      <c r="B197" s="811">
        <f>Mai!AB25</f>
        <v>46148</v>
      </c>
      <c r="C197" s="1372"/>
      <c r="D197" s="981">
        <f t="shared" si="353"/>
        <v>0</v>
      </c>
      <c r="E197" s="434">
        <f t="shared" si="354"/>
        <v>0</v>
      </c>
      <c r="F197" s="434">
        <f t="shared" si="355"/>
        <v>0</v>
      </c>
      <c r="G197" s="434">
        <f t="shared" si="356"/>
        <v>0</v>
      </c>
      <c r="H197" s="434">
        <f t="shared" si="357"/>
        <v>0</v>
      </c>
      <c r="I197" s="434">
        <f t="shared" si="358"/>
        <v>0</v>
      </c>
      <c r="J197" s="434">
        <f t="shared" si="359"/>
        <v>0</v>
      </c>
      <c r="K197" s="434">
        <f t="shared" si="360"/>
        <v>0</v>
      </c>
      <c r="L197" s="434">
        <f t="shared" si="398"/>
        <v>0</v>
      </c>
      <c r="M197" s="982">
        <f t="shared" si="399"/>
        <v>0</v>
      </c>
      <c r="N197" s="1374"/>
      <c r="O197" s="981">
        <f t="shared" si="361"/>
        <v>0</v>
      </c>
      <c r="P197" s="434">
        <f t="shared" si="362"/>
        <v>0</v>
      </c>
      <c r="Q197" s="434">
        <f t="shared" si="363"/>
        <v>0</v>
      </c>
      <c r="R197" s="434">
        <f t="shared" si="364"/>
        <v>0</v>
      </c>
      <c r="S197" s="434">
        <f t="shared" si="365"/>
        <v>0</v>
      </c>
      <c r="T197" s="434">
        <f t="shared" si="366"/>
        <v>0</v>
      </c>
      <c r="U197" s="434">
        <f t="shared" si="367"/>
        <v>0</v>
      </c>
      <c r="V197" s="434">
        <f t="shared" si="368"/>
        <v>0</v>
      </c>
      <c r="W197" s="434">
        <f t="shared" si="369"/>
        <v>0</v>
      </c>
      <c r="X197" s="982">
        <f t="shared" si="370"/>
        <v>0</v>
      </c>
      <c r="Y197" s="1375"/>
      <c r="Z197" s="1376">
        <f t="shared" si="371"/>
        <v>0</v>
      </c>
      <c r="AA197" s="1376">
        <f t="shared" si="372"/>
        <v>0</v>
      </c>
      <c r="AB197" s="1376">
        <f t="shared" si="373"/>
        <v>0</v>
      </c>
      <c r="AC197" s="1376">
        <f t="shared" si="374"/>
        <v>0</v>
      </c>
      <c r="AD197" s="1376">
        <f t="shared" si="375"/>
        <v>0</v>
      </c>
      <c r="AE197" s="1376">
        <f t="shared" si="376"/>
        <v>0</v>
      </c>
      <c r="AF197" s="1376">
        <f t="shared" si="377"/>
        <v>0</v>
      </c>
      <c r="AG197" s="1376">
        <f t="shared" si="378"/>
        <v>0</v>
      </c>
      <c r="AH197" s="1374"/>
      <c r="AI197" s="444">
        <f t="shared" si="379"/>
        <v>0</v>
      </c>
      <c r="AJ197" s="1090"/>
      <c r="AK197" s="1377"/>
      <c r="AL197" s="811">
        <f t="shared" si="380"/>
        <v>46148</v>
      </c>
      <c r="AM197" s="666">
        <f>IFERROR(IF(AND(AT197="",AR197&lt;&gt;S.CAL!$BJ$3,AR197&lt;&gt;S.CAL!$BJ$4,$AR$185="NON"),M197-BD197,IF(AND(AT197="",AR197&lt;&gt;S.CAL!$BJ$3,AR197&lt;&gt;S.CAL!$BJ$4,$AR$185="OUI"),X197-AI197,IF(AT197&lt;&gt;0,AT197,IF(OR(AR197=S.CAL!$BJ$3,AR197=S.CAL!$BJ$4),AR197,"")))),"")</f>
        <v>0</v>
      </c>
      <c r="AN197" s="1093"/>
      <c r="AO197" s="1094"/>
      <c r="AP197" s="666">
        <f>+IF(AND(AU197="",BB197="OUI",BH197="non",BI197="OUI"),AM197,IF(AND(AU197="",BB197="OUI",BH197="oui",BI197="NON"),AM197,IF(AND(AU197="",BB197="NON",BH197="oui",BI197="NON"),M197,IF(AND(AU197="",BB197="NON",BH197="non",BI197="OUI"),M197,IF(AND(AU197="",BB197="OUI",BH197="non",BI197="NON"),"ERREUR",IF(AND(AU197="",BB197="NON",BH197="non",BI197="NON"),AM197,IF(AND(AU197="",BB197="OUI",BH197="",BI197=""),AM197,IF(AND(AU197="",BB197="NON",BH197="",BI197="",AZ197="NON"),M197,IF(AND(AU197="",BH197="",AZ197="OUI",AR197=""),AM197,IF(AND(AU197="",BH197="",AZ197="NON",AR197="",AT197=""),M197,IF(AND(OR(AR197=S.CAL!$BJ$3,AR197=S.CAL!$BJ$4),(VLOOKUP($AM$185,base_nbre_sem_mensu,2,FALSE)=52)),EE197,IF(AND(OR(AR197=S.CAL!$BJ$3,AR197=S.CAL!$BJ$4),(VLOOKUP($AM$185,base_nbre_sem_mensu,2,FALSE)&lt;52)),AM197,IF(AND(AT197&lt;&gt;"",AU197=""),AT197,AU197)))))))))))))</f>
        <v>0</v>
      </c>
      <c r="AQ197" s="1378">
        <f t="shared" si="400"/>
        <v>0</v>
      </c>
      <c r="AR197" s="1098"/>
      <c r="AS197" s="1374"/>
      <c r="AT197" s="1101"/>
      <c r="AU197" s="813"/>
      <c r="AV197" s="1370">
        <f t="shared" si="381"/>
        <v>46148</v>
      </c>
      <c r="AW197" s="1374"/>
      <c r="AX197" s="511">
        <f t="shared" si="401"/>
        <v>46148</v>
      </c>
      <c r="AY197" s="523">
        <f t="shared" si="402"/>
        <v>0</v>
      </c>
      <c r="AZ197" s="520" t="s">
        <v>137</v>
      </c>
      <c r="BA197" s="516">
        <f t="shared" si="403"/>
        <v>0</v>
      </c>
      <c r="BB197" s="549" t="str">
        <f t="shared" si="382"/>
        <v/>
      </c>
      <c r="BC197" s="523">
        <f t="shared" si="404"/>
        <v>0</v>
      </c>
      <c r="BD197" s="523">
        <f t="shared" si="405"/>
        <v>0</v>
      </c>
      <c r="BE197" s="732"/>
      <c r="BF197" s="514" t="str">
        <f t="shared" si="383"/>
        <v/>
      </c>
      <c r="BG197" s="514" t="str">
        <f t="shared" si="406"/>
        <v>oui</v>
      </c>
      <c r="BH197" s="377" t="str">
        <f t="shared" si="384"/>
        <v/>
      </c>
      <c r="BI197" s="24" t="str">
        <f t="shared" si="385"/>
        <v/>
      </c>
      <c r="BJ197" s="1382"/>
      <c r="BK197" s="1382"/>
      <c r="BL197" s="1382"/>
      <c r="BM197" s="1382"/>
      <c r="BN197" s="1382"/>
      <c r="BO197" s="1382"/>
      <c r="BP197" s="1382"/>
      <c r="BQ197" s="1382"/>
      <c r="BR197" s="1383"/>
      <c r="BS197" s="1370">
        <f t="shared" si="352"/>
        <v>46148</v>
      </c>
      <c r="BT197" s="1384" t="str">
        <f t="shared" si="414"/>
        <v/>
      </c>
      <c r="BU197" s="1382"/>
      <c r="BV197" s="1382"/>
      <c r="BW197" s="1382"/>
      <c r="BX197" s="1382"/>
      <c r="BY197" s="1382"/>
      <c r="BZ197" s="1382"/>
      <c r="CA197" s="1382"/>
      <c r="CB197" s="1382"/>
      <c r="CD197" s="1386">
        <f t="shared" si="407"/>
        <v>0</v>
      </c>
      <c r="DC197" s="16" t="str">
        <f>Mai!FC25</f>
        <v>non</v>
      </c>
      <c r="DG197" s="315">
        <f t="shared" si="408"/>
        <v>1</v>
      </c>
      <c r="DH197" s="129">
        <f t="shared" si="386"/>
        <v>10</v>
      </c>
      <c r="DI197" s="129">
        <f t="shared" si="409"/>
        <v>1</v>
      </c>
      <c r="DK197" s="16">
        <f>+IF(AND(Mai!$DP$8&lt;&gt;52,AR197=S.CAL!$BJ$4),10,1)</f>
        <v>1</v>
      </c>
      <c r="DN197" s="16">
        <f t="shared" si="387"/>
        <v>1</v>
      </c>
      <c r="DU197" s="1274" t="str">
        <f t="shared" si="410"/>
        <v>Fiche infoA346148</v>
      </c>
      <c r="DV197" s="1362">
        <f t="shared" si="388"/>
        <v>0</v>
      </c>
      <c r="DW197" s="1363">
        <f t="shared" si="389"/>
        <v>0</v>
      </c>
      <c r="DX197" s="1363">
        <f t="shared" si="390"/>
        <v>0</v>
      </c>
      <c r="DY197" s="1363">
        <f t="shared" si="391"/>
        <v>0</v>
      </c>
      <c r="DZ197" s="1363">
        <f t="shared" si="392"/>
        <v>0</v>
      </c>
      <c r="EA197" s="1363">
        <f t="shared" si="393"/>
        <v>0</v>
      </c>
      <c r="EB197" s="1363">
        <f t="shared" si="394"/>
        <v>0</v>
      </c>
      <c r="EC197" s="1363">
        <f t="shared" si="395"/>
        <v>0</v>
      </c>
      <c r="ED197" s="1363">
        <f t="shared" si="411"/>
        <v>0</v>
      </c>
      <c r="EE197" s="1364">
        <f t="shared" si="412"/>
        <v>0</v>
      </c>
      <c r="EG197" s="16" t="str">
        <f t="shared" si="413"/>
        <v>192026</v>
      </c>
      <c r="EH197" s="16" t="str">
        <f t="shared" si="396"/>
        <v>Fiche infoA3</v>
      </c>
      <c r="EI197" s="16" t="str">
        <f t="shared" si="397"/>
        <v/>
      </c>
    </row>
    <row r="198" spans="1:139" x14ac:dyDescent="0.2">
      <c r="A198" s="24" t="str">
        <f>Mai!BJ26</f>
        <v>Fiche infoA4</v>
      </c>
      <c r="B198" s="811">
        <f>Mai!AB26</f>
        <v>46149</v>
      </c>
      <c r="C198" s="1371"/>
      <c r="D198" s="981">
        <f t="shared" si="353"/>
        <v>0</v>
      </c>
      <c r="E198" s="434">
        <f t="shared" si="354"/>
        <v>0</v>
      </c>
      <c r="F198" s="434">
        <f t="shared" si="355"/>
        <v>0</v>
      </c>
      <c r="G198" s="434">
        <f t="shared" si="356"/>
        <v>0</v>
      </c>
      <c r="H198" s="434">
        <f t="shared" si="357"/>
        <v>0</v>
      </c>
      <c r="I198" s="434">
        <f t="shared" si="358"/>
        <v>0</v>
      </c>
      <c r="J198" s="434">
        <f t="shared" si="359"/>
        <v>0</v>
      </c>
      <c r="K198" s="434">
        <f t="shared" si="360"/>
        <v>0</v>
      </c>
      <c r="L198" s="434">
        <f t="shared" si="398"/>
        <v>0</v>
      </c>
      <c r="M198" s="982">
        <f t="shared" si="399"/>
        <v>0</v>
      </c>
      <c r="O198" s="981">
        <f t="shared" si="361"/>
        <v>0</v>
      </c>
      <c r="P198" s="434">
        <f t="shared" si="362"/>
        <v>0</v>
      </c>
      <c r="Q198" s="434">
        <f t="shared" si="363"/>
        <v>0</v>
      </c>
      <c r="R198" s="434">
        <f t="shared" si="364"/>
        <v>0</v>
      </c>
      <c r="S198" s="434">
        <f t="shared" si="365"/>
        <v>0</v>
      </c>
      <c r="T198" s="434">
        <f t="shared" si="366"/>
        <v>0</v>
      </c>
      <c r="U198" s="434">
        <f t="shared" si="367"/>
        <v>0</v>
      </c>
      <c r="V198" s="434">
        <f t="shared" si="368"/>
        <v>0</v>
      </c>
      <c r="W198" s="434">
        <f t="shared" si="369"/>
        <v>0</v>
      </c>
      <c r="X198" s="982">
        <f t="shared" si="370"/>
        <v>0</v>
      </c>
      <c r="Y198" s="441"/>
      <c r="Z198" s="277">
        <f t="shared" si="371"/>
        <v>0</v>
      </c>
      <c r="AA198" s="277">
        <f t="shared" si="372"/>
        <v>0</v>
      </c>
      <c r="AB198" s="277">
        <f t="shared" si="373"/>
        <v>0</v>
      </c>
      <c r="AC198" s="277">
        <f t="shared" si="374"/>
        <v>0</v>
      </c>
      <c r="AD198" s="277">
        <f t="shared" si="375"/>
        <v>0</v>
      </c>
      <c r="AE198" s="277">
        <f t="shared" si="376"/>
        <v>0</v>
      </c>
      <c r="AF198" s="277">
        <f t="shared" si="377"/>
        <v>0</v>
      </c>
      <c r="AG198" s="277">
        <f t="shared" si="378"/>
        <v>0</v>
      </c>
      <c r="AI198" s="444">
        <f t="shared" si="379"/>
        <v>0</v>
      </c>
      <c r="AJ198" s="1090"/>
      <c r="AK198" s="489"/>
      <c r="AL198" s="811">
        <f t="shared" si="380"/>
        <v>46149</v>
      </c>
      <c r="AM198" s="666">
        <f>IFERROR(IF(AND(AT198="",AR198&lt;&gt;S.CAL!$BJ$3,AR198&lt;&gt;S.CAL!$BJ$4,$AR$185="NON"),M198-BD198,IF(AND(AT198="",AR198&lt;&gt;S.CAL!$BJ$3,AR198&lt;&gt;S.CAL!$BJ$4,$AR$185="OUI"),X198-AI198,IF(AT198&lt;&gt;0,AT198,IF(OR(AR198=S.CAL!$BJ$3,AR198=S.CAL!$BJ$4),AR198,"")))),"")</f>
        <v>0</v>
      </c>
      <c r="AN198" s="1093"/>
      <c r="AO198" s="1094"/>
      <c r="AP198" s="666">
        <f>+IF(AND(AU198="",BB198="OUI",BH198="non",BI198="OUI"),AM198,IF(AND(AU198="",BB198="OUI",BH198="oui",BI198="NON"),AM198,IF(AND(AU198="",BB198="NON",BH198="oui",BI198="NON"),M198,IF(AND(AU198="",BB198="NON",BH198="non",BI198="OUI"),M198,IF(AND(AU198="",BB198="OUI",BH198="non",BI198="NON"),"ERREUR",IF(AND(AU198="",BB198="NON",BH198="non",BI198="NON"),AM198,IF(AND(AU198="",BB198="OUI",BH198="",BI198=""),AM198,IF(AND(AU198="",BB198="NON",BH198="",BI198="",AZ198="NON"),M198,IF(AND(AU198="",BH198="",AZ198="OUI",AR198=""),AM198,IF(AND(AU198="",BH198="",AZ198="NON",AR198="",AT198=""),M198,IF(AND(OR(AR198=S.CAL!$BJ$3,AR198=S.CAL!$BJ$4),(VLOOKUP($AM$185,base_nbre_sem_mensu,2,FALSE)=52)),EE198,IF(AND(OR(AR198=S.CAL!$BJ$3,AR198=S.CAL!$BJ$4),(VLOOKUP($AM$185,base_nbre_sem_mensu,2,FALSE)&lt;52)),AM198,IF(AND(AT198&lt;&gt;"",AU198=""),AT198,AU198)))))))))))))</f>
        <v>0</v>
      </c>
      <c r="AQ198" s="498">
        <f t="shared" si="400"/>
        <v>0</v>
      </c>
      <c r="AR198" s="1098"/>
      <c r="AT198" s="1101"/>
      <c r="AU198" s="813"/>
      <c r="AV198" s="1370">
        <f t="shared" si="381"/>
        <v>46149</v>
      </c>
      <c r="AX198" s="511">
        <f t="shared" si="401"/>
        <v>46149</v>
      </c>
      <c r="AY198" s="523">
        <f t="shared" si="402"/>
        <v>0</v>
      </c>
      <c r="AZ198" s="520" t="s">
        <v>137</v>
      </c>
      <c r="BA198" s="516">
        <f t="shared" si="403"/>
        <v>0</v>
      </c>
      <c r="BB198" s="549" t="str">
        <f t="shared" si="382"/>
        <v/>
      </c>
      <c r="BC198" s="523">
        <f t="shared" si="404"/>
        <v>0</v>
      </c>
      <c r="BD198" s="523">
        <f t="shared" si="405"/>
        <v>0</v>
      </c>
      <c r="BE198" s="732"/>
      <c r="BF198" s="514" t="str">
        <f t="shared" si="383"/>
        <v/>
      </c>
      <c r="BG198" s="514" t="str">
        <f t="shared" si="406"/>
        <v>oui</v>
      </c>
      <c r="BH198" s="377" t="str">
        <f t="shared" si="384"/>
        <v/>
      </c>
      <c r="BI198" s="24" t="str">
        <f t="shared" si="385"/>
        <v/>
      </c>
      <c r="BJ198" s="1381"/>
      <c r="BK198" s="1381"/>
      <c r="BL198" s="1381"/>
      <c r="BM198" s="1381"/>
      <c r="BN198" s="1381"/>
      <c r="BO198" s="1381"/>
      <c r="BP198" s="1381"/>
      <c r="BQ198" s="1381"/>
      <c r="BS198" s="1370">
        <f t="shared" si="352"/>
        <v>46149</v>
      </c>
      <c r="BT198" s="27" t="str">
        <f t="shared" si="414"/>
        <v/>
      </c>
      <c r="BU198" s="1380"/>
      <c r="BV198" s="1380"/>
      <c r="BW198" s="1380"/>
      <c r="BX198" s="1380"/>
      <c r="BY198" s="1380"/>
      <c r="BZ198" s="1380"/>
      <c r="CA198" s="1380"/>
      <c r="CB198" s="1380"/>
      <c r="CD198" s="1386">
        <f t="shared" si="407"/>
        <v>0</v>
      </c>
      <c r="DC198" s="16" t="str">
        <f>Mai!FC26</f>
        <v>non</v>
      </c>
      <c r="DG198" s="315">
        <f t="shared" si="408"/>
        <v>1</v>
      </c>
      <c r="DH198" s="129">
        <f t="shared" si="386"/>
        <v>10</v>
      </c>
      <c r="DI198" s="129">
        <f t="shared" si="409"/>
        <v>1</v>
      </c>
      <c r="DK198" s="16">
        <f>+IF(AND(Mai!$DP$8&lt;&gt;52,AR198=S.CAL!$BJ$4),10,1)</f>
        <v>1</v>
      </c>
      <c r="DN198" s="16">
        <f t="shared" si="387"/>
        <v>1</v>
      </c>
      <c r="DU198" s="1274" t="str">
        <f t="shared" si="410"/>
        <v>Fiche infoA446149</v>
      </c>
      <c r="DV198" s="1362">
        <f t="shared" si="388"/>
        <v>0</v>
      </c>
      <c r="DW198" s="1363">
        <f t="shared" si="389"/>
        <v>0</v>
      </c>
      <c r="DX198" s="1363">
        <f t="shared" si="390"/>
        <v>0</v>
      </c>
      <c r="DY198" s="1363">
        <f t="shared" si="391"/>
        <v>0</v>
      </c>
      <c r="DZ198" s="1363">
        <f t="shared" si="392"/>
        <v>0</v>
      </c>
      <c r="EA198" s="1363">
        <f t="shared" si="393"/>
        <v>0</v>
      </c>
      <c r="EB198" s="1363">
        <f t="shared" si="394"/>
        <v>0</v>
      </c>
      <c r="EC198" s="1363">
        <f t="shared" si="395"/>
        <v>0</v>
      </c>
      <c r="ED198" s="1363">
        <f t="shared" si="411"/>
        <v>0</v>
      </c>
      <c r="EE198" s="1364">
        <f t="shared" si="412"/>
        <v>0</v>
      </c>
      <c r="EG198" s="16" t="str">
        <f t="shared" si="413"/>
        <v>192026</v>
      </c>
      <c r="EH198" s="16" t="str">
        <f t="shared" si="396"/>
        <v>Fiche infoA4</v>
      </c>
      <c r="EI198" s="16" t="str">
        <f t="shared" si="397"/>
        <v/>
      </c>
    </row>
    <row r="199" spans="1:139" x14ac:dyDescent="0.2">
      <c r="A199" s="1373" t="str">
        <f>Mai!BJ27</f>
        <v>Fiche infoA5</v>
      </c>
      <c r="B199" s="811">
        <f>Mai!AB27</f>
        <v>46150</v>
      </c>
      <c r="C199" s="1372"/>
      <c r="D199" s="981">
        <f t="shared" si="353"/>
        <v>0</v>
      </c>
      <c r="E199" s="434">
        <f t="shared" si="354"/>
        <v>0</v>
      </c>
      <c r="F199" s="434">
        <f t="shared" si="355"/>
        <v>0</v>
      </c>
      <c r="G199" s="434">
        <f t="shared" si="356"/>
        <v>0</v>
      </c>
      <c r="H199" s="434">
        <f t="shared" si="357"/>
        <v>0</v>
      </c>
      <c r="I199" s="434">
        <f t="shared" si="358"/>
        <v>0</v>
      </c>
      <c r="J199" s="434">
        <f t="shared" si="359"/>
        <v>0</v>
      </c>
      <c r="K199" s="434">
        <f t="shared" si="360"/>
        <v>0</v>
      </c>
      <c r="L199" s="434">
        <f t="shared" si="398"/>
        <v>0</v>
      </c>
      <c r="M199" s="982">
        <f t="shared" si="399"/>
        <v>0</v>
      </c>
      <c r="N199" s="1374"/>
      <c r="O199" s="981">
        <f t="shared" si="361"/>
        <v>0</v>
      </c>
      <c r="P199" s="434">
        <f t="shared" si="362"/>
        <v>0</v>
      </c>
      <c r="Q199" s="434">
        <f t="shared" si="363"/>
        <v>0</v>
      </c>
      <c r="R199" s="434">
        <f t="shared" si="364"/>
        <v>0</v>
      </c>
      <c r="S199" s="434">
        <f t="shared" si="365"/>
        <v>0</v>
      </c>
      <c r="T199" s="434">
        <f t="shared" si="366"/>
        <v>0</v>
      </c>
      <c r="U199" s="434">
        <f t="shared" si="367"/>
        <v>0</v>
      </c>
      <c r="V199" s="434">
        <f t="shared" si="368"/>
        <v>0</v>
      </c>
      <c r="W199" s="434">
        <f t="shared" si="369"/>
        <v>0</v>
      </c>
      <c r="X199" s="982">
        <f t="shared" si="370"/>
        <v>0</v>
      </c>
      <c r="Y199" s="1375"/>
      <c r="Z199" s="1376">
        <f t="shared" si="371"/>
        <v>0</v>
      </c>
      <c r="AA199" s="1376">
        <f t="shared" si="372"/>
        <v>0</v>
      </c>
      <c r="AB199" s="1376">
        <f t="shared" si="373"/>
        <v>0</v>
      </c>
      <c r="AC199" s="1376">
        <f t="shared" si="374"/>
        <v>0</v>
      </c>
      <c r="AD199" s="1376">
        <f t="shared" si="375"/>
        <v>0</v>
      </c>
      <c r="AE199" s="1376">
        <f t="shared" si="376"/>
        <v>0</v>
      </c>
      <c r="AF199" s="1376">
        <f t="shared" si="377"/>
        <v>0</v>
      </c>
      <c r="AG199" s="1376">
        <f t="shared" si="378"/>
        <v>0</v>
      </c>
      <c r="AH199" s="1374"/>
      <c r="AI199" s="444">
        <f t="shared" si="379"/>
        <v>0</v>
      </c>
      <c r="AJ199" s="1090"/>
      <c r="AK199" s="1377"/>
      <c r="AL199" s="811">
        <f t="shared" si="380"/>
        <v>46150</v>
      </c>
      <c r="AM199" s="666">
        <f>IFERROR(IF(AND(AT199="",AR199&lt;&gt;S.CAL!$BJ$3,AR199&lt;&gt;S.CAL!$BJ$4,$AR$185="NON"),M199-BD199,IF(AND(AT199="",AR199&lt;&gt;S.CAL!$BJ$3,AR199&lt;&gt;S.CAL!$BJ$4,$AR$185="OUI"),X199-AI199,IF(AT199&lt;&gt;0,AT199,IF(OR(AR199=S.CAL!$BJ$3,AR199=S.CAL!$BJ$4),AR199,"")))),"")</f>
        <v>0</v>
      </c>
      <c r="AN199" s="1093"/>
      <c r="AO199" s="1094"/>
      <c r="AP199" s="666">
        <f>+IF(AND(AU199="",BB199="OUI",BH199="non",BI199="OUI"),AM199,IF(AND(AU199="",BB199="OUI",BH199="oui",BI199="NON"),AM199,IF(AND(AU199="",BB199="NON",BH199="oui",BI199="NON"),M199,IF(AND(AU199="",BB199="NON",BH199="non",BI199="OUI"),M199,IF(AND(AU199="",BB199="OUI",BH199="non",BI199="NON"),"ERREUR",IF(AND(AU199="",BB199="NON",BH199="non",BI199="NON"),AM199,IF(AND(AU199="",BB199="OUI",BH199="",BI199=""),AM199,IF(AND(AU199="",BB199="NON",BH199="",BI199="",AZ199="NON"),M199,IF(AND(AU199="",BH199="",AZ199="OUI",AR199=""),AM199,IF(AND(AU199="",BH199="",AZ199="NON",AR199="",AT199=""),M199,IF(AND(OR(AR199=S.CAL!$BJ$3,AR199=S.CAL!$BJ$4),(VLOOKUP($AM$185,base_nbre_sem_mensu,2,FALSE)=52)),EE199,IF(AND(OR(AR199=S.CAL!$BJ$3,AR199=S.CAL!$BJ$4),(VLOOKUP($AM$185,base_nbre_sem_mensu,2,FALSE)&lt;52)),AM199,IF(AND(AT199&lt;&gt;"",AU199=""),AT199,AU199)))))))))))))</f>
        <v>0</v>
      </c>
      <c r="AQ199" s="1378">
        <f t="shared" si="400"/>
        <v>0</v>
      </c>
      <c r="AR199" s="1098"/>
      <c r="AS199" s="1374"/>
      <c r="AT199" s="1101"/>
      <c r="AU199" s="813"/>
      <c r="AV199" s="1370">
        <f t="shared" si="381"/>
        <v>46150</v>
      </c>
      <c r="AW199" s="1374"/>
      <c r="AX199" s="511">
        <f t="shared" si="401"/>
        <v>46150</v>
      </c>
      <c r="AY199" s="523">
        <f t="shared" si="402"/>
        <v>0</v>
      </c>
      <c r="AZ199" s="520" t="s">
        <v>137</v>
      </c>
      <c r="BA199" s="516">
        <f t="shared" si="403"/>
        <v>0</v>
      </c>
      <c r="BB199" s="549" t="str">
        <f t="shared" si="382"/>
        <v/>
      </c>
      <c r="BC199" s="523">
        <f t="shared" si="404"/>
        <v>0</v>
      </c>
      <c r="BD199" s="523">
        <f t="shared" si="405"/>
        <v>0</v>
      </c>
      <c r="BE199" s="732"/>
      <c r="BF199" s="514" t="str">
        <f t="shared" si="383"/>
        <v/>
      </c>
      <c r="BG199" s="514" t="str">
        <f t="shared" si="406"/>
        <v>oui</v>
      </c>
      <c r="BH199" s="377" t="str">
        <f t="shared" si="384"/>
        <v/>
      </c>
      <c r="BI199" s="24" t="str">
        <f t="shared" si="385"/>
        <v/>
      </c>
      <c r="BJ199" s="1382"/>
      <c r="BK199" s="1382"/>
      <c r="BL199" s="1382"/>
      <c r="BM199" s="1382"/>
      <c r="BN199" s="1382"/>
      <c r="BO199" s="1382"/>
      <c r="BP199" s="1382"/>
      <c r="BQ199" s="1382"/>
      <c r="BR199" s="1383"/>
      <c r="BS199" s="1370">
        <f t="shared" si="352"/>
        <v>46150</v>
      </c>
      <c r="BT199" s="1384" t="str">
        <f t="shared" si="414"/>
        <v/>
      </c>
      <c r="BU199" s="1382"/>
      <c r="BV199" s="1382"/>
      <c r="BW199" s="1382"/>
      <c r="BX199" s="1382"/>
      <c r="BY199" s="1382"/>
      <c r="BZ199" s="1382"/>
      <c r="CA199" s="1382"/>
      <c r="CB199" s="1382"/>
      <c r="CD199" s="1386">
        <f t="shared" si="407"/>
        <v>0</v>
      </c>
      <c r="DC199" s="16" t="str">
        <f>Mai!FC27</f>
        <v>non</v>
      </c>
      <c r="DG199" s="315">
        <f t="shared" si="408"/>
        <v>1</v>
      </c>
      <c r="DH199" s="129">
        <f t="shared" si="386"/>
        <v>10</v>
      </c>
      <c r="DI199" s="129">
        <f t="shared" si="409"/>
        <v>1</v>
      </c>
      <c r="DK199" s="16">
        <f>+IF(AND(Mai!$DP$8&lt;&gt;52,AR199=S.CAL!$BJ$4),10,1)</f>
        <v>1</v>
      </c>
      <c r="DN199" s="16">
        <f t="shared" si="387"/>
        <v>1</v>
      </c>
      <c r="DU199" s="1274" t="str">
        <f t="shared" si="410"/>
        <v>Fiche infoA546150</v>
      </c>
      <c r="DV199" s="1362">
        <f t="shared" si="388"/>
        <v>0</v>
      </c>
      <c r="DW199" s="1363">
        <f t="shared" si="389"/>
        <v>0</v>
      </c>
      <c r="DX199" s="1363">
        <f t="shared" si="390"/>
        <v>0</v>
      </c>
      <c r="DY199" s="1363">
        <f t="shared" si="391"/>
        <v>0</v>
      </c>
      <c r="DZ199" s="1363">
        <f t="shared" si="392"/>
        <v>0</v>
      </c>
      <c r="EA199" s="1363">
        <f t="shared" si="393"/>
        <v>0</v>
      </c>
      <c r="EB199" s="1363">
        <f t="shared" si="394"/>
        <v>0</v>
      </c>
      <c r="EC199" s="1363">
        <f t="shared" si="395"/>
        <v>0</v>
      </c>
      <c r="ED199" s="1363">
        <f t="shared" si="411"/>
        <v>0</v>
      </c>
      <c r="EE199" s="1364">
        <f t="shared" si="412"/>
        <v>0</v>
      </c>
      <c r="EG199" s="16" t="str">
        <f t="shared" si="413"/>
        <v>192026</v>
      </c>
      <c r="EH199" s="16" t="str">
        <f t="shared" si="396"/>
        <v>Fiche infoA5</v>
      </c>
      <c r="EI199" s="16" t="str">
        <f t="shared" si="397"/>
        <v/>
      </c>
    </row>
    <row r="200" spans="1:139" x14ac:dyDescent="0.2">
      <c r="A200" s="24" t="str">
        <f>Mai!BJ28</f>
        <v>Fiche infoA6</v>
      </c>
      <c r="B200" s="811">
        <f>Mai!AB28</f>
        <v>46151</v>
      </c>
      <c r="C200" s="1371"/>
      <c r="D200" s="981">
        <f t="shared" si="353"/>
        <v>0</v>
      </c>
      <c r="E200" s="434">
        <f t="shared" si="354"/>
        <v>0</v>
      </c>
      <c r="F200" s="434">
        <f t="shared" si="355"/>
        <v>0</v>
      </c>
      <c r="G200" s="434">
        <f t="shared" si="356"/>
        <v>0</v>
      </c>
      <c r="H200" s="434">
        <f t="shared" si="357"/>
        <v>0</v>
      </c>
      <c r="I200" s="434">
        <f t="shared" si="358"/>
        <v>0</v>
      </c>
      <c r="J200" s="434">
        <f t="shared" si="359"/>
        <v>0</v>
      </c>
      <c r="K200" s="434">
        <f t="shared" si="360"/>
        <v>0</v>
      </c>
      <c r="L200" s="434">
        <f t="shared" si="398"/>
        <v>0</v>
      </c>
      <c r="M200" s="982">
        <f t="shared" si="399"/>
        <v>0</v>
      </c>
      <c r="O200" s="981">
        <f>IF(AR200&lt;&gt;"",0,IF(DC200="oui",0,IF(AND(ISTEXT(AT200)=TRUE,BJ200=""),0,IF(BJ200="",D200,BJ200))))</f>
        <v>0</v>
      </c>
      <c r="P200" s="434">
        <f>IF(AR200&lt;&gt;"",0,IF(DC200="oui",0,IF(AND(ISTEXT(AT200)=TRUE,BK200=""),0,IF(BK200="",E200,BK200))))</f>
        <v>0</v>
      </c>
      <c r="Q200" s="434">
        <f>IF(AR200&lt;&gt;"",0,IF(DC200="oui",0,IF(AND(ISTEXT(AT200)=TRUE,BL200=""),0,IF(BL200="",F200,BL200))))</f>
        <v>0</v>
      </c>
      <c r="R200" s="434">
        <f>IF(AR200&lt;&gt;"",0,IF(DC200="oui",0,IF(AND(ISTEXT(AT200)=TRUE,BM200=""),0,IF(BM200="",G200,BM200))))</f>
        <v>0</v>
      </c>
      <c r="S200" s="434">
        <f>IF(AR200&lt;&gt;"",0,IF(DC200="oui",0,IF(AND(ISTEXT(AT200)=TRUE,BN200=""),0,IF(BN200="",H200,BN200))))</f>
        <v>0</v>
      </c>
      <c r="T200" s="434">
        <f>IF(AR200&lt;&gt;"",0,IF(DC200="oui",0,IF(AND(ISTEXT(AT200)=TRUE,BO200=""),0,IF(BO200="",I200,BO200))))</f>
        <v>0</v>
      </c>
      <c r="U200" s="434">
        <f>IF(AR200&lt;&gt;"",0,IF(DC200="oui",0,IF(AND(ISTEXT(AT200)=TRUE,BP200=""),0,IF(BP200="",J200,BP200))))</f>
        <v>0</v>
      </c>
      <c r="V200" s="434">
        <f>IF(AR200&lt;&gt;"",0,IF(DC200="oui",0,IF(AND(ISTEXT(AT200)=TRUE,BQ200=""),0,IF(BQ200="",K200,BQ200))))</f>
        <v>0</v>
      </c>
      <c r="W200" s="434">
        <f t="shared" si="369"/>
        <v>0</v>
      </c>
      <c r="X200" s="982">
        <f t="shared" si="370"/>
        <v>0</v>
      </c>
      <c r="Y200" s="441"/>
      <c r="Z200" s="277">
        <f t="shared" si="371"/>
        <v>0</v>
      </c>
      <c r="AA200" s="277">
        <f t="shared" si="372"/>
        <v>0</v>
      </c>
      <c r="AB200" s="277">
        <f t="shared" si="373"/>
        <v>0</v>
      </c>
      <c r="AC200" s="277">
        <f t="shared" si="374"/>
        <v>0</v>
      </c>
      <c r="AD200" s="277">
        <f t="shared" si="375"/>
        <v>0</v>
      </c>
      <c r="AE200" s="277">
        <f t="shared" si="376"/>
        <v>0</v>
      </c>
      <c r="AF200" s="277">
        <f t="shared" si="377"/>
        <v>0</v>
      </c>
      <c r="AG200" s="277">
        <f t="shared" si="378"/>
        <v>0</v>
      </c>
      <c r="AI200" s="444">
        <f>IF(DC200="oui",0,IF(AND(ISTEXT(AT200)=TRUE,OR(X200=0,X200="")),0,ROUND(((((AA200-Z200)-(E200-D200))+((AC200-AB200)-(G200-F200))+((AE200-AD200)-(I200-H200))+(AG200-AF200)-(K200-J200))*24),2)))</f>
        <v>0</v>
      </c>
      <c r="AJ200" s="1090"/>
      <c r="AK200" s="489"/>
      <c r="AL200" s="811">
        <f t="shared" si="380"/>
        <v>46151</v>
      </c>
      <c r="AM200" s="666">
        <f>IFERROR(IF(AND(AT200="",AR200&lt;&gt;S.CAL!$BJ$3,AR200&lt;&gt;S.CAL!$BJ$4,$AR$185="NON"),M200-BD200,IF(AND(AT200="",AR200&lt;&gt;S.CAL!$BJ$3,AR200&lt;&gt;S.CAL!$BJ$4,$AR$185="OUI"),X200-AI200,IF(AT200&lt;&gt;0,AT200,IF(OR(AR200=S.CAL!$BJ$3,AR200=S.CAL!$BJ$4),AR200,"")))),"")</f>
        <v>0</v>
      </c>
      <c r="AN200" s="1093"/>
      <c r="AO200" s="1094"/>
      <c r="AP200" s="666">
        <f>+IF(AND(AU200="",BB200="OUI",BH200="non",BI200="OUI"),AM200,IF(AND(AU200="",BB200="OUI",BH200="oui",BI200="NON"),AM200,IF(AND(AU200="",BB200="NON",BH200="oui",BI200="NON"),M200,IF(AND(AU200="",BB200="NON",BH200="non",BI200="OUI"),M200,IF(AND(AU200="",BB200="OUI",BH200="non",BI200="NON"),"ERREUR",IF(AND(AU200="",BB200="NON",BH200="non",BI200="NON"),AM200,IF(AND(AU200="",BB200="OUI",BH200="",BI200=""),AM200,IF(AND(AU200="",BB200="NON",BH200="",BI200="",AZ200="NON"),M200,IF(AND(AU200="",BH200="",AZ200="OUI",AR200=""),AM200,IF(AND(AU200="",BH200="",AZ200="NON",AR200="",AT200=""),M200,IF(AND(OR(AR200=S.CAL!$BJ$3,AR200=S.CAL!$BJ$4),(VLOOKUP($AM$185,base_nbre_sem_mensu,2,FALSE)=52)),EE200,IF(AND(OR(AR200=S.CAL!$BJ$3,AR200=S.CAL!$BJ$4),(VLOOKUP($AM$185,base_nbre_sem_mensu,2,FALSE)&lt;52)),AM200,IF(AND(AT200&lt;&gt;"",AU200=""),AT200,AU200)))))))))))))</f>
        <v>0</v>
      </c>
      <c r="AQ200" s="498">
        <f t="shared" si="400"/>
        <v>0</v>
      </c>
      <c r="AR200" s="1098"/>
      <c r="AT200" s="1101"/>
      <c r="AU200" s="813"/>
      <c r="AV200" s="1370">
        <f t="shared" si="381"/>
        <v>46151</v>
      </c>
      <c r="AX200" s="511">
        <f t="shared" si="401"/>
        <v>46151</v>
      </c>
      <c r="AY200" s="523">
        <f t="shared" si="402"/>
        <v>0</v>
      </c>
      <c r="AZ200" s="520" t="s">
        <v>137</v>
      </c>
      <c r="BA200" s="516">
        <f t="shared" si="403"/>
        <v>0</v>
      </c>
      <c r="BB200" s="549" t="str">
        <f t="shared" si="382"/>
        <v/>
      </c>
      <c r="BC200" s="523">
        <f t="shared" si="404"/>
        <v>0</v>
      </c>
      <c r="BD200" s="523">
        <f t="shared" si="405"/>
        <v>0</v>
      </c>
      <c r="BE200" s="732"/>
      <c r="BF200" s="514" t="str">
        <f t="shared" si="383"/>
        <v/>
      </c>
      <c r="BG200" s="514" t="str">
        <f t="shared" si="406"/>
        <v>oui</v>
      </c>
      <c r="BH200" s="377" t="str">
        <f t="shared" si="384"/>
        <v/>
      </c>
      <c r="BI200" s="24" t="str">
        <f t="shared" si="385"/>
        <v/>
      </c>
      <c r="BJ200" s="1381"/>
      <c r="BK200" s="1381"/>
      <c r="BL200" s="1381"/>
      <c r="BM200" s="1381"/>
      <c r="BN200" s="1381"/>
      <c r="BO200" s="1381"/>
      <c r="BP200" s="1381"/>
      <c r="BQ200" s="1381"/>
      <c r="BS200" s="1370">
        <f t="shared" si="352"/>
        <v>46151</v>
      </c>
      <c r="BT200" s="27" t="str">
        <f t="shared" si="414"/>
        <v/>
      </c>
      <c r="BU200" s="1380"/>
      <c r="BV200" s="1380"/>
      <c r="BW200" s="1380"/>
      <c r="BX200" s="1380"/>
      <c r="BY200" s="1380"/>
      <c r="BZ200" s="1380"/>
      <c r="CA200" s="1380"/>
      <c r="CB200" s="1380"/>
      <c r="CD200" s="1386">
        <f t="shared" si="407"/>
        <v>0</v>
      </c>
      <c r="DC200" s="16" t="str">
        <f>Mai!FC28</f>
        <v>non</v>
      </c>
      <c r="DG200" s="315">
        <f t="shared" si="408"/>
        <v>1</v>
      </c>
      <c r="DH200" s="129">
        <f t="shared" si="386"/>
        <v>10</v>
      </c>
      <c r="DI200" s="129">
        <f t="shared" si="409"/>
        <v>1</v>
      </c>
      <c r="DK200" s="16">
        <f>+IF(AND(Mai!$DP$8&lt;&gt;52,AR200=S.CAL!$BJ$4),10,1)</f>
        <v>1</v>
      </c>
      <c r="DN200" s="16">
        <f t="shared" si="387"/>
        <v>1</v>
      </c>
      <c r="DU200" s="1274" t="str">
        <f t="shared" si="410"/>
        <v>Fiche infoA646151</v>
      </c>
      <c r="DV200" s="1362">
        <f t="shared" si="388"/>
        <v>0</v>
      </c>
      <c r="DW200" s="1363">
        <f t="shared" si="389"/>
        <v>0</v>
      </c>
      <c r="DX200" s="1363">
        <f t="shared" si="390"/>
        <v>0</v>
      </c>
      <c r="DY200" s="1363">
        <f t="shared" si="391"/>
        <v>0</v>
      </c>
      <c r="DZ200" s="1363">
        <f t="shared" si="392"/>
        <v>0</v>
      </c>
      <c r="EA200" s="1363">
        <f t="shared" si="393"/>
        <v>0</v>
      </c>
      <c r="EB200" s="1363">
        <f t="shared" si="394"/>
        <v>0</v>
      </c>
      <c r="EC200" s="1363">
        <f t="shared" si="395"/>
        <v>0</v>
      </c>
      <c r="ED200" s="1363">
        <f t="shared" si="411"/>
        <v>0</v>
      </c>
      <c r="EE200" s="1364">
        <f t="shared" si="412"/>
        <v>0</v>
      </c>
      <c r="EG200" s="16" t="str">
        <f t="shared" si="413"/>
        <v>192026</v>
      </c>
      <c r="EH200" s="16" t="str">
        <f t="shared" si="396"/>
        <v>Fiche infoA6</v>
      </c>
      <c r="EI200" s="16" t="str">
        <f t="shared" si="397"/>
        <v/>
      </c>
    </row>
    <row r="201" spans="1:139" x14ac:dyDescent="0.2">
      <c r="A201" s="1373" t="str">
        <f>Mai!BJ29</f>
        <v>Fiche infoA7</v>
      </c>
      <c r="B201" s="811">
        <f>Mai!AB29</f>
        <v>46152</v>
      </c>
      <c r="C201" s="1372"/>
      <c r="D201" s="981">
        <f t="shared" si="353"/>
        <v>0</v>
      </c>
      <c r="E201" s="434">
        <f t="shared" si="354"/>
        <v>0</v>
      </c>
      <c r="F201" s="434">
        <f t="shared" si="355"/>
        <v>0</v>
      </c>
      <c r="G201" s="434">
        <f t="shared" si="356"/>
        <v>0</v>
      </c>
      <c r="H201" s="434">
        <f t="shared" si="357"/>
        <v>0</v>
      </c>
      <c r="I201" s="434">
        <f t="shared" si="358"/>
        <v>0</v>
      </c>
      <c r="J201" s="434">
        <f t="shared" si="359"/>
        <v>0</v>
      </c>
      <c r="K201" s="434">
        <f t="shared" si="360"/>
        <v>0</v>
      </c>
      <c r="L201" s="434">
        <f t="shared" si="398"/>
        <v>0</v>
      </c>
      <c r="M201" s="982">
        <f t="shared" si="399"/>
        <v>0</v>
      </c>
      <c r="N201" s="1374"/>
      <c r="O201" s="981">
        <f t="shared" ref="O201:O222" si="415">IF(AR201&lt;&gt;"",0,IF(DC201="oui",0,IF(AND(ISTEXT(AT201)=TRUE,BJ201=""),0,IF(BJ201="",D201,BJ201))))</f>
        <v>0</v>
      </c>
      <c r="P201" s="434">
        <f t="shared" ref="P201:P222" si="416">IF(AR201&lt;&gt;"",0,IF(DC201="oui",0,IF(AND(ISTEXT(AT201)=TRUE,BK201=""),0,IF(BK201="",E201,BK201))))</f>
        <v>0</v>
      </c>
      <c r="Q201" s="434">
        <f t="shared" ref="Q201:Q222" si="417">IF(AR201&lt;&gt;"",0,IF(DC201="oui",0,IF(AND(ISTEXT(AT201)=TRUE,BL201=""),0,IF(BL201="",F201,BL201))))</f>
        <v>0</v>
      </c>
      <c r="R201" s="434">
        <f t="shared" ref="R201:R222" si="418">IF(AR201&lt;&gt;"",0,IF(DC201="oui",0,IF(AND(ISTEXT(AT201)=TRUE,BM201=""),0,IF(BM201="",G201,BM201))))</f>
        <v>0</v>
      </c>
      <c r="S201" s="434">
        <f t="shared" ref="S201:S222" si="419">IF(AR201&lt;&gt;"",0,IF(DC201="oui",0,IF(AND(ISTEXT(AT201)=TRUE,BN201=""),0,IF(BN201="",H201,BN201))))</f>
        <v>0</v>
      </c>
      <c r="T201" s="434">
        <f t="shared" ref="T201:T222" si="420">IF(AR201&lt;&gt;"",0,IF(DC201="oui",0,IF(AND(ISTEXT(AT201)=TRUE,BO201=""),0,IF(BO201="",I201,BO201))))</f>
        <v>0</v>
      </c>
      <c r="U201" s="434">
        <f t="shared" ref="U201:U222" si="421">IF(AR201&lt;&gt;"",0,IF(DC201="oui",0,IF(AND(ISTEXT(AT201)=TRUE,BP201=""),0,IF(BP201="",J201,BP201))))</f>
        <v>0</v>
      </c>
      <c r="V201" s="434">
        <f t="shared" ref="V201:V222" si="422">IF(AR201&lt;&gt;"",0,IF(DC201="oui",0,IF(AND(ISTEXT(AT201)=TRUE,BQ201=""),0,IF(BQ201="",K201,BQ201))))</f>
        <v>0</v>
      </c>
      <c r="W201" s="434">
        <f t="shared" si="369"/>
        <v>0</v>
      </c>
      <c r="X201" s="982">
        <f t="shared" si="370"/>
        <v>0</v>
      </c>
      <c r="Y201" s="1375"/>
      <c r="Z201" s="1376">
        <f t="shared" si="371"/>
        <v>0</v>
      </c>
      <c r="AA201" s="1376">
        <f t="shared" si="372"/>
        <v>0</v>
      </c>
      <c r="AB201" s="1376">
        <f t="shared" si="373"/>
        <v>0</v>
      </c>
      <c r="AC201" s="1376">
        <f t="shared" si="374"/>
        <v>0</v>
      </c>
      <c r="AD201" s="1376">
        <f t="shared" si="375"/>
        <v>0</v>
      </c>
      <c r="AE201" s="1376">
        <f t="shared" si="376"/>
        <v>0</v>
      </c>
      <c r="AF201" s="1376">
        <f t="shared" si="377"/>
        <v>0</v>
      </c>
      <c r="AG201" s="1376">
        <f t="shared" si="378"/>
        <v>0</v>
      </c>
      <c r="AH201" s="1374"/>
      <c r="AI201" s="444">
        <f t="shared" ref="AI201:AI222" si="423">IF(DC201="oui",0,IF(AND(ISTEXT(AT201)=TRUE,OR(X201=0,X201="")),0,ROUND(((((AA201-Z201)-(E201-D201))+((AC201-AB201)-(G201-F201))+((AE201-AD201)-(I201-H201))+(AG201-AF201)-(K201-J201))*24),2)))</f>
        <v>0</v>
      </c>
      <c r="AJ201" s="1090"/>
      <c r="AK201" s="1377"/>
      <c r="AL201" s="811">
        <f t="shared" si="380"/>
        <v>46152</v>
      </c>
      <c r="AM201" s="666">
        <f>IFERROR(IF(AND(AT201="",AR201&lt;&gt;S.CAL!$BJ$3,AR201&lt;&gt;S.CAL!$BJ$4,$AR$185="NON"),M201-BD201,IF(AND(AT201="",AR201&lt;&gt;S.CAL!$BJ$3,AR201&lt;&gt;S.CAL!$BJ$4,$AR$185="OUI"),X201-AI201,IF(AT201&lt;&gt;0,AT201,IF(OR(AR201=S.CAL!$BJ$3,AR201=S.CAL!$BJ$4),AR201,"")))),"")</f>
        <v>0</v>
      </c>
      <c r="AN201" s="1093"/>
      <c r="AO201" s="1094"/>
      <c r="AP201" s="666">
        <f>+IF(AND(AU201="",BB201="OUI",BH201="non",BI201="OUI"),AM201,IF(AND(AU201="",BB201="OUI",BH201="oui",BI201="NON"),AM201,IF(AND(AU201="",BB201="NON",BH201="oui",BI201="NON"),M201,IF(AND(AU201="",BB201="NON",BH201="non",BI201="OUI"),M201,IF(AND(AU201="",BB201="OUI",BH201="non",BI201="NON"),"ERREUR",IF(AND(AU201="",BB201="NON",BH201="non",BI201="NON"),AM201,IF(AND(AU201="",BB201="OUI",BH201="",BI201=""),AM201,IF(AND(AU201="",BB201="NON",BH201="",BI201="",AZ201="NON"),M201,IF(AND(AU201="",BH201="",AZ201="OUI",AR201=""),AM201,IF(AND(AU201="",BH201="",AZ201="NON",AR201="",AT201=""),M201,IF(AND(OR(AR201=S.CAL!$BJ$3,AR201=S.CAL!$BJ$4),(VLOOKUP($AM$185,base_nbre_sem_mensu,2,FALSE)=52)),EE201,IF(AND(OR(AR201=S.CAL!$BJ$3,AR201=S.CAL!$BJ$4),(VLOOKUP($AM$185,base_nbre_sem_mensu,2,FALSE)&lt;52)),AM201,IF(AND(AT201&lt;&gt;"",AU201=""),AT201,AU201)))))))))))))</f>
        <v>0</v>
      </c>
      <c r="AQ201" s="1378">
        <f t="shared" si="400"/>
        <v>0</v>
      </c>
      <c r="AR201" s="1098"/>
      <c r="AS201" s="1374"/>
      <c r="AT201" s="1101"/>
      <c r="AU201" s="813"/>
      <c r="AV201" s="1370">
        <f t="shared" si="381"/>
        <v>46152</v>
      </c>
      <c r="AW201" s="1374"/>
      <c r="AX201" s="511">
        <f t="shared" si="401"/>
        <v>46152</v>
      </c>
      <c r="AY201" s="523">
        <f t="shared" si="402"/>
        <v>0</v>
      </c>
      <c r="AZ201" s="520" t="s">
        <v>137</v>
      </c>
      <c r="BA201" s="516">
        <f t="shared" si="403"/>
        <v>0</v>
      </c>
      <c r="BB201" s="549" t="str">
        <f t="shared" si="382"/>
        <v/>
      </c>
      <c r="BC201" s="523">
        <f t="shared" si="404"/>
        <v>0</v>
      </c>
      <c r="BD201" s="523">
        <f t="shared" si="405"/>
        <v>0</v>
      </c>
      <c r="BE201" s="732"/>
      <c r="BF201" s="514" t="str">
        <f t="shared" si="383"/>
        <v/>
      </c>
      <c r="BG201" s="514" t="str">
        <f t="shared" si="406"/>
        <v>oui</v>
      </c>
      <c r="BH201" s="377" t="str">
        <f t="shared" si="384"/>
        <v/>
      </c>
      <c r="BI201" s="24" t="str">
        <f t="shared" si="385"/>
        <v/>
      </c>
      <c r="BJ201" s="1382"/>
      <c r="BK201" s="1382"/>
      <c r="BL201" s="1382"/>
      <c r="BM201" s="1382"/>
      <c r="BN201" s="1382"/>
      <c r="BO201" s="1382"/>
      <c r="BP201" s="1382"/>
      <c r="BQ201" s="1382"/>
      <c r="BR201" s="1383"/>
      <c r="BS201" s="1370">
        <f t="shared" si="352"/>
        <v>46152</v>
      </c>
      <c r="BT201" s="1384" t="str">
        <f t="shared" si="414"/>
        <v/>
      </c>
      <c r="BU201" s="1382"/>
      <c r="BV201" s="1382"/>
      <c r="BW201" s="1382"/>
      <c r="BX201" s="1382"/>
      <c r="BY201" s="1382"/>
      <c r="BZ201" s="1382"/>
      <c r="CA201" s="1382"/>
      <c r="CB201" s="1382"/>
      <c r="CD201" s="1386">
        <f t="shared" si="407"/>
        <v>0</v>
      </c>
      <c r="DC201" s="16" t="str">
        <f>Mai!FC29</f>
        <v>non</v>
      </c>
      <c r="DG201" s="315">
        <f t="shared" si="408"/>
        <v>1</v>
      </c>
      <c r="DH201" s="129">
        <f t="shared" si="386"/>
        <v>10</v>
      </c>
      <c r="DI201" s="129">
        <f t="shared" si="409"/>
        <v>1</v>
      </c>
      <c r="DK201" s="16">
        <f>+IF(AND(Mai!$DP$8&lt;&gt;52,AR201=S.CAL!$BJ$4),10,1)</f>
        <v>1</v>
      </c>
      <c r="DN201" s="16">
        <f t="shared" si="387"/>
        <v>1</v>
      </c>
      <c r="DU201" s="1274" t="str">
        <f t="shared" si="410"/>
        <v>Fiche infoA746152</v>
      </c>
      <c r="DV201" s="1362">
        <f t="shared" si="388"/>
        <v>0</v>
      </c>
      <c r="DW201" s="1363">
        <f t="shared" si="389"/>
        <v>0</v>
      </c>
      <c r="DX201" s="1363">
        <f t="shared" si="390"/>
        <v>0</v>
      </c>
      <c r="DY201" s="1363">
        <f t="shared" si="391"/>
        <v>0</v>
      </c>
      <c r="DZ201" s="1363">
        <f t="shared" si="392"/>
        <v>0</v>
      </c>
      <c r="EA201" s="1363">
        <f t="shared" si="393"/>
        <v>0</v>
      </c>
      <c r="EB201" s="1363">
        <f t="shared" si="394"/>
        <v>0</v>
      </c>
      <c r="EC201" s="1363">
        <f t="shared" si="395"/>
        <v>0</v>
      </c>
      <c r="ED201" s="1363">
        <f t="shared" si="411"/>
        <v>0</v>
      </c>
      <c r="EE201" s="1364">
        <f t="shared" si="412"/>
        <v>0</v>
      </c>
      <c r="EG201" s="16" t="str">
        <f t="shared" si="413"/>
        <v>192026</v>
      </c>
      <c r="EH201" s="16" t="str">
        <f t="shared" si="396"/>
        <v>Fiche infoA7</v>
      </c>
      <c r="EI201" s="16" t="str">
        <f t="shared" si="397"/>
        <v/>
      </c>
    </row>
    <row r="202" spans="1:139" x14ac:dyDescent="0.2">
      <c r="A202" s="24" t="str">
        <f>Mai!BJ30</f>
        <v>Fiche infoA1</v>
      </c>
      <c r="B202" s="811">
        <f>Mai!AB30</f>
        <v>46153</v>
      </c>
      <c r="C202" s="1371"/>
      <c r="D202" s="981">
        <f t="shared" si="353"/>
        <v>0</v>
      </c>
      <c r="E202" s="434">
        <f t="shared" si="354"/>
        <v>0</v>
      </c>
      <c r="F202" s="434">
        <f t="shared" si="355"/>
        <v>0</v>
      </c>
      <c r="G202" s="434">
        <f t="shared" si="356"/>
        <v>0</v>
      </c>
      <c r="H202" s="434">
        <f t="shared" si="357"/>
        <v>0</v>
      </c>
      <c r="I202" s="434">
        <f t="shared" si="358"/>
        <v>0</v>
      </c>
      <c r="J202" s="434">
        <f t="shared" si="359"/>
        <v>0</v>
      </c>
      <c r="K202" s="434">
        <f t="shared" si="360"/>
        <v>0</v>
      </c>
      <c r="L202" s="434">
        <f t="shared" si="398"/>
        <v>0</v>
      </c>
      <c r="M202" s="982">
        <f t="shared" si="399"/>
        <v>0</v>
      </c>
      <c r="O202" s="981">
        <f t="shared" si="415"/>
        <v>0</v>
      </c>
      <c r="P202" s="434">
        <f t="shared" si="416"/>
        <v>0</v>
      </c>
      <c r="Q202" s="434">
        <f t="shared" si="417"/>
        <v>0</v>
      </c>
      <c r="R202" s="434">
        <f t="shared" si="418"/>
        <v>0</v>
      </c>
      <c r="S202" s="434">
        <f t="shared" si="419"/>
        <v>0</v>
      </c>
      <c r="T202" s="434">
        <f t="shared" si="420"/>
        <v>0</v>
      </c>
      <c r="U202" s="434">
        <f t="shared" si="421"/>
        <v>0</v>
      </c>
      <c r="V202" s="434">
        <f t="shared" si="422"/>
        <v>0</v>
      </c>
      <c r="W202" s="434">
        <f t="shared" si="369"/>
        <v>0</v>
      </c>
      <c r="X202" s="982">
        <f t="shared" si="370"/>
        <v>0</v>
      </c>
      <c r="Y202" s="441"/>
      <c r="Z202" s="277">
        <f t="shared" si="371"/>
        <v>0</v>
      </c>
      <c r="AA202" s="277">
        <f t="shared" si="372"/>
        <v>0</v>
      </c>
      <c r="AB202" s="277">
        <f t="shared" si="373"/>
        <v>0</v>
      </c>
      <c r="AC202" s="277">
        <f t="shared" si="374"/>
        <v>0</v>
      </c>
      <c r="AD202" s="277">
        <f t="shared" si="375"/>
        <v>0</v>
      </c>
      <c r="AE202" s="277">
        <f t="shared" si="376"/>
        <v>0</v>
      </c>
      <c r="AF202" s="277">
        <f t="shared" si="377"/>
        <v>0</v>
      </c>
      <c r="AG202" s="277">
        <f t="shared" si="378"/>
        <v>0</v>
      </c>
      <c r="AI202" s="444">
        <f t="shared" si="423"/>
        <v>0</v>
      </c>
      <c r="AJ202" s="1090"/>
      <c r="AK202" s="489"/>
      <c r="AL202" s="811">
        <f t="shared" si="380"/>
        <v>46153</v>
      </c>
      <c r="AM202" s="666">
        <f>IFERROR(IF(AND(AT202="",AR202&lt;&gt;S.CAL!$BJ$3,AR202&lt;&gt;S.CAL!$BJ$4,$AR$185="NON"),M202-BD202,IF(AND(AT202="",AR202&lt;&gt;S.CAL!$BJ$3,AR202&lt;&gt;S.CAL!$BJ$4,$AR$185="OUI"),X202-AI202,IF(AT202&lt;&gt;0,AT202,IF(OR(AR202=S.CAL!$BJ$3,AR202=S.CAL!$BJ$4),AR202,"")))),"")</f>
        <v>0</v>
      </c>
      <c r="AN202" s="1093"/>
      <c r="AO202" s="1094"/>
      <c r="AP202" s="666">
        <f>+IF(AND(AU202="",BB202="OUI",BH202="non",BI202="OUI"),AM202,IF(AND(AU202="",BB202="OUI",BH202="oui",BI202="NON"),AM202,IF(AND(AU202="",BB202="NON",BH202="oui",BI202="NON"),M202,IF(AND(AU202="",BB202="NON",BH202="non",BI202="OUI"),M202,IF(AND(AU202="",BB202="OUI",BH202="non",BI202="NON"),"ERREUR",IF(AND(AU202="",BB202="NON",BH202="non",BI202="NON"),AM202,IF(AND(AU202="",BB202="OUI",BH202="",BI202=""),AM202,IF(AND(AU202="",BB202="NON",BH202="",BI202="",AZ202="NON"),M202,IF(AND(AU202="",BH202="",AZ202="OUI",AR202=""),AM202,IF(AND(AU202="",BH202="",AZ202="NON",AR202="",AT202=""),M202,IF(AND(OR(AR202=S.CAL!$BJ$3,AR202=S.CAL!$BJ$4),(VLOOKUP($AM$185,base_nbre_sem_mensu,2,FALSE)=52)),EE202,IF(AND(OR(AR202=S.CAL!$BJ$3,AR202=S.CAL!$BJ$4),(VLOOKUP($AM$185,base_nbre_sem_mensu,2,FALSE)&lt;52)),AM202,IF(AND(AT202&lt;&gt;"",AU202=""),AT202,AU202)))))))))))))</f>
        <v>0</v>
      </c>
      <c r="AQ202" s="498">
        <f t="shared" si="400"/>
        <v>0</v>
      </c>
      <c r="AR202" s="1098"/>
      <c r="AT202" s="1101"/>
      <c r="AU202" s="813"/>
      <c r="AV202" s="1370">
        <f t="shared" si="381"/>
        <v>46153</v>
      </c>
      <c r="AX202" s="511">
        <f t="shared" si="401"/>
        <v>46153</v>
      </c>
      <c r="AY202" s="523">
        <f t="shared" si="402"/>
        <v>0</v>
      </c>
      <c r="AZ202" s="520" t="s">
        <v>137</v>
      </c>
      <c r="BA202" s="516">
        <f t="shared" si="403"/>
        <v>0</v>
      </c>
      <c r="BB202" s="549" t="str">
        <f t="shared" si="382"/>
        <v/>
      </c>
      <c r="BC202" s="523">
        <f t="shared" si="404"/>
        <v>0</v>
      </c>
      <c r="BD202" s="523">
        <f t="shared" si="405"/>
        <v>0</v>
      </c>
      <c r="BE202" s="732"/>
      <c r="BF202" s="514" t="str">
        <f t="shared" si="383"/>
        <v/>
      </c>
      <c r="BG202" s="514" t="str">
        <f t="shared" si="406"/>
        <v>oui</v>
      </c>
      <c r="BH202" s="377" t="str">
        <f t="shared" si="384"/>
        <v/>
      </c>
      <c r="BI202" s="24" t="str">
        <f t="shared" si="385"/>
        <v/>
      </c>
      <c r="BJ202" s="1381"/>
      <c r="BK202" s="1381"/>
      <c r="BL202" s="1381"/>
      <c r="BM202" s="1381"/>
      <c r="BN202" s="1381"/>
      <c r="BO202" s="1381"/>
      <c r="BP202" s="1381"/>
      <c r="BQ202" s="1381"/>
      <c r="BS202" s="1370">
        <f t="shared" si="352"/>
        <v>46153</v>
      </c>
      <c r="BT202" s="27">
        <f t="shared" si="414"/>
        <v>20</v>
      </c>
      <c r="BU202" s="1380"/>
      <c r="BV202" s="1380"/>
      <c r="BW202" s="1380"/>
      <c r="BX202" s="1380"/>
      <c r="BY202" s="1380"/>
      <c r="BZ202" s="1380"/>
      <c r="CA202" s="1380"/>
      <c r="CB202" s="1380"/>
      <c r="CD202" s="1386">
        <f t="shared" si="407"/>
        <v>0</v>
      </c>
      <c r="DC202" s="16" t="str">
        <f>Mai!FC30</f>
        <v>non</v>
      </c>
      <c r="DG202" s="315">
        <f t="shared" si="408"/>
        <v>1</v>
      </c>
      <c r="DH202" s="129">
        <f t="shared" si="386"/>
        <v>10</v>
      </c>
      <c r="DI202" s="129">
        <f t="shared" si="409"/>
        <v>1</v>
      </c>
      <c r="DK202" s="16">
        <f>+IF(AND(Mai!$DP$8&lt;&gt;52,AR202=S.CAL!$BJ$4),10,1)</f>
        <v>1</v>
      </c>
      <c r="DN202" s="16">
        <f t="shared" si="387"/>
        <v>1</v>
      </c>
      <c r="DU202" s="1274" t="str">
        <f t="shared" si="410"/>
        <v>Fiche infoA146153</v>
      </c>
      <c r="DV202" s="1362">
        <f t="shared" si="388"/>
        <v>0</v>
      </c>
      <c r="DW202" s="1363">
        <f t="shared" si="389"/>
        <v>0</v>
      </c>
      <c r="DX202" s="1363">
        <f t="shared" si="390"/>
        <v>0</v>
      </c>
      <c r="DY202" s="1363">
        <f t="shared" si="391"/>
        <v>0</v>
      </c>
      <c r="DZ202" s="1363">
        <f t="shared" si="392"/>
        <v>0</v>
      </c>
      <c r="EA202" s="1363">
        <f t="shared" si="393"/>
        <v>0</v>
      </c>
      <c r="EB202" s="1363">
        <f t="shared" si="394"/>
        <v>0</v>
      </c>
      <c r="EC202" s="1363">
        <f t="shared" si="395"/>
        <v>0</v>
      </c>
      <c r="ED202" s="1363">
        <f t="shared" si="411"/>
        <v>0</v>
      </c>
      <c r="EE202" s="1364">
        <f t="shared" si="412"/>
        <v>0</v>
      </c>
      <c r="EG202" s="16" t="str">
        <f t="shared" si="413"/>
        <v>202026</v>
      </c>
      <c r="EH202" s="16" t="str">
        <f t="shared" si="396"/>
        <v>Fiche infoA1</v>
      </c>
      <c r="EI202" s="16" t="str">
        <f t="shared" si="397"/>
        <v/>
      </c>
    </row>
    <row r="203" spans="1:139" x14ac:dyDescent="0.2">
      <c r="A203" s="1373" t="str">
        <f>Mai!BJ31</f>
        <v>Fiche infoA2</v>
      </c>
      <c r="B203" s="811">
        <f>Mai!AB31</f>
        <v>46154</v>
      </c>
      <c r="C203" s="1372"/>
      <c r="D203" s="981">
        <f t="shared" si="353"/>
        <v>0</v>
      </c>
      <c r="E203" s="434">
        <f t="shared" si="354"/>
        <v>0</v>
      </c>
      <c r="F203" s="434">
        <f t="shared" si="355"/>
        <v>0</v>
      </c>
      <c r="G203" s="434">
        <f t="shared" si="356"/>
        <v>0</v>
      </c>
      <c r="H203" s="434">
        <f t="shared" si="357"/>
        <v>0</v>
      </c>
      <c r="I203" s="434">
        <f t="shared" si="358"/>
        <v>0</v>
      </c>
      <c r="J203" s="434">
        <f t="shared" si="359"/>
        <v>0</v>
      </c>
      <c r="K203" s="434">
        <f t="shared" si="360"/>
        <v>0</v>
      </c>
      <c r="L203" s="434">
        <f t="shared" si="398"/>
        <v>0</v>
      </c>
      <c r="M203" s="982">
        <f t="shared" si="399"/>
        <v>0</v>
      </c>
      <c r="N203" s="1374"/>
      <c r="O203" s="981">
        <f t="shared" si="415"/>
        <v>0</v>
      </c>
      <c r="P203" s="434">
        <f t="shared" si="416"/>
        <v>0</v>
      </c>
      <c r="Q203" s="434">
        <f t="shared" si="417"/>
        <v>0</v>
      </c>
      <c r="R203" s="434">
        <f t="shared" si="418"/>
        <v>0</v>
      </c>
      <c r="S203" s="434">
        <f t="shared" si="419"/>
        <v>0</v>
      </c>
      <c r="T203" s="434">
        <f t="shared" si="420"/>
        <v>0</v>
      </c>
      <c r="U203" s="434">
        <f t="shared" si="421"/>
        <v>0</v>
      </c>
      <c r="V203" s="434">
        <f t="shared" si="422"/>
        <v>0</v>
      </c>
      <c r="W203" s="434">
        <f t="shared" si="369"/>
        <v>0</v>
      </c>
      <c r="X203" s="982">
        <f t="shared" si="370"/>
        <v>0</v>
      </c>
      <c r="Y203" s="1375"/>
      <c r="Z203" s="1376">
        <f t="shared" si="371"/>
        <v>0</v>
      </c>
      <c r="AA203" s="1376">
        <f t="shared" si="372"/>
        <v>0</v>
      </c>
      <c r="AB203" s="1376">
        <f t="shared" si="373"/>
        <v>0</v>
      </c>
      <c r="AC203" s="1376">
        <f t="shared" si="374"/>
        <v>0</v>
      </c>
      <c r="AD203" s="1376">
        <f t="shared" si="375"/>
        <v>0</v>
      </c>
      <c r="AE203" s="1376">
        <f t="shared" si="376"/>
        <v>0</v>
      </c>
      <c r="AF203" s="1376">
        <f t="shared" si="377"/>
        <v>0</v>
      </c>
      <c r="AG203" s="1376">
        <f t="shared" si="378"/>
        <v>0</v>
      </c>
      <c r="AH203" s="1374"/>
      <c r="AI203" s="444">
        <f t="shared" si="423"/>
        <v>0</v>
      </c>
      <c r="AJ203" s="1090"/>
      <c r="AK203" s="1377"/>
      <c r="AL203" s="811">
        <f t="shared" si="380"/>
        <v>46154</v>
      </c>
      <c r="AM203" s="666">
        <f>IFERROR(IF(AND(AT203="",AR203&lt;&gt;S.CAL!$BJ$3,AR203&lt;&gt;S.CAL!$BJ$4,$AR$185="NON"),M203-BD203,IF(AND(AT203="",AR203&lt;&gt;S.CAL!$BJ$3,AR203&lt;&gt;S.CAL!$BJ$4,$AR$185="OUI"),X203-AI203,IF(AT203&lt;&gt;0,AT203,IF(OR(AR203=S.CAL!$BJ$3,AR203=S.CAL!$BJ$4),AR203,"")))),"")</f>
        <v>0</v>
      </c>
      <c r="AN203" s="1093"/>
      <c r="AO203" s="1094"/>
      <c r="AP203" s="666">
        <f>+IF(AND(AU203="",BB203="OUI",BH203="non",BI203="OUI"),AM203,IF(AND(AU203="",BB203="OUI",BH203="oui",BI203="NON"),AM203,IF(AND(AU203="",BB203="NON",BH203="oui",BI203="NON"),M203,IF(AND(AU203="",BB203="NON",BH203="non",BI203="OUI"),M203,IF(AND(AU203="",BB203="OUI",BH203="non",BI203="NON"),"ERREUR",IF(AND(AU203="",BB203="NON",BH203="non",BI203="NON"),AM203,IF(AND(AU203="",BB203="OUI",BH203="",BI203=""),AM203,IF(AND(AU203="",BB203="NON",BH203="",BI203="",AZ203="NON"),M203,IF(AND(AU203="",BH203="",AZ203="OUI",AR203=""),AM203,IF(AND(AU203="",BH203="",AZ203="NON",AR203="",AT203=""),M203,IF(AND(OR(AR203=S.CAL!$BJ$3,AR203=S.CAL!$BJ$4),(VLOOKUP($AM$185,base_nbre_sem_mensu,2,FALSE)=52)),EE203,IF(AND(OR(AR203=S.CAL!$BJ$3,AR203=S.CAL!$BJ$4),(VLOOKUP($AM$185,base_nbre_sem_mensu,2,FALSE)&lt;52)),AM203,IF(AND(AT203&lt;&gt;"",AU203=""),AT203,AU203)))))))))))))</f>
        <v>0</v>
      </c>
      <c r="AQ203" s="1378">
        <f t="shared" si="400"/>
        <v>0</v>
      </c>
      <c r="AR203" s="1098"/>
      <c r="AS203" s="1374"/>
      <c r="AT203" s="1101"/>
      <c r="AU203" s="813"/>
      <c r="AV203" s="1370">
        <f t="shared" si="381"/>
        <v>46154</v>
      </c>
      <c r="AW203" s="1374"/>
      <c r="AX203" s="511">
        <f t="shared" si="401"/>
        <v>46154</v>
      </c>
      <c r="AY203" s="523">
        <f t="shared" si="402"/>
        <v>0</v>
      </c>
      <c r="AZ203" s="520" t="s">
        <v>137</v>
      </c>
      <c r="BA203" s="516">
        <f t="shared" si="403"/>
        <v>0</v>
      </c>
      <c r="BB203" s="549" t="str">
        <f t="shared" si="382"/>
        <v/>
      </c>
      <c r="BC203" s="523">
        <f t="shared" si="404"/>
        <v>0</v>
      </c>
      <c r="BD203" s="523">
        <f t="shared" si="405"/>
        <v>0</v>
      </c>
      <c r="BE203" s="732"/>
      <c r="BF203" s="514" t="str">
        <f t="shared" si="383"/>
        <v/>
      </c>
      <c r="BG203" s="514" t="str">
        <f t="shared" si="406"/>
        <v>oui</v>
      </c>
      <c r="BH203" s="377" t="str">
        <f t="shared" si="384"/>
        <v/>
      </c>
      <c r="BI203" s="24" t="str">
        <f t="shared" si="385"/>
        <v/>
      </c>
      <c r="BJ203" s="1382"/>
      <c r="BK203" s="1382"/>
      <c r="BL203" s="1382"/>
      <c r="BM203" s="1382"/>
      <c r="BN203" s="1382"/>
      <c r="BO203" s="1382"/>
      <c r="BP203" s="1382"/>
      <c r="BQ203" s="1382"/>
      <c r="BR203" s="1383"/>
      <c r="BS203" s="1370">
        <f t="shared" si="352"/>
        <v>46154</v>
      </c>
      <c r="BT203" s="1384" t="str">
        <f t="shared" si="414"/>
        <v/>
      </c>
      <c r="BU203" s="1382"/>
      <c r="BV203" s="1382"/>
      <c r="BW203" s="1382"/>
      <c r="BX203" s="1382"/>
      <c r="BY203" s="1382"/>
      <c r="BZ203" s="1382"/>
      <c r="CA203" s="1382"/>
      <c r="CB203" s="1382"/>
      <c r="CD203" s="1386">
        <f t="shared" si="407"/>
        <v>0</v>
      </c>
      <c r="DC203" s="16" t="str">
        <f>Mai!FC31</f>
        <v>non</v>
      </c>
      <c r="DG203" s="315">
        <f t="shared" si="408"/>
        <v>1</v>
      </c>
      <c r="DH203" s="129">
        <f t="shared" si="386"/>
        <v>10</v>
      </c>
      <c r="DI203" s="129">
        <f t="shared" si="409"/>
        <v>1</v>
      </c>
      <c r="DK203" s="16">
        <f>+IF(AND(Mai!$DP$8&lt;&gt;52,AR203=S.CAL!$BJ$4),10,1)</f>
        <v>1</v>
      </c>
      <c r="DN203" s="16">
        <f t="shared" si="387"/>
        <v>1</v>
      </c>
      <c r="DU203" s="1274" t="str">
        <f t="shared" si="410"/>
        <v>Fiche infoA246154</v>
      </c>
      <c r="DV203" s="1362">
        <f t="shared" si="388"/>
        <v>0</v>
      </c>
      <c r="DW203" s="1363">
        <f t="shared" si="389"/>
        <v>0</v>
      </c>
      <c r="DX203" s="1363">
        <f t="shared" si="390"/>
        <v>0</v>
      </c>
      <c r="DY203" s="1363">
        <f t="shared" si="391"/>
        <v>0</v>
      </c>
      <c r="DZ203" s="1363">
        <f t="shared" si="392"/>
        <v>0</v>
      </c>
      <c r="EA203" s="1363">
        <f t="shared" si="393"/>
        <v>0</v>
      </c>
      <c r="EB203" s="1363">
        <f t="shared" si="394"/>
        <v>0</v>
      </c>
      <c r="EC203" s="1363">
        <f t="shared" si="395"/>
        <v>0</v>
      </c>
      <c r="ED203" s="1363">
        <f t="shared" si="411"/>
        <v>0</v>
      </c>
      <c r="EE203" s="1364">
        <f t="shared" si="412"/>
        <v>0</v>
      </c>
      <c r="EG203" s="16" t="str">
        <f t="shared" si="413"/>
        <v>202026</v>
      </c>
      <c r="EH203" s="16" t="str">
        <f t="shared" si="396"/>
        <v>Fiche infoA2</v>
      </c>
      <c r="EI203" s="16" t="str">
        <f t="shared" si="397"/>
        <v/>
      </c>
    </row>
    <row r="204" spans="1:139" x14ac:dyDescent="0.2">
      <c r="A204" s="24" t="str">
        <f>Mai!BJ32</f>
        <v>Fiche infoA3</v>
      </c>
      <c r="B204" s="811">
        <f>Mai!AB32</f>
        <v>46155</v>
      </c>
      <c r="C204" s="1371"/>
      <c r="D204" s="981">
        <f t="shared" si="353"/>
        <v>0</v>
      </c>
      <c r="E204" s="434">
        <f t="shared" si="354"/>
        <v>0</v>
      </c>
      <c r="F204" s="434">
        <f t="shared" si="355"/>
        <v>0</v>
      </c>
      <c r="G204" s="434">
        <f t="shared" si="356"/>
        <v>0</v>
      </c>
      <c r="H204" s="434">
        <f t="shared" si="357"/>
        <v>0</v>
      </c>
      <c r="I204" s="434">
        <f t="shared" si="358"/>
        <v>0</v>
      </c>
      <c r="J204" s="434">
        <f t="shared" si="359"/>
        <v>0</v>
      </c>
      <c r="K204" s="434">
        <f t="shared" si="360"/>
        <v>0</v>
      </c>
      <c r="L204" s="434">
        <f t="shared" si="398"/>
        <v>0</v>
      </c>
      <c r="M204" s="982">
        <f t="shared" si="399"/>
        <v>0</v>
      </c>
      <c r="O204" s="981">
        <f t="shared" si="415"/>
        <v>0</v>
      </c>
      <c r="P204" s="434">
        <f t="shared" si="416"/>
        <v>0</v>
      </c>
      <c r="Q204" s="434">
        <f t="shared" si="417"/>
        <v>0</v>
      </c>
      <c r="R204" s="434">
        <f t="shared" si="418"/>
        <v>0</v>
      </c>
      <c r="S204" s="434">
        <f t="shared" si="419"/>
        <v>0</v>
      </c>
      <c r="T204" s="434">
        <f t="shared" si="420"/>
        <v>0</v>
      </c>
      <c r="U204" s="434">
        <f t="shared" si="421"/>
        <v>0</v>
      </c>
      <c r="V204" s="434">
        <f t="shared" si="422"/>
        <v>0</v>
      </c>
      <c r="W204" s="434">
        <f t="shared" si="369"/>
        <v>0</v>
      </c>
      <c r="X204" s="982">
        <f t="shared" si="370"/>
        <v>0</v>
      </c>
      <c r="Y204" s="441"/>
      <c r="Z204" s="277">
        <f t="shared" si="371"/>
        <v>0</v>
      </c>
      <c r="AA204" s="277">
        <f t="shared" si="372"/>
        <v>0</v>
      </c>
      <c r="AB204" s="277">
        <f t="shared" si="373"/>
        <v>0</v>
      </c>
      <c r="AC204" s="277">
        <f t="shared" si="374"/>
        <v>0</v>
      </c>
      <c r="AD204" s="277">
        <f t="shared" si="375"/>
        <v>0</v>
      </c>
      <c r="AE204" s="277">
        <f t="shared" si="376"/>
        <v>0</v>
      </c>
      <c r="AF204" s="277">
        <f t="shared" si="377"/>
        <v>0</v>
      </c>
      <c r="AG204" s="277">
        <f t="shared" si="378"/>
        <v>0</v>
      </c>
      <c r="AI204" s="444">
        <f t="shared" si="423"/>
        <v>0</v>
      </c>
      <c r="AJ204" s="1090"/>
      <c r="AK204" s="489"/>
      <c r="AL204" s="811">
        <f t="shared" si="380"/>
        <v>46155</v>
      </c>
      <c r="AM204" s="666">
        <f>IFERROR(IF(AND(AT204="",AR204&lt;&gt;S.CAL!$BJ$3,AR204&lt;&gt;S.CAL!$BJ$4,$AR$185="NON"),M204-BD204,IF(AND(AT204="",AR204&lt;&gt;S.CAL!$BJ$3,AR204&lt;&gt;S.CAL!$BJ$4,$AR$185="OUI"),X204-AI204,IF(AT204&lt;&gt;0,AT204,IF(OR(AR204=S.CAL!$BJ$3,AR204=S.CAL!$BJ$4),AR204,"")))),"")</f>
        <v>0</v>
      </c>
      <c r="AN204" s="1093"/>
      <c r="AO204" s="1094"/>
      <c r="AP204" s="666">
        <f>+IF(AND(AU204="",BB204="OUI",BH204="non",BI204="OUI"),AM204,IF(AND(AU204="",BB204="OUI",BH204="oui",BI204="NON"),AM204,IF(AND(AU204="",BB204="NON",BH204="oui",BI204="NON"),M204,IF(AND(AU204="",BB204="NON",BH204="non",BI204="OUI"),M204,IF(AND(AU204="",BB204="OUI",BH204="non",BI204="NON"),"ERREUR",IF(AND(AU204="",BB204="NON",BH204="non",BI204="NON"),AM204,IF(AND(AU204="",BB204="OUI",BH204="",BI204=""),AM204,IF(AND(AU204="",BB204="NON",BH204="",BI204="",AZ204="NON"),M204,IF(AND(AU204="",BH204="",AZ204="OUI",AR204=""),AM204,IF(AND(AU204="",BH204="",AZ204="NON",AR204="",AT204=""),M204,IF(AND(OR(AR204=S.CAL!$BJ$3,AR204=S.CAL!$BJ$4),(VLOOKUP($AM$185,base_nbre_sem_mensu,2,FALSE)=52)),EE204,IF(AND(OR(AR204=S.CAL!$BJ$3,AR204=S.CAL!$BJ$4),(VLOOKUP($AM$185,base_nbre_sem_mensu,2,FALSE)&lt;52)),AM204,IF(AND(AT204&lt;&gt;"",AU204=""),AT204,AU204)))))))))))))</f>
        <v>0</v>
      </c>
      <c r="AQ204" s="498">
        <f t="shared" si="400"/>
        <v>0</v>
      </c>
      <c r="AR204" s="1098"/>
      <c r="AT204" s="1101"/>
      <c r="AU204" s="813"/>
      <c r="AV204" s="1370">
        <f t="shared" si="381"/>
        <v>46155</v>
      </c>
      <c r="AX204" s="511">
        <f t="shared" si="401"/>
        <v>46155</v>
      </c>
      <c r="AY204" s="523">
        <f t="shared" si="402"/>
        <v>0</v>
      </c>
      <c r="AZ204" s="520" t="s">
        <v>137</v>
      </c>
      <c r="BA204" s="516">
        <f t="shared" si="403"/>
        <v>0</v>
      </c>
      <c r="BB204" s="549" t="str">
        <f t="shared" si="382"/>
        <v/>
      </c>
      <c r="BC204" s="523">
        <f t="shared" si="404"/>
        <v>0</v>
      </c>
      <c r="BD204" s="523">
        <f t="shared" si="405"/>
        <v>0</v>
      </c>
      <c r="BE204" s="732"/>
      <c r="BF204" s="514" t="str">
        <f t="shared" si="383"/>
        <v/>
      </c>
      <c r="BG204" s="514" t="str">
        <f t="shared" si="406"/>
        <v>oui</v>
      </c>
      <c r="BH204" s="377" t="str">
        <f t="shared" si="384"/>
        <v/>
      </c>
      <c r="BI204" s="24" t="str">
        <f t="shared" si="385"/>
        <v/>
      </c>
      <c r="BJ204" s="1381"/>
      <c r="BK204" s="1381"/>
      <c r="BL204" s="1381"/>
      <c r="BM204" s="1381"/>
      <c r="BN204" s="1381"/>
      <c r="BO204" s="1381"/>
      <c r="BP204" s="1381"/>
      <c r="BQ204" s="1381"/>
      <c r="BS204" s="1370">
        <f t="shared" si="352"/>
        <v>46155</v>
      </c>
      <c r="BT204" s="27" t="str">
        <f t="shared" si="414"/>
        <v/>
      </c>
      <c r="BU204" s="1380"/>
      <c r="BV204" s="1380"/>
      <c r="BW204" s="1380"/>
      <c r="BX204" s="1380"/>
      <c r="BY204" s="1380"/>
      <c r="BZ204" s="1380"/>
      <c r="CA204" s="1380"/>
      <c r="CB204" s="1380"/>
      <c r="CD204" s="1386">
        <f t="shared" si="407"/>
        <v>0</v>
      </c>
      <c r="DC204" s="16" t="str">
        <f>Mai!FC32</f>
        <v>non</v>
      </c>
      <c r="DG204" s="315">
        <f t="shared" si="408"/>
        <v>1</v>
      </c>
      <c r="DH204" s="129">
        <f t="shared" si="386"/>
        <v>10</v>
      </c>
      <c r="DI204" s="129">
        <f t="shared" si="409"/>
        <v>1</v>
      </c>
      <c r="DK204" s="16">
        <f>+IF(AND(Mai!$DP$8&lt;&gt;52,AR204=S.CAL!$BJ$4),10,1)</f>
        <v>1</v>
      </c>
      <c r="DN204" s="16">
        <f t="shared" si="387"/>
        <v>1</v>
      </c>
      <c r="DU204" s="1274" t="str">
        <f t="shared" si="410"/>
        <v>Fiche infoA346155</v>
      </c>
      <c r="DV204" s="1362">
        <f t="shared" si="388"/>
        <v>0</v>
      </c>
      <c r="DW204" s="1363">
        <f t="shared" si="389"/>
        <v>0</v>
      </c>
      <c r="DX204" s="1363">
        <f t="shared" si="390"/>
        <v>0</v>
      </c>
      <c r="DY204" s="1363">
        <f t="shared" si="391"/>
        <v>0</v>
      </c>
      <c r="DZ204" s="1363">
        <f t="shared" si="392"/>
        <v>0</v>
      </c>
      <c r="EA204" s="1363">
        <f t="shared" si="393"/>
        <v>0</v>
      </c>
      <c r="EB204" s="1363">
        <f t="shared" si="394"/>
        <v>0</v>
      </c>
      <c r="EC204" s="1363">
        <f t="shared" si="395"/>
        <v>0</v>
      </c>
      <c r="ED204" s="1363">
        <f t="shared" si="411"/>
        <v>0</v>
      </c>
      <c r="EE204" s="1364">
        <f t="shared" si="412"/>
        <v>0</v>
      </c>
      <c r="EG204" s="16" t="str">
        <f t="shared" si="413"/>
        <v>202026</v>
      </c>
      <c r="EH204" s="16" t="str">
        <f t="shared" si="396"/>
        <v>Fiche infoA3</v>
      </c>
      <c r="EI204" s="16" t="str">
        <f t="shared" si="397"/>
        <v/>
      </c>
    </row>
    <row r="205" spans="1:139" x14ac:dyDescent="0.2">
      <c r="A205" s="1373" t="str">
        <f>Mai!BJ33</f>
        <v>Fiche infoA4</v>
      </c>
      <c r="B205" s="811">
        <f>Mai!AB33</f>
        <v>46156</v>
      </c>
      <c r="C205" s="1372"/>
      <c r="D205" s="981">
        <f t="shared" si="353"/>
        <v>0</v>
      </c>
      <c r="E205" s="434">
        <f t="shared" si="354"/>
        <v>0</v>
      </c>
      <c r="F205" s="434">
        <f t="shared" si="355"/>
        <v>0</v>
      </c>
      <c r="G205" s="434">
        <f t="shared" si="356"/>
        <v>0</v>
      </c>
      <c r="H205" s="434">
        <f t="shared" si="357"/>
        <v>0</v>
      </c>
      <c r="I205" s="434">
        <f t="shared" si="358"/>
        <v>0</v>
      </c>
      <c r="J205" s="434">
        <f t="shared" si="359"/>
        <v>0</v>
      </c>
      <c r="K205" s="434">
        <f t="shared" si="360"/>
        <v>0</v>
      </c>
      <c r="L205" s="434">
        <f t="shared" si="398"/>
        <v>0</v>
      </c>
      <c r="M205" s="982">
        <f t="shared" si="399"/>
        <v>0</v>
      </c>
      <c r="N205" s="1374"/>
      <c r="O205" s="981">
        <f t="shared" si="415"/>
        <v>0</v>
      </c>
      <c r="P205" s="434">
        <f t="shared" si="416"/>
        <v>0</v>
      </c>
      <c r="Q205" s="434">
        <f t="shared" si="417"/>
        <v>0</v>
      </c>
      <c r="R205" s="434">
        <f t="shared" si="418"/>
        <v>0</v>
      </c>
      <c r="S205" s="434">
        <f t="shared" si="419"/>
        <v>0</v>
      </c>
      <c r="T205" s="434">
        <f t="shared" si="420"/>
        <v>0</v>
      </c>
      <c r="U205" s="434">
        <f t="shared" si="421"/>
        <v>0</v>
      </c>
      <c r="V205" s="434">
        <f t="shared" si="422"/>
        <v>0</v>
      </c>
      <c r="W205" s="434">
        <f t="shared" si="369"/>
        <v>0</v>
      </c>
      <c r="X205" s="982">
        <f t="shared" si="370"/>
        <v>0</v>
      </c>
      <c r="Y205" s="1375"/>
      <c r="Z205" s="1376">
        <f t="shared" si="371"/>
        <v>0</v>
      </c>
      <c r="AA205" s="1376">
        <f t="shared" si="372"/>
        <v>0</v>
      </c>
      <c r="AB205" s="1376">
        <f t="shared" si="373"/>
        <v>0</v>
      </c>
      <c r="AC205" s="1376">
        <f t="shared" si="374"/>
        <v>0</v>
      </c>
      <c r="AD205" s="1376">
        <f t="shared" si="375"/>
        <v>0</v>
      </c>
      <c r="AE205" s="1376">
        <f t="shared" si="376"/>
        <v>0</v>
      </c>
      <c r="AF205" s="1376">
        <f t="shared" si="377"/>
        <v>0</v>
      </c>
      <c r="AG205" s="1376">
        <f t="shared" si="378"/>
        <v>0</v>
      </c>
      <c r="AH205" s="1374"/>
      <c r="AI205" s="444">
        <f t="shared" si="423"/>
        <v>0</v>
      </c>
      <c r="AJ205" s="1090"/>
      <c r="AK205" s="1377"/>
      <c r="AL205" s="811">
        <f t="shared" si="380"/>
        <v>46156</v>
      </c>
      <c r="AM205" s="666">
        <f>IFERROR(IF(AND(AT205="",AR205&lt;&gt;S.CAL!$BJ$3,AR205&lt;&gt;S.CAL!$BJ$4,$AR$185="NON"),M205-BD205,IF(AND(AT205="",AR205&lt;&gt;S.CAL!$BJ$3,AR205&lt;&gt;S.CAL!$BJ$4,$AR$185="OUI"),X205-AI205,IF(AT205&lt;&gt;0,AT205,IF(OR(AR205=S.CAL!$BJ$3,AR205=S.CAL!$BJ$4),AR205,"")))),"")</f>
        <v>0</v>
      </c>
      <c r="AN205" s="1093"/>
      <c r="AO205" s="1094"/>
      <c r="AP205" s="666">
        <f>+IF(AND(AU205="",BB205="OUI",BH205="non",BI205="OUI"),AM205,IF(AND(AU205="",BB205="OUI",BH205="oui",BI205="NON"),AM205,IF(AND(AU205="",BB205="NON",BH205="oui",BI205="NON"),M205,IF(AND(AU205="",BB205="NON",BH205="non",BI205="OUI"),M205,IF(AND(AU205="",BB205="OUI",BH205="non",BI205="NON"),"ERREUR",IF(AND(AU205="",BB205="NON",BH205="non",BI205="NON"),AM205,IF(AND(AU205="",BB205="OUI",BH205="",BI205=""),AM205,IF(AND(AU205="",BB205="NON",BH205="",BI205="",AZ205="NON"),M205,IF(AND(AU205="",BH205="",AZ205="OUI",AR205=""),AM205,IF(AND(AU205="",BH205="",AZ205="NON",AR205="",AT205=""),M205,IF(AND(OR(AR205=S.CAL!$BJ$3,AR205=S.CAL!$BJ$4),(VLOOKUP($AM$185,base_nbre_sem_mensu,2,FALSE)=52)),EE205,IF(AND(OR(AR205=S.CAL!$BJ$3,AR205=S.CAL!$BJ$4),(VLOOKUP($AM$185,base_nbre_sem_mensu,2,FALSE)&lt;52)),AM205,IF(AND(AT205&lt;&gt;"",AU205=""),AT205,AU205)))))))))))))</f>
        <v>0</v>
      </c>
      <c r="AQ205" s="1378">
        <f t="shared" si="400"/>
        <v>0</v>
      </c>
      <c r="AR205" s="1098"/>
      <c r="AS205" s="1374"/>
      <c r="AT205" s="1101"/>
      <c r="AU205" s="813"/>
      <c r="AV205" s="1370">
        <f t="shared" si="381"/>
        <v>46156</v>
      </c>
      <c r="AW205" s="1374"/>
      <c r="AX205" s="511">
        <f t="shared" si="401"/>
        <v>46156</v>
      </c>
      <c r="AY205" s="523">
        <f t="shared" si="402"/>
        <v>0</v>
      </c>
      <c r="AZ205" s="520" t="s">
        <v>137</v>
      </c>
      <c r="BA205" s="516">
        <f t="shared" si="403"/>
        <v>0</v>
      </c>
      <c r="BB205" s="549" t="str">
        <f t="shared" si="382"/>
        <v/>
      </c>
      <c r="BC205" s="523">
        <f t="shared" si="404"/>
        <v>0</v>
      </c>
      <c r="BD205" s="523">
        <f t="shared" si="405"/>
        <v>0</v>
      </c>
      <c r="BE205" s="732"/>
      <c r="BF205" s="514" t="str">
        <f t="shared" si="383"/>
        <v/>
      </c>
      <c r="BG205" s="514" t="str">
        <f t="shared" si="406"/>
        <v>oui</v>
      </c>
      <c r="BH205" s="377" t="str">
        <f t="shared" si="384"/>
        <v/>
      </c>
      <c r="BI205" s="24" t="str">
        <f t="shared" si="385"/>
        <v/>
      </c>
      <c r="BJ205" s="1382"/>
      <c r="BK205" s="1382"/>
      <c r="BL205" s="1382"/>
      <c r="BM205" s="1382"/>
      <c r="BN205" s="1382"/>
      <c r="BO205" s="1382"/>
      <c r="BP205" s="1382"/>
      <c r="BQ205" s="1382"/>
      <c r="BR205" s="1383"/>
      <c r="BS205" s="1370">
        <f t="shared" si="352"/>
        <v>46156</v>
      </c>
      <c r="BT205" s="1384" t="str">
        <f t="shared" si="414"/>
        <v/>
      </c>
      <c r="BU205" s="1382"/>
      <c r="BV205" s="1382"/>
      <c r="BW205" s="1382"/>
      <c r="BX205" s="1382"/>
      <c r="BY205" s="1382"/>
      <c r="BZ205" s="1382"/>
      <c r="CA205" s="1382"/>
      <c r="CB205" s="1382"/>
      <c r="CD205" s="1386">
        <f t="shared" si="407"/>
        <v>0</v>
      </c>
      <c r="DC205" s="16" t="str">
        <f>Mai!FC33</f>
        <v>non</v>
      </c>
      <c r="DG205" s="315">
        <f t="shared" si="408"/>
        <v>1</v>
      </c>
      <c r="DH205" s="129">
        <f t="shared" si="386"/>
        <v>10</v>
      </c>
      <c r="DI205" s="129">
        <f t="shared" si="409"/>
        <v>1</v>
      </c>
      <c r="DK205" s="16">
        <f>+IF(AND(Mai!$DP$8&lt;&gt;52,AR205=S.CAL!$BJ$4),10,1)</f>
        <v>1</v>
      </c>
      <c r="DN205" s="16">
        <f t="shared" si="387"/>
        <v>1</v>
      </c>
      <c r="DU205" s="1274" t="str">
        <f t="shared" si="410"/>
        <v>Fiche infoA446156</v>
      </c>
      <c r="DV205" s="1362">
        <f t="shared" si="388"/>
        <v>0</v>
      </c>
      <c r="DW205" s="1363">
        <f t="shared" si="389"/>
        <v>0</v>
      </c>
      <c r="DX205" s="1363">
        <f t="shared" si="390"/>
        <v>0</v>
      </c>
      <c r="DY205" s="1363">
        <f t="shared" si="391"/>
        <v>0</v>
      </c>
      <c r="DZ205" s="1363">
        <f t="shared" si="392"/>
        <v>0</v>
      </c>
      <c r="EA205" s="1363">
        <f t="shared" si="393"/>
        <v>0</v>
      </c>
      <c r="EB205" s="1363">
        <f t="shared" si="394"/>
        <v>0</v>
      </c>
      <c r="EC205" s="1363">
        <f t="shared" si="395"/>
        <v>0</v>
      </c>
      <c r="ED205" s="1363">
        <f t="shared" si="411"/>
        <v>0</v>
      </c>
      <c r="EE205" s="1364">
        <f t="shared" si="412"/>
        <v>0</v>
      </c>
      <c r="EG205" s="16" t="str">
        <f t="shared" si="413"/>
        <v>202026</v>
      </c>
      <c r="EH205" s="16" t="str">
        <f t="shared" si="396"/>
        <v>Fiche infoA4</v>
      </c>
      <c r="EI205" s="16" t="str">
        <f t="shared" si="397"/>
        <v/>
      </c>
    </row>
    <row r="206" spans="1:139" x14ac:dyDescent="0.2">
      <c r="A206" s="24" t="str">
        <f>Mai!BJ34</f>
        <v>Fiche infoA5</v>
      </c>
      <c r="B206" s="811">
        <f>Mai!AB34</f>
        <v>46157</v>
      </c>
      <c r="C206" s="1371"/>
      <c r="D206" s="981">
        <f t="shared" si="353"/>
        <v>0</v>
      </c>
      <c r="E206" s="434">
        <f t="shared" si="354"/>
        <v>0</v>
      </c>
      <c r="F206" s="434">
        <f t="shared" si="355"/>
        <v>0</v>
      </c>
      <c r="G206" s="434">
        <f t="shared" si="356"/>
        <v>0</v>
      </c>
      <c r="H206" s="434">
        <f t="shared" si="357"/>
        <v>0</v>
      </c>
      <c r="I206" s="434">
        <f t="shared" si="358"/>
        <v>0</v>
      </c>
      <c r="J206" s="434">
        <f t="shared" si="359"/>
        <v>0</v>
      </c>
      <c r="K206" s="434">
        <f t="shared" si="360"/>
        <v>0</v>
      </c>
      <c r="L206" s="434">
        <f t="shared" si="398"/>
        <v>0</v>
      </c>
      <c r="M206" s="982">
        <f t="shared" si="399"/>
        <v>0</v>
      </c>
      <c r="O206" s="981">
        <f t="shared" si="415"/>
        <v>0</v>
      </c>
      <c r="P206" s="434">
        <f t="shared" si="416"/>
        <v>0</v>
      </c>
      <c r="Q206" s="434">
        <f t="shared" si="417"/>
        <v>0</v>
      </c>
      <c r="R206" s="434">
        <f t="shared" si="418"/>
        <v>0</v>
      </c>
      <c r="S206" s="434">
        <f t="shared" si="419"/>
        <v>0</v>
      </c>
      <c r="T206" s="434">
        <f t="shared" si="420"/>
        <v>0</v>
      </c>
      <c r="U206" s="434">
        <f t="shared" si="421"/>
        <v>0</v>
      </c>
      <c r="V206" s="434">
        <f t="shared" si="422"/>
        <v>0</v>
      </c>
      <c r="W206" s="434">
        <f t="shared" si="369"/>
        <v>0</v>
      </c>
      <c r="X206" s="982">
        <f t="shared" si="370"/>
        <v>0</v>
      </c>
      <c r="Y206" s="441"/>
      <c r="Z206" s="277">
        <f t="shared" si="371"/>
        <v>0</v>
      </c>
      <c r="AA206" s="277">
        <f t="shared" si="372"/>
        <v>0</v>
      </c>
      <c r="AB206" s="277">
        <f t="shared" si="373"/>
        <v>0</v>
      </c>
      <c r="AC206" s="277">
        <f t="shared" si="374"/>
        <v>0</v>
      </c>
      <c r="AD206" s="277">
        <f t="shared" si="375"/>
        <v>0</v>
      </c>
      <c r="AE206" s="277">
        <f t="shared" si="376"/>
        <v>0</v>
      </c>
      <c r="AF206" s="277">
        <f t="shared" si="377"/>
        <v>0</v>
      </c>
      <c r="AG206" s="277">
        <f t="shared" si="378"/>
        <v>0</v>
      </c>
      <c r="AI206" s="444">
        <f t="shared" si="423"/>
        <v>0</v>
      </c>
      <c r="AJ206" s="1090"/>
      <c r="AK206" s="489"/>
      <c r="AL206" s="811">
        <f t="shared" si="380"/>
        <v>46157</v>
      </c>
      <c r="AM206" s="666">
        <f>IFERROR(IF(AND(AT206="",AR206&lt;&gt;S.CAL!$BJ$3,AR206&lt;&gt;S.CAL!$BJ$4,$AR$185="NON"),M206-BD206,IF(AND(AT206="",AR206&lt;&gt;S.CAL!$BJ$3,AR206&lt;&gt;S.CAL!$BJ$4,$AR$185="OUI"),X206-AI206,IF(AT206&lt;&gt;0,AT206,IF(OR(AR206=S.CAL!$BJ$3,AR206=S.CAL!$BJ$4),AR206,"")))),"")</f>
        <v>0</v>
      </c>
      <c r="AN206" s="1093"/>
      <c r="AO206" s="1094"/>
      <c r="AP206" s="666">
        <f>+IF(AND(AU206="",BB206="OUI",BH206="non",BI206="OUI"),AM206,IF(AND(AU206="",BB206="OUI",BH206="oui",BI206="NON"),AM206,IF(AND(AU206="",BB206="NON",BH206="oui",BI206="NON"),M206,IF(AND(AU206="",BB206="NON",BH206="non",BI206="OUI"),M206,IF(AND(AU206="",BB206="OUI",BH206="non",BI206="NON"),"ERREUR",IF(AND(AU206="",BB206="NON",BH206="non",BI206="NON"),AM206,IF(AND(AU206="",BB206="OUI",BH206="",BI206=""),AM206,IF(AND(AU206="",BB206="NON",BH206="",BI206="",AZ206="NON"),M206,IF(AND(AU206="",BH206="",AZ206="OUI",AR206=""),AM206,IF(AND(AU206="",BH206="",AZ206="NON",AR206="",AT206=""),M206,IF(AND(OR(AR206=S.CAL!$BJ$3,AR206=S.CAL!$BJ$4),(VLOOKUP($AM$185,base_nbre_sem_mensu,2,FALSE)=52)),EE206,IF(AND(OR(AR206=S.CAL!$BJ$3,AR206=S.CAL!$BJ$4),(VLOOKUP($AM$185,base_nbre_sem_mensu,2,FALSE)&lt;52)),AM206,IF(AND(AT206&lt;&gt;"",AU206=""),AT206,AU206)))))))))))))</f>
        <v>0</v>
      </c>
      <c r="AQ206" s="498">
        <f t="shared" si="400"/>
        <v>0</v>
      </c>
      <c r="AR206" s="1098"/>
      <c r="AT206" s="1101"/>
      <c r="AU206" s="813"/>
      <c r="AV206" s="1370">
        <f t="shared" si="381"/>
        <v>46157</v>
      </c>
      <c r="AX206" s="511">
        <f t="shared" si="401"/>
        <v>46157</v>
      </c>
      <c r="AY206" s="523">
        <f t="shared" si="402"/>
        <v>0</v>
      </c>
      <c r="AZ206" s="520" t="s">
        <v>137</v>
      </c>
      <c r="BA206" s="516">
        <f t="shared" si="403"/>
        <v>0</v>
      </c>
      <c r="BB206" s="549" t="str">
        <f t="shared" si="382"/>
        <v/>
      </c>
      <c r="BC206" s="523">
        <f t="shared" si="404"/>
        <v>0</v>
      </c>
      <c r="BD206" s="523">
        <f t="shared" si="405"/>
        <v>0</v>
      </c>
      <c r="BE206" s="732"/>
      <c r="BF206" s="514" t="str">
        <f t="shared" si="383"/>
        <v/>
      </c>
      <c r="BG206" s="514" t="str">
        <f t="shared" si="406"/>
        <v>oui</v>
      </c>
      <c r="BH206" s="377" t="str">
        <f t="shared" si="384"/>
        <v/>
      </c>
      <c r="BI206" s="24" t="str">
        <f t="shared" si="385"/>
        <v/>
      </c>
      <c r="BJ206" s="1381"/>
      <c r="BK206" s="1381"/>
      <c r="BL206" s="1381"/>
      <c r="BM206" s="1381"/>
      <c r="BN206" s="1381"/>
      <c r="BO206" s="1381"/>
      <c r="BP206" s="1381"/>
      <c r="BQ206" s="1381"/>
      <c r="BS206" s="1370">
        <f t="shared" si="352"/>
        <v>46157</v>
      </c>
      <c r="BT206" s="27" t="str">
        <f t="shared" si="414"/>
        <v/>
      </c>
      <c r="BU206" s="1380"/>
      <c r="BV206" s="1380"/>
      <c r="BW206" s="1380"/>
      <c r="BX206" s="1380"/>
      <c r="BY206" s="1380"/>
      <c r="BZ206" s="1380"/>
      <c r="CA206" s="1380"/>
      <c r="CB206" s="1380"/>
      <c r="CD206" s="1386">
        <f t="shared" si="407"/>
        <v>0</v>
      </c>
      <c r="DC206" s="16" t="str">
        <f>Mai!FC34</f>
        <v>non</v>
      </c>
      <c r="DG206" s="315">
        <f t="shared" si="408"/>
        <v>1</v>
      </c>
      <c r="DH206" s="129">
        <f t="shared" si="386"/>
        <v>10</v>
      </c>
      <c r="DI206" s="129">
        <f t="shared" si="409"/>
        <v>1</v>
      </c>
      <c r="DK206" s="16">
        <f>+IF(AND(Mai!$DP$8&lt;&gt;52,AR206=S.CAL!$BJ$4),10,1)</f>
        <v>1</v>
      </c>
      <c r="DN206" s="16">
        <f t="shared" si="387"/>
        <v>1</v>
      </c>
      <c r="DU206" s="1274" t="str">
        <f t="shared" si="410"/>
        <v>Fiche infoA546157</v>
      </c>
      <c r="DV206" s="1362">
        <f t="shared" si="388"/>
        <v>0</v>
      </c>
      <c r="DW206" s="1363">
        <f t="shared" si="389"/>
        <v>0</v>
      </c>
      <c r="DX206" s="1363">
        <f t="shared" si="390"/>
        <v>0</v>
      </c>
      <c r="DY206" s="1363">
        <f t="shared" si="391"/>
        <v>0</v>
      </c>
      <c r="DZ206" s="1363">
        <f t="shared" si="392"/>
        <v>0</v>
      </c>
      <c r="EA206" s="1363">
        <f t="shared" si="393"/>
        <v>0</v>
      </c>
      <c r="EB206" s="1363">
        <f t="shared" si="394"/>
        <v>0</v>
      </c>
      <c r="EC206" s="1363">
        <f t="shared" si="395"/>
        <v>0</v>
      </c>
      <c r="ED206" s="1363">
        <f t="shared" si="411"/>
        <v>0</v>
      </c>
      <c r="EE206" s="1364">
        <f t="shared" si="412"/>
        <v>0</v>
      </c>
      <c r="EG206" s="16" t="str">
        <f t="shared" si="413"/>
        <v>202026</v>
      </c>
      <c r="EH206" s="16" t="str">
        <f t="shared" si="396"/>
        <v>Fiche infoA5</v>
      </c>
      <c r="EI206" s="16" t="str">
        <f t="shared" si="397"/>
        <v/>
      </c>
    </row>
    <row r="207" spans="1:139" x14ac:dyDescent="0.2">
      <c r="A207" s="1373" t="str">
        <f>Mai!BJ35</f>
        <v>Fiche infoA6</v>
      </c>
      <c r="B207" s="811">
        <f>Mai!AB35</f>
        <v>46158</v>
      </c>
      <c r="C207" s="1372"/>
      <c r="D207" s="981">
        <f t="shared" si="353"/>
        <v>0</v>
      </c>
      <c r="E207" s="434">
        <f t="shared" si="354"/>
        <v>0</v>
      </c>
      <c r="F207" s="434">
        <f t="shared" si="355"/>
        <v>0</v>
      </c>
      <c r="G207" s="434">
        <f t="shared" si="356"/>
        <v>0</v>
      </c>
      <c r="H207" s="434">
        <f t="shared" si="357"/>
        <v>0</v>
      </c>
      <c r="I207" s="434">
        <f t="shared" si="358"/>
        <v>0</v>
      </c>
      <c r="J207" s="434">
        <f t="shared" si="359"/>
        <v>0</v>
      </c>
      <c r="K207" s="434">
        <f t="shared" si="360"/>
        <v>0</v>
      </c>
      <c r="L207" s="434">
        <f t="shared" si="398"/>
        <v>0</v>
      </c>
      <c r="M207" s="982">
        <f t="shared" si="399"/>
        <v>0</v>
      </c>
      <c r="N207" s="1374"/>
      <c r="O207" s="981">
        <f t="shared" si="415"/>
        <v>0</v>
      </c>
      <c r="P207" s="434">
        <f t="shared" si="416"/>
        <v>0</v>
      </c>
      <c r="Q207" s="434">
        <f t="shared" si="417"/>
        <v>0</v>
      </c>
      <c r="R207" s="434">
        <f t="shared" si="418"/>
        <v>0</v>
      </c>
      <c r="S207" s="434">
        <f t="shared" si="419"/>
        <v>0</v>
      </c>
      <c r="T207" s="434">
        <f t="shared" si="420"/>
        <v>0</v>
      </c>
      <c r="U207" s="434">
        <f t="shared" si="421"/>
        <v>0</v>
      </c>
      <c r="V207" s="434">
        <f t="shared" si="422"/>
        <v>0</v>
      </c>
      <c r="W207" s="434">
        <f t="shared" si="369"/>
        <v>0</v>
      </c>
      <c r="X207" s="982">
        <f t="shared" si="370"/>
        <v>0</v>
      </c>
      <c r="Y207" s="1375"/>
      <c r="Z207" s="1376">
        <f t="shared" si="371"/>
        <v>0</v>
      </c>
      <c r="AA207" s="1376">
        <f t="shared" si="372"/>
        <v>0</v>
      </c>
      <c r="AB207" s="1376">
        <f t="shared" si="373"/>
        <v>0</v>
      </c>
      <c r="AC207" s="1376">
        <f t="shared" si="374"/>
        <v>0</v>
      </c>
      <c r="AD207" s="1376">
        <f t="shared" si="375"/>
        <v>0</v>
      </c>
      <c r="AE207" s="1376">
        <f t="shared" si="376"/>
        <v>0</v>
      </c>
      <c r="AF207" s="1376">
        <f t="shared" si="377"/>
        <v>0</v>
      </c>
      <c r="AG207" s="1376">
        <f t="shared" si="378"/>
        <v>0</v>
      </c>
      <c r="AH207" s="1374"/>
      <c r="AI207" s="444">
        <f t="shared" si="423"/>
        <v>0</v>
      </c>
      <c r="AJ207" s="1090"/>
      <c r="AK207" s="1377"/>
      <c r="AL207" s="811">
        <f t="shared" si="380"/>
        <v>46158</v>
      </c>
      <c r="AM207" s="666">
        <f>IFERROR(IF(AND(AT207="",AR207&lt;&gt;S.CAL!$BJ$3,AR207&lt;&gt;S.CAL!$BJ$4,$AR$185="NON"),M207-BD207,IF(AND(AT207="",AR207&lt;&gt;S.CAL!$BJ$3,AR207&lt;&gt;S.CAL!$BJ$4,$AR$185="OUI"),X207-AI207,IF(AT207&lt;&gt;0,AT207,IF(OR(AR207=S.CAL!$BJ$3,AR207=S.CAL!$BJ$4),AR207,"")))),"")</f>
        <v>0</v>
      </c>
      <c r="AN207" s="1093"/>
      <c r="AO207" s="1094"/>
      <c r="AP207" s="666">
        <f>+IF(AND(AU207="",BB207="OUI",BH207="non",BI207="OUI"),AM207,IF(AND(AU207="",BB207="OUI",BH207="oui",BI207="NON"),AM207,IF(AND(AU207="",BB207="NON",BH207="oui",BI207="NON"),M207,IF(AND(AU207="",BB207="NON",BH207="non",BI207="OUI"),M207,IF(AND(AU207="",BB207="OUI",BH207="non",BI207="NON"),"ERREUR",IF(AND(AU207="",BB207="NON",BH207="non",BI207="NON"),AM207,IF(AND(AU207="",BB207="OUI",BH207="",BI207=""),AM207,IF(AND(AU207="",BB207="NON",BH207="",BI207="",AZ207="NON"),M207,IF(AND(AU207="",BH207="",AZ207="OUI",AR207=""),AM207,IF(AND(AU207="",BH207="",AZ207="NON",AR207="",AT207=""),M207,IF(AND(OR(AR207=S.CAL!$BJ$3,AR207=S.CAL!$BJ$4),(VLOOKUP($AM$185,base_nbre_sem_mensu,2,FALSE)=52)),EE207,IF(AND(OR(AR207=S.CAL!$BJ$3,AR207=S.CAL!$BJ$4),(VLOOKUP($AM$185,base_nbre_sem_mensu,2,FALSE)&lt;52)),AM207,IF(AND(AT207&lt;&gt;"",AU207=""),AT207,AU207)))))))))))))</f>
        <v>0</v>
      </c>
      <c r="AQ207" s="1378">
        <f t="shared" si="400"/>
        <v>0</v>
      </c>
      <c r="AR207" s="1098"/>
      <c r="AS207" s="1374"/>
      <c r="AT207" s="1101"/>
      <c r="AU207" s="813"/>
      <c r="AV207" s="1370">
        <f t="shared" si="381"/>
        <v>46158</v>
      </c>
      <c r="AW207" s="1374"/>
      <c r="AX207" s="511">
        <f t="shared" si="401"/>
        <v>46158</v>
      </c>
      <c r="AY207" s="523">
        <f t="shared" si="402"/>
        <v>0</v>
      </c>
      <c r="AZ207" s="520" t="s">
        <v>137</v>
      </c>
      <c r="BA207" s="516">
        <f t="shared" si="403"/>
        <v>0</v>
      </c>
      <c r="BB207" s="549" t="str">
        <f t="shared" si="382"/>
        <v/>
      </c>
      <c r="BC207" s="523">
        <f t="shared" si="404"/>
        <v>0</v>
      </c>
      <c r="BD207" s="523">
        <f t="shared" si="405"/>
        <v>0</v>
      </c>
      <c r="BE207" s="732"/>
      <c r="BF207" s="514" t="str">
        <f t="shared" si="383"/>
        <v/>
      </c>
      <c r="BG207" s="514" t="str">
        <f t="shared" si="406"/>
        <v>oui</v>
      </c>
      <c r="BH207" s="377" t="str">
        <f t="shared" si="384"/>
        <v/>
      </c>
      <c r="BI207" s="24" t="str">
        <f t="shared" si="385"/>
        <v/>
      </c>
      <c r="BJ207" s="1382"/>
      <c r="BK207" s="1382"/>
      <c r="BL207" s="1382"/>
      <c r="BM207" s="1382"/>
      <c r="BN207" s="1382"/>
      <c r="BO207" s="1382"/>
      <c r="BP207" s="1382"/>
      <c r="BQ207" s="1382"/>
      <c r="BR207" s="1383"/>
      <c r="BS207" s="1370">
        <f t="shared" si="352"/>
        <v>46158</v>
      </c>
      <c r="BT207" s="1384" t="str">
        <f t="shared" si="414"/>
        <v/>
      </c>
      <c r="BU207" s="1382"/>
      <c r="BV207" s="1382"/>
      <c r="BW207" s="1382"/>
      <c r="BX207" s="1382"/>
      <c r="BY207" s="1382"/>
      <c r="BZ207" s="1382"/>
      <c r="CA207" s="1382"/>
      <c r="CB207" s="1382"/>
      <c r="CD207" s="1386">
        <f t="shared" si="407"/>
        <v>0</v>
      </c>
      <c r="DC207" s="16" t="str">
        <f>Mai!FC35</f>
        <v>non</v>
      </c>
      <c r="DG207" s="315">
        <f t="shared" si="408"/>
        <v>1</v>
      </c>
      <c r="DH207" s="129">
        <f t="shared" si="386"/>
        <v>10</v>
      </c>
      <c r="DI207" s="129">
        <f t="shared" si="409"/>
        <v>1</v>
      </c>
      <c r="DK207" s="16">
        <f>+IF(AND(Mai!$DP$8&lt;&gt;52,AR207=S.CAL!$BJ$4),10,1)</f>
        <v>1</v>
      </c>
      <c r="DN207" s="16">
        <f t="shared" si="387"/>
        <v>1</v>
      </c>
      <c r="DU207" s="1274" t="str">
        <f t="shared" si="410"/>
        <v>Fiche infoA646158</v>
      </c>
      <c r="DV207" s="1362">
        <f t="shared" si="388"/>
        <v>0</v>
      </c>
      <c r="DW207" s="1363">
        <f t="shared" si="389"/>
        <v>0</v>
      </c>
      <c r="DX207" s="1363">
        <f t="shared" si="390"/>
        <v>0</v>
      </c>
      <c r="DY207" s="1363">
        <f t="shared" si="391"/>
        <v>0</v>
      </c>
      <c r="DZ207" s="1363">
        <f t="shared" si="392"/>
        <v>0</v>
      </c>
      <c r="EA207" s="1363">
        <f t="shared" si="393"/>
        <v>0</v>
      </c>
      <c r="EB207" s="1363">
        <f t="shared" si="394"/>
        <v>0</v>
      </c>
      <c r="EC207" s="1363">
        <f t="shared" si="395"/>
        <v>0</v>
      </c>
      <c r="ED207" s="1363">
        <f t="shared" si="411"/>
        <v>0</v>
      </c>
      <c r="EE207" s="1364">
        <f t="shared" si="412"/>
        <v>0</v>
      </c>
      <c r="EG207" s="16" t="str">
        <f t="shared" si="413"/>
        <v>202026</v>
      </c>
      <c r="EH207" s="16" t="str">
        <f t="shared" si="396"/>
        <v>Fiche infoA6</v>
      </c>
      <c r="EI207" s="16" t="str">
        <f t="shared" si="397"/>
        <v/>
      </c>
    </row>
    <row r="208" spans="1:139" x14ac:dyDescent="0.2">
      <c r="A208" s="24" t="str">
        <f>Mai!BJ36</f>
        <v>Fiche infoA7</v>
      </c>
      <c r="B208" s="811">
        <f>Mai!AB36</f>
        <v>46159</v>
      </c>
      <c r="C208" s="1371"/>
      <c r="D208" s="981">
        <f t="shared" si="353"/>
        <v>0</v>
      </c>
      <c r="E208" s="434">
        <f t="shared" si="354"/>
        <v>0</v>
      </c>
      <c r="F208" s="434">
        <f t="shared" si="355"/>
        <v>0</v>
      </c>
      <c r="G208" s="434">
        <f t="shared" si="356"/>
        <v>0</v>
      </c>
      <c r="H208" s="434">
        <f t="shared" si="357"/>
        <v>0</v>
      </c>
      <c r="I208" s="434">
        <f t="shared" si="358"/>
        <v>0</v>
      </c>
      <c r="J208" s="434">
        <f t="shared" si="359"/>
        <v>0</v>
      </c>
      <c r="K208" s="434">
        <f t="shared" si="360"/>
        <v>0</v>
      </c>
      <c r="L208" s="434">
        <f t="shared" si="398"/>
        <v>0</v>
      </c>
      <c r="M208" s="982">
        <f t="shared" si="399"/>
        <v>0</v>
      </c>
      <c r="O208" s="981">
        <f t="shared" si="415"/>
        <v>0</v>
      </c>
      <c r="P208" s="434">
        <f t="shared" si="416"/>
        <v>0</v>
      </c>
      <c r="Q208" s="434">
        <f t="shared" si="417"/>
        <v>0</v>
      </c>
      <c r="R208" s="434">
        <f t="shared" si="418"/>
        <v>0</v>
      </c>
      <c r="S208" s="434">
        <f t="shared" si="419"/>
        <v>0</v>
      </c>
      <c r="T208" s="434">
        <f t="shared" si="420"/>
        <v>0</v>
      </c>
      <c r="U208" s="434">
        <f t="shared" si="421"/>
        <v>0</v>
      </c>
      <c r="V208" s="434">
        <f t="shared" si="422"/>
        <v>0</v>
      </c>
      <c r="W208" s="434">
        <f t="shared" si="369"/>
        <v>0</v>
      </c>
      <c r="X208" s="982">
        <f t="shared" si="370"/>
        <v>0</v>
      </c>
      <c r="Y208" s="441"/>
      <c r="Z208" s="277">
        <f t="shared" si="371"/>
        <v>0</v>
      </c>
      <c r="AA208" s="277">
        <f t="shared" si="372"/>
        <v>0</v>
      </c>
      <c r="AB208" s="277">
        <f t="shared" si="373"/>
        <v>0</v>
      </c>
      <c r="AC208" s="277">
        <f t="shared" si="374"/>
        <v>0</v>
      </c>
      <c r="AD208" s="277">
        <f t="shared" si="375"/>
        <v>0</v>
      </c>
      <c r="AE208" s="277">
        <f t="shared" si="376"/>
        <v>0</v>
      </c>
      <c r="AF208" s="277">
        <f t="shared" si="377"/>
        <v>0</v>
      </c>
      <c r="AG208" s="277">
        <f t="shared" si="378"/>
        <v>0</v>
      </c>
      <c r="AI208" s="444">
        <f t="shared" si="423"/>
        <v>0</v>
      </c>
      <c r="AJ208" s="1090"/>
      <c r="AK208" s="489"/>
      <c r="AL208" s="811">
        <f t="shared" si="380"/>
        <v>46159</v>
      </c>
      <c r="AM208" s="666">
        <f>IFERROR(IF(AND(AT208="",AR208&lt;&gt;S.CAL!$BJ$3,AR208&lt;&gt;S.CAL!$BJ$4,$AR$185="NON"),M208-BD208,IF(AND(AT208="",AR208&lt;&gt;S.CAL!$BJ$3,AR208&lt;&gt;S.CAL!$BJ$4,$AR$185="OUI"),X208-AI208,IF(AT208&lt;&gt;0,AT208,IF(OR(AR208=S.CAL!$BJ$3,AR208=S.CAL!$BJ$4),AR208,"")))),"")</f>
        <v>0</v>
      </c>
      <c r="AN208" s="1093"/>
      <c r="AO208" s="1094"/>
      <c r="AP208" s="666">
        <f>+IF(AND(AU208="",BB208="OUI",BH208="non",BI208="OUI"),AM208,IF(AND(AU208="",BB208="OUI",BH208="oui",BI208="NON"),AM208,IF(AND(AU208="",BB208="NON",BH208="oui",BI208="NON"),M208,IF(AND(AU208="",BB208="NON",BH208="non",BI208="OUI"),M208,IF(AND(AU208="",BB208="OUI",BH208="non",BI208="NON"),"ERREUR",IF(AND(AU208="",BB208="NON",BH208="non",BI208="NON"),AM208,IF(AND(AU208="",BB208="OUI",BH208="",BI208=""),AM208,IF(AND(AU208="",BB208="NON",BH208="",BI208="",AZ208="NON"),M208,IF(AND(AU208="",BH208="",AZ208="OUI",AR208=""),AM208,IF(AND(AU208="",BH208="",AZ208="NON",AR208="",AT208=""),M208,IF(AND(OR(AR208=S.CAL!$BJ$3,AR208=S.CAL!$BJ$4),(VLOOKUP($AM$185,base_nbre_sem_mensu,2,FALSE)=52)),EE208,IF(AND(OR(AR208=S.CAL!$BJ$3,AR208=S.CAL!$BJ$4),(VLOOKUP($AM$185,base_nbre_sem_mensu,2,FALSE)&lt;52)),AM208,IF(AND(AT208&lt;&gt;"",AU208=""),AT208,AU208)))))))))))))</f>
        <v>0</v>
      </c>
      <c r="AQ208" s="498">
        <f t="shared" si="400"/>
        <v>0</v>
      </c>
      <c r="AR208" s="1098"/>
      <c r="AT208" s="1101"/>
      <c r="AU208" s="813"/>
      <c r="AV208" s="1370">
        <f t="shared" si="381"/>
        <v>46159</v>
      </c>
      <c r="AX208" s="511">
        <f t="shared" si="401"/>
        <v>46159</v>
      </c>
      <c r="AY208" s="523">
        <f t="shared" si="402"/>
        <v>0</v>
      </c>
      <c r="AZ208" s="520" t="s">
        <v>137</v>
      </c>
      <c r="BA208" s="516">
        <f t="shared" si="403"/>
        <v>0</v>
      </c>
      <c r="BB208" s="549" t="str">
        <f t="shared" si="382"/>
        <v/>
      </c>
      <c r="BC208" s="523">
        <f t="shared" si="404"/>
        <v>0</v>
      </c>
      <c r="BD208" s="523">
        <f t="shared" si="405"/>
        <v>0</v>
      </c>
      <c r="BE208" s="732"/>
      <c r="BF208" s="514" t="str">
        <f t="shared" si="383"/>
        <v/>
      </c>
      <c r="BG208" s="514" t="str">
        <f t="shared" si="406"/>
        <v>oui</v>
      </c>
      <c r="BH208" s="377" t="str">
        <f t="shared" si="384"/>
        <v/>
      </c>
      <c r="BI208" s="24" t="str">
        <f t="shared" si="385"/>
        <v/>
      </c>
      <c r="BJ208" s="1381"/>
      <c r="BK208" s="1381"/>
      <c r="BL208" s="1381"/>
      <c r="BM208" s="1381"/>
      <c r="BN208" s="1381"/>
      <c r="BO208" s="1381"/>
      <c r="BP208" s="1381"/>
      <c r="BQ208" s="1381"/>
      <c r="BS208" s="1370">
        <f t="shared" si="352"/>
        <v>46159</v>
      </c>
      <c r="BT208" s="27" t="str">
        <f t="shared" si="414"/>
        <v/>
      </c>
      <c r="BU208" s="1380"/>
      <c r="BV208" s="1380"/>
      <c r="BW208" s="1380"/>
      <c r="BX208" s="1380"/>
      <c r="BY208" s="1380"/>
      <c r="BZ208" s="1380"/>
      <c r="CA208" s="1380"/>
      <c r="CB208" s="1380"/>
      <c r="CD208" s="1386">
        <f t="shared" si="407"/>
        <v>0</v>
      </c>
      <c r="DC208" s="16" t="str">
        <f>Mai!FC36</f>
        <v>non</v>
      </c>
      <c r="DG208" s="315">
        <f t="shared" si="408"/>
        <v>1</v>
      </c>
      <c r="DH208" s="129">
        <f t="shared" si="386"/>
        <v>10</v>
      </c>
      <c r="DI208" s="129">
        <f t="shared" si="409"/>
        <v>1</v>
      </c>
      <c r="DK208" s="16">
        <f>+IF(AND(Mai!$DP$8&lt;&gt;52,AR208=S.CAL!$BJ$4),10,1)</f>
        <v>1</v>
      </c>
      <c r="DN208" s="16">
        <f t="shared" si="387"/>
        <v>1</v>
      </c>
      <c r="DU208" s="1274" t="str">
        <f t="shared" si="410"/>
        <v>Fiche infoA746159</v>
      </c>
      <c r="DV208" s="1362">
        <f t="shared" si="388"/>
        <v>0</v>
      </c>
      <c r="DW208" s="1363">
        <f t="shared" si="389"/>
        <v>0</v>
      </c>
      <c r="DX208" s="1363">
        <f t="shared" si="390"/>
        <v>0</v>
      </c>
      <c r="DY208" s="1363">
        <f t="shared" si="391"/>
        <v>0</v>
      </c>
      <c r="DZ208" s="1363">
        <f t="shared" si="392"/>
        <v>0</v>
      </c>
      <c r="EA208" s="1363">
        <f t="shared" si="393"/>
        <v>0</v>
      </c>
      <c r="EB208" s="1363">
        <f t="shared" si="394"/>
        <v>0</v>
      </c>
      <c r="EC208" s="1363">
        <f t="shared" si="395"/>
        <v>0</v>
      </c>
      <c r="ED208" s="1363">
        <f t="shared" si="411"/>
        <v>0</v>
      </c>
      <c r="EE208" s="1364">
        <f t="shared" si="412"/>
        <v>0</v>
      </c>
      <c r="EG208" s="16" t="str">
        <f t="shared" si="413"/>
        <v>202026</v>
      </c>
      <c r="EH208" s="16" t="str">
        <f t="shared" si="396"/>
        <v>Fiche infoA7</v>
      </c>
      <c r="EI208" s="16" t="str">
        <f t="shared" si="397"/>
        <v/>
      </c>
    </row>
    <row r="209" spans="1:139" x14ac:dyDescent="0.2">
      <c r="A209" s="1373" t="str">
        <f>Mai!BJ37</f>
        <v>Fiche infoA1</v>
      </c>
      <c r="B209" s="811">
        <f>Mai!AB37</f>
        <v>46160</v>
      </c>
      <c r="C209" s="1372"/>
      <c r="D209" s="981">
        <f t="shared" si="353"/>
        <v>0</v>
      </c>
      <c r="E209" s="434">
        <f t="shared" si="354"/>
        <v>0</v>
      </c>
      <c r="F209" s="434">
        <f t="shared" si="355"/>
        <v>0</v>
      </c>
      <c r="G209" s="434">
        <f t="shared" si="356"/>
        <v>0</v>
      </c>
      <c r="H209" s="434">
        <f t="shared" si="357"/>
        <v>0</v>
      </c>
      <c r="I209" s="434">
        <f t="shared" si="358"/>
        <v>0</v>
      </c>
      <c r="J209" s="434">
        <f t="shared" si="359"/>
        <v>0</v>
      </c>
      <c r="K209" s="434">
        <f t="shared" si="360"/>
        <v>0</v>
      </c>
      <c r="L209" s="434">
        <f t="shared" si="398"/>
        <v>0</v>
      </c>
      <c r="M209" s="982">
        <f t="shared" si="399"/>
        <v>0</v>
      </c>
      <c r="N209" s="1374"/>
      <c r="O209" s="981">
        <f t="shared" si="415"/>
        <v>0</v>
      </c>
      <c r="P209" s="434">
        <f t="shared" si="416"/>
        <v>0</v>
      </c>
      <c r="Q209" s="434">
        <f t="shared" si="417"/>
        <v>0</v>
      </c>
      <c r="R209" s="434">
        <f t="shared" si="418"/>
        <v>0</v>
      </c>
      <c r="S209" s="434">
        <f t="shared" si="419"/>
        <v>0</v>
      </c>
      <c r="T209" s="434">
        <f t="shared" si="420"/>
        <v>0</v>
      </c>
      <c r="U209" s="434">
        <f t="shared" si="421"/>
        <v>0</v>
      </c>
      <c r="V209" s="434">
        <f t="shared" si="422"/>
        <v>0</v>
      </c>
      <c r="W209" s="434">
        <f t="shared" si="369"/>
        <v>0</v>
      </c>
      <c r="X209" s="982">
        <f t="shared" si="370"/>
        <v>0</v>
      </c>
      <c r="Y209" s="1375"/>
      <c r="Z209" s="1376">
        <f t="shared" si="371"/>
        <v>0</v>
      </c>
      <c r="AA209" s="1376">
        <f t="shared" si="372"/>
        <v>0</v>
      </c>
      <c r="AB209" s="1376">
        <f t="shared" si="373"/>
        <v>0</v>
      </c>
      <c r="AC209" s="1376">
        <f t="shared" si="374"/>
        <v>0</v>
      </c>
      <c r="AD209" s="1376">
        <f t="shared" si="375"/>
        <v>0</v>
      </c>
      <c r="AE209" s="1376">
        <f t="shared" si="376"/>
        <v>0</v>
      </c>
      <c r="AF209" s="1376">
        <f t="shared" si="377"/>
        <v>0</v>
      </c>
      <c r="AG209" s="1376">
        <f t="shared" si="378"/>
        <v>0</v>
      </c>
      <c r="AH209" s="1374"/>
      <c r="AI209" s="444">
        <f t="shared" si="423"/>
        <v>0</v>
      </c>
      <c r="AJ209" s="1090"/>
      <c r="AK209" s="1377"/>
      <c r="AL209" s="811">
        <f t="shared" si="380"/>
        <v>46160</v>
      </c>
      <c r="AM209" s="666">
        <f>IFERROR(IF(AND(AT209="",AR209&lt;&gt;S.CAL!$BJ$3,AR209&lt;&gt;S.CAL!$BJ$4,$AR$185="NON"),M209-BD209,IF(AND(AT209="",AR209&lt;&gt;S.CAL!$BJ$3,AR209&lt;&gt;S.CAL!$BJ$4,$AR$185="OUI"),X209-AI209,IF(AT209&lt;&gt;0,AT209,IF(OR(AR209=S.CAL!$BJ$3,AR209=S.CAL!$BJ$4),AR209,"")))),"")</f>
        <v>0</v>
      </c>
      <c r="AN209" s="1093"/>
      <c r="AO209" s="1094"/>
      <c r="AP209" s="666">
        <f>+IF(AND(AU209="",BB209="OUI",BH209="non",BI209="OUI"),AM209,IF(AND(AU209="",BB209="OUI",BH209="oui",BI209="NON"),AM209,IF(AND(AU209="",BB209="NON",BH209="oui",BI209="NON"),M209,IF(AND(AU209="",BB209="NON",BH209="non",BI209="OUI"),M209,IF(AND(AU209="",BB209="OUI",BH209="non",BI209="NON"),"ERREUR",IF(AND(AU209="",BB209="NON",BH209="non",BI209="NON"),AM209,IF(AND(AU209="",BB209="OUI",BH209="",BI209=""),AM209,IF(AND(AU209="",BB209="NON",BH209="",BI209="",AZ209="NON"),M209,IF(AND(AU209="",BH209="",AZ209="OUI",AR209=""),AM209,IF(AND(AU209="",BH209="",AZ209="NON",AR209="",AT209=""),M209,IF(AND(OR(AR209=S.CAL!$BJ$3,AR209=S.CAL!$BJ$4),(VLOOKUP($AM$185,base_nbre_sem_mensu,2,FALSE)=52)),EE209,IF(AND(OR(AR209=S.CAL!$BJ$3,AR209=S.CAL!$BJ$4),(VLOOKUP($AM$185,base_nbre_sem_mensu,2,FALSE)&lt;52)),AM209,IF(AND(AT209&lt;&gt;"",AU209=""),AT209,AU209)))))))))))))</f>
        <v>0</v>
      </c>
      <c r="AQ209" s="1378">
        <f t="shared" si="400"/>
        <v>0</v>
      </c>
      <c r="AR209" s="1098"/>
      <c r="AS209" s="1374"/>
      <c r="AT209" s="1101"/>
      <c r="AU209" s="813"/>
      <c r="AV209" s="1370">
        <f t="shared" si="381"/>
        <v>46160</v>
      </c>
      <c r="AW209" s="1374"/>
      <c r="AX209" s="511">
        <f t="shared" si="401"/>
        <v>46160</v>
      </c>
      <c r="AY209" s="523">
        <f t="shared" si="402"/>
        <v>0</v>
      </c>
      <c r="AZ209" s="520" t="s">
        <v>137</v>
      </c>
      <c r="BA209" s="516">
        <f t="shared" si="403"/>
        <v>0</v>
      </c>
      <c r="BB209" s="549" t="str">
        <f t="shared" si="382"/>
        <v/>
      </c>
      <c r="BC209" s="523">
        <f t="shared" si="404"/>
        <v>0</v>
      </c>
      <c r="BD209" s="523">
        <f t="shared" si="405"/>
        <v>0</v>
      </c>
      <c r="BE209" s="732"/>
      <c r="BF209" s="514" t="str">
        <f t="shared" si="383"/>
        <v/>
      </c>
      <c r="BG209" s="514" t="str">
        <f t="shared" si="406"/>
        <v>oui</v>
      </c>
      <c r="BH209" s="377" t="str">
        <f t="shared" si="384"/>
        <v/>
      </c>
      <c r="BI209" s="24" t="str">
        <f t="shared" si="385"/>
        <v/>
      </c>
      <c r="BJ209" s="1382"/>
      <c r="BK209" s="1382"/>
      <c r="BL209" s="1382"/>
      <c r="BM209" s="1382"/>
      <c r="BN209" s="1382"/>
      <c r="BO209" s="1382"/>
      <c r="BP209" s="1382"/>
      <c r="BQ209" s="1382"/>
      <c r="BR209" s="1383"/>
      <c r="BS209" s="1370">
        <f t="shared" si="352"/>
        <v>46160</v>
      </c>
      <c r="BT209" s="1384">
        <f t="shared" si="414"/>
        <v>21</v>
      </c>
      <c r="BU209" s="1382"/>
      <c r="BV209" s="1382"/>
      <c r="BW209" s="1382"/>
      <c r="BX209" s="1382"/>
      <c r="BY209" s="1382"/>
      <c r="BZ209" s="1382"/>
      <c r="CA209" s="1382"/>
      <c r="CB209" s="1382"/>
      <c r="CD209" s="1386">
        <f t="shared" si="407"/>
        <v>0</v>
      </c>
      <c r="DC209" s="16" t="str">
        <f>Mai!FC37</f>
        <v>non</v>
      </c>
      <c r="DG209" s="315">
        <f t="shared" si="408"/>
        <v>1</v>
      </c>
      <c r="DH209" s="129">
        <f t="shared" si="386"/>
        <v>10</v>
      </c>
      <c r="DI209" s="129">
        <f t="shared" si="409"/>
        <v>1</v>
      </c>
      <c r="DK209" s="16">
        <f>+IF(AND(Mai!$DP$8&lt;&gt;52,AR209=S.CAL!$BJ$4),10,1)</f>
        <v>1</v>
      </c>
      <c r="DN209" s="16">
        <f t="shared" si="387"/>
        <v>1</v>
      </c>
      <c r="DU209" s="1274" t="str">
        <f t="shared" si="410"/>
        <v>Fiche infoA146160</v>
      </c>
      <c r="DV209" s="1362">
        <f t="shared" si="388"/>
        <v>0</v>
      </c>
      <c r="DW209" s="1363">
        <f t="shared" si="389"/>
        <v>0</v>
      </c>
      <c r="DX209" s="1363">
        <f t="shared" si="390"/>
        <v>0</v>
      </c>
      <c r="DY209" s="1363">
        <f t="shared" si="391"/>
        <v>0</v>
      </c>
      <c r="DZ209" s="1363">
        <f t="shared" si="392"/>
        <v>0</v>
      </c>
      <c r="EA209" s="1363">
        <f t="shared" si="393"/>
        <v>0</v>
      </c>
      <c r="EB209" s="1363">
        <f t="shared" si="394"/>
        <v>0</v>
      </c>
      <c r="EC209" s="1363">
        <f t="shared" si="395"/>
        <v>0</v>
      </c>
      <c r="ED209" s="1363">
        <f t="shared" si="411"/>
        <v>0</v>
      </c>
      <c r="EE209" s="1364">
        <f t="shared" si="412"/>
        <v>0</v>
      </c>
      <c r="EG209" s="16" t="str">
        <f t="shared" si="413"/>
        <v>212026</v>
      </c>
      <c r="EH209" s="16" t="str">
        <f t="shared" si="396"/>
        <v>Fiche infoA1</v>
      </c>
      <c r="EI209" s="16" t="str">
        <f t="shared" si="397"/>
        <v/>
      </c>
    </row>
    <row r="210" spans="1:139" x14ac:dyDescent="0.2">
      <c r="A210" s="24" t="str">
        <f>Mai!BJ38</f>
        <v>Fiche infoA2</v>
      </c>
      <c r="B210" s="811">
        <f>Mai!AB38</f>
        <v>46161</v>
      </c>
      <c r="C210" s="1371"/>
      <c r="D210" s="981">
        <f t="shared" si="353"/>
        <v>0</v>
      </c>
      <c r="E210" s="434">
        <f t="shared" si="354"/>
        <v>0</v>
      </c>
      <c r="F210" s="434">
        <f t="shared" si="355"/>
        <v>0</v>
      </c>
      <c r="G210" s="434">
        <f t="shared" si="356"/>
        <v>0</v>
      </c>
      <c r="H210" s="434">
        <f t="shared" si="357"/>
        <v>0</v>
      </c>
      <c r="I210" s="434">
        <f t="shared" si="358"/>
        <v>0</v>
      </c>
      <c r="J210" s="434">
        <f t="shared" si="359"/>
        <v>0</v>
      </c>
      <c r="K210" s="434">
        <f t="shared" si="360"/>
        <v>0</v>
      </c>
      <c r="L210" s="434">
        <f t="shared" si="398"/>
        <v>0</v>
      </c>
      <c r="M210" s="982">
        <f t="shared" si="399"/>
        <v>0</v>
      </c>
      <c r="O210" s="981">
        <f t="shared" si="415"/>
        <v>0</v>
      </c>
      <c r="P210" s="434">
        <f t="shared" si="416"/>
        <v>0</v>
      </c>
      <c r="Q210" s="434">
        <f t="shared" si="417"/>
        <v>0</v>
      </c>
      <c r="R210" s="434">
        <f t="shared" si="418"/>
        <v>0</v>
      </c>
      <c r="S210" s="434">
        <f t="shared" si="419"/>
        <v>0</v>
      </c>
      <c r="T210" s="434">
        <f t="shared" si="420"/>
        <v>0</v>
      </c>
      <c r="U210" s="434">
        <f t="shared" si="421"/>
        <v>0</v>
      </c>
      <c r="V210" s="434">
        <f t="shared" si="422"/>
        <v>0</v>
      </c>
      <c r="W210" s="434">
        <f t="shared" si="369"/>
        <v>0</v>
      </c>
      <c r="X210" s="982">
        <f t="shared" si="370"/>
        <v>0</v>
      </c>
      <c r="Y210" s="441"/>
      <c r="Z210" s="277">
        <f t="shared" si="371"/>
        <v>0</v>
      </c>
      <c r="AA210" s="277">
        <f t="shared" si="372"/>
        <v>0</v>
      </c>
      <c r="AB210" s="277">
        <f t="shared" si="373"/>
        <v>0</v>
      </c>
      <c r="AC210" s="277">
        <f t="shared" si="374"/>
        <v>0</v>
      </c>
      <c r="AD210" s="277">
        <f t="shared" si="375"/>
        <v>0</v>
      </c>
      <c r="AE210" s="277">
        <f t="shared" si="376"/>
        <v>0</v>
      </c>
      <c r="AF210" s="277">
        <f t="shared" si="377"/>
        <v>0</v>
      </c>
      <c r="AG210" s="277">
        <f t="shared" si="378"/>
        <v>0</v>
      </c>
      <c r="AI210" s="444">
        <f t="shared" si="423"/>
        <v>0</v>
      </c>
      <c r="AJ210" s="1090"/>
      <c r="AK210" s="489"/>
      <c r="AL210" s="811">
        <f t="shared" si="380"/>
        <v>46161</v>
      </c>
      <c r="AM210" s="666">
        <f>IFERROR(IF(AND(AT210="",AR210&lt;&gt;S.CAL!$BJ$3,AR210&lt;&gt;S.CAL!$BJ$4,$AR$185="NON"),M210-BD210,IF(AND(AT210="",AR210&lt;&gt;S.CAL!$BJ$3,AR210&lt;&gt;S.CAL!$BJ$4,$AR$185="OUI"),X210-AI210,IF(AT210&lt;&gt;0,AT210,IF(OR(AR210=S.CAL!$BJ$3,AR210=S.CAL!$BJ$4),AR210,"")))),"")</f>
        <v>0</v>
      </c>
      <c r="AN210" s="1093"/>
      <c r="AO210" s="1094"/>
      <c r="AP210" s="666">
        <f>+IF(AND(AU210="",BB210="OUI",BH210="non",BI210="OUI"),AM210,IF(AND(AU210="",BB210="OUI",BH210="oui",BI210="NON"),AM210,IF(AND(AU210="",BB210="NON",BH210="oui",BI210="NON"),M210,IF(AND(AU210="",BB210="NON",BH210="non",BI210="OUI"),M210,IF(AND(AU210="",BB210="OUI",BH210="non",BI210="NON"),"ERREUR",IF(AND(AU210="",BB210="NON",BH210="non",BI210="NON"),AM210,IF(AND(AU210="",BB210="OUI",BH210="",BI210=""),AM210,IF(AND(AU210="",BB210="NON",BH210="",BI210="",AZ210="NON"),M210,IF(AND(AU210="",BH210="",AZ210="OUI",AR210=""),AM210,IF(AND(AU210="",BH210="",AZ210="NON",AR210="",AT210=""),M210,IF(AND(OR(AR210=S.CAL!$BJ$3,AR210=S.CAL!$BJ$4),(VLOOKUP($AM$185,base_nbre_sem_mensu,2,FALSE)=52)),EE210,IF(AND(OR(AR210=S.CAL!$BJ$3,AR210=S.CAL!$BJ$4),(VLOOKUP($AM$185,base_nbre_sem_mensu,2,FALSE)&lt;52)),AM210,IF(AND(AT210&lt;&gt;"",AU210=""),AT210,AU210)))))))))))))</f>
        <v>0</v>
      </c>
      <c r="AQ210" s="498">
        <f t="shared" si="400"/>
        <v>0</v>
      </c>
      <c r="AR210" s="1098"/>
      <c r="AT210" s="1101"/>
      <c r="AU210" s="813"/>
      <c r="AV210" s="1370">
        <f t="shared" si="381"/>
        <v>46161</v>
      </c>
      <c r="AX210" s="511">
        <f t="shared" si="401"/>
        <v>46161</v>
      </c>
      <c r="AY210" s="523">
        <f t="shared" si="402"/>
        <v>0</v>
      </c>
      <c r="AZ210" s="520" t="s">
        <v>137</v>
      </c>
      <c r="BA210" s="516">
        <f t="shared" si="403"/>
        <v>0</v>
      </c>
      <c r="BB210" s="549" t="str">
        <f t="shared" si="382"/>
        <v/>
      </c>
      <c r="BC210" s="523">
        <f t="shared" si="404"/>
        <v>0</v>
      </c>
      <c r="BD210" s="523">
        <f t="shared" si="405"/>
        <v>0</v>
      </c>
      <c r="BE210" s="732"/>
      <c r="BF210" s="514" t="str">
        <f t="shared" si="383"/>
        <v/>
      </c>
      <c r="BG210" s="514" t="str">
        <f t="shared" si="406"/>
        <v>oui</v>
      </c>
      <c r="BH210" s="377" t="str">
        <f t="shared" si="384"/>
        <v/>
      </c>
      <c r="BI210" s="24" t="str">
        <f t="shared" si="385"/>
        <v/>
      </c>
      <c r="BJ210" s="1381"/>
      <c r="BK210" s="1381"/>
      <c r="BL210" s="1381"/>
      <c r="BM210" s="1381"/>
      <c r="BN210" s="1381"/>
      <c r="BO210" s="1381"/>
      <c r="BP210" s="1381"/>
      <c r="BQ210" s="1381"/>
      <c r="BS210" s="1370">
        <f t="shared" si="352"/>
        <v>46161</v>
      </c>
      <c r="BT210" s="27" t="str">
        <f t="shared" si="414"/>
        <v/>
      </c>
      <c r="BU210" s="1380"/>
      <c r="BV210" s="1380"/>
      <c r="BW210" s="1380"/>
      <c r="BX210" s="1380"/>
      <c r="BY210" s="1380"/>
      <c r="BZ210" s="1380"/>
      <c r="CA210" s="1380"/>
      <c r="CB210" s="1380"/>
      <c r="CD210" s="1386">
        <f t="shared" si="407"/>
        <v>0</v>
      </c>
      <c r="DC210" s="16" t="str">
        <f>Mai!FC38</f>
        <v>non</v>
      </c>
      <c r="DG210" s="315">
        <f t="shared" si="408"/>
        <v>1</v>
      </c>
      <c r="DH210" s="129">
        <f t="shared" si="386"/>
        <v>10</v>
      </c>
      <c r="DI210" s="129">
        <f t="shared" si="409"/>
        <v>1</v>
      </c>
      <c r="DK210" s="16">
        <f>+IF(AND(Mai!$DP$8&lt;&gt;52,AR210=S.CAL!$BJ$4),10,1)</f>
        <v>1</v>
      </c>
      <c r="DN210" s="16">
        <f t="shared" si="387"/>
        <v>1</v>
      </c>
      <c r="DU210" s="1274" t="str">
        <f t="shared" si="410"/>
        <v>Fiche infoA246161</v>
      </c>
      <c r="DV210" s="1362">
        <f t="shared" si="388"/>
        <v>0</v>
      </c>
      <c r="DW210" s="1363">
        <f t="shared" si="389"/>
        <v>0</v>
      </c>
      <c r="DX210" s="1363">
        <f t="shared" si="390"/>
        <v>0</v>
      </c>
      <c r="DY210" s="1363">
        <f t="shared" si="391"/>
        <v>0</v>
      </c>
      <c r="DZ210" s="1363">
        <f t="shared" si="392"/>
        <v>0</v>
      </c>
      <c r="EA210" s="1363">
        <f t="shared" si="393"/>
        <v>0</v>
      </c>
      <c r="EB210" s="1363">
        <f t="shared" si="394"/>
        <v>0</v>
      </c>
      <c r="EC210" s="1363">
        <f t="shared" si="395"/>
        <v>0</v>
      </c>
      <c r="ED210" s="1363">
        <f t="shared" si="411"/>
        <v>0</v>
      </c>
      <c r="EE210" s="1364">
        <f t="shared" si="412"/>
        <v>0</v>
      </c>
      <c r="EG210" s="16" t="str">
        <f t="shared" si="413"/>
        <v>212026</v>
      </c>
      <c r="EH210" s="16" t="str">
        <f t="shared" si="396"/>
        <v>Fiche infoA2</v>
      </c>
      <c r="EI210" s="16" t="str">
        <f t="shared" si="397"/>
        <v/>
      </c>
    </row>
    <row r="211" spans="1:139" x14ac:dyDescent="0.2">
      <c r="A211" s="1373" t="str">
        <f>Mai!BJ39</f>
        <v>Fiche infoA3</v>
      </c>
      <c r="B211" s="811">
        <f>Mai!AB39</f>
        <v>46162</v>
      </c>
      <c r="C211" s="1372"/>
      <c r="D211" s="981">
        <f t="shared" si="353"/>
        <v>0</v>
      </c>
      <c r="E211" s="434">
        <f t="shared" si="354"/>
        <v>0</v>
      </c>
      <c r="F211" s="434">
        <f t="shared" si="355"/>
        <v>0</v>
      </c>
      <c r="G211" s="434">
        <f t="shared" si="356"/>
        <v>0</v>
      </c>
      <c r="H211" s="434">
        <f t="shared" si="357"/>
        <v>0</v>
      </c>
      <c r="I211" s="434">
        <f t="shared" si="358"/>
        <v>0</v>
      </c>
      <c r="J211" s="434">
        <f t="shared" si="359"/>
        <v>0</v>
      </c>
      <c r="K211" s="434">
        <f t="shared" si="360"/>
        <v>0</v>
      </c>
      <c r="L211" s="434">
        <f t="shared" si="398"/>
        <v>0</v>
      </c>
      <c r="M211" s="982">
        <f t="shared" si="399"/>
        <v>0</v>
      </c>
      <c r="N211" s="1374"/>
      <c r="O211" s="981">
        <f t="shared" si="415"/>
        <v>0</v>
      </c>
      <c r="P211" s="434">
        <f t="shared" si="416"/>
        <v>0</v>
      </c>
      <c r="Q211" s="434">
        <f t="shared" si="417"/>
        <v>0</v>
      </c>
      <c r="R211" s="434">
        <f t="shared" si="418"/>
        <v>0</v>
      </c>
      <c r="S211" s="434">
        <f t="shared" si="419"/>
        <v>0</v>
      </c>
      <c r="T211" s="434">
        <f t="shared" si="420"/>
        <v>0</v>
      </c>
      <c r="U211" s="434">
        <f t="shared" si="421"/>
        <v>0</v>
      </c>
      <c r="V211" s="434">
        <f t="shared" si="422"/>
        <v>0</v>
      </c>
      <c r="W211" s="434">
        <f t="shared" si="369"/>
        <v>0</v>
      </c>
      <c r="X211" s="982">
        <f t="shared" si="370"/>
        <v>0</v>
      </c>
      <c r="Y211" s="1375"/>
      <c r="Z211" s="1376">
        <f t="shared" si="371"/>
        <v>0</v>
      </c>
      <c r="AA211" s="1376">
        <f t="shared" si="372"/>
        <v>0</v>
      </c>
      <c r="AB211" s="1376">
        <f t="shared" si="373"/>
        <v>0</v>
      </c>
      <c r="AC211" s="1376">
        <f t="shared" si="374"/>
        <v>0</v>
      </c>
      <c r="AD211" s="1376">
        <f t="shared" si="375"/>
        <v>0</v>
      </c>
      <c r="AE211" s="1376">
        <f t="shared" si="376"/>
        <v>0</v>
      </c>
      <c r="AF211" s="1376">
        <f t="shared" si="377"/>
        <v>0</v>
      </c>
      <c r="AG211" s="1376">
        <f t="shared" si="378"/>
        <v>0</v>
      </c>
      <c r="AH211" s="1374"/>
      <c r="AI211" s="444">
        <f t="shared" si="423"/>
        <v>0</v>
      </c>
      <c r="AJ211" s="1090"/>
      <c r="AK211" s="1377"/>
      <c r="AL211" s="811">
        <f t="shared" si="380"/>
        <v>46162</v>
      </c>
      <c r="AM211" s="666">
        <f>IFERROR(IF(AND(AT211="",AR211&lt;&gt;S.CAL!$BJ$3,AR211&lt;&gt;S.CAL!$BJ$4,$AR$185="NON"),M211-BD211,IF(AND(AT211="",AR211&lt;&gt;S.CAL!$BJ$3,AR211&lt;&gt;S.CAL!$BJ$4,$AR$185="OUI"),X211-AI211,IF(AT211&lt;&gt;0,AT211,IF(OR(AR211=S.CAL!$BJ$3,AR211=S.CAL!$BJ$4),AR211,"")))),"")</f>
        <v>0</v>
      </c>
      <c r="AN211" s="1093"/>
      <c r="AO211" s="1094"/>
      <c r="AP211" s="666">
        <f>+IF(AND(AU211="",BB211="OUI",BH211="non",BI211="OUI"),AM211,IF(AND(AU211="",BB211="OUI",BH211="oui",BI211="NON"),AM211,IF(AND(AU211="",BB211="NON",BH211="oui",BI211="NON"),M211,IF(AND(AU211="",BB211="NON",BH211="non",BI211="OUI"),M211,IF(AND(AU211="",BB211="OUI",BH211="non",BI211="NON"),"ERREUR",IF(AND(AU211="",BB211="NON",BH211="non",BI211="NON"),AM211,IF(AND(AU211="",BB211="OUI",BH211="",BI211=""),AM211,IF(AND(AU211="",BB211="NON",BH211="",BI211="",AZ211="NON"),M211,IF(AND(AU211="",BH211="",AZ211="OUI",AR211=""),AM211,IF(AND(AU211="",BH211="",AZ211="NON",AR211="",AT211=""),M211,IF(AND(OR(AR211=S.CAL!$BJ$3,AR211=S.CAL!$BJ$4),(VLOOKUP($AM$185,base_nbre_sem_mensu,2,FALSE)=52)),EE211,IF(AND(OR(AR211=S.CAL!$BJ$3,AR211=S.CAL!$BJ$4),(VLOOKUP($AM$185,base_nbre_sem_mensu,2,FALSE)&lt;52)),AM211,IF(AND(AT211&lt;&gt;"",AU211=""),AT211,AU211)))))))))))))</f>
        <v>0</v>
      </c>
      <c r="AQ211" s="1378">
        <f t="shared" si="400"/>
        <v>0</v>
      </c>
      <c r="AR211" s="1098"/>
      <c r="AS211" s="1374"/>
      <c r="AT211" s="1101"/>
      <c r="AU211" s="813"/>
      <c r="AV211" s="1370">
        <f t="shared" si="381"/>
        <v>46162</v>
      </c>
      <c r="AW211" s="1374"/>
      <c r="AX211" s="511">
        <f t="shared" si="401"/>
        <v>46162</v>
      </c>
      <c r="AY211" s="523">
        <f t="shared" si="402"/>
        <v>0</v>
      </c>
      <c r="AZ211" s="520" t="s">
        <v>137</v>
      </c>
      <c r="BA211" s="516">
        <f t="shared" si="403"/>
        <v>0</v>
      </c>
      <c r="BB211" s="549" t="str">
        <f t="shared" si="382"/>
        <v/>
      </c>
      <c r="BC211" s="523">
        <f t="shared" si="404"/>
        <v>0</v>
      </c>
      <c r="BD211" s="523">
        <f t="shared" si="405"/>
        <v>0</v>
      </c>
      <c r="BE211" s="732"/>
      <c r="BF211" s="514" t="str">
        <f t="shared" si="383"/>
        <v/>
      </c>
      <c r="BG211" s="514" t="str">
        <f t="shared" si="406"/>
        <v>oui</v>
      </c>
      <c r="BH211" s="377" t="str">
        <f t="shared" si="384"/>
        <v/>
      </c>
      <c r="BI211" s="24" t="str">
        <f t="shared" si="385"/>
        <v/>
      </c>
      <c r="BJ211" s="1382"/>
      <c r="BK211" s="1382"/>
      <c r="BL211" s="1382"/>
      <c r="BM211" s="1382"/>
      <c r="BN211" s="1382"/>
      <c r="BO211" s="1382"/>
      <c r="BP211" s="1382"/>
      <c r="BQ211" s="1382"/>
      <c r="BR211" s="1383"/>
      <c r="BS211" s="1370">
        <f t="shared" si="352"/>
        <v>46162</v>
      </c>
      <c r="BT211" s="1384" t="str">
        <f t="shared" si="414"/>
        <v/>
      </c>
      <c r="BU211" s="1382"/>
      <c r="BV211" s="1382"/>
      <c r="BW211" s="1382"/>
      <c r="BX211" s="1382"/>
      <c r="BY211" s="1382"/>
      <c r="BZ211" s="1382"/>
      <c r="CA211" s="1382"/>
      <c r="CB211" s="1382"/>
      <c r="CD211" s="1386">
        <f t="shared" si="407"/>
        <v>0</v>
      </c>
      <c r="DC211" s="16" t="str">
        <f>Mai!FC39</f>
        <v>non</v>
      </c>
      <c r="DG211" s="315">
        <f t="shared" si="408"/>
        <v>1</v>
      </c>
      <c r="DH211" s="129">
        <f t="shared" si="386"/>
        <v>10</v>
      </c>
      <c r="DI211" s="129">
        <f t="shared" si="409"/>
        <v>1</v>
      </c>
      <c r="DK211" s="16">
        <f>+IF(AND(Mai!$DP$8&lt;&gt;52,AR211=S.CAL!$BJ$4),10,1)</f>
        <v>1</v>
      </c>
      <c r="DN211" s="16">
        <f t="shared" si="387"/>
        <v>1</v>
      </c>
      <c r="DU211" s="1274" t="str">
        <f t="shared" si="410"/>
        <v>Fiche infoA346162</v>
      </c>
      <c r="DV211" s="1362">
        <f t="shared" si="388"/>
        <v>0</v>
      </c>
      <c r="DW211" s="1363">
        <f t="shared" si="389"/>
        <v>0</v>
      </c>
      <c r="DX211" s="1363">
        <f t="shared" si="390"/>
        <v>0</v>
      </c>
      <c r="DY211" s="1363">
        <f t="shared" si="391"/>
        <v>0</v>
      </c>
      <c r="DZ211" s="1363">
        <f t="shared" si="392"/>
        <v>0</v>
      </c>
      <c r="EA211" s="1363">
        <f t="shared" si="393"/>
        <v>0</v>
      </c>
      <c r="EB211" s="1363">
        <f t="shared" si="394"/>
        <v>0</v>
      </c>
      <c r="EC211" s="1363">
        <f t="shared" si="395"/>
        <v>0</v>
      </c>
      <c r="ED211" s="1363">
        <f t="shared" si="411"/>
        <v>0</v>
      </c>
      <c r="EE211" s="1364">
        <f t="shared" si="412"/>
        <v>0</v>
      </c>
      <c r="EG211" s="16" t="str">
        <f t="shared" si="413"/>
        <v>212026</v>
      </c>
      <c r="EH211" s="16" t="str">
        <f t="shared" si="396"/>
        <v>Fiche infoA3</v>
      </c>
      <c r="EI211" s="16" t="str">
        <f t="shared" si="397"/>
        <v/>
      </c>
    </row>
    <row r="212" spans="1:139" x14ac:dyDescent="0.2">
      <c r="A212" s="24" t="str">
        <f>Mai!BJ40</f>
        <v>Fiche infoA4</v>
      </c>
      <c r="B212" s="811">
        <f>Mai!AB40</f>
        <v>46163</v>
      </c>
      <c r="C212" s="1371"/>
      <c r="D212" s="981">
        <f t="shared" si="353"/>
        <v>0</v>
      </c>
      <c r="E212" s="434">
        <f t="shared" si="354"/>
        <v>0</v>
      </c>
      <c r="F212" s="434">
        <f t="shared" si="355"/>
        <v>0</v>
      </c>
      <c r="G212" s="434">
        <f t="shared" si="356"/>
        <v>0</v>
      </c>
      <c r="H212" s="434">
        <f t="shared" si="357"/>
        <v>0</v>
      </c>
      <c r="I212" s="434">
        <f t="shared" si="358"/>
        <v>0</v>
      </c>
      <c r="J212" s="434">
        <f t="shared" si="359"/>
        <v>0</v>
      </c>
      <c r="K212" s="434">
        <f t="shared" si="360"/>
        <v>0</v>
      </c>
      <c r="L212" s="434">
        <f t="shared" si="398"/>
        <v>0</v>
      </c>
      <c r="M212" s="982">
        <f t="shared" si="399"/>
        <v>0</v>
      </c>
      <c r="O212" s="981">
        <f t="shared" si="415"/>
        <v>0</v>
      </c>
      <c r="P212" s="434">
        <f t="shared" si="416"/>
        <v>0</v>
      </c>
      <c r="Q212" s="434">
        <f t="shared" si="417"/>
        <v>0</v>
      </c>
      <c r="R212" s="434">
        <f t="shared" si="418"/>
        <v>0</v>
      </c>
      <c r="S212" s="434">
        <f t="shared" si="419"/>
        <v>0</v>
      </c>
      <c r="T212" s="434">
        <f t="shared" si="420"/>
        <v>0</v>
      </c>
      <c r="U212" s="434">
        <f t="shared" si="421"/>
        <v>0</v>
      </c>
      <c r="V212" s="434">
        <f t="shared" si="422"/>
        <v>0</v>
      </c>
      <c r="W212" s="434">
        <f t="shared" si="369"/>
        <v>0</v>
      </c>
      <c r="X212" s="982">
        <f t="shared" si="370"/>
        <v>0</v>
      </c>
      <c r="Y212" s="441"/>
      <c r="Z212" s="277">
        <f t="shared" si="371"/>
        <v>0</v>
      </c>
      <c r="AA212" s="277">
        <f t="shared" si="372"/>
        <v>0</v>
      </c>
      <c r="AB212" s="277">
        <f t="shared" si="373"/>
        <v>0</v>
      </c>
      <c r="AC212" s="277">
        <f t="shared" si="374"/>
        <v>0</v>
      </c>
      <c r="AD212" s="277">
        <f t="shared" si="375"/>
        <v>0</v>
      </c>
      <c r="AE212" s="277">
        <f t="shared" si="376"/>
        <v>0</v>
      </c>
      <c r="AF212" s="277">
        <f t="shared" si="377"/>
        <v>0</v>
      </c>
      <c r="AG212" s="277">
        <f t="shared" si="378"/>
        <v>0</v>
      </c>
      <c r="AI212" s="444">
        <f t="shared" si="423"/>
        <v>0</v>
      </c>
      <c r="AJ212" s="1090"/>
      <c r="AK212" s="489"/>
      <c r="AL212" s="811">
        <f t="shared" si="380"/>
        <v>46163</v>
      </c>
      <c r="AM212" s="666">
        <f>IFERROR(IF(AND(AT212="",AR212&lt;&gt;S.CAL!$BJ$3,AR212&lt;&gt;S.CAL!$BJ$4,$AR$185="NON"),M212-BD212,IF(AND(AT212="",AR212&lt;&gt;S.CAL!$BJ$3,AR212&lt;&gt;S.CAL!$BJ$4,$AR$185="OUI"),X212-AI212,IF(AT212&lt;&gt;0,AT212,IF(OR(AR212=S.CAL!$BJ$3,AR212=S.CAL!$BJ$4),AR212,"")))),"")</f>
        <v>0</v>
      </c>
      <c r="AN212" s="1093"/>
      <c r="AO212" s="1094"/>
      <c r="AP212" s="666">
        <f>+IF(AND(AU212="",BB212="OUI",BH212="non",BI212="OUI"),AM212,IF(AND(AU212="",BB212="OUI",BH212="oui",BI212="NON"),AM212,IF(AND(AU212="",BB212="NON",BH212="oui",BI212="NON"),M212,IF(AND(AU212="",BB212="NON",BH212="non",BI212="OUI"),M212,IF(AND(AU212="",BB212="OUI",BH212="non",BI212="NON"),"ERREUR",IF(AND(AU212="",BB212="NON",BH212="non",BI212="NON"),AM212,IF(AND(AU212="",BB212="OUI",BH212="",BI212=""),AM212,IF(AND(AU212="",BB212="NON",BH212="",BI212="",AZ212="NON"),M212,IF(AND(AU212="",BH212="",AZ212="OUI",AR212=""),AM212,IF(AND(AU212="",BH212="",AZ212="NON",AR212="",AT212=""),M212,IF(AND(OR(AR212=S.CAL!$BJ$3,AR212=S.CAL!$BJ$4),(VLOOKUP($AM$185,base_nbre_sem_mensu,2,FALSE)=52)),EE212,IF(AND(OR(AR212=S.CAL!$BJ$3,AR212=S.CAL!$BJ$4),(VLOOKUP($AM$185,base_nbre_sem_mensu,2,FALSE)&lt;52)),AM212,IF(AND(AT212&lt;&gt;"",AU212=""),AT212,AU212)))))))))))))</f>
        <v>0</v>
      </c>
      <c r="AQ212" s="498">
        <f t="shared" si="400"/>
        <v>0</v>
      </c>
      <c r="AR212" s="1098"/>
      <c r="AT212" s="1101"/>
      <c r="AU212" s="813"/>
      <c r="AV212" s="1370">
        <f t="shared" si="381"/>
        <v>46163</v>
      </c>
      <c r="AX212" s="511">
        <f t="shared" si="401"/>
        <v>46163</v>
      </c>
      <c r="AY212" s="523">
        <f t="shared" si="402"/>
        <v>0</v>
      </c>
      <c r="AZ212" s="520" t="s">
        <v>137</v>
      </c>
      <c r="BA212" s="516">
        <f t="shared" si="403"/>
        <v>0</v>
      </c>
      <c r="BB212" s="549" t="str">
        <f t="shared" si="382"/>
        <v/>
      </c>
      <c r="BC212" s="523">
        <f t="shared" si="404"/>
        <v>0</v>
      </c>
      <c r="BD212" s="523">
        <f t="shared" si="405"/>
        <v>0</v>
      </c>
      <c r="BE212" s="732"/>
      <c r="BF212" s="514" t="str">
        <f t="shared" si="383"/>
        <v/>
      </c>
      <c r="BG212" s="514" t="str">
        <f t="shared" si="406"/>
        <v>oui</v>
      </c>
      <c r="BH212" s="377" t="str">
        <f t="shared" si="384"/>
        <v/>
      </c>
      <c r="BI212" s="24" t="str">
        <f t="shared" si="385"/>
        <v/>
      </c>
      <c r="BJ212" s="1381"/>
      <c r="BK212" s="1381"/>
      <c r="BL212" s="1381"/>
      <c r="BM212" s="1381"/>
      <c r="BN212" s="1381"/>
      <c r="BO212" s="1381"/>
      <c r="BP212" s="1381"/>
      <c r="BQ212" s="1381"/>
      <c r="BS212" s="1370">
        <f t="shared" si="352"/>
        <v>46163</v>
      </c>
      <c r="BT212" s="27" t="str">
        <f t="shared" si="414"/>
        <v/>
      </c>
      <c r="BU212" s="1380"/>
      <c r="BV212" s="1380"/>
      <c r="BW212" s="1380"/>
      <c r="BX212" s="1380"/>
      <c r="BY212" s="1380"/>
      <c r="BZ212" s="1380"/>
      <c r="CA212" s="1380"/>
      <c r="CB212" s="1380"/>
      <c r="CD212" s="1386">
        <f t="shared" si="407"/>
        <v>0</v>
      </c>
      <c r="DC212" s="16" t="str">
        <f>Mai!FC40</f>
        <v>non</v>
      </c>
      <c r="DG212" s="315">
        <f t="shared" si="408"/>
        <v>1</v>
      </c>
      <c r="DH212" s="129">
        <f t="shared" si="386"/>
        <v>10</v>
      </c>
      <c r="DI212" s="129">
        <f t="shared" si="409"/>
        <v>1</v>
      </c>
      <c r="DK212" s="16">
        <f>+IF(AND(Mai!$DP$8&lt;&gt;52,AR212=S.CAL!$BJ$4),10,1)</f>
        <v>1</v>
      </c>
      <c r="DN212" s="16">
        <f t="shared" si="387"/>
        <v>1</v>
      </c>
      <c r="DU212" s="1274" t="str">
        <f t="shared" si="410"/>
        <v>Fiche infoA446163</v>
      </c>
      <c r="DV212" s="1362">
        <f t="shared" si="388"/>
        <v>0</v>
      </c>
      <c r="DW212" s="1363">
        <f t="shared" si="389"/>
        <v>0</v>
      </c>
      <c r="DX212" s="1363">
        <f t="shared" si="390"/>
        <v>0</v>
      </c>
      <c r="DY212" s="1363">
        <f t="shared" si="391"/>
        <v>0</v>
      </c>
      <c r="DZ212" s="1363">
        <f t="shared" si="392"/>
        <v>0</v>
      </c>
      <c r="EA212" s="1363">
        <f t="shared" si="393"/>
        <v>0</v>
      </c>
      <c r="EB212" s="1363">
        <f t="shared" si="394"/>
        <v>0</v>
      </c>
      <c r="EC212" s="1363">
        <f t="shared" si="395"/>
        <v>0</v>
      </c>
      <c r="ED212" s="1363">
        <f t="shared" si="411"/>
        <v>0</v>
      </c>
      <c r="EE212" s="1364">
        <f t="shared" si="412"/>
        <v>0</v>
      </c>
      <c r="EG212" s="16" t="str">
        <f t="shared" si="413"/>
        <v>212026</v>
      </c>
      <c r="EH212" s="16" t="str">
        <f t="shared" si="396"/>
        <v>Fiche infoA4</v>
      </c>
      <c r="EI212" s="16" t="str">
        <f t="shared" si="397"/>
        <v/>
      </c>
    </row>
    <row r="213" spans="1:139" x14ac:dyDescent="0.2">
      <c r="A213" s="1373" t="str">
        <f>Mai!BJ41</f>
        <v>Fiche infoA5</v>
      </c>
      <c r="B213" s="811">
        <f>Mai!AB41</f>
        <v>46164</v>
      </c>
      <c r="C213" s="1372"/>
      <c r="D213" s="981">
        <f t="shared" si="353"/>
        <v>0</v>
      </c>
      <c r="E213" s="434">
        <f t="shared" si="354"/>
        <v>0</v>
      </c>
      <c r="F213" s="434">
        <f t="shared" si="355"/>
        <v>0</v>
      </c>
      <c r="G213" s="434">
        <f t="shared" si="356"/>
        <v>0</v>
      </c>
      <c r="H213" s="434">
        <f t="shared" si="357"/>
        <v>0</v>
      </c>
      <c r="I213" s="434">
        <f t="shared" si="358"/>
        <v>0</v>
      </c>
      <c r="J213" s="434">
        <f t="shared" si="359"/>
        <v>0</v>
      </c>
      <c r="K213" s="434">
        <f t="shared" si="360"/>
        <v>0</v>
      </c>
      <c r="L213" s="434">
        <f t="shared" si="398"/>
        <v>0</v>
      </c>
      <c r="M213" s="982">
        <f t="shared" si="399"/>
        <v>0</v>
      </c>
      <c r="N213" s="1374"/>
      <c r="O213" s="981">
        <f t="shared" si="415"/>
        <v>0</v>
      </c>
      <c r="P213" s="434">
        <f t="shared" si="416"/>
        <v>0</v>
      </c>
      <c r="Q213" s="434">
        <f t="shared" si="417"/>
        <v>0</v>
      </c>
      <c r="R213" s="434">
        <f t="shared" si="418"/>
        <v>0</v>
      </c>
      <c r="S213" s="434">
        <f t="shared" si="419"/>
        <v>0</v>
      </c>
      <c r="T213" s="434">
        <f t="shared" si="420"/>
        <v>0</v>
      </c>
      <c r="U213" s="434">
        <f t="shared" si="421"/>
        <v>0</v>
      </c>
      <c r="V213" s="434">
        <f t="shared" si="422"/>
        <v>0</v>
      </c>
      <c r="W213" s="434">
        <f t="shared" si="369"/>
        <v>0</v>
      </c>
      <c r="X213" s="982">
        <f t="shared" si="370"/>
        <v>0</v>
      </c>
      <c r="Y213" s="1375"/>
      <c r="Z213" s="1376">
        <f t="shared" si="371"/>
        <v>0</v>
      </c>
      <c r="AA213" s="1376">
        <f t="shared" si="372"/>
        <v>0</v>
      </c>
      <c r="AB213" s="1376">
        <f t="shared" si="373"/>
        <v>0</v>
      </c>
      <c r="AC213" s="1376">
        <f t="shared" si="374"/>
        <v>0</v>
      </c>
      <c r="AD213" s="1376">
        <f t="shared" si="375"/>
        <v>0</v>
      </c>
      <c r="AE213" s="1376">
        <f t="shared" si="376"/>
        <v>0</v>
      </c>
      <c r="AF213" s="1376">
        <f t="shared" si="377"/>
        <v>0</v>
      </c>
      <c r="AG213" s="1376">
        <f t="shared" si="378"/>
        <v>0</v>
      </c>
      <c r="AH213" s="1374"/>
      <c r="AI213" s="444">
        <f t="shared" si="423"/>
        <v>0</v>
      </c>
      <c r="AJ213" s="1090"/>
      <c r="AK213" s="1377"/>
      <c r="AL213" s="811">
        <f t="shared" si="380"/>
        <v>46164</v>
      </c>
      <c r="AM213" s="666">
        <f>IFERROR(IF(AND(AT213="",AR213&lt;&gt;S.CAL!$BJ$3,AR213&lt;&gt;S.CAL!$BJ$4,$AR$185="NON"),M213-BD213,IF(AND(AT213="",AR213&lt;&gt;S.CAL!$BJ$3,AR213&lt;&gt;S.CAL!$BJ$4,$AR$185="OUI"),X213-AI213,IF(AT213&lt;&gt;0,AT213,IF(OR(AR213=S.CAL!$BJ$3,AR213=S.CAL!$BJ$4),AR213,"")))),"")</f>
        <v>0</v>
      </c>
      <c r="AN213" s="1093"/>
      <c r="AO213" s="1094"/>
      <c r="AP213" s="666">
        <f>+IF(AND(AU213="",BB213="OUI",BH213="non",BI213="OUI"),AM213,IF(AND(AU213="",BB213="OUI",BH213="oui",BI213="NON"),AM213,IF(AND(AU213="",BB213="NON",BH213="oui",BI213="NON"),M213,IF(AND(AU213="",BB213="NON",BH213="non",BI213="OUI"),M213,IF(AND(AU213="",BB213="OUI",BH213="non",BI213="NON"),"ERREUR",IF(AND(AU213="",BB213="NON",BH213="non",BI213="NON"),AM213,IF(AND(AU213="",BB213="OUI",BH213="",BI213=""),AM213,IF(AND(AU213="",BB213="NON",BH213="",BI213="",AZ213="NON"),M213,IF(AND(AU213="",BH213="",AZ213="OUI",AR213=""),AM213,IF(AND(AU213="",BH213="",AZ213="NON",AR213="",AT213=""),M213,IF(AND(OR(AR213=S.CAL!$BJ$3,AR213=S.CAL!$BJ$4),(VLOOKUP($AM$185,base_nbre_sem_mensu,2,FALSE)=52)),EE213,IF(AND(OR(AR213=S.CAL!$BJ$3,AR213=S.CAL!$BJ$4),(VLOOKUP($AM$185,base_nbre_sem_mensu,2,FALSE)&lt;52)),AM213,IF(AND(AT213&lt;&gt;"",AU213=""),AT213,AU213)))))))))))))</f>
        <v>0</v>
      </c>
      <c r="AQ213" s="1378">
        <f t="shared" si="400"/>
        <v>0</v>
      </c>
      <c r="AR213" s="1098"/>
      <c r="AS213" s="1374"/>
      <c r="AT213" s="1101"/>
      <c r="AU213" s="813"/>
      <c r="AV213" s="1370">
        <f t="shared" si="381"/>
        <v>46164</v>
      </c>
      <c r="AW213" s="1374"/>
      <c r="AX213" s="511">
        <f t="shared" si="401"/>
        <v>46164</v>
      </c>
      <c r="AY213" s="523">
        <f t="shared" si="402"/>
        <v>0</v>
      </c>
      <c r="AZ213" s="520" t="s">
        <v>137</v>
      </c>
      <c r="BA213" s="516">
        <f t="shared" si="403"/>
        <v>0</v>
      </c>
      <c r="BB213" s="549" t="str">
        <f t="shared" si="382"/>
        <v/>
      </c>
      <c r="BC213" s="523">
        <f t="shared" si="404"/>
        <v>0</v>
      </c>
      <c r="BD213" s="523">
        <f t="shared" si="405"/>
        <v>0</v>
      </c>
      <c r="BE213" s="732"/>
      <c r="BF213" s="514" t="str">
        <f t="shared" si="383"/>
        <v/>
      </c>
      <c r="BG213" s="514" t="str">
        <f t="shared" si="406"/>
        <v>oui</v>
      </c>
      <c r="BH213" s="377" t="str">
        <f t="shared" si="384"/>
        <v/>
      </c>
      <c r="BI213" s="24" t="str">
        <f t="shared" si="385"/>
        <v/>
      </c>
      <c r="BJ213" s="1382"/>
      <c r="BK213" s="1382"/>
      <c r="BL213" s="1382"/>
      <c r="BM213" s="1382"/>
      <c r="BN213" s="1382"/>
      <c r="BO213" s="1382"/>
      <c r="BP213" s="1382"/>
      <c r="BQ213" s="1382"/>
      <c r="BR213" s="1383"/>
      <c r="BS213" s="1370">
        <f t="shared" si="352"/>
        <v>46164</v>
      </c>
      <c r="BT213" s="1384" t="str">
        <f t="shared" si="414"/>
        <v/>
      </c>
      <c r="BU213" s="1382"/>
      <c r="BV213" s="1382"/>
      <c r="BW213" s="1382"/>
      <c r="BX213" s="1382"/>
      <c r="BY213" s="1382"/>
      <c r="BZ213" s="1382"/>
      <c r="CA213" s="1382"/>
      <c r="CB213" s="1382"/>
      <c r="CD213" s="1386">
        <f t="shared" si="407"/>
        <v>0</v>
      </c>
      <c r="DC213" s="16" t="str">
        <f>Mai!FC41</f>
        <v>non</v>
      </c>
      <c r="DG213" s="315">
        <f t="shared" si="408"/>
        <v>1</v>
      </c>
      <c r="DH213" s="129">
        <f t="shared" si="386"/>
        <v>10</v>
      </c>
      <c r="DI213" s="129">
        <f t="shared" si="409"/>
        <v>1</v>
      </c>
      <c r="DK213" s="16">
        <f>+IF(AND(Mai!$DP$8&lt;&gt;52,AR213=S.CAL!$BJ$4),10,1)</f>
        <v>1</v>
      </c>
      <c r="DN213" s="16">
        <f t="shared" si="387"/>
        <v>1</v>
      </c>
      <c r="DU213" s="1274" t="str">
        <f t="shared" si="410"/>
        <v>Fiche infoA546164</v>
      </c>
      <c r="DV213" s="1362">
        <f t="shared" si="388"/>
        <v>0</v>
      </c>
      <c r="DW213" s="1363">
        <f t="shared" si="389"/>
        <v>0</v>
      </c>
      <c r="DX213" s="1363">
        <f t="shared" si="390"/>
        <v>0</v>
      </c>
      <c r="DY213" s="1363">
        <f t="shared" si="391"/>
        <v>0</v>
      </c>
      <c r="DZ213" s="1363">
        <f t="shared" si="392"/>
        <v>0</v>
      </c>
      <c r="EA213" s="1363">
        <f t="shared" si="393"/>
        <v>0</v>
      </c>
      <c r="EB213" s="1363">
        <f t="shared" si="394"/>
        <v>0</v>
      </c>
      <c r="EC213" s="1363">
        <f t="shared" si="395"/>
        <v>0</v>
      </c>
      <c r="ED213" s="1363">
        <f t="shared" si="411"/>
        <v>0</v>
      </c>
      <c r="EE213" s="1364">
        <f t="shared" si="412"/>
        <v>0</v>
      </c>
      <c r="EG213" s="16" t="str">
        <f t="shared" si="413"/>
        <v>212026</v>
      </c>
      <c r="EH213" s="16" t="str">
        <f t="shared" si="396"/>
        <v>Fiche infoA5</v>
      </c>
      <c r="EI213" s="16" t="str">
        <f t="shared" si="397"/>
        <v/>
      </c>
    </row>
    <row r="214" spans="1:139" x14ac:dyDescent="0.2">
      <c r="A214" s="24" t="str">
        <f>Mai!BJ42</f>
        <v>Fiche infoA6</v>
      </c>
      <c r="B214" s="811">
        <f>Mai!AB42</f>
        <v>46165</v>
      </c>
      <c r="C214" s="1371"/>
      <c r="D214" s="981">
        <f t="shared" si="353"/>
        <v>0</v>
      </c>
      <c r="E214" s="434">
        <f t="shared" si="354"/>
        <v>0</v>
      </c>
      <c r="F214" s="434">
        <f t="shared" si="355"/>
        <v>0</v>
      </c>
      <c r="G214" s="434">
        <f t="shared" si="356"/>
        <v>0</v>
      </c>
      <c r="H214" s="434">
        <f t="shared" si="357"/>
        <v>0</v>
      </c>
      <c r="I214" s="434">
        <f t="shared" si="358"/>
        <v>0</v>
      </c>
      <c r="J214" s="434">
        <f t="shared" si="359"/>
        <v>0</v>
      </c>
      <c r="K214" s="434">
        <f t="shared" si="360"/>
        <v>0</v>
      </c>
      <c r="L214" s="434">
        <f t="shared" si="398"/>
        <v>0</v>
      </c>
      <c r="M214" s="982">
        <f t="shared" si="399"/>
        <v>0</v>
      </c>
      <c r="O214" s="981">
        <f t="shared" si="415"/>
        <v>0</v>
      </c>
      <c r="P214" s="434">
        <f t="shared" si="416"/>
        <v>0</v>
      </c>
      <c r="Q214" s="434">
        <f t="shared" si="417"/>
        <v>0</v>
      </c>
      <c r="R214" s="434">
        <f t="shared" si="418"/>
        <v>0</v>
      </c>
      <c r="S214" s="434">
        <f t="shared" si="419"/>
        <v>0</v>
      </c>
      <c r="T214" s="434">
        <f t="shared" si="420"/>
        <v>0</v>
      </c>
      <c r="U214" s="434">
        <f t="shared" si="421"/>
        <v>0</v>
      </c>
      <c r="V214" s="434">
        <f t="shared" si="422"/>
        <v>0</v>
      </c>
      <c r="W214" s="434">
        <f t="shared" si="369"/>
        <v>0</v>
      </c>
      <c r="X214" s="982">
        <f t="shared" si="370"/>
        <v>0</v>
      </c>
      <c r="Y214" s="441"/>
      <c r="Z214" s="277">
        <f t="shared" si="371"/>
        <v>0</v>
      </c>
      <c r="AA214" s="277">
        <f t="shared" si="372"/>
        <v>0</v>
      </c>
      <c r="AB214" s="277">
        <f t="shared" si="373"/>
        <v>0</v>
      </c>
      <c r="AC214" s="277">
        <f t="shared" si="374"/>
        <v>0</v>
      </c>
      <c r="AD214" s="277">
        <f t="shared" si="375"/>
        <v>0</v>
      </c>
      <c r="AE214" s="277">
        <f t="shared" si="376"/>
        <v>0</v>
      </c>
      <c r="AF214" s="277">
        <f t="shared" si="377"/>
        <v>0</v>
      </c>
      <c r="AG214" s="277">
        <f t="shared" si="378"/>
        <v>0</v>
      </c>
      <c r="AI214" s="444">
        <f t="shared" si="423"/>
        <v>0</v>
      </c>
      <c r="AJ214" s="1090"/>
      <c r="AK214" s="489"/>
      <c r="AL214" s="811">
        <f t="shared" si="380"/>
        <v>46165</v>
      </c>
      <c r="AM214" s="666">
        <f>IFERROR(IF(AND(AT214="",AR214&lt;&gt;S.CAL!$BJ$3,AR214&lt;&gt;S.CAL!$BJ$4,$AR$185="NON"),M214-BD214,IF(AND(AT214="",AR214&lt;&gt;S.CAL!$BJ$3,AR214&lt;&gt;S.CAL!$BJ$4,$AR$185="OUI"),X214-AI214,IF(AT214&lt;&gt;0,AT214,IF(OR(AR214=S.CAL!$BJ$3,AR214=S.CAL!$BJ$4),AR214,"")))),"")</f>
        <v>0</v>
      </c>
      <c r="AN214" s="1093"/>
      <c r="AO214" s="1094"/>
      <c r="AP214" s="666">
        <f>+IF(AND(AU214="",BB214="OUI",BH214="non",BI214="OUI"),AM214,IF(AND(AU214="",BB214="OUI",BH214="oui",BI214="NON"),AM214,IF(AND(AU214="",BB214="NON",BH214="oui",BI214="NON"),M214,IF(AND(AU214="",BB214="NON",BH214="non",BI214="OUI"),M214,IF(AND(AU214="",BB214="OUI",BH214="non",BI214="NON"),"ERREUR",IF(AND(AU214="",BB214="NON",BH214="non",BI214="NON"),AM214,IF(AND(AU214="",BB214="OUI",BH214="",BI214=""),AM214,IF(AND(AU214="",BB214="NON",BH214="",BI214="",AZ214="NON"),M214,IF(AND(AU214="",BH214="",AZ214="OUI",AR214=""),AM214,IF(AND(AU214="",BH214="",AZ214="NON",AR214="",AT214=""),M214,IF(AND(OR(AR214=S.CAL!$BJ$3,AR214=S.CAL!$BJ$4),(VLOOKUP($AM$185,base_nbre_sem_mensu,2,FALSE)=52)),EE214,IF(AND(OR(AR214=S.CAL!$BJ$3,AR214=S.CAL!$BJ$4),(VLOOKUP($AM$185,base_nbre_sem_mensu,2,FALSE)&lt;52)),AM214,IF(AND(AT214&lt;&gt;"",AU214=""),AT214,AU214)))))))))))))</f>
        <v>0</v>
      </c>
      <c r="AQ214" s="498">
        <f t="shared" si="400"/>
        <v>0</v>
      </c>
      <c r="AR214" s="1098"/>
      <c r="AT214" s="1101"/>
      <c r="AU214" s="813"/>
      <c r="AV214" s="1370">
        <f t="shared" si="381"/>
        <v>46165</v>
      </c>
      <c r="AX214" s="511">
        <f t="shared" si="401"/>
        <v>46165</v>
      </c>
      <c r="AY214" s="523">
        <f t="shared" si="402"/>
        <v>0</v>
      </c>
      <c r="AZ214" s="520" t="s">
        <v>137</v>
      </c>
      <c r="BA214" s="516">
        <f t="shared" si="403"/>
        <v>0</v>
      </c>
      <c r="BB214" s="549" t="str">
        <f t="shared" si="382"/>
        <v/>
      </c>
      <c r="BC214" s="523">
        <f t="shared" si="404"/>
        <v>0</v>
      </c>
      <c r="BD214" s="523">
        <f t="shared" si="405"/>
        <v>0</v>
      </c>
      <c r="BE214" s="732"/>
      <c r="BF214" s="514" t="str">
        <f t="shared" si="383"/>
        <v/>
      </c>
      <c r="BG214" s="514" t="str">
        <f t="shared" si="406"/>
        <v>oui</v>
      </c>
      <c r="BH214" s="377" t="str">
        <f t="shared" si="384"/>
        <v/>
      </c>
      <c r="BI214" s="24" t="str">
        <f t="shared" si="385"/>
        <v/>
      </c>
      <c r="BJ214" s="1381"/>
      <c r="BK214" s="1381"/>
      <c r="BL214" s="1381"/>
      <c r="BM214" s="1381"/>
      <c r="BN214" s="1381"/>
      <c r="BO214" s="1381"/>
      <c r="BP214" s="1381"/>
      <c r="BQ214" s="1381"/>
      <c r="BS214" s="1370">
        <f t="shared" si="352"/>
        <v>46165</v>
      </c>
      <c r="BT214" s="27" t="str">
        <f t="shared" si="414"/>
        <v/>
      </c>
      <c r="BU214" s="1380"/>
      <c r="BV214" s="1380"/>
      <c r="BW214" s="1380"/>
      <c r="BX214" s="1380"/>
      <c r="BY214" s="1380"/>
      <c r="BZ214" s="1380"/>
      <c r="CA214" s="1380"/>
      <c r="CB214" s="1380"/>
      <c r="CD214" s="1386">
        <f t="shared" si="407"/>
        <v>0</v>
      </c>
      <c r="DC214" s="16" t="str">
        <f>Mai!FC42</f>
        <v>non</v>
      </c>
      <c r="DG214" s="315">
        <f t="shared" si="408"/>
        <v>1</v>
      </c>
      <c r="DH214" s="129">
        <f t="shared" si="386"/>
        <v>10</v>
      </c>
      <c r="DI214" s="129">
        <f t="shared" si="409"/>
        <v>1</v>
      </c>
      <c r="DK214" s="16">
        <f>+IF(AND(Mai!$DP$8&lt;&gt;52,AR214=S.CAL!$BJ$4),10,1)</f>
        <v>1</v>
      </c>
      <c r="DN214" s="16">
        <f t="shared" si="387"/>
        <v>1</v>
      </c>
      <c r="DU214" s="1274" t="str">
        <f t="shared" si="410"/>
        <v>Fiche infoA646165</v>
      </c>
      <c r="DV214" s="1362">
        <f t="shared" si="388"/>
        <v>0</v>
      </c>
      <c r="DW214" s="1363">
        <f t="shared" si="389"/>
        <v>0</v>
      </c>
      <c r="DX214" s="1363">
        <f t="shared" si="390"/>
        <v>0</v>
      </c>
      <c r="DY214" s="1363">
        <f t="shared" si="391"/>
        <v>0</v>
      </c>
      <c r="DZ214" s="1363">
        <f t="shared" si="392"/>
        <v>0</v>
      </c>
      <c r="EA214" s="1363">
        <f t="shared" si="393"/>
        <v>0</v>
      </c>
      <c r="EB214" s="1363">
        <f t="shared" si="394"/>
        <v>0</v>
      </c>
      <c r="EC214" s="1363">
        <f t="shared" si="395"/>
        <v>0</v>
      </c>
      <c r="ED214" s="1363">
        <f t="shared" si="411"/>
        <v>0</v>
      </c>
      <c r="EE214" s="1364">
        <f t="shared" si="412"/>
        <v>0</v>
      </c>
      <c r="EG214" s="16" t="str">
        <f t="shared" si="413"/>
        <v>212026</v>
      </c>
      <c r="EH214" s="16" t="str">
        <f t="shared" si="396"/>
        <v>Fiche infoA6</v>
      </c>
      <c r="EI214" s="16" t="str">
        <f t="shared" si="397"/>
        <v/>
      </c>
    </row>
    <row r="215" spans="1:139" x14ac:dyDescent="0.2">
      <c r="A215" s="1373" t="str">
        <f>Mai!BJ43</f>
        <v>Fiche infoA7</v>
      </c>
      <c r="B215" s="811">
        <f>Mai!AB43</f>
        <v>46166</v>
      </c>
      <c r="C215" s="1372"/>
      <c r="D215" s="981">
        <f t="shared" si="353"/>
        <v>0</v>
      </c>
      <c r="E215" s="434">
        <f t="shared" si="354"/>
        <v>0</v>
      </c>
      <c r="F215" s="434">
        <f t="shared" si="355"/>
        <v>0</v>
      </c>
      <c r="G215" s="434">
        <f t="shared" si="356"/>
        <v>0</v>
      </c>
      <c r="H215" s="434">
        <f t="shared" si="357"/>
        <v>0</v>
      </c>
      <c r="I215" s="434">
        <f t="shared" si="358"/>
        <v>0</v>
      </c>
      <c r="J215" s="434">
        <f t="shared" si="359"/>
        <v>0</v>
      </c>
      <c r="K215" s="434">
        <f t="shared" si="360"/>
        <v>0</v>
      </c>
      <c r="L215" s="434">
        <f t="shared" si="398"/>
        <v>0</v>
      </c>
      <c r="M215" s="982">
        <f t="shared" si="399"/>
        <v>0</v>
      </c>
      <c r="N215" s="1374"/>
      <c r="O215" s="981">
        <f t="shared" si="415"/>
        <v>0</v>
      </c>
      <c r="P215" s="434">
        <f t="shared" si="416"/>
        <v>0</v>
      </c>
      <c r="Q215" s="434">
        <f t="shared" si="417"/>
        <v>0</v>
      </c>
      <c r="R215" s="434">
        <f t="shared" si="418"/>
        <v>0</v>
      </c>
      <c r="S215" s="434">
        <f t="shared" si="419"/>
        <v>0</v>
      </c>
      <c r="T215" s="434">
        <f t="shared" si="420"/>
        <v>0</v>
      </c>
      <c r="U215" s="434">
        <f t="shared" si="421"/>
        <v>0</v>
      </c>
      <c r="V215" s="434">
        <f t="shared" si="422"/>
        <v>0</v>
      </c>
      <c r="W215" s="434">
        <f t="shared" si="369"/>
        <v>0</v>
      </c>
      <c r="X215" s="982">
        <f t="shared" si="370"/>
        <v>0</v>
      </c>
      <c r="Y215" s="1375"/>
      <c r="Z215" s="1376">
        <f t="shared" si="371"/>
        <v>0</v>
      </c>
      <c r="AA215" s="1376">
        <f t="shared" si="372"/>
        <v>0</v>
      </c>
      <c r="AB215" s="1376">
        <f t="shared" si="373"/>
        <v>0</v>
      </c>
      <c r="AC215" s="1376">
        <f t="shared" si="374"/>
        <v>0</v>
      </c>
      <c r="AD215" s="1376">
        <f t="shared" si="375"/>
        <v>0</v>
      </c>
      <c r="AE215" s="1376">
        <f t="shared" si="376"/>
        <v>0</v>
      </c>
      <c r="AF215" s="1376">
        <f t="shared" si="377"/>
        <v>0</v>
      </c>
      <c r="AG215" s="1376">
        <f t="shared" si="378"/>
        <v>0</v>
      </c>
      <c r="AH215" s="1374"/>
      <c r="AI215" s="444">
        <f t="shared" si="423"/>
        <v>0</v>
      </c>
      <c r="AJ215" s="1090"/>
      <c r="AK215" s="1377"/>
      <c r="AL215" s="811">
        <f t="shared" si="380"/>
        <v>46166</v>
      </c>
      <c r="AM215" s="666">
        <f>IFERROR(IF(AND(AT215="",AR215&lt;&gt;S.CAL!$BJ$3,AR215&lt;&gt;S.CAL!$BJ$4,$AR$185="NON"),M215-BD215,IF(AND(AT215="",AR215&lt;&gt;S.CAL!$BJ$3,AR215&lt;&gt;S.CAL!$BJ$4,$AR$185="OUI"),X215-AI215,IF(AT215&lt;&gt;0,AT215,IF(OR(AR215=S.CAL!$BJ$3,AR215=S.CAL!$BJ$4),AR215,"")))),"")</f>
        <v>0</v>
      </c>
      <c r="AN215" s="1093"/>
      <c r="AO215" s="1094"/>
      <c r="AP215" s="666">
        <f>+IF(AND(AU215="",BB215="OUI",BH215="non",BI215="OUI"),AM215,IF(AND(AU215="",BB215="OUI",BH215="oui",BI215="NON"),AM215,IF(AND(AU215="",BB215="NON",BH215="oui",BI215="NON"),M215,IF(AND(AU215="",BB215="NON",BH215="non",BI215="OUI"),M215,IF(AND(AU215="",BB215="OUI",BH215="non",BI215="NON"),"ERREUR",IF(AND(AU215="",BB215="NON",BH215="non",BI215="NON"),AM215,IF(AND(AU215="",BB215="OUI",BH215="",BI215=""),AM215,IF(AND(AU215="",BB215="NON",BH215="",BI215="",AZ215="NON"),M215,IF(AND(AU215="",BH215="",AZ215="OUI",AR215=""),AM215,IF(AND(AU215="",BH215="",AZ215="NON",AR215="",AT215=""),M215,IF(AND(OR(AR215=S.CAL!$BJ$3,AR215=S.CAL!$BJ$4),(VLOOKUP($AM$185,base_nbre_sem_mensu,2,FALSE)=52)),EE215,IF(AND(OR(AR215=S.CAL!$BJ$3,AR215=S.CAL!$BJ$4),(VLOOKUP($AM$185,base_nbre_sem_mensu,2,FALSE)&lt;52)),AM215,IF(AND(AT215&lt;&gt;"",AU215=""),AT215,AU215)))))))))))))</f>
        <v>0</v>
      </c>
      <c r="AQ215" s="1378">
        <f t="shared" si="400"/>
        <v>0</v>
      </c>
      <c r="AR215" s="1098"/>
      <c r="AS215" s="1374"/>
      <c r="AT215" s="1101"/>
      <c r="AU215" s="813"/>
      <c r="AV215" s="1370">
        <f t="shared" si="381"/>
        <v>46166</v>
      </c>
      <c r="AW215" s="1374"/>
      <c r="AX215" s="511">
        <f t="shared" si="401"/>
        <v>46166</v>
      </c>
      <c r="AY215" s="523">
        <f t="shared" si="402"/>
        <v>0</v>
      </c>
      <c r="AZ215" s="520" t="s">
        <v>137</v>
      </c>
      <c r="BA215" s="516">
        <f t="shared" si="403"/>
        <v>0</v>
      </c>
      <c r="BB215" s="549" t="str">
        <f t="shared" si="382"/>
        <v/>
      </c>
      <c r="BC215" s="523">
        <f t="shared" si="404"/>
        <v>0</v>
      </c>
      <c r="BD215" s="523">
        <f t="shared" si="405"/>
        <v>0</v>
      </c>
      <c r="BE215" s="732"/>
      <c r="BF215" s="514" t="str">
        <f t="shared" si="383"/>
        <v/>
      </c>
      <c r="BG215" s="514" t="str">
        <f t="shared" si="406"/>
        <v>oui</v>
      </c>
      <c r="BH215" s="377" t="str">
        <f t="shared" si="384"/>
        <v/>
      </c>
      <c r="BI215" s="24" t="str">
        <f t="shared" si="385"/>
        <v/>
      </c>
      <c r="BJ215" s="1382"/>
      <c r="BK215" s="1382"/>
      <c r="BL215" s="1382"/>
      <c r="BM215" s="1382"/>
      <c r="BN215" s="1382"/>
      <c r="BO215" s="1382"/>
      <c r="BP215" s="1382"/>
      <c r="BQ215" s="1382"/>
      <c r="BR215" s="1383"/>
      <c r="BS215" s="1370">
        <f t="shared" si="352"/>
        <v>46166</v>
      </c>
      <c r="BT215" s="1384" t="str">
        <f t="shared" si="414"/>
        <v/>
      </c>
      <c r="BU215" s="1382"/>
      <c r="BV215" s="1382"/>
      <c r="BW215" s="1382"/>
      <c r="BX215" s="1382"/>
      <c r="BY215" s="1382"/>
      <c r="BZ215" s="1382"/>
      <c r="CA215" s="1382"/>
      <c r="CB215" s="1382"/>
      <c r="CD215" s="1386">
        <f t="shared" si="407"/>
        <v>0</v>
      </c>
      <c r="DC215" s="16" t="str">
        <f>Mai!FC43</f>
        <v>non</v>
      </c>
      <c r="DG215" s="315">
        <f t="shared" si="408"/>
        <v>1</v>
      </c>
      <c r="DH215" s="129">
        <f t="shared" si="386"/>
        <v>10</v>
      </c>
      <c r="DI215" s="129">
        <f t="shared" si="409"/>
        <v>1</v>
      </c>
      <c r="DK215" s="16">
        <f>+IF(AND(Mai!$DP$8&lt;&gt;52,AR215=S.CAL!$BJ$4),10,1)</f>
        <v>1</v>
      </c>
      <c r="DN215" s="16">
        <f t="shared" si="387"/>
        <v>1</v>
      </c>
      <c r="DU215" s="1274" t="str">
        <f t="shared" si="410"/>
        <v>Fiche infoA746166</v>
      </c>
      <c r="DV215" s="1362">
        <f t="shared" si="388"/>
        <v>0</v>
      </c>
      <c r="DW215" s="1363">
        <f t="shared" si="389"/>
        <v>0</v>
      </c>
      <c r="DX215" s="1363">
        <f t="shared" si="390"/>
        <v>0</v>
      </c>
      <c r="DY215" s="1363">
        <f t="shared" si="391"/>
        <v>0</v>
      </c>
      <c r="DZ215" s="1363">
        <f t="shared" si="392"/>
        <v>0</v>
      </c>
      <c r="EA215" s="1363">
        <f t="shared" si="393"/>
        <v>0</v>
      </c>
      <c r="EB215" s="1363">
        <f t="shared" si="394"/>
        <v>0</v>
      </c>
      <c r="EC215" s="1363">
        <f t="shared" si="395"/>
        <v>0</v>
      </c>
      <c r="ED215" s="1363">
        <f t="shared" si="411"/>
        <v>0</v>
      </c>
      <c r="EE215" s="1364">
        <f t="shared" si="412"/>
        <v>0</v>
      </c>
      <c r="EG215" s="16" t="str">
        <f t="shared" si="413"/>
        <v>212026</v>
      </c>
      <c r="EH215" s="16" t="str">
        <f t="shared" si="396"/>
        <v>Fiche infoA7</v>
      </c>
      <c r="EI215" s="16" t="str">
        <f t="shared" si="397"/>
        <v/>
      </c>
    </row>
    <row r="216" spans="1:139" x14ac:dyDescent="0.2">
      <c r="A216" s="24" t="str">
        <f>Mai!BJ44</f>
        <v>Fiche infoA1</v>
      </c>
      <c r="B216" s="811">
        <f>Mai!AB44</f>
        <v>46167</v>
      </c>
      <c r="C216" s="1371"/>
      <c r="D216" s="981">
        <f t="shared" si="353"/>
        <v>0</v>
      </c>
      <c r="E216" s="434">
        <f t="shared" si="354"/>
        <v>0</v>
      </c>
      <c r="F216" s="434">
        <f t="shared" si="355"/>
        <v>0</v>
      </c>
      <c r="G216" s="434">
        <f t="shared" si="356"/>
        <v>0</v>
      </c>
      <c r="H216" s="434">
        <f t="shared" si="357"/>
        <v>0</v>
      </c>
      <c r="I216" s="434">
        <f t="shared" si="358"/>
        <v>0</v>
      </c>
      <c r="J216" s="434">
        <f t="shared" si="359"/>
        <v>0</v>
      </c>
      <c r="K216" s="434">
        <f t="shared" si="360"/>
        <v>0</v>
      </c>
      <c r="L216" s="434">
        <f t="shared" si="398"/>
        <v>0</v>
      </c>
      <c r="M216" s="982">
        <f t="shared" si="399"/>
        <v>0</v>
      </c>
      <c r="O216" s="981">
        <f t="shared" si="415"/>
        <v>0</v>
      </c>
      <c r="P216" s="434">
        <f t="shared" si="416"/>
        <v>0</v>
      </c>
      <c r="Q216" s="434">
        <f t="shared" si="417"/>
        <v>0</v>
      </c>
      <c r="R216" s="434">
        <f t="shared" si="418"/>
        <v>0</v>
      </c>
      <c r="S216" s="434">
        <f t="shared" si="419"/>
        <v>0</v>
      </c>
      <c r="T216" s="434">
        <f t="shared" si="420"/>
        <v>0</v>
      </c>
      <c r="U216" s="434">
        <f t="shared" si="421"/>
        <v>0</v>
      </c>
      <c r="V216" s="434">
        <f t="shared" si="422"/>
        <v>0</v>
      </c>
      <c r="W216" s="434">
        <f t="shared" si="369"/>
        <v>0</v>
      </c>
      <c r="X216" s="982">
        <f t="shared" si="370"/>
        <v>0</v>
      </c>
      <c r="Y216" s="441"/>
      <c r="Z216" s="277">
        <f t="shared" si="371"/>
        <v>0</v>
      </c>
      <c r="AA216" s="277">
        <f t="shared" si="372"/>
        <v>0</v>
      </c>
      <c r="AB216" s="277">
        <f t="shared" si="373"/>
        <v>0</v>
      </c>
      <c r="AC216" s="277">
        <f t="shared" si="374"/>
        <v>0</v>
      </c>
      <c r="AD216" s="277">
        <f t="shared" si="375"/>
        <v>0</v>
      </c>
      <c r="AE216" s="277">
        <f t="shared" si="376"/>
        <v>0</v>
      </c>
      <c r="AF216" s="277">
        <f t="shared" si="377"/>
        <v>0</v>
      </c>
      <c r="AG216" s="277">
        <f t="shared" si="378"/>
        <v>0</v>
      </c>
      <c r="AI216" s="444">
        <f t="shared" si="423"/>
        <v>0</v>
      </c>
      <c r="AJ216" s="1090"/>
      <c r="AK216" s="489"/>
      <c r="AL216" s="811">
        <f t="shared" si="380"/>
        <v>46167</v>
      </c>
      <c r="AM216" s="666">
        <f>IFERROR(IF(AND(AT216="",AR216&lt;&gt;S.CAL!$BJ$3,AR216&lt;&gt;S.CAL!$BJ$4,$AR$185="NON"),M216-BD216,IF(AND(AT216="",AR216&lt;&gt;S.CAL!$BJ$3,AR216&lt;&gt;S.CAL!$BJ$4,$AR$185="OUI"),X216-AI216,IF(AT216&lt;&gt;0,AT216,IF(OR(AR216=S.CAL!$BJ$3,AR216=S.CAL!$BJ$4),AR216,"")))),"")</f>
        <v>0</v>
      </c>
      <c r="AN216" s="1093"/>
      <c r="AO216" s="1094"/>
      <c r="AP216" s="666">
        <f>+IF(AND(AU216="",BB216="OUI",BH216="non",BI216="OUI"),AM216,IF(AND(AU216="",BB216="OUI",BH216="oui",BI216="NON"),AM216,IF(AND(AU216="",BB216="NON",BH216="oui",BI216="NON"),M216,IF(AND(AU216="",BB216="NON",BH216="non",BI216="OUI"),M216,IF(AND(AU216="",BB216="OUI",BH216="non",BI216="NON"),"ERREUR",IF(AND(AU216="",BB216="NON",BH216="non",BI216="NON"),AM216,IF(AND(AU216="",BB216="OUI",BH216="",BI216=""),AM216,IF(AND(AU216="",BB216="NON",BH216="",BI216="",AZ216="NON"),M216,IF(AND(AU216="",BH216="",AZ216="OUI",AR216=""),AM216,IF(AND(AU216="",BH216="",AZ216="NON",AR216="",AT216=""),M216,IF(AND(OR(AR216=S.CAL!$BJ$3,AR216=S.CAL!$BJ$4),(VLOOKUP($AM$185,base_nbre_sem_mensu,2,FALSE)=52)),EE216,IF(AND(OR(AR216=S.CAL!$BJ$3,AR216=S.CAL!$BJ$4),(VLOOKUP($AM$185,base_nbre_sem_mensu,2,FALSE)&lt;52)),AM216,IF(AND(AT216&lt;&gt;"",AU216=""),AT216,AU216)))))))))))))</f>
        <v>0</v>
      </c>
      <c r="AQ216" s="498">
        <f t="shared" si="400"/>
        <v>0</v>
      </c>
      <c r="AR216" s="1098"/>
      <c r="AT216" s="1101"/>
      <c r="AU216" s="813"/>
      <c r="AV216" s="1370">
        <f t="shared" si="381"/>
        <v>46167</v>
      </c>
      <c r="AX216" s="511">
        <f t="shared" si="401"/>
        <v>46167</v>
      </c>
      <c r="AY216" s="523">
        <f t="shared" si="402"/>
        <v>0</v>
      </c>
      <c r="AZ216" s="520" t="s">
        <v>137</v>
      </c>
      <c r="BA216" s="516">
        <f t="shared" si="403"/>
        <v>0</v>
      </c>
      <c r="BB216" s="549" t="str">
        <f t="shared" si="382"/>
        <v/>
      </c>
      <c r="BC216" s="523">
        <f t="shared" si="404"/>
        <v>0</v>
      </c>
      <c r="BD216" s="523">
        <f t="shared" si="405"/>
        <v>0</v>
      </c>
      <c r="BE216" s="732"/>
      <c r="BF216" s="514" t="str">
        <f t="shared" si="383"/>
        <v/>
      </c>
      <c r="BG216" s="514" t="str">
        <f t="shared" si="406"/>
        <v>oui</v>
      </c>
      <c r="BH216" s="377" t="str">
        <f t="shared" si="384"/>
        <v/>
      </c>
      <c r="BI216" s="24" t="str">
        <f t="shared" si="385"/>
        <v/>
      </c>
      <c r="BJ216" s="1381"/>
      <c r="BK216" s="1381"/>
      <c r="BL216" s="1381"/>
      <c r="BM216" s="1381"/>
      <c r="BN216" s="1381"/>
      <c r="BO216" s="1381"/>
      <c r="BP216" s="1381"/>
      <c r="BQ216" s="1381"/>
      <c r="BS216" s="1370">
        <f t="shared" si="352"/>
        <v>46167</v>
      </c>
      <c r="BT216" s="27">
        <f t="shared" si="414"/>
        <v>22</v>
      </c>
      <c r="BU216" s="1380"/>
      <c r="BV216" s="1380"/>
      <c r="BW216" s="1380"/>
      <c r="BX216" s="1380"/>
      <c r="BY216" s="1380"/>
      <c r="BZ216" s="1380"/>
      <c r="CA216" s="1380"/>
      <c r="CB216" s="1380"/>
      <c r="CD216" s="1386">
        <f t="shared" si="407"/>
        <v>0</v>
      </c>
      <c r="DC216" s="16" t="str">
        <f>Mai!FC44</f>
        <v>non</v>
      </c>
      <c r="DG216" s="315">
        <f t="shared" si="408"/>
        <v>1</v>
      </c>
      <c r="DH216" s="129">
        <f t="shared" si="386"/>
        <v>10</v>
      </c>
      <c r="DI216" s="129">
        <f t="shared" si="409"/>
        <v>1</v>
      </c>
      <c r="DK216" s="16">
        <f>+IF(AND(Mai!$DP$8&lt;&gt;52,AR216=S.CAL!$BJ$4),10,1)</f>
        <v>1</v>
      </c>
      <c r="DN216" s="16">
        <f t="shared" si="387"/>
        <v>1</v>
      </c>
      <c r="DU216" s="1274" t="str">
        <f t="shared" si="410"/>
        <v>Fiche infoA146167</v>
      </c>
      <c r="DV216" s="1362">
        <f t="shared" si="388"/>
        <v>0</v>
      </c>
      <c r="DW216" s="1363">
        <f t="shared" si="389"/>
        <v>0</v>
      </c>
      <c r="DX216" s="1363">
        <f t="shared" si="390"/>
        <v>0</v>
      </c>
      <c r="DY216" s="1363">
        <f t="shared" si="391"/>
        <v>0</v>
      </c>
      <c r="DZ216" s="1363">
        <f t="shared" si="392"/>
        <v>0</v>
      </c>
      <c r="EA216" s="1363">
        <f t="shared" si="393"/>
        <v>0</v>
      </c>
      <c r="EB216" s="1363">
        <f t="shared" si="394"/>
        <v>0</v>
      </c>
      <c r="EC216" s="1363">
        <f t="shared" si="395"/>
        <v>0</v>
      </c>
      <c r="ED216" s="1363">
        <f t="shared" si="411"/>
        <v>0</v>
      </c>
      <c r="EE216" s="1364">
        <f t="shared" si="412"/>
        <v>0</v>
      </c>
      <c r="EG216" s="16" t="str">
        <f t="shared" si="413"/>
        <v>222026</v>
      </c>
      <c r="EH216" s="16" t="str">
        <f t="shared" si="396"/>
        <v>Fiche infoA1</v>
      </c>
      <c r="EI216" s="16" t="str">
        <f t="shared" si="397"/>
        <v/>
      </c>
    </row>
    <row r="217" spans="1:139" x14ac:dyDescent="0.2">
      <c r="A217" s="1373" t="str">
        <f>Mai!BJ45</f>
        <v>Fiche infoA2</v>
      </c>
      <c r="B217" s="811">
        <f>Mai!AB45</f>
        <v>46168</v>
      </c>
      <c r="C217" s="1372"/>
      <c r="D217" s="981">
        <f t="shared" si="353"/>
        <v>0</v>
      </c>
      <c r="E217" s="434">
        <f t="shared" si="354"/>
        <v>0</v>
      </c>
      <c r="F217" s="434">
        <f t="shared" si="355"/>
        <v>0</v>
      </c>
      <c r="G217" s="434">
        <f t="shared" si="356"/>
        <v>0</v>
      </c>
      <c r="H217" s="434">
        <f t="shared" si="357"/>
        <v>0</v>
      </c>
      <c r="I217" s="434">
        <f t="shared" si="358"/>
        <v>0</v>
      </c>
      <c r="J217" s="434">
        <f t="shared" si="359"/>
        <v>0</v>
      </c>
      <c r="K217" s="434">
        <f t="shared" si="360"/>
        <v>0</v>
      </c>
      <c r="L217" s="434">
        <f t="shared" si="398"/>
        <v>0</v>
      </c>
      <c r="M217" s="982">
        <f t="shared" si="399"/>
        <v>0</v>
      </c>
      <c r="N217" s="1374"/>
      <c r="O217" s="981">
        <f t="shared" si="415"/>
        <v>0</v>
      </c>
      <c r="P217" s="434">
        <f t="shared" si="416"/>
        <v>0</v>
      </c>
      <c r="Q217" s="434">
        <f t="shared" si="417"/>
        <v>0</v>
      </c>
      <c r="R217" s="434">
        <f t="shared" si="418"/>
        <v>0</v>
      </c>
      <c r="S217" s="434">
        <f t="shared" si="419"/>
        <v>0</v>
      </c>
      <c r="T217" s="434">
        <f t="shared" si="420"/>
        <v>0</v>
      </c>
      <c r="U217" s="434">
        <f t="shared" si="421"/>
        <v>0</v>
      </c>
      <c r="V217" s="434">
        <f t="shared" si="422"/>
        <v>0</v>
      </c>
      <c r="W217" s="434">
        <f t="shared" si="369"/>
        <v>0</v>
      </c>
      <c r="X217" s="982">
        <f t="shared" si="370"/>
        <v>0</v>
      </c>
      <c r="Y217" s="1375"/>
      <c r="Z217" s="1376">
        <f t="shared" si="371"/>
        <v>0</v>
      </c>
      <c r="AA217" s="1376">
        <f t="shared" si="372"/>
        <v>0</v>
      </c>
      <c r="AB217" s="1376">
        <f t="shared" si="373"/>
        <v>0</v>
      </c>
      <c r="AC217" s="1376">
        <f t="shared" si="374"/>
        <v>0</v>
      </c>
      <c r="AD217" s="1376">
        <f t="shared" si="375"/>
        <v>0</v>
      </c>
      <c r="AE217" s="1376">
        <f t="shared" si="376"/>
        <v>0</v>
      </c>
      <c r="AF217" s="1376">
        <f t="shared" si="377"/>
        <v>0</v>
      </c>
      <c r="AG217" s="1376">
        <f t="shared" si="378"/>
        <v>0</v>
      </c>
      <c r="AH217" s="1374"/>
      <c r="AI217" s="444">
        <f t="shared" si="423"/>
        <v>0</v>
      </c>
      <c r="AJ217" s="1090"/>
      <c r="AK217" s="1377"/>
      <c r="AL217" s="811">
        <f t="shared" si="380"/>
        <v>46168</v>
      </c>
      <c r="AM217" s="666">
        <f>IFERROR(IF(AND(AT217="",AR217&lt;&gt;S.CAL!$BJ$3,AR217&lt;&gt;S.CAL!$BJ$4,$AR$185="NON"),M217-BD217,IF(AND(AT217="",AR217&lt;&gt;S.CAL!$BJ$3,AR217&lt;&gt;S.CAL!$BJ$4,$AR$185="OUI"),X217-AI217,IF(AT217&lt;&gt;0,AT217,IF(OR(AR217=S.CAL!$BJ$3,AR217=S.CAL!$BJ$4),AR217,"")))),"")</f>
        <v>0</v>
      </c>
      <c r="AN217" s="1093"/>
      <c r="AO217" s="1094"/>
      <c r="AP217" s="666">
        <f>+IF(AND(AU217="",BB217="OUI",BH217="non",BI217="OUI"),AM217,IF(AND(AU217="",BB217="OUI",BH217="oui",BI217="NON"),AM217,IF(AND(AU217="",BB217="NON",BH217="oui",BI217="NON"),M217,IF(AND(AU217="",BB217="NON",BH217="non",BI217="OUI"),M217,IF(AND(AU217="",BB217="OUI",BH217="non",BI217="NON"),"ERREUR",IF(AND(AU217="",BB217="NON",BH217="non",BI217="NON"),AM217,IF(AND(AU217="",BB217="OUI",BH217="",BI217=""),AM217,IF(AND(AU217="",BB217="NON",BH217="",BI217="",AZ217="NON"),M217,IF(AND(AU217="",BH217="",AZ217="OUI",AR217=""),AM217,IF(AND(AU217="",BH217="",AZ217="NON",AR217="",AT217=""),M217,IF(AND(OR(AR217=S.CAL!$BJ$3,AR217=S.CAL!$BJ$4),(VLOOKUP($AM$185,base_nbre_sem_mensu,2,FALSE)=52)),EE217,IF(AND(OR(AR217=S.CAL!$BJ$3,AR217=S.CAL!$BJ$4),(VLOOKUP($AM$185,base_nbre_sem_mensu,2,FALSE)&lt;52)),AM217,IF(AND(AT217&lt;&gt;"",AU217=""),AT217,AU217)))))))))))))</f>
        <v>0</v>
      </c>
      <c r="AQ217" s="1378">
        <f t="shared" si="400"/>
        <v>0</v>
      </c>
      <c r="AR217" s="1098"/>
      <c r="AS217" s="1374"/>
      <c r="AT217" s="1101"/>
      <c r="AU217" s="813"/>
      <c r="AV217" s="1370">
        <f t="shared" si="381"/>
        <v>46168</v>
      </c>
      <c r="AW217" s="1374"/>
      <c r="AX217" s="511">
        <f t="shared" si="401"/>
        <v>46168</v>
      </c>
      <c r="AY217" s="523">
        <f t="shared" si="402"/>
        <v>0</v>
      </c>
      <c r="AZ217" s="520" t="s">
        <v>137</v>
      </c>
      <c r="BA217" s="516">
        <f t="shared" si="403"/>
        <v>0</v>
      </c>
      <c r="BB217" s="549" t="str">
        <f t="shared" si="382"/>
        <v/>
      </c>
      <c r="BC217" s="523">
        <f t="shared" si="404"/>
        <v>0</v>
      </c>
      <c r="BD217" s="523">
        <f t="shared" si="405"/>
        <v>0</v>
      </c>
      <c r="BE217" s="732"/>
      <c r="BF217" s="514" t="str">
        <f t="shared" si="383"/>
        <v/>
      </c>
      <c r="BG217" s="514" t="str">
        <f t="shared" si="406"/>
        <v>oui</v>
      </c>
      <c r="BH217" s="377" t="str">
        <f t="shared" si="384"/>
        <v/>
      </c>
      <c r="BI217" s="24" t="str">
        <f t="shared" si="385"/>
        <v/>
      </c>
      <c r="BJ217" s="1382"/>
      <c r="BK217" s="1382"/>
      <c r="BL217" s="1382"/>
      <c r="BM217" s="1382"/>
      <c r="BN217" s="1382"/>
      <c r="BO217" s="1382"/>
      <c r="BP217" s="1382"/>
      <c r="BQ217" s="1382"/>
      <c r="BR217" s="1383"/>
      <c r="BS217" s="1370">
        <f t="shared" si="352"/>
        <v>46168</v>
      </c>
      <c r="BT217" s="1384" t="str">
        <f t="shared" si="414"/>
        <v/>
      </c>
      <c r="BU217" s="1382"/>
      <c r="BV217" s="1382"/>
      <c r="BW217" s="1382"/>
      <c r="BX217" s="1382"/>
      <c r="BY217" s="1382"/>
      <c r="BZ217" s="1382"/>
      <c r="CA217" s="1382"/>
      <c r="CB217" s="1382"/>
      <c r="CD217" s="1386">
        <f t="shared" si="407"/>
        <v>0</v>
      </c>
      <c r="DC217" s="16" t="str">
        <f>Mai!FC45</f>
        <v>non</v>
      </c>
      <c r="DG217" s="315">
        <f t="shared" si="408"/>
        <v>1</v>
      </c>
      <c r="DH217" s="129">
        <f t="shared" si="386"/>
        <v>10</v>
      </c>
      <c r="DI217" s="129">
        <f t="shared" si="409"/>
        <v>1</v>
      </c>
      <c r="DK217" s="16">
        <f>+IF(AND(Mai!$DP$8&lt;&gt;52,AR217=S.CAL!$BJ$4),10,1)</f>
        <v>1</v>
      </c>
      <c r="DN217" s="16">
        <f t="shared" si="387"/>
        <v>1</v>
      </c>
      <c r="DU217" s="1274" t="str">
        <f t="shared" si="410"/>
        <v>Fiche infoA246168</v>
      </c>
      <c r="DV217" s="1362">
        <f t="shared" si="388"/>
        <v>0</v>
      </c>
      <c r="DW217" s="1363">
        <f t="shared" si="389"/>
        <v>0</v>
      </c>
      <c r="DX217" s="1363">
        <f t="shared" si="390"/>
        <v>0</v>
      </c>
      <c r="DY217" s="1363">
        <f t="shared" si="391"/>
        <v>0</v>
      </c>
      <c r="DZ217" s="1363">
        <f t="shared" si="392"/>
        <v>0</v>
      </c>
      <c r="EA217" s="1363">
        <f t="shared" si="393"/>
        <v>0</v>
      </c>
      <c r="EB217" s="1363">
        <f t="shared" si="394"/>
        <v>0</v>
      </c>
      <c r="EC217" s="1363">
        <f t="shared" si="395"/>
        <v>0</v>
      </c>
      <c r="ED217" s="1363">
        <f t="shared" si="411"/>
        <v>0</v>
      </c>
      <c r="EE217" s="1364">
        <f t="shared" si="412"/>
        <v>0</v>
      </c>
      <c r="EG217" s="16" t="str">
        <f t="shared" si="413"/>
        <v>222026</v>
      </c>
      <c r="EH217" s="16" t="str">
        <f t="shared" si="396"/>
        <v>Fiche infoA2</v>
      </c>
      <c r="EI217" s="16" t="str">
        <f t="shared" si="397"/>
        <v/>
      </c>
    </row>
    <row r="218" spans="1:139" x14ac:dyDescent="0.2">
      <c r="A218" s="24" t="str">
        <f>Mai!BJ46</f>
        <v>Fiche infoA3</v>
      </c>
      <c r="B218" s="811">
        <f>Mai!AB46</f>
        <v>46169</v>
      </c>
      <c r="C218" s="1371"/>
      <c r="D218" s="981">
        <f t="shared" si="353"/>
        <v>0</v>
      </c>
      <c r="E218" s="434">
        <f t="shared" si="354"/>
        <v>0</v>
      </c>
      <c r="F218" s="434">
        <f t="shared" si="355"/>
        <v>0</v>
      </c>
      <c r="G218" s="434">
        <f t="shared" si="356"/>
        <v>0</v>
      </c>
      <c r="H218" s="434">
        <f t="shared" si="357"/>
        <v>0</v>
      </c>
      <c r="I218" s="434">
        <f t="shared" si="358"/>
        <v>0</v>
      </c>
      <c r="J218" s="434">
        <f t="shared" si="359"/>
        <v>0</v>
      </c>
      <c r="K218" s="434">
        <f t="shared" si="360"/>
        <v>0</v>
      </c>
      <c r="L218" s="434">
        <f t="shared" si="398"/>
        <v>0</v>
      </c>
      <c r="M218" s="982">
        <f t="shared" si="399"/>
        <v>0</v>
      </c>
      <c r="O218" s="981">
        <f t="shared" si="415"/>
        <v>0</v>
      </c>
      <c r="P218" s="434">
        <f t="shared" si="416"/>
        <v>0</v>
      </c>
      <c r="Q218" s="434">
        <f t="shared" si="417"/>
        <v>0</v>
      </c>
      <c r="R218" s="434">
        <f t="shared" si="418"/>
        <v>0</v>
      </c>
      <c r="S218" s="434">
        <f t="shared" si="419"/>
        <v>0</v>
      </c>
      <c r="T218" s="434">
        <f t="shared" si="420"/>
        <v>0</v>
      </c>
      <c r="U218" s="434">
        <f t="shared" si="421"/>
        <v>0</v>
      </c>
      <c r="V218" s="434">
        <f t="shared" si="422"/>
        <v>0</v>
      </c>
      <c r="W218" s="434">
        <f t="shared" si="369"/>
        <v>0</v>
      </c>
      <c r="X218" s="982">
        <f t="shared" si="370"/>
        <v>0</v>
      </c>
      <c r="Y218" s="441"/>
      <c r="Z218" s="277">
        <f t="shared" si="371"/>
        <v>0</v>
      </c>
      <c r="AA218" s="277">
        <f t="shared" si="372"/>
        <v>0</v>
      </c>
      <c r="AB218" s="277">
        <f t="shared" si="373"/>
        <v>0</v>
      </c>
      <c r="AC218" s="277">
        <f t="shared" si="374"/>
        <v>0</v>
      </c>
      <c r="AD218" s="277">
        <f t="shared" si="375"/>
        <v>0</v>
      </c>
      <c r="AE218" s="277">
        <f t="shared" si="376"/>
        <v>0</v>
      </c>
      <c r="AF218" s="277">
        <f t="shared" si="377"/>
        <v>0</v>
      </c>
      <c r="AG218" s="277">
        <f t="shared" si="378"/>
        <v>0</v>
      </c>
      <c r="AI218" s="444">
        <f t="shared" si="423"/>
        <v>0</v>
      </c>
      <c r="AJ218" s="1090"/>
      <c r="AK218" s="489"/>
      <c r="AL218" s="811">
        <f t="shared" si="380"/>
        <v>46169</v>
      </c>
      <c r="AM218" s="666">
        <f>IFERROR(IF(AND(AT218="",AR218&lt;&gt;S.CAL!$BJ$3,AR218&lt;&gt;S.CAL!$BJ$4,$AR$185="NON"),M218-BD218,IF(AND(AT218="",AR218&lt;&gt;S.CAL!$BJ$3,AR218&lt;&gt;S.CAL!$BJ$4,$AR$185="OUI"),X218-AI218,IF(AT218&lt;&gt;0,AT218,IF(OR(AR218=S.CAL!$BJ$3,AR218=S.CAL!$BJ$4),AR218,"")))),"")</f>
        <v>0</v>
      </c>
      <c r="AN218" s="1093"/>
      <c r="AO218" s="1094"/>
      <c r="AP218" s="666">
        <f>+IF(AND(AU218="",BB218="OUI",BH218="non",BI218="OUI"),AM218,IF(AND(AU218="",BB218="OUI",BH218="oui",BI218="NON"),AM218,IF(AND(AU218="",BB218="NON",BH218="oui",BI218="NON"),M218,IF(AND(AU218="",BB218="NON",BH218="non",BI218="OUI"),M218,IF(AND(AU218="",BB218="OUI",BH218="non",BI218="NON"),"ERREUR",IF(AND(AU218="",BB218="NON",BH218="non",BI218="NON"),AM218,IF(AND(AU218="",BB218="OUI",BH218="",BI218=""),AM218,IF(AND(AU218="",BB218="NON",BH218="",BI218="",AZ218="NON"),M218,IF(AND(AU218="",BH218="",AZ218="OUI",AR218=""),AM218,IF(AND(AU218="",BH218="",AZ218="NON",AR218="",AT218=""),M218,IF(AND(OR(AR218=S.CAL!$BJ$3,AR218=S.CAL!$BJ$4),(VLOOKUP($AM$185,base_nbre_sem_mensu,2,FALSE)=52)),EE218,IF(AND(OR(AR218=S.CAL!$BJ$3,AR218=S.CAL!$BJ$4),(VLOOKUP($AM$185,base_nbre_sem_mensu,2,FALSE)&lt;52)),AM218,IF(AND(AT218&lt;&gt;"",AU218=""),AT218,AU218)))))))))))))</f>
        <v>0</v>
      </c>
      <c r="AQ218" s="498">
        <f t="shared" si="400"/>
        <v>0</v>
      </c>
      <c r="AR218" s="1098"/>
      <c r="AT218" s="1101"/>
      <c r="AU218" s="813"/>
      <c r="AV218" s="1370">
        <f t="shared" si="381"/>
        <v>46169</v>
      </c>
      <c r="AX218" s="511">
        <f t="shared" si="401"/>
        <v>46169</v>
      </c>
      <c r="AY218" s="523">
        <f t="shared" si="402"/>
        <v>0</v>
      </c>
      <c r="AZ218" s="520" t="s">
        <v>137</v>
      </c>
      <c r="BA218" s="516">
        <f t="shared" si="403"/>
        <v>0</v>
      </c>
      <c r="BB218" s="549" t="str">
        <f t="shared" si="382"/>
        <v/>
      </c>
      <c r="BC218" s="523">
        <f t="shared" si="404"/>
        <v>0</v>
      </c>
      <c r="BD218" s="523">
        <f t="shared" si="405"/>
        <v>0</v>
      </c>
      <c r="BE218" s="732"/>
      <c r="BF218" s="514" t="str">
        <f t="shared" si="383"/>
        <v/>
      </c>
      <c r="BG218" s="514" t="str">
        <f t="shared" si="406"/>
        <v>oui</v>
      </c>
      <c r="BH218" s="377" t="str">
        <f t="shared" si="384"/>
        <v/>
      </c>
      <c r="BI218" s="24" t="str">
        <f t="shared" si="385"/>
        <v/>
      </c>
      <c r="BJ218" s="1381"/>
      <c r="BK218" s="1381"/>
      <c r="BL218" s="1381"/>
      <c r="BM218" s="1381"/>
      <c r="BN218" s="1381"/>
      <c r="BO218" s="1381"/>
      <c r="BP218" s="1381"/>
      <c r="BQ218" s="1381"/>
      <c r="BS218" s="1370">
        <f t="shared" si="352"/>
        <v>46169</v>
      </c>
      <c r="BT218" s="27" t="str">
        <f t="shared" si="414"/>
        <v/>
      </c>
      <c r="BU218" s="1380"/>
      <c r="BV218" s="1380"/>
      <c r="BW218" s="1380"/>
      <c r="BX218" s="1380"/>
      <c r="BY218" s="1380"/>
      <c r="BZ218" s="1380"/>
      <c r="CA218" s="1380"/>
      <c r="CB218" s="1380"/>
      <c r="CD218" s="1386">
        <f t="shared" si="407"/>
        <v>0</v>
      </c>
      <c r="DC218" s="16" t="str">
        <f>Mai!FC46</f>
        <v>non</v>
      </c>
      <c r="DG218" s="315">
        <f t="shared" si="408"/>
        <v>1</v>
      </c>
      <c r="DH218" s="129">
        <f t="shared" si="386"/>
        <v>10</v>
      </c>
      <c r="DI218" s="129">
        <f t="shared" si="409"/>
        <v>1</v>
      </c>
      <c r="DK218" s="16">
        <f>+IF(AND(Mai!$DP$8&lt;&gt;52,AR218=S.CAL!$BJ$4),10,1)</f>
        <v>1</v>
      </c>
      <c r="DN218" s="16">
        <f t="shared" si="387"/>
        <v>1</v>
      </c>
      <c r="DU218" s="1274" t="str">
        <f t="shared" si="410"/>
        <v>Fiche infoA346169</v>
      </c>
      <c r="DV218" s="1362">
        <f t="shared" si="388"/>
        <v>0</v>
      </c>
      <c r="DW218" s="1363">
        <f t="shared" si="389"/>
        <v>0</v>
      </c>
      <c r="DX218" s="1363">
        <f t="shared" si="390"/>
        <v>0</v>
      </c>
      <c r="DY218" s="1363">
        <f t="shared" si="391"/>
        <v>0</v>
      </c>
      <c r="DZ218" s="1363">
        <f t="shared" si="392"/>
        <v>0</v>
      </c>
      <c r="EA218" s="1363">
        <f t="shared" si="393"/>
        <v>0</v>
      </c>
      <c r="EB218" s="1363">
        <f t="shared" si="394"/>
        <v>0</v>
      </c>
      <c r="EC218" s="1363">
        <f t="shared" si="395"/>
        <v>0</v>
      </c>
      <c r="ED218" s="1363">
        <f t="shared" si="411"/>
        <v>0</v>
      </c>
      <c r="EE218" s="1364">
        <f t="shared" si="412"/>
        <v>0</v>
      </c>
      <c r="EG218" s="16" t="str">
        <f t="shared" si="413"/>
        <v>222026</v>
      </c>
      <c r="EH218" s="16" t="str">
        <f t="shared" si="396"/>
        <v>Fiche infoA3</v>
      </c>
      <c r="EI218" s="16" t="str">
        <f t="shared" si="397"/>
        <v/>
      </c>
    </row>
    <row r="219" spans="1:139" x14ac:dyDescent="0.2">
      <c r="A219" s="1373" t="str">
        <f>Mai!BJ47</f>
        <v>Fiche infoA4</v>
      </c>
      <c r="B219" s="811">
        <f>Mai!AB47</f>
        <v>46170</v>
      </c>
      <c r="C219" s="1372"/>
      <c r="D219" s="981">
        <f t="shared" si="353"/>
        <v>0</v>
      </c>
      <c r="E219" s="434">
        <f t="shared" si="354"/>
        <v>0</v>
      </c>
      <c r="F219" s="434">
        <f t="shared" si="355"/>
        <v>0</v>
      </c>
      <c r="G219" s="434">
        <f t="shared" si="356"/>
        <v>0</v>
      </c>
      <c r="H219" s="434">
        <f t="shared" si="357"/>
        <v>0</v>
      </c>
      <c r="I219" s="434">
        <f t="shared" si="358"/>
        <v>0</v>
      </c>
      <c r="J219" s="434">
        <f t="shared" si="359"/>
        <v>0</v>
      </c>
      <c r="K219" s="434">
        <f t="shared" si="360"/>
        <v>0</v>
      </c>
      <c r="L219" s="434">
        <f t="shared" si="398"/>
        <v>0</v>
      </c>
      <c r="M219" s="982">
        <f t="shared" si="399"/>
        <v>0</v>
      </c>
      <c r="N219" s="1374"/>
      <c r="O219" s="981">
        <f t="shared" si="415"/>
        <v>0</v>
      </c>
      <c r="P219" s="434">
        <f t="shared" si="416"/>
        <v>0</v>
      </c>
      <c r="Q219" s="434">
        <f t="shared" si="417"/>
        <v>0</v>
      </c>
      <c r="R219" s="434">
        <f t="shared" si="418"/>
        <v>0</v>
      </c>
      <c r="S219" s="434">
        <f t="shared" si="419"/>
        <v>0</v>
      </c>
      <c r="T219" s="434">
        <f t="shared" si="420"/>
        <v>0</v>
      </c>
      <c r="U219" s="434">
        <f t="shared" si="421"/>
        <v>0</v>
      </c>
      <c r="V219" s="434">
        <f t="shared" si="422"/>
        <v>0</v>
      </c>
      <c r="W219" s="434">
        <f t="shared" si="369"/>
        <v>0</v>
      </c>
      <c r="X219" s="982">
        <f t="shared" si="370"/>
        <v>0</v>
      </c>
      <c r="Y219" s="1375"/>
      <c r="Z219" s="1376">
        <f t="shared" si="371"/>
        <v>0</v>
      </c>
      <c r="AA219" s="1376">
        <f t="shared" si="372"/>
        <v>0</v>
      </c>
      <c r="AB219" s="1376">
        <f t="shared" si="373"/>
        <v>0</v>
      </c>
      <c r="AC219" s="1376">
        <f t="shared" si="374"/>
        <v>0</v>
      </c>
      <c r="AD219" s="1376">
        <f t="shared" si="375"/>
        <v>0</v>
      </c>
      <c r="AE219" s="1376">
        <f t="shared" si="376"/>
        <v>0</v>
      </c>
      <c r="AF219" s="1376">
        <f t="shared" si="377"/>
        <v>0</v>
      </c>
      <c r="AG219" s="1376">
        <f t="shared" si="378"/>
        <v>0</v>
      </c>
      <c r="AH219" s="1374"/>
      <c r="AI219" s="444">
        <f t="shared" si="423"/>
        <v>0</v>
      </c>
      <c r="AJ219" s="1090"/>
      <c r="AK219" s="1377"/>
      <c r="AL219" s="811">
        <f t="shared" si="380"/>
        <v>46170</v>
      </c>
      <c r="AM219" s="666">
        <f>IFERROR(IF(AND(AT219="",AR219&lt;&gt;S.CAL!$BJ$3,AR219&lt;&gt;S.CAL!$BJ$4,$AR$185="NON"),M219-BD219,IF(AND(AT219="",AR219&lt;&gt;S.CAL!$BJ$3,AR219&lt;&gt;S.CAL!$BJ$4,$AR$185="OUI"),X219-AI219,IF(AT219&lt;&gt;0,AT219,IF(OR(AR219=S.CAL!$BJ$3,AR219=S.CAL!$BJ$4),AR219,"")))),"")</f>
        <v>0</v>
      </c>
      <c r="AN219" s="1093"/>
      <c r="AO219" s="1094"/>
      <c r="AP219" s="666">
        <f>+IF(AND(AU219="",BB219="OUI",BH219="non",BI219="OUI"),AM219,IF(AND(AU219="",BB219="OUI",BH219="oui",BI219="NON"),AM219,IF(AND(AU219="",BB219="NON",BH219="oui",BI219="NON"),M219,IF(AND(AU219="",BB219="NON",BH219="non",BI219="OUI"),M219,IF(AND(AU219="",BB219="OUI",BH219="non",BI219="NON"),"ERREUR",IF(AND(AU219="",BB219="NON",BH219="non",BI219="NON"),AM219,IF(AND(AU219="",BB219="OUI",BH219="",BI219=""),AM219,IF(AND(AU219="",BB219="NON",BH219="",BI219="",AZ219="NON"),M219,IF(AND(AU219="",BH219="",AZ219="OUI",AR219=""),AM219,IF(AND(AU219="",BH219="",AZ219="NON",AR219="",AT219=""),M219,IF(AND(OR(AR219=S.CAL!$BJ$3,AR219=S.CAL!$BJ$4),(VLOOKUP($AM$185,base_nbre_sem_mensu,2,FALSE)=52)),EE219,IF(AND(OR(AR219=S.CAL!$BJ$3,AR219=S.CAL!$BJ$4),(VLOOKUP($AM$185,base_nbre_sem_mensu,2,FALSE)&lt;52)),AM219,IF(AND(AT219&lt;&gt;"",AU219=""),AT219,AU219)))))))))))))</f>
        <v>0</v>
      </c>
      <c r="AQ219" s="1378">
        <f t="shared" si="400"/>
        <v>0</v>
      </c>
      <c r="AR219" s="1098"/>
      <c r="AS219" s="1374"/>
      <c r="AT219" s="1101"/>
      <c r="AU219" s="813"/>
      <c r="AV219" s="1370">
        <f t="shared" si="381"/>
        <v>46170</v>
      </c>
      <c r="AW219" s="1374"/>
      <c r="AX219" s="511">
        <f t="shared" si="401"/>
        <v>46170</v>
      </c>
      <c r="AY219" s="523">
        <f t="shared" si="402"/>
        <v>0</v>
      </c>
      <c r="AZ219" s="520" t="s">
        <v>137</v>
      </c>
      <c r="BA219" s="516">
        <f t="shared" si="403"/>
        <v>0</v>
      </c>
      <c r="BB219" s="549" t="str">
        <f t="shared" si="382"/>
        <v/>
      </c>
      <c r="BC219" s="523">
        <f t="shared" si="404"/>
        <v>0</v>
      </c>
      <c r="BD219" s="523">
        <f t="shared" si="405"/>
        <v>0</v>
      </c>
      <c r="BE219" s="732"/>
      <c r="BF219" s="514" t="str">
        <f t="shared" si="383"/>
        <v/>
      </c>
      <c r="BG219" s="514" t="str">
        <f t="shared" si="406"/>
        <v>oui</v>
      </c>
      <c r="BH219" s="377" t="str">
        <f t="shared" si="384"/>
        <v/>
      </c>
      <c r="BI219" s="24" t="str">
        <f t="shared" si="385"/>
        <v/>
      </c>
      <c r="BJ219" s="1382"/>
      <c r="BK219" s="1382"/>
      <c r="BL219" s="1382"/>
      <c r="BM219" s="1382"/>
      <c r="BN219" s="1382"/>
      <c r="BO219" s="1382"/>
      <c r="BP219" s="1382"/>
      <c r="BQ219" s="1382"/>
      <c r="BR219" s="1383"/>
      <c r="BS219" s="1370">
        <f t="shared" si="352"/>
        <v>46170</v>
      </c>
      <c r="BT219" s="1384" t="str">
        <f t="shared" si="414"/>
        <v/>
      </c>
      <c r="BU219" s="1382"/>
      <c r="BV219" s="1382"/>
      <c r="BW219" s="1382"/>
      <c r="BX219" s="1382"/>
      <c r="BY219" s="1382"/>
      <c r="BZ219" s="1382"/>
      <c r="CA219" s="1382"/>
      <c r="CB219" s="1382"/>
      <c r="CD219" s="1386">
        <f t="shared" si="407"/>
        <v>0</v>
      </c>
      <c r="DC219" s="16" t="str">
        <f>Mai!FC47</f>
        <v>non</v>
      </c>
      <c r="DG219" s="315">
        <f t="shared" si="408"/>
        <v>1</v>
      </c>
      <c r="DH219" s="129">
        <f t="shared" si="386"/>
        <v>10</v>
      </c>
      <c r="DI219" s="129">
        <f t="shared" si="409"/>
        <v>1</v>
      </c>
      <c r="DK219" s="16">
        <f>+IF(AND(Mai!$DP$8&lt;&gt;52,AR219=S.CAL!$BJ$4),10,1)</f>
        <v>1</v>
      </c>
      <c r="DN219" s="16">
        <f t="shared" si="387"/>
        <v>1</v>
      </c>
      <c r="DU219" s="1274" t="str">
        <f t="shared" si="410"/>
        <v>Fiche infoA446170</v>
      </c>
      <c r="DV219" s="1362">
        <f t="shared" si="388"/>
        <v>0</v>
      </c>
      <c r="DW219" s="1363">
        <f t="shared" si="389"/>
        <v>0</v>
      </c>
      <c r="DX219" s="1363">
        <f t="shared" si="390"/>
        <v>0</v>
      </c>
      <c r="DY219" s="1363">
        <f t="shared" si="391"/>
        <v>0</v>
      </c>
      <c r="DZ219" s="1363">
        <f t="shared" si="392"/>
        <v>0</v>
      </c>
      <c r="EA219" s="1363">
        <f t="shared" si="393"/>
        <v>0</v>
      </c>
      <c r="EB219" s="1363">
        <f t="shared" si="394"/>
        <v>0</v>
      </c>
      <c r="EC219" s="1363">
        <f t="shared" si="395"/>
        <v>0</v>
      </c>
      <c r="ED219" s="1363">
        <f t="shared" si="411"/>
        <v>0</v>
      </c>
      <c r="EE219" s="1364">
        <f t="shared" si="412"/>
        <v>0</v>
      </c>
      <c r="EG219" s="16" t="str">
        <f t="shared" si="413"/>
        <v>222026</v>
      </c>
      <c r="EH219" s="16" t="str">
        <f t="shared" si="396"/>
        <v>Fiche infoA4</v>
      </c>
      <c r="EI219" s="16" t="str">
        <f t="shared" si="397"/>
        <v/>
      </c>
    </row>
    <row r="220" spans="1:139" x14ac:dyDescent="0.2">
      <c r="A220" s="24" t="str">
        <f>Mai!BJ48</f>
        <v>Fiche infoA5</v>
      </c>
      <c r="B220" s="811">
        <f>Mai!AB48</f>
        <v>46171</v>
      </c>
      <c r="C220" s="1371"/>
      <c r="D220" s="981">
        <f t="shared" si="353"/>
        <v>0</v>
      </c>
      <c r="E220" s="434">
        <f t="shared" si="354"/>
        <v>0</v>
      </c>
      <c r="F220" s="434">
        <f t="shared" si="355"/>
        <v>0</v>
      </c>
      <c r="G220" s="434">
        <f t="shared" si="356"/>
        <v>0</v>
      </c>
      <c r="H220" s="434">
        <f t="shared" si="357"/>
        <v>0</v>
      </c>
      <c r="I220" s="434">
        <f t="shared" si="358"/>
        <v>0</v>
      </c>
      <c r="J220" s="434">
        <f t="shared" si="359"/>
        <v>0</v>
      </c>
      <c r="K220" s="434">
        <f t="shared" si="360"/>
        <v>0</v>
      </c>
      <c r="L220" s="434">
        <f t="shared" si="398"/>
        <v>0</v>
      </c>
      <c r="M220" s="982">
        <f t="shared" si="399"/>
        <v>0</v>
      </c>
      <c r="O220" s="981">
        <f t="shared" si="415"/>
        <v>0</v>
      </c>
      <c r="P220" s="434">
        <f t="shared" si="416"/>
        <v>0</v>
      </c>
      <c r="Q220" s="434">
        <f t="shared" si="417"/>
        <v>0</v>
      </c>
      <c r="R220" s="434">
        <f t="shared" si="418"/>
        <v>0</v>
      </c>
      <c r="S220" s="434">
        <f t="shared" si="419"/>
        <v>0</v>
      </c>
      <c r="T220" s="434">
        <f t="shared" si="420"/>
        <v>0</v>
      </c>
      <c r="U220" s="434">
        <f t="shared" si="421"/>
        <v>0</v>
      </c>
      <c r="V220" s="434">
        <f t="shared" si="422"/>
        <v>0</v>
      </c>
      <c r="W220" s="434">
        <f t="shared" si="369"/>
        <v>0</v>
      </c>
      <c r="X220" s="982">
        <f t="shared" si="370"/>
        <v>0</v>
      </c>
      <c r="Y220" s="441"/>
      <c r="Z220" s="277">
        <f t="shared" si="371"/>
        <v>0</v>
      </c>
      <c r="AA220" s="277">
        <f t="shared" si="372"/>
        <v>0</v>
      </c>
      <c r="AB220" s="277">
        <f t="shared" si="373"/>
        <v>0</v>
      </c>
      <c r="AC220" s="277">
        <f t="shared" si="374"/>
        <v>0</v>
      </c>
      <c r="AD220" s="277">
        <f t="shared" si="375"/>
        <v>0</v>
      </c>
      <c r="AE220" s="277">
        <f t="shared" si="376"/>
        <v>0</v>
      </c>
      <c r="AF220" s="277">
        <f t="shared" si="377"/>
        <v>0</v>
      </c>
      <c r="AG220" s="277">
        <f t="shared" si="378"/>
        <v>0</v>
      </c>
      <c r="AI220" s="444">
        <f t="shared" si="423"/>
        <v>0</v>
      </c>
      <c r="AJ220" s="1090"/>
      <c r="AK220" s="489"/>
      <c r="AL220" s="811">
        <f t="shared" si="380"/>
        <v>46171</v>
      </c>
      <c r="AM220" s="666">
        <f>IFERROR(IF(AND(AT220="",AR220&lt;&gt;S.CAL!$BJ$3,AR220&lt;&gt;S.CAL!$BJ$4,$AR$185="NON"),M220-BD220,IF(AND(AT220="",AR220&lt;&gt;S.CAL!$BJ$3,AR220&lt;&gt;S.CAL!$BJ$4,$AR$185="OUI"),X220-AI220,IF(AT220&lt;&gt;0,AT220,IF(OR(AR220=S.CAL!$BJ$3,AR220=S.CAL!$BJ$4),AR220,"")))),"")</f>
        <v>0</v>
      </c>
      <c r="AN220" s="1093"/>
      <c r="AO220" s="1094"/>
      <c r="AP220" s="666">
        <f>+IF(AND(AU220="",BB220="OUI",BH220="non",BI220="OUI"),AM220,IF(AND(AU220="",BB220="OUI",BH220="oui",BI220="NON"),AM220,IF(AND(AU220="",BB220="NON",BH220="oui",BI220="NON"),M220,IF(AND(AU220="",BB220="NON",BH220="non",BI220="OUI"),M220,IF(AND(AU220="",BB220="OUI",BH220="non",BI220="NON"),"ERREUR",IF(AND(AU220="",BB220="NON",BH220="non",BI220="NON"),AM220,IF(AND(AU220="",BB220="OUI",BH220="",BI220=""),AM220,IF(AND(AU220="",BB220="NON",BH220="",BI220="",AZ220="NON"),M220,IF(AND(AU220="",BH220="",AZ220="OUI",AR220=""),AM220,IF(AND(AU220="",BH220="",AZ220="NON",AR220="",AT220=""),M220,IF(AND(OR(AR220=S.CAL!$BJ$3,AR220=S.CAL!$BJ$4),(VLOOKUP($AM$185,base_nbre_sem_mensu,2,FALSE)=52)),EE220,IF(AND(OR(AR220=S.CAL!$BJ$3,AR220=S.CAL!$BJ$4),(VLOOKUP($AM$185,base_nbre_sem_mensu,2,FALSE)&lt;52)),AM220,IF(AND(AT220&lt;&gt;"",AU220=""),AT220,AU220)))))))))))))</f>
        <v>0</v>
      </c>
      <c r="AQ220" s="498">
        <f t="shared" si="400"/>
        <v>0</v>
      </c>
      <c r="AR220" s="1098"/>
      <c r="AT220" s="1101"/>
      <c r="AU220" s="813"/>
      <c r="AV220" s="1370">
        <f t="shared" si="381"/>
        <v>46171</v>
      </c>
      <c r="AX220" s="511">
        <f t="shared" si="401"/>
        <v>46171</v>
      </c>
      <c r="AY220" s="523">
        <f t="shared" si="402"/>
        <v>0</v>
      </c>
      <c r="AZ220" s="520" t="s">
        <v>137</v>
      </c>
      <c r="BA220" s="516">
        <f t="shared" si="403"/>
        <v>0</v>
      </c>
      <c r="BB220" s="549" t="str">
        <f t="shared" si="382"/>
        <v/>
      </c>
      <c r="BC220" s="523">
        <f t="shared" si="404"/>
        <v>0</v>
      </c>
      <c r="BD220" s="523">
        <f t="shared" si="405"/>
        <v>0</v>
      </c>
      <c r="BE220" s="732"/>
      <c r="BF220" s="514" t="str">
        <f t="shared" si="383"/>
        <v/>
      </c>
      <c r="BG220" s="514" t="str">
        <f t="shared" si="406"/>
        <v>oui</v>
      </c>
      <c r="BH220" s="377" t="str">
        <f t="shared" si="384"/>
        <v/>
      </c>
      <c r="BI220" s="24" t="str">
        <f t="shared" si="385"/>
        <v/>
      </c>
      <c r="BJ220" s="1381"/>
      <c r="BK220" s="1381"/>
      <c r="BL220" s="1381"/>
      <c r="BM220" s="1381"/>
      <c r="BN220" s="1381"/>
      <c r="BO220" s="1381"/>
      <c r="BP220" s="1381"/>
      <c r="BQ220" s="1381"/>
      <c r="BS220" s="1370">
        <f t="shared" si="352"/>
        <v>46171</v>
      </c>
      <c r="BT220" s="27" t="str">
        <f t="shared" si="414"/>
        <v/>
      </c>
      <c r="BU220" s="1380"/>
      <c r="BV220" s="1380"/>
      <c r="BW220" s="1380"/>
      <c r="BX220" s="1380"/>
      <c r="BY220" s="1380"/>
      <c r="BZ220" s="1380"/>
      <c r="CA220" s="1380"/>
      <c r="CB220" s="1380"/>
      <c r="CD220" s="1386">
        <f t="shared" si="407"/>
        <v>0</v>
      </c>
      <c r="DC220" s="16" t="str">
        <f>Mai!FC48</f>
        <v>non</v>
      </c>
      <c r="DG220" s="315">
        <f t="shared" si="408"/>
        <v>1</v>
      </c>
      <c r="DH220" s="129">
        <f t="shared" si="386"/>
        <v>10</v>
      </c>
      <c r="DI220" s="129">
        <f t="shared" si="409"/>
        <v>1</v>
      </c>
      <c r="DK220" s="16">
        <f>+IF(AND(Mai!$DP$8&lt;&gt;52,AR220=S.CAL!$BJ$4),10,1)</f>
        <v>1</v>
      </c>
      <c r="DN220" s="16">
        <f t="shared" si="387"/>
        <v>1</v>
      </c>
      <c r="DU220" s="1274" t="str">
        <f t="shared" si="410"/>
        <v>Fiche infoA546171</v>
      </c>
      <c r="DV220" s="1362">
        <f t="shared" si="388"/>
        <v>0</v>
      </c>
      <c r="DW220" s="1363">
        <f t="shared" si="389"/>
        <v>0</v>
      </c>
      <c r="DX220" s="1363">
        <f t="shared" si="390"/>
        <v>0</v>
      </c>
      <c r="DY220" s="1363">
        <f t="shared" si="391"/>
        <v>0</v>
      </c>
      <c r="DZ220" s="1363">
        <f t="shared" si="392"/>
        <v>0</v>
      </c>
      <c r="EA220" s="1363">
        <f t="shared" si="393"/>
        <v>0</v>
      </c>
      <c r="EB220" s="1363">
        <f t="shared" si="394"/>
        <v>0</v>
      </c>
      <c r="EC220" s="1363">
        <f t="shared" si="395"/>
        <v>0</v>
      </c>
      <c r="ED220" s="1363">
        <f t="shared" si="411"/>
        <v>0</v>
      </c>
      <c r="EE220" s="1364">
        <f t="shared" si="412"/>
        <v>0</v>
      </c>
      <c r="EG220" s="16" t="str">
        <f t="shared" si="413"/>
        <v>222026</v>
      </c>
      <c r="EH220" s="16" t="str">
        <f t="shared" si="396"/>
        <v>Fiche infoA5</v>
      </c>
      <c r="EI220" s="16" t="str">
        <f t="shared" si="397"/>
        <v/>
      </c>
    </row>
    <row r="221" spans="1:139" x14ac:dyDescent="0.2">
      <c r="A221" s="1373" t="str">
        <f>Mai!BJ49</f>
        <v>Fiche infoA6</v>
      </c>
      <c r="B221" s="811">
        <f>Mai!AB49</f>
        <v>46172</v>
      </c>
      <c r="C221" s="1372"/>
      <c r="D221" s="981">
        <f t="shared" si="353"/>
        <v>0</v>
      </c>
      <c r="E221" s="434">
        <f t="shared" si="354"/>
        <v>0</v>
      </c>
      <c r="F221" s="434">
        <f t="shared" si="355"/>
        <v>0</v>
      </c>
      <c r="G221" s="434">
        <f t="shared" si="356"/>
        <v>0</v>
      </c>
      <c r="H221" s="434">
        <f t="shared" si="357"/>
        <v>0</v>
      </c>
      <c r="I221" s="434">
        <f t="shared" si="358"/>
        <v>0</v>
      </c>
      <c r="J221" s="434">
        <f t="shared" si="359"/>
        <v>0</v>
      </c>
      <c r="K221" s="434">
        <f t="shared" si="360"/>
        <v>0</v>
      </c>
      <c r="L221" s="434">
        <f t="shared" si="398"/>
        <v>0</v>
      </c>
      <c r="M221" s="982">
        <f t="shared" si="399"/>
        <v>0</v>
      </c>
      <c r="N221" s="1374"/>
      <c r="O221" s="981">
        <f t="shared" si="415"/>
        <v>0</v>
      </c>
      <c r="P221" s="434">
        <f t="shared" si="416"/>
        <v>0</v>
      </c>
      <c r="Q221" s="434">
        <f t="shared" si="417"/>
        <v>0</v>
      </c>
      <c r="R221" s="434">
        <f t="shared" si="418"/>
        <v>0</v>
      </c>
      <c r="S221" s="434">
        <f t="shared" si="419"/>
        <v>0</v>
      </c>
      <c r="T221" s="434">
        <f t="shared" si="420"/>
        <v>0</v>
      </c>
      <c r="U221" s="434">
        <f t="shared" si="421"/>
        <v>0</v>
      </c>
      <c r="V221" s="434">
        <f t="shared" si="422"/>
        <v>0</v>
      </c>
      <c r="W221" s="434">
        <f t="shared" si="369"/>
        <v>0</v>
      </c>
      <c r="X221" s="982">
        <f t="shared" si="370"/>
        <v>0</v>
      </c>
      <c r="Y221" s="1375"/>
      <c r="Z221" s="1376">
        <f t="shared" si="371"/>
        <v>0</v>
      </c>
      <c r="AA221" s="1376">
        <f t="shared" si="372"/>
        <v>0</v>
      </c>
      <c r="AB221" s="1376">
        <f t="shared" si="373"/>
        <v>0</v>
      </c>
      <c r="AC221" s="1376">
        <f t="shared" si="374"/>
        <v>0</v>
      </c>
      <c r="AD221" s="1376">
        <f t="shared" si="375"/>
        <v>0</v>
      </c>
      <c r="AE221" s="1376">
        <f t="shared" si="376"/>
        <v>0</v>
      </c>
      <c r="AF221" s="1376">
        <f t="shared" si="377"/>
        <v>0</v>
      </c>
      <c r="AG221" s="1376">
        <f t="shared" si="378"/>
        <v>0</v>
      </c>
      <c r="AH221" s="1374"/>
      <c r="AI221" s="444">
        <f t="shared" si="423"/>
        <v>0</v>
      </c>
      <c r="AJ221" s="1090"/>
      <c r="AK221" s="1377"/>
      <c r="AL221" s="811">
        <f t="shared" si="380"/>
        <v>46172</v>
      </c>
      <c r="AM221" s="666">
        <f>IFERROR(IF(AND(AT221="",AR221&lt;&gt;S.CAL!$BJ$3,AR221&lt;&gt;S.CAL!$BJ$4,$AR$185="NON"),M221-BD221,IF(AND(AT221="",AR221&lt;&gt;S.CAL!$BJ$3,AR221&lt;&gt;S.CAL!$BJ$4,$AR$185="OUI"),X221-AI221,IF(AT221&lt;&gt;0,AT221,IF(OR(AR221=S.CAL!$BJ$3,AR221=S.CAL!$BJ$4),AR221,"")))),"")</f>
        <v>0</v>
      </c>
      <c r="AN221" s="1093"/>
      <c r="AO221" s="1094"/>
      <c r="AP221" s="666">
        <f>+IF(AND(AU221="",BB221="OUI",BH221="non",BI221="OUI"),AM221,IF(AND(AU221="",BB221="OUI",BH221="oui",BI221="NON"),AM221,IF(AND(AU221="",BB221="NON",BH221="oui",BI221="NON"),M221,IF(AND(AU221="",BB221="NON",BH221="non",BI221="OUI"),M221,IF(AND(AU221="",BB221="OUI",BH221="non",BI221="NON"),"ERREUR",IF(AND(AU221="",BB221="NON",BH221="non",BI221="NON"),AM221,IF(AND(AU221="",BB221="OUI",BH221="",BI221=""),AM221,IF(AND(AU221="",BB221="NON",BH221="",BI221="",AZ221="NON"),M221,IF(AND(AU221="",BH221="",AZ221="OUI",AR221=""),AM221,IF(AND(AU221="",BH221="",AZ221="NON",AR221="",AT221=""),M221,IF(AND(OR(AR221=S.CAL!$BJ$3,AR221=S.CAL!$BJ$4),(VLOOKUP($AM$185,base_nbre_sem_mensu,2,FALSE)=52)),EE221,IF(AND(OR(AR221=S.CAL!$BJ$3,AR221=S.CAL!$BJ$4),(VLOOKUP($AM$185,base_nbre_sem_mensu,2,FALSE)&lt;52)),AM221,IF(AND(AT221&lt;&gt;"",AU221=""),AT221,AU221)))))))))))))</f>
        <v>0</v>
      </c>
      <c r="AQ221" s="1378">
        <f t="shared" si="400"/>
        <v>0</v>
      </c>
      <c r="AR221" s="1098"/>
      <c r="AS221" s="1374"/>
      <c r="AT221" s="1101"/>
      <c r="AU221" s="813"/>
      <c r="AV221" s="1370">
        <f t="shared" si="381"/>
        <v>46172</v>
      </c>
      <c r="AW221" s="1374"/>
      <c r="AX221" s="511">
        <f t="shared" si="401"/>
        <v>46172</v>
      </c>
      <c r="AY221" s="523">
        <f t="shared" si="402"/>
        <v>0</v>
      </c>
      <c r="AZ221" s="520" t="s">
        <v>137</v>
      </c>
      <c r="BA221" s="516">
        <f t="shared" si="403"/>
        <v>0</v>
      </c>
      <c r="BB221" s="549" t="str">
        <f t="shared" si="382"/>
        <v/>
      </c>
      <c r="BC221" s="523">
        <f t="shared" si="404"/>
        <v>0</v>
      </c>
      <c r="BD221" s="523">
        <f t="shared" si="405"/>
        <v>0</v>
      </c>
      <c r="BE221" s="732"/>
      <c r="BF221" s="514" t="str">
        <f t="shared" si="383"/>
        <v/>
      </c>
      <c r="BG221" s="514" t="str">
        <f t="shared" si="406"/>
        <v>oui</v>
      </c>
      <c r="BH221" s="377" t="str">
        <f t="shared" si="384"/>
        <v/>
      </c>
      <c r="BI221" s="24" t="str">
        <f t="shared" si="385"/>
        <v/>
      </c>
      <c r="BJ221" s="1382"/>
      <c r="BK221" s="1382"/>
      <c r="BL221" s="1382"/>
      <c r="BM221" s="1382"/>
      <c r="BN221" s="1382"/>
      <c r="BO221" s="1382"/>
      <c r="BP221" s="1382"/>
      <c r="BQ221" s="1382"/>
      <c r="BR221" s="1383"/>
      <c r="BS221" s="1370">
        <f t="shared" si="352"/>
        <v>46172</v>
      </c>
      <c r="BT221" s="1384" t="str">
        <f t="shared" si="414"/>
        <v/>
      </c>
      <c r="BU221" s="1382"/>
      <c r="BV221" s="1382"/>
      <c r="BW221" s="1382"/>
      <c r="BX221" s="1382"/>
      <c r="BY221" s="1382"/>
      <c r="BZ221" s="1382"/>
      <c r="CA221" s="1382"/>
      <c r="CB221" s="1382"/>
      <c r="CD221" s="1386">
        <f t="shared" si="407"/>
        <v>0</v>
      </c>
      <c r="DC221" s="16" t="str">
        <f>Mai!FC49</f>
        <v>non</v>
      </c>
      <c r="DG221" s="315">
        <f t="shared" si="408"/>
        <v>1</v>
      </c>
      <c r="DH221" s="129">
        <f t="shared" si="386"/>
        <v>10</v>
      </c>
      <c r="DI221" s="129">
        <f t="shared" si="409"/>
        <v>1</v>
      </c>
      <c r="DK221" s="16">
        <f>+IF(AND(Mai!$DP$8&lt;&gt;52,AR221=S.CAL!$BJ$4),10,1)</f>
        <v>1</v>
      </c>
      <c r="DN221" s="16">
        <f t="shared" si="387"/>
        <v>1</v>
      </c>
      <c r="DU221" s="1274" t="str">
        <f t="shared" si="410"/>
        <v>Fiche infoA646172</v>
      </c>
      <c r="DV221" s="1362">
        <f t="shared" si="388"/>
        <v>0</v>
      </c>
      <c r="DW221" s="1363">
        <f t="shared" si="389"/>
        <v>0</v>
      </c>
      <c r="DX221" s="1363">
        <f t="shared" si="390"/>
        <v>0</v>
      </c>
      <c r="DY221" s="1363">
        <f t="shared" si="391"/>
        <v>0</v>
      </c>
      <c r="DZ221" s="1363">
        <f t="shared" si="392"/>
        <v>0</v>
      </c>
      <c r="EA221" s="1363">
        <f t="shared" si="393"/>
        <v>0</v>
      </c>
      <c r="EB221" s="1363">
        <f t="shared" si="394"/>
        <v>0</v>
      </c>
      <c r="EC221" s="1363">
        <f t="shared" si="395"/>
        <v>0</v>
      </c>
      <c r="ED221" s="1363">
        <f t="shared" si="411"/>
        <v>0</v>
      </c>
      <c r="EE221" s="1364">
        <f t="shared" si="412"/>
        <v>0</v>
      </c>
      <c r="EG221" s="16" t="str">
        <f t="shared" si="413"/>
        <v>222026</v>
      </c>
      <c r="EH221" s="16" t="str">
        <f t="shared" si="396"/>
        <v>Fiche infoA6</v>
      </c>
      <c r="EI221" s="16" t="str">
        <f t="shared" si="397"/>
        <v/>
      </c>
    </row>
    <row r="222" spans="1:139" x14ac:dyDescent="0.2">
      <c r="A222" s="24" t="str">
        <f>Mai!BJ50</f>
        <v>Fiche infoA7</v>
      </c>
      <c r="B222" s="812">
        <f>Mai!AB50</f>
        <v>46173</v>
      </c>
      <c r="C222" s="1371"/>
      <c r="D222" s="983">
        <f t="shared" si="353"/>
        <v>0</v>
      </c>
      <c r="E222" s="984">
        <f t="shared" si="354"/>
        <v>0</v>
      </c>
      <c r="F222" s="984">
        <f t="shared" si="355"/>
        <v>0</v>
      </c>
      <c r="G222" s="984">
        <f t="shared" si="356"/>
        <v>0</v>
      </c>
      <c r="H222" s="984">
        <f t="shared" si="357"/>
        <v>0</v>
      </c>
      <c r="I222" s="984">
        <f t="shared" si="358"/>
        <v>0</v>
      </c>
      <c r="J222" s="984">
        <f t="shared" si="359"/>
        <v>0</v>
      </c>
      <c r="K222" s="984">
        <f t="shared" si="360"/>
        <v>0</v>
      </c>
      <c r="L222" s="984">
        <f t="shared" si="398"/>
        <v>0</v>
      </c>
      <c r="M222" s="985">
        <f t="shared" si="399"/>
        <v>0</v>
      </c>
      <c r="O222" s="983">
        <f t="shared" si="415"/>
        <v>0</v>
      </c>
      <c r="P222" s="984">
        <f t="shared" si="416"/>
        <v>0</v>
      </c>
      <c r="Q222" s="984">
        <f t="shared" si="417"/>
        <v>0</v>
      </c>
      <c r="R222" s="984">
        <f t="shared" si="418"/>
        <v>0</v>
      </c>
      <c r="S222" s="984">
        <f t="shared" si="419"/>
        <v>0</v>
      </c>
      <c r="T222" s="984">
        <f t="shared" si="420"/>
        <v>0</v>
      </c>
      <c r="U222" s="984">
        <f t="shared" si="421"/>
        <v>0</v>
      </c>
      <c r="V222" s="984">
        <f t="shared" si="422"/>
        <v>0</v>
      </c>
      <c r="W222" s="984">
        <f t="shared" si="369"/>
        <v>0</v>
      </c>
      <c r="X222" s="985">
        <f t="shared" si="370"/>
        <v>0</v>
      </c>
      <c r="Y222" s="441"/>
      <c r="Z222" s="277">
        <f t="shared" si="371"/>
        <v>0</v>
      </c>
      <c r="AA222" s="277">
        <f t="shared" si="372"/>
        <v>0</v>
      </c>
      <c r="AB222" s="277">
        <f t="shared" si="373"/>
        <v>0</v>
      </c>
      <c r="AC222" s="277">
        <f t="shared" si="374"/>
        <v>0</v>
      </c>
      <c r="AD222" s="277">
        <f t="shared" si="375"/>
        <v>0</v>
      </c>
      <c r="AE222" s="277">
        <f t="shared" si="376"/>
        <v>0</v>
      </c>
      <c r="AF222" s="277">
        <f t="shared" si="377"/>
        <v>0</v>
      </c>
      <c r="AG222" s="277">
        <f t="shared" si="378"/>
        <v>0</v>
      </c>
      <c r="AI222" s="444">
        <f t="shared" si="423"/>
        <v>0</v>
      </c>
      <c r="AJ222" s="1090"/>
      <c r="AK222" s="489"/>
      <c r="AL222" s="812">
        <f t="shared" si="380"/>
        <v>46173</v>
      </c>
      <c r="AM222" s="499">
        <f>IFERROR(IF(AND(AT222="",AR222&lt;&gt;S.CAL!$BJ$3,AR222&lt;&gt;S.CAL!$BJ$4,$AR$185="NON"),M222-BD222,IF(AND(AT222="",AR222&lt;&gt;S.CAL!$BJ$3,AR222&lt;&gt;S.CAL!$BJ$4,$AR$185="OUI"),X222-AI222,IF(AT222&lt;&gt;0,AT222,IF(OR(AR222=S.CAL!$BJ$3,AR222=S.CAL!$BJ$4),AR222,"")))),"")</f>
        <v>0</v>
      </c>
      <c r="AN222" s="1095"/>
      <c r="AO222" s="1096"/>
      <c r="AP222" s="499">
        <f>+IF(AND(AU222="",BB222="OUI",BH222="non",BI222="OUI"),AM222,IF(AND(AU222="",BB222="OUI",BH222="oui",BI222="NON"),AM222,IF(AND(AU222="",BB222="NON",BH222="oui",BI222="NON"),M222,IF(AND(AU222="",BB222="NON",BH222="non",BI222="OUI"),M222,IF(AND(AU222="",BB222="OUI",BH222="non",BI222="NON"),"ERREUR",IF(AND(AU222="",BB222="NON",BH222="non",BI222="NON"),AM222,IF(AND(AU222="",BB222="OUI",BH222="",BI222=""),AM222,IF(AND(AU222="",BB222="NON",BH222="",BI222="",AZ222="NON"),M222,IF(AND(AU222="",BH222="",AZ222="OUI",AR222=""),AM222,IF(AND(AU222="",BH222="",AZ222="NON",AR222="",AT222=""),M222,IF(AND(OR(AR222=S.CAL!$BJ$3,AR222=S.CAL!$BJ$4),(VLOOKUP($AM$185,base_nbre_sem_mensu,2,FALSE)=52)),EE222,IF(AND(OR(AR222=S.CAL!$BJ$3,AR222=S.CAL!$BJ$4),(VLOOKUP($AM$185,base_nbre_sem_mensu,2,FALSE)&lt;52)),AM222,IF(AND(AT222&lt;&gt;"",AU222=""),AT222,AU222)))))))))))))</f>
        <v>0</v>
      </c>
      <c r="AQ222" s="498">
        <f t="shared" si="400"/>
        <v>0</v>
      </c>
      <c r="AR222" s="1099"/>
      <c r="AT222" s="1102"/>
      <c r="AU222" s="814"/>
      <c r="AV222" s="812">
        <f t="shared" si="381"/>
        <v>46173</v>
      </c>
      <c r="AX222" s="511">
        <f t="shared" si="401"/>
        <v>46173</v>
      </c>
      <c r="AY222" s="524">
        <f t="shared" si="402"/>
        <v>0</v>
      </c>
      <c r="AZ222" s="521" t="s">
        <v>137</v>
      </c>
      <c r="BA222" s="534">
        <f t="shared" si="403"/>
        <v>0</v>
      </c>
      <c r="BB222" s="522" t="str">
        <f t="shared" si="382"/>
        <v/>
      </c>
      <c r="BC222" s="524">
        <f t="shared" si="404"/>
        <v>0</v>
      </c>
      <c r="BD222" s="524">
        <f t="shared" si="405"/>
        <v>0</v>
      </c>
      <c r="BE222" s="491"/>
      <c r="BF222" s="514" t="str">
        <f t="shared" si="383"/>
        <v/>
      </c>
      <c r="BG222" s="514" t="str">
        <f t="shared" si="406"/>
        <v>oui</v>
      </c>
      <c r="BH222" s="377" t="str">
        <f t="shared" si="384"/>
        <v/>
      </c>
      <c r="BI222" s="24" t="str">
        <f t="shared" si="385"/>
        <v/>
      </c>
      <c r="BJ222" s="1381"/>
      <c r="BK222" s="1381"/>
      <c r="BL222" s="1381"/>
      <c r="BM222" s="1381"/>
      <c r="BN222" s="1381"/>
      <c r="BO222" s="1381"/>
      <c r="BP222" s="1381"/>
      <c r="BQ222" s="1381"/>
      <c r="BS222" s="812">
        <f t="shared" si="352"/>
        <v>46173</v>
      </c>
      <c r="BT222" s="27" t="str">
        <f t="shared" si="414"/>
        <v/>
      </c>
      <c r="BU222" s="1380"/>
      <c r="BV222" s="1380"/>
      <c r="BW222" s="1380"/>
      <c r="BX222" s="1380"/>
      <c r="BY222" s="1380"/>
      <c r="BZ222" s="1380"/>
      <c r="CA222" s="1380"/>
      <c r="CB222" s="1380"/>
      <c r="CD222" s="1387">
        <f t="shared" si="407"/>
        <v>0</v>
      </c>
      <c r="DC222" s="16" t="str">
        <f>Mai!FC50</f>
        <v>non</v>
      </c>
      <c r="DG222" s="315">
        <f t="shared" si="408"/>
        <v>1</v>
      </c>
      <c r="DH222" s="129">
        <f t="shared" si="386"/>
        <v>10</v>
      </c>
      <c r="DI222" s="129">
        <f t="shared" si="409"/>
        <v>1</v>
      </c>
      <c r="DK222" s="16">
        <f>+IF(AND(Mai!$DP$8&lt;&gt;52,AR222=S.CAL!$BJ$4),10,1)</f>
        <v>1</v>
      </c>
      <c r="DN222" s="16">
        <f t="shared" si="387"/>
        <v>1</v>
      </c>
      <c r="DU222" s="1274" t="str">
        <f t="shared" si="410"/>
        <v>Fiche infoA746173</v>
      </c>
      <c r="DV222" s="1362">
        <f t="shared" si="388"/>
        <v>0</v>
      </c>
      <c r="DW222" s="1363">
        <f t="shared" si="389"/>
        <v>0</v>
      </c>
      <c r="DX222" s="1363">
        <f t="shared" si="390"/>
        <v>0</v>
      </c>
      <c r="DY222" s="1363">
        <f t="shared" si="391"/>
        <v>0</v>
      </c>
      <c r="DZ222" s="1363">
        <f t="shared" si="392"/>
        <v>0</v>
      </c>
      <c r="EA222" s="1363">
        <f t="shared" si="393"/>
        <v>0</v>
      </c>
      <c r="EB222" s="1363">
        <f t="shared" si="394"/>
        <v>0</v>
      </c>
      <c r="EC222" s="1363">
        <f t="shared" si="395"/>
        <v>0</v>
      </c>
      <c r="ED222" s="1363">
        <f t="shared" si="411"/>
        <v>0</v>
      </c>
      <c r="EE222" s="1364">
        <f t="shared" si="412"/>
        <v>0</v>
      </c>
      <c r="EG222" s="16" t="str">
        <f t="shared" si="413"/>
        <v>222026</v>
      </c>
      <c r="EH222" s="16" t="str">
        <f t="shared" si="396"/>
        <v>Fiche infoA7</v>
      </c>
      <c r="EI222" s="16" t="str">
        <f t="shared" si="397"/>
        <v/>
      </c>
    </row>
    <row r="223" spans="1:139" x14ac:dyDescent="0.2">
      <c r="AM223" s="536">
        <f>SUM(AM192:AM222)</f>
        <v>0</v>
      </c>
      <c r="AN223" s="500">
        <f>SUM(AN192:AN222)</f>
        <v>0</v>
      </c>
      <c r="AO223" s="500">
        <f>SUM(AO192:AO222)</f>
        <v>0</v>
      </c>
      <c r="AP223" s="501">
        <f>SUM(AP192:AP222)</f>
        <v>0</v>
      </c>
      <c r="BD223" s="537">
        <f>SUM(BD192:BD222)</f>
        <v>0</v>
      </c>
      <c r="EE223" s="1364"/>
    </row>
    <row r="224" spans="1:139" x14ac:dyDescent="0.2">
      <c r="X224" s="29" t="s">
        <v>441</v>
      </c>
      <c r="Y224" s="29"/>
      <c r="Z224" s="29"/>
      <c r="AA224" s="29"/>
      <c r="AB224" s="29"/>
      <c r="AC224" s="29"/>
      <c r="AD224" s="29"/>
      <c r="AE224" s="29"/>
      <c r="AF224" s="29"/>
      <c r="AG224" s="29"/>
      <c r="AI224" s="445">
        <f>SUM(AI192:AI222)</f>
        <v>0</v>
      </c>
      <c r="AJ224" s="19"/>
      <c r="AK224" s="19"/>
      <c r="AL224" s="19"/>
      <c r="AM224" s="19"/>
      <c r="AN224" s="19"/>
      <c r="AO224" s="19"/>
      <c r="AP224" s="19"/>
      <c r="AQ224" s="494"/>
    </row>
    <row r="226" spans="1:145" ht="23.25" x14ac:dyDescent="0.35">
      <c r="B226" s="435" t="s">
        <v>794</v>
      </c>
      <c r="C226" s="435"/>
      <c r="D226" s="435"/>
      <c r="BS226" s="19" t="s">
        <v>1524</v>
      </c>
      <c r="EK226" s="16" t="str">
        <f>+EG236</f>
        <v>numero sem</v>
      </c>
      <c r="EL226" s="27" t="s">
        <v>1518</v>
      </c>
      <c r="EM226" s="27" t="s">
        <v>1519</v>
      </c>
      <c r="EN226" s="16" t="s">
        <v>1520</v>
      </c>
    </row>
    <row r="227" spans="1:145" ht="13.5" thickBot="1" x14ac:dyDescent="0.25">
      <c r="AR227" s="1717" t="s">
        <v>989</v>
      </c>
      <c r="AS227" s="1718"/>
      <c r="AT227" s="1719"/>
      <c r="BT227" s="29" t="s">
        <v>1527</v>
      </c>
      <c r="BU227" s="27" t="str">
        <f>+IFERROR(EJ227,"")</f>
        <v>23</v>
      </c>
      <c r="BV227" s="53" t="str">
        <f>IF(BU227="","",+EN227)</f>
        <v>non</v>
      </c>
      <c r="BW227" s="1729" t="str">
        <f>+IF(BV227="oui", "Ecart "&amp;EO227&amp;" hrs","")</f>
        <v/>
      </c>
      <c r="BX227" s="1729"/>
      <c r="EJ227" s="16" t="str">
        <f>LEFT(EK227,LEN(EK227)-4)</f>
        <v>23</v>
      </c>
      <c r="EK227" s="16" t="str" cm="1">
        <f t="array" ref="EK227">IFERROR(INDEX(EG237:EG267,MATCH(0,INDEX(COUNTIF(EK226:EK226,EG237:EG267),0,0),0)),"")</f>
        <v>232026</v>
      </c>
      <c r="EL227" s="27">
        <f>+SUMIFS($EE$12:$EE$537,$EG$12:$EG$537,EK227)</f>
        <v>0</v>
      </c>
      <c r="EM227" s="27">
        <f>+SUMIFS($EI$12:$EI$537,$EG$12:$EG$537,EK227)</f>
        <v>0</v>
      </c>
      <c r="EN227" s="16" t="str">
        <f t="shared" ref="EN227:EN232" si="424">+IF(AND(EL227&lt;&gt;EM227,EK227&lt;&gt;""),"oui","non")</f>
        <v>non</v>
      </c>
      <c r="EO227" s="16">
        <f>+EL227-EM227</f>
        <v>0</v>
      </c>
    </row>
    <row r="228" spans="1:145" ht="13.5" thickTop="1" x14ac:dyDescent="0.2">
      <c r="C228" s="39" t="s">
        <v>793</v>
      </c>
      <c r="D228" s="1713">
        <f>+Identification!$B$7</f>
        <v>0</v>
      </c>
      <c r="E228" s="1713"/>
      <c r="F228" s="1713"/>
      <c r="G228" s="1713"/>
      <c r="O228" s="436" t="s">
        <v>76</v>
      </c>
      <c r="P228" s="32"/>
      <c r="Q228" s="33"/>
      <c r="R228" s="436" t="s">
        <v>140</v>
      </c>
      <c r="S228" s="32"/>
      <c r="T228" s="32"/>
      <c r="U228" s="32"/>
      <c r="V228" s="32"/>
      <c r="W228" s="32"/>
      <c r="X228" s="33"/>
      <c r="AR228" s="1720"/>
      <c r="AS228" s="1721"/>
      <c r="AT228" s="1722"/>
      <c r="BU228" s="27" t="str">
        <f t="shared" ref="BU228:BU232" si="425">+IFERROR(EJ228,"")</f>
        <v>24</v>
      </c>
      <c r="BV228" s="53" t="str">
        <f t="shared" ref="BV228:BV232" si="426">IF(BU228="","",+EN228)</f>
        <v>non</v>
      </c>
      <c r="BW228" s="1729" t="str">
        <f t="shared" ref="BW228:BW232" si="427">+IF(BV228="oui", "Ecart "&amp;EO228&amp;" hrs","")</f>
        <v/>
      </c>
      <c r="BX228" s="1729"/>
      <c r="EJ228" s="16" t="str">
        <f t="shared" ref="EJ228:EJ233" si="428">LEFT(EK228,LEN(EK228)-4)</f>
        <v>24</v>
      </c>
      <c r="EK228" s="16" t="str" cm="1">
        <f t="array" ref="EK228">IFERROR(INDEX(EG237:EG267,MATCH(0,INDEX(COUNTIF(EK226:EK227,EG237:EG267),0,0),0)),"")</f>
        <v>242026</v>
      </c>
      <c r="EL228" s="27">
        <f t="shared" ref="EL228:EL232" si="429">+SUMIFS($EE$12:$EE$537,$EG$12:$EG$537,EK228)</f>
        <v>0</v>
      </c>
      <c r="EM228" s="27">
        <f t="shared" ref="EM228:EM233" si="430">+SUMIFS($EI$12:$EI$537,$EG$12:$EG$537,EK228)</f>
        <v>0</v>
      </c>
      <c r="EN228" s="16" t="str">
        <f t="shared" si="424"/>
        <v>non</v>
      </c>
      <c r="EO228" s="16">
        <f t="shared" ref="EO228:EO233" si="431">+EL228-EM228</f>
        <v>0</v>
      </c>
    </row>
    <row r="229" spans="1:145" x14ac:dyDescent="0.2">
      <c r="O229" s="35"/>
      <c r="Q229" s="36"/>
      <c r="R229" s="1723"/>
      <c r="S229" s="1724"/>
      <c r="T229" s="1724"/>
      <c r="U229" s="1724"/>
      <c r="V229" s="1724"/>
      <c r="W229" s="1724"/>
      <c r="X229" s="1725"/>
      <c r="Y229" s="442"/>
      <c r="Z229" s="442"/>
      <c r="AA229" s="442"/>
      <c r="AB229" s="442"/>
      <c r="AC229" s="442"/>
      <c r="AD229" s="442"/>
      <c r="AE229" s="442"/>
      <c r="AF229" s="442"/>
      <c r="AG229" s="442"/>
      <c r="AR229" s="1720"/>
      <c r="AS229" s="1721"/>
      <c r="AT229" s="1722"/>
      <c r="BU229" s="27" t="str">
        <f t="shared" si="425"/>
        <v>25</v>
      </c>
      <c r="BV229" s="53" t="str">
        <f t="shared" si="426"/>
        <v>non</v>
      </c>
      <c r="BW229" s="1729" t="str">
        <f t="shared" si="427"/>
        <v/>
      </c>
      <c r="BX229" s="1729"/>
      <c r="EJ229" s="16" t="str">
        <f t="shared" si="428"/>
        <v>25</v>
      </c>
      <c r="EK229" s="16" t="str">
        <f t="array" ref="EK229">IFERROR(INDEX(EG237:EG267,MATCH(0,INDEX(COUNTIF(EK226:EK228,EG237:EG267),0,0),0)),"")</f>
        <v>252026</v>
      </c>
      <c r="EL229" s="27">
        <f t="shared" si="429"/>
        <v>0</v>
      </c>
      <c r="EM229" s="27">
        <f t="shared" si="430"/>
        <v>0</v>
      </c>
      <c r="EN229" s="16" t="str">
        <f t="shared" si="424"/>
        <v>non</v>
      </c>
      <c r="EO229" s="16">
        <f t="shared" si="431"/>
        <v>0</v>
      </c>
    </row>
    <row r="230" spans="1:145" x14ac:dyDescent="0.2">
      <c r="C230" s="39" t="s">
        <v>25</v>
      </c>
      <c r="D230" s="1713">
        <f>+Identification!$B$25</f>
        <v>0</v>
      </c>
      <c r="E230" s="1713"/>
      <c r="O230" s="35"/>
      <c r="Q230" s="36"/>
      <c r="R230" s="1723"/>
      <c r="S230" s="1724"/>
      <c r="T230" s="1724"/>
      <c r="U230" s="1724"/>
      <c r="V230" s="1724"/>
      <c r="W230" s="1724"/>
      <c r="X230" s="1725"/>
      <c r="Y230" s="442"/>
      <c r="Z230" s="442"/>
      <c r="AA230" s="442"/>
      <c r="AB230" s="442"/>
      <c r="AC230" s="442"/>
      <c r="AD230" s="442"/>
      <c r="AE230" s="442"/>
      <c r="AF230" s="442"/>
      <c r="AG230" s="442"/>
      <c r="AL230" s="16" t="str">
        <f t="shared" ref="AL230" si="432">C233</f>
        <v>Mois :</v>
      </c>
      <c r="AM230" s="1716">
        <f t="shared" ref="AM230" si="433">D233</f>
        <v>46174</v>
      </c>
      <c r="AN230" s="1716">
        <f t="shared" ref="AN230" si="434">E233</f>
        <v>0</v>
      </c>
      <c r="AR230" s="539" t="str">
        <f>IF(AT230="",AR185,AT230)</f>
        <v>NON</v>
      </c>
      <c r="AS230" s="538" t="s">
        <v>492</v>
      </c>
      <c r="AT230" s="1083"/>
      <c r="BJ230" s="16" t="str">
        <f t="shared" ref="BJ230" si="435">AL230</f>
        <v>Mois :</v>
      </c>
      <c r="BK230" s="1716">
        <f t="shared" ref="BK230" si="436">AM230</f>
        <v>46174</v>
      </c>
      <c r="BL230" s="1716"/>
      <c r="BU230" s="27" t="str">
        <f t="shared" si="425"/>
        <v>26</v>
      </c>
      <c r="BV230" s="53" t="str">
        <f t="shared" si="426"/>
        <v>non</v>
      </c>
      <c r="BW230" s="1729" t="str">
        <f t="shared" si="427"/>
        <v/>
      </c>
      <c r="BX230" s="1729"/>
      <c r="EJ230" s="16" t="str">
        <f t="shared" si="428"/>
        <v>26</v>
      </c>
      <c r="EK230" s="16" t="str">
        <f t="array" ref="EK230">IFERROR(INDEX(EG237:EG267,MATCH(0,INDEX(COUNTIF(EK226:EK229,EG237:EG267),0,0),0)),"")</f>
        <v>262026</v>
      </c>
      <c r="EL230" s="27">
        <f t="shared" si="429"/>
        <v>0</v>
      </c>
      <c r="EM230" s="27">
        <f t="shared" si="430"/>
        <v>0</v>
      </c>
      <c r="EN230" s="16" t="str">
        <f t="shared" si="424"/>
        <v>non</v>
      </c>
      <c r="EO230" s="16">
        <f t="shared" si="431"/>
        <v>0</v>
      </c>
    </row>
    <row r="231" spans="1:145" ht="13.5" thickBot="1" x14ac:dyDescent="0.25">
      <c r="O231" s="42"/>
      <c r="P231" s="43"/>
      <c r="Q231" s="44"/>
      <c r="R231" s="1726"/>
      <c r="S231" s="1727"/>
      <c r="T231" s="1727"/>
      <c r="U231" s="1727"/>
      <c r="V231" s="1727"/>
      <c r="W231" s="1727"/>
      <c r="X231" s="1728"/>
      <c r="Y231" s="442"/>
      <c r="Z231" s="442"/>
      <c r="AA231" s="442"/>
      <c r="AB231" s="442"/>
      <c r="AC231" s="442"/>
      <c r="AD231" s="442"/>
      <c r="AE231" s="442"/>
      <c r="AF231" s="442"/>
      <c r="AG231" s="442"/>
      <c r="BU231" s="27" t="str">
        <f t="shared" si="425"/>
        <v>27</v>
      </c>
      <c r="BV231" s="53" t="str">
        <f t="shared" si="426"/>
        <v>non</v>
      </c>
      <c r="BW231" s="1729" t="str">
        <f t="shared" si="427"/>
        <v/>
      </c>
      <c r="BX231" s="1729"/>
      <c r="EJ231" s="16" t="str">
        <f t="shared" si="428"/>
        <v>27</v>
      </c>
      <c r="EK231" s="16" t="str">
        <f t="array" ref="EK231">IFERROR(INDEX(EG237:EG267,MATCH(0,INDEX(COUNTIF(EK226:EK230,EG237:EG267),0,0),0)),"")</f>
        <v>272026</v>
      </c>
      <c r="EL231" s="27">
        <f t="shared" si="429"/>
        <v>0</v>
      </c>
      <c r="EM231" s="27">
        <f t="shared" si="430"/>
        <v>0</v>
      </c>
      <c r="EN231" s="16" t="str">
        <f t="shared" si="424"/>
        <v>non</v>
      </c>
      <c r="EO231" s="16">
        <f t="shared" si="431"/>
        <v>0</v>
      </c>
    </row>
    <row r="232" spans="1:145" ht="13.5" thickTop="1" x14ac:dyDescent="0.2">
      <c r="AI232" s="535" t="s">
        <v>986</v>
      </c>
      <c r="BU232" s="27" t="str">
        <f t="shared" si="425"/>
        <v/>
      </c>
      <c r="BV232" s="53" t="str">
        <f t="shared" si="426"/>
        <v/>
      </c>
      <c r="BW232" s="1729" t="str">
        <f t="shared" si="427"/>
        <v/>
      </c>
      <c r="BX232" s="1729"/>
      <c r="EJ232" s="16" t="e">
        <f t="shared" si="428"/>
        <v>#VALUE!</v>
      </c>
      <c r="EK232" s="16" t="str">
        <f t="array" ref="EK232">IFERROR(INDEX(EG237:EG267,MATCH(0,INDEX(COUNTIF(EK226:EK231,EG237:EG267),0,0),0)),"")</f>
        <v/>
      </c>
      <c r="EL232" s="27">
        <f t="shared" si="429"/>
        <v>0</v>
      </c>
      <c r="EM232" s="27">
        <f t="shared" si="430"/>
        <v>0</v>
      </c>
      <c r="EN232" s="16" t="str">
        <f t="shared" si="424"/>
        <v>non</v>
      </c>
      <c r="EO232" s="16">
        <f t="shared" si="431"/>
        <v>0</v>
      </c>
    </row>
    <row r="233" spans="1:145" x14ac:dyDescent="0.2">
      <c r="C233" s="39" t="s">
        <v>28</v>
      </c>
      <c r="D233" s="1716">
        <f>+Juin!X3</f>
        <v>46174</v>
      </c>
      <c r="E233" s="1716"/>
      <c r="F233" s="39" t="s">
        <v>12</v>
      </c>
      <c r="G233" s="63">
        <f>+Juin!X4</f>
        <v>2026</v>
      </c>
      <c r="EJ233" s="16" t="e">
        <f t="shared" si="428"/>
        <v>#VALUE!</v>
      </c>
      <c r="EK233" s="16" t="str">
        <f t="array" ref="EK233">IFERROR(INDEX($EG$12:$EG$42,MATCH(0,INDEX(COUNTIF($EK$1:EK232,$EG$12:$EG$42),0,0),0)),"")</f>
        <v/>
      </c>
      <c r="EL233" s="27">
        <f>+SUMIFS($EE$12:$EE$537,$EG$12:$EG$537,EK233)</f>
        <v>0</v>
      </c>
      <c r="EM233" s="27">
        <f t="shared" si="430"/>
        <v>0</v>
      </c>
      <c r="EN233" s="16" t="str">
        <f>+IF(AND(EL233&lt;&gt;EM233,EK233&lt;&gt;""),"oui","non")</f>
        <v>non</v>
      </c>
      <c r="EO233" s="16">
        <f t="shared" si="431"/>
        <v>0</v>
      </c>
    </row>
    <row r="234" spans="1:145" x14ac:dyDescent="0.2">
      <c r="AL234" s="1714" t="s">
        <v>960</v>
      </c>
      <c r="AM234" s="1714"/>
      <c r="AN234" s="1714"/>
      <c r="AO234" s="1714"/>
      <c r="AP234" s="1714"/>
      <c r="AQ234" s="492"/>
      <c r="AT234" s="1715" t="s">
        <v>749</v>
      </c>
      <c r="AU234" s="1715"/>
      <c r="AV234" s="1715"/>
      <c r="AW234" s="63"/>
      <c r="AX234" s="63"/>
      <c r="AY234" s="517" t="s">
        <v>975</v>
      </c>
      <c r="AZ234" s="518"/>
      <c r="BA234" s="518"/>
      <c r="BB234" s="518"/>
      <c r="BC234" s="519"/>
      <c r="BD234" s="519"/>
      <c r="BE234" s="519"/>
      <c r="BF234" s="512"/>
      <c r="BG234" s="512"/>
      <c r="BJ234" s="437"/>
      <c r="BK234" s="437"/>
      <c r="BL234" s="437"/>
      <c r="BM234" s="437"/>
      <c r="BN234" s="437"/>
      <c r="BO234" s="437"/>
      <c r="BP234" s="437"/>
      <c r="BQ234" s="437"/>
      <c r="BU234" s="438"/>
      <c r="BV234" s="438"/>
      <c r="BW234" s="438"/>
      <c r="BX234" s="438"/>
      <c r="BY234" s="438"/>
      <c r="BZ234" s="438"/>
      <c r="CA234" s="438"/>
      <c r="CB234" s="438"/>
    </row>
    <row r="235" spans="1:145" ht="15" customHeight="1" x14ac:dyDescent="0.2">
      <c r="D235" s="439" t="s">
        <v>791</v>
      </c>
      <c r="E235" s="438"/>
      <c r="F235" s="438"/>
      <c r="G235" s="438"/>
      <c r="H235" s="438"/>
      <c r="I235" s="438"/>
      <c r="J235" s="438"/>
      <c r="K235" s="438"/>
      <c r="L235" s="438"/>
      <c r="M235" s="438"/>
      <c r="O235" s="440" t="s">
        <v>790</v>
      </c>
      <c r="P235" s="437"/>
      <c r="Q235" s="437"/>
      <c r="R235" s="437"/>
      <c r="S235" s="437"/>
      <c r="T235" s="437"/>
      <c r="U235" s="437"/>
      <c r="V235" s="437"/>
      <c r="W235" s="437"/>
      <c r="X235" s="437"/>
      <c r="BJ235" s="1087" t="s">
        <v>792</v>
      </c>
      <c r="BK235" s="1088"/>
      <c r="BL235" s="1088"/>
      <c r="BM235" s="1088"/>
      <c r="BN235" s="1088"/>
      <c r="BO235" s="1088"/>
      <c r="BP235" s="1088"/>
      <c r="BQ235" s="1088"/>
      <c r="BU235" s="1087" t="s">
        <v>1369</v>
      </c>
      <c r="BV235" s="1088"/>
      <c r="BW235" s="1088"/>
      <c r="BX235" s="1088"/>
      <c r="BY235" s="1088"/>
      <c r="BZ235" s="1088"/>
      <c r="CA235" s="1088"/>
      <c r="CB235" s="1088"/>
      <c r="DG235" s="315" t="s">
        <v>1326</v>
      </c>
      <c r="DH235" s="129"/>
      <c r="DI235" s="129"/>
      <c r="DK235" s="129" t="s">
        <v>1331</v>
      </c>
      <c r="DN235" s="16" t="s">
        <v>1334</v>
      </c>
      <c r="DV235" s="825" t="s">
        <v>1521</v>
      </c>
      <c r="DW235" s="825"/>
      <c r="DX235" s="825"/>
      <c r="DY235" s="825"/>
      <c r="DZ235" s="825"/>
      <c r="EA235" s="825"/>
      <c r="EB235" s="825"/>
      <c r="EC235" s="825"/>
      <c r="ED235" s="825"/>
      <c r="EE235" s="825"/>
    </row>
    <row r="236" spans="1:145" ht="56.25" customHeight="1" x14ac:dyDescent="0.2">
      <c r="A236" s="24" t="s">
        <v>789</v>
      </c>
      <c r="B236" s="432" t="s">
        <v>16</v>
      </c>
      <c r="C236" s="433"/>
      <c r="D236" s="432" t="s">
        <v>219</v>
      </c>
      <c r="E236" s="432" t="s">
        <v>220</v>
      </c>
      <c r="F236" s="432" t="s">
        <v>221</v>
      </c>
      <c r="G236" s="432" t="s">
        <v>222</v>
      </c>
      <c r="H236" s="432" t="s">
        <v>522</v>
      </c>
      <c r="I236" s="432" t="s">
        <v>523</v>
      </c>
      <c r="J236" s="432" t="s">
        <v>524</v>
      </c>
      <c r="K236" s="432" t="s">
        <v>525</v>
      </c>
      <c r="L236" s="432" t="s">
        <v>182</v>
      </c>
      <c r="M236" s="432" t="s">
        <v>183</v>
      </c>
      <c r="N236" s="433"/>
      <c r="O236" s="432" t="s">
        <v>219</v>
      </c>
      <c r="P236" s="432" t="s">
        <v>220</v>
      </c>
      <c r="Q236" s="432" t="s">
        <v>221</v>
      </c>
      <c r="R236" s="432" t="s">
        <v>222</v>
      </c>
      <c r="S236" s="432" t="s">
        <v>522</v>
      </c>
      <c r="T236" s="432" t="s">
        <v>523</v>
      </c>
      <c r="U236" s="432" t="s">
        <v>524</v>
      </c>
      <c r="V236" s="432" t="s">
        <v>525</v>
      </c>
      <c r="W236" s="432" t="s">
        <v>182</v>
      </c>
      <c r="X236" s="432" t="s">
        <v>183</v>
      </c>
      <c r="Y236" s="433"/>
      <c r="Z236" s="432" t="s">
        <v>796</v>
      </c>
      <c r="AA236" s="432" t="s">
        <v>797</v>
      </c>
      <c r="AB236" s="432" t="s">
        <v>798</v>
      </c>
      <c r="AC236" s="432" t="s">
        <v>799</v>
      </c>
      <c r="AD236" s="432" t="s">
        <v>800</v>
      </c>
      <c r="AE236" s="432" t="s">
        <v>801</v>
      </c>
      <c r="AF236" s="432" t="s">
        <v>802</v>
      </c>
      <c r="AG236" s="432" t="s">
        <v>803</v>
      </c>
      <c r="AI236" s="432" t="s">
        <v>804</v>
      </c>
      <c r="AJ236" s="432" t="s">
        <v>795</v>
      </c>
      <c r="AK236" s="433"/>
      <c r="AL236" s="495" t="s">
        <v>16</v>
      </c>
      <c r="AM236" s="530" t="s">
        <v>1003</v>
      </c>
      <c r="AN236" s="1084" t="s">
        <v>958</v>
      </c>
      <c r="AO236" s="1085" t="s">
        <v>959</v>
      </c>
      <c r="AP236" s="496" t="s">
        <v>1707</v>
      </c>
      <c r="AQ236" s="493"/>
      <c r="AR236" s="1086" t="s">
        <v>684</v>
      </c>
      <c r="AT236" s="1086" t="s">
        <v>1333</v>
      </c>
      <c r="AU236" s="1085" t="s">
        <v>1707</v>
      </c>
      <c r="AV236" s="432" t="s">
        <v>16</v>
      </c>
      <c r="AW236" s="433"/>
      <c r="AX236" s="433"/>
      <c r="AY236" s="529" t="s">
        <v>972</v>
      </c>
      <c r="AZ236" s="530" t="s">
        <v>978</v>
      </c>
      <c r="BA236" s="513" t="s">
        <v>976</v>
      </c>
      <c r="BB236" s="550" t="s">
        <v>977</v>
      </c>
      <c r="BC236" s="551" t="s">
        <v>1005</v>
      </c>
      <c r="BD236" s="550" t="s">
        <v>979</v>
      </c>
      <c r="BE236" s="552" t="s">
        <v>1004</v>
      </c>
      <c r="BF236" s="513" t="s">
        <v>980</v>
      </c>
      <c r="BG236" s="513" t="s">
        <v>985</v>
      </c>
      <c r="BI236" s="24" t="s">
        <v>1011</v>
      </c>
      <c r="BJ236" s="432" t="s">
        <v>219</v>
      </c>
      <c r="BK236" s="432" t="s">
        <v>220</v>
      </c>
      <c r="BL236" s="432" t="s">
        <v>221</v>
      </c>
      <c r="BM236" s="432" t="s">
        <v>222</v>
      </c>
      <c r="BN236" s="432" t="s">
        <v>522</v>
      </c>
      <c r="BO236" s="432" t="s">
        <v>523</v>
      </c>
      <c r="BP236" s="432" t="s">
        <v>524</v>
      </c>
      <c r="BQ236" s="432" t="s">
        <v>525</v>
      </c>
      <c r="BS236" s="1361" t="str">
        <f t="shared" ref="BS236:BS267" si="437">AV236</f>
        <v>Jours</v>
      </c>
      <c r="BU236" s="432" t="s">
        <v>219</v>
      </c>
      <c r="BV236" s="432" t="s">
        <v>220</v>
      </c>
      <c r="BW236" s="432" t="s">
        <v>221</v>
      </c>
      <c r="BX236" s="432" t="s">
        <v>222</v>
      </c>
      <c r="BY236" s="432" t="s">
        <v>522</v>
      </c>
      <c r="BZ236" s="432" t="s">
        <v>523</v>
      </c>
      <c r="CA236" s="432" t="s">
        <v>524</v>
      </c>
      <c r="CB236" s="432" t="s">
        <v>525</v>
      </c>
      <c r="CD236" s="1361" t="s">
        <v>1526</v>
      </c>
      <c r="CS236" s="488"/>
      <c r="CT236" s="488"/>
      <c r="CU236" s="488"/>
      <c r="CV236" s="488"/>
      <c r="DG236" s="315" t="s">
        <v>1327</v>
      </c>
      <c r="DH236" s="129" t="s">
        <v>1328</v>
      </c>
      <c r="DI236" s="129" t="s">
        <v>1330</v>
      </c>
      <c r="DK236" s="129" t="s">
        <v>1332</v>
      </c>
      <c r="DU236" s="1361" t="s">
        <v>238</v>
      </c>
      <c r="DV236" s="1361" t="s">
        <v>219</v>
      </c>
      <c r="DW236" s="1361" t="s">
        <v>220</v>
      </c>
      <c r="DX236" s="1361" t="s">
        <v>221</v>
      </c>
      <c r="DY236" s="1361" t="s">
        <v>222</v>
      </c>
      <c r="DZ236" s="1361" t="s">
        <v>522</v>
      </c>
      <c r="EA236" s="1361" t="s">
        <v>523</v>
      </c>
      <c r="EB236" s="1361" t="s">
        <v>524</v>
      </c>
      <c r="EC236" s="1361" t="s">
        <v>525</v>
      </c>
      <c r="ED236" s="1361" t="s">
        <v>182</v>
      </c>
      <c r="EE236" s="1361" t="s">
        <v>183</v>
      </c>
      <c r="EG236" s="1361" t="s">
        <v>1224</v>
      </c>
      <c r="EH236" s="1361" t="s">
        <v>1522</v>
      </c>
      <c r="EI236" s="1361" t="s">
        <v>1523</v>
      </c>
    </row>
    <row r="237" spans="1:145" x14ac:dyDescent="0.2">
      <c r="A237" s="24" t="str">
        <f>Juin!BJ20</f>
        <v>Fiche infoA1</v>
      </c>
      <c r="B237" s="810">
        <f>Juin!AB20</f>
        <v>46174</v>
      </c>
      <c r="C237" s="1371"/>
      <c r="D237" s="978">
        <f t="shared" ref="D237:D267" si="438">IF(AR237&lt;&gt;"",0,IF(DN237=10,0,IFERROR(+IF(BU237="",VLOOKUP(A237,base_horaire,2,FALSE),BU237),0)))</f>
        <v>0</v>
      </c>
      <c r="E237" s="979">
        <f t="shared" ref="E237:E267" si="439">IF(AR237&lt;&gt;"",0,IF(DN237=10,0,IFERROR(+IF(BV237="",VLOOKUP(A237,base_horaire,3,FALSE),BV237),0)))</f>
        <v>0</v>
      </c>
      <c r="F237" s="979">
        <f t="shared" ref="F237:F267" si="440">IF(AR237&lt;&gt;"",0,IF(DN237=10,0,IFERROR(+IF(BW237="",VLOOKUP(A237,base_horaire,4,FALSE),BW237),0)))</f>
        <v>0</v>
      </c>
      <c r="G237" s="979">
        <f t="shared" ref="G237:G267" si="441">IF(AR237&lt;&gt;"",0,IF(DN237=10,0,IFERROR(+IF(BX237="",VLOOKUP(A237,base_horaire,5,FALSE),BX237),0)))</f>
        <v>0</v>
      </c>
      <c r="H237" s="979">
        <f t="shared" ref="H237:H267" si="442">IF(AR237&lt;&gt;"",0,IF(DN237=10,0,IFERROR(+IF(BY237="",VLOOKUP(A237,base_horaire,6,FALSE),BY237),0)))</f>
        <v>0</v>
      </c>
      <c r="I237" s="979">
        <f t="shared" ref="I237:I267" si="443">IF(AR237&lt;&gt;"",0,IF(DN237=10,0,IFERROR(+IF(BZ237="",VLOOKUP(A237,base_horaire,7,FALSE),BZ237),0)))</f>
        <v>0</v>
      </c>
      <c r="J237" s="979">
        <f t="shared" ref="J237:J267" si="444">IF(AR237&lt;&gt;"",0,IF(DN237=10,0,IFERROR(+IF(CA237="",VLOOKUP(A237,base_horaire,8,FALSE),CA237),0)))</f>
        <v>0</v>
      </c>
      <c r="K237" s="979">
        <f t="shared" ref="K237:K267" si="445">IF(AR237&lt;&gt;"",0,IF(DN237=10,0,IFERROR(+IF(CB237="",VLOOKUP(A237,base_horaire,9,FALSE),CB237),0)))</f>
        <v>0</v>
      </c>
      <c r="L237" s="979">
        <f>+E237-D237+G237-F237+I237-H237+K237-J237</f>
        <v>0</v>
      </c>
      <c r="M237" s="980">
        <f>ROUND(+L237*24,2)</f>
        <v>0</v>
      </c>
      <c r="O237" s="978">
        <f t="shared" ref="O237:O244" si="446">IF(AR237&lt;&gt;"",0,IF(DC237="oui",0,IF(AND(ISTEXT(AT237)=TRUE,BJ237=""),0,IF(BJ237="",D237,BJ237))))</f>
        <v>0</v>
      </c>
      <c r="P237" s="979">
        <f t="shared" ref="P237:P244" si="447">IF(AR237&lt;&gt;"",0,IF(DC237="oui",0,IF(AND(ISTEXT(AT237)=TRUE,BK237=""),0,IF(BK237="",E237,BK237))))</f>
        <v>0</v>
      </c>
      <c r="Q237" s="979">
        <f t="shared" ref="Q237:Q244" si="448">IF(AR237&lt;&gt;"",0,IF(DC237="oui",0,IF(AND(ISTEXT(AT237)=TRUE,BL237=""),0,IF(BL237="",F237,BL237))))</f>
        <v>0</v>
      </c>
      <c r="R237" s="979">
        <f t="shared" ref="R237:R244" si="449">IF(AR237&lt;&gt;"",0,IF(DC237="oui",0,IF(AND(ISTEXT(AT237)=TRUE,BM237=""),0,IF(BM237="",G237,BM237))))</f>
        <v>0</v>
      </c>
      <c r="S237" s="979">
        <f t="shared" ref="S237:S244" si="450">IF(AR237&lt;&gt;"",0,IF(DC237="oui",0,IF(AND(ISTEXT(AT237)=TRUE,BN237=""),0,IF(BN237="",H237,BN237))))</f>
        <v>0</v>
      </c>
      <c r="T237" s="979">
        <f t="shared" ref="T237:T244" si="451">IF(AR237&lt;&gt;"",0,IF(DC237="oui",0,IF(AND(ISTEXT(AT237)=TRUE,BO237=""),0,IF(BO237="",I237,BO237))))</f>
        <v>0</v>
      </c>
      <c r="U237" s="979">
        <f t="shared" ref="U237:U244" si="452">IF(AR237&lt;&gt;"",0,IF(DC237="oui",0,IF(AND(ISTEXT(AT237)=TRUE,BP237=""),0,IF(BP237="",J237,BP237))))</f>
        <v>0</v>
      </c>
      <c r="V237" s="979">
        <f t="shared" ref="V237:V244" si="453">IF(AR237&lt;&gt;"",0,IF(DC237="oui",0,IF(AND(ISTEXT(AT237)=TRUE,BQ237=""),0,IF(BQ237="",K237,BQ237))))</f>
        <v>0</v>
      </c>
      <c r="W237" s="979">
        <f t="shared" ref="W237:W267" si="454">+P237-O237+R237-Q237+T237-S237+V237-U237</f>
        <v>0</v>
      </c>
      <c r="X237" s="980">
        <f t="shared" ref="X237:X267" si="455">ROUND(+W237*24,2)</f>
        <v>0</v>
      </c>
      <c r="Y237" s="441"/>
      <c r="Z237" s="277">
        <f t="shared" ref="Z237:Z267" si="456">+IF(AND(O237&gt;D237,D237&gt;0),D237,O237)</f>
        <v>0</v>
      </c>
      <c r="AA237" s="277">
        <f t="shared" ref="AA237:AA267" si="457">+IF(P237&gt;E237,P237,E237)</f>
        <v>0</v>
      </c>
      <c r="AB237" s="277">
        <f t="shared" ref="AB237:AB267" si="458">+IF(AND(Q237&gt;F237,F237&gt;0),F237,Q237)</f>
        <v>0</v>
      </c>
      <c r="AC237" s="277">
        <f t="shared" ref="AC237:AC267" si="459">+IF(R237&gt;G237,R237,G237)</f>
        <v>0</v>
      </c>
      <c r="AD237" s="277">
        <f t="shared" ref="AD237:AD267" si="460">+IF(AND(S237&gt;H237,H237&gt;0),H237,S237)</f>
        <v>0</v>
      </c>
      <c r="AE237" s="277">
        <f t="shared" ref="AE237:AE267" si="461">+IF(T237&gt;I237,T237,I237)</f>
        <v>0</v>
      </c>
      <c r="AF237" s="277">
        <f t="shared" ref="AF237:AF267" si="462">+IF(AND(U237&gt;J237,J237&gt;0),J237,U237)</f>
        <v>0</v>
      </c>
      <c r="AG237" s="277">
        <f t="shared" ref="AG237:AG267" si="463">+IF(V237&gt;K237,V237,K237)</f>
        <v>0</v>
      </c>
      <c r="AI237" s="443">
        <f t="shared" ref="AI237:AI244" si="464">IF(DC237="oui",0,IF(AND(ISTEXT(AT237)=TRUE,OR(X237=0,X237="")),0,ROUND(((((AA237-Z237)-(E237-D237))+((AC237-AB237)-(G237-F237))+((AE237-AD237)-(I237-H237))+(AG237-AF237)-(K237-J237))*24),2)))</f>
        <v>0</v>
      </c>
      <c r="AJ237" s="1089"/>
      <c r="AK237" s="489"/>
      <c r="AL237" s="810">
        <f t="shared" ref="AL237:AL267" si="465">B237</f>
        <v>46174</v>
      </c>
      <c r="AM237" s="497">
        <f>IFERROR(IF(AND(AT237="",AR237&lt;&gt;S.CAL!$BJ$3,AR237&lt;&gt;S.CAL!$BJ$4,$AR$230="NON"),M237-BD237,IF(AND(AT237="",AR237&lt;&gt;S.CAL!$BJ$3,AR237&lt;&gt;S.CAL!$BJ$4,$AR$230="OUI"),X237-AI237,IF(AT237&lt;&gt;0,AT237,IF(OR(AR237=S.CAL!$BJ$3,AR237=S.CAL!$BJ$4),AR237,"")))),"")</f>
        <v>0</v>
      </c>
      <c r="AN237" s="1091"/>
      <c r="AO237" s="1092"/>
      <c r="AP237" s="497">
        <f>+IF(AND(AU237="",BB237="OUI",BH237="non",BI237="OUI"),AM237,IF(AND(AU237="",BB237="OUI",BH237="oui",BI237="NON"),AM237,IF(AND(AU237="",BB237="NON",BH237="oui",BI237="NON"),M237,IF(AND(AU237="",BB237="NON",BH237="non",BI237="OUI"),M237,IF(AND(AU237="",BB237="OUI",BH237="non",BI237="NON"),"ERREUR",IF(AND(AU237="",BB237="NON",BH237="non",BI237="NON"),AM237,IF(AND(AU237="",BB237="OUI",BH237="",BI237=""),AM237,IF(AND(AU237="",BB237="NON",BH237="",BI237="",AZ237="NON"),M237,IF(AND(AU237="",BH237="",AZ237="OUI",AR237=""),AM237,IF(AND(AU237="",BH237="",AZ237="NON",AR237="",AT237=""),M237,IF(AND(OR(AR237=S.CAL!$BJ$3,AR237=S.CAL!$BJ$4),(VLOOKUP($AM$230,base_nbre_sem_mensu,2,FALSE)=52)),EE237,IF(AND(OR(AR237=S.CAL!$BJ$3,AR237=S.CAL!$BJ$4),(VLOOKUP($AM$230,base_nbre_sem_mensu,2,FALSE)&lt;52)),AM237,IF(AND(AT237&lt;&gt;"",AU237=""),AT237,AU237)))))))))))))</f>
        <v>0</v>
      </c>
      <c r="AQ237" s="498">
        <f>AI237-SUM(AN237:AO237)</f>
        <v>0</v>
      </c>
      <c r="AR237" s="1097"/>
      <c r="AT237" s="1100"/>
      <c r="AU237" s="813"/>
      <c r="AV237" s="1369">
        <f t="shared" ref="AV237:AV267" si="466">B237</f>
        <v>46174</v>
      </c>
      <c r="AX237" s="511">
        <f>+AV237</f>
        <v>46174</v>
      </c>
      <c r="AY237" s="528">
        <f>+IF(M237-X237&lt;0,0,M237-X237)</f>
        <v>0</v>
      </c>
      <c r="AZ237" s="531" t="s">
        <v>137</v>
      </c>
      <c r="BA237" s="532">
        <f>+IF(AZ237="OUI",AY237,0)</f>
        <v>0</v>
      </c>
      <c r="BB237" s="533" t="str">
        <f t="shared" ref="BB237:BB267" si="467">IF(AND(BE237="",+IFERROR(VLOOKUP(AT237,Liste_motif_formule,5,FALSE),0)="OUI"),"OUI",IF(AND(BE237="",IFERROR(VLOOKUP(AT237,Liste_motif_formule,5,FALSE),0)="NON"),"NON",IF(AND(BE237="",IFERROR(M237-AT237&gt;=0,0),AT237&lt;&gt;""),"OUI",IF(AND(BE237="",DC237="oui"),"OUI",IF(BE237&lt;&gt;"",BE237,"")))))</f>
        <v/>
      </c>
      <c r="BC237" s="528">
        <f>+IF(BB237="OUI",IFERROR(M237-AT237,M237),0)</f>
        <v>0</v>
      </c>
      <c r="BD237" s="528">
        <f>+BC237+BA237</f>
        <v>0</v>
      </c>
      <c r="BE237" s="490"/>
      <c r="BF237" s="514" t="str">
        <f t="shared" ref="BF237:BF267" si="468">+IF(AND(AZ237="OUI",BB237="OUI"),"ERREUR","")</f>
        <v/>
      </c>
      <c r="BG237" s="514" t="str">
        <f>+IF(AND(M237=0,AT237=""),"oui","non")</f>
        <v>oui</v>
      </c>
      <c r="BH237" s="377" t="str">
        <f t="shared" ref="BH237:BH267" si="469">IFERROR(+VLOOKUP(AT237,Liste_motif_formule,4,FALSE),"")</f>
        <v/>
      </c>
      <c r="BI237" s="24" t="str">
        <f t="shared" ref="BI237:BI267" si="470">IFERROR(+VLOOKUP(AT237,Liste_motif_formule,5,FALSE),"")</f>
        <v/>
      </c>
      <c r="BJ237" s="1381"/>
      <c r="BK237" s="1381"/>
      <c r="BL237" s="1381"/>
      <c r="BM237" s="1381"/>
      <c r="BN237" s="1381"/>
      <c r="BO237" s="1381"/>
      <c r="BP237" s="1381"/>
      <c r="BQ237" s="1381"/>
      <c r="BS237" s="1369">
        <f t="shared" si="437"/>
        <v>46174</v>
      </c>
      <c r="BT237" s="27">
        <f>IFERROR(WEEKNUM(BS237,21),"")</f>
        <v>23</v>
      </c>
      <c r="BU237" s="1379"/>
      <c r="BV237" s="1379"/>
      <c r="BW237" s="1379"/>
      <c r="BX237" s="1379"/>
      <c r="BY237" s="1379"/>
      <c r="BZ237" s="1379"/>
      <c r="CA237" s="1379"/>
      <c r="CB237" s="1379"/>
      <c r="CD237" s="1385">
        <f>+M237</f>
        <v>0</v>
      </c>
      <c r="DC237" s="16" t="str">
        <f>Juin!FC20</f>
        <v>non</v>
      </c>
      <c r="DG237" s="315">
        <f>IF(OR(AT237=0,AT237=""),1,10)</f>
        <v>1</v>
      </c>
      <c r="DH237" s="129">
        <f t="shared" ref="DH237:DH267" si="471">IFERROR(+VLOOKUP(AT237,Liste_motif_formule,9,FALSE),10)</f>
        <v>10</v>
      </c>
      <c r="DI237" s="129">
        <f>+IF(OR(DG237=1,DH237=1),1,10)</f>
        <v>1</v>
      </c>
      <c r="DK237" s="16">
        <f>+IF(AND(Juin!$DP$8&lt;&gt;52,AR237=S.CAL!$BJ$4),10,1)</f>
        <v>1</v>
      </c>
      <c r="DN237" s="16">
        <f t="shared" ref="DN237:DN267" si="472">+IF(AND(DC237="non",ISTEXT(AT237)=TRUE,IFERROR(VLOOKUP(AT237,Liste_motif_formule,4,FALSE)="non",0),IFERROR(VLOOKUP(AT237,Liste_motif_formule,5,FALSE)="non",0)),10,1)</f>
        <v>1</v>
      </c>
      <c r="DU237" s="1274" t="str">
        <f>+A237&amp;B237</f>
        <v>Fiche infoA146174</v>
      </c>
      <c r="DV237" s="1362">
        <f t="shared" ref="DV237:DV267" si="473">+IFERROR(+IF(BU237="",VLOOKUP(A237,base_horaire,2,FALSE),BU237),0)</f>
        <v>0</v>
      </c>
      <c r="DW237" s="1363">
        <f t="shared" ref="DW237:DW267" si="474">+IFERROR(+IF(BV237="",VLOOKUP(A237,base_horaire,3,FALSE),BV237),0)</f>
        <v>0</v>
      </c>
      <c r="DX237" s="1363">
        <f t="shared" ref="DX237:DX267" si="475">+IFERROR(+IF(BW237="",VLOOKUP(A237,base_horaire,4,FALSE),BW237),0)</f>
        <v>0</v>
      </c>
      <c r="DY237" s="1363">
        <f t="shared" ref="DY237:DY267" si="476">+IFERROR(+IF(BX237="",VLOOKUP(A237,base_horaire,5,FALSE),BX237),0)</f>
        <v>0</v>
      </c>
      <c r="DZ237" s="1363">
        <f t="shared" ref="DZ237:DZ267" si="477">+IFERROR(+IF(BY237="",VLOOKUP(A237,base_horaire,6,FALSE),BY237),0)</f>
        <v>0</v>
      </c>
      <c r="EA237" s="1363">
        <f t="shared" ref="EA237:EA267" si="478">IFERROR(+IF(BZ237="",VLOOKUP(A237,base_horaire,7,FALSE),BZ237),0)</f>
        <v>0</v>
      </c>
      <c r="EB237" s="1363">
        <f t="shared" ref="EB237:EB267" si="479">IFERROR(+IF(CA237="",VLOOKUP(A237,base_horaire,8,FALSE),CA237),0)</f>
        <v>0</v>
      </c>
      <c r="EC237" s="1363">
        <f t="shared" ref="EC237:EC267" si="480">IFERROR(+IF(CB237="",VLOOKUP(A237,base_horaire,9,FALSE),CB237),0)</f>
        <v>0</v>
      </c>
      <c r="ED237" s="1363">
        <f>+DW237-DV237+DY237-DX237+EA237-DZ237+EC237-EB237</f>
        <v>0</v>
      </c>
      <c r="EE237" s="1364">
        <f>ROUND(+ED237*24,2)</f>
        <v>0</v>
      </c>
      <c r="EG237" s="16" t="str">
        <f>+WEEKNUM(B237,21)&amp;YEAR(B237)</f>
        <v>232026</v>
      </c>
      <c r="EH237" s="16" t="str">
        <f t="shared" ref="EH237:EH267" si="481">+A237</f>
        <v>Fiche infoA1</v>
      </c>
      <c r="EI237" s="16" t="str">
        <f t="shared" ref="EI237:EI267" si="482">+VLOOKUP(EH237,Base_heures,6,FALSE)</f>
        <v/>
      </c>
    </row>
    <row r="238" spans="1:145" x14ac:dyDescent="0.2">
      <c r="A238" s="1373" t="str">
        <f>Juin!BJ21</f>
        <v>Fiche infoA2</v>
      </c>
      <c r="B238" s="811">
        <f>Juin!AB21</f>
        <v>46175</v>
      </c>
      <c r="C238" s="1372"/>
      <c r="D238" s="981">
        <f t="shared" si="438"/>
        <v>0</v>
      </c>
      <c r="E238" s="434">
        <f t="shared" si="439"/>
        <v>0</v>
      </c>
      <c r="F238" s="434">
        <f t="shared" si="440"/>
        <v>0</v>
      </c>
      <c r="G238" s="434">
        <f t="shared" si="441"/>
        <v>0</v>
      </c>
      <c r="H238" s="434">
        <f t="shared" si="442"/>
        <v>0</v>
      </c>
      <c r="I238" s="434">
        <f t="shared" si="443"/>
        <v>0</v>
      </c>
      <c r="J238" s="434">
        <f t="shared" si="444"/>
        <v>0</v>
      </c>
      <c r="K238" s="434">
        <f t="shared" si="445"/>
        <v>0</v>
      </c>
      <c r="L238" s="434">
        <f t="shared" ref="L238:L267" si="483">+E238-D238+G238-F238+I238-H238+K238-J238</f>
        <v>0</v>
      </c>
      <c r="M238" s="982">
        <f t="shared" ref="M238:M267" si="484">ROUND(+L238*24,2)</f>
        <v>0</v>
      </c>
      <c r="N238" s="1374"/>
      <c r="O238" s="981">
        <f t="shared" si="446"/>
        <v>0</v>
      </c>
      <c r="P238" s="434">
        <f t="shared" si="447"/>
        <v>0</v>
      </c>
      <c r="Q238" s="434">
        <f t="shared" si="448"/>
        <v>0</v>
      </c>
      <c r="R238" s="434">
        <f t="shared" si="449"/>
        <v>0</v>
      </c>
      <c r="S238" s="434">
        <f t="shared" si="450"/>
        <v>0</v>
      </c>
      <c r="T238" s="434">
        <f t="shared" si="451"/>
        <v>0</v>
      </c>
      <c r="U238" s="434">
        <f t="shared" si="452"/>
        <v>0</v>
      </c>
      <c r="V238" s="434">
        <f t="shared" si="453"/>
        <v>0</v>
      </c>
      <c r="W238" s="434">
        <f t="shared" si="454"/>
        <v>0</v>
      </c>
      <c r="X238" s="982">
        <f t="shared" si="455"/>
        <v>0</v>
      </c>
      <c r="Y238" s="1375"/>
      <c r="Z238" s="1376">
        <f t="shared" si="456"/>
        <v>0</v>
      </c>
      <c r="AA238" s="1376">
        <f t="shared" si="457"/>
        <v>0</v>
      </c>
      <c r="AB238" s="1376">
        <f t="shared" si="458"/>
        <v>0</v>
      </c>
      <c r="AC238" s="1376">
        <f t="shared" si="459"/>
        <v>0</v>
      </c>
      <c r="AD238" s="1376">
        <f t="shared" si="460"/>
        <v>0</v>
      </c>
      <c r="AE238" s="1376">
        <f t="shared" si="461"/>
        <v>0</v>
      </c>
      <c r="AF238" s="1376">
        <f t="shared" si="462"/>
        <v>0</v>
      </c>
      <c r="AG238" s="1376">
        <f t="shared" si="463"/>
        <v>0</v>
      </c>
      <c r="AH238" s="1374"/>
      <c r="AI238" s="444">
        <f t="shared" si="464"/>
        <v>0</v>
      </c>
      <c r="AJ238" s="1090"/>
      <c r="AK238" s="1377"/>
      <c r="AL238" s="811">
        <f t="shared" si="465"/>
        <v>46175</v>
      </c>
      <c r="AM238" s="666">
        <f>IFERROR(IF(AND(AT238="",AR238&lt;&gt;S.CAL!$BJ$3,AR238&lt;&gt;S.CAL!$BJ$4,$AR$230="NON"),M238-BD238,IF(AND(AT238="",AR238&lt;&gt;S.CAL!$BJ$3,AR238&lt;&gt;S.CAL!$BJ$4,$AR$230="OUI"),X238-AI238,IF(AT238&lt;&gt;0,AT238,IF(OR(AR238=S.CAL!$BJ$3,AR238=S.CAL!$BJ$4),AR238,"")))),"")</f>
        <v>0</v>
      </c>
      <c r="AN238" s="1093"/>
      <c r="AO238" s="1094"/>
      <c r="AP238" s="666">
        <f>+IF(AND(AU238="",BB238="OUI",BH238="non",BI238="OUI"),AM238,IF(AND(AU238="",BB238="OUI",BH238="oui",BI238="NON"),AM238,IF(AND(AU238="",BB238="NON",BH238="oui",BI238="NON"),M238,IF(AND(AU238="",BB238="NON",BH238="non",BI238="OUI"),M238,IF(AND(AU238="",BB238="OUI",BH238="non",BI238="NON"),"ERREUR",IF(AND(AU238="",BB238="NON",BH238="non",BI238="NON"),AM238,IF(AND(AU238="",BB238="OUI",BH238="",BI238=""),AM238,IF(AND(AU238="",BB238="NON",BH238="",BI238="",AZ238="NON"),M238,IF(AND(AU238="",BH238="",AZ238="OUI",AR238=""),AM238,IF(AND(AU238="",BH238="",AZ238="NON",AR238="",AT238=""),M238,IF(AND(OR(AR238=S.CAL!$BJ$3,AR238=S.CAL!$BJ$4),(VLOOKUP($AM$230,base_nbre_sem_mensu,2,FALSE)=52)),EE238,IF(AND(OR(AR238=S.CAL!$BJ$3,AR238=S.CAL!$BJ$4),(VLOOKUP($AM$230,base_nbre_sem_mensu,2,FALSE)&lt;52)),AM238,IF(AND(AT238&lt;&gt;"",AU238=""),AT238,AU238)))))))))))))</f>
        <v>0</v>
      </c>
      <c r="AQ238" s="1378">
        <f t="shared" ref="AQ238:AQ267" si="485">AI238-SUM(AN238:AO238)</f>
        <v>0</v>
      </c>
      <c r="AR238" s="1098"/>
      <c r="AS238" s="1374"/>
      <c r="AT238" s="1101"/>
      <c r="AU238" s="813"/>
      <c r="AV238" s="1370">
        <f t="shared" si="466"/>
        <v>46175</v>
      </c>
      <c r="AW238" s="1374"/>
      <c r="AX238" s="511">
        <f t="shared" ref="AX238:AX267" si="486">+AV238</f>
        <v>46175</v>
      </c>
      <c r="AY238" s="523">
        <f t="shared" ref="AY238:AY267" si="487">+IF(M238-X238&lt;0,0,M238-X238)</f>
        <v>0</v>
      </c>
      <c r="AZ238" s="520" t="s">
        <v>137</v>
      </c>
      <c r="BA238" s="516">
        <f t="shared" ref="BA238:BA267" si="488">+IF(AZ238="OUI",AY238,0)</f>
        <v>0</v>
      </c>
      <c r="BB238" s="549" t="str">
        <f t="shared" si="467"/>
        <v/>
      </c>
      <c r="BC238" s="523">
        <f t="shared" ref="BC238:BC267" si="489">+IF(BB238="OUI",IFERROR(M238-AT238,M238),0)</f>
        <v>0</v>
      </c>
      <c r="BD238" s="523">
        <f t="shared" ref="BD238:BD267" si="490">+BC238+BA238</f>
        <v>0</v>
      </c>
      <c r="BE238" s="732"/>
      <c r="BF238" s="514" t="str">
        <f t="shared" si="468"/>
        <v/>
      </c>
      <c r="BG238" s="514" t="str">
        <f t="shared" ref="BG238:BG267" si="491">+IF(AND(M238=0,AT238=""),"oui","non")</f>
        <v>oui</v>
      </c>
      <c r="BH238" s="377" t="str">
        <f t="shared" si="469"/>
        <v/>
      </c>
      <c r="BI238" s="24" t="str">
        <f t="shared" si="470"/>
        <v/>
      </c>
      <c r="BJ238" s="1382"/>
      <c r="BK238" s="1382"/>
      <c r="BL238" s="1382"/>
      <c r="BM238" s="1382"/>
      <c r="BN238" s="1382"/>
      <c r="BO238" s="1382"/>
      <c r="BP238" s="1382"/>
      <c r="BQ238" s="1382"/>
      <c r="BR238" s="1383"/>
      <c r="BS238" s="1370">
        <f t="shared" si="437"/>
        <v>46175</v>
      </c>
      <c r="BT238" s="1384" t="str">
        <f>IFERROR(IF(WEEKDAY(BS238,11)=1,WEEKNUM(BS238,21),""),"")</f>
        <v/>
      </c>
      <c r="BU238" s="1382"/>
      <c r="BV238" s="1382"/>
      <c r="BW238" s="1382"/>
      <c r="BX238" s="1382"/>
      <c r="BY238" s="1382"/>
      <c r="BZ238" s="1382"/>
      <c r="CA238" s="1382"/>
      <c r="CB238" s="1382"/>
      <c r="CD238" s="1386">
        <f t="shared" ref="CD238:CD267" si="492">+M238</f>
        <v>0</v>
      </c>
      <c r="DC238" s="16" t="str">
        <f>Juin!FC21</f>
        <v>non</v>
      </c>
      <c r="DG238" s="315">
        <f t="shared" ref="DG238:DG267" si="493">IF(OR(AT238=0,AT238=""),1,10)</f>
        <v>1</v>
      </c>
      <c r="DH238" s="129">
        <f t="shared" si="471"/>
        <v>10</v>
      </c>
      <c r="DI238" s="129">
        <f t="shared" ref="DI238:DI267" si="494">+IF(OR(DG238=1,DH238=1),1,10)</f>
        <v>1</v>
      </c>
      <c r="DK238" s="16">
        <f>+IF(AND(Juin!$DP$8&lt;&gt;52,AR238=S.CAL!$BJ$4),10,1)</f>
        <v>1</v>
      </c>
      <c r="DN238" s="16">
        <f t="shared" si="472"/>
        <v>1</v>
      </c>
      <c r="DU238" s="1274" t="str">
        <f t="shared" ref="DU238:DU267" si="495">+A238&amp;B238</f>
        <v>Fiche infoA246175</v>
      </c>
      <c r="DV238" s="1362">
        <f t="shared" si="473"/>
        <v>0</v>
      </c>
      <c r="DW238" s="1363">
        <f t="shared" si="474"/>
        <v>0</v>
      </c>
      <c r="DX238" s="1363">
        <f t="shared" si="475"/>
        <v>0</v>
      </c>
      <c r="DY238" s="1363">
        <f t="shared" si="476"/>
        <v>0</v>
      </c>
      <c r="DZ238" s="1363">
        <f t="shared" si="477"/>
        <v>0</v>
      </c>
      <c r="EA238" s="1363">
        <f t="shared" si="478"/>
        <v>0</v>
      </c>
      <c r="EB238" s="1363">
        <f t="shared" si="479"/>
        <v>0</v>
      </c>
      <c r="EC238" s="1363">
        <f t="shared" si="480"/>
        <v>0</v>
      </c>
      <c r="ED238" s="1363">
        <f t="shared" ref="ED238:ED267" si="496">+DW238-DV238+DY238-DX238+EA238-DZ238+EC238-EB238</f>
        <v>0</v>
      </c>
      <c r="EE238" s="1364">
        <f t="shared" ref="EE238:EE267" si="497">ROUND(+ED238*24,2)</f>
        <v>0</v>
      </c>
      <c r="EG238" s="16" t="str">
        <f t="shared" ref="EG238:EG267" si="498">+WEEKNUM(B238,21)&amp;YEAR(B238)</f>
        <v>232026</v>
      </c>
      <c r="EH238" s="16" t="str">
        <f t="shared" si="481"/>
        <v>Fiche infoA2</v>
      </c>
      <c r="EI238" s="16" t="str">
        <f t="shared" si="482"/>
        <v/>
      </c>
    </row>
    <row r="239" spans="1:145" x14ac:dyDescent="0.2">
      <c r="A239" s="24" t="str">
        <f>Juin!BJ22</f>
        <v>Fiche infoA3</v>
      </c>
      <c r="B239" s="811">
        <f>Juin!AB22</f>
        <v>46176</v>
      </c>
      <c r="C239" s="1371"/>
      <c r="D239" s="981">
        <f t="shared" si="438"/>
        <v>0</v>
      </c>
      <c r="E239" s="434">
        <f t="shared" si="439"/>
        <v>0</v>
      </c>
      <c r="F239" s="434">
        <f t="shared" si="440"/>
        <v>0</v>
      </c>
      <c r="G239" s="434">
        <f t="shared" si="441"/>
        <v>0</v>
      </c>
      <c r="H239" s="434">
        <f t="shared" si="442"/>
        <v>0</v>
      </c>
      <c r="I239" s="434">
        <f t="shared" si="443"/>
        <v>0</v>
      </c>
      <c r="J239" s="434">
        <f t="shared" si="444"/>
        <v>0</v>
      </c>
      <c r="K239" s="434">
        <f t="shared" si="445"/>
        <v>0</v>
      </c>
      <c r="L239" s="434">
        <f t="shared" si="483"/>
        <v>0</v>
      </c>
      <c r="M239" s="982">
        <f t="shared" si="484"/>
        <v>0</v>
      </c>
      <c r="O239" s="981">
        <f t="shared" si="446"/>
        <v>0</v>
      </c>
      <c r="P239" s="434">
        <f t="shared" si="447"/>
        <v>0</v>
      </c>
      <c r="Q239" s="434">
        <f t="shared" si="448"/>
        <v>0</v>
      </c>
      <c r="R239" s="434">
        <f t="shared" si="449"/>
        <v>0</v>
      </c>
      <c r="S239" s="434">
        <f t="shared" si="450"/>
        <v>0</v>
      </c>
      <c r="T239" s="434">
        <f t="shared" si="451"/>
        <v>0</v>
      </c>
      <c r="U239" s="434">
        <f t="shared" si="452"/>
        <v>0</v>
      </c>
      <c r="V239" s="434">
        <f t="shared" si="453"/>
        <v>0</v>
      </c>
      <c r="W239" s="434">
        <f t="shared" si="454"/>
        <v>0</v>
      </c>
      <c r="X239" s="982">
        <f t="shared" si="455"/>
        <v>0</v>
      </c>
      <c r="Y239" s="441"/>
      <c r="Z239" s="277">
        <f t="shared" si="456"/>
        <v>0</v>
      </c>
      <c r="AA239" s="277">
        <f t="shared" si="457"/>
        <v>0</v>
      </c>
      <c r="AB239" s="277">
        <f t="shared" si="458"/>
        <v>0</v>
      </c>
      <c r="AC239" s="277">
        <f t="shared" si="459"/>
        <v>0</v>
      </c>
      <c r="AD239" s="277">
        <f t="shared" si="460"/>
        <v>0</v>
      </c>
      <c r="AE239" s="277">
        <f t="shared" si="461"/>
        <v>0</v>
      </c>
      <c r="AF239" s="277">
        <f t="shared" si="462"/>
        <v>0</v>
      </c>
      <c r="AG239" s="277">
        <f t="shared" si="463"/>
        <v>0</v>
      </c>
      <c r="AI239" s="444">
        <f t="shared" si="464"/>
        <v>0</v>
      </c>
      <c r="AJ239" s="1090"/>
      <c r="AK239" s="489"/>
      <c r="AL239" s="811">
        <f t="shared" si="465"/>
        <v>46176</v>
      </c>
      <c r="AM239" s="666">
        <f>IFERROR(IF(AND(AT239="",AR239&lt;&gt;S.CAL!$BJ$3,AR239&lt;&gt;S.CAL!$BJ$4,$AR$230="NON"),M239-BD239,IF(AND(AT239="",AR239&lt;&gt;S.CAL!$BJ$3,AR239&lt;&gt;S.CAL!$BJ$4,$AR$230="OUI"),X239-AI239,IF(AT239&lt;&gt;0,AT239,IF(OR(AR239=S.CAL!$BJ$3,AR239=S.CAL!$BJ$4),AR239,"")))),"")</f>
        <v>0</v>
      </c>
      <c r="AN239" s="1093"/>
      <c r="AO239" s="1094"/>
      <c r="AP239" s="666">
        <f>+IF(AND(AU239="",BB239="OUI",BH239="non",BI239="OUI"),AM239,IF(AND(AU239="",BB239="OUI",BH239="oui",BI239="NON"),AM239,IF(AND(AU239="",BB239="NON",BH239="oui",BI239="NON"),M239,IF(AND(AU239="",BB239="NON",BH239="non",BI239="OUI"),M239,IF(AND(AU239="",BB239="OUI",BH239="non",BI239="NON"),"ERREUR",IF(AND(AU239="",BB239="NON",BH239="non",BI239="NON"),AM239,IF(AND(AU239="",BB239="OUI",BH239="",BI239=""),AM239,IF(AND(AU239="",BB239="NON",BH239="",BI239="",AZ239="NON"),M239,IF(AND(AU239="",BH239="",AZ239="OUI",AR239=""),AM239,IF(AND(AU239="",BH239="",AZ239="NON",AR239="",AT239=""),M239,IF(AND(OR(AR239=S.CAL!$BJ$3,AR239=S.CAL!$BJ$4),(VLOOKUP($AM$230,base_nbre_sem_mensu,2,FALSE)=52)),EE239,IF(AND(OR(AR239=S.CAL!$BJ$3,AR239=S.CAL!$BJ$4),(VLOOKUP($AM$230,base_nbre_sem_mensu,2,FALSE)&lt;52)),AM239,IF(AND(AT239&lt;&gt;"",AU239=""),AT239,AU239)))))))))))))</f>
        <v>0</v>
      </c>
      <c r="AQ239" s="498">
        <f t="shared" si="485"/>
        <v>0</v>
      </c>
      <c r="AR239" s="1098"/>
      <c r="AT239" s="1101"/>
      <c r="AU239" s="813"/>
      <c r="AV239" s="1370">
        <f t="shared" si="466"/>
        <v>46176</v>
      </c>
      <c r="AX239" s="511">
        <f t="shared" si="486"/>
        <v>46176</v>
      </c>
      <c r="AY239" s="523">
        <f t="shared" si="487"/>
        <v>0</v>
      </c>
      <c r="AZ239" s="520" t="s">
        <v>137</v>
      </c>
      <c r="BA239" s="516">
        <f t="shared" si="488"/>
        <v>0</v>
      </c>
      <c r="BB239" s="549" t="str">
        <f t="shared" si="467"/>
        <v/>
      </c>
      <c r="BC239" s="523">
        <f t="shared" si="489"/>
        <v>0</v>
      </c>
      <c r="BD239" s="523">
        <f t="shared" si="490"/>
        <v>0</v>
      </c>
      <c r="BE239" s="732"/>
      <c r="BF239" s="514" t="str">
        <f t="shared" si="468"/>
        <v/>
      </c>
      <c r="BG239" s="514" t="str">
        <f t="shared" si="491"/>
        <v>oui</v>
      </c>
      <c r="BH239" s="377" t="str">
        <f t="shared" si="469"/>
        <v/>
      </c>
      <c r="BI239" s="24" t="str">
        <f t="shared" si="470"/>
        <v/>
      </c>
      <c r="BJ239" s="1381"/>
      <c r="BK239" s="1381"/>
      <c r="BL239" s="1381"/>
      <c r="BM239" s="1381"/>
      <c r="BN239" s="1381"/>
      <c r="BO239" s="1381"/>
      <c r="BP239" s="1381"/>
      <c r="BQ239" s="1381"/>
      <c r="BS239" s="1370">
        <f t="shared" si="437"/>
        <v>46176</v>
      </c>
      <c r="BT239" s="27" t="str">
        <f t="shared" ref="BT239:BT267" si="499">IFERROR(IF(WEEKDAY(BS239,11)=1,WEEKNUM(BS239,21),""),"")</f>
        <v/>
      </c>
      <c r="BU239" s="1380"/>
      <c r="BV239" s="1380"/>
      <c r="BW239" s="1380"/>
      <c r="BX239" s="1380"/>
      <c r="BY239" s="1380"/>
      <c r="BZ239" s="1380"/>
      <c r="CA239" s="1380"/>
      <c r="CB239" s="1380"/>
      <c r="CD239" s="1386">
        <f t="shared" si="492"/>
        <v>0</v>
      </c>
      <c r="DC239" s="16" t="str">
        <f>Juin!FC22</f>
        <v>non</v>
      </c>
      <c r="DG239" s="315">
        <f t="shared" si="493"/>
        <v>1</v>
      </c>
      <c r="DH239" s="129">
        <f t="shared" si="471"/>
        <v>10</v>
      </c>
      <c r="DI239" s="129">
        <f t="shared" si="494"/>
        <v>1</v>
      </c>
      <c r="DK239" s="16">
        <f>+IF(AND(Juin!$DP$8&lt;&gt;52,AR239=S.CAL!$BJ$4),10,1)</f>
        <v>1</v>
      </c>
      <c r="DN239" s="16">
        <f t="shared" si="472"/>
        <v>1</v>
      </c>
      <c r="DU239" s="1274" t="str">
        <f t="shared" si="495"/>
        <v>Fiche infoA346176</v>
      </c>
      <c r="DV239" s="1362">
        <f t="shared" si="473"/>
        <v>0</v>
      </c>
      <c r="DW239" s="1363">
        <f t="shared" si="474"/>
        <v>0</v>
      </c>
      <c r="DX239" s="1363">
        <f t="shared" si="475"/>
        <v>0</v>
      </c>
      <c r="DY239" s="1363">
        <f t="shared" si="476"/>
        <v>0</v>
      </c>
      <c r="DZ239" s="1363">
        <f t="shared" si="477"/>
        <v>0</v>
      </c>
      <c r="EA239" s="1363">
        <f t="shared" si="478"/>
        <v>0</v>
      </c>
      <c r="EB239" s="1363">
        <f t="shared" si="479"/>
        <v>0</v>
      </c>
      <c r="EC239" s="1363">
        <f t="shared" si="480"/>
        <v>0</v>
      </c>
      <c r="ED239" s="1363">
        <f t="shared" si="496"/>
        <v>0</v>
      </c>
      <c r="EE239" s="1364">
        <f t="shared" si="497"/>
        <v>0</v>
      </c>
      <c r="EG239" s="16" t="str">
        <f t="shared" si="498"/>
        <v>232026</v>
      </c>
      <c r="EH239" s="16" t="str">
        <f t="shared" si="481"/>
        <v>Fiche infoA3</v>
      </c>
      <c r="EI239" s="16" t="str">
        <f t="shared" si="482"/>
        <v/>
      </c>
    </row>
    <row r="240" spans="1:145" x14ac:dyDescent="0.2">
      <c r="A240" s="1373" t="str">
        <f>Juin!BJ23</f>
        <v>Fiche infoA4</v>
      </c>
      <c r="B240" s="811">
        <f>Juin!AB23</f>
        <v>46177</v>
      </c>
      <c r="C240" s="1372"/>
      <c r="D240" s="981">
        <f t="shared" si="438"/>
        <v>0</v>
      </c>
      <c r="E240" s="434">
        <f t="shared" si="439"/>
        <v>0</v>
      </c>
      <c r="F240" s="434">
        <f t="shared" si="440"/>
        <v>0</v>
      </c>
      <c r="G240" s="434">
        <f t="shared" si="441"/>
        <v>0</v>
      </c>
      <c r="H240" s="434">
        <f t="shared" si="442"/>
        <v>0</v>
      </c>
      <c r="I240" s="434">
        <f t="shared" si="443"/>
        <v>0</v>
      </c>
      <c r="J240" s="434">
        <f t="shared" si="444"/>
        <v>0</v>
      </c>
      <c r="K240" s="434">
        <f t="shared" si="445"/>
        <v>0</v>
      </c>
      <c r="L240" s="434">
        <f t="shared" si="483"/>
        <v>0</v>
      </c>
      <c r="M240" s="982">
        <f t="shared" si="484"/>
        <v>0</v>
      </c>
      <c r="N240" s="1374"/>
      <c r="O240" s="981">
        <f t="shared" si="446"/>
        <v>0</v>
      </c>
      <c r="P240" s="434">
        <f t="shared" si="447"/>
        <v>0</v>
      </c>
      <c r="Q240" s="434">
        <f t="shared" si="448"/>
        <v>0</v>
      </c>
      <c r="R240" s="434">
        <f t="shared" si="449"/>
        <v>0</v>
      </c>
      <c r="S240" s="434">
        <f t="shared" si="450"/>
        <v>0</v>
      </c>
      <c r="T240" s="434">
        <f t="shared" si="451"/>
        <v>0</v>
      </c>
      <c r="U240" s="434">
        <f t="shared" si="452"/>
        <v>0</v>
      </c>
      <c r="V240" s="434">
        <f t="shared" si="453"/>
        <v>0</v>
      </c>
      <c r="W240" s="434">
        <f t="shared" si="454"/>
        <v>0</v>
      </c>
      <c r="X240" s="982">
        <f t="shared" si="455"/>
        <v>0</v>
      </c>
      <c r="Y240" s="1375"/>
      <c r="Z240" s="1376">
        <f t="shared" si="456"/>
        <v>0</v>
      </c>
      <c r="AA240" s="1376">
        <f t="shared" si="457"/>
        <v>0</v>
      </c>
      <c r="AB240" s="1376">
        <f t="shared" si="458"/>
        <v>0</v>
      </c>
      <c r="AC240" s="1376">
        <f t="shared" si="459"/>
        <v>0</v>
      </c>
      <c r="AD240" s="1376">
        <f t="shared" si="460"/>
        <v>0</v>
      </c>
      <c r="AE240" s="1376">
        <f t="shared" si="461"/>
        <v>0</v>
      </c>
      <c r="AF240" s="1376">
        <f t="shared" si="462"/>
        <v>0</v>
      </c>
      <c r="AG240" s="1376">
        <f t="shared" si="463"/>
        <v>0</v>
      </c>
      <c r="AH240" s="1374"/>
      <c r="AI240" s="444">
        <f t="shared" si="464"/>
        <v>0</v>
      </c>
      <c r="AJ240" s="1090"/>
      <c r="AK240" s="1377"/>
      <c r="AL240" s="811">
        <f t="shared" si="465"/>
        <v>46177</v>
      </c>
      <c r="AM240" s="666">
        <f>IFERROR(IF(AND(AT240="",AR240&lt;&gt;S.CAL!$BJ$3,AR240&lt;&gt;S.CAL!$BJ$4,$AR$230="NON"),M240-BD240,IF(AND(AT240="",AR240&lt;&gt;S.CAL!$BJ$3,AR240&lt;&gt;S.CAL!$BJ$4,$AR$230="OUI"),X240-AI240,IF(AT240&lt;&gt;0,AT240,IF(OR(AR240=S.CAL!$BJ$3,AR240=S.CAL!$BJ$4),AR240,"")))),"")</f>
        <v>0</v>
      </c>
      <c r="AN240" s="1093"/>
      <c r="AO240" s="1094"/>
      <c r="AP240" s="666">
        <f>+IF(AND(AU240="",BB240="OUI",BH240="non",BI240="OUI"),AM240,IF(AND(AU240="",BB240="OUI",BH240="oui",BI240="NON"),AM240,IF(AND(AU240="",BB240="NON",BH240="oui",BI240="NON"),M240,IF(AND(AU240="",BB240="NON",BH240="non",BI240="OUI"),M240,IF(AND(AU240="",BB240="OUI",BH240="non",BI240="NON"),"ERREUR",IF(AND(AU240="",BB240="NON",BH240="non",BI240="NON"),AM240,IF(AND(AU240="",BB240="OUI",BH240="",BI240=""),AM240,IF(AND(AU240="",BB240="NON",BH240="",BI240="",AZ240="NON"),M240,IF(AND(AU240="",BH240="",AZ240="OUI",AR240=""),AM240,IF(AND(AU240="",BH240="",AZ240="NON",AR240="",AT240=""),M240,IF(AND(OR(AR240=S.CAL!$BJ$3,AR240=S.CAL!$BJ$4),(VLOOKUP($AM$230,base_nbre_sem_mensu,2,FALSE)=52)),EE240,IF(AND(OR(AR240=S.CAL!$BJ$3,AR240=S.CAL!$BJ$4),(VLOOKUP($AM$230,base_nbre_sem_mensu,2,FALSE)&lt;52)),AM240,IF(AND(AT240&lt;&gt;"",AU240=""),AT240,AU240)))))))))))))</f>
        <v>0</v>
      </c>
      <c r="AQ240" s="1378">
        <f t="shared" si="485"/>
        <v>0</v>
      </c>
      <c r="AR240" s="1098"/>
      <c r="AS240" s="1374"/>
      <c r="AT240" s="1101"/>
      <c r="AU240" s="813"/>
      <c r="AV240" s="1370">
        <f t="shared" si="466"/>
        <v>46177</v>
      </c>
      <c r="AW240" s="1374"/>
      <c r="AX240" s="511">
        <f t="shared" si="486"/>
        <v>46177</v>
      </c>
      <c r="AY240" s="523">
        <f t="shared" si="487"/>
        <v>0</v>
      </c>
      <c r="AZ240" s="520" t="s">
        <v>137</v>
      </c>
      <c r="BA240" s="516">
        <f t="shared" si="488"/>
        <v>0</v>
      </c>
      <c r="BB240" s="549" t="str">
        <f t="shared" si="467"/>
        <v/>
      </c>
      <c r="BC240" s="523">
        <f t="shared" si="489"/>
        <v>0</v>
      </c>
      <c r="BD240" s="523">
        <f t="shared" si="490"/>
        <v>0</v>
      </c>
      <c r="BE240" s="732"/>
      <c r="BF240" s="514" t="str">
        <f t="shared" si="468"/>
        <v/>
      </c>
      <c r="BG240" s="514" t="str">
        <f t="shared" si="491"/>
        <v>oui</v>
      </c>
      <c r="BH240" s="377" t="str">
        <f t="shared" si="469"/>
        <v/>
      </c>
      <c r="BI240" s="24" t="str">
        <f t="shared" si="470"/>
        <v/>
      </c>
      <c r="BJ240" s="1382"/>
      <c r="BK240" s="1382"/>
      <c r="BL240" s="1382"/>
      <c r="BM240" s="1382"/>
      <c r="BN240" s="1382"/>
      <c r="BO240" s="1382"/>
      <c r="BP240" s="1382"/>
      <c r="BQ240" s="1382"/>
      <c r="BR240" s="1383"/>
      <c r="BS240" s="1370">
        <f t="shared" si="437"/>
        <v>46177</v>
      </c>
      <c r="BT240" s="1384" t="str">
        <f t="shared" si="499"/>
        <v/>
      </c>
      <c r="BU240" s="1382"/>
      <c r="BV240" s="1382"/>
      <c r="BW240" s="1382"/>
      <c r="BX240" s="1382"/>
      <c r="BY240" s="1382"/>
      <c r="BZ240" s="1382"/>
      <c r="CA240" s="1382"/>
      <c r="CB240" s="1382"/>
      <c r="CD240" s="1386">
        <f t="shared" si="492"/>
        <v>0</v>
      </c>
      <c r="DC240" s="16" t="str">
        <f>Juin!FC23</f>
        <v>non</v>
      </c>
      <c r="DG240" s="315">
        <f t="shared" si="493"/>
        <v>1</v>
      </c>
      <c r="DH240" s="129">
        <f t="shared" si="471"/>
        <v>10</v>
      </c>
      <c r="DI240" s="129">
        <f t="shared" si="494"/>
        <v>1</v>
      </c>
      <c r="DK240" s="16">
        <f>+IF(AND(Juin!$DP$8&lt;&gt;52,AR240=S.CAL!$BJ$4),10,1)</f>
        <v>1</v>
      </c>
      <c r="DN240" s="16">
        <f t="shared" si="472"/>
        <v>1</v>
      </c>
      <c r="DU240" s="1274" t="str">
        <f t="shared" si="495"/>
        <v>Fiche infoA446177</v>
      </c>
      <c r="DV240" s="1362">
        <f t="shared" si="473"/>
        <v>0</v>
      </c>
      <c r="DW240" s="1363">
        <f t="shared" si="474"/>
        <v>0</v>
      </c>
      <c r="DX240" s="1363">
        <f t="shared" si="475"/>
        <v>0</v>
      </c>
      <c r="DY240" s="1363">
        <f t="shared" si="476"/>
        <v>0</v>
      </c>
      <c r="DZ240" s="1363">
        <f t="shared" si="477"/>
        <v>0</v>
      </c>
      <c r="EA240" s="1363">
        <f t="shared" si="478"/>
        <v>0</v>
      </c>
      <c r="EB240" s="1363">
        <f t="shared" si="479"/>
        <v>0</v>
      </c>
      <c r="EC240" s="1363">
        <f t="shared" si="480"/>
        <v>0</v>
      </c>
      <c r="ED240" s="1363">
        <f t="shared" si="496"/>
        <v>0</v>
      </c>
      <c r="EE240" s="1364">
        <f t="shared" si="497"/>
        <v>0</v>
      </c>
      <c r="EG240" s="16" t="str">
        <f t="shared" si="498"/>
        <v>232026</v>
      </c>
      <c r="EH240" s="16" t="str">
        <f t="shared" si="481"/>
        <v>Fiche infoA4</v>
      </c>
      <c r="EI240" s="16" t="str">
        <f t="shared" si="482"/>
        <v/>
      </c>
    </row>
    <row r="241" spans="1:139" x14ac:dyDescent="0.2">
      <c r="A241" s="24" t="str">
        <f>Juin!BJ24</f>
        <v>Fiche infoA5</v>
      </c>
      <c r="B241" s="811">
        <f>Juin!AB24</f>
        <v>46178</v>
      </c>
      <c r="C241" s="1371"/>
      <c r="D241" s="981">
        <f t="shared" si="438"/>
        <v>0</v>
      </c>
      <c r="E241" s="434">
        <f t="shared" si="439"/>
        <v>0</v>
      </c>
      <c r="F241" s="434">
        <f t="shared" si="440"/>
        <v>0</v>
      </c>
      <c r="G241" s="434">
        <f t="shared" si="441"/>
        <v>0</v>
      </c>
      <c r="H241" s="434">
        <f t="shared" si="442"/>
        <v>0</v>
      </c>
      <c r="I241" s="434">
        <f t="shared" si="443"/>
        <v>0</v>
      </c>
      <c r="J241" s="434">
        <f t="shared" si="444"/>
        <v>0</v>
      </c>
      <c r="K241" s="434">
        <f t="shared" si="445"/>
        <v>0</v>
      </c>
      <c r="L241" s="434">
        <f t="shared" si="483"/>
        <v>0</v>
      </c>
      <c r="M241" s="982">
        <f t="shared" si="484"/>
        <v>0</v>
      </c>
      <c r="O241" s="981">
        <f t="shared" si="446"/>
        <v>0</v>
      </c>
      <c r="P241" s="434">
        <f t="shared" si="447"/>
        <v>0</v>
      </c>
      <c r="Q241" s="434">
        <f t="shared" si="448"/>
        <v>0</v>
      </c>
      <c r="R241" s="434">
        <f t="shared" si="449"/>
        <v>0</v>
      </c>
      <c r="S241" s="434">
        <f t="shared" si="450"/>
        <v>0</v>
      </c>
      <c r="T241" s="434">
        <f t="shared" si="451"/>
        <v>0</v>
      </c>
      <c r="U241" s="434">
        <f t="shared" si="452"/>
        <v>0</v>
      </c>
      <c r="V241" s="434">
        <f t="shared" si="453"/>
        <v>0</v>
      </c>
      <c r="W241" s="434">
        <f t="shared" si="454"/>
        <v>0</v>
      </c>
      <c r="X241" s="982">
        <f t="shared" si="455"/>
        <v>0</v>
      </c>
      <c r="Y241" s="441"/>
      <c r="Z241" s="277">
        <f t="shared" si="456"/>
        <v>0</v>
      </c>
      <c r="AA241" s="277">
        <f t="shared" si="457"/>
        <v>0</v>
      </c>
      <c r="AB241" s="277">
        <f t="shared" si="458"/>
        <v>0</v>
      </c>
      <c r="AC241" s="277">
        <f t="shared" si="459"/>
        <v>0</v>
      </c>
      <c r="AD241" s="277">
        <f t="shared" si="460"/>
        <v>0</v>
      </c>
      <c r="AE241" s="277">
        <f t="shared" si="461"/>
        <v>0</v>
      </c>
      <c r="AF241" s="277">
        <f t="shared" si="462"/>
        <v>0</v>
      </c>
      <c r="AG241" s="277">
        <f t="shared" si="463"/>
        <v>0</v>
      </c>
      <c r="AI241" s="444">
        <f t="shared" si="464"/>
        <v>0</v>
      </c>
      <c r="AJ241" s="1090"/>
      <c r="AK241" s="489"/>
      <c r="AL241" s="811">
        <f t="shared" si="465"/>
        <v>46178</v>
      </c>
      <c r="AM241" s="666">
        <f>IFERROR(IF(AND(AT241="",AR241&lt;&gt;S.CAL!$BJ$3,AR241&lt;&gt;S.CAL!$BJ$4,$AR$230="NON"),M241-BD241,IF(AND(AT241="",AR241&lt;&gt;S.CAL!$BJ$3,AR241&lt;&gt;S.CAL!$BJ$4,$AR$230="OUI"),X241-AI241,IF(AT241&lt;&gt;0,AT241,IF(OR(AR241=S.CAL!$BJ$3,AR241=S.CAL!$BJ$4),AR241,"")))),"")</f>
        <v>0</v>
      </c>
      <c r="AN241" s="1093"/>
      <c r="AO241" s="1094"/>
      <c r="AP241" s="666">
        <f>+IF(AND(AU241="",BB241="OUI",BH241="non",BI241="OUI"),AM241,IF(AND(AU241="",BB241="OUI",BH241="oui",BI241="NON"),AM241,IF(AND(AU241="",BB241="NON",BH241="oui",BI241="NON"),M241,IF(AND(AU241="",BB241="NON",BH241="non",BI241="OUI"),M241,IF(AND(AU241="",BB241="OUI",BH241="non",BI241="NON"),"ERREUR",IF(AND(AU241="",BB241="NON",BH241="non",BI241="NON"),AM241,IF(AND(AU241="",BB241="OUI",BH241="",BI241=""),AM241,IF(AND(AU241="",BB241="NON",BH241="",BI241="",AZ241="NON"),M241,IF(AND(AU241="",BH241="",AZ241="OUI",AR241=""),AM241,IF(AND(AU241="",BH241="",AZ241="NON",AR241="",AT241=""),M241,IF(AND(OR(AR241=S.CAL!$BJ$3,AR241=S.CAL!$BJ$4),(VLOOKUP($AM$230,base_nbre_sem_mensu,2,FALSE)=52)),EE241,IF(AND(OR(AR241=S.CAL!$BJ$3,AR241=S.CAL!$BJ$4),(VLOOKUP($AM$230,base_nbre_sem_mensu,2,FALSE)&lt;52)),AM241,IF(AND(AT241&lt;&gt;"",AU241=""),AT241,AU241)))))))))))))</f>
        <v>0</v>
      </c>
      <c r="AQ241" s="498">
        <f t="shared" si="485"/>
        <v>0</v>
      </c>
      <c r="AR241" s="1098"/>
      <c r="AT241" s="1101"/>
      <c r="AU241" s="813"/>
      <c r="AV241" s="1370">
        <f t="shared" si="466"/>
        <v>46178</v>
      </c>
      <c r="AX241" s="511">
        <f t="shared" si="486"/>
        <v>46178</v>
      </c>
      <c r="AY241" s="523">
        <f t="shared" si="487"/>
        <v>0</v>
      </c>
      <c r="AZ241" s="520" t="s">
        <v>137</v>
      </c>
      <c r="BA241" s="516">
        <f t="shared" si="488"/>
        <v>0</v>
      </c>
      <c r="BB241" s="549" t="str">
        <f t="shared" si="467"/>
        <v/>
      </c>
      <c r="BC241" s="523">
        <f t="shared" si="489"/>
        <v>0</v>
      </c>
      <c r="BD241" s="523">
        <f t="shared" si="490"/>
        <v>0</v>
      </c>
      <c r="BE241" s="732"/>
      <c r="BF241" s="514" t="str">
        <f t="shared" si="468"/>
        <v/>
      </c>
      <c r="BG241" s="514" t="str">
        <f t="shared" si="491"/>
        <v>oui</v>
      </c>
      <c r="BH241" s="377" t="str">
        <f t="shared" si="469"/>
        <v/>
      </c>
      <c r="BI241" s="24" t="str">
        <f t="shared" si="470"/>
        <v/>
      </c>
      <c r="BJ241" s="1381"/>
      <c r="BK241" s="1381"/>
      <c r="BL241" s="1381"/>
      <c r="BM241" s="1381"/>
      <c r="BN241" s="1381"/>
      <c r="BO241" s="1381"/>
      <c r="BP241" s="1381"/>
      <c r="BQ241" s="1381"/>
      <c r="BS241" s="1370">
        <f t="shared" si="437"/>
        <v>46178</v>
      </c>
      <c r="BT241" s="27" t="str">
        <f t="shared" si="499"/>
        <v/>
      </c>
      <c r="BU241" s="1380"/>
      <c r="BV241" s="1380"/>
      <c r="BW241" s="1380"/>
      <c r="BX241" s="1380"/>
      <c r="BY241" s="1380"/>
      <c r="BZ241" s="1380"/>
      <c r="CA241" s="1380"/>
      <c r="CB241" s="1380"/>
      <c r="CD241" s="1386">
        <f t="shared" si="492"/>
        <v>0</v>
      </c>
      <c r="DC241" s="16" t="str">
        <f>Juin!FC24</f>
        <v>non</v>
      </c>
      <c r="DG241" s="315">
        <f t="shared" si="493"/>
        <v>1</v>
      </c>
      <c r="DH241" s="129">
        <f t="shared" si="471"/>
        <v>10</v>
      </c>
      <c r="DI241" s="129">
        <f t="shared" si="494"/>
        <v>1</v>
      </c>
      <c r="DK241" s="16">
        <f>+IF(AND(Juin!$DP$8&lt;&gt;52,AR241=S.CAL!$BJ$4),10,1)</f>
        <v>1</v>
      </c>
      <c r="DN241" s="16">
        <f t="shared" si="472"/>
        <v>1</v>
      </c>
      <c r="DU241" s="1274" t="str">
        <f t="shared" si="495"/>
        <v>Fiche infoA546178</v>
      </c>
      <c r="DV241" s="1362">
        <f t="shared" si="473"/>
        <v>0</v>
      </c>
      <c r="DW241" s="1363">
        <f t="shared" si="474"/>
        <v>0</v>
      </c>
      <c r="DX241" s="1363">
        <f t="shared" si="475"/>
        <v>0</v>
      </c>
      <c r="DY241" s="1363">
        <f t="shared" si="476"/>
        <v>0</v>
      </c>
      <c r="DZ241" s="1363">
        <f t="shared" si="477"/>
        <v>0</v>
      </c>
      <c r="EA241" s="1363">
        <f t="shared" si="478"/>
        <v>0</v>
      </c>
      <c r="EB241" s="1363">
        <f t="shared" si="479"/>
        <v>0</v>
      </c>
      <c r="EC241" s="1363">
        <f t="shared" si="480"/>
        <v>0</v>
      </c>
      <c r="ED241" s="1363">
        <f t="shared" si="496"/>
        <v>0</v>
      </c>
      <c r="EE241" s="1364">
        <f t="shared" si="497"/>
        <v>0</v>
      </c>
      <c r="EG241" s="16" t="str">
        <f t="shared" si="498"/>
        <v>232026</v>
      </c>
      <c r="EH241" s="16" t="str">
        <f t="shared" si="481"/>
        <v>Fiche infoA5</v>
      </c>
      <c r="EI241" s="16" t="str">
        <f t="shared" si="482"/>
        <v/>
      </c>
    </row>
    <row r="242" spans="1:139" x14ac:dyDescent="0.2">
      <c r="A242" s="1373" t="str">
        <f>Juin!BJ25</f>
        <v>Fiche infoA6</v>
      </c>
      <c r="B242" s="811">
        <f>Juin!AB25</f>
        <v>46179</v>
      </c>
      <c r="C242" s="1372"/>
      <c r="D242" s="981">
        <f t="shared" si="438"/>
        <v>0</v>
      </c>
      <c r="E242" s="434">
        <f t="shared" si="439"/>
        <v>0</v>
      </c>
      <c r="F242" s="434">
        <f t="shared" si="440"/>
        <v>0</v>
      </c>
      <c r="G242" s="434">
        <f t="shared" si="441"/>
        <v>0</v>
      </c>
      <c r="H242" s="434">
        <f t="shared" si="442"/>
        <v>0</v>
      </c>
      <c r="I242" s="434">
        <f t="shared" si="443"/>
        <v>0</v>
      </c>
      <c r="J242" s="434">
        <f t="shared" si="444"/>
        <v>0</v>
      </c>
      <c r="K242" s="434">
        <f t="shared" si="445"/>
        <v>0</v>
      </c>
      <c r="L242" s="434">
        <f t="shared" si="483"/>
        <v>0</v>
      </c>
      <c r="M242" s="982">
        <f t="shared" si="484"/>
        <v>0</v>
      </c>
      <c r="N242" s="1374"/>
      <c r="O242" s="981">
        <f t="shared" si="446"/>
        <v>0</v>
      </c>
      <c r="P242" s="434">
        <f t="shared" si="447"/>
        <v>0</v>
      </c>
      <c r="Q242" s="434">
        <f t="shared" si="448"/>
        <v>0</v>
      </c>
      <c r="R242" s="434">
        <f t="shared" si="449"/>
        <v>0</v>
      </c>
      <c r="S242" s="434">
        <f t="shared" si="450"/>
        <v>0</v>
      </c>
      <c r="T242" s="434">
        <f t="shared" si="451"/>
        <v>0</v>
      </c>
      <c r="U242" s="434">
        <f t="shared" si="452"/>
        <v>0</v>
      </c>
      <c r="V242" s="434">
        <f t="shared" si="453"/>
        <v>0</v>
      </c>
      <c r="W242" s="434">
        <f t="shared" si="454"/>
        <v>0</v>
      </c>
      <c r="X242" s="982">
        <f t="shared" si="455"/>
        <v>0</v>
      </c>
      <c r="Y242" s="1375"/>
      <c r="Z242" s="1376">
        <f t="shared" si="456"/>
        <v>0</v>
      </c>
      <c r="AA242" s="1376">
        <f t="shared" si="457"/>
        <v>0</v>
      </c>
      <c r="AB242" s="1376">
        <f t="shared" si="458"/>
        <v>0</v>
      </c>
      <c r="AC242" s="1376">
        <f t="shared" si="459"/>
        <v>0</v>
      </c>
      <c r="AD242" s="1376">
        <f t="shared" si="460"/>
        <v>0</v>
      </c>
      <c r="AE242" s="1376">
        <f t="shared" si="461"/>
        <v>0</v>
      </c>
      <c r="AF242" s="1376">
        <f t="shared" si="462"/>
        <v>0</v>
      </c>
      <c r="AG242" s="1376">
        <f t="shared" si="463"/>
        <v>0</v>
      </c>
      <c r="AH242" s="1374"/>
      <c r="AI242" s="444">
        <f t="shared" si="464"/>
        <v>0</v>
      </c>
      <c r="AJ242" s="1090"/>
      <c r="AK242" s="1377"/>
      <c r="AL242" s="811">
        <f t="shared" si="465"/>
        <v>46179</v>
      </c>
      <c r="AM242" s="666">
        <f>IFERROR(IF(AND(AT242="",AR242&lt;&gt;S.CAL!$BJ$3,AR242&lt;&gt;S.CAL!$BJ$4,$AR$230="NON"),M242-BD242,IF(AND(AT242="",AR242&lt;&gt;S.CAL!$BJ$3,AR242&lt;&gt;S.CAL!$BJ$4,$AR$230="OUI"),X242-AI242,IF(AT242&lt;&gt;0,AT242,IF(OR(AR242=S.CAL!$BJ$3,AR242=S.CAL!$BJ$4),AR242,"")))),"")</f>
        <v>0</v>
      </c>
      <c r="AN242" s="1093"/>
      <c r="AO242" s="1094"/>
      <c r="AP242" s="666">
        <f>+IF(AND(AU242="",BB242="OUI",BH242="non",BI242="OUI"),AM242,IF(AND(AU242="",BB242="OUI",BH242="oui",BI242="NON"),AM242,IF(AND(AU242="",BB242="NON",BH242="oui",BI242="NON"),M242,IF(AND(AU242="",BB242="NON",BH242="non",BI242="OUI"),M242,IF(AND(AU242="",BB242="OUI",BH242="non",BI242="NON"),"ERREUR",IF(AND(AU242="",BB242="NON",BH242="non",BI242="NON"),AM242,IF(AND(AU242="",BB242="OUI",BH242="",BI242=""),AM242,IF(AND(AU242="",BB242="NON",BH242="",BI242="",AZ242="NON"),M242,IF(AND(AU242="",BH242="",AZ242="OUI",AR242=""),AM242,IF(AND(AU242="",BH242="",AZ242="NON",AR242="",AT242=""),M242,IF(AND(OR(AR242=S.CAL!$BJ$3,AR242=S.CAL!$BJ$4),(VLOOKUP($AM$230,base_nbre_sem_mensu,2,FALSE)=52)),EE242,IF(AND(OR(AR242=S.CAL!$BJ$3,AR242=S.CAL!$BJ$4),(VLOOKUP($AM$230,base_nbre_sem_mensu,2,FALSE)&lt;52)),AM242,IF(AND(AT242&lt;&gt;"",AU242=""),AT242,AU242)))))))))))))</f>
        <v>0</v>
      </c>
      <c r="AQ242" s="1378">
        <f t="shared" si="485"/>
        <v>0</v>
      </c>
      <c r="AR242" s="1098"/>
      <c r="AS242" s="1374"/>
      <c r="AT242" s="1101"/>
      <c r="AU242" s="813"/>
      <c r="AV242" s="1370">
        <f t="shared" si="466"/>
        <v>46179</v>
      </c>
      <c r="AW242" s="1374"/>
      <c r="AX242" s="511">
        <f t="shared" si="486"/>
        <v>46179</v>
      </c>
      <c r="AY242" s="523">
        <f t="shared" si="487"/>
        <v>0</v>
      </c>
      <c r="AZ242" s="520" t="s">
        <v>137</v>
      </c>
      <c r="BA242" s="516">
        <f t="shared" si="488"/>
        <v>0</v>
      </c>
      <c r="BB242" s="549" t="str">
        <f t="shared" si="467"/>
        <v/>
      </c>
      <c r="BC242" s="523">
        <f t="shared" si="489"/>
        <v>0</v>
      </c>
      <c r="BD242" s="523">
        <f t="shared" si="490"/>
        <v>0</v>
      </c>
      <c r="BE242" s="732"/>
      <c r="BF242" s="514" t="str">
        <f t="shared" si="468"/>
        <v/>
      </c>
      <c r="BG242" s="514" t="str">
        <f t="shared" si="491"/>
        <v>oui</v>
      </c>
      <c r="BH242" s="377" t="str">
        <f t="shared" si="469"/>
        <v/>
      </c>
      <c r="BI242" s="24" t="str">
        <f t="shared" si="470"/>
        <v/>
      </c>
      <c r="BJ242" s="1382"/>
      <c r="BK242" s="1382"/>
      <c r="BL242" s="1382"/>
      <c r="BM242" s="1382"/>
      <c r="BN242" s="1382"/>
      <c r="BO242" s="1382"/>
      <c r="BP242" s="1382"/>
      <c r="BQ242" s="1382"/>
      <c r="BR242" s="1383"/>
      <c r="BS242" s="1370">
        <f t="shared" si="437"/>
        <v>46179</v>
      </c>
      <c r="BT242" s="1384" t="str">
        <f t="shared" si="499"/>
        <v/>
      </c>
      <c r="BU242" s="1382"/>
      <c r="BV242" s="1382"/>
      <c r="BW242" s="1382"/>
      <c r="BX242" s="1382"/>
      <c r="BY242" s="1382"/>
      <c r="BZ242" s="1382"/>
      <c r="CA242" s="1382"/>
      <c r="CB242" s="1382"/>
      <c r="CD242" s="1386">
        <f t="shared" si="492"/>
        <v>0</v>
      </c>
      <c r="DC242" s="16" t="str">
        <f>Juin!FC25</f>
        <v>non</v>
      </c>
      <c r="DG242" s="315">
        <f t="shared" si="493"/>
        <v>1</v>
      </c>
      <c r="DH242" s="129">
        <f t="shared" si="471"/>
        <v>10</v>
      </c>
      <c r="DI242" s="129">
        <f t="shared" si="494"/>
        <v>1</v>
      </c>
      <c r="DK242" s="16">
        <f>+IF(AND(Juin!$DP$8&lt;&gt;52,AR242=S.CAL!$BJ$4),10,1)</f>
        <v>1</v>
      </c>
      <c r="DN242" s="16">
        <f t="shared" si="472"/>
        <v>1</v>
      </c>
      <c r="DU242" s="1274" t="str">
        <f t="shared" si="495"/>
        <v>Fiche infoA646179</v>
      </c>
      <c r="DV242" s="1362">
        <f t="shared" si="473"/>
        <v>0</v>
      </c>
      <c r="DW242" s="1363">
        <f t="shared" si="474"/>
        <v>0</v>
      </c>
      <c r="DX242" s="1363">
        <f t="shared" si="475"/>
        <v>0</v>
      </c>
      <c r="DY242" s="1363">
        <f t="shared" si="476"/>
        <v>0</v>
      </c>
      <c r="DZ242" s="1363">
        <f t="shared" si="477"/>
        <v>0</v>
      </c>
      <c r="EA242" s="1363">
        <f t="shared" si="478"/>
        <v>0</v>
      </c>
      <c r="EB242" s="1363">
        <f t="shared" si="479"/>
        <v>0</v>
      </c>
      <c r="EC242" s="1363">
        <f t="shared" si="480"/>
        <v>0</v>
      </c>
      <c r="ED242" s="1363">
        <f t="shared" si="496"/>
        <v>0</v>
      </c>
      <c r="EE242" s="1364">
        <f t="shared" si="497"/>
        <v>0</v>
      </c>
      <c r="EG242" s="16" t="str">
        <f t="shared" si="498"/>
        <v>232026</v>
      </c>
      <c r="EH242" s="16" t="str">
        <f t="shared" si="481"/>
        <v>Fiche infoA6</v>
      </c>
      <c r="EI242" s="16" t="str">
        <f t="shared" si="482"/>
        <v/>
      </c>
    </row>
    <row r="243" spans="1:139" x14ac:dyDescent="0.2">
      <c r="A243" s="24" t="str">
        <f>Juin!BJ26</f>
        <v>Fiche infoA7</v>
      </c>
      <c r="B243" s="811">
        <f>Juin!AB26</f>
        <v>46180</v>
      </c>
      <c r="C243" s="1371"/>
      <c r="D243" s="981">
        <f t="shared" si="438"/>
        <v>0</v>
      </c>
      <c r="E243" s="434">
        <f t="shared" si="439"/>
        <v>0</v>
      </c>
      <c r="F243" s="434">
        <f t="shared" si="440"/>
        <v>0</v>
      </c>
      <c r="G243" s="434">
        <f t="shared" si="441"/>
        <v>0</v>
      </c>
      <c r="H243" s="434">
        <f t="shared" si="442"/>
        <v>0</v>
      </c>
      <c r="I243" s="434">
        <f t="shared" si="443"/>
        <v>0</v>
      </c>
      <c r="J243" s="434">
        <f t="shared" si="444"/>
        <v>0</v>
      </c>
      <c r="K243" s="434">
        <f t="shared" si="445"/>
        <v>0</v>
      </c>
      <c r="L243" s="434">
        <f t="shared" si="483"/>
        <v>0</v>
      </c>
      <c r="M243" s="982">
        <f t="shared" si="484"/>
        <v>0</v>
      </c>
      <c r="O243" s="981">
        <f t="shared" si="446"/>
        <v>0</v>
      </c>
      <c r="P243" s="434">
        <f t="shared" si="447"/>
        <v>0</v>
      </c>
      <c r="Q243" s="434">
        <f t="shared" si="448"/>
        <v>0</v>
      </c>
      <c r="R243" s="434">
        <f t="shared" si="449"/>
        <v>0</v>
      </c>
      <c r="S243" s="434">
        <f t="shared" si="450"/>
        <v>0</v>
      </c>
      <c r="T243" s="434">
        <f t="shared" si="451"/>
        <v>0</v>
      </c>
      <c r="U243" s="434">
        <f t="shared" si="452"/>
        <v>0</v>
      </c>
      <c r="V243" s="434">
        <f t="shared" si="453"/>
        <v>0</v>
      </c>
      <c r="W243" s="434">
        <f t="shared" si="454"/>
        <v>0</v>
      </c>
      <c r="X243" s="982">
        <f t="shared" si="455"/>
        <v>0</v>
      </c>
      <c r="Y243" s="441"/>
      <c r="Z243" s="277">
        <f t="shared" si="456"/>
        <v>0</v>
      </c>
      <c r="AA243" s="277">
        <f t="shared" si="457"/>
        <v>0</v>
      </c>
      <c r="AB243" s="277">
        <f t="shared" si="458"/>
        <v>0</v>
      </c>
      <c r="AC243" s="277">
        <f t="shared" si="459"/>
        <v>0</v>
      </c>
      <c r="AD243" s="277">
        <f t="shared" si="460"/>
        <v>0</v>
      </c>
      <c r="AE243" s="277">
        <f t="shared" si="461"/>
        <v>0</v>
      </c>
      <c r="AF243" s="277">
        <f t="shared" si="462"/>
        <v>0</v>
      </c>
      <c r="AG243" s="277">
        <f t="shared" si="463"/>
        <v>0</v>
      </c>
      <c r="AI243" s="444">
        <f t="shared" si="464"/>
        <v>0</v>
      </c>
      <c r="AJ243" s="1090"/>
      <c r="AK243" s="489"/>
      <c r="AL243" s="811">
        <f t="shared" si="465"/>
        <v>46180</v>
      </c>
      <c r="AM243" s="666">
        <f>IFERROR(IF(AND(AT243="",AR243&lt;&gt;S.CAL!$BJ$3,AR243&lt;&gt;S.CAL!$BJ$4,$AR$230="NON"),M243-BD243,IF(AND(AT243="",AR243&lt;&gt;S.CAL!$BJ$3,AR243&lt;&gt;S.CAL!$BJ$4,$AR$230="OUI"),X243-AI243,IF(AT243&lt;&gt;0,AT243,IF(OR(AR243=S.CAL!$BJ$3,AR243=S.CAL!$BJ$4),AR243,"")))),"")</f>
        <v>0</v>
      </c>
      <c r="AN243" s="1093"/>
      <c r="AO243" s="1094"/>
      <c r="AP243" s="666">
        <f>+IF(AND(AU243="",BB243="OUI",BH243="non",BI243="OUI"),AM243,IF(AND(AU243="",BB243="OUI",BH243="oui",BI243="NON"),AM243,IF(AND(AU243="",BB243="NON",BH243="oui",BI243="NON"),M243,IF(AND(AU243="",BB243="NON",BH243="non",BI243="OUI"),M243,IF(AND(AU243="",BB243="OUI",BH243="non",BI243="NON"),"ERREUR",IF(AND(AU243="",BB243="NON",BH243="non",BI243="NON"),AM243,IF(AND(AU243="",BB243="OUI",BH243="",BI243=""),AM243,IF(AND(AU243="",BB243="NON",BH243="",BI243="",AZ243="NON"),M243,IF(AND(AU243="",BH243="",AZ243="OUI",AR243=""),AM243,IF(AND(AU243="",BH243="",AZ243="NON",AR243="",AT243=""),M243,IF(AND(OR(AR243=S.CAL!$BJ$3,AR243=S.CAL!$BJ$4),(VLOOKUP($AM$230,base_nbre_sem_mensu,2,FALSE)=52)),EE243,IF(AND(OR(AR243=S.CAL!$BJ$3,AR243=S.CAL!$BJ$4),(VLOOKUP($AM$230,base_nbre_sem_mensu,2,FALSE)&lt;52)),AM243,IF(AND(AT243&lt;&gt;"",AU243=""),AT243,AU243)))))))))))))</f>
        <v>0</v>
      </c>
      <c r="AQ243" s="498">
        <f t="shared" si="485"/>
        <v>0</v>
      </c>
      <c r="AR243" s="1098"/>
      <c r="AT243" s="1101"/>
      <c r="AU243" s="813"/>
      <c r="AV243" s="1370">
        <f t="shared" si="466"/>
        <v>46180</v>
      </c>
      <c r="AX243" s="511">
        <f t="shared" si="486"/>
        <v>46180</v>
      </c>
      <c r="AY243" s="523">
        <f t="shared" si="487"/>
        <v>0</v>
      </c>
      <c r="AZ243" s="520" t="s">
        <v>137</v>
      </c>
      <c r="BA243" s="516">
        <f t="shared" si="488"/>
        <v>0</v>
      </c>
      <c r="BB243" s="549" t="str">
        <f t="shared" si="467"/>
        <v/>
      </c>
      <c r="BC243" s="523">
        <f t="shared" si="489"/>
        <v>0</v>
      </c>
      <c r="BD243" s="523">
        <f t="shared" si="490"/>
        <v>0</v>
      </c>
      <c r="BE243" s="732"/>
      <c r="BF243" s="514" t="str">
        <f t="shared" si="468"/>
        <v/>
      </c>
      <c r="BG243" s="514" t="str">
        <f t="shared" si="491"/>
        <v>oui</v>
      </c>
      <c r="BH243" s="377" t="str">
        <f t="shared" si="469"/>
        <v/>
      </c>
      <c r="BI243" s="24" t="str">
        <f t="shared" si="470"/>
        <v/>
      </c>
      <c r="BJ243" s="1381"/>
      <c r="BK243" s="1381"/>
      <c r="BL243" s="1381"/>
      <c r="BM243" s="1381"/>
      <c r="BN243" s="1381"/>
      <c r="BO243" s="1381"/>
      <c r="BP243" s="1381"/>
      <c r="BQ243" s="1381"/>
      <c r="BS243" s="1370">
        <f t="shared" si="437"/>
        <v>46180</v>
      </c>
      <c r="BT243" s="27" t="str">
        <f t="shared" si="499"/>
        <v/>
      </c>
      <c r="BU243" s="1380"/>
      <c r="BV243" s="1380"/>
      <c r="BW243" s="1380"/>
      <c r="BX243" s="1380"/>
      <c r="BY243" s="1380"/>
      <c r="BZ243" s="1380"/>
      <c r="CA243" s="1380"/>
      <c r="CB243" s="1380"/>
      <c r="CD243" s="1386">
        <f t="shared" si="492"/>
        <v>0</v>
      </c>
      <c r="DC243" s="16" t="str">
        <f>Juin!FC26</f>
        <v>non</v>
      </c>
      <c r="DG243" s="315">
        <f t="shared" si="493"/>
        <v>1</v>
      </c>
      <c r="DH243" s="129">
        <f t="shared" si="471"/>
        <v>10</v>
      </c>
      <c r="DI243" s="129">
        <f t="shared" si="494"/>
        <v>1</v>
      </c>
      <c r="DK243" s="16">
        <f>+IF(AND(Juin!$DP$8&lt;&gt;52,AR243=S.CAL!$BJ$4),10,1)</f>
        <v>1</v>
      </c>
      <c r="DN243" s="16">
        <f t="shared" si="472"/>
        <v>1</v>
      </c>
      <c r="DU243" s="1274" t="str">
        <f t="shared" si="495"/>
        <v>Fiche infoA746180</v>
      </c>
      <c r="DV243" s="1362">
        <f t="shared" si="473"/>
        <v>0</v>
      </c>
      <c r="DW243" s="1363">
        <f t="shared" si="474"/>
        <v>0</v>
      </c>
      <c r="DX243" s="1363">
        <f t="shared" si="475"/>
        <v>0</v>
      </c>
      <c r="DY243" s="1363">
        <f t="shared" si="476"/>
        <v>0</v>
      </c>
      <c r="DZ243" s="1363">
        <f t="shared" si="477"/>
        <v>0</v>
      </c>
      <c r="EA243" s="1363">
        <f t="shared" si="478"/>
        <v>0</v>
      </c>
      <c r="EB243" s="1363">
        <f t="shared" si="479"/>
        <v>0</v>
      </c>
      <c r="EC243" s="1363">
        <f t="shared" si="480"/>
        <v>0</v>
      </c>
      <c r="ED243" s="1363">
        <f t="shared" si="496"/>
        <v>0</v>
      </c>
      <c r="EE243" s="1364">
        <f t="shared" si="497"/>
        <v>0</v>
      </c>
      <c r="EG243" s="16" t="str">
        <f t="shared" si="498"/>
        <v>232026</v>
      </c>
      <c r="EH243" s="16" t="str">
        <f t="shared" si="481"/>
        <v>Fiche infoA7</v>
      </c>
      <c r="EI243" s="16" t="str">
        <f t="shared" si="482"/>
        <v/>
      </c>
    </row>
    <row r="244" spans="1:139" x14ac:dyDescent="0.2">
      <c r="A244" s="1373" t="str">
        <f>Juin!BJ27</f>
        <v>Fiche infoA1</v>
      </c>
      <c r="B244" s="811">
        <f>Juin!AB27</f>
        <v>46181</v>
      </c>
      <c r="C244" s="1372"/>
      <c r="D244" s="981">
        <f t="shared" si="438"/>
        <v>0</v>
      </c>
      <c r="E244" s="434">
        <f t="shared" si="439"/>
        <v>0</v>
      </c>
      <c r="F244" s="434">
        <f t="shared" si="440"/>
        <v>0</v>
      </c>
      <c r="G244" s="434">
        <f t="shared" si="441"/>
        <v>0</v>
      </c>
      <c r="H244" s="434">
        <f t="shared" si="442"/>
        <v>0</v>
      </c>
      <c r="I244" s="434">
        <f t="shared" si="443"/>
        <v>0</v>
      </c>
      <c r="J244" s="434">
        <f t="shared" si="444"/>
        <v>0</v>
      </c>
      <c r="K244" s="434">
        <f t="shared" si="445"/>
        <v>0</v>
      </c>
      <c r="L244" s="434">
        <f t="shared" si="483"/>
        <v>0</v>
      </c>
      <c r="M244" s="982">
        <f t="shared" si="484"/>
        <v>0</v>
      </c>
      <c r="N244" s="1374"/>
      <c r="O244" s="981">
        <f t="shared" si="446"/>
        <v>0</v>
      </c>
      <c r="P244" s="434">
        <f t="shared" si="447"/>
        <v>0</v>
      </c>
      <c r="Q244" s="434">
        <f t="shared" si="448"/>
        <v>0</v>
      </c>
      <c r="R244" s="434">
        <f t="shared" si="449"/>
        <v>0</v>
      </c>
      <c r="S244" s="434">
        <f t="shared" si="450"/>
        <v>0</v>
      </c>
      <c r="T244" s="434">
        <f t="shared" si="451"/>
        <v>0</v>
      </c>
      <c r="U244" s="434">
        <f t="shared" si="452"/>
        <v>0</v>
      </c>
      <c r="V244" s="434">
        <f t="shared" si="453"/>
        <v>0</v>
      </c>
      <c r="W244" s="434">
        <f t="shared" si="454"/>
        <v>0</v>
      </c>
      <c r="X244" s="982">
        <f t="shared" si="455"/>
        <v>0</v>
      </c>
      <c r="Y244" s="1375"/>
      <c r="Z244" s="1376">
        <f t="shared" si="456"/>
        <v>0</v>
      </c>
      <c r="AA244" s="1376">
        <f t="shared" si="457"/>
        <v>0</v>
      </c>
      <c r="AB244" s="1376">
        <f t="shared" si="458"/>
        <v>0</v>
      </c>
      <c r="AC244" s="1376">
        <f t="shared" si="459"/>
        <v>0</v>
      </c>
      <c r="AD244" s="1376">
        <f t="shared" si="460"/>
        <v>0</v>
      </c>
      <c r="AE244" s="1376">
        <f t="shared" si="461"/>
        <v>0</v>
      </c>
      <c r="AF244" s="1376">
        <f t="shared" si="462"/>
        <v>0</v>
      </c>
      <c r="AG244" s="1376">
        <f t="shared" si="463"/>
        <v>0</v>
      </c>
      <c r="AH244" s="1374"/>
      <c r="AI244" s="444">
        <f t="shared" si="464"/>
        <v>0</v>
      </c>
      <c r="AJ244" s="1090"/>
      <c r="AK244" s="1377"/>
      <c r="AL244" s="811">
        <f t="shared" si="465"/>
        <v>46181</v>
      </c>
      <c r="AM244" s="666">
        <f>IFERROR(IF(AND(AT244="",AR244&lt;&gt;S.CAL!$BJ$3,AR244&lt;&gt;S.CAL!$BJ$4,$AR$230="NON"),M244-BD244,IF(AND(AT244="",AR244&lt;&gt;S.CAL!$BJ$3,AR244&lt;&gt;S.CAL!$BJ$4,$AR$230="OUI"),X244-AI244,IF(AT244&lt;&gt;0,AT244,IF(OR(AR244=S.CAL!$BJ$3,AR244=S.CAL!$BJ$4),AR244,"")))),"")</f>
        <v>0</v>
      </c>
      <c r="AN244" s="1093"/>
      <c r="AO244" s="1094"/>
      <c r="AP244" s="666">
        <f>+IF(AND(AU244="",BB244="OUI",BH244="non",BI244="OUI"),AM244,IF(AND(AU244="",BB244="OUI",BH244="oui",BI244="NON"),AM244,IF(AND(AU244="",BB244="NON",BH244="oui",BI244="NON"),M244,IF(AND(AU244="",BB244="NON",BH244="non",BI244="OUI"),M244,IF(AND(AU244="",BB244="OUI",BH244="non",BI244="NON"),"ERREUR",IF(AND(AU244="",BB244="NON",BH244="non",BI244="NON"),AM244,IF(AND(AU244="",BB244="OUI",BH244="",BI244=""),AM244,IF(AND(AU244="",BB244="NON",BH244="",BI244="",AZ244="NON"),M244,IF(AND(AU244="",BH244="",AZ244="OUI",AR244=""),AM244,IF(AND(AU244="",BH244="",AZ244="NON",AR244="",AT244=""),M244,IF(AND(OR(AR244=S.CAL!$BJ$3,AR244=S.CAL!$BJ$4),(VLOOKUP($AM$230,base_nbre_sem_mensu,2,FALSE)=52)),EE244,IF(AND(OR(AR244=S.CAL!$BJ$3,AR244=S.CAL!$BJ$4),(VLOOKUP($AM$230,base_nbre_sem_mensu,2,FALSE)&lt;52)),AM244,IF(AND(AT244&lt;&gt;"",AU244=""),AT244,AU244)))))))))))))</f>
        <v>0</v>
      </c>
      <c r="AQ244" s="1378">
        <f t="shared" si="485"/>
        <v>0</v>
      </c>
      <c r="AR244" s="1098"/>
      <c r="AS244" s="1374"/>
      <c r="AT244" s="1101"/>
      <c r="AU244" s="813"/>
      <c r="AV244" s="1370">
        <f t="shared" si="466"/>
        <v>46181</v>
      </c>
      <c r="AW244" s="1374"/>
      <c r="AX244" s="511">
        <f t="shared" si="486"/>
        <v>46181</v>
      </c>
      <c r="AY244" s="523">
        <f t="shared" si="487"/>
        <v>0</v>
      </c>
      <c r="AZ244" s="520" t="s">
        <v>137</v>
      </c>
      <c r="BA244" s="516">
        <f t="shared" si="488"/>
        <v>0</v>
      </c>
      <c r="BB244" s="549" t="str">
        <f t="shared" si="467"/>
        <v/>
      </c>
      <c r="BC244" s="523">
        <f t="shared" si="489"/>
        <v>0</v>
      </c>
      <c r="BD244" s="523">
        <f t="shared" si="490"/>
        <v>0</v>
      </c>
      <c r="BE244" s="732"/>
      <c r="BF244" s="514" t="str">
        <f t="shared" si="468"/>
        <v/>
      </c>
      <c r="BG244" s="514" t="str">
        <f t="shared" si="491"/>
        <v>oui</v>
      </c>
      <c r="BH244" s="377" t="str">
        <f t="shared" si="469"/>
        <v/>
      </c>
      <c r="BI244" s="24" t="str">
        <f t="shared" si="470"/>
        <v/>
      </c>
      <c r="BJ244" s="1382"/>
      <c r="BK244" s="1382"/>
      <c r="BL244" s="1382"/>
      <c r="BM244" s="1382"/>
      <c r="BN244" s="1382"/>
      <c r="BO244" s="1382"/>
      <c r="BP244" s="1382"/>
      <c r="BQ244" s="1382"/>
      <c r="BR244" s="1383"/>
      <c r="BS244" s="1370">
        <f t="shared" si="437"/>
        <v>46181</v>
      </c>
      <c r="BT244" s="1384">
        <f t="shared" si="499"/>
        <v>24</v>
      </c>
      <c r="BU244" s="1382"/>
      <c r="BV244" s="1382"/>
      <c r="BW244" s="1382"/>
      <c r="BX244" s="1382"/>
      <c r="BY244" s="1382"/>
      <c r="BZ244" s="1382"/>
      <c r="CA244" s="1382"/>
      <c r="CB244" s="1382"/>
      <c r="CD244" s="1386">
        <f t="shared" si="492"/>
        <v>0</v>
      </c>
      <c r="DC244" s="16" t="str">
        <f>Juin!FC27</f>
        <v>non</v>
      </c>
      <c r="DG244" s="315">
        <f t="shared" si="493"/>
        <v>1</v>
      </c>
      <c r="DH244" s="129">
        <f t="shared" si="471"/>
        <v>10</v>
      </c>
      <c r="DI244" s="129">
        <f t="shared" si="494"/>
        <v>1</v>
      </c>
      <c r="DK244" s="16">
        <f>+IF(AND(Juin!$DP$8&lt;&gt;52,AR244=S.CAL!$BJ$4),10,1)</f>
        <v>1</v>
      </c>
      <c r="DN244" s="16">
        <f t="shared" si="472"/>
        <v>1</v>
      </c>
      <c r="DU244" s="1274" t="str">
        <f t="shared" si="495"/>
        <v>Fiche infoA146181</v>
      </c>
      <c r="DV244" s="1362">
        <f t="shared" si="473"/>
        <v>0</v>
      </c>
      <c r="DW244" s="1363">
        <f t="shared" si="474"/>
        <v>0</v>
      </c>
      <c r="DX244" s="1363">
        <f t="shared" si="475"/>
        <v>0</v>
      </c>
      <c r="DY244" s="1363">
        <f t="shared" si="476"/>
        <v>0</v>
      </c>
      <c r="DZ244" s="1363">
        <f t="shared" si="477"/>
        <v>0</v>
      </c>
      <c r="EA244" s="1363">
        <f t="shared" si="478"/>
        <v>0</v>
      </c>
      <c r="EB244" s="1363">
        <f t="shared" si="479"/>
        <v>0</v>
      </c>
      <c r="EC244" s="1363">
        <f t="shared" si="480"/>
        <v>0</v>
      </c>
      <c r="ED244" s="1363">
        <f t="shared" si="496"/>
        <v>0</v>
      </c>
      <c r="EE244" s="1364">
        <f t="shared" si="497"/>
        <v>0</v>
      </c>
      <c r="EG244" s="16" t="str">
        <f t="shared" si="498"/>
        <v>242026</v>
      </c>
      <c r="EH244" s="16" t="str">
        <f t="shared" si="481"/>
        <v>Fiche infoA1</v>
      </c>
      <c r="EI244" s="16" t="str">
        <f t="shared" si="482"/>
        <v/>
      </c>
    </row>
    <row r="245" spans="1:139" x14ac:dyDescent="0.2">
      <c r="A245" s="24" t="str">
        <f>Juin!BJ28</f>
        <v>Fiche infoA2</v>
      </c>
      <c r="B245" s="811">
        <f>Juin!AB28</f>
        <v>46182</v>
      </c>
      <c r="C245" s="1371"/>
      <c r="D245" s="981">
        <f t="shared" si="438"/>
        <v>0</v>
      </c>
      <c r="E245" s="434">
        <f t="shared" si="439"/>
        <v>0</v>
      </c>
      <c r="F245" s="434">
        <f t="shared" si="440"/>
        <v>0</v>
      </c>
      <c r="G245" s="434">
        <f t="shared" si="441"/>
        <v>0</v>
      </c>
      <c r="H245" s="434">
        <f t="shared" si="442"/>
        <v>0</v>
      </c>
      <c r="I245" s="434">
        <f t="shared" si="443"/>
        <v>0</v>
      </c>
      <c r="J245" s="434">
        <f t="shared" si="444"/>
        <v>0</v>
      </c>
      <c r="K245" s="434">
        <f t="shared" si="445"/>
        <v>0</v>
      </c>
      <c r="L245" s="434">
        <f t="shared" si="483"/>
        <v>0</v>
      </c>
      <c r="M245" s="982">
        <f t="shared" si="484"/>
        <v>0</v>
      </c>
      <c r="O245" s="981">
        <f>IF(AR245&lt;&gt;"",0,IF(DC245="oui",0,IF(AND(ISTEXT(AT245)=TRUE,BJ245=""),0,IF(BJ245="",D245,BJ245))))</f>
        <v>0</v>
      </c>
      <c r="P245" s="434">
        <f>IF(AR245&lt;&gt;"",0,IF(DC245="oui",0,IF(AND(ISTEXT(AT245)=TRUE,BK245=""),0,IF(BK245="",E245,BK245))))</f>
        <v>0</v>
      </c>
      <c r="Q245" s="434">
        <f>IF(AR245&lt;&gt;"",0,IF(DC245="oui",0,IF(AND(ISTEXT(AT245)=TRUE,BL245=""),0,IF(BL245="",F245,BL245))))</f>
        <v>0</v>
      </c>
      <c r="R245" s="434">
        <f>IF(AR245&lt;&gt;"",0,IF(DC245="oui",0,IF(AND(ISTEXT(AT245)=TRUE,BM245=""),0,IF(BM245="",G245,BM245))))</f>
        <v>0</v>
      </c>
      <c r="S245" s="434">
        <f>IF(AR245&lt;&gt;"",0,IF(DC245="oui",0,IF(AND(ISTEXT(AT245)=TRUE,BN245=""),0,IF(BN245="",H245,BN245))))</f>
        <v>0</v>
      </c>
      <c r="T245" s="434">
        <f>IF(AR245&lt;&gt;"",0,IF(DC245="oui",0,IF(AND(ISTEXT(AT245)=TRUE,BO245=""),0,IF(BO245="",I245,BO245))))</f>
        <v>0</v>
      </c>
      <c r="U245" s="434">
        <f>IF(AR245&lt;&gt;"",0,IF(DC245="oui",0,IF(AND(ISTEXT(AT245)=TRUE,BP245=""),0,IF(BP245="",J245,BP245))))</f>
        <v>0</v>
      </c>
      <c r="V245" s="434">
        <f>IF(AR245&lt;&gt;"",0,IF(DC245="oui",0,IF(AND(ISTEXT(AT245)=TRUE,BQ245=""),0,IF(BQ245="",K245,BQ245))))</f>
        <v>0</v>
      </c>
      <c r="W245" s="434">
        <f t="shared" si="454"/>
        <v>0</v>
      </c>
      <c r="X245" s="982">
        <f t="shared" si="455"/>
        <v>0</v>
      </c>
      <c r="Y245" s="441"/>
      <c r="Z245" s="277">
        <f t="shared" si="456"/>
        <v>0</v>
      </c>
      <c r="AA245" s="277">
        <f t="shared" si="457"/>
        <v>0</v>
      </c>
      <c r="AB245" s="277">
        <f t="shared" si="458"/>
        <v>0</v>
      </c>
      <c r="AC245" s="277">
        <f t="shared" si="459"/>
        <v>0</v>
      </c>
      <c r="AD245" s="277">
        <f t="shared" si="460"/>
        <v>0</v>
      </c>
      <c r="AE245" s="277">
        <f t="shared" si="461"/>
        <v>0</v>
      </c>
      <c r="AF245" s="277">
        <f t="shared" si="462"/>
        <v>0</v>
      </c>
      <c r="AG245" s="277">
        <f t="shared" si="463"/>
        <v>0</v>
      </c>
      <c r="AI245" s="444">
        <f>IF(DC245="oui",0,IF(AND(ISTEXT(AT245)=TRUE,OR(X245=0,X245="")),0,ROUND(((((AA245-Z245)-(E245-D245))+((AC245-AB245)-(G245-F245))+((AE245-AD245)-(I245-H245))+(AG245-AF245)-(K245-J245))*24),2)))</f>
        <v>0</v>
      </c>
      <c r="AJ245" s="1090"/>
      <c r="AK245" s="489"/>
      <c r="AL245" s="811">
        <f t="shared" si="465"/>
        <v>46182</v>
      </c>
      <c r="AM245" s="666">
        <f>IFERROR(IF(AND(AT245="",AR245&lt;&gt;S.CAL!$BJ$3,AR245&lt;&gt;S.CAL!$BJ$4,$AR$230="NON"),M245-BD245,IF(AND(AT245="",AR245&lt;&gt;S.CAL!$BJ$3,AR245&lt;&gt;S.CAL!$BJ$4,$AR$230="OUI"),X245-AI245,IF(AT245&lt;&gt;0,AT245,IF(OR(AR245=S.CAL!$BJ$3,AR245=S.CAL!$BJ$4),AR245,"")))),"")</f>
        <v>0</v>
      </c>
      <c r="AN245" s="1093"/>
      <c r="AO245" s="1094"/>
      <c r="AP245" s="666">
        <f>+IF(AND(AU245="",BB245="OUI",BH245="non",BI245="OUI"),AM245,IF(AND(AU245="",BB245="OUI",BH245="oui",BI245="NON"),AM245,IF(AND(AU245="",BB245="NON",BH245="oui",BI245="NON"),M245,IF(AND(AU245="",BB245="NON",BH245="non",BI245="OUI"),M245,IF(AND(AU245="",BB245="OUI",BH245="non",BI245="NON"),"ERREUR",IF(AND(AU245="",BB245="NON",BH245="non",BI245="NON"),AM245,IF(AND(AU245="",BB245="OUI",BH245="",BI245=""),AM245,IF(AND(AU245="",BB245="NON",BH245="",BI245="",AZ245="NON"),M245,IF(AND(AU245="",BH245="",AZ245="OUI",AR245=""),AM245,IF(AND(AU245="",BH245="",AZ245="NON",AR245="",AT245=""),M245,IF(AND(OR(AR245=S.CAL!$BJ$3,AR245=S.CAL!$BJ$4),(VLOOKUP($AM$230,base_nbre_sem_mensu,2,FALSE)=52)),EE245,IF(AND(OR(AR245=S.CAL!$BJ$3,AR245=S.CAL!$BJ$4),(VLOOKUP($AM$230,base_nbre_sem_mensu,2,FALSE)&lt;52)),AM245,IF(AND(AT245&lt;&gt;"",AU245=""),AT245,AU245)))))))))))))</f>
        <v>0</v>
      </c>
      <c r="AQ245" s="498">
        <f t="shared" si="485"/>
        <v>0</v>
      </c>
      <c r="AR245" s="1098"/>
      <c r="AT245" s="1101"/>
      <c r="AU245" s="813"/>
      <c r="AV245" s="1370">
        <f t="shared" si="466"/>
        <v>46182</v>
      </c>
      <c r="AX245" s="511">
        <f t="shared" si="486"/>
        <v>46182</v>
      </c>
      <c r="AY245" s="523">
        <f t="shared" si="487"/>
        <v>0</v>
      </c>
      <c r="AZ245" s="520" t="s">
        <v>137</v>
      </c>
      <c r="BA245" s="516">
        <f t="shared" si="488"/>
        <v>0</v>
      </c>
      <c r="BB245" s="549" t="str">
        <f t="shared" si="467"/>
        <v/>
      </c>
      <c r="BC245" s="523">
        <f t="shared" si="489"/>
        <v>0</v>
      </c>
      <c r="BD245" s="523">
        <f t="shared" si="490"/>
        <v>0</v>
      </c>
      <c r="BE245" s="732"/>
      <c r="BF245" s="514" t="str">
        <f t="shared" si="468"/>
        <v/>
      </c>
      <c r="BG245" s="514" t="str">
        <f t="shared" si="491"/>
        <v>oui</v>
      </c>
      <c r="BH245" s="377" t="str">
        <f t="shared" si="469"/>
        <v/>
      </c>
      <c r="BI245" s="24" t="str">
        <f t="shared" si="470"/>
        <v/>
      </c>
      <c r="BJ245" s="1381"/>
      <c r="BK245" s="1381"/>
      <c r="BL245" s="1381"/>
      <c r="BM245" s="1381"/>
      <c r="BN245" s="1381"/>
      <c r="BO245" s="1381"/>
      <c r="BP245" s="1381"/>
      <c r="BQ245" s="1381"/>
      <c r="BS245" s="1370">
        <f t="shared" si="437"/>
        <v>46182</v>
      </c>
      <c r="BT245" s="27" t="str">
        <f t="shared" si="499"/>
        <v/>
      </c>
      <c r="BU245" s="1380"/>
      <c r="BV245" s="1380"/>
      <c r="BW245" s="1380"/>
      <c r="BX245" s="1380"/>
      <c r="BY245" s="1380"/>
      <c r="BZ245" s="1380"/>
      <c r="CA245" s="1380"/>
      <c r="CB245" s="1380"/>
      <c r="CD245" s="1386">
        <f t="shared" si="492"/>
        <v>0</v>
      </c>
      <c r="DC245" s="16" t="str">
        <f>Juin!FC28</f>
        <v>non</v>
      </c>
      <c r="DG245" s="315">
        <f t="shared" si="493"/>
        <v>1</v>
      </c>
      <c r="DH245" s="129">
        <f t="shared" si="471"/>
        <v>10</v>
      </c>
      <c r="DI245" s="129">
        <f t="shared" si="494"/>
        <v>1</v>
      </c>
      <c r="DK245" s="16">
        <f>+IF(AND(Juin!$DP$8&lt;&gt;52,AR245=S.CAL!$BJ$4),10,1)</f>
        <v>1</v>
      </c>
      <c r="DN245" s="16">
        <f t="shared" si="472"/>
        <v>1</v>
      </c>
      <c r="DU245" s="1274" t="str">
        <f t="shared" si="495"/>
        <v>Fiche infoA246182</v>
      </c>
      <c r="DV245" s="1362">
        <f t="shared" si="473"/>
        <v>0</v>
      </c>
      <c r="DW245" s="1363">
        <f t="shared" si="474"/>
        <v>0</v>
      </c>
      <c r="DX245" s="1363">
        <f t="shared" si="475"/>
        <v>0</v>
      </c>
      <c r="DY245" s="1363">
        <f t="shared" si="476"/>
        <v>0</v>
      </c>
      <c r="DZ245" s="1363">
        <f t="shared" si="477"/>
        <v>0</v>
      </c>
      <c r="EA245" s="1363">
        <f t="shared" si="478"/>
        <v>0</v>
      </c>
      <c r="EB245" s="1363">
        <f t="shared" si="479"/>
        <v>0</v>
      </c>
      <c r="EC245" s="1363">
        <f t="shared" si="480"/>
        <v>0</v>
      </c>
      <c r="ED245" s="1363">
        <f t="shared" si="496"/>
        <v>0</v>
      </c>
      <c r="EE245" s="1364">
        <f t="shared" si="497"/>
        <v>0</v>
      </c>
      <c r="EG245" s="16" t="str">
        <f t="shared" si="498"/>
        <v>242026</v>
      </c>
      <c r="EH245" s="16" t="str">
        <f t="shared" si="481"/>
        <v>Fiche infoA2</v>
      </c>
      <c r="EI245" s="16" t="str">
        <f t="shared" si="482"/>
        <v/>
      </c>
    </row>
    <row r="246" spans="1:139" x14ac:dyDescent="0.2">
      <c r="A246" s="1373" t="str">
        <f>Juin!BJ29</f>
        <v>Fiche infoA3</v>
      </c>
      <c r="B246" s="811">
        <f>Juin!AB29</f>
        <v>46183</v>
      </c>
      <c r="C246" s="1372"/>
      <c r="D246" s="981">
        <f t="shared" si="438"/>
        <v>0</v>
      </c>
      <c r="E246" s="434">
        <f t="shared" si="439"/>
        <v>0</v>
      </c>
      <c r="F246" s="434">
        <f t="shared" si="440"/>
        <v>0</v>
      </c>
      <c r="G246" s="434">
        <f t="shared" si="441"/>
        <v>0</v>
      </c>
      <c r="H246" s="434">
        <f t="shared" si="442"/>
        <v>0</v>
      </c>
      <c r="I246" s="434">
        <f t="shared" si="443"/>
        <v>0</v>
      </c>
      <c r="J246" s="434">
        <f t="shared" si="444"/>
        <v>0</v>
      </c>
      <c r="K246" s="434">
        <f t="shared" si="445"/>
        <v>0</v>
      </c>
      <c r="L246" s="434">
        <f t="shared" si="483"/>
        <v>0</v>
      </c>
      <c r="M246" s="982">
        <f t="shared" si="484"/>
        <v>0</v>
      </c>
      <c r="N246" s="1374"/>
      <c r="O246" s="981">
        <f t="shared" ref="O246:O267" si="500">IF(AR246&lt;&gt;"",0,IF(DC246="oui",0,IF(AND(ISTEXT(AT246)=TRUE,BJ246=""),0,IF(BJ246="",D246,BJ246))))</f>
        <v>0</v>
      </c>
      <c r="P246" s="434">
        <f t="shared" ref="P246:P267" si="501">IF(AR246&lt;&gt;"",0,IF(DC246="oui",0,IF(AND(ISTEXT(AT246)=TRUE,BK246=""),0,IF(BK246="",E246,BK246))))</f>
        <v>0</v>
      </c>
      <c r="Q246" s="434">
        <f t="shared" ref="Q246:Q267" si="502">IF(AR246&lt;&gt;"",0,IF(DC246="oui",0,IF(AND(ISTEXT(AT246)=TRUE,BL246=""),0,IF(BL246="",F246,BL246))))</f>
        <v>0</v>
      </c>
      <c r="R246" s="434">
        <f t="shared" ref="R246:R267" si="503">IF(AR246&lt;&gt;"",0,IF(DC246="oui",0,IF(AND(ISTEXT(AT246)=TRUE,BM246=""),0,IF(BM246="",G246,BM246))))</f>
        <v>0</v>
      </c>
      <c r="S246" s="434">
        <f t="shared" ref="S246:S267" si="504">IF(AR246&lt;&gt;"",0,IF(DC246="oui",0,IF(AND(ISTEXT(AT246)=TRUE,BN246=""),0,IF(BN246="",H246,BN246))))</f>
        <v>0</v>
      </c>
      <c r="T246" s="434">
        <f t="shared" ref="T246:T267" si="505">IF(AR246&lt;&gt;"",0,IF(DC246="oui",0,IF(AND(ISTEXT(AT246)=TRUE,BO246=""),0,IF(BO246="",I246,BO246))))</f>
        <v>0</v>
      </c>
      <c r="U246" s="434">
        <f t="shared" ref="U246:U267" si="506">IF(AR246&lt;&gt;"",0,IF(DC246="oui",0,IF(AND(ISTEXT(AT246)=TRUE,BP246=""),0,IF(BP246="",J246,BP246))))</f>
        <v>0</v>
      </c>
      <c r="V246" s="434">
        <f t="shared" ref="V246:V267" si="507">IF(AR246&lt;&gt;"",0,IF(DC246="oui",0,IF(AND(ISTEXT(AT246)=TRUE,BQ246=""),0,IF(BQ246="",K246,BQ246))))</f>
        <v>0</v>
      </c>
      <c r="W246" s="434">
        <f t="shared" si="454"/>
        <v>0</v>
      </c>
      <c r="X246" s="982">
        <f t="shared" si="455"/>
        <v>0</v>
      </c>
      <c r="Y246" s="1375"/>
      <c r="Z246" s="1376">
        <f t="shared" si="456"/>
        <v>0</v>
      </c>
      <c r="AA246" s="1376">
        <f t="shared" si="457"/>
        <v>0</v>
      </c>
      <c r="AB246" s="1376">
        <f t="shared" si="458"/>
        <v>0</v>
      </c>
      <c r="AC246" s="1376">
        <f t="shared" si="459"/>
        <v>0</v>
      </c>
      <c r="AD246" s="1376">
        <f t="shared" si="460"/>
        <v>0</v>
      </c>
      <c r="AE246" s="1376">
        <f t="shared" si="461"/>
        <v>0</v>
      </c>
      <c r="AF246" s="1376">
        <f t="shared" si="462"/>
        <v>0</v>
      </c>
      <c r="AG246" s="1376">
        <f t="shared" si="463"/>
        <v>0</v>
      </c>
      <c r="AH246" s="1374"/>
      <c r="AI246" s="444">
        <f t="shared" ref="AI246:AI267" si="508">IF(DC246="oui",0,IF(AND(ISTEXT(AT246)=TRUE,OR(X246=0,X246="")),0,ROUND(((((AA246-Z246)-(E246-D246))+((AC246-AB246)-(G246-F246))+((AE246-AD246)-(I246-H246))+(AG246-AF246)-(K246-J246))*24),2)))</f>
        <v>0</v>
      </c>
      <c r="AJ246" s="1090"/>
      <c r="AK246" s="1377"/>
      <c r="AL246" s="811">
        <f t="shared" si="465"/>
        <v>46183</v>
      </c>
      <c r="AM246" s="666">
        <f>IFERROR(IF(AND(AT246="",AR246&lt;&gt;S.CAL!$BJ$3,AR246&lt;&gt;S.CAL!$BJ$4,$AR$230="NON"),M246-BD246,IF(AND(AT246="",AR246&lt;&gt;S.CAL!$BJ$3,AR246&lt;&gt;S.CAL!$BJ$4,$AR$230="OUI"),X246-AI246,IF(AT246&lt;&gt;0,AT246,IF(OR(AR246=S.CAL!$BJ$3,AR246=S.CAL!$BJ$4),AR246,"")))),"")</f>
        <v>0</v>
      </c>
      <c r="AN246" s="1093"/>
      <c r="AO246" s="1094"/>
      <c r="AP246" s="666">
        <f>+IF(AND(AU246="",BB246="OUI",BH246="non",BI246="OUI"),AM246,IF(AND(AU246="",BB246="OUI",BH246="oui",BI246="NON"),AM246,IF(AND(AU246="",BB246="NON",BH246="oui",BI246="NON"),M246,IF(AND(AU246="",BB246="NON",BH246="non",BI246="OUI"),M246,IF(AND(AU246="",BB246="OUI",BH246="non",BI246="NON"),"ERREUR",IF(AND(AU246="",BB246="NON",BH246="non",BI246="NON"),AM246,IF(AND(AU246="",BB246="OUI",BH246="",BI246=""),AM246,IF(AND(AU246="",BB246="NON",BH246="",BI246="",AZ246="NON"),M246,IF(AND(AU246="",BH246="",AZ246="OUI",AR246=""),AM246,IF(AND(AU246="",BH246="",AZ246="NON",AR246="",AT246=""),M246,IF(AND(OR(AR246=S.CAL!$BJ$3,AR246=S.CAL!$BJ$4),(VLOOKUP($AM$230,base_nbre_sem_mensu,2,FALSE)=52)),EE246,IF(AND(OR(AR246=S.CAL!$BJ$3,AR246=S.CAL!$BJ$4),(VLOOKUP($AM$230,base_nbre_sem_mensu,2,FALSE)&lt;52)),AM246,IF(AND(AT246&lt;&gt;"",AU246=""),AT246,AU246)))))))))))))</f>
        <v>0</v>
      </c>
      <c r="AQ246" s="1378">
        <f t="shared" si="485"/>
        <v>0</v>
      </c>
      <c r="AR246" s="1098"/>
      <c r="AS246" s="1374"/>
      <c r="AT246" s="1101"/>
      <c r="AU246" s="813"/>
      <c r="AV246" s="1370">
        <f t="shared" si="466"/>
        <v>46183</v>
      </c>
      <c r="AW246" s="1374"/>
      <c r="AX246" s="511">
        <f t="shared" si="486"/>
        <v>46183</v>
      </c>
      <c r="AY246" s="523">
        <f t="shared" si="487"/>
        <v>0</v>
      </c>
      <c r="AZ246" s="520" t="s">
        <v>137</v>
      </c>
      <c r="BA246" s="516">
        <f t="shared" si="488"/>
        <v>0</v>
      </c>
      <c r="BB246" s="549" t="str">
        <f t="shared" si="467"/>
        <v/>
      </c>
      <c r="BC246" s="523">
        <f t="shared" si="489"/>
        <v>0</v>
      </c>
      <c r="BD246" s="523">
        <f t="shared" si="490"/>
        <v>0</v>
      </c>
      <c r="BE246" s="732"/>
      <c r="BF246" s="514" t="str">
        <f t="shared" si="468"/>
        <v/>
      </c>
      <c r="BG246" s="514" t="str">
        <f t="shared" si="491"/>
        <v>oui</v>
      </c>
      <c r="BH246" s="377" t="str">
        <f t="shared" si="469"/>
        <v/>
      </c>
      <c r="BI246" s="24" t="str">
        <f t="shared" si="470"/>
        <v/>
      </c>
      <c r="BJ246" s="1382"/>
      <c r="BK246" s="1382"/>
      <c r="BL246" s="1382"/>
      <c r="BM246" s="1382"/>
      <c r="BN246" s="1382"/>
      <c r="BO246" s="1382"/>
      <c r="BP246" s="1382"/>
      <c r="BQ246" s="1382"/>
      <c r="BR246" s="1383"/>
      <c r="BS246" s="1370">
        <f t="shared" si="437"/>
        <v>46183</v>
      </c>
      <c r="BT246" s="1384" t="str">
        <f t="shared" si="499"/>
        <v/>
      </c>
      <c r="BU246" s="1382"/>
      <c r="BV246" s="1382"/>
      <c r="BW246" s="1382"/>
      <c r="BX246" s="1382"/>
      <c r="BY246" s="1382"/>
      <c r="BZ246" s="1382"/>
      <c r="CA246" s="1382"/>
      <c r="CB246" s="1382"/>
      <c r="CD246" s="1386">
        <f t="shared" si="492"/>
        <v>0</v>
      </c>
      <c r="DC246" s="16" t="str">
        <f>Juin!FC29</f>
        <v>non</v>
      </c>
      <c r="DG246" s="315">
        <f t="shared" si="493"/>
        <v>1</v>
      </c>
      <c r="DH246" s="129">
        <f t="shared" si="471"/>
        <v>10</v>
      </c>
      <c r="DI246" s="129">
        <f t="shared" si="494"/>
        <v>1</v>
      </c>
      <c r="DK246" s="16">
        <f>+IF(AND(Juin!$DP$8&lt;&gt;52,AR246=S.CAL!$BJ$4),10,1)</f>
        <v>1</v>
      </c>
      <c r="DN246" s="16">
        <f t="shared" si="472"/>
        <v>1</v>
      </c>
      <c r="DU246" s="1274" t="str">
        <f t="shared" si="495"/>
        <v>Fiche infoA346183</v>
      </c>
      <c r="DV246" s="1362">
        <f t="shared" si="473"/>
        <v>0</v>
      </c>
      <c r="DW246" s="1363">
        <f t="shared" si="474"/>
        <v>0</v>
      </c>
      <c r="DX246" s="1363">
        <f t="shared" si="475"/>
        <v>0</v>
      </c>
      <c r="DY246" s="1363">
        <f t="shared" si="476"/>
        <v>0</v>
      </c>
      <c r="DZ246" s="1363">
        <f t="shared" si="477"/>
        <v>0</v>
      </c>
      <c r="EA246" s="1363">
        <f t="shared" si="478"/>
        <v>0</v>
      </c>
      <c r="EB246" s="1363">
        <f t="shared" si="479"/>
        <v>0</v>
      </c>
      <c r="EC246" s="1363">
        <f t="shared" si="480"/>
        <v>0</v>
      </c>
      <c r="ED246" s="1363">
        <f t="shared" si="496"/>
        <v>0</v>
      </c>
      <c r="EE246" s="1364">
        <f t="shared" si="497"/>
        <v>0</v>
      </c>
      <c r="EG246" s="16" t="str">
        <f t="shared" si="498"/>
        <v>242026</v>
      </c>
      <c r="EH246" s="16" t="str">
        <f t="shared" si="481"/>
        <v>Fiche infoA3</v>
      </c>
      <c r="EI246" s="16" t="str">
        <f t="shared" si="482"/>
        <v/>
      </c>
    </row>
    <row r="247" spans="1:139" x14ac:dyDescent="0.2">
      <c r="A247" s="24" t="str">
        <f>Juin!BJ30</f>
        <v>Fiche infoA4</v>
      </c>
      <c r="B247" s="811">
        <f>Juin!AB30</f>
        <v>46184</v>
      </c>
      <c r="C247" s="1371"/>
      <c r="D247" s="981">
        <f t="shared" si="438"/>
        <v>0</v>
      </c>
      <c r="E247" s="434">
        <f t="shared" si="439"/>
        <v>0</v>
      </c>
      <c r="F247" s="434">
        <f t="shared" si="440"/>
        <v>0</v>
      </c>
      <c r="G247" s="434">
        <f t="shared" si="441"/>
        <v>0</v>
      </c>
      <c r="H247" s="434">
        <f t="shared" si="442"/>
        <v>0</v>
      </c>
      <c r="I247" s="434">
        <f t="shared" si="443"/>
        <v>0</v>
      </c>
      <c r="J247" s="434">
        <f t="shared" si="444"/>
        <v>0</v>
      </c>
      <c r="K247" s="434">
        <f t="shared" si="445"/>
        <v>0</v>
      </c>
      <c r="L247" s="434">
        <f t="shared" si="483"/>
        <v>0</v>
      </c>
      <c r="M247" s="982">
        <f t="shared" si="484"/>
        <v>0</v>
      </c>
      <c r="O247" s="981">
        <f t="shared" si="500"/>
        <v>0</v>
      </c>
      <c r="P247" s="434">
        <f t="shared" si="501"/>
        <v>0</v>
      </c>
      <c r="Q247" s="434">
        <f t="shared" si="502"/>
        <v>0</v>
      </c>
      <c r="R247" s="434">
        <f t="shared" si="503"/>
        <v>0</v>
      </c>
      <c r="S247" s="434">
        <f t="shared" si="504"/>
        <v>0</v>
      </c>
      <c r="T247" s="434">
        <f t="shared" si="505"/>
        <v>0</v>
      </c>
      <c r="U247" s="434">
        <f t="shared" si="506"/>
        <v>0</v>
      </c>
      <c r="V247" s="434">
        <f t="shared" si="507"/>
        <v>0</v>
      </c>
      <c r="W247" s="434">
        <f t="shared" si="454"/>
        <v>0</v>
      </c>
      <c r="X247" s="982">
        <f t="shared" si="455"/>
        <v>0</v>
      </c>
      <c r="Y247" s="441"/>
      <c r="Z247" s="277">
        <f t="shared" si="456"/>
        <v>0</v>
      </c>
      <c r="AA247" s="277">
        <f t="shared" si="457"/>
        <v>0</v>
      </c>
      <c r="AB247" s="277">
        <f t="shared" si="458"/>
        <v>0</v>
      </c>
      <c r="AC247" s="277">
        <f t="shared" si="459"/>
        <v>0</v>
      </c>
      <c r="AD247" s="277">
        <f t="shared" si="460"/>
        <v>0</v>
      </c>
      <c r="AE247" s="277">
        <f t="shared" si="461"/>
        <v>0</v>
      </c>
      <c r="AF247" s="277">
        <f t="shared" si="462"/>
        <v>0</v>
      </c>
      <c r="AG247" s="277">
        <f t="shared" si="463"/>
        <v>0</v>
      </c>
      <c r="AI247" s="444">
        <f t="shared" si="508"/>
        <v>0</v>
      </c>
      <c r="AJ247" s="1090"/>
      <c r="AK247" s="489"/>
      <c r="AL247" s="811">
        <f t="shared" si="465"/>
        <v>46184</v>
      </c>
      <c r="AM247" s="666">
        <f>IFERROR(IF(AND(AT247="",AR247&lt;&gt;S.CAL!$BJ$3,AR247&lt;&gt;S.CAL!$BJ$4,$AR$230="NON"),M247-BD247,IF(AND(AT247="",AR247&lt;&gt;S.CAL!$BJ$3,AR247&lt;&gt;S.CAL!$BJ$4,$AR$230="OUI"),X247-AI247,IF(AT247&lt;&gt;0,AT247,IF(OR(AR247=S.CAL!$BJ$3,AR247=S.CAL!$BJ$4),AR247,"")))),"")</f>
        <v>0</v>
      </c>
      <c r="AN247" s="1093"/>
      <c r="AO247" s="1094"/>
      <c r="AP247" s="666">
        <f>+IF(AND(AU247="",BB247="OUI",BH247="non",BI247="OUI"),AM247,IF(AND(AU247="",BB247="OUI",BH247="oui",BI247="NON"),AM247,IF(AND(AU247="",BB247="NON",BH247="oui",BI247="NON"),M247,IF(AND(AU247="",BB247="NON",BH247="non",BI247="OUI"),M247,IF(AND(AU247="",BB247="OUI",BH247="non",BI247="NON"),"ERREUR",IF(AND(AU247="",BB247="NON",BH247="non",BI247="NON"),AM247,IF(AND(AU247="",BB247="OUI",BH247="",BI247=""),AM247,IF(AND(AU247="",BB247="NON",BH247="",BI247="",AZ247="NON"),M247,IF(AND(AU247="",BH247="",AZ247="OUI",AR247=""),AM247,IF(AND(AU247="",BH247="",AZ247="NON",AR247="",AT247=""),M247,IF(AND(OR(AR247=S.CAL!$BJ$3,AR247=S.CAL!$BJ$4),(VLOOKUP($AM$230,base_nbre_sem_mensu,2,FALSE)=52)),EE247,IF(AND(OR(AR247=S.CAL!$BJ$3,AR247=S.CAL!$BJ$4),(VLOOKUP($AM$230,base_nbre_sem_mensu,2,FALSE)&lt;52)),AM247,IF(AND(AT247&lt;&gt;"",AU247=""),AT247,AU247)))))))))))))</f>
        <v>0</v>
      </c>
      <c r="AQ247" s="498">
        <f t="shared" si="485"/>
        <v>0</v>
      </c>
      <c r="AR247" s="1098"/>
      <c r="AT247" s="1101"/>
      <c r="AU247" s="813"/>
      <c r="AV247" s="1370">
        <f t="shared" si="466"/>
        <v>46184</v>
      </c>
      <c r="AX247" s="511">
        <f t="shared" si="486"/>
        <v>46184</v>
      </c>
      <c r="AY247" s="523">
        <f t="shared" si="487"/>
        <v>0</v>
      </c>
      <c r="AZ247" s="520" t="s">
        <v>137</v>
      </c>
      <c r="BA247" s="516">
        <f t="shared" si="488"/>
        <v>0</v>
      </c>
      <c r="BB247" s="549" t="str">
        <f t="shared" si="467"/>
        <v/>
      </c>
      <c r="BC247" s="523">
        <f t="shared" si="489"/>
        <v>0</v>
      </c>
      <c r="BD247" s="523">
        <f t="shared" si="490"/>
        <v>0</v>
      </c>
      <c r="BE247" s="732"/>
      <c r="BF247" s="514" t="str">
        <f t="shared" si="468"/>
        <v/>
      </c>
      <c r="BG247" s="514" t="str">
        <f t="shared" si="491"/>
        <v>oui</v>
      </c>
      <c r="BH247" s="377" t="str">
        <f t="shared" si="469"/>
        <v/>
      </c>
      <c r="BI247" s="24" t="str">
        <f t="shared" si="470"/>
        <v/>
      </c>
      <c r="BJ247" s="1381"/>
      <c r="BK247" s="1381"/>
      <c r="BL247" s="1381"/>
      <c r="BM247" s="1381"/>
      <c r="BN247" s="1381"/>
      <c r="BO247" s="1381"/>
      <c r="BP247" s="1381"/>
      <c r="BQ247" s="1381"/>
      <c r="BS247" s="1370">
        <f t="shared" si="437"/>
        <v>46184</v>
      </c>
      <c r="BT247" s="27" t="str">
        <f t="shared" si="499"/>
        <v/>
      </c>
      <c r="BU247" s="1380"/>
      <c r="BV247" s="1380"/>
      <c r="BW247" s="1380"/>
      <c r="BX247" s="1380"/>
      <c r="BY247" s="1380"/>
      <c r="BZ247" s="1380"/>
      <c r="CA247" s="1380"/>
      <c r="CB247" s="1380"/>
      <c r="CD247" s="1386">
        <f t="shared" si="492"/>
        <v>0</v>
      </c>
      <c r="DC247" s="16" t="str">
        <f>Juin!FC30</f>
        <v>non</v>
      </c>
      <c r="DG247" s="315">
        <f t="shared" si="493"/>
        <v>1</v>
      </c>
      <c r="DH247" s="129">
        <f t="shared" si="471"/>
        <v>10</v>
      </c>
      <c r="DI247" s="129">
        <f t="shared" si="494"/>
        <v>1</v>
      </c>
      <c r="DK247" s="16">
        <f>+IF(AND(Juin!$DP$8&lt;&gt;52,AR247=S.CAL!$BJ$4),10,1)</f>
        <v>1</v>
      </c>
      <c r="DN247" s="16">
        <f t="shared" si="472"/>
        <v>1</v>
      </c>
      <c r="DU247" s="1274" t="str">
        <f t="shared" si="495"/>
        <v>Fiche infoA446184</v>
      </c>
      <c r="DV247" s="1362">
        <f t="shared" si="473"/>
        <v>0</v>
      </c>
      <c r="DW247" s="1363">
        <f t="shared" si="474"/>
        <v>0</v>
      </c>
      <c r="DX247" s="1363">
        <f t="shared" si="475"/>
        <v>0</v>
      </c>
      <c r="DY247" s="1363">
        <f t="shared" si="476"/>
        <v>0</v>
      </c>
      <c r="DZ247" s="1363">
        <f t="shared" si="477"/>
        <v>0</v>
      </c>
      <c r="EA247" s="1363">
        <f t="shared" si="478"/>
        <v>0</v>
      </c>
      <c r="EB247" s="1363">
        <f t="shared" si="479"/>
        <v>0</v>
      </c>
      <c r="EC247" s="1363">
        <f t="shared" si="480"/>
        <v>0</v>
      </c>
      <c r="ED247" s="1363">
        <f t="shared" si="496"/>
        <v>0</v>
      </c>
      <c r="EE247" s="1364">
        <f t="shared" si="497"/>
        <v>0</v>
      </c>
      <c r="EG247" s="16" t="str">
        <f t="shared" si="498"/>
        <v>242026</v>
      </c>
      <c r="EH247" s="16" t="str">
        <f t="shared" si="481"/>
        <v>Fiche infoA4</v>
      </c>
      <c r="EI247" s="16" t="str">
        <f t="shared" si="482"/>
        <v/>
      </c>
    </row>
    <row r="248" spans="1:139" x14ac:dyDescent="0.2">
      <c r="A248" s="1373" t="str">
        <f>Juin!BJ31</f>
        <v>Fiche infoA5</v>
      </c>
      <c r="B248" s="811">
        <f>Juin!AB31</f>
        <v>46185</v>
      </c>
      <c r="C248" s="1372"/>
      <c r="D248" s="981">
        <f t="shared" si="438"/>
        <v>0</v>
      </c>
      <c r="E248" s="434">
        <f t="shared" si="439"/>
        <v>0</v>
      </c>
      <c r="F248" s="434">
        <f t="shared" si="440"/>
        <v>0</v>
      </c>
      <c r="G248" s="434">
        <f t="shared" si="441"/>
        <v>0</v>
      </c>
      <c r="H248" s="434">
        <f t="shared" si="442"/>
        <v>0</v>
      </c>
      <c r="I248" s="434">
        <f t="shared" si="443"/>
        <v>0</v>
      </c>
      <c r="J248" s="434">
        <f t="shared" si="444"/>
        <v>0</v>
      </c>
      <c r="K248" s="434">
        <f t="shared" si="445"/>
        <v>0</v>
      </c>
      <c r="L248" s="434">
        <f t="shared" si="483"/>
        <v>0</v>
      </c>
      <c r="M248" s="982">
        <f t="shared" si="484"/>
        <v>0</v>
      </c>
      <c r="N248" s="1374"/>
      <c r="O248" s="981">
        <f t="shared" si="500"/>
        <v>0</v>
      </c>
      <c r="P248" s="434">
        <f t="shared" si="501"/>
        <v>0</v>
      </c>
      <c r="Q248" s="434">
        <f t="shared" si="502"/>
        <v>0</v>
      </c>
      <c r="R248" s="434">
        <f t="shared" si="503"/>
        <v>0</v>
      </c>
      <c r="S248" s="434">
        <f t="shared" si="504"/>
        <v>0</v>
      </c>
      <c r="T248" s="434">
        <f t="shared" si="505"/>
        <v>0</v>
      </c>
      <c r="U248" s="434">
        <f t="shared" si="506"/>
        <v>0</v>
      </c>
      <c r="V248" s="434">
        <f t="shared" si="507"/>
        <v>0</v>
      </c>
      <c r="W248" s="434">
        <f t="shared" si="454"/>
        <v>0</v>
      </c>
      <c r="X248" s="982">
        <f t="shared" si="455"/>
        <v>0</v>
      </c>
      <c r="Y248" s="1375"/>
      <c r="Z248" s="1376">
        <f t="shared" si="456"/>
        <v>0</v>
      </c>
      <c r="AA248" s="1376">
        <f t="shared" si="457"/>
        <v>0</v>
      </c>
      <c r="AB248" s="1376">
        <f t="shared" si="458"/>
        <v>0</v>
      </c>
      <c r="AC248" s="1376">
        <f t="shared" si="459"/>
        <v>0</v>
      </c>
      <c r="AD248" s="1376">
        <f t="shared" si="460"/>
        <v>0</v>
      </c>
      <c r="AE248" s="1376">
        <f t="shared" si="461"/>
        <v>0</v>
      </c>
      <c r="AF248" s="1376">
        <f t="shared" si="462"/>
        <v>0</v>
      </c>
      <c r="AG248" s="1376">
        <f t="shared" si="463"/>
        <v>0</v>
      </c>
      <c r="AH248" s="1374"/>
      <c r="AI248" s="444">
        <f t="shared" si="508"/>
        <v>0</v>
      </c>
      <c r="AJ248" s="1090"/>
      <c r="AK248" s="1377"/>
      <c r="AL248" s="811">
        <f t="shared" si="465"/>
        <v>46185</v>
      </c>
      <c r="AM248" s="666">
        <f>IFERROR(IF(AND(AT248="",AR248&lt;&gt;S.CAL!$BJ$3,AR248&lt;&gt;S.CAL!$BJ$4,$AR$230="NON"),M248-BD248,IF(AND(AT248="",AR248&lt;&gt;S.CAL!$BJ$3,AR248&lt;&gt;S.CAL!$BJ$4,$AR$230="OUI"),X248-AI248,IF(AT248&lt;&gt;0,AT248,IF(OR(AR248=S.CAL!$BJ$3,AR248=S.CAL!$BJ$4),AR248,"")))),"")</f>
        <v>0</v>
      </c>
      <c r="AN248" s="1093"/>
      <c r="AO248" s="1094"/>
      <c r="AP248" s="666">
        <f>+IF(AND(AU248="",BB248="OUI",BH248="non",BI248="OUI"),AM248,IF(AND(AU248="",BB248="OUI",BH248="oui",BI248="NON"),AM248,IF(AND(AU248="",BB248="NON",BH248="oui",BI248="NON"),M248,IF(AND(AU248="",BB248="NON",BH248="non",BI248="OUI"),M248,IF(AND(AU248="",BB248="OUI",BH248="non",BI248="NON"),"ERREUR",IF(AND(AU248="",BB248="NON",BH248="non",BI248="NON"),AM248,IF(AND(AU248="",BB248="OUI",BH248="",BI248=""),AM248,IF(AND(AU248="",BB248="NON",BH248="",BI248="",AZ248="NON"),M248,IF(AND(AU248="",BH248="",AZ248="OUI",AR248=""),AM248,IF(AND(AU248="",BH248="",AZ248="NON",AR248="",AT248=""),M248,IF(AND(OR(AR248=S.CAL!$BJ$3,AR248=S.CAL!$BJ$4),(VLOOKUP($AM$230,base_nbre_sem_mensu,2,FALSE)=52)),EE248,IF(AND(OR(AR248=S.CAL!$BJ$3,AR248=S.CAL!$BJ$4),(VLOOKUP($AM$230,base_nbre_sem_mensu,2,FALSE)&lt;52)),AM248,IF(AND(AT248&lt;&gt;"",AU248=""),AT248,AU248)))))))))))))</f>
        <v>0</v>
      </c>
      <c r="AQ248" s="1378">
        <f t="shared" si="485"/>
        <v>0</v>
      </c>
      <c r="AR248" s="1098"/>
      <c r="AS248" s="1374"/>
      <c r="AT248" s="1101"/>
      <c r="AU248" s="813"/>
      <c r="AV248" s="1370">
        <f t="shared" si="466"/>
        <v>46185</v>
      </c>
      <c r="AW248" s="1374"/>
      <c r="AX248" s="511">
        <f t="shared" si="486"/>
        <v>46185</v>
      </c>
      <c r="AY248" s="523">
        <f t="shared" si="487"/>
        <v>0</v>
      </c>
      <c r="AZ248" s="520" t="s">
        <v>137</v>
      </c>
      <c r="BA248" s="516">
        <f t="shared" si="488"/>
        <v>0</v>
      </c>
      <c r="BB248" s="549" t="str">
        <f t="shared" si="467"/>
        <v/>
      </c>
      <c r="BC248" s="523">
        <f t="shared" si="489"/>
        <v>0</v>
      </c>
      <c r="BD248" s="523">
        <f t="shared" si="490"/>
        <v>0</v>
      </c>
      <c r="BE248" s="732"/>
      <c r="BF248" s="514" t="str">
        <f t="shared" si="468"/>
        <v/>
      </c>
      <c r="BG248" s="514" t="str">
        <f t="shared" si="491"/>
        <v>oui</v>
      </c>
      <c r="BH248" s="377" t="str">
        <f t="shared" si="469"/>
        <v/>
      </c>
      <c r="BI248" s="24" t="str">
        <f t="shared" si="470"/>
        <v/>
      </c>
      <c r="BJ248" s="1382"/>
      <c r="BK248" s="1382"/>
      <c r="BL248" s="1382"/>
      <c r="BM248" s="1382"/>
      <c r="BN248" s="1382"/>
      <c r="BO248" s="1382"/>
      <c r="BP248" s="1382"/>
      <c r="BQ248" s="1382"/>
      <c r="BR248" s="1383"/>
      <c r="BS248" s="1370">
        <f t="shared" si="437"/>
        <v>46185</v>
      </c>
      <c r="BT248" s="1384" t="str">
        <f t="shared" si="499"/>
        <v/>
      </c>
      <c r="BU248" s="1382"/>
      <c r="BV248" s="1382"/>
      <c r="BW248" s="1382"/>
      <c r="BX248" s="1382"/>
      <c r="BY248" s="1382"/>
      <c r="BZ248" s="1382"/>
      <c r="CA248" s="1382"/>
      <c r="CB248" s="1382"/>
      <c r="CD248" s="1386">
        <f t="shared" si="492"/>
        <v>0</v>
      </c>
      <c r="DC248" s="16" t="str">
        <f>Juin!FC31</f>
        <v>non</v>
      </c>
      <c r="DG248" s="315">
        <f t="shared" si="493"/>
        <v>1</v>
      </c>
      <c r="DH248" s="129">
        <f t="shared" si="471"/>
        <v>10</v>
      </c>
      <c r="DI248" s="129">
        <f t="shared" si="494"/>
        <v>1</v>
      </c>
      <c r="DK248" s="16">
        <f>+IF(AND(Juin!$DP$8&lt;&gt;52,AR248=S.CAL!$BJ$4),10,1)</f>
        <v>1</v>
      </c>
      <c r="DN248" s="16">
        <f t="shared" si="472"/>
        <v>1</v>
      </c>
      <c r="DU248" s="1274" t="str">
        <f t="shared" si="495"/>
        <v>Fiche infoA546185</v>
      </c>
      <c r="DV248" s="1362">
        <f t="shared" si="473"/>
        <v>0</v>
      </c>
      <c r="DW248" s="1363">
        <f t="shared" si="474"/>
        <v>0</v>
      </c>
      <c r="DX248" s="1363">
        <f t="shared" si="475"/>
        <v>0</v>
      </c>
      <c r="DY248" s="1363">
        <f t="shared" si="476"/>
        <v>0</v>
      </c>
      <c r="DZ248" s="1363">
        <f t="shared" si="477"/>
        <v>0</v>
      </c>
      <c r="EA248" s="1363">
        <f t="shared" si="478"/>
        <v>0</v>
      </c>
      <c r="EB248" s="1363">
        <f t="shared" si="479"/>
        <v>0</v>
      </c>
      <c r="EC248" s="1363">
        <f t="shared" si="480"/>
        <v>0</v>
      </c>
      <c r="ED248" s="1363">
        <f t="shared" si="496"/>
        <v>0</v>
      </c>
      <c r="EE248" s="1364">
        <f t="shared" si="497"/>
        <v>0</v>
      </c>
      <c r="EG248" s="16" t="str">
        <f t="shared" si="498"/>
        <v>242026</v>
      </c>
      <c r="EH248" s="16" t="str">
        <f t="shared" si="481"/>
        <v>Fiche infoA5</v>
      </c>
      <c r="EI248" s="16" t="str">
        <f t="shared" si="482"/>
        <v/>
      </c>
    </row>
    <row r="249" spans="1:139" x14ac:dyDescent="0.2">
      <c r="A249" s="24" t="str">
        <f>Juin!BJ32</f>
        <v>Fiche infoA6</v>
      </c>
      <c r="B249" s="811">
        <f>Juin!AB32</f>
        <v>46186</v>
      </c>
      <c r="C249" s="1371"/>
      <c r="D249" s="981">
        <f t="shared" si="438"/>
        <v>0</v>
      </c>
      <c r="E249" s="434">
        <f t="shared" si="439"/>
        <v>0</v>
      </c>
      <c r="F249" s="434">
        <f t="shared" si="440"/>
        <v>0</v>
      </c>
      <c r="G249" s="434">
        <f t="shared" si="441"/>
        <v>0</v>
      </c>
      <c r="H249" s="434">
        <f t="shared" si="442"/>
        <v>0</v>
      </c>
      <c r="I249" s="434">
        <f t="shared" si="443"/>
        <v>0</v>
      </c>
      <c r="J249" s="434">
        <f t="shared" si="444"/>
        <v>0</v>
      </c>
      <c r="K249" s="434">
        <f t="shared" si="445"/>
        <v>0</v>
      </c>
      <c r="L249" s="434">
        <f t="shared" si="483"/>
        <v>0</v>
      </c>
      <c r="M249" s="982">
        <f t="shared" si="484"/>
        <v>0</v>
      </c>
      <c r="O249" s="981">
        <f t="shared" si="500"/>
        <v>0</v>
      </c>
      <c r="P249" s="434">
        <f t="shared" si="501"/>
        <v>0</v>
      </c>
      <c r="Q249" s="434">
        <f t="shared" si="502"/>
        <v>0</v>
      </c>
      <c r="R249" s="434">
        <f t="shared" si="503"/>
        <v>0</v>
      </c>
      <c r="S249" s="434">
        <f t="shared" si="504"/>
        <v>0</v>
      </c>
      <c r="T249" s="434">
        <f t="shared" si="505"/>
        <v>0</v>
      </c>
      <c r="U249" s="434">
        <f t="shared" si="506"/>
        <v>0</v>
      </c>
      <c r="V249" s="434">
        <f t="shared" si="507"/>
        <v>0</v>
      </c>
      <c r="W249" s="434">
        <f t="shared" si="454"/>
        <v>0</v>
      </c>
      <c r="X249" s="982">
        <f t="shared" si="455"/>
        <v>0</v>
      </c>
      <c r="Y249" s="441"/>
      <c r="Z249" s="277">
        <f t="shared" si="456"/>
        <v>0</v>
      </c>
      <c r="AA249" s="277">
        <f t="shared" si="457"/>
        <v>0</v>
      </c>
      <c r="AB249" s="277">
        <f t="shared" si="458"/>
        <v>0</v>
      </c>
      <c r="AC249" s="277">
        <f t="shared" si="459"/>
        <v>0</v>
      </c>
      <c r="AD249" s="277">
        <f t="shared" si="460"/>
        <v>0</v>
      </c>
      <c r="AE249" s="277">
        <f t="shared" si="461"/>
        <v>0</v>
      </c>
      <c r="AF249" s="277">
        <f t="shared" si="462"/>
        <v>0</v>
      </c>
      <c r="AG249" s="277">
        <f t="shared" si="463"/>
        <v>0</v>
      </c>
      <c r="AI249" s="444">
        <f t="shared" si="508"/>
        <v>0</v>
      </c>
      <c r="AJ249" s="1090"/>
      <c r="AK249" s="489"/>
      <c r="AL249" s="811">
        <f t="shared" si="465"/>
        <v>46186</v>
      </c>
      <c r="AM249" s="666">
        <f>IFERROR(IF(AND(AT249="",AR249&lt;&gt;S.CAL!$BJ$3,AR249&lt;&gt;S.CAL!$BJ$4,$AR$230="NON"),M249-BD249,IF(AND(AT249="",AR249&lt;&gt;S.CAL!$BJ$3,AR249&lt;&gt;S.CAL!$BJ$4,$AR$230="OUI"),X249-AI249,IF(AT249&lt;&gt;0,AT249,IF(OR(AR249=S.CAL!$BJ$3,AR249=S.CAL!$BJ$4),AR249,"")))),"")</f>
        <v>0</v>
      </c>
      <c r="AN249" s="1093"/>
      <c r="AO249" s="1094"/>
      <c r="AP249" s="666">
        <f>+IF(AND(AU249="",BB249="OUI",BH249="non",BI249="OUI"),AM249,IF(AND(AU249="",BB249="OUI",BH249="oui",BI249="NON"),AM249,IF(AND(AU249="",BB249="NON",BH249="oui",BI249="NON"),M249,IF(AND(AU249="",BB249="NON",BH249="non",BI249="OUI"),M249,IF(AND(AU249="",BB249="OUI",BH249="non",BI249="NON"),"ERREUR",IF(AND(AU249="",BB249="NON",BH249="non",BI249="NON"),AM249,IF(AND(AU249="",BB249="OUI",BH249="",BI249=""),AM249,IF(AND(AU249="",BB249="NON",BH249="",BI249="",AZ249="NON"),M249,IF(AND(AU249="",BH249="",AZ249="OUI",AR249=""),AM249,IF(AND(AU249="",BH249="",AZ249="NON",AR249="",AT249=""),M249,IF(AND(OR(AR249=S.CAL!$BJ$3,AR249=S.CAL!$BJ$4),(VLOOKUP($AM$230,base_nbre_sem_mensu,2,FALSE)=52)),EE249,IF(AND(OR(AR249=S.CAL!$BJ$3,AR249=S.CAL!$BJ$4),(VLOOKUP($AM$230,base_nbre_sem_mensu,2,FALSE)&lt;52)),AM249,IF(AND(AT249&lt;&gt;"",AU249=""),AT249,AU249)))))))))))))</f>
        <v>0</v>
      </c>
      <c r="AQ249" s="498">
        <f t="shared" si="485"/>
        <v>0</v>
      </c>
      <c r="AR249" s="1098"/>
      <c r="AT249" s="1101"/>
      <c r="AU249" s="813"/>
      <c r="AV249" s="1370">
        <f t="shared" si="466"/>
        <v>46186</v>
      </c>
      <c r="AX249" s="511">
        <f t="shared" si="486"/>
        <v>46186</v>
      </c>
      <c r="AY249" s="523">
        <f t="shared" si="487"/>
        <v>0</v>
      </c>
      <c r="AZ249" s="520" t="s">
        <v>137</v>
      </c>
      <c r="BA249" s="516">
        <f t="shared" si="488"/>
        <v>0</v>
      </c>
      <c r="BB249" s="549" t="str">
        <f t="shared" si="467"/>
        <v/>
      </c>
      <c r="BC249" s="523">
        <f t="shared" si="489"/>
        <v>0</v>
      </c>
      <c r="BD249" s="523">
        <f t="shared" si="490"/>
        <v>0</v>
      </c>
      <c r="BE249" s="732"/>
      <c r="BF249" s="514" t="str">
        <f t="shared" si="468"/>
        <v/>
      </c>
      <c r="BG249" s="514" t="str">
        <f t="shared" si="491"/>
        <v>oui</v>
      </c>
      <c r="BH249" s="377" t="str">
        <f t="shared" si="469"/>
        <v/>
      </c>
      <c r="BI249" s="24" t="str">
        <f t="shared" si="470"/>
        <v/>
      </c>
      <c r="BJ249" s="1381"/>
      <c r="BK249" s="1381"/>
      <c r="BL249" s="1381"/>
      <c r="BM249" s="1381"/>
      <c r="BN249" s="1381"/>
      <c r="BO249" s="1381"/>
      <c r="BP249" s="1381"/>
      <c r="BQ249" s="1381"/>
      <c r="BS249" s="1370">
        <f t="shared" si="437"/>
        <v>46186</v>
      </c>
      <c r="BT249" s="27" t="str">
        <f t="shared" si="499"/>
        <v/>
      </c>
      <c r="BU249" s="1380"/>
      <c r="BV249" s="1380"/>
      <c r="BW249" s="1380"/>
      <c r="BX249" s="1380"/>
      <c r="BY249" s="1380"/>
      <c r="BZ249" s="1380"/>
      <c r="CA249" s="1380"/>
      <c r="CB249" s="1380"/>
      <c r="CD249" s="1386">
        <f t="shared" si="492"/>
        <v>0</v>
      </c>
      <c r="DC249" s="16" t="str">
        <f>Juin!FC32</f>
        <v>non</v>
      </c>
      <c r="DG249" s="315">
        <f t="shared" si="493"/>
        <v>1</v>
      </c>
      <c r="DH249" s="129">
        <f t="shared" si="471"/>
        <v>10</v>
      </c>
      <c r="DI249" s="129">
        <f t="shared" si="494"/>
        <v>1</v>
      </c>
      <c r="DK249" s="16">
        <f>+IF(AND(Juin!$DP$8&lt;&gt;52,AR249=S.CAL!$BJ$4),10,1)</f>
        <v>1</v>
      </c>
      <c r="DN249" s="16">
        <f t="shared" si="472"/>
        <v>1</v>
      </c>
      <c r="DU249" s="1274" t="str">
        <f t="shared" si="495"/>
        <v>Fiche infoA646186</v>
      </c>
      <c r="DV249" s="1362">
        <f t="shared" si="473"/>
        <v>0</v>
      </c>
      <c r="DW249" s="1363">
        <f t="shared" si="474"/>
        <v>0</v>
      </c>
      <c r="DX249" s="1363">
        <f t="shared" si="475"/>
        <v>0</v>
      </c>
      <c r="DY249" s="1363">
        <f t="shared" si="476"/>
        <v>0</v>
      </c>
      <c r="DZ249" s="1363">
        <f t="shared" si="477"/>
        <v>0</v>
      </c>
      <c r="EA249" s="1363">
        <f t="shared" si="478"/>
        <v>0</v>
      </c>
      <c r="EB249" s="1363">
        <f t="shared" si="479"/>
        <v>0</v>
      </c>
      <c r="EC249" s="1363">
        <f t="shared" si="480"/>
        <v>0</v>
      </c>
      <c r="ED249" s="1363">
        <f t="shared" si="496"/>
        <v>0</v>
      </c>
      <c r="EE249" s="1364">
        <f t="shared" si="497"/>
        <v>0</v>
      </c>
      <c r="EG249" s="16" t="str">
        <f t="shared" si="498"/>
        <v>242026</v>
      </c>
      <c r="EH249" s="16" t="str">
        <f t="shared" si="481"/>
        <v>Fiche infoA6</v>
      </c>
      <c r="EI249" s="16" t="str">
        <f t="shared" si="482"/>
        <v/>
      </c>
    </row>
    <row r="250" spans="1:139" x14ac:dyDescent="0.2">
      <c r="A250" s="1373" t="str">
        <f>Juin!BJ33</f>
        <v>Fiche infoA7</v>
      </c>
      <c r="B250" s="811">
        <f>Juin!AB33</f>
        <v>46187</v>
      </c>
      <c r="C250" s="1372"/>
      <c r="D250" s="981">
        <f t="shared" si="438"/>
        <v>0</v>
      </c>
      <c r="E250" s="434">
        <f t="shared" si="439"/>
        <v>0</v>
      </c>
      <c r="F250" s="434">
        <f t="shared" si="440"/>
        <v>0</v>
      </c>
      <c r="G250" s="434">
        <f t="shared" si="441"/>
        <v>0</v>
      </c>
      <c r="H250" s="434">
        <f t="shared" si="442"/>
        <v>0</v>
      </c>
      <c r="I250" s="434">
        <f t="shared" si="443"/>
        <v>0</v>
      </c>
      <c r="J250" s="434">
        <f t="shared" si="444"/>
        <v>0</v>
      </c>
      <c r="K250" s="434">
        <f t="shared" si="445"/>
        <v>0</v>
      </c>
      <c r="L250" s="434">
        <f t="shared" si="483"/>
        <v>0</v>
      </c>
      <c r="M250" s="982">
        <f t="shared" si="484"/>
        <v>0</v>
      </c>
      <c r="N250" s="1374"/>
      <c r="O250" s="981">
        <f t="shared" si="500"/>
        <v>0</v>
      </c>
      <c r="P250" s="434">
        <f t="shared" si="501"/>
        <v>0</v>
      </c>
      <c r="Q250" s="434">
        <f t="shared" si="502"/>
        <v>0</v>
      </c>
      <c r="R250" s="434">
        <f t="shared" si="503"/>
        <v>0</v>
      </c>
      <c r="S250" s="434">
        <f t="shared" si="504"/>
        <v>0</v>
      </c>
      <c r="T250" s="434">
        <f t="shared" si="505"/>
        <v>0</v>
      </c>
      <c r="U250" s="434">
        <f t="shared" si="506"/>
        <v>0</v>
      </c>
      <c r="V250" s="434">
        <f t="shared" si="507"/>
        <v>0</v>
      </c>
      <c r="W250" s="434">
        <f t="shared" si="454"/>
        <v>0</v>
      </c>
      <c r="X250" s="982">
        <f t="shared" si="455"/>
        <v>0</v>
      </c>
      <c r="Y250" s="1375"/>
      <c r="Z250" s="1376">
        <f t="shared" si="456"/>
        <v>0</v>
      </c>
      <c r="AA250" s="1376">
        <f t="shared" si="457"/>
        <v>0</v>
      </c>
      <c r="AB250" s="1376">
        <f t="shared" si="458"/>
        <v>0</v>
      </c>
      <c r="AC250" s="1376">
        <f t="shared" si="459"/>
        <v>0</v>
      </c>
      <c r="AD250" s="1376">
        <f t="shared" si="460"/>
        <v>0</v>
      </c>
      <c r="AE250" s="1376">
        <f t="shared" si="461"/>
        <v>0</v>
      </c>
      <c r="AF250" s="1376">
        <f t="shared" si="462"/>
        <v>0</v>
      </c>
      <c r="AG250" s="1376">
        <f t="shared" si="463"/>
        <v>0</v>
      </c>
      <c r="AH250" s="1374"/>
      <c r="AI250" s="444">
        <f t="shared" si="508"/>
        <v>0</v>
      </c>
      <c r="AJ250" s="1090"/>
      <c r="AK250" s="1377"/>
      <c r="AL250" s="811">
        <f t="shared" si="465"/>
        <v>46187</v>
      </c>
      <c r="AM250" s="666">
        <f>IFERROR(IF(AND(AT250="",AR250&lt;&gt;S.CAL!$BJ$3,AR250&lt;&gt;S.CAL!$BJ$4,$AR$230="NON"),M250-BD250,IF(AND(AT250="",AR250&lt;&gt;S.CAL!$BJ$3,AR250&lt;&gt;S.CAL!$BJ$4,$AR$230="OUI"),X250-AI250,IF(AT250&lt;&gt;0,AT250,IF(OR(AR250=S.CAL!$BJ$3,AR250=S.CAL!$BJ$4),AR250,"")))),"")</f>
        <v>0</v>
      </c>
      <c r="AN250" s="1093"/>
      <c r="AO250" s="1094"/>
      <c r="AP250" s="666">
        <f>+IF(AND(AU250="",BB250="OUI",BH250="non",BI250="OUI"),AM250,IF(AND(AU250="",BB250="OUI",BH250="oui",BI250="NON"),AM250,IF(AND(AU250="",BB250="NON",BH250="oui",BI250="NON"),M250,IF(AND(AU250="",BB250="NON",BH250="non",BI250="OUI"),M250,IF(AND(AU250="",BB250="OUI",BH250="non",BI250="NON"),"ERREUR",IF(AND(AU250="",BB250="NON",BH250="non",BI250="NON"),AM250,IF(AND(AU250="",BB250="OUI",BH250="",BI250=""),AM250,IF(AND(AU250="",BB250="NON",BH250="",BI250="",AZ250="NON"),M250,IF(AND(AU250="",BH250="",AZ250="OUI",AR250=""),AM250,IF(AND(AU250="",BH250="",AZ250="NON",AR250="",AT250=""),M250,IF(AND(OR(AR250=S.CAL!$BJ$3,AR250=S.CAL!$BJ$4),(VLOOKUP($AM$230,base_nbre_sem_mensu,2,FALSE)=52)),EE250,IF(AND(OR(AR250=S.CAL!$BJ$3,AR250=S.CAL!$BJ$4),(VLOOKUP($AM$230,base_nbre_sem_mensu,2,FALSE)&lt;52)),AM250,IF(AND(AT250&lt;&gt;"",AU250=""),AT250,AU250)))))))))))))</f>
        <v>0</v>
      </c>
      <c r="AQ250" s="1378">
        <f t="shared" si="485"/>
        <v>0</v>
      </c>
      <c r="AR250" s="1098"/>
      <c r="AS250" s="1374"/>
      <c r="AT250" s="1101"/>
      <c r="AU250" s="813"/>
      <c r="AV250" s="1370">
        <f t="shared" si="466"/>
        <v>46187</v>
      </c>
      <c r="AW250" s="1374"/>
      <c r="AX250" s="511">
        <f t="shared" si="486"/>
        <v>46187</v>
      </c>
      <c r="AY250" s="523">
        <f t="shared" si="487"/>
        <v>0</v>
      </c>
      <c r="AZ250" s="520" t="s">
        <v>137</v>
      </c>
      <c r="BA250" s="516">
        <f t="shared" si="488"/>
        <v>0</v>
      </c>
      <c r="BB250" s="549" t="str">
        <f t="shared" si="467"/>
        <v/>
      </c>
      <c r="BC250" s="523">
        <f t="shared" si="489"/>
        <v>0</v>
      </c>
      <c r="BD250" s="523">
        <f t="shared" si="490"/>
        <v>0</v>
      </c>
      <c r="BE250" s="732"/>
      <c r="BF250" s="514" t="str">
        <f t="shared" si="468"/>
        <v/>
      </c>
      <c r="BG250" s="514" t="str">
        <f t="shared" si="491"/>
        <v>oui</v>
      </c>
      <c r="BH250" s="377" t="str">
        <f t="shared" si="469"/>
        <v/>
      </c>
      <c r="BI250" s="24" t="str">
        <f t="shared" si="470"/>
        <v/>
      </c>
      <c r="BJ250" s="1382"/>
      <c r="BK250" s="1382"/>
      <c r="BL250" s="1382"/>
      <c r="BM250" s="1382"/>
      <c r="BN250" s="1382"/>
      <c r="BO250" s="1382"/>
      <c r="BP250" s="1382"/>
      <c r="BQ250" s="1382"/>
      <c r="BR250" s="1383"/>
      <c r="BS250" s="1370">
        <f t="shared" si="437"/>
        <v>46187</v>
      </c>
      <c r="BT250" s="1384" t="str">
        <f t="shared" si="499"/>
        <v/>
      </c>
      <c r="BU250" s="1382"/>
      <c r="BV250" s="1382"/>
      <c r="BW250" s="1382"/>
      <c r="BX250" s="1382"/>
      <c r="BY250" s="1382"/>
      <c r="BZ250" s="1382"/>
      <c r="CA250" s="1382"/>
      <c r="CB250" s="1382"/>
      <c r="CD250" s="1386">
        <f t="shared" si="492"/>
        <v>0</v>
      </c>
      <c r="DC250" s="16" t="str">
        <f>Juin!FC33</f>
        <v>non</v>
      </c>
      <c r="DG250" s="315">
        <f t="shared" si="493"/>
        <v>1</v>
      </c>
      <c r="DH250" s="129">
        <f t="shared" si="471"/>
        <v>10</v>
      </c>
      <c r="DI250" s="129">
        <f t="shared" si="494"/>
        <v>1</v>
      </c>
      <c r="DK250" s="16">
        <f>+IF(AND(Juin!$DP$8&lt;&gt;52,AR250=S.CAL!$BJ$4),10,1)</f>
        <v>1</v>
      </c>
      <c r="DN250" s="16">
        <f t="shared" si="472"/>
        <v>1</v>
      </c>
      <c r="DU250" s="1274" t="str">
        <f t="shared" si="495"/>
        <v>Fiche infoA746187</v>
      </c>
      <c r="DV250" s="1362">
        <f t="shared" si="473"/>
        <v>0</v>
      </c>
      <c r="DW250" s="1363">
        <f t="shared" si="474"/>
        <v>0</v>
      </c>
      <c r="DX250" s="1363">
        <f t="shared" si="475"/>
        <v>0</v>
      </c>
      <c r="DY250" s="1363">
        <f t="shared" si="476"/>
        <v>0</v>
      </c>
      <c r="DZ250" s="1363">
        <f t="shared" si="477"/>
        <v>0</v>
      </c>
      <c r="EA250" s="1363">
        <f t="shared" si="478"/>
        <v>0</v>
      </c>
      <c r="EB250" s="1363">
        <f t="shared" si="479"/>
        <v>0</v>
      </c>
      <c r="EC250" s="1363">
        <f t="shared" si="480"/>
        <v>0</v>
      </c>
      <c r="ED250" s="1363">
        <f t="shared" si="496"/>
        <v>0</v>
      </c>
      <c r="EE250" s="1364">
        <f t="shared" si="497"/>
        <v>0</v>
      </c>
      <c r="EG250" s="16" t="str">
        <f t="shared" si="498"/>
        <v>242026</v>
      </c>
      <c r="EH250" s="16" t="str">
        <f t="shared" si="481"/>
        <v>Fiche infoA7</v>
      </c>
      <c r="EI250" s="16" t="str">
        <f t="shared" si="482"/>
        <v/>
      </c>
    </row>
    <row r="251" spans="1:139" x14ac:dyDescent="0.2">
      <c r="A251" s="24" t="str">
        <f>Juin!BJ34</f>
        <v>Fiche infoA1</v>
      </c>
      <c r="B251" s="811">
        <f>Juin!AB34</f>
        <v>46188</v>
      </c>
      <c r="C251" s="1371"/>
      <c r="D251" s="981">
        <f t="shared" si="438"/>
        <v>0</v>
      </c>
      <c r="E251" s="434">
        <f t="shared" si="439"/>
        <v>0</v>
      </c>
      <c r="F251" s="434">
        <f t="shared" si="440"/>
        <v>0</v>
      </c>
      <c r="G251" s="434">
        <f t="shared" si="441"/>
        <v>0</v>
      </c>
      <c r="H251" s="434">
        <f t="shared" si="442"/>
        <v>0</v>
      </c>
      <c r="I251" s="434">
        <f t="shared" si="443"/>
        <v>0</v>
      </c>
      <c r="J251" s="434">
        <f t="shared" si="444"/>
        <v>0</v>
      </c>
      <c r="K251" s="434">
        <f t="shared" si="445"/>
        <v>0</v>
      </c>
      <c r="L251" s="434">
        <f t="shared" si="483"/>
        <v>0</v>
      </c>
      <c r="M251" s="982">
        <f t="shared" si="484"/>
        <v>0</v>
      </c>
      <c r="O251" s="981">
        <f t="shared" si="500"/>
        <v>0</v>
      </c>
      <c r="P251" s="434">
        <f t="shared" si="501"/>
        <v>0</v>
      </c>
      <c r="Q251" s="434">
        <f t="shared" si="502"/>
        <v>0</v>
      </c>
      <c r="R251" s="434">
        <f t="shared" si="503"/>
        <v>0</v>
      </c>
      <c r="S251" s="434">
        <f t="shared" si="504"/>
        <v>0</v>
      </c>
      <c r="T251" s="434">
        <f t="shared" si="505"/>
        <v>0</v>
      </c>
      <c r="U251" s="434">
        <f t="shared" si="506"/>
        <v>0</v>
      </c>
      <c r="V251" s="434">
        <f t="shared" si="507"/>
        <v>0</v>
      </c>
      <c r="W251" s="434">
        <f t="shared" si="454"/>
        <v>0</v>
      </c>
      <c r="X251" s="982">
        <f t="shared" si="455"/>
        <v>0</v>
      </c>
      <c r="Y251" s="441"/>
      <c r="Z251" s="277">
        <f t="shared" si="456"/>
        <v>0</v>
      </c>
      <c r="AA251" s="277">
        <f t="shared" si="457"/>
        <v>0</v>
      </c>
      <c r="AB251" s="277">
        <f t="shared" si="458"/>
        <v>0</v>
      </c>
      <c r="AC251" s="277">
        <f t="shared" si="459"/>
        <v>0</v>
      </c>
      <c r="AD251" s="277">
        <f t="shared" si="460"/>
        <v>0</v>
      </c>
      <c r="AE251" s="277">
        <f t="shared" si="461"/>
        <v>0</v>
      </c>
      <c r="AF251" s="277">
        <f t="shared" si="462"/>
        <v>0</v>
      </c>
      <c r="AG251" s="277">
        <f t="shared" si="463"/>
        <v>0</v>
      </c>
      <c r="AI251" s="444">
        <f t="shared" si="508"/>
        <v>0</v>
      </c>
      <c r="AJ251" s="1090"/>
      <c r="AK251" s="489"/>
      <c r="AL251" s="811">
        <f t="shared" si="465"/>
        <v>46188</v>
      </c>
      <c r="AM251" s="666">
        <f>IFERROR(IF(AND(AT251="",AR251&lt;&gt;S.CAL!$BJ$3,AR251&lt;&gt;S.CAL!$BJ$4,$AR$230="NON"),M251-BD251,IF(AND(AT251="",AR251&lt;&gt;S.CAL!$BJ$3,AR251&lt;&gt;S.CAL!$BJ$4,$AR$230="OUI"),X251-AI251,IF(AT251&lt;&gt;0,AT251,IF(OR(AR251=S.CAL!$BJ$3,AR251=S.CAL!$BJ$4),AR251,"")))),"")</f>
        <v>0</v>
      </c>
      <c r="AN251" s="1093"/>
      <c r="AO251" s="1094"/>
      <c r="AP251" s="666">
        <f>+IF(AND(AU251="",BB251="OUI",BH251="non",BI251="OUI"),AM251,IF(AND(AU251="",BB251="OUI",BH251="oui",BI251="NON"),AM251,IF(AND(AU251="",BB251="NON",BH251="oui",BI251="NON"),M251,IF(AND(AU251="",BB251="NON",BH251="non",BI251="OUI"),M251,IF(AND(AU251="",BB251="OUI",BH251="non",BI251="NON"),"ERREUR",IF(AND(AU251="",BB251="NON",BH251="non",BI251="NON"),AM251,IF(AND(AU251="",BB251="OUI",BH251="",BI251=""),AM251,IF(AND(AU251="",BB251="NON",BH251="",BI251="",AZ251="NON"),M251,IF(AND(AU251="",BH251="",AZ251="OUI",AR251=""),AM251,IF(AND(AU251="",BH251="",AZ251="NON",AR251="",AT251=""),M251,IF(AND(OR(AR251=S.CAL!$BJ$3,AR251=S.CAL!$BJ$4),(VLOOKUP($AM$230,base_nbre_sem_mensu,2,FALSE)=52)),EE251,IF(AND(OR(AR251=S.CAL!$BJ$3,AR251=S.CAL!$BJ$4),(VLOOKUP($AM$230,base_nbre_sem_mensu,2,FALSE)&lt;52)),AM251,IF(AND(AT251&lt;&gt;"",AU251=""),AT251,AU251)))))))))))))</f>
        <v>0</v>
      </c>
      <c r="AQ251" s="498">
        <f t="shared" si="485"/>
        <v>0</v>
      </c>
      <c r="AR251" s="1098"/>
      <c r="AT251" s="1101"/>
      <c r="AU251" s="813"/>
      <c r="AV251" s="1370">
        <f t="shared" si="466"/>
        <v>46188</v>
      </c>
      <c r="AX251" s="511">
        <f t="shared" si="486"/>
        <v>46188</v>
      </c>
      <c r="AY251" s="523">
        <f t="shared" si="487"/>
        <v>0</v>
      </c>
      <c r="AZ251" s="520" t="s">
        <v>137</v>
      </c>
      <c r="BA251" s="516">
        <f t="shared" si="488"/>
        <v>0</v>
      </c>
      <c r="BB251" s="549" t="str">
        <f t="shared" si="467"/>
        <v/>
      </c>
      <c r="BC251" s="523">
        <f t="shared" si="489"/>
        <v>0</v>
      </c>
      <c r="BD251" s="523">
        <f t="shared" si="490"/>
        <v>0</v>
      </c>
      <c r="BE251" s="732"/>
      <c r="BF251" s="514" t="str">
        <f t="shared" si="468"/>
        <v/>
      </c>
      <c r="BG251" s="514" t="str">
        <f t="shared" si="491"/>
        <v>oui</v>
      </c>
      <c r="BH251" s="377" t="str">
        <f t="shared" si="469"/>
        <v/>
      </c>
      <c r="BI251" s="24" t="str">
        <f t="shared" si="470"/>
        <v/>
      </c>
      <c r="BJ251" s="1381"/>
      <c r="BK251" s="1381"/>
      <c r="BL251" s="1381"/>
      <c r="BM251" s="1381"/>
      <c r="BN251" s="1381"/>
      <c r="BO251" s="1381"/>
      <c r="BP251" s="1381"/>
      <c r="BQ251" s="1381"/>
      <c r="BS251" s="1370">
        <f t="shared" si="437"/>
        <v>46188</v>
      </c>
      <c r="BT251" s="27">
        <f t="shared" si="499"/>
        <v>25</v>
      </c>
      <c r="BU251" s="1380"/>
      <c r="BV251" s="1380"/>
      <c r="BW251" s="1380"/>
      <c r="BX251" s="1380"/>
      <c r="BY251" s="1380"/>
      <c r="BZ251" s="1380"/>
      <c r="CA251" s="1380"/>
      <c r="CB251" s="1380"/>
      <c r="CD251" s="1386">
        <f t="shared" si="492"/>
        <v>0</v>
      </c>
      <c r="DC251" s="16" t="str">
        <f>Juin!FC34</f>
        <v>non</v>
      </c>
      <c r="DG251" s="315">
        <f t="shared" si="493"/>
        <v>1</v>
      </c>
      <c r="DH251" s="129">
        <f t="shared" si="471"/>
        <v>10</v>
      </c>
      <c r="DI251" s="129">
        <f t="shared" si="494"/>
        <v>1</v>
      </c>
      <c r="DK251" s="16">
        <f>+IF(AND(Juin!$DP$8&lt;&gt;52,AR251=S.CAL!$BJ$4),10,1)</f>
        <v>1</v>
      </c>
      <c r="DN251" s="16">
        <f t="shared" si="472"/>
        <v>1</v>
      </c>
      <c r="DU251" s="1274" t="str">
        <f t="shared" si="495"/>
        <v>Fiche infoA146188</v>
      </c>
      <c r="DV251" s="1362">
        <f t="shared" si="473"/>
        <v>0</v>
      </c>
      <c r="DW251" s="1363">
        <f t="shared" si="474"/>
        <v>0</v>
      </c>
      <c r="DX251" s="1363">
        <f t="shared" si="475"/>
        <v>0</v>
      </c>
      <c r="DY251" s="1363">
        <f t="shared" si="476"/>
        <v>0</v>
      </c>
      <c r="DZ251" s="1363">
        <f t="shared" si="477"/>
        <v>0</v>
      </c>
      <c r="EA251" s="1363">
        <f t="shared" si="478"/>
        <v>0</v>
      </c>
      <c r="EB251" s="1363">
        <f t="shared" si="479"/>
        <v>0</v>
      </c>
      <c r="EC251" s="1363">
        <f t="shared" si="480"/>
        <v>0</v>
      </c>
      <c r="ED251" s="1363">
        <f t="shared" si="496"/>
        <v>0</v>
      </c>
      <c r="EE251" s="1364">
        <f t="shared" si="497"/>
        <v>0</v>
      </c>
      <c r="EG251" s="16" t="str">
        <f t="shared" si="498"/>
        <v>252026</v>
      </c>
      <c r="EH251" s="16" t="str">
        <f t="shared" si="481"/>
        <v>Fiche infoA1</v>
      </c>
      <c r="EI251" s="16" t="str">
        <f t="shared" si="482"/>
        <v/>
      </c>
    </row>
    <row r="252" spans="1:139" x14ac:dyDescent="0.2">
      <c r="A252" s="1373" t="str">
        <f>Juin!BJ35</f>
        <v>Fiche infoA2</v>
      </c>
      <c r="B252" s="811">
        <f>Juin!AB35</f>
        <v>46189</v>
      </c>
      <c r="C252" s="1372"/>
      <c r="D252" s="981">
        <f t="shared" si="438"/>
        <v>0</v>
      </c>
      <c r="E252" s="434">
        <f t="shared" si="439"/>
        <v>0</v>
      </c>
      <c r="F252" s="434">
        <f t="shared" si="440"/>
        <v>0</v>
      </c>
      <c r="G252" s="434">
        <f t="shared" si="441"/>
        <v>0</v>
      </c>
      <c r="H252" s="434">
        <f t="shared" si="442"/>
        <v>0</v>
      </c>
      <c r="I252" s="434">
        <f t="shared" si="443"/>
        <v>0</v>
      </c>
      <c r="J252" s="434">
        <f t="shared" si="444"/>
        <v>0</v>
      </c>
      <c r="K252" s="434">
        <f t="shared" si="445"/>
        <v>0</v>
      </c>
      <c r="L252" s="434">
        <f t="shared" si="483"/>
        <v>0</v>
      </c>
      <c r="M252" s="982">
        <f t="shared" si="484"/>
        <v>0</v>
      </c>
      <c r="N252" s="1374"/>
      <c r="O252" s="981">
        <f t="shared" si="500"/>
        <v>0</v>
      </c>
      <c r="P252" s="434">
        <f t="shared" si="501"/>
        <v>0</v>
      </c>
      <c r="Q252" s="434">
        <f t="shared" si="502"/>
        <v>0</v>
      </c>
      <c r="R252" s="434">
        <f t="shared" si="503"/>
        <v>0</v>
      </c>
      <c r="S252" s="434">
        <f t="shared" si="504"/>
        <v>0</v>
      </c>
      <c r="T252" s="434">
        <f t="shared" si="505"/>
        <v>0</v>
      </c>
      <c r="U252" s="434">
        <f t="shared" si="506"/>
        <v>0</v>
      </c>
      <c r="V252" s="434">
        <f t="shared" si="507"/>
        <v>0</v>
      </c>
      <c r="W252" s="434">
        <f t="shared" si="454"/>
        <v>0</v>
      </c>
      <c r="X252" s="982">
        <f t="shared" si="455"/>
        <v>0</v>
      </c>
      <c r="Y252" s="1375"/>
      <c r="Z252" s="1376">
        <f t="shared" si="456"/>
        <v>0</v>
      </c>
      <c r="AA252" s="1376">
        <f t="shared" si="457"/>
        <v>0</v>
      </c>
      <c r="AB252" s="1376">
        <f t="shared" si="458"/>
        <v>0</v>
      </c>
      <c r="AC252" s="1376">
        <f t="shared" si="459"/>
        <v>0</v>
      </c>
      <c r="AD252" s="1376">
        <f t="shared" si="460"/>
        <v>0</v>
      </c>
      <c r="AE252" s="1376">
        <f t="shared" si="461"/>
        <v>0</v>
      </c>
      <c r="AF252" s="1376">
        <f t="shared" si="462"/>
        <v>0</v>
      </c>
      <c r="AG252" s="1376">
        <f t="shared" si="463"/>
        <v>0</v>
      </c>
      <c r="AH252" s="1374"/>
      <c r="AI252" s="444">
        <f t="shared" si="508"/>
        <v>0</v>
      </c>
      <c r="AJ252" s="1090"/>
      <c r="AK252" s="1377"/>
      <c r="AL252" s="811">
        <f t="shared" si="465"/>
        <v>46189</v>
      </c>
      <c r="AM252" s="666">
        <f>IFERROR(IF(AND(AT252="",AR252&lt;&gt;S.CAL!$BJ$3,AR252&lt;&gt;S.CAL!$BJ$4,$AR$230="NON"),M252-BD252,IF(AND(AT252="",AR252&lt;&gt;S.CAL!$BJ$3,AR252&lt;&gt;S.CAL!$BJ$4,$AR$230="OUI"),X252-AI252,IF(AT252&lt;&gt;0,AT252,IF(OR(AR252=S.CAL!$BJ$3,AR252=S.CAL!$BJ$4),AR252,"")))),"")</f>
        <v>0</v>
      </c>
      <c r="AN252" s="1093"/>
      <c r="AO252" s="1094"/>
      <c r="AP252" s="666">
        <f>+IF(AND(AU252="",BB252="OUI",BH252="non",BI252="OUI"),AM252,IF(AND(AU252="",BB252="OUI",BH252="oui",BI252="NON"),AM252,IF(AND(AU252="",BB252="NON",BH252="oui",BI252="NON"),M252,IF(AND(AU252="",BB252="NON",BH252="non",BI252="OUI"),M252,IF(AND(AU252="",BB252="OUI",BH252="non",BI252="NON"),"ERREUR",IF(AND(AU252="",BB252="NON",BH252="non",BI252="NON"),AM252,IF(AND(AU252="",BB252="OUI",BH252="",BI252=""),AM252,IF(AND(AU252="",BB252="NON",BH252="",BI252="",AZ252="NON"),M252,IF(AND(AU252="",BH252="",AZ252="OUI",AR252=""),AM252,IF(AND(AU252="",BH252="",AZ252="NON",AR252="",AT252=""),M252,IF(AND(OR(AR252=S.CAL!$BJ$3,AR252=S.CAL!$BJ$4),(VLOOKUP($AM$230,base_nbre_sem_mensu,2,FALSE)=52)),EE252,IF(AND(OR(AR252=S.CAL!$BJ$3,AR252=S.CAL!$BJ$4),(VLOOKUP($AM$230,base_nbre_sem_mensu,2,FALSE)&lt;52)),AM252,IF(AND(AT252&lt;&gt;"",AU252=""),AT252,AU252)))))))))))))</f>
        <v>0</v>
      </c>
      <c r="AQ252" s="1378">
        <f t="shared" si="485"/>
        <v>0</v>
      </c>
      <c r="AR252" s="1098"/>
      <c r="AS252" s="1374"/>
      <c r="AT252" s="1101"/>
      <c r="AU252" s="813"/>
      <c r="AV252" s="1370">
        <f t="shared" si="466"/>
        <v>46189</v>
      </c>
      <c r="AW252" s="1374"/>
      <c r="AX252" s="511">
        <f t="shared" si="486"/>
        <v>46189</v>
      </c>
      <c r="AY252" s="523">
        <f t="shared" si="487"/>
        <v>0</v>
      </c>
      <c r="AZ252" s="520" t="s">
        <v>137</v>
      </c>
      <c r="BA252" s="516">
        <f t="shared" si="488"/>
        <v>0</v>
      </c>
      <c r="BB252" s="549" t="str">
        <f t="shared" si="467"/>
        <v/>
      </c>
      <c r="BC252" s="523">
        <f t="shared" si="489"/>
        <v>0</v>
      </c>
      <c r="BD252" s="523">
        <f t="shared" si="490"/>
        <v>0</v>
      </c>
      <c r="BE252" s="732"/>
      <c r="BF252" s="514" t="str">
        <f t="shared" si="468"/>
        <v/>
      </c>
      <c r="BG252" s="514" t="str">
        <f t="shared" si="491"/>
        <v>oui</v>
      </c>
      <c r="BH252" s="377" t="str">
        <f t="shared" si="469"/>
        <v/>
      </c>
      <c r="BI252" s="24" t="str">
        <f t="shared" si="470"/>
        <v/>
      </c>
      <c r="BJ252" s="1382"/>
      <c r="BK252" s="1382"/>
      <c r="BL252" s="1382"/>
      <c r="BM252" s="1382"/>
      <c r="BN252" s="1382"/>
      <c r="BO252" s="1382"/>
      <c r="BP252" s="1382"/>
      <c r="BQ252" s="1382"/>
      <c r="BR252" s="1383"/>
      <c r="BS252" s="1370">
        <f t="shared" si="437"/>
        <v>46189</v>
      </c>
      <c r="BT252" s="1384" t="str">
        <f t="shared" si="499"/>
        <v/>
      </c>
      <c r="BU252" s="1382"/>
      <c r="BV252" s="1382"/>
      <c r="BW252" s="1382"/>
      <c r="BX252" s="1382"/>
      <c r="BY252" s="1382"/>
      <c r="BZ252" s="1382"/>
      <c r="CA252" s="1382"/>
      <c r="CB252" s="1382"/>
      <c r="CD252" s="1386">
        <f t="shared" si="492"/>
        <v>0</v>
      </c>
      <c r="DC252" s="16" t="str">
        <f>Juin!FC35</f>
        <v>non</v>
      </c>
      <c r="DG252" s="315">
        <f t="shared" si="493"/>
        <v>1</v>
      </c>
      <c r="DH252" s="129">
        <f t="shared" si="471"/>
        <v>10</v>
      </c>
      <c r="DI252" s="129">
        <f t="shared" si="494"/>
        <v>1</v>
      </c>
      <c r="DK252" s="16">
        <f>+IF(AND(Juin!$DP$8&lt;&gt;52,AR252=S.CAL!$BJ$4),10,1)</f>
        <v>1</v>
      </c>
      <c r="DN252" s="16">
        <f t="shared" si="472"/>
        <v>1</v>
      </c>
      <c r="DU252" s="1274" t="str">
        <f t="shared" si="495"/>
        <v>Fiche infoA246189</v>
      </c>
      <c r="DV252" s="1362">
        <f t="shared" si="473"/>
        <v>0</v>
      </c>
      <c r="DW252" s="1363">
        <f t="shared" si="474"/>
        <v>0</v>
      </c>
      <c r="DX252" s="1363">
        <f t="shared" si="475"/>
        <v>0</v>
      </c>
      <c r="DY252" s="1363">
        <f t="shared" si="476"/>
        <v>0</v>
      </c>
      <c r="DZ252" s="1363">
        <f t="shared" si="477"/>
        <v>0</v>
      </c>
      <c r="EA252" s="1363">
        <f t="shared" si="478"/>
        <v>0</v>
      </c>
      <c r="EB252" s="1363">
        <f t="shared" si="479"/>
        <v>0</v>
      </c>
      <c r="EC252" s="1363">
        <f t="shared" si="480"/>
        <v>0</v>
      </c>
      <c r="ED252" s="1363">
        <f t="shared" si="496"/>
        <v>0</v>
      </c>
      <c r="EE252" s="1364">
        <f t="shared" si="497"/>
        <v>0</v>
      </c>
      <c r="EG252" s="16" t="str">
        <f t="shared" si="498"/>
        <v>252026</v>
      </c>
      <c r="EH252" s="16" t="str">
        <f t="shared" si="481"/>
        <v>Fiche infoA2</v>
      </c>
      <c r="EI252" s="16" t="str">
        <f t="shared" si="482"/>
        <v/>
      </c>
    </row>
    <row r="253" spans="1:139" x14ac:dyDescent="0.2">
      <c r="A253" s="24" t="str">
        <f>Juin!BJ36</f>
        <v>Fiche infoA3</v>
      </c>
      <c r="B253" s="811">
        <f>Juin!AB36</f>
        <v>46190</v>
      </c>
      <c r="C253" s="1371"/>
      <c r="D253" s="981">
        <f t="shared" si="438"/>
        <v>0</v>
      </c>
      <c r="E253" s="434">
        <f t="shared" si="439"/>
        <v>0</v>
      </c>
      <c r="F253" s="434">
        <f t="shared" si="440"/>
        <v>0</v>
      </c>
      <c r="G253" s="434">
        <f t="shared" si="441"/>
        <v>0</v>
      </c>
      <c r="H253" s="434">
        <f t="shared" si="442"/>
        <v>0</v>
      </c>
      <c r="I253" s="434">
        <f t="shared" si="443"/>
        <v>0</v>
      </c>
      <c r="J253" s="434">
        <f t="shared" si="444"/>
        <v>0</v>
      </c>
      <c r="K253" s="434">
        <f t="shared" si="445"/>
        <v>0</v>
      </c>
      <c r="L253" s="434">
        <f t="shared" si="483"/>
        <v>0</v>
      </c>
      <c r="M253" s="982">
        <f t="shared" si="484"/>
        <v>0</v>
      </c>
      <c r="O253" s="981">
        <f t="shared" si="500"/>
        <v>0</v>
      </c>
      <c r="P253" s="434">
        <f t="shared" si="501"/>
        <v>0</v>
      </c>
      <c r="Q253" s="434">
        <f t="shared" si="502"/>
        <v>0</v>
      </c>
      <c r="R253" s="434">
        <f t="shared" si="503"/>
        <v>0</v>
      </c>
      <c r="S253" s="434">
        <f t="shared" si="504"/>
        <v>0</v>
      </c>
      <c r="T253" s="434">
        <f t="shared" si="505"/>
        <v>0</v>
      </c>
      <c r="U253" s="434">
        <f t="shared" si="506"/>
        <v>0</v>
      </c>
      <c r="V253" s="434">
        <f t="shared" si="507"/>
        <v>0</v>
      </c>
      <c r="W253" s="434">
        <f t="shared" si="454"/>
        <v>0</v>
      </c>
      <c r="X253" s="982">
        <f t="shared" si="455"/>
        <v>0</v>
      </c>
      <c r="Y253" s="441"/>
      <c r="Z253" s="277">
        <f t="shared" si="456"/>
        <v>0</v>
      </c>
      <c r="AA253" s="277">
        <f t="shared" si="457"/>
        <v>0</v>
      </c>
      <c r="AB253" s="277">
        <f t="shared" si="458"/>
        <v>0</v>
      </c>
      <c r="AC253" s="277">
        <f t="shared" si="459"/>
        <v>0</v>
      </c>
      <c r="AD253" s="277">
        <f t="shared" si="460"/>
        <v>0</v>
      </c>
      <c r="AE253" s="277">
        <f t="shared" si="461"/>
        <v>0</v>
      </c>
      <c r="AF253" s="277">
        <f t="shared" si="462"/>
        <v>0</v>
      </c>
      <c r="AG253" s="277">
        <f t="shared" si="463"/>
        <v>0</v>
      </c>
      <c r="AI253" s="444">
        <f t="shared" si="508"/>
        <v>0</v>
      </c>
      <c r="AJ253" s="1090"/>
      <c r="AK253" s="489"/>
      <c r="AL253" s="811">
        <f t="shared" si="465"/>
        <v>46190</v>
      </c>
      <c r="AM253" s="666">
        <f>IFERROR(IF(AND(AT253="",AR253&lt;&gt;S.CAL!$BJ$3,AR253&lt;&gt;S.CAL!$BJ$4,$AR$230="NON"),M253-BD253,IF(AND(AT253="",AR253&lt;&gt;S.CAL!$BJ$3,AR253&lt;&gt;S.CAL!$BJ$4,$AR$230="OUI"),X253-AI253,IF(AT253&lt;&gt;0,AT253,IF(OR(AR253=S.CAL!$BJ$3,AR253=S.CAL!$BJ$4),AR253,"")))),"")</f>
        <v>0</v>
      </c>
      <c r="AN253" s="1093"/>
      <c r="AO253" s="1094"/>
      <c r="AP253" s="666">
        <f>+IF(AND(AU253="",BB253="OUI",BH253="non",BI253="OUI"),AM253,IF(AND(AU253="",BB253="OUI",BH253="oui",BI253="NON"),AM253,IF(AND(AU253="",BB253="NON",BH253="oui",BI253="NON"),M253,IF(AND(AU253="",BB253="NON",BH253="non",BI253="OUI"),M253,IF(AND(AU253="",BB253="OUI",BH253="non",BI253="NON"),"ERREUR",IF(AND(AU253="",BB253="NON",BH253="non",BI253="NON"),AM253,IF(AND(AU253="",BB253="OUI",BH253="",BI253=""),AM253,IF(AND(AU253="",BB253="NON",BH253="",BI253="",AZ253="NON"),M253,IF(AND(AU253="",BH253="",AZ253="OUI",AR253=""),AM253,IF(AND(AU253="",BH253="",AZ253="NON",AR253="",AT253=""),M253,IF(AND(OR(AR253=S.CAL!$BJ$3,AR253=S.CAL!$BJ$4),(VLOOKUP($AM$230,base_nbre_sem_mensu,2,FALSE)=52)),EE253,IF(AND(OR(AR253=S.CAL!$BJ$3,AR253=S.CAL!$BJ$4),(VLOOKUP($AM$230,base_nbre_sem_mensu,2,FALSE)&lt;52)),AM253,IF(AND(AT253&lt;&gt;"",AU253=""),AT253,AU253)))))))))))))</f>
        <v>0</v>
      </c>
      <c r="AQ253" s="498">
        <f t="shared" si="485"/>
        <v>0</v>
      </c>
      <c r="AR253" s="1098"/>
      <c r="AT253" s="1101"/>
      <c r="AU253" s="813"/>
      <c r="AV253" s="1370">
        <f t="shared" si="466"/>
        <v>46190</v>
      </c>
      <c r="AX253" s="511">
        <f t="shared" si="486"/>
        <v>46190</v>
      </c>
      <c r="AY253" s="523">
        <f t="shared" si="487"/>
        <v>0</v>
      </c>
      <c r="AZ253" s="520" t="s">
        <v>137</v>
      </c>
      <c r="BA253" s="516">
        <f t="shared" si="488"/>
        <v>0</v>
      </c>
      <c r="BB253" s="549" t="str">
        <f t="shared" si="467"/>
        <v/>
      </c>
      <c r="BC253" s="523">
        <f t="shared" si="489"/>
        <v>0</v>
      </c>
      <c r="BD253" s="523">
        <f t="shared" si="490"/>
        <v>0</v>
      </c>
      <c r="BE253" s="732"/>
      <c r="BF253" s="514" t="str">
        <f t="shared" si="468"/>
        <v/>
      </c>
      <c r="BG253" s="514" t="str">
        <f t="shared" si="491"/>
        <v>oui</v>
      </c>
      <c r="BH253" s="377" t="str">
        <f t="shared" si="469"/>
        <v/>
      </c>
      <c r="BI253" s="24" t="str">
        <f t="shared" si="470"/>
        <v/>
      </c>
      <c r="BJ253" s="1381"/>
      <c r="BK253" s="1381"/>
      <c r="BL253" s="1381"/>
      <c r="BM253" s="1381"/>
      <c r="BN253" s="1381"/>
      <c r="BO253" s="1381"/>
      <c r="BP253" s="1381"/>
      <c r="BQ253" s="1381"/>
      <c r="BS253" s="1370">
        <f t="shared" si="437"/>
        <v>46190</v>
      </c>
      <c r="BT253" s="27" t="str">
        <f t="shared" si="499"/>
        <v/>
      </c>
      <c r="BU253" s="1380"/>
      <c r="BV253" s="1380"/>
      <c r="BW253" s="1380"/>
      <c r="BX253" s="1380"/>
      <c r="BY253" s="1380"/>
      <c r="BZ253" s="1380"/>
      <c r="CA253" s="1380"/>
      <c r="CB253" s="1380"/>
      <c r="CD253" s="1386">
        <f t="shared" si="492"/>
        <v>0</v>
      </c>
      <c r="DC253" s="16" t="str">
        <f>Juin!FC36</f>
        <v>non</v>
      </c>
      <c r="DG253" s="315">
        <f t="shared" si="493"/>
        <v>1</v>
      </c>
      <c r="DH253" s="129">
        <f t="shared" si="471"/>
        <v>10</v>
      </c>
      <c r="DI253" s="129">
        <f t="shared" si="494"/>
        <v>1</v>
      </c>
      <c r="DK253" s="16">
        <f>+IF(AND(Juin!$DP$8&lt;&gt;52,AR253=S.CAL!$BJ$4),10,1)</f>
        <v>1</v>
      </c>
      <c r="DN253" s="16">
        <f t="shared" si="472"/>
        <v>1</v>
      </c>
      <c r="DU253" s="1274" t="str">
        <f t="shared" si="495"/>
        <v>Fiche infoA346190</v>
      </c>
      <c r="DV253" s="1362">
        <f t="shared" si="473"/>
        <v>0</v>
      </c>
      <c r="DW253" s="1363">
        <f t="shared" si="474"/>
        <v>0</v>
      </c>
      <c r="DX253" s="1363">
        <f t="shared" si="475"/>
        <v>0</v>
      </c>
      <c r="DY253" s="1363">
        <f t="shared" si="476"/>
        <v>0</v>
      </c>
      <c r="DZ253" s="1363">
        <f t="shared" si="477"/>
        <v>0</v>
      </c>
      <c r="EA253" s="1363">
        <f t="shared" si="478"/>
        <v>0</v>
      </c>
      <c r="EB253" s="1363">
        <f t="shared" si="479"/>
        <v>0</v>
      </c>
      <c r="EC253" s="1363">
        <f t="shared" si="480"/>
        <v>0</v>
      </c>
      <c r="ED253" s="1363">
        <f t="shared" si="496"/>
        <v>0</v>
      </c>
      <c r="EE253" s="1364">
        <f t="shared" si="497"/>
        <v>0</v>
      </c>
      <c r="EG253" s="16" t="str">
        <f t="shared" si="498"/>
        <v>252026</v>
      </c>
      <c r="EH253" s="16" t="str">
        <f t="shared" si="481"/>
        <v>Fiche infoA3</v>
      </c>
      <c r="EI253" s="16" t="str">
        <f t="shared" si="482"/>
        <v/>
      </c>
    </row>
    <row r="254" spans="1:139" x14ac:dyDescent="0.2">
      <c r="A254" s="1373" t="str">
        <f>Juin!BJ37</f>
        <v>Fiche infoA4</v>
      </c>
      <c r="B254" s="811">
        <f>Juin!AB37</f>
        <v>46191</v>
      </c>
      <c r="C254" s="1372"/>
      <c r="D254" s="981">
        <f t="shared" si="438"/>
        <v>0</v>
      </c>
      <c r="E254" s="434">
        <f t="shared" si="439"/>
        <v>0</v>
      </c>
      <c r="F254" s="434">
        <f t="shared" si="440"/>
        <v>0</v>
      </c>
      <c r="G254" s="434">
        <f t="shared" si="441"/>
        <v>0</v>
      </c>
      <c r="H254" s="434">
        <f t="shared" si="442"/>
        <v>0</v>
      </c>
      <c r="I254" s="434">
        <f t="shared" si="443"/>
        <v>0</v>
      </c>
      <c r="J254" s="434">
        <f t="shared" si="444"/>
        <v>0</v>
      </c>
      <c r="K254" s="434">
        <f t="shared" si="445"/>
        <v>0</v>
      </c>
      <c r="L254" s="434">
        <f t="shared" si="483"/>
        <v>0</v>
      </c>
      <c r="M254" s="982">
        <f t="shared" si="484"/>
        <v>0</v>
      </c>
      <c r="N254" s="1374"/>
      <c r="O254" s="981">
        <f t="shared" si="500"/>
        <v>0</v>
      </c>
      <c r="P254" s="434">
        <f t="shared" si="501"/>
        <v>0</v>
      </c>
      <c r="Q254" s="434">
        <f t="shared" si="502"/>
        <v>0</v>
      </c>
      <c r="R254" s="434">
        <f t="shared" si="503"/>
        <v>0</v>
      </c>
      <c r="S254" s="434">
        <f t="shared" si="504"/>
        <v>0</v>
      </c>
      <c r="T254" s="434">
        <f t="shared" si="505"/>
        <v>0</v>
      </c>
      <c r="U254" s="434">
        <f t="shared" si="506"/>
        <v>0</v>
      </c>
      <c r="V254" s="434">
        <f t="shared" si="507"/>
        <v>0</v>
      </c>
      <c r="W254" s="434">
        <f t="shared" si="454"/>
        <v>0</v>
      </c>
      <c r="X254" s="982">
        <f t="shared" si="455"/>
        <v>0</v>
      </c>
      <c r="Y254" s="1375"/>
      <c r="Z254" s="1376">
        <f t="shared" si="456"/>
        <v>0</v>
      </c>
      <c r="AA254" s="1376">
        <f t="shared" si="457"/>
        <v>0</v>
      </c>
      <c r="AB254" s="1376">
        <f t="shared" si="458"/>
        <v>0</v>
      </c>
      <c r="AC254" s="1376">
        <f t="shared" si="459"/>
        <v>0</v>
      </c>
      <c r="AD254" s="1376">
        <f t="shared" si="460"/>
        <v>0</v>
      </c>
      <c r="AE254" s="1376">
        <f t="shared" si="461"/>
        <v>0</v>
      </c>
      <c r="AF254" s="1376">
        <f t="shared" si="462"/>
        <v>0</v>
      </c>
      <c r="AG254" s="1376">
        <f t="shared" si="463"/>
        <v>0</v>
      </c>
      <c r="AH254" s="1374"/>
      <c r="AI254" s="444">
        <f t="shared" si="508"/>
        <v>0</v>
      </c>
      <c r="AJ254" s="1090"/>
      <c r="AK254" s="1377"/>
      <c r="AL254" s="811">
        <f t="shared" si="465"/>
        <v>46191</v>
      </c>
      <c r="AM254" s="666">
        <f>IFERROR(IF(AND(AT254="",AR254&lt;&gt;S.CAL!$BJ$3,AR254&lt;&gt;S.CAL!$BJ$4,$AR$230="NON"),M254-BD254,IF(AND(AT254="",AR254&lt;&gt;S.CAL!$BJ$3,AR254&lt;&gt;S.CAL!$BJ$4,$AR$230="OUI"),X254-AI254,IF(AT254&lt;&gt;0,AT254,IF(OR(AR254=S.CAL!$BJ$3,AR254=S.CAL!$BJ$4),AR254,"")))),"")</f>
        <v>0</v>
      </c>
      <c r="AN254" s="1093"/>
      <c r="AO254" s="1094"/>
      <c r="AP254" s="666">
        <f>+IF(AND(AU254="",BB254="OUI",BH254="non",BI254="OUI"),AM254,IF(AND(AU254="",BB254="OUI",BH254="oui",BI254="NON"),AM254,IF(AND(AU254="",BB254="NON",BH254="oui",BI254="NON"),M254,IF(AND(AU254="",BB254="NON",BH254="non",BI254="OUI"),M254,IF(AND(AU254="",BB254="OUI",BH254="non",BI254="NON"),"ERREUR",IF(AND(AU254="",BB254="NON",BH254="non",BI254="NON"),AM254,IF(AND(AU254="",BB254="OUI",BH254="",BI254=""),AM254,IF(AND(AU254="",BB254="NON",BH254="",BI254="",AZ254="NON"),M254,IF(AND(AU254="",BH254="",AZ254="OUI",AR254=""),AM254,IF(AND(AU254="",BH254="",AZ254="NON",AR254="",AT254=""),M254,IF(AND(OR(AR254=S.CAL!$BJ$3,AR254=S.CAL!$BJ$4),(VLOOKUP($AM$230,base_nbre_sem_mensu,2,FALSE)=52)),EE254,IF(AND(OR(AR254=S.CAL!$BJ$3,AR254=S.CAL!$BJ$4),(VLOOKUP($AM$230,base_nbre_sem_mensu,2,FALSE)&lt;52)),AM254,IF(AND(AT254&lt;&gt;"",AU254=""),AT254,AU254)))))))))))))</f>
        <v>0</v>
      </c>
      <c r="AQ254" s="1378">
        <f t="shared" si="485"/>
        <v>0</v>
      </c>
      <c r="AR254" s="1098"/>
      <c r="AS254" s="1374"/>
      <c r="AT254" s="1101"/>
      <c r="AU254" s="813"/>
      <c r="AV254" s="1370">
        <f t="shared" si="466"/>
        <v>46191</v>
      </c>
      <c r="AW254" s="1374"/>
      <c r="AX254" s="511">
        <f t="shared" si="486"/>
        <v>46191</v>
      </c>
      <c r="AY254" s="523">
        <f t="shared" si="487"/>
        <v>0</v>
      </c>
      <c r="AZ254" s="520" t="s">
        <v>137</v>
      </c>
      <c r="BA254" s="516">
        <f t="shared" si="488"/>
        <v>0</v>
      </c>
      <c r="BB254" s="549" t="str">
        <f t="shared" si="467"/>
        <v/>
      </c>
      <c r="BC254" s="523">
        <f t="shared" si="489"/>
        <v>0</v>
      </c>
      <c r="BD254" s="523">
        <f t="shared" si="490"/>
        <v>0</v>
      </c>
      <c r="BE254" s="732"/>
      <c r="BF254" s="514" t="str">
        <f t="shared" si="468"/>
        <v/>
      </c>
      <c r="BG254" s="514" t="str">
        <f t="shared" si="491"/>
        <v>oui</v>
      </c>
      <c r="BH254" s="377" t="str">
        <f t="shared" si="469"/>
        <v/>
      </c>
      <c r="BI254" s="24" t="str">
        <f t="shared" si="470"/>
        <v/>
      </c>
      <c r="BJ254" s="1382"/>
      <c r="BK254" s="1382"/>
      <c r="BL254" s="1382"/>
      <c r="BM254" s="1382"/>
      <c r="BN254" s="1382"/>
      <c r="BO254" s="1382"/>
      <c r="BP254" s="1382"/>
      <c r="BQ254" s="1382"/>
      <c r="BR254" s="1383"/>
      <c r="BS254" s="1370">
        <f t="shared" si="437"/>
        <v>46191</v>
      </c>
      <c r="BT254" s="1384" t="str">
        <f t="shared" si="499"/>
        <v/>
      </c>
      <c r="BU254" s="1382"/>
      <c r="BV254" s="1382"/>
      <c r="BW254" s="1382"/>
      <c r="BX254" s="1382"/>
      <c r="BY254" s="1382"/>
      <c r="BZ254" s="1382"/>
      <c r="CA254" s="1382"/>
      <c r="CB254" s="1382"/>
      <c r="CD254" s="1386">
        <f t="shared" si="492"/>
        <v>0</v>
      </c>
      <c r="DC254" s="16" t="str">
        <f>Juin!FC37</f>
        <v>non</v>
      </c>
      <c r="DG254" s="315">
        <f t="shared" si="493"/>
        <v>1</v>
      </c>
      <c r="DH254" s="129">
        <f t="shared" si="471"/>
        <v>10</v>
      </c>
      <c r="DI254" s="129">
        <f t="shared" si="494"/>
        <v>1</v>
      </c>
      <c r="DK254" s="16">
        <f>+IF(AND(Juin!$DP$8&lt;&gt;52,AR254=S.CAL!$BJ$4),10,1)</f>
        <v>1</v>
      </c>
      <c r="DN254" s="16">
        <f t="shared" si="472"/>
        <v>1</v>
      </c>
      <c r="DU254" s="1274" t="str">
        <f t="shared" si="495"/>
        <v>Fiche infoA446191</v>
      </c>
      <c r="DV254" s="1362">
        <f t="shared" si="473"/>
        <v>0</v>
      </c>
      <c r="DW254" s="1363">
        <f t="shared" si="474"/>
        <v>0</v>
      </c>
      <c r="DX254" s="1363">
        <f t="shared" si="475"/>
        <v>0</v>
      </c>
      <c r="DY254" s="1363">
        <f t="shared" si="476"/>
        <v>0</v>
      </c>
      <c r="DZ254" s="1363">
        <f t="shared" si="477"/>
        <v>0</v>
      </c>
      <c r="EA254" s="1363">
        <f t="shared" si="478"/>
        <v>0</v>
      </c>
      <c r="EB254" s="1363">
        <f t="shared" si="479"/>
        <v>0</v>
      </c>
      <c r="EC254" s="1363">
        <f t="shared" si="480"/>
        <v>0</v>
      </c>
      <c r="ED254" s="1363">
        <f t="shared" si="496"/>
        <v>0</v>
      </c>
      <c r="EE254" s="1364">
        <f t="shared" si="497"/>
        <v>0</v>
      </c>
      <c r="EG254" s="16" t="str">
        <f t="shared" si="498"/>
        <v>252026</v>
      </c>
      <c r="EH254" s="16" t="str">
        <f t="shared" si="481"/>
        <v>Fiche infoA4</v>
      </c>
      <c r="EI254" s="16" t="str">
        <f t="shared" si="482"/>
        <v/>
      </c>
    </row>
    <row r="255" spans="1:139" x14ac:dyDescent="0.2">
      <c r="A255" s="24" t="str">
        <f>Juin!BJ38</f>
        <v>Fiche infoA5</v>
      </c>
      <c r="B255" s="811">
        <f>Juin!AB38</f>
        <v>46192</v>
      </c>
      <c r="C255" s="1371"/>
      <c r="D255" s="981">
        <f t="shared" si="438"/>
        <v>0</v>
      </c>
      <c r="E255" s="434">
        <f t="shared" si="439"/>
        <v>0</v>
      </c>
      <c r="F255" s="434">
        <f t="shared" si="440"/>
        <v>0</v>
      </c>
      <c r="G255" s="434">
        <f t="shared" si="441"/>
        <v>0</v>
      </c>
      <c r="H255" s="434">
        <f t="shared" si="442"/>
        <v>0</v>
      </c>
      <c r="I255" s="434">
        <f t="shared" si="443"/>
        <v>0</v>
      </c>
      <c r="J255" s="434">
        <f t="shared" si="444"/>
        <v>0</v>
      </c>
      <c r="K255" s="434">
        <f t="shared" si="445"/>
        <v>0</v>
      </c>
      <c r="L255" s="434">
        <f t="shared" si="483"/>
        <v>0</v>
      </c>
      <c r="M255" s="982">
        <f t="shared" si="484"/>
        <v>0</v>
      </c>
      <c r="O255" s="981">
        <f t="shared" si="500"/>
        <v>0</v>
      </c>
      <c r="P255" s="434">
        <f t="shared" si="501"/>
        <v>0</v>
      </c>
      <c r="Q255" s="434">
        <f t="shared" si="502"/>
        <v>0</v>
      </c>
      <c r="R255" s="434">
        <f t="shared" si="503"/>
        <v>0</v>
      </c>
      <c r="S255" s="434">
        <f t="shared" si="504"/>
        <v>0</v>
      </c>
      <c r="T255" s="434">
        <f t="shared" si="505"/>
        <v>0</v>
      </c>
      <c r="U255" s="434">
        <f t="shared" si="506"/>
        <v>0</v>
      </c>
      <c r="V255" s="434">
        <f t="shared" si="507"/>
        <v>0</v>
      </c>
      <c r="W255" s="434">
        <f t="shared" si="454"/>
        <v>0</v>
      </c>
      <c r="X255" s="982">
        <f t="shared" si="455"/>
        <v>0</v>
      </c>
      <c r="Y255" s="441"/>
      <c r="Z255" s="277">
        <f t="shared" si="456"/>
        <v>0</v>
      </c>
      <c r="AA255" s="277">
        <f t="shared" si="457"/>
        <v>0</v>
      </c>
      <c r="AB255" s="277">
        <f t="shared" si="458"/>
        <v>0</v>
      </c>
      <c r="AC255" s="277">
        <f t="shared" si="459"/>
        <v>0</v>
      </c>
      <c r="AD255" s="277">
        <f t="shared" si="460"/>
        <v>0</v>
      </c>
      <c r="AE255" s="277">
        <f t="shared" si="461"/>
        <v>0</v>
      </c>
      <c r="AF255" s="277">
        <f t="shared" si="462"/>
        <v>0</v>
      </c>
      <c r="AG255" s="277">
        <f t="shared" si="463"/>
        <v>0</v>
      </c>
      <c r="AI255" s="444">
        <f t="shared" si="508"/>
        <v>0</v>
      </c>
      <c r="AJ255" s="1090"/>
      <c r="AK255" s="489"/>
      <c r="AL255" s="811">
        <f t="shared" si="465"/>
        <v>46192</v>
      </c>
      <c r="AM255" s="666">
        <f>IFERROR(IF(AND(AT255="",AR255&lt;&gt;S.CAL!$BJ$3,AR255&lt;&gt;S.CAL!$BJ$4,$AR$230="NON"),M255-BD255,IF(AND(AT255="",AR255&lt;&gt;S.CAL!$BJ$3,AR255&lt;&gt;S.CAL!$BJ$4,$AR$230="OUI"),X255-AI255,IF(AT255&lt;&gt;0,AT255,IF(OR(AR255=S.CAL!$BJ$3,AR255=S.CAL!$BJ$4),AR255,"")))),"")</f>
        <v>0</v>
      </c>
      <c r="AN255" s="1093"/>
      <c r="AO255" s="1094"/>
      <c r="AP255" s="666">
        <f>+IF(AND(AU255="",BB255="OUI",BH255="non",BI255="OUI"),AM255,IF(AND(AU255="",BB255="OUI",BH255="oui",BI255="NON"),AM255,IF(AND(AU255="",BB255="NON",BH255="oui",BI255="NON"),M255,IF(AND(AU255="",BB255="NON",BH255="non",BI255="OUI"),M255,IF(AND(AU255="",BB255="OUI",BH255="non",BI255="NON"),"ERREUR",IF(AND(AU255="",BB255="NON",BH255="non",BI255="NON"),AM255,IF(AND(AU255="",BB255="OUI",BH255="",BI255=""),AM255,IF(AND(AU255="",BB255="NON",BH255="",BI255="",AZ255="NON"),M255,IF(AND(AU255="",BH255="",AZ255="OUI",AR255=""),AM255,IF(AND(AU255="",BH255="",AZ255="NON",AR255="",AT255=""),M255,IF(AND(OR(AR255=S.CAL!$BJ$3,AR255=S.CAL!$BJ$4),(VLOOKUP($AM$230,base_nbre_sem_mensu,2,FALSE)=52)),EE255,IF(AND(OR(AR255=S.CAL!$BJ$3,AR255=S.CAL!$BJ$4),(VLOOKUP($AM$230,base_nbre_sem_mensu,2,FALSE)&lt;52)),AM255,IF(AND(AT255&lt;&gt;"",AU255=""),AT255,AU255)))))))))))))</f>
        <v>0</v>
      </c>
      <c r="AQ255" s="498">
        <f t="shared" si="485"/>
        <v>0</v>
      </c>
      <c r="AR255" s="1098"/>
      <c r="AT255" s="1101"/>
      <c r="AU255" s="813"/>
      <c r="AV255" s="1370">
        <f t="shared" si="466"/>
        <v>46192</v>
      </c>
      <c r="AX255" s="511">
        <f t="shared" si="486"/>
        <v>46192</v>
      </c>
      <c r="AY255" s="523">
        <f t="shared" si="487"/>
        <v>0</v>
      </c>
      <c r="AZ255" s="520" t="s">
        <v>137</v>
      </c>
      <c r="BA255" s="516">
        <f t="shared" si="488"/>
        <v>0</v>
      </c>
      <c r="BB255" s="549" t="str">
        <f t="shared" si="467"/>
        <v/>
      </c>
      <c r="BC255" s="523">
        <f t="shared" si="489"/>
        <v>0</v>
      </c>
      <c r="BD255" s="523">
        <f t="shared" si="490"/>
        <v>0</v>
      </c>
      <c r="BE255" s="732"/>
      <c r="BF255" s="514" t="str">
        <f t="shared" si="468"/>
        <v/>
      </c>
      <c r="BG255" s="514" t="str">
        <f t="shared" si="491"/>
        <v>oui</v>
      </c>
      <c r="BH255" s="377" t="str">
        <f t="shared" si="469"/>
        <v/>
      </c>
      <c r="BI255" s="24" t="str">
        <f t="shared" si="470"/>
        <v/>
      </c>
      <c r="BJ255" s="1381"/>
      <c r="BK255" s="1381"/>
      <c r="BL255" s="1381"/>
      <c r="BM255" s="1381"/>
      <c r="BN255" s="1381"/>
      <c r="BO255" s="1381"/>
      <c r="BP255" s="1381"/>
      <c r="BQ255" s="1381"/>
      <c r="BS255" s="1370">
        <f t="shared" si="437"/>
        <v>46192</v>
      </c>
      <c r="BT255" s="27" t="str">
        <f t="shared" si="499"/>
        <v/>
      </c>
      <c r="BU255" s="1380"/>
      <c r="BV255" s="1380"/>
      <c r="BW255" s="1380"/>
      <c r="BX255" s="1380"/>
      <c r="BY255" s="1380"/>
      <c r="BZ255" s="1380"/>
      <c r="CA255" s="1380"/>
      <c r="CB255" s="1380"/>
      <c r="CD255" s="1386">
        <f t="shared" si="492"/>
        <v>0</v>
      </c>
      <c r="DC255" s="16" t="str">
        <f>Juin!FC38</f>
        <v>non</v>
      </c>
      <c r="DG255" s="315">
        <f t="shared" si="493"/>
        <v>1</v>
      </c>
      <c r="DH255" s="129">
        <f t="shared" si="471"/>
        <v>10</v>
      </c>
      <c r="DI255" s="129">
        <f t="shared" si="494"/>
        <v>1</v>
      </c>
      <c r="DK255" s="16">
        <f>+IF(AND(Juin!$DP$8&lt;&gt;52,AR255=S.CAL!$BJ$4),10,1)</f>
        <v>1</v>
      </c>
      <c r="DN255" s="16">
        <f t="shared" si="472"/>
        <v>1</v>
      </c>
      <c r="DU255" s="1274" t="str">
        <f t="shared" si="495"/>
        <v>Fiche infoA546192</v>
      </c>
      <c r="DV255" s="1362">
        <f t="shared" si="473"/>
        <v>0</v>
      </c>
      <c r="DW255" s="1363">
        <f t="shared" si="474"/>
        <v>0</v>
      </c>
      <c r="DX255" s="1363">
        <f t="shared" si="475"/>
        <v>0</v>
      </c>
      <c r="DY255" s="1363">
        <f t="shared" si="476"/>
        <v>0</v>
      </c>
      <c r="DZ255" s="1363">
        <f t="shared" si="477"/>
        <v>0</v>
      </c>
      <c r="EA255" s="1363">
        <f t="shared" si="478"/>
        <v>0</v>
      </c>
      <c r="EB255" s="1363">
        <f t="shared" si="479"/>
        <v>0</v>
      </c>
      <c r="EC255" s="1363">
        <f t="shared" si="480"/>
        <v>0</v>
      </c>
      <c r="ED255" s="1363">
        <f t="shared" si="496"/>
        <v>0</v>
      </c>
      <c r="EE255" s="1364">
        <f t="shared" si="497"/>
        <v>0</v>
      </c>
      <c r="EG255" s="16" t="str">
        <f t="shared" si="498"/>
        <v>252026</v>
      </c>
      <c r="EH255" s="16" t="str">
        <f t="shared" si="481"/>
        <v>Fiche infoA5</v>
      </c>
      <c r="EI255" s="16" t="str">
        <f t="shared" si="482"/>
        <v/>
      </c>
    </row>
    <row r="256" spans="1:139" x14ac:dyDescent="0.2">
      <c r="A256" s="1373" t="str">
        <f>Juin!BJ39</f>
        <v>Fiche infoA6</v>
      </c>
      <c r="B256" s="811">
        <f>Juin!AB39</f>
        <v>46193</v>
      </c>
      <c r="C256" s="1372"/>
      <c r="D256" s="981">
        <f t="shared" si="438"/>
        <v>0</v>
      </c>
      <c r="E256" s="434">
        <f t="shared" si="439"/>
        <v>0</v>
      </c>
      <c r="F256" s="434">
        <f t="shared" si="440"/>
        <v>0</v>
      </c>
      <c r="G256" s="434">
        <f t="shared" si="441"/>
        <v>0</v>
      </c>
      <c r="H256" s="434">
        <f t="shared" si="442"/>
        <v>0</v>
      </c>
      <c r="I256" s="434">
        <f t="shared" si="443"/>
        <v>0</v>
      </c>
      <c r="J256" s="434">
        <f t="shared" si="444"/>
        <v>0</v>
      </c>
      <c r="K256" s="434">
        <f t="shared" si="445"/>
        <v>0</v>
      </c>
      <c r="L256" s="434">
        <f t="shared" si="483"/>
        <v>0</v>
      </c>
      <c r="M256" s="982">
        <f t="shared" si="484"/>
        <v>0</v>
      </c>
      <c r="N256" s="1374"/>
      <c r="O256" s="981">
        <f t="shared" si="500"/>
        <v>0</v>
      </c>
      <c r="P256" s="434">
        <f t="shared" si="501"/>
        <v>0</v>
      </c>
      <c r="Q256" s="434">
        <f t="shared" si="502"/>
        <v>0</v>
      </c>
      <c r="R256" s="434">
        <f t="shared" si="503"/>
        <v>0</v>
      </c>
      <c r="S256" s="434">
        <f t="shared" si="504"/>
        <v>0</v>
      </c>
      <c r="T256" s="434">
        <f t="shared" si="505"/>
        <v>0</v>
      </c>
      <c r="U256" s="434">
        <f t="shared" si="506"/>
        <v>0</v>
      </c>
      <c r="V256" s="434">
        <f t="shared" si="507"/>
        <v>0</v>
      </c>
      <c r="W256" s="434">
        <f t="shared" si="454"/>
        <v>0</v>
      </c>
      <c r="X256" s="982">
        <f t="shared" si="455"/>
        <v>0</v>
      </c>
      <c r="Y256" s="1375"/>
      <c r="Z256" s="1376">
        <f t="shared" si="456"/>
        <v>0</v>
      </c>
      <c r="AA256" s="1376">
        <f t="shared" si="457"/>
        <v>0</v>
      </c>
      <c r="AB256" s="1376">
        <f t="shared" si="458"/>
        <v>0</v>
      </c>
      <c r="AC256" s="1376">
        <f t="shared" si="459"/>
        <v>0</v>
      </c>
      <c r="AD256" s="1376">
        <f t="shared" si="460"/>
        <v>0</v>
      </c>
      <c r="AE256" s="1376">
        <f t="shared" si="461"/>
        <v>0</v>
      </c>
      <c r="AF256" s="1376">
        <f t="shared" si="462"/>
        <v>0</v>
      </c>
      <c r="AG256" s="1376">
        <f t="shared" si="463"/>
        <v>0</v>
      </c>
      <c r="AH256" s="1374"/>
      <c r="AI256" s="444">
        <f t="shared" si="508"/>
        <v>0</v>
      </c>
      <c r="AJ256" s="1090"/>
      <c r="AK256" s="1377"/>
      <c r="AL256" s="811">
        <f t="shared" si="465"/>
        <v>46193</v>
      </c>
      <c r="AM256" s="666">
        <f>IFERROR(IF(AND(AT256="",AR256&lt;&gt;S.CAL!$BJ$3,AR256&lt;&gt;S.CAL!$BJ$4,$AR$230="NON"),M256-BD256,IF(AND(AT256="",AR256&lt;&gt;S.CAL!$BJ$3,AR256&lt;&gt;S.CAL!$BJ$4,$AR$230="OUI"),X256-AI256,IF(AT256&lt;&gt;0,AT256,IF(OR(AR256=S.CAL!$BJ$3,AR256=S.CAL!$BJ$4),AR256,"")))),"")</f>
        <v>0</v>
      </c>
      <c r="AN256" s="1093"/>
      <c r="AO256" s="1094"/>
      <c r="AP256" s="666">
        <f>+IF(AND(AU256="",BB256="OUI",BH256="non",BI256="OUI"),AM256,IF(AND(AU256="",BB256="OUI",BH256="oui",BI256="NON"),AM256,IF(AND(AU256="",BB256="NON",BH256="oui",BI256="NON"),M256,IF(AND(AU256="",BB256="NON",BH256="non",BI256="OUI"),M256,IF(AND(AU256="",BB256="OUI",BH256="non",BI256="NON"),"ERREUR",IF(AND(AU256="",BB256="NON",BH256="non",BI256="NON"),AM256,IF(AND(AU256="",BB256="OUI",BH256="",BI256=""),AM256,IF(AND(AU256="",BB256="NON",BH256="",BI256="",AZ256="NON"),M256,IF(AND(AU256="",BH256="",AZ256="OUI",AR256=""),AM256,IF(AND(AU256="",BH256="",AZ256="NON",AR256="",AT256=""),M256,IF(AND(OR(AR256=S.CAL!$BJ$3,AR256=S.CAL!$BJ$4),(VLOOKUP($AM$230,base_nbre_sem_mensu,2,FALSE)=52)),EE256,IF(AND(OR(AR256=S.CAL!$BJ$3,AR256=S.CAL!$BJ$4),(VLOOKUP($AM$230,base_nbre_sem_mensu,2,FALSE)&lt;52)),AM256,IF(AND(AT256&lt;&gt;"",AU256=""),AT256,AU256)))))))))))))</f>
        <v>0</v>
      </c>
      <c r="AQ256" s="1378">
        <f t="shared" si="485"/>
        <v>0</v>
      </c>
      <c r="AR256" s="1098"/>
      <c r="AS256" s="1374"/>
      <c r="AT256" s="1101"/>
      <c r="AU256" s="813"/>
      <c r="AV256" s="1370">
        <f t="shared" si="466"/>
        <v>46193</v>
      </c>
      <c r="AW256" s="1374"/>
      <c r="AX256" s="511">
        <f t="shared" si="486"/>
        <v>46193</v>
      </c>
      <c r="AY256" s="523">
        <f t="shared" si="487"/>
        <v>0</v>
      </c>
      <c r="AZ256" s="520" t="s">
        <v>137</v>
      </c>
      <c r="BA256" s="516">
        <f t="shared" si="488"/>
        <v>0</v>
      </c>
      <c r="BB256" s="549" t="str">
        <f t="shared" si="467"/>
        <v/>
      </c>
      <c r="BC256" s="523">
        <f t="shared" si="489"/>
        <v>0</v>
      </c>
      <c r="BD256" s="523">
        <f t="shared" si="490"/>
        <v>0</v>
      </c>
      <c r="BE256" s="732"/>
      <c r="BF256" s="514" t="str">
        <f t="shared" si="468"/>
        <v/>
      </c>
      <c r="BG256" s="514" t="str">
        <f t="shared" si="491"/>
        <v>oui</v>
      </c>
      <c r="BH256" s="377" t="str">
        <f t="shared" si="469"/>
        <v/>
      </c>
      <c r="BI256" s="24" t="str">
        <f t="shared" si="470"/>
        <v/>
      </c>
      <c r="BJ256" s="1382"/>
      <c r="BK256" s="1382"/>
      <c r="BL256" s="1382"/>
      <c r="BM256" s="1382"/>
      <c r="BN256" s="1382"/>
      <c r="BO256" s="1382"/>
      <c r="BP256" s="1382"/>
      <c r="BQ256" s="1382"/>
      <c r="BR256" s="1383"/>
      <c r="BS256" s="1370">
        <f t="shared" si="437"/>
        <v>46193</v>
      </c>
      <c r="BT256" s="1384" t="str">
        <f t="shared" si="499"/>
        <v/>
      </c>
      <c r="BU256" s="1382"/>
      <c r="BV256" s="1382"/>
      <c r="BW256" s="1382"/>
      <c r="BX256" s="1382"/>
      <c r="BY256" s="1382"/>
      <c r="BZ256" s="1382"/>
      <c r="CA256" s="1382"/>
      <c r="CB256" s="1382"/>
      <c r="CD256" s="1386">
        <f t="shared" si="492"/>
        <v>0</v>
      </c>
      <c r="DC256" s="16" t="str">
        <f>Juin!FC39</f>
        <v>non</v>
      </c>
      <c r="DG256" s="315">
        <f t="shared" si="493"/>
        <v>1</v>
      </c>
      <c r="DH256" s="129">
        <f t="shared" si="471"/>
        <v>10</v>
      </c>
      <c r="DI256" s="129">
        <f t="shared" si="494"/>
        <v>1</v>
      </c>
      <c r="DK256" s="16">
        <f>+IF(AND(Juin!$DP$8&lt;&gt;52,AR256=S.CAL!$BJ$4),10,1)</f>
        <v>1</v>
      </c>
      <c r="DN256" s="16">
        <f t="shared" si="472"/>
        <v>1</v>
      </c>
      <c r="DU256" s="1274" t="str">
        <f t="shared" si="495"/>
        <v>Fiche infoA646193</v>
      </c>
      <c r="DV256" s="1362">
        <f t="shared" si="473"/>
        <v>0</v>
      </c>
      <c r="DW256" s="1363">
        <f t="shared" si="474"/>
        <v>0</v>
      </c>
      <c r="DX256" s="1363">
        <f t="shared" si="475"/>
        <v>0</v>
      </c>
      <c r="DY256" s="1363">
        <f t="shared" si="476"/>
        <v>0</v>
      </c>
      <c r="DZ256" s="1363">
        <f t="shared" si="477"/>
        <v>0</v>
      </c>
      <c r="EA256" s="1363">
        <f t="shared" si="478"/>
        <v>0</v>
      </c>
      <c r="EB256" s="1363">
        <f t="shared" si="479"/>
        <v>0</v>
      </c>
      <c r="EC256" s="1363">
        <f t="shared" si="480"/>
        <v>0</v>
      </c>
      <c r="ED256" s="1363">
        <f t="shared" si="496"/>
        <v>0</v>
      </c>
      <c r="EE256" s="1364">
        <f t="shared" si="497"/>
        <v>0</v>
      </c>
      <c r="EG256" s="16" t="str">
        <f t="shared" si="498"/>
        <v>252026</v>
      </c>
      <c r="EH256" s="16" t="str">
        <f t="shared" si="481"/>
        <v>Fiche infoA6</v>
      </c>
      <c r="EI256" s="16" t="str">
        <f t="shared" si="482"/>
        <v/>
      </c>
    </row>
    <row r="257" spans="1:145" x14ac:dyDescent="0.2">
      <c r="A257" s="24" t="str">
        <f>Juin!BJ40</f>
        <v>Fiche infoA7</v>
      </c>
      <c r="B257" s="811">
        <f>Juin!AB40</f>
        <v>46194</v>
      </c>
      <c r="C257" s="1371"/>
      <c r="D257" s="981">
        <f t="shared" si="438"/>
        <v>0</v>
      </c>
      <c r="E257" s="434">
        <f t="shared" si="439"/>
        <v>0</v>
      </c>
      <c r="F257" s="434">
        <f t="shared" si="440"/>
        <v>0</v>
      </c>
      <c r="G257" s="434">
        <f t="shared" si="441"/>
        <v>0</v>
      </c>
      <c r="H257" s="434">
        <f t="shared" si="442"/>
        <v>0</v>
      </c>
      <c r="I257" s="434">
        <f t="shared" si="443"/>
        <v>0</v>
      </c>
      <c r="J257" s="434">
        <f t="shared" si="444"/>
        <v>0</v>
      </c>
      <c r="K257" s="434">
        <f t="shared" si="445"/>
        <v>0</v>
      </c>
      <c r="L257" s="434">
        <f t="shared" si="483"/>
        <v>0</v>
      </c>
      <c r="M257" s="982">
        <f t="shared" si="484"/>
        <v>0</v>
      </c>
      <c r="O257" s="981">
        <f t="shared" si="500"/>
        <v>0</v>
      </c>
      <c r="P257" s="434">
        <f t="shared" si="501"/>
        <v>0</v>
      </c>
      <c r="Q257" s="434">
        <f t="shared" si="502"/>
        <v>0</v>
      </c>
      <c r="R257" s="434">
        <f t="shared" si="503"/>
        <v>0</v>
      </c>
      <c r="S257" s="434">
        <f t="shared" si="504"/>
        <v>0</v>
      </c>
      <c r="T257" s="434">
        <f t="shared" si="505"/>
        <v>0</v>
      </c>
      <c r="U257" s="434">
        <f t="shared" si="506"/>
        <v>0</v>
      </c>
      <c r="V257" s="434">
        <f t="shared" si="507"/>
        <v>0</v>
      </c>
      <c r="W257" s="434">
        <f t="shared" si="454"/>
        <v>0</v>
      </c>
      <c r="X257" s="982">
        <f t="shared" si="455"/>
        <v>0</v>
      </c>
      <c r="Y257" s="441"/>
      <c r="Z257" s="277">
        <f t="shared" si="456"/>
        <v>0</v>
      </c>
      <c r="AA257" s="277">
        <f t="shared" si="457"/>
        <v>0</v>
      </c>
      <c r="AB257" s="277">
        <f t="shared" si="458"/>
        <v>0</v>
      </c>
      <c r="AC257" s="277">
        <f t="shared" si="459"/>
        <v>0</v>
      </c>
      <c r="AD257" s="277">
        <f t="shared" si="460"/>
        <v>0</v>
      </c>
      <c r="AE257" s="277">
        <f t="shared" si="461"/>
        <v>0</v>
      </c>
      <c r="AF257" s="277">
        <f t="shared" si="462"/>
        <v>0</v>
      </c>
      <c r="AG257" s="277">
        <f t="shared" si="463"/>
        <v>0</v>
      </c>
      <c r="AI257" s="444">
        <f t="shared" si="508"/>
        <v>0</v>
      </c>
      <c r="AJ257" s="1090"/>
      <c r="AK257" s="489"/>
      <c r="AL257" s="811">
        <f t="shared" si="465"/>
        <v>46194</v>
      </c>
      <c r="AM257" s="666">
        <f>IFERROR(IF(AND(AT257="",AR257&lt;&gt;S.CAL!$BJ$3,AR257&lt;&gt;S.CAL!$BJ$4,$AR$230="NON"),M257-BD257,IF(AND(AT257="",AR257&lt;&gt;S.CAL!$BJ$3,AR257&lt;&gt;S.CAL!$BJ$4,$AR$230="OUI"),X257-AI257,IF(AT257&lt;&gt;0,AT257,IF(OR(AR257=S.CAL!$BJ$3,AR257=S.CAL!$BJ$4),AR257,"")))),"")</f>
        <v>0</v>
      </c>
      <c r="AN257" s="1093"/>
      <c r="AO257" s="1094"/>
      <c r="AP257" s="666">
        <f>+IF(AND(AU257="",BB257="OUI",BH257="non",BI257="OUI"),AM257,IF(AND(AU257="",BB257="OUI",BH257="oui",BI257="NON"),AM257,IF(AND(AU257="",BB257="NON",BH257="oui",BI257="NON"),M257,IF(AND(AU257="",BB257="NON",BH257="non",BI257="OUI"),M257,IF(AND(AU257="",BB257="OUI",BH257="non",BI257="NON"),"ERREUR",IF(AND(AU257="",BB257="NON",BH257="non",BI257="NON"),AM257,IF(AND(AU257="",BB257="OUI",BH257="",BI257=""),AM257,IF(AND(AU257="",BB257="NON",BH257="",BI257="",AZ257="NON"),M257,IF(AND(AU257="",BH257="",AZ257="OUI",AR257=""),AM257,IF(AND(AU257="",BH257="",AZ257="NON",AR257="",AT257=""),M257,IF(AND(OR(AR257=S.CAL!$BJ$3,AR257=S.CAL!$BJ$4),(VLOOKUP($AM$230,base_nbre_sem_mensu,2,FALSE)=52)),EE257,IF(AND(OR(AR257=S.CAL!$BJ$3,AR257=S.CAL!$BJ$4),(VLOOKUP($AM$230,base_nbre_sem_mensu,2,FALSE)&lt;52)),AM257,IF(AND(AT257&lt;&gt;"",AU257=""),AT257,AU257)))))))))))))</f>
        <v>0</v>
      </c>
      <c r="AQ257" s="498">
        <f t="shared" si="485"/>
        <v>0</v>
      </c>
      <c r="AR257" s="1098"/>
      <c r="AT257" s="1101"/>
      <c r="AU257" s="813"/>
      <c r="AV257" s="1370">
        <f t="shared" si="466"/>
        <v>46194</v>
      </c>
      <c r="AX257" s="511">
        <f t="shared" si="486"/>
        <v>46194</v>
      </c>
      <c r="AY257" s="523">
        <f t="shared" si="487"/>
        <v>0</v>
      </c>
      <c r="AZ257" s="520" t="s">
        <v>137</v>
      </c>
      <c r="BA257" s="516">
        <f t="shared" si="488"/>
        <v>0</v>
      </c>
      <c r="BB257" s="549" t="str">
        <f t="shared" si="467"/>
        <v/>
      </c>
      <c r="BC257" s="523">
        <f t="shared" si="489"/>
        <v>0</v>
      </c>
      <c r="BD257" s="523">
        <f t="shared" si="490"/>
        <v>0</v>
      </c>
      <c r="BE257" s="732"/>
      <c r="BF257" s="514" t="str">
        <f t="shared" si="468"/>
        <v/>
      </c>
      <c r="BG257" s="514" t="str">
        <f t="shared" si="491"/>
        <v>oui</v>
      </c>
      <c r="BH257" s="377" t="str">
        <f t="shared" si="469"/>
        <v/>
      </c>
      <c r="BI257" s="24" t="str">
        <f t="shared" si="470"/>
        <v/>
      </c>
      <c r="BJ257" s="1381"/>
      <c r="BK257" s="1381"/>
      <c r="BL257" s="1381"/>
      <c r="BM257" s="1381"/>
      <c r="BN257" s="1381"/>
      <c r="BO257" s="1381"/>
      <c r="BP257" s="1381"/>
      <c r="BQ257" s="1381"/>
      <c r="BS257" s="1370">
        <f t="shared" si="437"/>
        <v>46194</v>
      </c>
      <c r="BT257" s="27" t="str">
        <f t="shared" si="499"/>
        <v/>
      </c>
      <c r="BU257" s="1380"/>
      <c r="BV257" s="1380"/>
      <c r="BW257" s="1380"/>
      <c r="BX257" s="1380"/>
      <c r="BY257" s="1380"/>
      <c r="BZ257" s="1380"/>
      <c r="CA257" s="1380"/>
      <c r="CB257" s="1380"/>
      <c r="CD257" s="1386">
        <f t="shared" si="492"/>
        <v>0</v>
      </c>
      <c r="DC257" s="16" t="str">
        <f>Juin!FC40</f>
        <v>non</v>
      </c>
      <c r="DG257" s="315">
        <f t="shared" si="493"/>
        <v>1</v>
      </c>
      <c r="DH257" s="129">
        <f t="shared" si="471"/>
        <v>10</v>
      </c>
      <c r="DI257" s="129">
        <f t="shared" si="494"/>
        <v>1</v>
      </c>
      <c r="DK257" s="16">
        <f>+IF(AND(Juin!$DP$8&lt;&gt;52,AR257=S.CAL!$BJ$4),10,1)</f>
        <v>1</v>
      </c>
      <c r="DN257" s="16">
        <f t="shared" si="472"/>
        <v>1</v>
      </c>
      <c r="DU257" s="1274" t="str">
        <f t="shared" si="495"/>
        <v>Fiche infoA746194</v>
      </c>
      <c r="DV257" s="1362">
        <f t="shared" si="473"/>
        <v>0</v>
      </c>
      <c r="DW257" s="1363">
        <f t="shared" si="474"/>
        <v>0</v>
      </c>
      <c r="DX257" s="1363">
        <f t="shared" si="475"/>
        <v>0</v>
      </c>
      <c r="DY257" s="1363">
        <f t="shared" si="476"/>
        <v>0</v>
      </c>
      <c r="DZ257" s="1363">
        <f t="shared" si="477"/>
        <v>0</v>
      </c>
      <c r="EA257" s="1363">
        <f t="shared" si="478"/>
        <v>0</v>
      </c>
      <c r="EB257" s="1363">
        <f t="shared" si="479"/>
        <v>0</v>
      </c>
      <c r="EC257" s="1363">
        <f t="shared" si="480"/>
        <v>0</v>
      </c>
      <c r="ED257" s="1363">
        <f t="shared" si="496"/>
        <v>0</v>
      </c>
      <c r="EE257" s="1364">
        <f t="shared" si="497"/>
        <v>0</v>
      </c>
      <c r="EG257" s="16" t="str">
        <f t="shared" si="498"/>
        <v>252026</v>
      </c>
      <c r="EH257" s="16" t="str">
        <f t="shared" si="481"/>
        <v>Fiche infoA7</v>
      </c>
      <c r="EI257" s="16" t="str">
        <f t="shared" si="482"/>
        <v/>
      </c>
    </row>
    <row r="258" spans="1:145" x14ac:dyDescent="0.2">
      <c r="A258" s="1373" t="str">
        <f>Juin!BJ41</f>
        <v>Fiche infoA1</v>
      </c>
      <c r="B258" s="811">
        <f>Juin!AB41</f>
        <v>46195</v>
      </c>
      <c r="C258" s="1372"/>
      <c r="D258" s="981">
        <f t="shared" si="438"/>
        <v>0</v>
      </c>
      <c r="E258" s="434">
        <f t="shared" si="439"/>
        <v>0</v>
      </c>
      <c r="F258" s="434">
        <f t="shared" si="440"/>
        <v>0</v>
      </c>
      <c r="G258" s="434">
        <f t="shared" si="441"/>
        <v>0</v>
      </c>
      <c r="H258" s="434">
        <f t="shared" si="442"/>
        <v>0</v>
      </c>
      <c r="I258" s="434">
        <f t="shared" si="443"/>
        <v>0</v>
      </c>
      <c r="J258" s="434">
        <f t="shared" si="444"/>
        <v>0</v>
      </c>
      <c r="K258" s="434">
        <f t="shared" si="445"/>
        <v>0</v>
      </c>
      <c r="L258" s="434">
        <f t="shared" si="483"/>
        <v>0</v>
      </c>
      <c r="M258" s="982">
        <f t="shared" si="484"/>
        <v>0</v>
      </c>
      <c r="N258" s="1374"/>
      <c r="O258" s="981">
        <f t="shared" si="500"/>
        <v>0</v>
      </c>
      <c r="P258" s="434">
        <f t="shared" si="501"/>
        <v>0</v>
      </c>
      <c r="Q258" s="434">
        <f t="shared" si="502"/>
        <v>0</v>
      </c>
      <c r="R258" s="434">
        <f t="shared" si="503"/>
        <v>0</v>
      </c>
      <c r="S258" s="434">
        <f t="shared" si="504"/>
        <v>0</v>
      </c>
      <c r="T258" s="434">
        <f t="shared" si="505"/>
        <v>0</v>
      </c>
      <c r="U258" s="434">
        <f t="shared" si="506"/>
        <v>0</v>
      </c>
      <c r="V258" s="434">
        <f t="shared" si="507"/>
        <v>0</v>
      </c>
      <c r="W258" s="434">
        <f t="shared" si="454"/>
        <v>0</v>
      </c>
      <c r="X258" s="982">
        <f t="shared" si="455"/>
        <v>0</v>
      </c>
      <c r="Y258" s="1375"/>
      <c r="Z258" s="1376">
        <f t="shared" si="456"/>
        <v>0</v>
      </c>
      <c r="AA258" s="1376">
        <f t="shared" si="457"/>
        <v>0</v>
      </c>
      <c r="AB258" s="1376">
        <f t="shared" si="458"/>
        <v>0</v>
      </c>
      <c r="AC258" s="1376">
        <f t="shared" si="459"/>
        <v>0</v>
      </c>
      <c r="AD258" s="1376">
        <f t="shared" si="460"/>
        <v>0</v>
      </c>
      <c r="AE258" s="1376">
        <f t="shared" si="461"/>
        <v>0</v>
      </c>
      <c r="AF258" s="1376">
        <f t="shared" si="462"/>
        <v>0</v>
      </c>
      <c r="AG258" s="1376">
        <f t="shared" si="463"/>
        <v>0</v>
      </c>
      <c r="AH258" s="1374"/>
      <c r="AI258" s="444">
        <f t="shared" si="508"/>
        <v>0</v>
      </c>
      <c r="AJ258" s="1090"/>
      <c r="AK258" s="1377"/>
      <c r="AL258" s="811">
        <f t="shared" si="465"/>
        <v>46195</v>
      </c>
      <c r="AM258" s="666">
        <f>IFERROR(IF(AND(AT258="",AR258&lt;&gt;S.CAL!$BJ$3,AR258&lt;&gt;S.CAL!$BJ$4,$AR$230="NON"),M258-BD258,IF(AND(AT258="",AR258&lt;&gt;S.CAL!$BJ$3,AR258&lt;&gt;S.CAL!$BJ$4,$AR$230="OUI"),X258-AI258,IF(AT258&lt;&gt;0,AT258,IF(OR(AR258=S.CAL!$BJ$3,AR258=S.CAL!$BJ$4),AR258,"")))),"")</f>
        <v>0</v>
      </c>
      <c r="AN258" s="1093"/>
      <c r="AO258" s="1094"/>
      <c r="AP258" s="666">
        <f>+IF(AND(AU258="",BB258="OUI",BH258="non",BI258="OUI"),AM258,IF(AND(AU258="",BB258="OUI",BH258="oui",BI258="NON"),AM258,IF(AND(AU258="",BB258="NON",BH258="oui",BI258="NON"),M258,IF(AND(AU258="",BB258="NON",BH258="non",BI258="OUI"),M258,IF(AND(AU258="",BB258="OUI",BH258="non",BI258="NON"),"ERREUR",IF(AND(AU258="",BB258="NON",BH258="non",BI258="NON"),AM258,IF(AND(AU258="",BB258="OUI",BH258="",BI258=""),AM258,IF(AND(AU258="",BB258="NON",BH258="",BI258="",AZ258="NON"),M258,IF(AND(AU258="",BH258="",AZ258="OUI",AR258=""),AM258,IF(AND(AU258="",BH258="",AZ258="NON",AR258="",AT258=""),M258,IF(AND(OR(AR258=S.CAL!$BJ$3,AR258=S.CAL!$BJ$4),(VLOOKUP($AM$230,base_nbre_sem_mensu,2,FALSE)=52)),EE258,IF(AND(OR(AR258=S.CAL!$BJ$3,AR258=S.CAL!$BJ$4),(VLOOKUP($AM$230,base_nbre_sem_mensu,2,FALSE)&lt;52)),AM258,IF(AND(AT258&lt;&gt;"",AU258=""),AT258,AU258)))))))))))))</f>
        <v>0</v>
      </c>
      <c r="AQ258" s="1378">
        <f t="shared" si="485"/>
        <v>0</v>
      </c>
      <c r="AR258" s="1098"/>
      <c r="AS258" s="1374"/>
      <c r="AT258" s="1101"/>
      <c r="AU258" s="813"/>
      <c r="AV258" s="1370">
        <f t="shared" si="466"/>
        <v>46195</v>
      </c>
      <c r="AW258" s="1374"/>
      <c r="AX258" s="511">
        <f t="shared" si="486"/>
        <v>46195</v>
      </c>
      <c r="AY258" s="523">
        <f t="shared" si="487"/>
        <v>0</v>
      </c>
      <c r="AZ258" s="520" t="s">
        <v>137</v>
      </c>
      <c r="BA258" s="516">
        <f t="shared" si="488"/>
        <v>0</v>
      </c>
      <c r="BB258" s="549" t="str">
        <f t="shared" si="467"/>
        <v/>
      </c>
      <c r="BC258" s="523">
        <f t="shared" si="489"/>
        <v>0</v>
      </c>
      <c r="BD258" s="523">
        <f t="shared" si="490"/>
        <v>0</v>
      </c>
      <c r="BE258" s="732"/>
      <c r="BF258" s="514" t="str">
        <f t="shared" si="468"/>
        <v/>
      </c>
      <c r="BG258" s="514" t="str">
        <f t="shared" si="491"/>
        <v>oui</v>
      </c>
      <c r="BH258" s="377" t="str">
        <f t="shared" si="469"/>
        <v/>
      </c>
      <c r="BI258" s="24" t="str">
        <f t="shared" si="470"/>
        <v/>
      </c>
      <c r="BJ258" s="1382"/>
      <c r="BK258" s="1382"/>
      <c r="BL258" s="1382"/>
      <c r="BM258" s="1382"/>
      <c r="BN258" s="1382"/>
      <c r="BO258" s="1382"/>
      <c r="BP258" s="1382"/>
      <c r="BQ258" s="1382"/>
      <c r="BR258" s="1383"/>
      <c r="BS258" s="1370">
        <f t="shared" si="437"/>
        <v>46195</v>
      </c>
      <c r="BT258" s="1384">
        <f t="shared" si="499"/>
        <v>26</v>
      </c>
      <c r="BU258" s="1382"/>
      <c r="BV258" s="1382"/>
      <c r="BW258" s="1382"/>
      <c r="BX258" s="1382"/>
      <c r="BY258" s="1382"/>
      <c r="BZ258" s="1382"/>
      <c r="CA258" s="1382"/>
      <c r="CB258" s="1382"/>
      <c r="CD258" s="1386">
        <f t="shared" si="492"/>
        <v>0</v>
      </c>
      <c r="DC258" s="16" t="str">
        <f>Juin!FC41</f>
        <v>non</v>
      </c>
      <c r="DG258" s="315">
        <f t="shared" si="493"/>
        <v>1</v>
      </c>
      <c r="DH258" s="129">
        <f t="shared" si="471"/>
        <v>10</v>
      </c>
      <c r="DI258" s="129">
        <f t="shared" si="494"/>
        <v>1</v>
      </c>
      <c r="DK258" s="16">
        <f>+IF(AND(Juin!$DP$8&lt;&gt;52,AR258=S.CAL!$BJ$4),10,1)</f>
        <v>1</v>
      </c>
      <c r="DN258" s="16">
        <f t="shared" si="472"/>
        <v>1</v>
      </c>
      <c r="DU258" s="1274" t="str">
        <f t="shared" si="495"/>
        <v>Fiche infoA146195</v>
      </c>
      <c r="DV258" s="1362">
        <f t="shared" si="473"/>
        <v>0</v>
      </c>
      <c r="DW258" s="1363">
        <f t="shared" si="474"/>
        <v>0</v>
      </c>
      <c r="DX258" s="1363">
        <f t="shared" si="475"/>
        <v>0</v>
      </c>
      <c r="DY258" s="1363">
        <f t="shared" si="476"/>
        <v>0</v>
      </c>
      <c r="DZ258" s="1363">
        <f t="shared" si="477"/>
        <v>0</v>
      </c>
      <c r="EA258" s="1363">
        <f t="shared" si="478"/>
        <v>0</v>
      </c>
      <c r="EB258" s="1363">
        <f t="shared" si="479"/>
        <v>0</v>
      </c>
      <c r="EC258" s="1363">
        <f t="shared" si="480"/>
        <v>0</v>
      </c>
      <c r="ED258" s="1363">
        <f t="shared" si="496"/>
        <v>0</v>
      </c>
      <c r="EE258" s="1364">
        <f t="shared" si="497"/>
        <v>0</v>
      </c>
      <c r="EG258" s="16" t="str">
        <f t="shared" si="498"/>
        <v>262026</v>
      </c>
      <c r="EH258" s="16" t="str">
        <f t="shared" si="481"/>
        <v>Fiche infoA1</v>
      </c>
      <c r="EI258" s="16" t="str">
        <f t="shared" si="482"/>
        <v/>
      </c>
    </row>
    <row r="259" spans="1:145" x14ac:dyDescent="0.2">
      <c r="A259" s="24" t="str">
        <f>Juin!BJ42</f>
        <v>Fiche infoA2</v>
      </c>
      <c r="B259" s="811">
        <f>Juin!AB42</f>
        <v>46196</v>
      </c>
      <c r="C259" s="1371"/>
      <c r="D259" s="981">
        <f t="shared" si="438"/>
        <v>0</v>
      </c>
      <c r="E259" s="434">
        <f t="shared" si="439"/>
        <v>0</v>
      </c>
      <c r="F259" s="434">
        <f t="shared" si="440"/>
        <v>0</v>
      </c>
      <c r="G259" s="434">
        <f t="shared" si="441"/>
        <v>0</v>
      </c>
      <c r="H259" s="434">
        <f t="shared" si="442"/>
        <v>0</v>
      </c>
      <c r="I259" s="434">
        <f t="shared" si="443"/>
        <v>0</v>
      </c>
      <c r="J259" s="434">
        <f t="shared" si="444"/>
        <v>0</v>
      </c>
      <c r="K259" s="434">
        <f t="shared" si="445"/>
        <v>0</v>
      </c>
      <c r="L259" s="434">
        <f t="shared" si="483"/>
        <v>0</v>
      </c>
      <c r="M259" s="982">
        <f t="shared" si="484"/>
        <v>0</v>
      </c>
      <c r="O259" s="981">
        <f t="shared" si="500"/>
        <v>0</v>
      </c>
      <c r="P259" s="434">
        <f t="shared" si="501"/>
        <v>0</v>
      </c>
      <c r="Q259" s="434">
        <f t="shared" si="502"/>
        <v>0</v>
      </c>
      <c r="R259" s="434">
        <f t="shared" si="503"/>
        <v>0</v>
      </c>
      <c r="S259" s="434">
        <f t="shared" si="504"/>
        <v>0</v>
      </c>
      <c r="T259" s="434">
        <f t="shared" si="505"/>
        <v>0</v>
      </c>
      <c r="U259" s="434">
        <f t="shared" si="506"/>
        <v>0</v>
      </c>
      <c r="V259" s="434">
        <f t="shared" si="507"/>
        <v>0</v>
      </c>
      <c r="W259" s="434">
        <f t="shared" si="454"/>
        <v>0</v>
      </c>
      <c r="X259" s="982">
        <f t="shared" si="455"/>
        <v>0</v>
      </c>
      <c r="Y259" s="441"/>
      <c r="Z259" s="277">
        <f t="shared" si="456"/>
        <v>0</v>
      </c>
      <c r="AA259" s="277">
        <f t="shared" si="457"/>
        <v>0</v>
      </c>
      <c r="AB259" s="277">
        <f t="shared" si="458"/>
        <v>0</v>
      </c>
      <c r="AC259" s="277">
        <f t="shared" si="459"/>
        <v>0</v>
      </c>
      <c r="AD259" s="277">
        <f t="shared" si="460"/>
        <v>0</v>
      </c>
      <c r="AE259" s="277">
        <f t="shared" si="461"/>
        <v>0</v>
      </c>
      <c r="AF259" s="277">
        <f t="shared" si="462"/>
        <v>0</v>
      </c>
      <c r="AG259" s="277">
        <f t="shared" si="463"/>
        <v>0</v>
      </c>
      <c r="AI259" s="444">
        <f t="shared" si="508"/>
        <v>0</v>
      </c>
      <c r="AJ259" s="1090"/>
      <c r="AK259" s="489"/>
      <c r="AL259" s="811">
        <f t="shared" si="465"/>
        <v>46196</v>
      </c>
      <c r="AM259" s="666">
        <f>IFERROR(IF(AND(AT259="",AR259&lt;&gt;S.CAL!$BJ$3,AR259&lt;&gt;S.CAL!$BJ$4,$AR$230="NON"),M259-BD259,IF(AND(AT259="",AR259&lt;&gt;S.CAL!$BJ$3,AR259&lt;&gt;S.CAL!$BJ$4,$AR$230="OUI"),X259-AI259,IF(AT259&lt;&gt;0,AT259,IF(OR(AR259=S.CAL!$BJ$3,AR259=S.CAL!$BJ$4),AR259,"")))),"")</f>
        <v>0</v>
      </c>
      <c r="AN259" s="1093"/>
      <c r="AO259" s="1094"/>
      <c r="AP259" s="666">
        <f>+IF(AND(AU259="",BB259="OUI",BH259="non",BI259="OUI"),AM259,IF(AND(AU259="",BB259="OUI",BH259="oui",BI259="NON"),AM259,IF(AND(AU259="",BB259="NON",BH259="oui",BI259="NON"),M259,IF(AND(AU259="",BB259="NON",BH259="non",BI259="OUI"),M259,IF(AND(AU259="",BB259="OUI",BH259="non",BI259="NON"),"ERREUR",IF(AND(AU259="",BB259="NON",BH259="non",BI259="NON"),AM259,IF(AND(AU259="",BB259="OUI",BH259="",BI259=""),AM259,IF(AND(AU259="",BB259="NON",BH259="",BI259="",AZ259="NON"),M259,IF(AND(AU259="",BH259="",AZ259="OUI",AR259=""),AM259,IF(AND(AU259="",BH259="",AZ259="NON",AR259="",AT259=""),M259,IF(AND(OR(AR259=S.CAL!$BJ$3,AR259=S.CAL!$BJ$4),(VLOOKUP($AM$230,base_nbre_sem_mensu,2,FALSE)=52)),EE259,IF(AND(OR(AR259=S.CAL!$BJ$3,AR259=S.CAL!$BJ$4),(VLOOKUP($AM$230,base_nbre_sem_mensu,2,FALSE)&lt;52)),AM259,IF(AND(AT259&lt;&gt;"",AU259=""),AT259,AU259)))))))))))))</f>
        <v>0</v>
      </c>
      <c r="AQ259" s="498">
        <f t="shared" si="485"/>
        <v>0</v>
      </c>
      <c r="AR259" s="1098"/>
      <c r="AT259" s="1101"/>
      <c r="AU259" s="813"/>
      <c r="AV259" s="1370">
        <f t="shared" si="466"/>
        <v>46196</v>
      </c>
      <c r="AX259" s="511">
        <f t="shared" si="486"/>
        <v>46196</v>
      </c>
      <c r="AY259" s="523">
        <f t="shared" si="487"/>
        <v>0</v>
      </c>
      <c r="AZ259" s="520" t="s">
        <v>137</v>
      </c>
      <c r="BA259" s="516">
        <f t="shared" si="488"/>
        <v>0</v>
      </c>
      <c r="BB259" s="549" t="str">
        <f t="shared" si="467"/>
        <v/>
      </c>
      <c r="BC259" s="523">
        <f t="shared" si="489"/>
        <v>0</v>
      </c>
      <c r="BD259" s="523">
        <f t="shared" si="490"/>
        <v>0</v>
      </c>
      <c r="BE259" s="732"/>
      <c r="BF259" s="514" t="str">
        <f t="shared" si="468"/>
        <v/>
      </c>
      <c r="BG259" s="514" t="str">
        <f t="shared" si="491"/>
        <v>oui</v>
      </c>
      <c r="BH259" s="377" t="str">
        <f t="shared" si="469"/>
        <v/>
      </c>
      <c r="BI259" s="24" t="str">
        <f t="shared" si="470"/>
        <v/>
      </c>
      <c r="BJ259" s="1381"/>
      <c r="BK259" s="1381"/>
      <c r="BL259" s="1381"/>
      <c r="BM259" s="1381"/>
      <c r="BN259" s="1381"/>
      <c r="BO259" s="1381"/>
      <c r="BP259" s="1381"/>
      <c r="BQ259" s="1381"/>
      <c r="BS259" s="1370">
        <f t="shared" si="437"/>
        <v>46196</v>
      </c>
      <c r="BT259" s="27" t="str">
        <f t="shared" si="499"/>
        <v/>
      </c>
      <c r="BU259" s="1380"/>
      <c r="BV259" s="1380"/>
      <c r="BW259" s="1380"/>
      <c r="BX259" s="1380"/>
      <c r="BY259" s="1380"/>
      <c r="BZ259" s="1380"/>
      <c r="CA259" s="1380"/>
      <c r="CB259" s="1380"/>
      <c r="CD259" s="1386">
        <f t="shared" si="492"/>
        <v>0</v>
      </c>
      <c r="DC259" s="16" t="str">
        <f>Juin!FC42</f>
        <v>non</v>
      </c>
      <c r="DG259" s="315">
        <f t="shared" si="493"/>
        <v>1</v>
      </c>
      <c r="DH259" s="129">
        <f t="shared" si="471"/>
        <v>10</v>
      </c>
      <c r="DI259" s="129">
        <f t="shared" si="494"/>
        <v>1</v>
      </c>
      <c r="DK259" s="16">
        <f>+IF(AND(Juin!$DP$8&lt;&gt;52,AR259=S.CAL!$BJ$4),10,1)</f>
        <v>1</v>
      </c>
      <c r="DN259" s="16">
        <f t="shared" si="472"/>
        <v>1</v>
      </c>
      <c r="DU259" s="1274" t="str">
        <f t="shared" si="495"/>
        <v>Fiche infoA246196</v>
      </c>
      <c r="DV259" s="1362">
        <f t="shared" si="473"/>
        <v>0</v>
      </c>
      <c r="DW259" s="1363">
        <f t="shared" si="474"/>
        <v>0</v>
      </c>
      <c r="DX259" s="1363">
        <f t="shared" si="475"/>
        <v>0</v>
      </c>
      <c r="DY259" s="1363">
        <f t="shared" si="476"/>
        <v>0</v>
      </c>
      <c r="DZ259" s="1363">
        <f t="shared" si="477"/>
        <v>0</v>
      </c>
      <c r="EA259" s="1363">
        <f t="shared" si="478"/>
        <v>0</v>
      </c>
      <c r="EB259" s="1363">
        <f t="shared" si="479"/>
        <v>0</v>
      </c>
      <c r="EC259" s="1363">
        <f t="shared" si="480"/>
        <v>0</v>
      </c>
      <c r="ED259" s="1363">
        <f t="shared" si="496"/>
        <v>0</v>
      </c>
      <c r="EE259" s="1364">
        <f t="shared" si="497"/>
        <v>0</v>
      </c>
      <c r="EG259" s="16" t="str">
        <f t="shared" si="498"/>
        <v>262026</v>
      </c>
      <c r="EH259" s="16" t="str">
        <f t="shared" si="481"/>
        <v>Fiche infoA2</v>
      </c>
      <c r="EI259" s="16" t="str">
        <f t="shared" si="482"/>
        <v/>
      </c>
    </row>
    <row r="260" spans="1:145" x14ac:dyDescent="0.2">
      <c r="A260" s="1373" t="str">
        <f>Juin!BJ43</f>
        <v>Fiche infoA3</v>
      </c>
      <c r="B260" s="811">
        <f>Juin!AB43</f>
        <v>46197</v>
      </c>
      <c r="C260" s="1372"/>
      <c r="D260" s="981">
        <f t="shared" si="438"/>
        <v>0</v>
      </c>
      <c r="E260" s="434">
        <f t="shared" si="439"/>
        <v>0</v>
      </c>
      <c r="F260" s="434">
        <f t="shared" si="440"/>
        <v>0</v>
      </c>
      <c r="G260" s="434">
        <f t="shared" si="441"/>
        <v>0</v>
      </c>
      <c r="H260" s="434">
        <f t="shared" si="442"/>
        <v>0</v>
      </c>
      <c r="I260" s="434">
        <f t="shared" si="443"/>
        <v>0</v>
      </c>
      <c r="J260" s="434">
        <f t="shared" si="444"/>
        <v>0</v>
      </c>
      <c r="K260" s="434">
        <f t="shared" si="445"/>
        <v>0</v>
      </c>
      <c r="L260" s="434">
        <f t="shared" si="483"/>
        <v>0</v>
      </c>
      <c r="M260" s="982">
        <f t="shared" si="484"/>
        <v>0</v>
      </c>
      <c r="N260" s="1374"/>
      <c r="O260" s="981">
        <f t="shared" si="500"/>
        <v>0</v>
      </c>
      <c r="P260" s="434">
        <f t="shared" si="501"/>
        <v>0</v>
      </c>
      <c r="Q260" s="434">
        <f t="shared" si="502"/>
        <v>0</v>
      </c>
      <c r="R260" s="434">
        <f t="shared" si="503"/>
        <v>0</v>
      </c>
      <c r="S260" s="434">
        <f t="shared" si="504"/>
        <v>0</v>
      </c>
      <c r="T260" s="434">
        <f t="shared" si="505"/>
        <v>0</v>
      </c>
      <c r="U260" s="434">
        <f t="shared" si="506"/>
        <v>0</v>
      </c>
      <c r="V260" s="434">
        <f t="shared" si="507"/>
        <v>0</v>
      </c>
      <c r="W260" s="434">
        <f t="shared" si="454"/>
        <v>0</v>
      </c>
      <c r="X260" s="982">
        <f t="shared" si="455"/>
        <v>0</v>
      </c>
      <c r="Y260" s="1375"/>
      <c r="Z260" s="1376">
        <f t="shared" si="456"/>
        <v>0</v>
      </c>
      <c r="AA260" s="1376">
        <f t="shared" si="457"/>
        <v>0</v>
      </c>
      <c r="AB260" s="1376">
        <f t="shared" si="458"/>
        <v>0</v>
      </c>
      <c r="AC260" s="1376">
        <f t="shared" si="459"/>
        <v>0</v>
      </c>
      <c r="AD260" s="1376">
        <f t="shared" si="460"/>
        <v>0</v>
      </c>
      <c r="AE260" s="1376">
        <f t="shared" si="461"/>
        <v>0</v>
      </c>
      <c r="AF260" s="1376">
        <f t="shared" si="462"/>
        <v>0</v>
      </c>
      <c r="AG260" s="1376">
        <f t="shared" si="463"/>
        <v>0</v>
      </c>
      <c r="AH260" s="1374"/>
      <c r="AI260" s="444">
        <f t="shared" si="508"/>
        <v>0</v>
      </c>
      <c r="AJ260" s="1090"/>
      <c r="AK260" s="1377"/>
      <c r="AL260" s="811">
        <f t="shared" si="465"/>
        <v>46197</v>
      </c>
      <c r="AM260" s="666">
        <f>IFERROR(IF(AND(AT260="",AR260&lt;&gt;S.CAL!$BJ$3,AR260&lt;&gt;S.CAL!$BJ$4,$AR$230="NON"),M260-BD260,IF(AND(AT260="",AR260&lt;&gt;S.CAL!$BJ$3,AR260&lt;&gt;S.CAL!$BJ$4,$AR$230="OUI"),X260-AI260,IF(AT260&lt;&gt;0,AT260,IF(OR(AR260=S.CAL!$BJ$3,AR260=S.CAL!$BJ$4),AR260,"")))),"")</f>
        <v>0</v>
      </c>
      <c r="AN260" s="1093"/>
      <c r="AO260" s="1094"/>
      <c r="AP260" s="666">
        <f>+IF(AND(AU260="",BB260="OUI",BH260="non",BI260="OUI"),AM260,IF(AND(AU260="",BB260="OUI",BH260="oui",BI260="NON"),AM260,IF(AND(AU260="",BB260="NON",BH260="oui",BI260="NON"),M260,IF(AND(AU260="",BB260="NON",BH260="non",BI260="OUI"),M260,IF(AND(AU260="",BB260="OUI",BH260="non",BI260="NON"),"ERREUR",IF(AND(AU260="",BB260="NON",BH260="non",BI260="NON"),AM260,IF(AND(AU260="",BB260="OUI",BH260="",BI260=""),AM260,IF(AND(AU260="",BB260="NON",BH260="",BI260="",AZ260="NON"),M260,IF(AND(AU260="",BH260="",AZ260="OUI",AR260=""),AM260,IF(AND(AU260="",BH260="",AZ260="NON",AR260="",AT260=""),M260,IF(AND(OR(AR260=S.CAL!$BJ$3,AR260=S.CAL!$BJ$4),(VLOOKUP($AM$230,base_nbre_sem_mensu,2,FALSE)=52)),EE260,IF(AND(OR(AR260=S.CAL!$BJ$3,AR260=S.CAL!$BJ$4),(VLOOKUP($AM$230,base_nbre_sem_mensu,2,FALSE)&lt;52)),AM260,IF(AND(AT260&lt;&gt;"",AU260=""),AT260,AU260)))))))))))))</f>
        <v>0</v>
      </c>
      <c r="AQ260" s="1378">
        <f t="shared" si="485"/>
        <v>0</v>
      </c>
      <c r="AR260" s="1098"/>
      <c r="AS260" s="1374"/>
      <c r="AT260" s="1101"/>
      <c r="AU260" s="813"/>
      <c r="AV260" s="1370">
        <f t="shared" si="466"/>
        <v>46197</v>
      </c>
      <c r="AW260" s="1374"/>
      <c r="AX260" s="511">
        <f t="shared" si="486"/>
        <v>46197</v>
      </c>
      <c r="AY260" s="523">
        <f t="shared" si="487"/>
        <v>0</v>
      </c>
      <c r="AZ260" s="520" t="s">
        <v>137</v>
      </c>
      <c r="BA260" s="516">
        <f t="shared" si="488"/>
        <v>0</v>
      </c>
      <c r="BB260" s="549" t="str">
        <f t="shared" si="467"/>
        <v/>
      </c>
      <c r="BC260" s="523">
        <f t="shared" si="489"/>
        <v>0</v>
      </c>
      <c r="BD260" s="523">
        <f t="shared" si="490"/>
        <v>0</v>
      </c>
      <c r="BE260" s="732"/>
      <c r="BF260" s="514" t="str">
        <f t="shared" si="468"/>
        <v/>
      </c>
      <c r="BG260" s="514" t="str">
        <f t="shared" si="491"/>
        <v>oui</v>
      </c>
      <c r="BH260" s="377" t="str">
        <f t="shared" si="469"/>
        <v/>
      </c>
      <c r="BI260" s="24" t="str">
        <f t="shared" si="470"/>
        <v/>
      </c>
      <c r="BJ260" s="1382"/>
      <c r="BK260" s="1382"/>
      <c r="BL260" s="1382"/>
      <c r="BM260" s="1382"/>
      <c r="BN260" s="1382"/>
      <c r="BO260" s="1382"/>
      <c r="BP260" s="1382"/>
      <c r="BQ260" s="1382"/>
      <c r="BR260" s="1383"/>
      <c r="BS260" s="1370">
        <f t="shared" si="437"/>
        <v>46197</v>
      </c>
      <c r="BT260" s="1384" t="str">
        <f t="shared" si="499"/>
        <v/>
      </c>
      <c r="BU260" s="1382"/>
      <c r="BV260" s="1382"/>
      <c r="BW260" s="1382"/>
      <c r="BX260" s="1382"/>
      <c r="BY260" s="1382"/>
      <c r="BZ260" s="1382"/>
      <c r="CA260" s="1382"/>
      <c r="CB260" s="1382"/>
      <c r="CD260" s="1386">
        <f t="shared" si="492"/>
        <v>0</v>
      </c>
      <c r="DC260" s="16" t="str">
        <f>Juin!FC43</f>
        <v>non</v>
      </c>
      <c r="DG260" s="315">
        <f t="shared" si="493"/>
        <v>1</v>
      </c>
      <c r="DH260" s="129">
        <f t="shared" si="471"/>
        <v>10</v>
      </c>
      <c r="DI260" s="129">
        <f t="shared" si="494"/>
        <v>1</v>
      </c>
      <c r="DK260" s="16">
        <f>+IF(AND(Juin!$DP$8&lt;&gt;52,AR260=S.CAL!$BJ$4),10,1)</f>
        <v>1</v>
      </c>
      <c r="DN260" s="16">
        <f t="shared" si="472"/>
        <v>1</v>
      </c>
      <c r="DU260" s="1274" t="str">
        <f t="shared" si="495"/>
        <v>Fiche infoA346197</v>
      </c>
      <c r="DV260" s="1362">
        <f t="shared" si="473"/>
        <v>0</v>
      </c>
      <c r="DW260" s="1363">
        <f t="shared" si="474"/>
        <v>0</v>
      </c>
      <c r="DX260" s="1363">
        <f t="shared" si="475"/>
        <v>0</v>
      </c>
      <c r="DY260" s="1363">
        <f t="shared" si="476"/>
        <v>0</v>
      </c>
      <c r="DZ260" s="1363">
        <f t="shared" si="477"/>
        <v>0</v>
      </c>
      <c r="EA260" s="1363">
        <f t="shared" si="478"/>
        <v>0</v>
      </c>
      <c r="EB260" s="1363">
        <f t="shared" si="479"/>
        <v>0</v>
      </c>
      <c r="EC260" s="1363">
        <f t="shared" si="480"/>
        <v>0</v>
      </c>
      <c r="ED260" s="1363">
        <f t="shared" si="496"/>
        <v>0</v>
      </c>
      <c r="EE260" s="1364">
        <f t="shared" si="497"/>
        <v>0</v>
      </c>
      <c r="EG260" s="16" t="str">
        <f t="shared" si="498"/>
        <v>262026</v>
      </c>
      <c r="EH260" s="16" t="str">
        <f t="shared" si="481"/>
        <v>Fiche infoA3</v>
      </c>
      <c r="EI260" s="16" t="str">
        <f t="shared" si="482"/>
        <v/>
      </c>
    </row>
    <row r="261" spans="1:145" x14ac:dyDescent="0.2">
      <c r="A261" s="24" t="str">
        <f>Juin!BJ44</f>
        <v>Fiche infoA4</v>
      </c>
      <c r="B261" s="811">
        <f>Juin!AB44</f>
        <v>46198</v>
      </c>
      <c r="C261" s="1371"/>
      <c r="D261" s="981">
        <f t="shared" si="438"/>
        <v>0</v>
      </c>
      <c r="E261" s="434">
        <f t="shared" si="439"/>
        <v>0</v>
      </c>
      <c r="F261" s="434">
        <f t="shared" si="440"/>
        <v>0</v>
      </c>
      <c r="G261" s="434">
        <f t="shared" si="441"/>
        <v>0</v>
      </c>
      <c r="H261" s="434">
        <f t="shared" si="442"/>
        <v>0</v>
      </c>
      <c r="I261" s="434">
        <f t="shared" si="443"/>
        <v>0</v>
      </c>
      <c r="J261" s="434">
        <f t="shared" si="444"/>
        <v>0</v>
      </c>
      <c r="K261" s="434">
        <f t="shared" si="445"/>
        <v>0</v>
      </c>
      <c r="L261" s="434">
        <f t="shared" si="483"/>
        <v>0</v>
      </c>
      <c r="M261" s="982">
        <f t="shared" si="484"/>
        <v>0</v>
      </c>
      <c r="O261" s="981">
        <f t="shared" si="500"/>
        <v>0</v>
      </c>
      <c r="P261" s="434">
        <f t="shared" si="501"/>
        <v>0</v>
      </c>
      <c r="Q261" s="434">
        <f t="shared" si="502"/>
        <v>0</v>
      </c>
      <c r="R261" s="434">
        <f t="shared" si="503"/>
        <v>0</v>
      </c>
      <c r="S261" s="434">
        <f t="shared" si="504"/>
        <v>0</v>
      </c>
      <c r="T261" s="434">
        <f t="shared" si="505"/>
        <v>0</v>
      </c>
      <c r="U261" s="434">
        <f t="shared" si="506"/>
        <v>0</v>
      </c>
      <c r="V261" s="434">
        <f t="shared" si="507"/>
        <v>0</v>
      </c>
      <c r="W261" s="434">
        <f t="shared" si="454"/>
        <v>0</v>
      </c>
      <c r="X261" s="982">
        <f t="shared" si="455"/>
        <v>0</v>
      </c>
      <c r="Y261" s="441"/>
      <c r="Z261" s="277">
        <f t="shared" si="456"/>
        <v>0</v>
      </c>
      <c r="AA261" s="277">
        <f t="shared" si="457"/>
        <v>0</v>
      </c>
      <c r="AB261" s="277">
        <f t="shared" si="458"/>
        <v>0</v>
      </c>
      <c r="AC261" s="277">
        <f t="shared" si="459"/>
        <v>0</v>
      </c>
      <c r="AD261" s="277">
        <f t="shared" si="460"/>
        <v>0</v>
      </c>
      <c r="AE261" s="277">
        <f t="shared" si="461"/>
        <v>0</v>
      </c>
      <c r="AF261" s="277">
        <f t="shared" si="462"/>
        <v>0</v>
      </c>
      <c r="AG261" s="277">
        <f t="shared" si="463"/>
        <v>0</v>
      </c>
      <c r="AI261" s="444">
        <f t="shared" si="508"/>
        <v>0</v>
      </c>
      <c r="AJ261" s="1090"/>
      <c r="AK261" s="489"/>
      <c r="AL261" s="811">
        <f t="shared" si="465"/>
        <v>46198</v>
      </c>
      <c r="AM261" s="666">
        <f>IFERROR(IF(AND(AT261="",AR261&lt;&gt;S.CAL!$BJ$3,AR261&lt;&gt;S.CAL!$BJ$4,$AR$230="NON"),M261-BD261,IF(AND(AT261="",AR261&lt;&gt;S.CAL!$BJ$3,AR261&lt;&gt;S.CAL!$BJ$4,$AR$230="OUI"),X261-AI261,IF(AT261&lt;&gt;0,AT261,IF(OR(AR261=S.CAL!$BJ$3,AR261=S.CAL!$BJ$4),AR261,"")))),"")</f>
        <v>0</v>
      </c>
      <c r="AN261" s="1093"/>
      <c r="AO261" s="1094"/>
      <c r="AP261" s="666">
        <f>+IF(AND(AU261="",BB261="OUI",BH261="non",BI261="OUI"),AM261,IF(AND(AU261="",BB261="OUI",BH261="oui",BI261="NON"),AM261,IF(AND(AU261="",BB261="NON",BH261="oui",BI261="NON"),M261,IF(AND(AU261="",BB261="NON",BH261="non",BI261="OUI"),M261,IF(AND(AU261="",BB261="OUI",BH261="non",BI261="NON"),"ERREUR",IF(AND(AU261="",BB261="NON",BH261="non",BI261="NON"),AM261,IF(AND(AU261="",BB261="OUI",BH261="",BI261=""),AM261,IF(AND(AU261="",BB261="NON",BH261="",BI261="",AZ261="NON"),M261,IF(AND(AU261="",BH261="",AZ261="OUI",AR261=""),AM261,IF(AND(AU261="",BH261="",AZ261="NON",AR261="",AT261=""),M261,IF(AND(OR(AR261=S.CAL!$BJ$3,AR261=S.CAL!$BJ$4),(VLOOKUP($AM$230,base_nbre_sem_mensu,2,FALSE)=52)),EE261,IF(AND(OR(AR261=S.CAL!$BJ$3,AR261=S.CAL!$BJ$4),(VLOOKUP($AM$230,base_nbre_sem_mensu,2,FALSE)&lt;52)),AM261,IF(AND(AT261&lt;&gt;"",AU261=""),AT261,AU261)))))))))))))</f>
        <v>0</v>
      </c>
      <c r="AQ261" s="498">
        <f t="shared" si="485"/>
        <v>0</v>
      </c>
      <c r="AR261" s="1098"/>
      <c r="AT261" s="1101"/>
      <c r="AU261" s="813"/>
      <c r="AV261" s="1370">
        <f t="shared" si="466"/>
        <v>46198</v>
      </c>
      <c r="AX261" s="511">
        <f t="shared" si="486"/>
        <v>46198</v>
      </c>
      <c r="AY261" s="523">
        <f t="shared" si="487"/>
        <v>0</v>
      </c>
      <c r="AZ261" s="520" t="s">
        <v>137</v>
      </c>
      <c r="BA261" s="516">
        <f t="shared" si="488"/>
        <v>0</v>
      </c>
      <c r="BB261" s="549" t="str">
        <f t="shared" si="467"/>
        <v/>
      </c>
      <c r="BC261" s="523">
        <f t="shared" si="489"/>
        <v>0</v>
      </c>
      <c r="BD261" s="523">
        <f t="shared" si="490"/>
        <v>0</v>
      </c>
      <c r="BE261" s="732"/>
      <c r="BF261" s="514" t="str">
        <f t="shared" si="468"/>
        <v/>
      </c>
      <c r="BG261" s="514" t="str">
        <f t="shared" si="491"/>
        <v>oui</v>
      </c>
      <c r="BH261" s="377" t="str">
        <f t="shared" si="469"/>
        <v/>
      </c>
      <c r="BI261" s="24" t="str">
        <f t="shared" si="470"/>
        <v/>
      </c>
      <c r="BJ261" s="1381"/>
      <c r="BK261" s="1381"/>
      <c r="BL261" s="1381"/>
      <c r="BM261" s="1381"/>
      <c r="BN261" s="1381"/>
      <c r="BO261" s="1381"/>
      <c r="BP261" s="1381"/>
      <c r="BQ261" s="1381"/>
      <c r="BS261" s="1370">
        <f t="shared" si="437"/>
        <v>46198</v>
      </c>
      <c r="BT261" s="27" t="str">
        <f t="shared" si="499"/>
        <v/>
      </c>
      <c r="BU261" s="1380"/>
      <c r="BV261" s="1380"/>
      <c r="BW261" s="1380"/>
      <c r="BX261" s="1380"/>
      <c r="BY261" s="1380"/>
      <c r="BZ261" s="1380"/>
      <c r="CA261" s="1380"/>
      <c r="CB261" s="1380"/>
      <c r="CD261" s="1386">
        <f t="shared" si="492"/>
        <v>0</v>
      </c>
      <c r="DC261" s="16" t="str">
        <f>Juin!FC44</f>
        <v>non</v>
      </c>
      <c r="DG261" s="315">
        <f t="shared" si="493"/>
        <v>1</v>
      </c>
      <c r="DH261" s="129">
        <f t="shared" si="471"/>
        <v>10</v>
      </c>
      <c r="DI261" s="129">
        <f t="shared" si="494"/>
        <v>1</v>
      </c>
      <c r="DK261" s="16">
        <f>+IF(AND(Juin!$DP$8&lt;&gt;52,AR261=S.CAL!$BJ$4),10,1)</f>
        <v>1</v>
      </c>
      <c r="DN261" s="16">
        <f t="shared" si="472"/>
        <v>1</v>
      </c>
      <c r="DU261" s="1274" t="str">
        <f t="shared" si="495"/>
        <v>Fiche infoA446198</v>
      </c>
      <c r="DV261" s="1362">
        <f t="shared" si="473"/>
        <v>0</v>
      </c>
      <c r="DW261" s="1363">
        <f t="shared" si="474"/>
        <v>0</v>
      </c>
      <c r="DX261" s="1363">
        <f t="shared" si="475"/>
        <v>0</v>
      </c>
      <c r="DY261" s="1363">
        <f t="shared" si="476"/>
        <v>0</v>
      </c>
      <c r="DZ261" s="1363">
        <f t="shared" si="477"/>
        <v>0</v>
      </c>
      <c r="EA261" s="1363">
        <f t="shared" si="478"/>
        <v>0</v>
      </c>
      <c r="EB261" s="1363">
        <f t="shared" si="479"/>
        <v>0</v>
      </c>
      <c r="EC261" s="1363">
        <f t="shared" si="480"/>
        <v>0</v>
      </c>
      <c r="ED261" s="1363">
        <f t="shared" si="496"/>
        <v>0</v>
      </c>
      <c r="EE261" s="1364">
        <f t="shared" si="497"/>
        <v>0</v>
      </c>
      <c r="EG261" s="16" t="str">
        <f t="shared" si="498"/>
        <v>262026</v>
      </c>
      <c r="EH261" s="16" t="str">
        <f t="shared" si="481"/>
        <v>Fiche infoA4</v>
      </c>
      <c r="EI261" s="16" t="str">
        <f t="shared" si="482"/>
        <v/>
      </c>
    </row>
    <row r="262" spans="1:145" x14ac:dyDescent="0.2">
      <c r="A262" s="1373" t="str">
        <f>Juin!BJ45</f>
        <v>Fiche infoA5</v>
      </c>
      <c r="B262" s="811">
        <f>Juin!AB45</f>
        <v>46199</v>
      </c>
      <c r="C262" s="1372"/>
      <c r="D262" s="981">
        <f t="shared" si="438"/>
        <v>0</v>
      </c>
      <c r="E262" s="434">
        <f t="shared" si="439"/>
        <v>0</v>
      </c>
      <c r="F262" s="434">
        <f t="shared" si="440"/>
        <v>0</v>
      </c>
      <c r="G262" s="434">
        <f t="shared" si="441"/>
        <v>0</v>
      </c>
      <c r="H262" s="434">
        <f t="shared" si="442"/>
        <v>0</v>
      </c>
      <c r="I262" s="434">
        <f t="shared" si="443"/>
        <v>0</v>
      </c>
      <c r="J262" s="434">
        <f t="shared" si="444"/>
        <v>0</v>
      </c>
      <c r="K262" s="434">
        <f t="shared" si="445"/>
        <v>0</v>
      </c>
      <c r="L262" s="434">
        <f t="shared" si="483"/>
        <v>0</v>
      </c>
      <c r="M262" s="982">
        <f t="shared" si="484"/>
        <v>0</v>
      </c>
      <c r="N262" s="1374"/>
      <c r="O262" s="981">
        <f t="shared" si="500"/>
        <v>0</v>
      </c>
      <c r="P262" s="434">
        <f t="shared" si="501"/>
        <v>0</v>
      </c>
      <c r="Q262" s="434">
        <f t="shared" si="502"/>
        <v>0</v>
      </c>
      <c r="R262" s="434">
        <f t="shared" si="503"/>
        <v>0</v>
      </c>
      <c r="S262" s="434">
        <f t="shared" si="504"/>
        <v>0</v>
      </c>
      <c r="T262" s="434">
        <f t="shared" si="505"/>
        <v>0</v>
      </c>
      <c r="U262" s="434">
        <f t="shared" si="506"/>
        <v>0</v>
      </c>
      <c r="V262" s="434">
        <f t="shared" si="507"/>
        <v>0</v>
      </c>
      <c r="W262" s="434">
        <f t="shared" si="454"/>
        <v>0</v>
      </c>
      <c r="X262" s="982">
        <f t="shared" si="455"/>
        <v>0</v>
      </c>
      <c r="Y262" s="1375"/>
      <c r="Z262" s="1376">
        <f t="shared" si="456"/>
        <v>0</v>
      </c>
      <c r="AA262" s="1376">
        <f t="shared" si="457"/>
        <v>0</v>
      </c>
      <c r="AB262" s="1376">
        <f t="shared" si="458"/>
        <v>0</v>
      </c>
      <c r="AC262" s="1376">
        <f t="shared" si="459"/>
        <v>0</v>
      </c>
      <c r="AD262" s="1376">
        <f t="shared" si="460"/>
        <v>0</v>
      </c>
      <c r="AE262" s="1376">
        <f t="shared" si="461"/>
        <v>0</v>
      </c>
      <c r="AF262" s="1376">
        <f t="shared" si="462"/>
        <v>0</v>
      </c>
      <c r="AG262" s="1376">
        <f t="shared" si="463"/>
        <v>0</v>
      </c>
      <c r="AH262" s="1374"/>
      <c r="AI262" s="444">
        <f t="shared" si="508"/>
        <v>0</v>
      </c>
      <c r="AJ262" s="1090"/>
      <c r="AK262" s="1377"/>
      <c r="AL262" s="811">
        <f t="shared" si="465"/>
        <v>46199</v>
      </c>
      <c r="AM262" s="666">
        <f>IFERROR(IF(AND(AT262="",AR262&lt;&gt;S.CAL!$BJ$3,AR262&lt;&gt;S.CAL!$BJ$4,$AR$230="NON"),M262-BD262,IF(AND(AT262="",AR262&lt;&gt;S.CAL!$BJ$3,AR262&lt;&gt;S.CAL!$BJ$4,$AR$230="OUI"),X262-AI262,IF(AT262&lt;&gt;0,AT262,IF(OR(AR262=S.CAL!$BJ$3,AR262=S.CAL!$BJ$4),AR262,"")))),"")</f>
        <v>0</v>
      </c>
      <c r="AN262" s="1093"/>
      <c r="AO262" s="1094"/>
      <c r="AP262" s="666">
        <f>+IF(AND(AU262="",BB262="OUI",BH262="non",BI262="OUI"),AM262,IF(AND(AU262="",BB262="OUI",BH262="oui",BI262="NON"),AM262,IF(AND(AU262="",BB262="NON",BH262="oui",BI262="NON"),M262,IF(AND(AU262="",BB262="NON",BH262="non",BI262="OUI"),M262,IF(AND(AU262="",BB262="OUI",BH262="non",BI262="NON"),"ERREUR",IF(AND(AU262="",BB262="NON",BH262="non",BI262="NON"),AM262,IF(AND(AU262="",BB262="OUI",BH262="",BI262=""),AM262,IF(AND(AU262="",BB262="NON",BH262="",BI262="",AZ262="NON"),M262,IF(AND(AU262="",BH262="",AZ262="OUI",AR262=""),AM262,IF(AND(AU262="",BH262="",AZ262="NON",AR262="",AT262=""),M262,IF(AND(OR(AR262=S.CAL!$BJ$3,AR262=S.CAL!$BJ$4),(VLOOKUP($AM$230,base_nbre_sem_mensu,2,FALSE)=52)),EE262,IF(AND(OR(AR262=S.CAL!$BJ$3,AR262=S.CAL!$BJ$4),(VLOOKUP($AM$230,base_nbre_sem_mensu,2,FALSE)&lt;52)),AM262,IF(AND(AT262&lt;&gt;"",AU262=""),AT262,AU262)))))))))))))</f>
        <v>0</v>
      </c>
      <c r="AQ262" s="1378">
        <f t="shared" si="485"/>
        <v>0</v>
      </c>
      <c r="AR262" s="1098"/>
      <c r="AS262" s="1374"/>
      <c r="AT262" s="1101"/>
      <c r="AU262" s="813"/>
      <c r="AV262" s="1370">
        <f t="shared" si="466"/>
        <v>46199</v>
      </c>
      <c r="AW262" s="1374"/>
      <c r="AX262" s="511">
        <f t="shared" si="486"/>
        <v>46199</v>
      </c>
      <c r="AY262" s="523">
        <f t="shared" si="487"/>
        <v>0</v>
      </c>
      <c r="AZ262" s="520" t="s">
        <v>137</v>
      </c>
      <c r="BA262" s="516">
        <f t="shared" si="488"/>
        <v>0</v>
      </c>
      <c r="BB262" s="549" t="str">
        <f t="shared" si="467"/>
        <v/>
      </c>
      <c r="BC262" s="523">
        <f t="shared" si="489"/>
        <v>0</v>
      </c>
      <c r="BD262" s="523">
        <f t="shared" si="490"/>
        <v>0</v>
      </c>
      <c r="BE262" s="732"/>
      <c r="BF262" s="514" t="str">
        <f t="shared" si="468"/>
        <v/>
      </c>
      <c r="BG262" s="514" t="str">
        <f t="shared" si="491"/>
        <v>oui</v>
      </c>
      <c r="BH262" s="377" t="str">
        <f t="shared" si="469"/>
        <v/>
      </c>
      <c r="BI262" s="24" t="str">
        <f t="shared" si="470"/>
        <v/>
      </c>
      <c r="BJ262" s="1382"/>
      <c r="BK262" s="1382"/>
      <c r="BL262" s="1382"/>
      <c r="BM262" s="1382"/>
      <c r="BN262" s="1382"/>
      <c r="BO262" s="1382"/>
      <c r="BP262" s="1382"/>
      <c r="BQ262" s="1382"/>
      <c r="BR262" s="1383"/>
      <c r="BS262" s="1370">
        <f t="shared" si="437"/>
        <v>46199</v>
      </c>
      <c r="BT262" s="1384" t="str">
        <f t="shared" si="499"/>
        <v/>
      </c>
      <c r="BU262" s="1382"/>
      <c r="BV262" s="1382"/>
      <c r="BW262" s="1382"/>
      <c r="BX262" s="1382"/>
      <c r="BY262" s="1382"/>
      <c r="BZ262" s="1382"/>
      <c r="CA262" s="1382"/>
      <c r="CB262" s="1382"/>
      <c r="CD262" s="1386">
        <f t="shared" si="492"/>
        <v>0</v>
      </c>
      <c r="DC262" s="16" t="str">
        <f>Juin!FC45</f>
        <v>non</v>
      </c>
      <c r="DG262" s="315">
        <f t="shared" si="493"/>
        <v>1</v>
      </c>
      <c r="DH262" s="129">
        <f t="shared" si="471"/>
        <v>10</v>
      </c>
      <c r="DI262" s="129">
        <f t="shared" si="494"/>
        <v>1</v>
      </c>
      <c r="DK262" s="16">
        <f>+IF(AND(Juin!$DP$8&lt;&gt;52,AR262=S.CAL!$BJ$4),10,1)</f>
        <v>1</v>
      </c>
      <c r="DN262" s="16">
        <f t="shared" si="472"/>
        <v>1</v>
      </c>
      <c r="DU262" s="1274" t="str">
        <f t="shared" si="495"/>
        <v>Fiche infoA546199</v>
      </c>
      <c r="DV262" s="1362">
        <f t="shared" si="473"/>
        <v>0</v>
      </c>
      <c r="DW262" s="1363">
        <f t="shared" si="474"/>
        <v>0</v>
      </c>
      <c r="DX262" s="1363">
        <f t="shared" si="475"/>
        <v>0</v>
      </c>
      <c r="DY262" s="1363">
        <f t="shared" si="476"/>
        <v>0</v>
      </c>
      <c r="DZ262" s="1363">
        <f t="shared" si="477"/>
        <v>0</v>
      </c>
      <c r="EA262" s="1363">
        <f t="shared" si="478"/>
        <v>0</v>
      </c>
      <c r="EB262" s="1363">
        <f t="shared" si="479"/>
        <v>0</v>
      </c>
      <c r="EC262" s="1363">
        <f t="shared" si="480"/>
        <v>0</v>
      </c>
      <c r="ED262" s="1363">
        <f t="shared" si="496"/>
        <v>0</v>
      </c>
      <c r="EE262" s="1364">
        <f t="shared" si="497"/>
        <v>0</v>
      </c>
      <c r="EG262" s="16" t="str">
        <f t="shared" si="498"/>
        <v>262026</v>
      </c>
      <c r="EH262" s="16" t="str">
        <f t="shared" si="481"/>
        <v>Fiche infoA5</v>
      </c>
      <c r="EI262" s="16" t="str">
        <f t="shared" si="482"/>
        <v/>
      </c>
    </row>
    <row r="263" spans="1:145" x14ac:dyDescent="0.2">
      <c r="A263" s="24" t="str">
        <f>Juin!BJ46</f>
        <v>Fiche infoA6</v>
      </c>
      <c r="B263" s="811">
        <f>Juin!AB46</f>
        <v>46200</v>
      </c>
      <c r="C263" s="1371"/>
      <c r="D263" s="981">
        <f t="shared" si="438"/>
        <v>0</v>
      </c>
      <c r="E263" s="434">
        <f t="shared" si="439"/>
        <v>0</v>
      </c>
      <c r="F263" s="434">
        <f t="shared" si="440"/>
        <v>0</v>
      </c>
      <c r="G263" s="434">
        <f t="shared" si="441"/>
        <v>0</v>
      </c>
      <c r="H263" s="434">
        <f t="shared" si="442"/>
        <v>0</v>
      </c>
      <c r="I263" s="434">
        <f t="shared" si="443"/>
        <v>0</v>
      </c>
      <c r="J263" s="434">
        <f t="shared" si="444"/>
        <v>0</v>
      </c>
      <c r="K263" s="434">
        <f t="shared" si="445"/>
        <v>0</v>
      </c>
      <c r="L263" s="434">
        <f t="shared" si="483"/>
        <v>0</v>
      </c>
      <c r="M263" s="982">
        <f t="shared" si="484"/>
        <v>0</v>
      </c>
      <c r="O263" s="981">
        <f t="shared" si="500"/>
        <v>0</v>
      </c>
      <c r="P263" s="434">
        <f t="shared" si="501"/>
        <v>0</v>
      </c>
      <c r="Q263" s="434">
        <f t="shared" si="502"/>
        <v>0</v>
      </c>
      <c r="R263" s="434">
        <f t="shared" si="503"/>
        <v>0</v>
      </c>
      <c r="S263" s="434">
        <f t="shared" si="504"/>
        <v>0</v>
      </c>
      <c r="T263" s="434">
        <f t="shared" si="505"/>
        <v>0</v>
      </c>
      <c r="U263" s="434">
        <f t="shared" si="506"/>
        <v>0</v>
      </c>
      <c r="V263" s="434">
        <f t="shared" si="507"/>
        <v>0</v>
      </c>
      <c r="W263" s="434">
        <f t="shared" si="454"/>
        <v>0</v>
      </c>
      <c r="X263" s="982">
        <f t="shared" si="455"/>
        <v>0</v>
      </c>
      <c r="Y263" s="441"/>
      <c r="Z263" s="277">
        <f t="shared" si="456"/>
        <v>0</v>
      </c>
      <c r="AA263" s="277">
        <f t="shared" si="457"/>
        <v>0</v>
      </c>
      <c r="AB263" s="277">
        <f t="shared" si="458"/>
        <v>0</v>
      </c>
      <c r="AC263" s="277">
        <f t="shared" si="459"/>
        <v>0</v>
      </c>
      <c r="AD263" s="277">
        <f t="shared" si="460"/>
        <v>0</v>
      </c>
      <c r="AE263" s="277">
        <f t="shared" si="461"/>
        <v>0</v>
      </c>
      <c r="AF263" s="277">
        <f t="shared" si="462"/>
        <v>0</v>
      </c>
      <c r="AG263" s="277">
        <f t="shared" si="463"/>
        <v>0</v>
      </c>
      <c r="AI263" s="444">
        <f t="shared" si="508"/>
        <v>0</v>
      </c>
      <c r="AJ263" s="1090"/>
      <c r="AK263" s="489"/>
      <c r="AL263" s="811">
        <f t="shared" si="465"/>
        <v>46200</v>
      </c>
      <c r="AM263" s="666">
        <f>IFERROR(IF(AND(AT263="",AR263&lt;&gt;S.CAL!$BJ$3,AR263&lt;&gt;S.CAL!$BJ$4,$AR$230="NON"),M263-BD263,IF(AND(AT263="",AR263&lt;&gt;S.CAL!$BJ$3,AR263&lt;&gt;S.CAL!$BJ$4,$AR$230="OUI"),X263-AI263,IF(AT263&lt;&gt;0,AT263,IF(OR(AR263=S.CAL!$BJ$3,AR263=S.CAL!$BJ$4),AR263,"")))),"")</f>
        <v>0</v>
      </c>
      <c r="AN263" s="1093"/>
      <c r="AO263" s="1094"/>
      <c r="AP263" s="666">
        <f>+IF(AND(AU263="",BB263="OUI",BH263="non",BI263="OUI"),AM263,IF(AND(AU263="",BB263="OUI",BH263="oui",BI263="NON"),AM263,IF(AND(AU263="",BB263="NON",BH263="oui",BI263="NON"),M263,IF(AND(AU263="",BB263="NON",BH263="non",BI263="OUI"),M263,IF(AND(AU263="",BB263="OUI",BH263="non",BI263="NON"),"ERREUR",IF(AND(AU263="",BB263="NON",BH263="non",BI263="NON"),AM263,IF(AND(AU263="",BB263="OUI",BH263="",BI263=""),AM263,IF(AND(AU263="",BB263="NON",BH263="",BI263="",AZ263="NON"),M263,IF(AND(AU263="",BH263="",AZ263="OUI",AR263=""),AM263,IF(AND(AU263="",BH263="",AZ263="NON",AR263="",AT263=""),M263,IF(AND(OR(AR263=S.CAL!$BJ$3,AR263=S.CAL!$BJ$4),(VLOOKUP($AM$230,base_nbre_sem_mensu,2,FALSE)=52)),EE263,IF(AND(OR(AR263=S.CAL!$BJ$3,AR263=S.CAL!$BJ$4),(VLOOKUP($AM$230,base_nbre_sem_mensu,2,FALSE)&lt;52)),AM263,IF(AND(AT263&lt;&gt;"",AU263=""),AT263,AU263)))))))))))))</f>
        <v>0</v>
      </c>
      <c r="AQ263" s="498">
        <f t="shared" si="485"/>
        <v>0</v>
      </c>
      <c r="AR263" s="1098"/>
      <c r="AT263" s="1101"/>
      <c r="AU263" s="813"/>
      <c r="AV263" s="1370">
        <f t="shared" si="466"/>
        <v>46200</v>
      </c>
      <c r="AX263" s="511">
        <f t="shared" si="486"/>
        <v>46200</v>
      </c>
      <c r="AY263" s="523">
        <f t="shared" si="487"/>
        <v>0</v>
      </c>
      <c r="AZ263" s="520" t="s">
        <v>137</v>
      </c>
      <c r="BA263" s="516">
        <f t="shared" si="488"/>
        <v>0</v>
      </c>
      <c r="BB263" s="549" t="str">
        <f t="shared" si="467"/>
        <v/>
      </c>
      <c r="BC263" s="523">
        <f t="shared" si="489"/>
        <v>0</v>
      </c>
      <c r="BD263" s="523">
        <f t="shared" si="490"/>
        <v>0</v>
      </c>
      <c r="BE263" s="732"/>
      <c r="BF263" s="514" t="str">
        <f t="shared" si="468"/>
        <v/>
      </c>
      <c r="BG263" s="514" t="str">
        <f t="shared" si="491"/>
        <v>oui</v>
      </c>
      <c r="BH263" s="377" t="str">
        <f t="shared" si="469"/>
        <v/>
      </c>
      <c r="BI263" s="24" t="str">
        <f t="shared" si="470"/>
        <v/>
      </c>
      <c r="BJ263" s="1381"/>
      <c r="BK263" s="1381"/>
      <c r="BL263" s="1381"/>
      <c r="BM263" s="1381"/>
      <c r="BN263" s="1381"/>
      <c r="BO263" s="1381"/>
      <c r="BP263" s="1381"/>
      <c r="BQ263" s="1381"/>
      <c r="BS263" s="1370">
        <f t="shared" si="437"/>
        <v>46200</v>
      </c>
      <c r="BT263" s="27" t="str">
        <f t="shared" si="499"/>
        <v/>
      </c>
      <c r="BU263" s="1380"/>
      <c r="BV263" s="1380"/>
      <c r="BW263" s="1380"/>
      <c r="BX263" s="1380"/>
      <c r="BY263" s="1380"/>
      <c r="BZ263" s="1380"/>
      <c r="CA263" s="1380"/>
      <c r="CB263" s="1380"/>
      <c r="CD263" s="1386">
        <f t="shared" si="492"/>
        <v>0</v>
      </c>
      <c r="DC263" s="16" t="str">
        <f>Juin!FC46</f>
        <v>non</v>
      </c>
      <c r="DG263" s="315">
        <f t="shared" si="493"/>
        <v>1</v>
      </c>
      <c r="DH263" s="129">
        <f t="shared" si="471"/>
        <v>10</v>
      </c>
      <c r="DI263" s="129">
        <f t="shared" si="494"/>
        <v>1</v>
      </c>
      <c r="DK263" s="16">
        <f>+IF(AND(Juin!$DP$8&lt;&gt;52,AR263=S.CAL!$BJ$4),10,1)</f>
        <v>1</v>
      </c>
      <c r="DN263" s="16">
        <f t="shared" si="472"/>
        <v>1</v>
      </c>
      <c r="DU263" s="1274" t="str">
        <f t="shared" si="495"/>
        <v>Fiche infoA646200</v>
      </c>
      <c r="DV263" s="1362">
        <f t="shared" si="473"/>
        <v>0</v>
      </c>
      <c r="DW263" s="1363">
        <f t="shared" si="474"/>
        <v>0</v>
      </c>
      <c r="DX263" s="1363">
        <f t="shared" si="475"/>
        <v>0</v>
      </c>
      <c r="DY263" s="1363">
        <f t="shared" si="476"/>
        <v>0</v>
      </c>
      <c r="DZ263" s="1363">
        <f t="shared" si="477"/>
        <v>0</v>
      </c>
      <c r="EA263" s="1363">
        <f t="shared" si="478"/>
        <v>0</v>
      </c>
      <c r="EB263" s="1363">
        <f t="shared" si="479"/>
        <v>0</v>
      </c>
      <c r="EC263" s="1363">
        <f t="shared" si="480"/>
        <v>0</v>
      </c>
      <c r="ED263" s="1363">
        <f t="shared" si="496"/>
        <v>0</v>
      </c>
      <c r="EE263" s="1364">
        <f t="shared" si="497"/>
        <v>0</v>
      </c>
      <c r="EG263" s="16" t="str">
        <f t="shared" si="498"/>
        <v>262026</v>
      </c>
      <c r="EH263" s="16" t="str">
        <f t="shared" si="481"/>
        <v>Fiche infoA6</v>
      </c>
      <c r="EI263" s="16" t="str">
        <f t="shared" si="482"/>
        <v/>
      </c>
    </row>
    <row r="264" spans="1:145" x14ac:dyDescent="0.2">
      <c r="A264" s="1373" t="str">
        <f>Juin!BJ47</f>
        <v>Fiche infoA7</v>
      </c>
      <c r="B264" s="811">
        <f>Juin!AB47</f>
        <v>46201</v>
      </c>
      <c r="C264" s="1372"/>
      <c r="D264" s="981">
        <f t="shared" si="438"/>
        <v>0</v>
      </c>
      <c r="E264" s="434">
        <f t="shared" si="439"/>
        <v>0</v>
      </c>
      <c r="F264" s="434">
        <f t="shared" si="440"/>
        <v>0</v>
      </c>
      <c r="G264" s="434">
        <f t="shared" si="441"/>
        <v>0</v>
      </c>
      <c r="H264" s="434">
        <f t="shared" si="442"/>
        <v>0</v>
      </c>
      <c r="I264" s="434">
        <f t="shared" si="443"/>
        <v>0</v>
      </c>
      <c r="J264" s="434">
        <f t="shared" si="444"/>
        <v>0</v>
      </c>
      <c r="K264" s="434">
        <f t="shared" si="445"/>
        <v>0</v>
      </c>
      <c r="L264" s="434">
        <f t="shared" si="483"/>
        <v>0</v>
      </c>
      <c r="M264" s="982">
        <f t="shared" si="484"/>
        <v>0</v>
      </c>
      <c r="N264" s="1374"/>
      <c r="O264" s="981">
        <f t="shared" si="500"/>
        <v>0</v>
      </c>
      <c r="P264" s="434">
        <f t="shared" si="501"/>
        <v>0</v>
      </c>
      <c r="Q264" s="434">
        <f t="shared" si="502"/>
        <v>0</v>
      </c>
      <c r="R264" s="434">
        <f t="shared" si="503"/>
        <v>0</v>
      </c>
      <c r="S264" s="434">
        <f t="shared" si="504"/>
        <v>0</v>
      </c>
      <c r="T264" s="434">
        <f t="shared" si="505"/>
        <v>0</v>
      </c>
      <c r="U264" s="434">
        <f t="shared" si="506"/>
        <v>0</v>
      </c>
      <c r="V264" s="434">
        <f t="shared" si="507"/>
        <v>0</v>
      </c>
      <c r="W264" s="434">
        <f t="shared" si="454"/>
        <v>0</v>
      </c>
      <c r="X264" s="982">
        <f t="shared" si="455"/>
        <v>0</v>
      </c>
      <c r="Y264" s="1375"/>
      <c r="Z264" s="1376">
        <f t="shared" si="456"/>
        <v>0</v>
      </c>
      <c r="AA264" s="1376">
        <f t="shared" si="457"/>
        <v>0</v>
      </c>
      <c r="AB264" s="1376">
        <f t="shared" si="458"/>
        <v>0</v>
      </c>
      <c r="AC264" s="1376">
        <f t="shared" si="459"/>
        <v>0</v>
      </c>
      <c r="AD264" s="1376">
        <f t="shared" si="460"/>
        <v>0</v>
      </c>
      <c r="AE264" s="1376">
        <f t="shared" si="461"/>
        <v>0</v>
      </c>
      <c r="AF264" s="1376">
        <f t="shared" si="462"/>
        <v>0</v>
      </c>
      <c r="AG264" s="1376">
        <f t="shared" si="463"/>
        <v>0</v>
      </c>
      <c r="AH264" s="1374"/>
      <c r="AI264" s="444">
        <f t="shared" si="508"/>
        <v>0</v>
      </c>
      <c r="AJ264" s="1090"/>
      <c r="AK264" s="1377"/>
      <c r="AL264" s="811">
        <f t="shared" si="465"/>
        <v>46201</v>
      </c>
      <c r="AM264" s="666">
        <f>IFERROR(IF(AND(AT264="",AR264&lt;&gt;S.CAL!$BJ$3,AR264&lt;&gt;S.CAL!$BJ$4,$AR$230="NON"),M264-BD264,IF(AND(AT264="",AR264&lt;&gt;S.CAL!$BJ$3,AR264&lt;&gt;S.CAL!$BJ$4,$AR$230="OUI"),X264-AI264,IF(AT264&lt;&gt;0,AT264,IF(OR(AR264=S.CAL!$BJ$3,AR264=S.CAL!$BJ$4),AR264,"")))),"")</f>
        <v>0</v>
      </c>
      <c r="AN264" s="1093"/>
      <c r="AO264" s="1094"/>
      <c r="AP264" s="666">
        <f>+IF(AND(AU264="",BB264="OUI",BH264="non",BI264="OUI"),AM264,IF(AND(AU264="",BB264="OUI",BH264="oui",BI264="NON"),AM264,IF(AND(AU264="",BB264="NON",BH264="oui",BI264="NON"),M264,IF(AND(AU264="",BB264="NON",BH264="non",BI264="OUI"),M264,IF(AND(AU264="",BB264="OUI",BH264="non",BI264="NON"),"ERREUR",IF(AND(AU264="",BB264="NON",BH264="non",BI264="NON"),AM264,IF(AND(AU264="",BB264="OUI",BH264="",BI264=""),AM264,IF(AND(AU264="",BB264="NON",BH264="",BI264="",AZ264="NON"),M264,IF(AND(AU264="",BH264="",AZ264="OUI",AR264=""),AM264,IF(AND(AU264="",BH264="",AZ264="NON",AR264="",AT264=""),M264,IF(AND(OR(AR264=S.CAL!$BJ$3,AR264=S.CAL!$BJ$4),(VLOOKUP($AM$230,base_nbre_sem_mensu,2,FALSE)=52)),EE264,IF(AND(OR(AR264=S.CAL!$BJ$3,AR264=S.CAL!$BJ$4),(VLOOKUP($AM$230,base_nbre_sem_mensu,2,FALSE)&lt;52)),AM264,IF(AND(AT264&lt;&gt;"",AU264=""),AT264,AU264)))))))))))))</f>
        <v>0</v>
      </c>
      <c r="AQ264" s="1378">
        <f t="shared" si="485"/>
        <v>0</v>
      </c>
      <c r="AR264" s="1098"/>
      <c r="AS264" s="1374"/>
      <c r="AT264" s="1101"/>
      <c r="AU264" s="813"/>
      <c r="AV264" s="1370">
        <f t="shared" si="466"/>
        <v>46201</v>
      </c>
      <c r="AW264" s="1374"/>
      <c r="AX264" s="511">
        <f t="shared" si="486"/>
        <v>46201</v>
      </c>
      <c r="AY264" s="523">
        <f t="shared" si="487"/>
        <v>0</v>
      </c>
      <c r="AZ264" s="520" t="s">
        <v>137</v>
      </c>
      <c r="BA264" s="516">
        <f t="shared" si="488"/>
        <v>0</v>
      </c>
      <c r="BB264" s="549" t="str">
        <f t="shared" si="467"/>
        <v/>
      </c>
      <c r="BC264" s="523">
        <f t="shared" si="489"/>
        <v>0</v>
      </c>
      <c r="BD264" s="523">
        <f t="shared" si="490"/>
        <v>0</v>
      </c>
      <c r="BE264" s="732"/>
      <c r="BF264" s="514" t="str">
        <f t="shared" si="468"/>
        <v/>
      </c>
      <c r="BG264" s="514" t="str">
        <f t="shared" si="491"/>
        <v>oui</v>
      </c>
      <c r="BH264" s="377" t="str">
        <f t="shared" si="469"/>
        <v/>
      </c>
      <c r="BI264" s="24" t="str">
        <f t="shared" si="470"/>
        <v/>
      </c>
      <c r="BJ264" s="1382"/>
      <c r="BK264" s="1382"/>
      <c r="BL264" s="1382"/>
      <c r="BM264" s="1382"/>
      <c r="BN264" s="1382"/>
      <c r="BO264" s="1382"/>
      <c r="BP264" s="1382"/>
      <c r="BQ264" s="1382"/>
      <c r="BR264" s="1383"/>
      <c r="BS264" s="1370">
        <f t="shared" si="437"/>
        <v>46201</v>
      </c>
      <c r="BT264" s="1384" t="str">
        <f t="shared" si="499"/>
        <v/>
      </c>
      <c r="BU264" s="1382"/>
      <c r="BV264" s="1382"/>
      <c r="BW264" s="1382"/>
      <c r="BX264" s="1382"/>
      <c r="BY264" s="1382"/>
      <c r="BZ264" s="1382"/>
      <c r="CA264" s="1382"/>
      <c r="CB264" s="1382"/>
      <c r="CD264" s="1386">
        <f t="shared" si="492"/>
        <v>0</v>
      </c>
      <c r="DC264" s="16" t="str">
        <f>Juin!FC47</f>
        <v>non</v>
      </c>
      <c r="DG264" s="315">
        <f t="shared" si="493"/>
        <v>1</v>
      </c>
      <c r="DH264" s="129">
        <f t="shared" si="471"/>
        <v>10</v>
      </c>
      <c r="DI264" s="129">
        <f t="shared" si="494"/>
        <v>1</v>
      </c>
      <c r="DK264" s="16">
        <f>+IF(AND(Juin!$DP$8&lt;&gt;52,AR264=S.CAL!$BJ$4),10,1)</f>
        <v>1</v>
      </c>
      <c r="DN264" s="16">
        <f t="shared" si="472"/>
        <v>1</v>
      </c>
      <c r="DU264" s="1274" t="str">
        <f t="shared" si="495"/>
        <v>Fiche infoA746201</v>
      </c>
      <c r="DV264" s="1362">
        <f t="shared" si="473"/>
        <v>0</v>
      </c>
      <c r="DW264" s="1363">
        <f t="shared" si="474"/>
        <v>0</v>
      </c>
      <c r="DX264" s="1363">
        <f t="shared" si="475"/>
        <v>0</v>
      </c>
      <c r="DY264" s="1363">
        <f t="shared" si="476"/>
        <v>0</v>
      </c>
      <c r="DZ264" s="1363">
        <f t="shared" si="477"/>
        <v>0</v>
      </c>
      <c r="EA264" s="1363">
        <f t="shared" si="478"/>
        <v>0</v>
      </c>
      <c r="EB264" s="1363">
        <f t="shared" si="479"/>
        <v>0</v>
      </c>
      <c r="EC264" s="1363">
        <f t="shared" si="480"/>
        <v>0</v>
      </c>
      <c r="ED264" s="1363">
        <f t="shared" si="496"/>
        <v>0</v>
      </c>
      <c r="EE264" s="1364">
        <f t="shared" si="497"/>
        <v>0</v>
      </c>
      <c r="EG264" s="16" t="str">
        <f t="shared" si="498"/>
        <v>262026</v>
      </c>
      <c r="EH264" s="16" t="str">
        <f t="shared" si="481"/>
        <v>Fiche infoA7</v>
      </c>
      <c r="EI264" s="16" t="str">
        <f t="shared" si="482"/>
        <v/>
      </c>
    </row>
    <row r="265" spans="1:145" x14ac:dyDescent="0.2">
      <c r="A265" s="24" t="str">
        <f>Juin!BJ48</f>
        <v>Fiche infoA1</v>
      </c>
      <c r="B265" s="811">
        <f>Juin!AB48</f>
        <v>46202</v>
      </c>
      <c r="C265" s="1371"/>
      <c r="D265" s="981">
        <f t="shared" si="438"/>
        <v>0</v>
      </c>
      <c r="E265" s="434">
        <f t="shared" si="439"/>
        <v>0</v>
      </c>
      <c r="F265" s="434">
        <f t="shared" si="440"/>
        <v>0</v>
      </c>
      <c r="G265" s="434">
        <f t="shared" si="441"/>
        <v>0</v>
      </c>
      <c r="H265" s="434">
        <f t="shared" si="442"/>
        <v>0</v>
      </c>
      <c r="I265" s="434">
        <f t="shared" si="443"/>
        <v>0</v>
      </c>
      <c r="J265" s="434">
        <f t="shared" si="444"/>
        <v>0</v>
      </c>
      <c r="K265" s="434">
        <f t="shared" si="445"/>
        <v>0</v>
      </c>
      <c r="L265" s="434">
        <f t="shared" si="483"/>
        <v>0</v>
      </c>
      <c r="M265" s="982">
        <f t="shared" si="484"/>
        <v>0</v>
      </c>
      <c r="O265" s="981">
        <f t="shared" si="500"/>
        <v>0</v>
      </c>
      <c r="P265" s="434">
        <f t="shared" si="501"/>
        <v>0</v>
      </c>
      <c r="Q265" s="434">
        <f t="shared" si="502"/>
        <v>0</v>
      </c>
      <c r="R265" s="434">
        <f t="shared" si="503"/>
        <v>0</v>
      </c>
      <c r="S265" s="434">
        <f t="shared" si="504"/>
        <v>0</v>
      </c>
      <c r="T265" s="434">
        <f t="shared" si="505"/>
        <v>0</v>
      </c>
      <c r="U265" s="434">
        <f t="shared" si="506"/>
        <v>0</v>
      </c>
      <c r="V265" s="434">
        <f t="shared" si="507"/>
        <v>0</v>
      </c>
      <c r="W265" s="434">
        <f t="shared" si="454"/>
        <v>0</v>
      </c>
      <c r="X265" s="982">
        <f t="shared" si="455"/>
        <v>0</v>
      </c>
      <c r="Y265" s="441"/>
      <c r="Z265" s="277">
        <f t="shared" si="456"/>
        <v>0</v>
      </c>
      <c r="AA265" s="277">
        <f t="shared" si="457"/>
        <v>0</v>
      </c>
      <c r="AB265" s="277">
        <f t="shared" si="458"/>
        <v>0</v>
      </c>
      <c r="AC265" s="277">
        <f t="shared" si="459"/>
        <v>0</v>
      </c>
      <c r="AD265" s="277">
        <f t="shared" si="460"/>
        <v>0</v>
      </c>
      <c r="AE265" s="277">
        <f t="shared" si="461"/>
        <v>0</v>
      </c>
      <c r="AF265" s="277">
        <f t="shared" si="462"/>
        <v>0</v>
      </c>
      <c r="AG265" s="277">
        <f t="shared" si="463"/>
        <v>0</v>
      </c>
      <c r="AI265" s="444">
        <f t="shared" si="508"/>
        <v>0</v>
      </c>
      <c r="AJ265" s="1090"/>
      <c r="AK265" s="489"/>
      <c r="AL265" s="811">
        <f t="shared" si="465"/>
        <v>46202</v>
      </c>
      <c r="AM265" s="666">
        <f>IFERROR(IF(AND(AT265="",AR265&lt;&gt;S.CAL!$BJ$3,AR265&lt;&gt;S.CAL!$BJ$4,$AR$230="NON"),M265-BD265,IF(AND(AT265="",AR265&lt;&gt;S.CAL!$BJ$3,AR265&lt;&gt;S.CAL!$BJ$4,$AR$230="OUI"),X265-AI265,IF(AT265&lt;&gt;0,AT265,IF(OR(AR265=S.CAL!$BJ$3,AR265=S.CAL!$BJ$4),AR265,"")))),"")</f>
        <v>0</v>
      </c>
      <c r="AN265" s="1093"/>
      <c r="AO265" s="1094"/>
      <c r="AP265" s="666">
        <f>+IF(AND(AU265="",BB265="OUI",BH265="non",BI265="OUI"),AM265,IF(AND(AU265="",BB265="OUI",BH265="oui",BI265="NON"),AM265,IF(AND(AU265="",BB265="NON",BH265="oui",BI265="NON"),M265,IF(AND(AU265="",BB265="NON",BH265="non",BI265="OUI"),M265,IF(AND(AU265="",BB265="OUI",BH265="non",BI265="NON"),"ERREUR",IF(AND(AU265="",BB265="NON",BH265="non",BI265="NON"),AM265,IF(AND(AU265="",BB265="OUI",BH265="",BI265=""),AM265,IF(AND(AU265="",BB265="NON",BH265="",BI265="",AZ265="NON"),M265,IF(AND(AU265="",BH265="",AZ265="OUI",AR265=""),AM265,IF(AND(AU265="",BH265="",AZ265="NON",AR265="",AT265=""),M265,IF(AND(OR(AR265=S.CAL!$BJ$3,AR265=S.CAL!$BJ$4),(VLOOKUP($AM$230,base_nbre_sem_mensu,2,FALSE)=52)),EE265,IF(AND(OR(AR265=S.CAL!$BJ$3,AR265=S.CAL!$BJ$4),(VLOOKUP($AM$230,base_nbre_sem_mensu,2,FALSE)&lt;52)),AM265,IF(AND(AT265&lt;&gt;"",AU265=""),AT265,AU265)))))))))))))</f>
        <v>0</v>
      </c>
      <c r="AQ265" s="498">
        <f t="shared" si="485"/>
        <v>0</v>
      </c>
      <c r="AR265" s="1098"/>
      <c r="AT265" s="1101"/>
      <c r="AU265" s="813"/>
      <c r="AV265" s="1370">
        <f t="shared" si="466"/>
        <v>46202</v>
      </c>
      <c r="AX265" s="511">
        <f t="shared" si="486"/>
        <v>46202</v>
      </c>
      <c r="AY265" s="523">
        <f t="shared" si="487"/>
        <v>0</v>
      </c>
      <c r="AZ265" s="520" t="s">
        <v>137</v>
      </c>
      <c r="BA265" s="516">
        <f t="shared" si="488"/>
        <v>0</v>
      </c>
      <c r="BB265" s="549" t="str">
        <f t="shared" si="467"/>
        <v/>
      </c>
      <c r="BC265" s="523">
        <f t="shared" si="489"/>
        <v>0</v>
      </c>
      <c r="BD265" s="523">
        <f t="shared" si="490"/>
        <v>0</v>
      </c>
      <c r="BE265" s="732"/>
      <c r="BF265" s="514" t="str">
        <f t="shared" si="468"/>
        <v/>
      </c>
      <c r="BG265" s="514" t="str">
        <f t="shared" si="491"/>
        <v>oui</v>
      </c>
      <c r="BH265" s="377" t="str">
        <f t="shared" si="469"/>
        <v/>
      </c>
      <c r="BI265" s="24" t="str">
        <f t="shared" si="470"/>
        <v/>
      </c>
      <c r="BJ265" s="1381"/>
      <c r="BK265" s="1381"/>
      <c r="BL265" s="1381"/>
      <c r="BM265" s="1381"/>
      <c r="BN265" s="1381"/>
      <c r="BO265" s="1381"/>
      <c r="BP265" s="1381"/>
      <c r="BQ265" s="1381"/>
      <c r="BS265" s="1370">
        <f t="shared" si="437"/>
        <v>46202</v>
      </c>
      <c r="BT265" s="27">
        <f t="shared" si="499"/>
        <v>27</v>
      </c>
      <c r="BU265" s="1380"/>
      <c r="BV265" s="1380"/>
      <c r="BW265" s="1380"/>
      <c r="BX265" s="1380"/>
      <c r="BY265" s="1380"/>
      <c r="BZ265" s="1380"/>
      <c r="CA265" s="1380"/>
      <c r="CB265" s="1380"/>
      <c r="CD265" s="1386">
        <f t="shared" si="492"/>
        <v>0</v>
      </c>
      <c r="DC265" s="16" t="str">
        <f>Juin!FC48</f>
        <v>non</v>
      </c>
      <c r="DG265" s="315">
        <f t="shared" si="493"/>
        <v>1</v>
      </c>
      <c r="DH265" s="129">
        <f t="shared" si="471"/>
        <v>10</v>
      </c>
      <c r="DI265" s="129">
        <f t="shared" si="494"/>
        <v>1</v>
      </c>
      <c r="DK265" s="16">
        <f>+IF(AND(Juin!$DP$8&lt;&gt;52,AR265=S.CAL!$BJ$4),10,1)</f>
        <v>1</v>
      </c>
      <c r="DN265" s="16">
        <f t="shared" si="472"/>
        <v>1</v>
      </c>
      <c r="DU265" s="1274" t="str">
        <f t="shared" si="495"/>
        <v>Fiche infoA146202</v>
      </c>
      <c r="DV265" s="1362">
        <f t="shared" si="473"/>
        <v>0</v>
      </c>
      <c r="DW265" s="1363">
        <f t="shared" si="474"/>
        <v>0</v>
      </c>
      <c r="DX265" s="1363">
        <f t="shared" si="475"/>
        <v>0</v>
      </c>
      <c r="DY265" s="1363">
        <f t="shared" si="476"/>
        <v>0</v>
      </c>
      <c r="DZ265" s="1363">
        <f t="shared" si="477"/>
        <v>0</v>
      </c>
      <c r="EA265" s="1363">
        <f t="shared" si="478"/>
        <v>0</v>
      </c>
      <c r="EB265" s="1363">
        <f t="shared" si="479"/>
        <v>0</v>
      </c>
      <c r="EC265" s="1363">
        <f t="shared" si="480"/>
        <v>0</v>
      </c>
      <c r="ED265" s="1363">
        <f t="shared" si="496"/>
        <v>0</v>
      </c>
      <c r="EE265" s="1364">
        <f t="shared" si="497"/>
        <v>0</v>
      </c>
      <c r="EG265" s="16" t="str">
        <f t="shared" si="498"/>
        <v>272026</v>
      </c>
      <c r="EH265" s="16" t="str">
        <f t="shared" si="481"/>
        <v>Fiche infoA1</v>
      </c>
      <c r="EI265" s="16" t="str">
        <f t="shared" si="482"/>
        <v/>
      </c>
    </row>
    <row r="266" spans="1:145" x14ac:dyDescent="0.2">
      <c r="A266" s="1373" t="str">
        <f>Juin!BJ49</f>
        <v>Fiche infoA2</v>
      </c>
      <c r="B266" s="811">
        <f>Juin!AB49</f>
        <v>46203</v>
      </c>
      <c r="C266" s="1372"/>
      <c r="D266" s="981">
        <f t="shared" si="438"/>
        <v>0</v>
      </c>
      <c r="E266" s="434">
        <f t="shared" si="439"/>
        <v>0</v>
      </c>
      <c r="F266" s="434">
        <f t="shared" si="440"/>
        <v>0</v>
      </c>
      <c r="G266" s="434">
        <f t="shared" si="441"/>
        <v>0</v>
      </c>
      <c r="H266" s="434">
        <f t="shared" si="442"/>
        <v>0</v>
      </c>
      <c r="I266" s="434">
        <f t="shared" si="443"/>
        <v>0</v>
      </c>
      <c r="J266" s="434">
        <f t="shared" si="444"/>
        <v>0</v>
      </c>
      <c r="K266" s="434">
        <f t="shared" si="445"/>
        <v>0</v>
      </c>
      <c r="L266" s="434">
        <f t="shared" si="483"/>
        <v>0</v>
      </c>
      <c r="M266" s="982">
        <f t="shared" si="484"/>
        <v>0</v>
      </c>
      <c r="N266" s="1374"/>
      <c r="O266" s="981">
        <f t="shared" si="500"/>
        <v>0</v>
      </c>
      <c r="P266" s="434">
        <f t="shared" si="501"/>
        <v>0</v>
      </c>
      <c r="Q266" s="434">
        <f t="shared" si="502"/>
        <v>0</v>
      </c>
      <c r="R266" s="434">
        <f t="shared" si="503"/>
        <v>0</v>
      </c>
      <c r="S266" s="434">
        <f t="shared" si="504"/>
        <v>0</v>
      </c>
      <c r="T266" s="434">
        <f t="shared" si="505"/>
        <v>0</v>
      </c>
      <c r="U266" s="434">
        <f t="shared" si="506"/>
        <v>0</v>
      </c>
      <c r="V266" s="434">
        <f t="shared" si="507"/>
        <v>0</v>
      </c>
      <c r="W266" s="434">
        <f t="shared" si="454"/>
        <v>0</v>
      </c>
      <c r="X266" s="982">
        <f t="shared" si="455"/>
        <v>0</v>
      </c>
      <c r="Y266" s="1375"/>
      <c r="Z266" s="1376">
        <f t="shared" si="456"/>
        <v>0</v>
      </c>
      <c r="AA266" s="1376">
        <f t="shared" si="457"/>
        <v>0</v>
      </c>
      <c r="AB266" s="1376">
        <f t="shared" si="458"/>
        <v>0</v>
      </c>
      <c r="AC266" s="1376">
        <f t="shared" si="459"/>
        <v>0</v>
      </c>
      <c r="AD266" s="1376">
        <f t="shared" si="460"/>
        <v>0</v>
      </c>
      <c r="AE266" s="1376">
        <f t="shared" si="461"/>
        <v>0</v>
      </c>
      <c r="AF266" s="1376">
        <f t="shared" si="462"/>
        <v>0</v>
      </c>
      <c r="AG266" s="1376">
        <f t="shared" si="463"/>
        <v>0</v>
      </c>
      <c r="AH266" s="1374"/>
      <c r="AI266" s="444">
        <f t="shared" si="508"/>
        <v>0</v>
      </c>
      <c r="AJ266" s="1090"/>
      <c r="AK266" s="1377"/>
      <c r="AL266" s="811">
        <f t="shared" si="465"/>
        <v>46203</v>
      </c>
      <c r="AM266" s="666">
        <f>IFERROR(IF(AND(AT266="",AR266&lt;&gt;S.CAL!$BJ$3,AR266&lt;&gt;S.CAL!$BJ$4,$AR$230="NON"),M266-BD266,IF(AND(AT266="",AR266&lt;&gt;S.CAL!$BJ$3,AR266&lt;&gt;S.CAL!$BJ$4,$AR$230="OUI"),X266-AI266,IF(AT266&lt;&gt;0,AT266,IF(OR(AR266=S.CAL!$BJ$3,AR266=S.CAL!$BJ$4),AR266,"")))),"")</f>
        <v>0</v>
      </c>
      <c r="AN266" s="1093"/>
      <c r="AO266" s="1094"/>
      <c r="AP266" s="666">
        <f>+IF(AND(AU266="",BB266="OUI",BH266="non",BI266="OUI"),AM266,IF(AND(AU266="",BB266="OUI",BH266="oui",BI266="NON"),AM266,IF(AND(AU266="",BB266="NON",BH266="oui",BI266="NON"),M266,IF(AND(AU266="",BB266="NON",BH266="non",BI266="OUI"),M266,IF(AND(AU266="",BB266="OUI",BH266="non",BI266="NON"),"ERREUR",IF(AND(AU266="",BB266="NON",BH266="non",BI266="NON"),AM266,IF(AND(AU266="",BB266="OUI",BH266="",BI266=""),AM266,IF(AND(AU266="",BB266="NON",BH266="",BI266="",AZ266="NON"),M266,IF(AND(AU266="",BH266="",AZ266="OUI",AR266=""),AM266,IF(AND(AU266="",BH266="",AZ266="NON",AR266="",AT266=""),M266,IF(AND(OR(AR266=S.CAL!$BJ$3,AR266=S.CAL!$BJ$4),(VLOOKUP($AM$230,base_nbre_sem_mensu,2,FALSE)=52)),EE266,IF(AND(OR(AR266=S.CAL!$BJ$3,AR266=S.CAL!$BJ$4),(VLOOKUP($AM$230,base_nbre_sem_mensu,2,FALSE)&lt;52)),AM266,IF(AND(AT266&lt;&gt;"",AU266=""),AT266,AU266)))))))))))))</f>
        <v>0</v>
      </c>
      <c r="AQ266" s="1378">
        <f t="shared" si="485"/>
        <v>0</v>
      </c>
      <c r="AR266" s="1098"/>
      <c r="AS266" s="1374"/>
      <c r="AT266" s="1101"/>
      <c r="AU266" s="813"/>
      <c r="AV266" s="1370">
        <f t="shared" si="466"/>
        <v>46203</v>
      </c>
      <c r="AW266" s="1374"/>
      <c r="AX266" s="511">
        <f t="shared" si="486"/>
        <v>46203</v>
      </c>
      <c r="AY266" s="523">
        <f t="shared" si="487"/>
        <v>0</v>
      </c>
      <c r="AZ266" s="520" t="s">
        <v>137</v>
      </c>
      <c r="BA266" s="516">
        <f t="shared" si="488"/>
        <v>0</v>
      </c>
      <c r="BB266" s="549" t="str">
        <f t="shared" si="467"/>
        <v/>
      </c>
      <c r="BC266" s="523">
        <f t="shared" si="489"/>
        <v>0</v>
      </c>
      <c r="BD266" s="523">
        <f t="shared" si="490"/>
        <v>0</v>
      </c>
      <c r="BE266" s="732"/>
      <c r="BF266" s="514" t="str">
        <f t="shared" si="468"/>
        <v/>
      </c>
      <c r="BG266" s="514" t="str">
        <f t="shared" si="491"/>
        <v>oui</v>
      </c>
      <c r="BH266" s="377" t="str">
        <f t="shared" si="469"/>
        <v/>
      </c>
      <c r="BI266" s="24" t="str">
        <f t="shared" si="470"/>
        <v/>
      </c>
      <c r="BJ266" s="1382"/>
      <c r="BK266" s="1382"/>
      <c r="BL266" s="1382"/>
      <c r="BM266" s="1382"/>
      <c r="BN266" s="1382"/>
      <c r="BO266" s="1382"/>
      <c r="BP266" s="1382"/>
      <c r="BQ266" s="1382"/>
      <c r="BR266" s="1383"/>
      <c r="BS266" s="1370">
        <f t="shared" si="437"/>
        <v>46203</v>
      </c>
      <c r="BT266" s="1384" t="str">
        <f t="shared" si="499"/>
        <v/>
      </c>
      <c r="BU266" s="1382"/>
      <c r="BV266" s="1382"/>
      <c r="BW266" s="1382"/>
      <c r="BX266" s="1382"/>
      <c r="BY266" s="1382"/>
      <c r="BZ266" s="1382"/>
      <c r="CA266" s="1382"/>
      <c r="CB266" s="1382"/>
      <c r="CD266" s="1386">
        <f t="shared" si="492"/>
        <v>0</v>
      </c>
      <c r="DC266" s="16" t="str">
        <f>Juin!FC49</f>
        <v>non</v>
      </c>
      <c r="DG266" s="315">
        <f t="shared" si="493"/>
        <v>1</v>
      </c>
      <c r="DH266" s="129">
        <f t="shared" si="471"/>
        <v>10</v>
      </c>
      <c r="DI266" s="129">
        <f t="shared" si="494"/>
        <v>1</v>
      </c>
      <c r="DK266" s="16">
        <f>+IF(AND(Juin!$DP$8&lt;&gt;52,AR266=S.CAL!$BJ$4),10,1)</f>
        <v>1</v>
      </c>
      <c r="DN266" s="16">
        <f t="shared" si="472"/>
        <v>1</v>
      </c>
      <c r="DU266" s="1274" t="str">
        <f t="shared" si="495"/>
        <v>Fiche infoA246203</v>
      </c>
      <c r="DV266" s="1362">
        <f t="shared" si="473"/>
        <v>0</v>
      </c>
      <c r="DW266" s="1363">
        <f t="shared" si="474"/>
        <v>0</v>
      </c>
      <c r="DX266" s="1363">
        <f t="shared" si="475"/>
        <v>0</v>
      </c>
      <c r="DY266" s="1363">
        <f t="shared" si="476"/>
        <v>0</v>
      </c>
      <c r="DZ266" s="1363">
        <f t="shared" si="477"/>
        <v>0</v>
      </c>
      <c r="EA266" s="1363">
        <f t="shared" si="478"/>
        <v>0</v>
      </c>
      <c r="EB266" s="1363">
        <f t="shared" si="479"/>
        <v>0</v>
      </c>
      <c r="EC266" s="1363">
        <f t="shared" si="480"/>
        <v>0</v>
      </c>
      <c r="ED266" s="1363">
        <f t="shared" si="496"/>
        <v>0</v>
      </c>
      <c r="EE266" s="1364">
        <f t="shared" si="497"/>
        <v>0</v>
      </c>
      <c r="EG266" s="16" t="str">
        <f t="shared" si="498"/>
        <v>272026</v>
      </c>
      <c r="EH266" s="16" t="str">
        <f t="shared" si="481"/>
        <v>Fiche infoA2</v>
      </c>
      <c r="EI266" s="16" t="str">
        <f t="shared" si="482"/>
        <v/>
      </c>
    </row>
    <row r="267" spans="1:145" x14ac:dyDescent="0.2">
      <c r="A267" s="24" t="str">
        <f>Juin!BJ50</f>
        <v>Fiche infoA0</v>
      </c>
      <c r="B267" s="812" t="str">
        <f>Juin!AB50</f>
        <v/>
      </c>
      <c r="C267" s="1371"/>
      <c r="D267" s="983">
        <f t="shared" si="438"/>
        <v>0</v>
      </c>
      <c r="E267" s="984">
        <f t="shared" si="439"/>
        <v>0</v>
      </c>
      <c r="F267" s="984">
        <f t="shared" si="440"/>
        <v>0</v>
      </c>
      <c r="G267" s="984">
        <f t="shared" si="441"/>
        <v>0</v>
      </c>
      <c r="H267" s="984">
        <f t="shared" si="442"/>
        <v>0</v>
      </c>
      <c r="I267" s="984">
        <f t="shared" si="443"/>
        <v>0</v>
      </c>
      <c r="J267" s="984">
        <f t="shared" si="444"/>
        <v>0</v>
      </c>
      <c r="K267" s="984">
        <f t="shared" si="445"/>
        <v>0</v>
      </c>
      <c r="L267" s="984">
        <f t="shared" si="483"/>
        <v>0</v>
      </c>
      <c r="M267" s="985">
        <f t="shared" si="484"/>
        <v>0</v>
      </c>
      <c r="O267" s="983">
        <f t="shared" si="500"/>
        <v>0</v>
      </c>
      <c r="P267" s="984">
        <f t="shared" si="501"/>
        <v>0</v>
      </c>
      <c r="Q267" s="984">
        <f t="shared" si="502"/>
        <v>0</v>
      </c>
      <c r="R267" s="984">
        <f t="shared" si="503"/>
        <v>0</v>
      </c>
      <c r="S267" s="984">
        <f t="shared" si="504"/>
        <v>0</v>
      </c>
      <c r="T267" s="984">
        <f t="shared" si="505"/>
        <v>0</v>
      </c>
      <c r="U267" s="984">
        <f t="shared" si="506"/>
        <v>0</v>
      </c>
      <c r="V267" s="984">
        <f t="shared" si="507"/>
        <v>0</v>
      </c>
      <c r="W267" s="984">
        <f t="shared" si="454"/>
        <v>0</v>
      </c>
      <c r="X267" s="985">
        <f t="shared" si="455"/>
        <v>0</v>
      </c>
      <c r="Y267" s="441"/>
      <c r="Z267" s="277">
        <f t="shared" si="456"/>
        <v>0</v>
      </c>
      <c r="AA267" s="277">
        <f t="shared" si="457"/>
        <v>0</v>
      </c>
      <c r="AB267" s="277">
        <f t="shared" si="458"/>
        <v>0</v>
      </c>
      <c r="AC267" s="277">
        <f t="shared" si="459"/>
        <v>0</v>
      </c>
      <c r="AD267" s="277">
        <f t="shared" si="460"/>
        <v>0</v>
      </c>
      <c r="AE267" s="277">
        <f t="shared" si="461"/>
        <v>0</v>
      </c>
      <c r="AF267" s="277">
        <f t="shared" si="462"/>
        <v>0</v>
      </c>
      <c r="AG267" s="277">
        <f t="shared" si="463"/>
        <v>0</v>
      </c>
      <c r="AI267" s="444">
        <f t="shared" si="508"/>
        <v>0</v>
      </c>
      <c r="AJ267" s="1090"/>
      <c r="AK267" s="489"/>
      <c r="AL267" s="812" t="str">
        <f t="shared" si="465"/>
        <v/>
      </c>
      <c r="AM267" s="499">
        <f>IFERROR(IF(AND(AT267="",AR267&lt;&gt;S.CAL!$BJ$3,AR267&lt;&gt;S.CAL!$BJ$4,$AR$230="NON"),M267-BD267,IF(AND(AT267="",AR267&lt;&gt;S.CAL!$BJ$3,AR267&lt;&gt;S.CAL!$BJ$4,$AR$230="OUI"),X267-AI267,IF(AT267&lt;&gt;0,AT267,IF(OR(AR267=S.CAL!$BJ$3,AR267=S.CAL!$BJ$4),AR267,"")))),"")</f>
        <v>0</v>
      </c>
      <c r="AN267" s="1095"/>
      <c r="AO267" s="1096"/>
      <c r="AP267" s="499">
        <f>+IF(AND(AU267="",BB267="OUI",BH267="non",BI267="OUI"),AM267,IF(AND(AU267="",BB267="OUI",BH267="oui",BI267="NON"),AM267,IF(AND(AU267="",BB267="NON",BH267="oui",BI267="NON"),M267,IF(AND(AU267="",BB267="NON",BH267="non",BI267="OUI"),M267,IF(AND(AU267="",BB267="OUI",BH267="non",BI267="NON"),"ERREUR",IF(AND(AU267="",BB267="NON",BH267="non",BI267="NON"),AM267,IF(AND(AU267="",BB267="OUI",BH267="",BI267=""),AM267,IF(AND(AU267="",BB267="NON",BH267="",BI267="",AZ267="NON"),M267,IF(AND(AU267="",BH267="",AZ267="OUI",AR267=""),AM267,IF(AND(AU267="",BH267="",AZ267="NON",AR267="",AT267=""),M267,IF(AND(OR(AR267=S.CAL!$BJ$3,AR267=S.CAL!$BJ$4),(VLOOKUP($AM$230,base_nbre_sem_mensu,2,FALSE)=52)),EE267,IF(AND(OR(AR267=S.CAL!$BJ$3,AR267=S.CAL!$BJ$4),(VLOOKUP($AM$230,base_nbre_sem_mensu,2,FALSE)&lt;52)),AM267,IF(AND(AT267&lt;&gt;"",AU267=""),AT267,AU267)))))))))))))</f>
        <v>0</v>
      </c>
      <c r="AQ267" s="498">
        <f t="shared" si="485"/>
        <v>0</v>
      </c>
      <c r="AR267" s="505"/>
      <c r="AT267" s="977"/>
      <c r="AU267" s="814"/>
      <c r="AV267" s="812" t="str">
        <f t="shared" si="466"/>
        <v/>
      </c>
      <c r="AX267" s="511" t="str">
        <f t="shared" si="486"/>
        <v/>
      </c>
      <c r="AY267" s="524">
        <f t="shared" si="487"/>
        <v>0</v>
      </c>
      <c r="AZ267" s="521" t="s">
        <v>137</v>
      </c>
      <c r="BA267" s="534">
        <f t="shared" si="488"/>
        <v>0</v>
      </c>
      <c r="BB267" s="522" t="str">
        <f t="shared" si="467"/>
        <v/>
      </c>
      <c r="BC267" s="524">
        <f t="shared" si="489"/>
        <v>0</v>
      </c>
      <c r="BD267" s="524">
        <f t="shared" si="490"/>
        <v>0</v>
      </c>
      <c r="BE267" s="491"/>
      <c r="BF267" s="514" t="str">
        <f t="shared" si="468"/>
        <v/>
      </c>
      <c r="BG267" s="514" t="str">
        <f t="shared" si="491"/>
        <v>oui</v>
      </c>
      <c r="BH267" s="377" t="str">
        <f t="shared" si="469"/>
        <v/>
      </c>
      <c r="BI267" s="24" t="str">
        <f t="shared" si="470"/>
        <v/>
      </c>
      <c r="BJ267" s="1381"/>
      <c r="BK267" s="1381"/>
      <c r="BL267" s="1381"/>
      <c r="BM267" s="1381"/>
      <c r="BN267" s="1381"/>
      <c r="BO267" s="1381"/>
      <c r="BP267" s="1381"/>
      <c r="BQ267" s="1381"/>
      <c r="BS267" s="812" t="str">
        <f t="shared" si="437"/>
        <v/>
      </c>
      <c r="BT267" s="27" t="str">
        <f t="shared" si="499"/>
        <v/>
      </c>
      <c r="BU267" s="1380"/>
      <c r="BV267" s="1380"/>
      <c r="BW267" s="1380"/>
      <c r="BX267" s="1380"/>
      <c r="BY267" s="1380"/>
      <c r="BZ267" s="1380"/>
      <c r="CA267" s="1380"/>
      <c r="CB267" s="1380"/>
      <c r="CD267" s="1387">
        <f t="shared" si="492"/>
        <v>0</v>
      </c>
      <c r="DC267" s="16" t="str">
        <f>Juin!FC50</f>
        <v/>
      </c>
      <c r="DG267" s="315">
        <f t="shared" si="493"/>
        <v>1</v>
      </c>
      <c r="DH267" s="129">
        <f t="shared" si="471"/>
        <v>10</v>
      </c>
      <c r="DI267" s="129">
        <f t="shared" si="494"/>
        <v>1</v>
      </c>
      <c r="DK267" s="16">
        <f>+IF(AND(Juin!$DP$8&lt;&gt;52,AR267=S.CAL!$BJ$4),10,1)</f>
        <v>1</v>
      </c>
      <c r="DN267" s="16">
        <f t="shared" si="472"/>
        <v>1</v>
      </c>
      <c r="DU267" s="1274" t="str">
        <f t="shared" si="495"/>
        <v>Fiche infoA0</v>
      </c>
      <c r="DV267" s="1362">
        <f t="shared" si="473"/>
        <v>0</v>
      </c>
      <c r="DW267" s="1363">
        <f t="shared" si="474"/>
        <v>0</v>
      </c>
      <c r="DX267" s="1363">
        <f t="shared" si="475"/>
        <v>0</v>
      </c>
      <c r="DY267" s="1363">
        <f t="shared" si="476"/>
        <v>0</v>
      </c>
      <c r="DZ267" s="1363">
        <f t="shared" si="477"/>
        <v>0</v>
      </c>
      <c r="EA267" s="1363">
        <f t="shared" si="478"/>
        <v>0</v>
      </c>
      <c r="EB267" s="1363">
        <f t="shared" si="479"/>
        <v>0</v>
      </c>
      <c r="EC267" s="1363">
        <f t="shared" si="480"/>
        <v>0</v>
      </c>
      <c r="ED267" s="1363">
        <f t="shared" si="496"/>
        <v>0</v>
      </c>
      <c r="EE267" s="1364">
        <f t="shared" si="497"/>
        <v>0</v>
      </c>
      <c r="EG267" s="16" t="e">
        <f t="shared" si="498"/>
        <v>#VALUE!</v>
      </c>
      <c r="EH267" s="16" t="str">
        <f t="shared" si="481"/>
        <v>Fiche infoA0</v>
      </c>
      <c r="EI267" s="16" t="e">
        <f t="shared" si="482"/>
        <v>#N/A</v>
      </c>
    </row>
    <row r="268" spans="1:145" x14ac:dyDescent="0.2">
      <c r="AM268" s="536">
        <f>SUM(AM237:AM267)</f>
        <v>0</v>
      </c>
      <c r="AN268" s="500">
        <f>SUM(AN237:AN267)</f>
        <v>0</v>
      </c>
      <c r="AO268" s="500">
        <f>SUM(AO237:AO267)</f>
        <v>0</v>
      </c>
      <c r="AP268" s="501">
        <f>SUM(AP237:AP267)</f>
        <v>0</v>
      </c>
      <c r="BD268" s="537">
        <f>SUM(BD237:BD267)</f>
        <v>0</v>
      </c>
      <c r="EE268" s="1364"/>
    </row>
    <row r="269" spans="1:145" x14ac:dyDescent="0.2">
      <c r="X269" s="29" t="s">
        <v>441</v>
      </c>
      <c r="Y269" s="29"/>
      <c r="Z269" s="29"/>
      <c r="AA269" s="29"/>
      <c r="AB269" s="29"/>
      <c r="AC269" s="29"/>
      <c r="AD269" s="29"/>
      <c r="AE269" s="29"/>
      <c r="AF269" s="29"/>
      <c r="AG269" s="29"/>
      <c r="AI269" s="445">
        <f>SUM(AI237:AI267)</f>
        <v>0</v>
      </c>
      <c r="AJ269" s="19"/>
      <c r="AK269" s="19"/>
      <c r="AL269" s="19"/>
      <c r="AM269" s="19"/>
      <c r="AN269" s="19"/>
      <c r="AO269" s="19"/>
      <c r="AP269" s="19"/>
      <c r="AQ269" s="494"/>
    </row>
    <row r="271" spans="1:145" ht="23.25" x14ac:dyDescent="0.35">
      <c r="B271" s="435" t="s">
        <v>794</v>
      </c>
      <c r="C271" s="435"/>
      <c r="D271" s="435"/>
      <c r="BS271" s="19" t="s">
        <v>1524</v>
      </c>
      <c r="EK271" s="16" t="str">
        <f>+EG281</f>
        <v>numero sem</v>
      </c>
      <c r="EL271" s="27" t="s">
        <v>1518</v>
      </c>
      <c r="EM271" s="27" t="s">
        <v>1519</v>
      </c>
      <c r="EN271" s="16" t="s">
        <v>1520</v>
      </c>
    </row>
    <row r="272" spans="1:145" ht="13.5" thickBot="1" x14ac:dyDescent="0.25">
      <c r="AR272" s="1717" t="s">
        <v>989</v>
      </c>
      <c r="AS272" s="1718"/>
      <c r="AT272" s="1719"/>
      <c r="BT272" s="29" t="s">
        <v>1527</v>
      </c>
      <c r="BU272" s="27" t="str">
        <f>+IFERROR(EJ272,"")</f>
        <v>27</v>
      </c>
      <c r="BV272" s="53" t="str">
        <f>IF(BU272="","",+EN272)</f>
        <v>non</v>
      </c>
      <c r="BW272" s="1729" t="str">
        <f>+IF(BV272="oui", "Ecart "&amp;EO272&amp;" hrs","")</f>
        <v/>
      </c>
      <c r="BX272" s="1729"/>
      <c r="EJ272" s="16" t="str">
        <f>LEFT(EK272,LEN(EK272)-4)</f>
        <v>27</v>
      </c>
      <c r="EK272" s="16" t="str" cm="1">
        <f t="array" ref="EK272">IFERROR(INDEX(EG282:EG312,MATCH(0,INDEX(COUNTIF(EK271:EK271,EG282:EG312),0,0),0)),"")</f>
        <v>272026</v>
      </c>
      <c r="EL272" s="27">
        <f>+SUMIFS($EE$12:$EE$537,$EG$12:$EG$537,EK272)</f>
        <v>0</v>
      </c>
      <c r="EM272" s="27">
        <f>+SUMIFS($EI$12:$EI$537,$EG$12:$EG$537,EK272)</f>
        <v>0</v>
      </c>
      <c r="EN272" s="16" t="str">
        <f t="shared" ref="EN272:EN277" si="509">+IF(AND(EL272&lt;&gt;EM272,EK272&lt;&gt;""),"oui","non")</f>
        <v>non</v>
      </c>
      <c r="EO272" s="16">
        <f>+EL272-EM272</f>
        <v>0</v>
      </c>
    </row>
    <row r="273" spans="1:145" ht="13.5" thickTop="1" x14ac:dyDescent="0.2">
      <c r="C273" s="39" t="s">
        <v>793</v>
      </c>
      <c r="D273" s="1713">
        <f>+Identification!$B$7</f>
        <v>0</v>
      </c>
      <c r="E273" s="1713"/>
      <c r="F273" s="1713"/>
      <c r="G273" s="1713"/>
      <c r="O273" s="436" t="s">
        <v>76</v>
      </c>
      <c r="P273" s="32"/>
      <c r="Q273" s="33"/>
      <c r="R273" s="436" t="s">
        <v>140</v>
      </c>
      <c r="S273" s="32"/>
      <c r="T273" s="32"/>
      <c r="U273" s="32"/>
      <c r="V273" s="32"/>
      <c r="W273" s="32"/>
      <c r="X273" s="33"/>
      <c r="AR273" s="1720"/>
      <c r="AS273" s="1721"/>
      <c r="AT273" s="1722"/>
      <c r="BU273" s="27" t="str">
        <f t="shared" ref="BU273:BU277" si="510">+IFERROR(EJ273,"")</f>
        <v>28</v>
      </c>
      <c r="BV273" s="53" t="str">
        <f t="shared" ref="BV273:BV277" si="511">IF(BU273="","",+EN273)</f>
        <v>non</v>
      </c>
      <c r="BW273" s="1729" t="str">
        <f t="shared" ref="BW273:BW277" si="512">+IF(BV273="oui", "Ecart "&amp;EO273&amp;" hrs","")</f>
        <v/>
      </c>
      <c r="BX273" s="1729"/>
      <c r="EJ273" s="16" t="str">
        <f t="shared" ref="EJ273:EJ278" si="513">LEFT(EK273,LEN(EK273)-4)</f>
        <v>28</v>
      </c>
      <c r="EK273" s="16" t="str" cm="1">
        <f t="array" ref="EK273">IFERROR(INDEX(EG282:EG312,MATCH(0,INDEX(COUNTIF(EK271:EK272,EG282:EG312),0,0),0)),"")</f>
        <v>282026</v>
      </c>
      <c r="EL273" s="27">
        <f t="shared" ref="EL273:EL277" si="514">+SUMIFS($EE$12:$EE$537,$EG$12:$EG$537,EK273)</f>
        <v>0</v>
      </c>
      <c r="EM273" s="27">
        <f t="shared" ref="EM273:EM278" si="515">+SUMIFS($EI$12:$EI$537,$EG$12:$EG$537,EK273)</f>
        <v>0</v>
      </c>
      <c r="EN273" s="16" t="str">
        <f t="shared" si="509"/>
        <v>non</v>
      </c>
      <c r="EO273" s="16">
        <f t="shared" ref="EO273:EO278" si="516">+EL273-EM273</f>
        <v>0</v>
      </c>
    </row>
    <row r="274" spans="1:145" x14ac:dyDescent="0.2">
      <c r="O274" s="35"/>
      <c r="Q274" s="36"/>
      <c r="R274" s="1723"/>
      <c r="S274" s="1724"/>
      <c r="T274" s="1724"/>
      <c r="U274" s="1724"/>
      <c r="V274" s="1724"/>
      <c r="W274" s="1724"/>
      <c r="X274" s="1725"/>
      <c r="Y274" s="442"/>
      <c r="Z274" s="442"/>
      <c r="AA274" s="442"/>
      <c r="AB274" s="442"/>
      <c r="AC274" s="442"/>
      <c r="AD274" s="442"/>
      <c r="AE274" s="442"/>
      <c r="AF274" s="442"/>
      <c r="AG274" s="442"/>
      <c r="AR274" s="1720"/>
      <c r="AS274" s="1721"/>
      <c r="AT274" s="1722"/>
      <c r="BU274" s="27" t="str">
        <f t="shared" si="510"/>
        <v>29</v>
      </c>
      <c r="BV274" s="53" t="str">
        <f t="shared" si="511"/>
        <v>non</v>
      </c>
      <c r="BW274" s="1729" t="str">
        <f t="shared" si="512"/>
        <v/>
      </c>
      <c r="BX274" s="1729"/>
      <c r="EJ274" s="16" t="str">
        <f t="shared" si="513"/>
        <v>29</v>
      </c>
      <c r="EK274" s="16" t="str">
        <f t="array" ref="EK274">IFERROR(INDEX(EG282:EG312,MATCH(0,INDEX(COUNTIF(EK271:EK273,EG282:EG312),0,0),0)),"")</f>
        <v>292026</v>
      </c>
      <c r="EL274" s="27">
        <f t="shared" si="514"/>
        <v>0</v>
      </c>
      <c r="EM274" s="27">
        <f t="shared" si="515"/>
        <v>0</v>
      </c>
      <c r="EN274" s="16" t="str">
        <f t="shared" si="509"/>
        <v>non</v>
      </c>
      <c r="EO274" s="16">
        <f t="shared" si="516"/>
        <v>0</v>
      </c>
    </row>
    <row r="275" spans="1:145" x14ac:dyDescent="0.2">
      <c r="C275" s="39" t="s">
        <v>25</v>
      </c>
      <c r="D275" s="1713">
        <f>+Identification!$B$25</f>
        <v>0</v>
      </c>
      <c r="E275" s="1713"/>
      <c r="O275" s="35"/>
      <c r="Q275" s="36"/>
      <c r="R275" s="1723"/>
      <c r="S275" s="1724"/>
      <c r="T275" s="1724"/>
      <c r="U275" s="1724"/>
      <c r="V275" s="1724"/>
      <c r="W275" s="1724"/>
      <c r="X275" s="1725"/>
      <c r="Y275" s="442"/>
      <c r="Z275" s="442"/>
      <c r="AA275" s="442"/>
      <c r="AB275" s="442"/>
      <c r="AC275" s="442"/>
      <c r="AD275" s="442"/>
      <c r="AE275" s="442"/>
      <c r="AF275" s="442"/>
      <c r="AG275" s="442"/>
      <c r="AL275" s="16" t="str">
        <f t="shared" ref="AL275" si="517">C278</f>
        <v>Mois :</v>
      </c>
      <c r="AM275" s="1716">
        <f t="shared" ref="AM275" si="518">D278</f>
        <v>46204</v>
      </c>
      <c r="AN275" s="1716">
        <f t="shared" ref="AN275" si="519">E278</f>
        <v>0</v>
      </c>
      <c r="AR275" s="539" t="str">
        <f>IF(AT275="",AR230,AT275)</f>
        <v>NON</v>
      </c>
      <c r="AS275" s="538" t="s">
        <v>492</v>
      </c>
      <c r="AT275" s="1083"/>
      <c r="BJ275" s="16" t="str">
        <f t="shared" ref="BJ275" si="520">AL275</f>
        <v>Mois :</v>
      </c>
      <c r="BK275" s="1716">
        <f t="shared" ref="BK275" si="521">AM275</f>
        <v>46204</v>
      </c>
      <c r="BL275" s="1716"/>
      <c r="BU275" s="27" t="str">
        <f t="shared" si="510"/>
        <v>30</v>
      </c>
      <c r="BV275" s="53" t="str">
        <f t="shared" si="511"/>
        <v>non</v>
      </c>
      <c r="BW275" s="1729" t="str">
        <f t="shared" si="512"/>
        <v/>
      </c>
      <c r="BX275" s="1729"/>
      <c r="EJ275" s="16" t="str">
        <f t="shared" si="513"/>
        <v>30</v>
      </c>
      <c r="EK275" s="16" t="str">
        <f t="array" ref="EK275">IFERROR(INDEX(EG282:EG312,MATCH(0,INDEX(COUNTIF(EK271:EK274,EG282:EG312),0,0),0)),"")</f>
        <v>302026</v>
      </c>
      <c r="EL275" s="27">
        <f t="shared" si="514"/>
        <v>0</v>
      </c>
      <c r="EM275" s="27">
        <f t="shared" si="515"/>
        <v>0</v>
      </c>
      <c r="EN275" s="16" t="str">
        <f t="shared" si="509"/>
        <v>non</v>
      </c>
      <c r="EO275" s="16">
        <f t="shared" si="516"/>
        <v>0</v>
      </c>
    </row>
    <row r="276" spans="1:145" ht="13.5" thickBot="1" x14ac:dyDescent="0.25">
      <c r="O276" s="42"/>
      <c r="P276" s="43"/>
      <c r="Q276" s="44"/>
      <c r="R276" s="1726"/>
      <c r="S276" s="1727"/>
      <c r="T276" s="1727"/>
      <c r="U276" s="1727"/>
      <c r="V276" s="1727"/>
      <c r="W276" s="1727"/>
      <c r="X276" s="1728"/>
      <c r="Y276" s="442"/>
      <c r="Z276" s="442"/>
      <c r="AA276" s="442"/>
      <c r="AB276" s="442"/>
      <c r="AC276" s="442"/>
      <c r="AD276" s="442"/>
      <c r="AE276" s="442"/>
      <c r="AF276" s="442"/>
      <c r="AG276" s="442"/>
      <c r="BU276" s="27" t="str">
        <f t="shared" si="510"/>
        <v>31</v>
      </c>
      <c r="BV276" s="53" t="str">
        <f t="shared" si="511"/>
        <v>non</v>
      </c>
      <c r="BW276" s="1729" t="str">
        <f t="shared" si="512"/>
        <v/>
      </c>
      <c r="BX276" s="1729"/>
      <c r="EJ276" s="16" t="str">
        <f t="shared" si="513"/>
        <v>31</v>
      </c>
      <c r="EK276" s="16" t="str">
        <f t="array" ref="EK276">IFERROR(INDEX(EG282:EG312,MATCH(0,INDEX(COUNTIF(EK271:EK275,EG282:EG312),0,0),0)),"")</f>
        <v>312026</v>
      </c>
      <c r="EL276" s="27">
        <f t="shared" si="514"/>
        <v>0</v>
      </c>
      <c r="EM276" s="27">
        <f t="shared" si="515"/>
        <v>0</v>
      </c>
      <c r="EN276" s="16" t="str">
        <f t="shared" si="509"/>
        <v>non</v>
      </c>
      <c r="EO276" s="16">
        <f t="shared" si="516"/>
        <v>0</v>
      </c>
    </row>
    <row r="277" spans="1:145" ht="13.5" thickTop="1" x14ac:dyDescent="0.2">
      <c r="AI277" s="535" t="s">
        <v>986</v>
      </c>
      <c r="BU277" s="27" t="str">
        <f t="shared" si="510"/>
        <v/>
      </c>
      <c r="BV277" s="53" t="str">
        <f t="shared" si="511"/>
        <v/>
      </c>
      <c r="BW277" s="1729" t="str">
        <f t="shared" si="512"/>
        <v/>
      </c>
      <c r="BX277" s="1729"/>
      <c r="EJ277" s="16" t="e">
        <f t="shared" si="513"/>
        <v>#VALUE!</v>
      </c>
      <c r="EK277" s="16" t="str">
        <f t="array" ref="EK277">IFERROR(INDEX(EG282:EG312,MATCH(0,INDEX(COUNTIF(EK271:EK276,EG282:EG312),0,0),0)),"")</f>
        <v/>
      </c>
      <c r="EL277" s="27">
        <f t="shared" si="514"/>
        <v>0</v>
      </c>
      <c r="EM277" s="27">
        <f t="shared" si="515"/>
        <v>0</v>
      </c>
      <c r="EN277" s="16" t="str">
        <f t="shared" si="509"/>
        <v>non</v>
      </c>
      <c r="EO277" s="16">
        <f t="shared" si="516"/>
        <v>0</v>
      </c>
    </row>
    <row r="278" spans="1:145" x14ac:dyDescent="0.2">
      <c r="C278" s="39" t="s">
        <v>28</v>
      </c>
      <c r="D278" s="1716">
        <f>+Juillet!X3</f>
        <v>46204</v>
      </c>
      <c r="E278" s="1716"/>
      <c r="F278" s="39" t="s">
        <v>12</v>
      </c>
      <c r="G278" s="63">
        <f>+Juillet!X4</f>
        <v>2026</v>
      </c>
      <c r="EJ278" s="16" t="e">
        <f t="shared" si="513"/>
        <v>#VALUE!</v>
      </c>
      <c r="EK278" s="16" t="str">
        <f t="array" ref="EK278">IFERROR(INDEX($EG$12:$EG$42,MATCH(0,INDEX(COUNTIF($EK$1:EK277,$EG$12:$EG$42),0,0),0)),"")</f>
        <v/>
      </c>
      <c r="EL278" s="27">
        <f>+SUMIFS($EE$12:$EE$537,$EG$12:$EG$537,EK278)</f>
        <v>0</v>
      </c>
      <c r="EM278" s="27">
        <f t="shared" si="515"/>
        <v>0</v>
      </c>
      <c r="EN278" s="16" t="str">
        <f>+IF(AND(EL278&lt;&gt;EM278,EK278&lt;&gt;""),"oui","non")</f>
        <v>non</v>
      </c>
      <c r="EO278" s="16">
        <f t="shared" si="516"/>
        <v>0</v>
      </c>
    </row>
    <row r="279" spans="1:145" x14ac:dyDescent="0.2">
      <c r="AL279" s="1714" t="s">
        <v>960</v>
      </c>
      <c r="AM279" s="1714"/>
      <c r="AN279" s="1714"/>
      <c r="AO279" s="1714"/>
      <c r="AP279" s="1714"/>
      <c r="AQ279" s="492"/>
      <c r="AT279" s="1715" t="s">
        <v>749</v>
      </c>
      <c r="AU279" s="1715"/>
      <c r="AV279" s="1715"/>
      <c r="AW279" s="63"/>
      <c r="AX279" s="63"/>
      <c r="AY279" s="517" t="s">
        <v>975</v>
      </c>
      <c r="AZ279" s="518"/>
      <c r="BA279" s="518"/>
      <c r="BB279" s="518"/>
      <c r="BC279" s="519"/>
      <c r="BD279" s="519"/>
      <c r="BE279" s="519"/>
      <c r="BF279" s="512"/>
      <c r="BG279" s="512"/>
      <c r="BJ279" s="437"/>
      <c r="BK279" s="437"/>
      <c r="BL279" s="437"/>
      <c r="BM279" s="437"/>
      <c r="BN279" s="437"/>
      <c r="BO279" s="437"/>
      <c r="BP279" s="437"/>
      <c r="BQ279" s="437"/>
      <c r="BU279" s="438"/>
      <c r="BV279" s="438"/>
      <c r="BW279" s="438"/>
      <c r="BX279" s="438"/>
      <c r="BY279" s="438"/>
      <c r="BZ279" s="438"/>
      <c r="CA279" s="438"/>
      <c r="CB279" s="438"/>
    </row>
    <row r="280" spans="1:145" ht="15" customHeight="1" x14ac:dyDescent="0.2">
      <c r="D280" s="439" t="s">
        <v>791</v>
      </c>
      <c r="E280" s="438"/>
      <c r="F280" s="438"/>
      <c r="G280" s="438"/>
      <c r="H280" s="438"/>
      <c r="I280" s="438"/>
      <c r="J280" s="438"/>
      <c r="K280" s="438"/>
      <c r="L280" s="438"/>
      <c r="M280" s="438"/>
      <c r="O280" s="440" t="s">
        <v>790</v>
      </c>
      <c r="P280" s="437"/>
      <c r="Q280" s="437"/>
      <c r="R280" s="437"/>
      <c r="S280" s="437"/>
      <c r="T280" s="437"/>
      <c r="U280" s="437"/>
      <c r="V280" s="437"/>
      <c r="W280" s="437"/>
      <c r="X280" s="437"/>
      <c r="BJ280" s="1087" t="s">
        <v>792</v>
      </c>
      <c r="BK280" s="1088"/>
      <c r="BL280" s="1088"/>
      <c r="BM280" s="1088"/>
      <c r="BN280" s="1088"/>
      <c r="BO280" s="1088"/>
      <c r="BP280" s="1088"/>
      <c r="BQ280" s="1088"/>
      <c r="BU280" s="1087" t="s">
        <v>1369</v>
      </c>
      <c r="BV280" s="1088"/>
      <c r="BW280" s="1088"/>
      <c r="BX280" s="1088"/>
      <c r="BY280" s="1088"/>
      <c r="BZ280" s="1088"/>
      <c r="CA280" s="1088"/>
      <c r="CB280" s="1088"/>
      <c r="DG280" s="315" t="s">
        <v>1326</v>
      </c>
      <c r="DH280" s="129"/>
      <c r="DI280" s="129"/>
      <c r="DK280" s="129" t="s">
        <v>1331</v>
      </c>
      <c r="DN280" s="16" t="s">
        <v>1334</v>
      </c>
      <c r="DV280" s="825" t="s">
        <v>1521</v>
      </c>
      <c r="DW280" s="825"/>
      <c r="DX280" s="825"/>
      <c r="DY280" s="825"/>
      <c r="DZ280" s="825"/>
      <c r="EA280" s="825"/>
      <c r="EB280" s="825"/>
      <c r="EC280" s="825"/>
      <c r="ED280" s="825"/>
      <c r="EE280" s="825"/>
    </row>
    <row r="281" spans="1:145" ht="56.25" customHeight="1" x14ac:dyDescent="0.2">
      <c r="A281" s="24" t="s">
        <v>789</v>
      </c>
      <c r="B281" s="432" t="s">
        <v>16</v>
      </c>
      <c r="C281" s="433"/>
      <c r="D281" s="432" t="s">
        <v>219</v>
      </c>
      <c r="E281" s="432" t="s">
        <v>220</v>
      </c>
      <c r="F281" s="432" t="s">
        <v>221</v>
      </c>
      <c r="G281" s="432" t="s">
        <v>222</v>
      </c>
      <c r="H281" s="432" t="s">
        <v>522</v>
      </c>
      <c r="I281" s="432" t="s">
        <v>523</v>
      </c>
      <c r="J281" s="432" t="s">
        <v>524</v>
      </c>
      <c r="K281" s="432" t="s">
        <v>525</v>
      </c>
      <c r="L281" s="432" t="s">
        <v>182</v>
      </c>
      <c r="M281" s="432" t="s">
        <v>183</v>
      </c>
      <c r="N281" s="433"/>
      <c r="O281" s="432" t="s">
        <v>219</v>
      </c>
      <c r="P281" s="432" t="s">
        <v>220</v>
      </c>
      <c r="Q281" s="432" t="s">
        <v>221</v>
      </c>
      <c r="R281" s="432" t="s">
        <v>222</v>
      </c>
      <c r="S281" s="432" t="s">
        <v>522</v>
      </c>
      <c r="T281" s="432" t="s">
        <v>523</v>
      </c>
      <c r="U281" s="432" t="s">
        <v>524</v>
      </c>
      <c r="V281" s="432" t="s">
        <v>525</v>
      </c>
      <c r="W281" s="432" t="s">
        <v>182</v>
      </c>
      <c r="X281" s="432" t="s">
        <v>183</v>
      </c>
      <c r="Y281" s="433"/>
      <c r="Z281" s="432" t="s">
        <v>796</v>
      </c>
      <c r="AA281" s="432" t="s">
        <v>797</v>
      </c>
      <c r="AB281" s="432" t="s">
        <v>798</v>
      </c>
      <c r="AC281" s="432" t="s">
        <v>799</v>
      </c>
      <c r="AD281" s="432" t="s">
        <v>800</v>
      </c>
      <c r="AE281" s="432" t="s">
        <v>801</v>
      </c>
      <c r="AF281" s="432" t="s">
        <v>802</v>
      </c>
      <c r="AG281" s="432" t="s">
        <v>803</v>
      </c>
      <c r="AI281" s="432" t="s">
        <v>804</v>
      </c>
      <c r="AJ281" s="432" t="s">
        <v>795</v>
      </c>
      <c r="AK281" s="433"/>
      <c r="AL281" s="495" t="s">
        <v>16</v>
      </c>
      <c r="AM281" s="530" t="s">
        <v>1003</v>
      </c>
      <c r="AN281" s="1084" t="s">
        <v>958</v>
      </c>
      <c r="AO281" s="1085" t="s">
        <v>959</v>
      </c>
      <c r="AP281" s="496" t="s">
        <v>1707</v>
      </c>
      <c r="AQ281" s="493"/>
      <c r="AR281" s="1086" t="s">
        <v>684</v>
      </c>
      <c r="AT281" s="1086" t="s">
        <v>1333</v>
      </c>
      <c r="AU281" s="1085" t="s">
        <v>1707</v>
      </c>
      <c r="AV281" s="432" t="s">
        <v>16</v>
      </c>
      <c r="AW281" s="433"/>
      <c r="AX281" s="433"/>
      <c r="AY281" s="529" t="s">
        <v>972</v>
      </c>
      <c r="AZ281" s="530" t="s">
        <v>978</v>
      </c>
      <c r="BA281" s="513" t="s">
        <v>976</v>
      </c>
      <c r="BB281" s="550" t="s">
        <v>977</v>
      </c>
      <c r="BC281" s="551" t="s">
        <v>1005</v>
      </c>
      <c r="BD281" s="550" t="s">
        <v>979</v>
      </c>
      <c r="BE281" s="552" t="s">
        <v>1004</v>
      </c>
      <c r="BF281" s="513" t="s">
        <v>980</v>
      </c>
      <c r="BG281" s="513" t="s">
        <v>985</v>
      </c>
      <c r="BI281" s="24" t="s">
        <v>1011</v>
      </c>
      <c r="BJ281" s="432" t="s">
        <v>219</v>
      </c>
      <c r="BK281" s="432" t="s">
        <v>220</v>
      </c>
      <c r="BL281" s="432" t="s">
        <v>221</v>
      </c>
      <c r="BM281" s="432" t="s">
        <v>222</v>
      </c>
      <c r="BN281" s="432" t="s">
        <v>522</v>
      </c>
      <c r="BO281" s="432" t="s">
        <v>523</v>
      </c>
      <c r="BP281" s="432" t="s">
        <v>524</v>
      </c>
      <c r="BQ281" s="432" t="s">
        <v>525</v>
      </c>
      <c r="BS281" s="1361" t="str">
        <f t="shared" ref="BS281:BS312" si="522">AV281</f>
        <v>Jours</v>
      </c>
      <c r="BU281" s="432" t="s">
        <v>219</v>
      </c>
      <c r="BV281" s="432" t="s">
        <v>220</v>
      </c>
      <c r="BW281" s="432" t="s">
        <v>221</v>
      </c>
      <c r="BX281" s="432" t="s">
        <v>222</v>
      </c>
      <c r="BY281" s="432" t="s">
        <v>522</v>
      </c>
      <c r="BZ281" s="432" t="s">
        <v>523</v>
      </c>
      <c r="CA281" s="432" t="s">
        <v>524</v>
      </c>
      <c r="CB281" s="432" t="s">
        <v>525</v>
      </c>
      <c r="CD281" s="1361" t="s">
        <v>1526</v>
      </c>
      <c r="CS281" s="488"/>
      <c r="CT281" s="488"/>
      <c r="CU281" s="488"/>
      <c r="CV281" s="488"/>
      <c r="DG281" s="315" t="s">
        <v>1327</v>
      </c>
      <c r="DH281" s="129" t="s">
        <v>1328</v>
      </c>
      <c r="DI281" s="129" t="s">
        <v>1330</v>
      </c>
      <c r="DK281" s="129" t="s">
        <v>1332</v>
      </c>
      <c r="DU281" s="1361" t="s">
        <v>238</v>
      </c>
      <c r="DV281" s="1361" t="s">
        <v>219</v>
      </c>
      <c r="DW281" s="1361" t="s">
        <v>220</v>
      </c>
      <c r="DX281" s="1361" t="s">
        <v>221</v>
      </c>
      <c r="DY281" s="1361" t="s">
        <v>222</v>
      </c>
      <c r="DZ281" s="1361" t="s">
        <v>522</v>
      </c>
      <c r="EA281" s="1361" t="s">
        <v>523</v>
      </c>
      <c r="EB281" s="1361" t="s">
        <v>524</v>
      </c>
      <c r="EC281" s="1361" t="s">
        <v>525</v>
      </c>
      <c r="ED281" s="1361" t="s">
        <v>182</v>
      </c>
      <c r="EE281" s="1361" t="s">
        <v>183</v>
      </c>
      <c r="EG281" s="1361" t="s">
        <v>1224</v>
      </c>
      <c r="EH281" s="1361" t="s">
        <v>1522</v>
      </c>
      <c r="EI281" s="1361" t="s">
        <v>1523</v>
      </c>
    </row>
    <row r="282" spans="1:145" x14ac:dyDescent="0.2">
      <c r="A282" s="24" t="str">
        <f>Juillet!BJ20</f>
        <v>Fiche infoA3</v>
      </c>
      <c r="B282" s="810">
        <f>Juillet!AB20</f>
        <v>46204</v>
      </c>
      <c r="C282" s="1371"/>
      <c r="D282" s="978">
        <f t="shared" ref="D282:D312" si="523">IF(AR282&lt;&gt;"",0,IF(DN282=10,0,IFERROR(+IF(BU282="",VLOOKUP(A282,base_horaire,2,FALSE),BU282),0)))</f>
        <v>0</v>
      </c>
      <c r="E282" s="979">
        <f t="shared" ref="E282:E312" si="524">IF(AR282&lt;&gt;"",0,IF(DN282=10,0,IFERROR(+IF(BV282="",VLOOKUP(A282,base_horaire,3,FALSE),BV282),0)))</f>
        <v>0</v>
      </c>
      <c r="F282" s="979">
        <f t="shared" ref="F282:F312" si="525">IF(AR282&lt;&gt;"",0,IF(DN282=10,0,IFERROR(+IF(BW282="",VLOOKUP(A282,base_horaire,4,FALSE),BW282),0)))</f>
        <v>0</v>
      </c>
      <c r="G282" s="979">
        <f t="shared" ref="G282:G312" si="526">IF(AR282&lt;&gt;"",0,IF(DN282=10,0,IFERROR(+IF(BX282="",VLOOKUP(A282,base_horaire,5,FALSE),BX282),0)))</f>
        <v>0</v>
      </c>
      <c r="H282" s="979">
        <f t="shared" ref="H282:H312" si="527">IF(AR282&lt;&gt;"",0,IF(DN282=10,0,IFERROR(+IF(BY282="",VLOOKUP(A282,base_horaire,6,FALSE),BY282),0)))</f>
        <v>0</v>
      </c>
      <c r="I282" s="979">
        <f t="shared" ref="I282:I312" si="528">IF(AR282&lt;&gt;"",0,IF(DN282=10,0,IFERROR(+IF(BZ282="",VLOOKUP(A282,base_horaire,7,FALSE),BZ282),0)))</f>
        <v>0</v>
      </c>
      <c r="J282" s="979">
        <f t="shared" ref="J282:J312" si="529">IF(AR282&lt;&gt;"",0,IF(DN282=10,0,IFERROR(+IF(CA282="",VLOOKUP(A282,base_horaire,8,FALSE),CA282),0)))</f>
        <v>0</v>
      </c>
      <c r="K282" s="979">
        <f t="shared" ref="K282:K312" si="530">IF(AR282&lt;&gt;"",0,IF(DN282=10,0,IFERROR(+IF(CB282="",VLOOKUP(A282,base_horaire,9,FALSE),CB282),0)))</f>
        <v>0</v>
      </c>
      <c r="L282" s="979">
        <f>+E282-D282+G282-F282+I282-H282+K282-J282</f>
        <v>0</v>
      </c>
      <c r="M282" s="980">
        <f>ROUND(+L282*24,2)</f>
        <v>0</v>
      </c>
      <c r="O282" s="978">
        <f t="shared" ref="O282:O289" si="531">IF(AR282&lt;&gt;"",0,IF(DC282="oui",0,IF(AND(ISTEXT(AT282)=TRUE,BJ282=""),0,IF(BJ282="",D282,BJ282))))</f>
        <v>0</v>
      </c>
      <c r="P282" s="979">
        <f t="shared" ref="P282:P289" si="532">IF(AR282&lt;&gt;"",0,IF(DC282="oui",0,IF(AND(ISTEXT(AT282)=TRUE,BK282=""),0,IF(BK282="",E282,BK282))))</f>
        <v>0</v>
      </c>
      <c r="Q282" s="979">
        <f t="shared" ref="Q282:Q289" si="533">IF(AR282&lt;&gt;"",0,IF(DC282="oui",0,IF(AND(ISTEXT(AT282)=TRUE,BL282=""),0,IF(BL282="",F282,BL282))))</f>
        <v>0</v>
      </c>
      <c r="R282" s="979">
        <f t="shared" ref="R282:R289" si="534">IF(AR282&lt;&gt;"",0,IF(DC282="oui",0,IF(AND(ISTEXT(AT282)=TRUE,BM282=""),0,IF(BM282="",G282,BM282))))</f>
        <v>0</v>
      </c>
      <c r="S282" s="979">
        <f t="shared" ref="S282:S289" si="535">IF(AR282&lt;&gt;"",0,IF(DC282="oui",0,IF(AND(ISTEXT(AT282)=TRUE,BN282=""),0,IF(BN282="",H282,BN282))))</f>
        <v>0</v>
      </c>
      <c r="T282" s="979">
        <f t="shared" ref="T282:T289" si="536">IF(AR282&lt;&gt;"",0,IF(DC282="oui",0,IF(AND(ISTEXT(AT282)=TRUE,BO282=""),0,IF(BO282="",I282,BO282))))</f>
        <v>0</v>
      </c>
      <c r="U282" s="979">
        <f t="shared" ref="U282:U289" si="537">IF(AR282&lt;&gt;"",0,IF(DC282="oui",0,IF(AND(ISTEXT(AT282)=TRUE,BP282=""),0,IF(BP282="",J282,BP282))))</f>
        <v>0</v>
      </c>
      <c r="V282" s="979">
        <f t="shared" ref="V282:V289" si="538">IF(AR282&lt;&gt;"",0,IF(DC282="oui",0,IF(AND(ISTEXT(AT282)=TRUE,BQ282=""),0,IF(BQ282="",K282,BQ282))))</f>
        <v>0</v>
      </c>
      <c r="W282" s="979">
        <f t="shared" ref="W282:W312" si="539">+P282-O282+R282-Q282+T282-S282+V282-U282</f>
        <v>0</v>
      </c>
      <c r="X282" s="980">
        <f t="shared" ref="X282:X312" si="540">ROUND(+W282*24,2)</f>
        <v>0</v>
      </c>
      <c r="Y282" s="441"/>
      <c r="Z282" s="277">
        <f t="shared" ref="Z282:Z312" si="541">+IF(AND(O282&gt;D282,D282&gt;0),D282,O282)</f>
        <v>0</v>
      </c>
      <c r="AA282" s="277">
        <f t="shared" ref="AA282:AA312" si="542">+IF(P282&gt;E282,P282,E282)</f>
        <v>0</v>
      </c>
      <c r="AB282" s="277">
        <f t="shared" ref="AB282:AB312" si="543">+IF(AND(Q282&gt;F282,F282&gt;0),F282,Q282)</f>
        <v>0</v>
      </c>
      <c r="AC282" s="277">
        <f t="shared" ref="AC282:AC312" si="544">+IF(R282&gt;G282,R282,G282)</f>
        <v>0</v>
      </c>
      <c r="AD282" s="277">
        <f t="shared" ref="AD282:AD312" si="545">+IF(AND(S282&gt;H282,H282&gt;0),H282,S282)</f>
        <v>0</v>
      </c>
      <c r="AE282" s="277">
        <f t="shared" ref="AE282:AE312" si="546">+IF(T282&gt;I282,T282,I282)</f>
        <v>0</v>
      </c>
      <c r="AF282" s="277">
        <f t="shared" ref="AF282:AF312" si="547">+IF(AND(U282&gt;J282,J282&gt;0),J282,U282)</f>
        <v>0</v>
      </c>
      <c r="AG282" s="277">
        <f t="shared" ref="AG282:AG312" si="548">+IF(V282&gt;K282,V282,K282)</f>
        <v>0</v>
      </c>
      <c r="AI282" s="443">
        <f t="shared" ref="AI282:AI289" si="549">IF(DC282="oui",0,IF(AND(ISTEXT(AT282)=TRUE,OR(X282=0,X282="")),0,ROUND(((((AA282-Z282)-(E282-D282))+((AC282-AB282)-(G282-F282))+((AE282-AD282)-(I282-H282))+(AG282-AF282)-(K282-J282))*24),2)))</f>
        <v>0</v>
      </c>
      <c r="AJ282" s="1089"/>
      <c r="AK282" s="489"/>
      <c r="AL282" s="810">
        <f t="shared" ref="AL282:AL312" si="550">B282</f>
        <v>46204</v>
      </c>
      <c r="AM282" s="497">
        <f>IFERROR(IF(AND(AT282="",AR282&lt;&gt;S.CAL!$BJ$3,AR282&lt;&gt;S.CAL!$BJ$4,$AR$275="NON"),M282-BD282,IF(AND(AT282="",AR282&lt;&gt;S.CAL!$BJ$3,AR282&lt;&gt;S.CAL!$BJ$4,$AR$275="OUI"),X282-AI282,IF(AT282&lt;&gt;0,AT282,IF(OR(AR282=S.CAL!$BJ$3,AR282=S.CAL!$BJ$4),AR282,"")))),"")</f>
        <v>0</v>
      </c>
      <c r="AN282" s="1091"/>
      <c r="AO282" s="1092"/>
      <c r="AP282" s="497">
        <f>+IF(AND(AU282="",BB282="OUI",BH282="non",BI282="OUI"),AM282,IF(AND(AU282="",BB282="OUI",BH282="oui",BI282="NON"),AM282,IF(AND(AU282="",BB282="NON",BH282="oui",BI282="NON"),M282,IF(AND(AU282="",BB282="NON",BH282="non",BI282="OUI"),M282,IF(AND(AU282="",BB282="OUI",BH282="non",BI282="NON"),"ERREUR",IF(AND(AU282="",BB282="NON",BH282="non",BI282="NON"),AM282,IF(AND(AU282="",BB282="OUI",BH282="",BI282=""),AM282,IF(AND(AU282="",BB282="NON",BH282="",BI282="",AZ282="NON"),M282,IF(AND(AU282="",BH282="",AZ282="OUI",AR282=""),AM282,IF(AND(AU282="",BH282="",AZ282="NON",AR282="",AT282=""),M282,IF(AND(OR(AR282=S.CAL!$BJ$3,AR282=S.CAL!$BJ$4),(VLOOKUP($AM$275,base_nbre_sem_mensu,2,FALSE)=52)),EE282,IF(AND(OR(AR282=S.CAL!$BJ$3,AR282=S.CAL!$BJ$4),(VLOOKUP($AM$275,base_nbre_sem_mensu,2,FALSE)&lt;52)),AM282,IF(AND(AT282&lt;&gt;"",AU282=""),AT282,AU282)))))))))))))</f>
        <v>0</v>
      </c>
      <c r="AQ282" s="498">
        <f>AI282-SUM(AN282:AO282)</f>
        <v>0</v>
      </c>
      <c r="AR282" s="1097"/>
      <c r="AT282" s="1100"/>
      <c r="AU282" s="813"/>
      <c r="AV282" s="1369">
        <f t="shared" ref="AV282:AV312" si="551">B282</f>
        <v>46204</v>
      </c>
      <c r="AX282" s="511">
        <f>+AV282</f>
        <v>46204</v>
      </c>
      <c r="AY282" s="528">
        <f>+IF(M282-X282&lt;0,0,M282-X282)</f>
        <v>0</v>
      </c>
      <c r="AZ282" s="531" t="s">
        <v>137</v>
      </c>
      <c r="BA282" s="532">
        <f>+IF(AZ282="OUI",AY282,0)</f>
        <v>0</v>
      </c>
      <c r="BB282" s="533" t="str">
        <f t="shared" ref="BB282:BB312" si="552">IF(AND(BE282="",+IFERROR(VLOOKUP(AT282,Liste_motif_formule,5,FALSE),0)="OUI"),"OUI",IF(AND(BE282="",IFERROR(VLOOKUP(AT282,Liste_motif_formule,5,FALSE),0)="NON"),"NON",IF(AND(BE282="",IFERROR(M282-AT282&gt;=0,0),AT282&lt;&gt;""),"OUI",IF(AND(BE282="",DC282="oui"),"OUI",IF(BE282&lt;&gt;"",BE282,"")))))</f>
        <v/>
      </c>
      <c r="BC282" s="528">
        <f>+IF(BB282="OUI",IFERROR(M282-AT282,M282),0)</f>
        <v>0</v>
      </c>
      <c r="BD282" s="528">
        <f>+BC282+BA282</f>
        <v>0</v>
      </c>
      <c r="BE282" s="490"/>
      <c r="BF282" s="514" t="str">
        <f t="shared" ref="BF282:BF312" si="553">+IF(AND(AZ282="OUI",BB282="OUI"),"ERREUR","")</f>
        <v/>
      </c>
      <c r="BG282" s="514" t="str">
        <f>+IF(AND(M282=0,AT282=""),"oui","non")</f>
        <v>oui</v>
      </c>
      <c r="BH282" s="377" t="str">
        <f t="shared" ref="BH282:BH312" si="554">IFERROR(+VLOOKUP(AT282,Liste_motif_formule,4,FALSE),"")</f>
        <v/>
      </c>
      <c r="BI282" s="24" t="str">
        <f t="shared" ref="BI282:BI312" si="555">IFERROR(+VLOOKUP(AT282,Liste_motif_formule,5,FALSE),"")</f>
        <v/>
      </c>
      <c r="BJ282" s="1381"/>
      <c r="BK282" s="1381"/>
      <c r="BL282" s="1381"/>
      <c r="BM282" s="1381"/>
      <c r="BN282" s="1381"/>
      <c r="BO282" s="1381"/>
      <c r="BP282" s="1381"/>
      <c r="BQ282" s="1381"/>
      <c r="BS282" s="1369">
        <f t="shared" si="522"/>
        <v>46204</v>
      </c>
      <c r="BT282" s="27">
        <f>IFERROR(WEEKNUM(BS282,21),"")</f>
        <v>27</v>
      </c>
      <c r="BU282" s="1379"/>
      <c r="BV282" s="1379"/>
      <c r="BW282" s="1379"/>
      <c r="BX282" s="1379"/>
      <c r="BY282" s="1379"/>
      <c r="BZ282" s="1379"/>
      <c r="CA282" s="1379"/>
      <c r="CB282" s="1379"/>
      <c r="CD282" s="1385">
        <f>+M282</f>
        <v>0</v>
      </c>
      <c r="DC282" s="16" t="str">
        <f>Juillet!FC20</f>
        <v>non</v>
      </c>
      <c r="DG282" s="315">
        <f>IF(OR(AT282=0,AT282=""),1,10)</f>
        <v>1</v>
      </c>
      <c r="DH282" s="129">
        <f t="shared" ref="DH282:DH312" si="556">IFERROR(+VLOOKUP(AT282,Liste_motif_formule,9,FALSE),10)</f>
        <v>10</v>
      </c>
      <c r="DI282" s="129">
        <f>+IF(OR(DG282=1,DH282=1),1,10)</f>
        <v>1</v>
      </c>
      <c r="DK282" s="16">
        <f>+IF(AND(Juillet!$DP$8&lt;&gt;52,AR282=S.CAL!$BJ$4),10,1)</f>
        <v>1</v>
      </c>
      <c r="DN282" s="16">
        <f t="shared" ref="DN282:DN312" si="557">+IF(AND(DC282="non",ISTEXT(AT282)=TRUE,IFERROR(VLOOKUP(AT282,Liste_motif_formule,4,FALSE)="non",0),IFERROR(VLOOKUP(AT282,Liste_motif_formule,5,FALSE)="non",0)),10,1)</f>
        <v>1</v>
      </c>
      <c r="DU282" s="1274" t="str">
        <f>+A282&amp;B282</f>
        <v>Fiche infoA346204</v>
      </c>
      <c r="DV282" s="1362">
        <f t="shared" ref="DV282:DV312" si="558">+IFERROR(+IF(BU282="",VLOOKUP(A282,base_horaire,2,FALSE),BU282),0)</f>
        <v>0</v>
      </c>
      <c r="DW282" s="1363">
        <f t="shared" ref="DW282:DW312" si="559">+IFERROR(+IF(BV282="",VLOOKUP(A282,base_horaire,3,FALSE),BV282),0)</f>
        <v>0</v>
      </c>
      <c r="DX282" s="1363">
        <f t="shared" ref="DX282:DX312" si="560">+IFERROR(+IF(BW282="",VLOOKUP(A282,base_horaire,4,FALSE),BW282),0)</f>
        <v>0</v>
      </c>
      <c r="DY282" s="1363">
        <f t="shared" ref="DY282:DY312" si="561">+IFERROR(+IF(BX282="",VLOOKUP(A282,base_horaire,5,FALSE),BX282),0)</f>
        <v>0</v>
      </c>
      <c r="DZ282" s="1363">
        <f t="shared" ref="DZ282:DZ312" si="562">+IFERROR(+IF(BY282="",VLOOKUP(A282,base_horaire,6,FALSE),BY282),0)</f>
        <v>0</v>
      </c>
      <c r="EA282" s="1363">
        <f t="shared" ref="EA282:EA312" si="563">IFERROR(+IF(BZ282="",VLOOKUP(A282,base_horaire,7,FALSE),BZ282),0)</f>
        <v>0</v>
      </c>
      <c r="EB282" s="1363">
        <f t="shared" ref="EB282:EB312" si="564">IFERROR(+IF(CA282="",VLOOKUP(A282,base_horaire,8,FALSE),CA282),0)</f>
        <v>0</v>
      </c>
      <c r="EC282" s="1363">
        <f t="shared" ref="EC282:EC312" si="565">IFERROR(+IF(CB282="",VLOOKUP(A282,base_horaire,9,FALSE),CB282),0)</f>
        <v>0</v>
      </c>
      <c r="ED282" s="1363">
        <f>+DW282-DV282+DY282-DX282+EA282-DZ282+EC282-EB282</f>
        <v>0</v>
      </c>
      <c r="EE282" s="1364">
        <f>ROUND(+ED282*24,2)</f>
        <v>0</v>
      </c>
      <c r="EG282" s="16" t="str">
        <f>+WEEKNUM(B282,21)&amp;YEAR(B282)</f>
        <v>272026</v>
      </c>
      <c r="EH282" s="16" t="str">
        <f t="shared" ref="EH282:EH312" si="566">+A282</f>
        <v>Fiche infoA3</v>
      </c>
      <c r="EI282" s="16" t="str">
        <f t="shared" ref="EI282:EI312" si="567">+VLOOKUP(EH282,Base_heures,6,FALSE)</f>
        <v/>
      </c>
    </row>
    <row r="283" spans="1:145" x14ac:dyDescent="0.2">
      <c r="A283" s="1373" t="str">
        <f>Juillet!BJ21</f>
        <v>Fiche infoA4</v>
      </c>
      <c r="B283" s="811">
        <f>Juillet!AB21</f>
        <v>46205</v>
      </c>
      <c r="C283" s="1372"/>
      <c r="D283" s="981">
        <f t="shared" si="523"/>
        <v>0</v>
      </c>
      <c r="E283" s="434">
        <f t="shared" si="524"/>
        <v>0</v>
      </c>
      <c r="F283" s="434">
        <f t="shared" si="525"/>
        <v>0</v>
      </c>
      <c r="G283" s="434">
        <f t="shared" si="526"/>
        <v>0</v>
      </c>
      <c r="H283" s="434">
        <f t="shared" si="527"/>
        <v>0</v>
      </c>
      <c r="I283" s="434">
        <f t="shared" si="528"/>
        <v>0</v>
      </c>
      <c r="J283" s="434">
        <f t="shared" si="529"/>
        <v>0</v>
      </c>
      <c r="K283" s="434">
        <f t="shared" si="530"/>
        <v>0</v>
      </c>
      <c r="L283" s="434">
        <f t="shared" ref="L283:L312" si="568">+E283-D283+G283-F283+I283-H283+K283-J283</f>
        <v>0</v>
      </c>
      <c r="M283" s="982">
        <f t="shared" ref="M283:M312" si="569">ROUND(+L283*24,2)</f>
        <v>0</v>
      </c>
      <c r="N283" s="1374"/>
      <c r="O283" s="981">
        <f t="shared" si="531"/>
        <v>0</v>
      </c>
      <c r="P283" s="434">
        <f t="shared" si="532"/>
        <v>0</v>
      </c>
      <c r="Q283" s="434">
        <f t="shared" si="533"/>
        <v>0</v>
      </c>
      <c r="R283" s="434">
        <f t="shared" si="534"/>
        <v>0</v>
      </c>
      <c r="S283" s="434">
        <f t="shared" si="535"/>
        <v>0</v>
      </c>
      <c r="T283" s="434">
        <f t="shared" si="536"/>
        <v>0</v>
      </c>
      <c r="U283" s="434">
        <f t="shared" si="537"/>
        <v>0</v>
      </c>
      <c r="V283" s="434">
        <f t="shared" si="538"/>
        <v>0</v>
      </c>
      <c r="W283" s="434">
        <f t="shared" si="539"/>
        <v>0</v>
      </c>
      <c r="X283" s="982">
        <f t="shared" si="540"/>
        <v>0</v>
      </c>
      <c r="Y283" s="1375"/>
      <c r="Z283" s="1376">
        <f t="shared" si="541"/>
        <v>0</v>
      </c>
      <c r="AA283" s="1376">
        <f t="shared" si="542"/>
        <v>0</v>
      </c>
      <c r="AB283" s="1376">
        <f t="shared" si="543"/>
        <v>0</v>
      </c>
      <c r="AC283" s="1376">
        <f t="shared" si="544"/>
        <v>0</v>
      </c>
      <c r="AD283" s="1376">
        <f t="shared" si="545"/>
        <v>0</v>
      </c>
      <c r="AE283" s="1376">
        <f t="shared" si="546"/>
        <v>0</v>
      </c>
      <c r="AF283" s="1376">
        <f t="shared" si="547"/>
        <v>0</v>
      </c>
      <c r="AG283" s="1376">
        <f t="shared" si="548"/>
        <v>0</v>
      </c>
      <c r="AH283" s="1374"/>
      <c r="AI283" s="444">
        <f t="shared" si="549"/>
        <v>0</v>
      </c>
      <c r="AJ283" s="1090"/>
      <c r="AK283" s="1377"/>
      <c r="AL283" s="811">
        <f t="shared" si="550"/>
        <v>46205</v>
      </c>
      <c r="AM283" s="666">
        <f>IFERROR(IF(AND(AT283="",AR283&lt;&gt;S.CAL!$BJ$3,AR283&lt;&gt;S.CAL!$BJ$4,$AR$275="NON"),M283-BD283,IF(AND(AT283="",AR283&lt;&gt;S.CAL!$BJ$3,AR283&lt;&gt;S.CAL!$BJ$4,$AR$275="OUI"),X283-AI283,IF(AT283&lt;&gt;0,AT283,IF(OR(AR283=S.CAL!$BJ$3,AR283=S.CAL!$BJ$4),AR283,"")))),"")</f>
        <v>0</v>
      </c>
      <c r="AN283" s="1093"/>
      <c r="AO283" s="1094"/>
      <c r="AP283" s="666">
        <f>+IF(AND(AU283="",BB283="OUI",BH283="non",BI283="OUI"),AM283,IF(AND(AU283="",BB283="OUI",BH283="oui",BI283="NON"),AM283,IF(AND(AU283="",BB283="NON",BH283="oui",BI283="NON"),M283,IF(AND(AU283="",BB283="NON",BH283="non",BI283="OUI"),M283,IF(AND(AU283="",BB283="OUI",BH283="non",BI283="NON"),"ERREUR",IF(AND(AU283="",BB283="NON",BH283="non",BI283="NON"),AM283,IF(AND(AU283="",BB283="OUI",BH283="",BI283=""),AM283,IF(AND(AU283="",BB283="NON",BH283="",BI283="",AZ283="NON"),M283,IF(AND(AU283="",BH283="",AZ283="OUI",AR283=""),AM283,IF(AND(AU283="",BH283="",AZ283="NON",AR283="",AT283=""),M283,IF(AND(OR(AR283=S.CAL!$BJ$3,AR283=S.CAL!$BJ$4),(VLOOKUP($AM$275,base_nbre_sem_mensu,2,FALSE)=52)),EE283,IF(AND(OR(AR283=S.CAL!$BJ$3,AR283=S.CAL!$BJ$4),(VLOOKUP($AM$275,base_nbre_sem_mensu,2,FALSE)&lt;52)),AM283,IF(AND(AT283&lt;&gt;"",AU283=""),AT283,AU283)))))))))))))</f>
        <v>0</v>
      </c>
      <c r="AQ283" s="1378">
        <f t="shared" ref="AQ283:AQ312" si="570">AI283-SUM(AN283:AO283)</f>
        <v>0</v>
      </c>
      <c r="AR283" s="1098"/>
      <c r="AS283" s="1374"/>
      <c r="AT283" s="1101"/>
      <c r="AU283" s="813"/>
      <c r="AV283" s="1370">
        <f t="shared" si="551"/>
        <v>46205</v>
      </c>
      <c r="AW283" s="1374"/>
      <c r="AX283" s="511">
        <f t="shared" ref="AX283:AX312" si="571">+AV283</f>
        <v>46205</v>
      </c>
      <c r="AY283" s="523">
        <f t="shared" ref="AY283:AY312" si="572">+IF(M283-X283&lt;0,0,M283-X283)</f>
        <v>0</v>
      </c>
      <c r="AZ283" s="520" t="s">
        <v>137</v>
      </c>
      <c r="BA283" s="516">
        <f t="shared" ref="BA283:BA312" si="573">+IF(AZ283="OUI",AY283,0)</f>
        <v>0</v>
      </c>
      <c r="BB283" s="549" t="str">
        <f t="shared" si="552"/>
        <v/>
      </c>
      <c r="BC283" s="523">
        <f t="shared" ref="BC283:BC312" si="574">+IF(BB283="OUI",IFERROR(M283-AT283,M283),0)</f>
        <v>0</v>
      </c>
      <c r="BD283" s="523">
        <f t="shared" ref="BD283:BD312" si="575">+BC283+BA283</f>
        <v>0</v>
      </c>
      <c r="BE283" s="732"/>
      <c r="BF283" s="514" t="str">
        <f t="shared" si="553"/>
        <v/>
      </c>
      <c r="BG283" s="514" t="str">
        <f t="shared" ref="BG283:BG312" si="576">+IF(AND(M283=0,AT283=""),"oui","non")</f>
        <v>oui</v>
      </c>
      <c r="BH283" s="377" t="str">
        <f t="shared" si="554"/>
        <v/>
      </c>
      <c r="BI283" s="24" t="str">
        <f t="shared" si="555"/>
        <v/>
      </c>
      <c r="BJ283" s="1382"/>
      <c r="BK283" s="1382"/>
      <c r="BL283" s="1382"/>
      <c r="BM283" s="1382"/>
      <c r="BN283" s="1382"/>
      <c r="BO283" s="1382"/>
      <c r="BP283" s="1382"/>
      <c r="BQ283" s="1382"/>
      <c r="BR283" s="1383"/>
      <c r="BS283" s="1370">
        <f t="shared" si="522"/>
        <v>46205</v>
      </c>
      <c r="BT283" s="1384" t="str">
        <f>IFERROR(IF(WEEKDAY(BS283,11)=1,WEEKNUM(BS283,21),""),"")</f>
        <v/>
      </c>
      <c r="BU283" s="1382"/>
      <c r="BV283" s="1382"/>
      <c r="BW283" s="1382"/>
      <c r="BX283" s="1382"/>
      <c r="BY283" s="1382"/>
      <c r="BZ283" s="1382"/>
      <c r="CA283" s="1382"/>
      <c r="CB283" s="1382"/>
      <c r="CD283" s="1386">
        <f t="shared" ref="CD283:CD312" si="577">+M283</f>
        <v>0</v>
      </c>
      <c r="DC283" s="16" t="str">
        <f>Juillet!FC21</f>
        <v>non</v>
      </c>
      <c r="DG283" s="315">
        <f t="shared" ref="DG283:DG312" si="578">IF(OR(AT283=0,AT283=""),1,10)</f>
        <v>1</v>
      </c>
      <c r="DH283" s="129">
        <f t="shared" si="556"/>
        <v>10</v>
      </c>
      <c r="DI283" s="129">
        <f t="shared" ref="DI283:DI312" si="579">+IF(OR(DG283=1,DH283=1),1,10)</f>
        <v>1</v>
      </c>
      <c r="DK283" s="16">
        <f>+IF(AND(Juillet!$DP$8&lt;&gt;52,AR283=S.CAL!$BJ$4),10,1)</f>
        <v>1</v>
      </c>
      <c r="DN283" s="16">
        <f t="shared" si="557"/>
        <v>1</v>
      </c>
      <c r="DU283" s="1274" t="str">
        <f t="shared" ref="DU283:DU312" si="580">+A283&amp;B283</f>
        <v>Fiche infoA446205</v>
      </c>
      <c r="DV283" s="1362">
        <f t="shared" si="558"/>
        <v>0</v>
      </c>
      <c r="DW283" s="1363">
        <f t="shared" si="559"/>
        <v>0</v>
      </c>
      <c r="DX283" s="1363">
        <f t="shared" si="560"/>
        <v>0</v>
      </c>
      <c r="DY283" s="1363">
        <f t="shared" si="561"/>
        <v>0</v>
      </c>
      <c r="DZ283" s="1363">
        <f t="shared" si="562"/>
        <v>0</v>
      </c>
      <c r="EA283" s="1363">
        <f t="shared" si="563"/>
        <v>0</v>
      </c>
      <c r="EB283" s="1363">
        <f t="shared" si="564"/>
        <v>0</v>
      </c>
      <c r="EC283" s="1363">
        <f t="shared" si="565"/>
        <v>0</v>
      </c>
      <c r="ED283" s="1363">
        <f t="shared" ref="ED283:ED312" si="581">+DW283-DV283+DY283-DX283+EA283-DZ283+EC283-EB283</f>
        <v>0</v>
      </c>
      <c r="EE283" s="1364">
        <f t="shared" ref="EE283:EE312" si="582">ROUND(+ED283*24,2)</f>
        <v>0</v>
      </c>
      <c r="EG283" s="16" t="str">
        <f t="shared" ref="EG283:EG312" si="583">+WEEKNUM(B283,21)&amp;YEAR(B283)</f>
        <v>272026</v>
      </c>
      <c r="EH283" s="16" t="str">
        <f t="shared" si="566"/>
        <v>Fiche infoA4</v>
      </c>
      <c r="EI283" s="16" t="str">
        <f t="shared" si="567"/>
        <v/>
      </c>
    </row>
    <row r="284" spans="1:145" x14ac:dyDescent="0.2">
      <c r="A284" s="24" t="str">
        <f>Juillet!BJ22</f>
        <v>Fiche infoA5</v>
      </c>
      <c r="B284" s="811">
        <f>Juillet!AB22</f>
        <v>46206</v>
      </c>
      <c r="C284" s="1371"/>
      <c r="D284" s="981">
        <f t="shared" si="523"/>
        <v>0</v>
      </c>
      <c r="E284" s="434">
        <f t="shared" si="524"/>
        <v>0</v>
      </c>
      <c r="F284" s="434">
        <f t="shared" si="525"/>
        <v>0</v>
      </c>
      <c r="G284" s="434">
        <f t="shared" si="526"/>
        <v>0</v>
      </c>
      <c r="H284" s="434">
        <f t="shared" si="527"/>
        <v>0</v>
      </c>
      <c r="I284" s="434">
        <f t="shared" si="528"/>
        <v>0</v>
      </c>
      <c r="J284" s="434">
        <f t="shared" si="529"/>
        <v>0</v>
      </c>
      <c r="K284" s="434">
        <f t="shared" si="530"/>
        <v>0</v>
      </c>
      <c r="L284" s="434">
        <f t="shared" si="568"/>
        <v>0</v>
      </c>
      <c r="M284" s="982">
        <f t="shared" si="569"/>
        <v>0</v>
      </c>
      <c r="O284" s="981">
        <f t="shared" si="531"/>
        <v>0</v>
      </c>
      <c r="P284" s="434">
        <f t="shared" si="532"/>
        <v>0</v>
      </c>
      <c r="Q284" s="434">
        <f t="shared" si="533"/>
        <v>0</v>
      </c>
      <c r="R284" s="434">
        <f t="shared" si="534"/>
        <v>0</v>
      </c>
      <c r="S284" s="434">
        <f t="shared" si="535"/>
        <v>0</v>
      </c>
      <c r="T284" s="434">
        <f t="shared" si="536"/>
        <v>0</v>
      </c>
      <c r="U284" s="434">
        <f t="shared" si="537"/>
        <v>0</v>
      </c>
      <c r="V284" s="434">
        <f t="shared" si="538"/>
        <v>0</v>
      </c>
      <c r="W284" s="434">
        <f t="shared" si="539"/>
        <v>0</v>
      </c>
      <c r="X284" s="982">
        <f t="shared" si="540"/>
        <v>0</v>
      </c>
      <c r="Y284" s="441"/>
      <c r="Z284" s="277">
        <f t="shared" si="541"/>
        <v>0</v>
      </c>
      <c r="AA284" s="277">
        <f t="shared" si="542"/>
        <v>0</v>
      </c>
      <c r="AB284" s="277">
        <f t="shared" si="543"/>
        <v>0</v>
      </c>
      <c r="AC284" s="277">
        <f t="shared" si="544"/>
        <v>0</v>
      </c>
      <c r="AD284" s="277">
        <f t="shared" si="545"/>
        <v>0</v>
      </c>
      <c r="AE284" s="277">
        <f t="shared" si="546"/>
        <v>0</v>
      </c>
      <c r="AF284" s="277">
        <f t="shared" si="547"/>
        <v>0</v>
      </c>
      <c r="AG284" s="277">
        <f t="shared" si="548"/>
        <v>0</v>
      </c>
      <c r="AI284" s="444">
        <f t="shared" si="549"/>
        <v>0</v>
      </c>
      <c r="AJ284" s="1090"/>
      <c r="AK284" s="489"/>
      <c r="AL284" s="811">
        <f t="shared" si="550"/>
        <v>46206</v>
      </c>
      <c r="AM284" s="666">
        <f>IFERROR(IF(AND(AT284="",AR284&lt;&gt;S.CAL!$BJ$3,AR284&lt;&gt;S.CAL!$BJ$4,$AR$275="NON"),M284-BD284,IF(AND(AT284="",AR284&lt;&gt;S.CAL!$BJ$3,AR284&lt;&gt;S.CAL!$BJ$4,$AR$275="OUI"),X284-AI284,IF(AT284&lt;&gt;0,AT284,IF(OR(AR284=S.CAL!$BJ$3,AR284=S.CAL!$BJ$4),AR284,"")))),"")</f>
        <v>0</v>
      </c>
      <c r="AN284" s="1093"/>
      <c r="AO284" s="1094"/>
      <c r="AP284" s="666">
        <f>+IF(AND(AU284="",BB284="OUI",BH284="non",BI284="OUI"),AM284,IF(AND(AU284="",BB284="OUI",BH284="oui",BI284="NON"),AM284,IF(AND(AU284="",BB284="NON",BH284="oui",BI284="NON"),M284,IF(AND(AU284="",BB284="NON",BH284="non",BI284="OUI"),M284,IF(AND(AU284="",BB284="OUI",BH284="non",BI284="NON"),"ERREUR",IF(AND(AU284="",BB284="NON",BH284="non",BI284="NON"),AM284,IF(AND(AU284="",BB284="OUI",BH284="",BI284=""),AM284,IF(AND(AU284="",BB284="NON",BH284="",BI284="",AZ284="NON"),M284,IF(AND(AU284="",BH284="",AZ284="OUI",AR284=""),AM284,IF(AND(AU284="",BH284="",AZ284="NON",AR284="",AT284=""),M284,IF(AND(OR(AR284=S.CAL!$BJ$3,AR284=S.CAL!$BJ$4),(VLOOKUP($AM$275,base_nbre_sem_mensu,2,FALSE)=52)),EE284,IF(AND(OR(AR284=S.CAL!$BJ$3,AR284=S.CAL!$BJ$4),(VLOOKUP($AM$275,base_nbre_sem_mensu,2,FALSE)&lt;52)),AM284,IF(AND(AT284&lt;&gt;"",AU284=""),AT284,AU284)))))))))))))</f>
        <v>0</v>
      </c>
      <c r="AQ284" s="498">
        <f t="shared" si="570"/>
        <v>0</v>
      </c>
      <c r="AR284" s="1098"/>
      <c r="AT284" s="1101"/>
      <c r="AU284" s="813"/>
      <c r="AV284" s="1370">
        <f t="shared" si="551"/>
        <v>46206</v>
      </c>
      <c r="AX284" s="511">
        <f t="shared" si="571"/>
        <v>46206</v>
      </c>
      <c r="AY284" s="523">
        <f t="shared" si="572"/>
        <v>0</v>
      </c>
      <c r="AZ284" s="520" t="s">
        <v>137</v>
      </c>
      <c r="BA284" s="516">
        <f t="shared" si="573"/>
        <v>0</v>
      </c>
      <c r="BB284" s="549" t="str">
        <f t="shared" si="552"/>
        <v/>
      </c>
      <c r="BC284" s="523">
        <f t="shared" si="574"/>
        <v>0</v>
      </c>
      <c r="BD284" s="523">
        <f t="shared" si="575"/>
        <v>0</v>
      </c>
      <c r="BE284" s="732"/>
      <c r="BF284" s="514" t="str">
        <f t="shared" si="553"/>
        <v/>
      </c>
      <c r="BG284" s="514" t="str">
        <f t="shared" si="576"/>
        <v>oui</v>
      </c>
      <c r="BH284" s="377" t="str">
        <f t="shared" si="554"/>
        <v/>
      </c>
      <c r="BI284" s="24" t="str">
        <f t="shared" si="555"/>
        <v/>
      </c>
      <c r="BJ284" s="1381"/>
      <c r="BK284" s="1381"/>
      <c r="BL284" s="1381"/>
      <c r="BM284" s="1381"/>
      <c r="BN284" s="1381"/>
      <c r="BO284" s="1381"/>
      <c r="BP284" s="1381"/>
      <c r="BQ284" s="1381"/>
      <c r="BS284" s="1370">
        <f t="shared" si="522"/>
        <v>46206</v>
      </c>
      <c r="BT284" s="27" t="str">
        <f t="shared" ref="BT284:BT312" si="584">IFERROR(IF(WEEKDAY(BS284,11)=1,WEEKNUM(BS284,21),""),"")</f>
        <v/>
      </c>
      <c r="BU284" s="1380"/>
      <c r="BV284" s="1380"/>
      <c r="BW284" s="1380"/>
      <c r="BX284" s="1380"/>
      <c r="BY284" s="1380"/>
      <c r="BZ284" s="1380"/>
      <c r="CA284" s="1380"/>
      <c r="CB284" s="1380"/>
      <c r="CD284" s="1386">
        <f t="shared" si="577"/>
        <v>0</v>
      </c>
      <c r="DC284" s="16" t="str">
        <f>Juillet!FC22</f>
        <v>non</v>
      </c>
      <c r="DG284" s="315">
        <f t="shared" si="578"/>
        <v>1</v>
      </c>
      <c r="DH284" s="129">
        <f t="shared" si="556"/>
        <v>10</v>
      </c>
      <c r="DI284" s="129">
        <f t="shared" si="579"/>
        <v>1</v>
      </c>
      <c r="DK284" s="16">
        <f>+IF(AND(Juillet!$DP$8&lt;&gt;52,AR284=S.CAL!$BJ$4),10,1)</f>
        <v>1</v>
      </c>
      <c r="DN284" s="16">
        <f t="shared" si="557"/>
        <v>1</v>
      </c>
      <c r="DU284" s="1274" t="str">
        <f t="shared" si="580"/>
        <v>Fiche infoA546206</v>
      </c>
      <c r="DV284" s="1362">
        <f t="shared" si="558"/>
        <v>0</v>
      </c>
      <c r="DW284" s="1363">
        <f t="shared" si="559"/>
        <v>0</v>
      </c>
      <c r="DX284" s="1363">
        <f t="shared" si="560"/>
        <v>0</v>
      </c>
      <c r="DY284" s="1363">
        <f t="shared" si="561"/>
        <v>0</v>
      </c>
      <c r="DZ284" s="1363">
        <f t="shared" si="562"/>
        <v>0</v>
      </c>
      <c r="EA284" s="1363">
        <f t="shared" si="563"/>
        <v>0</v>
      </c>
      <c r="EB284" s="1363">
        <f t="shared" si="564"/>
        <v>0</v>
      </c>
      <c r="EC284" s="1363">
        <f t="shared" si="565"/>
        <v>0</v>
      </c>
      <c r="ED284" s="1363">
        <f t="shared" si="581"/>
        <v>0</v>
      </c>
      <c r="EE284" s="1364">
        <f t="shared" si="582"/>
        <v>0</v>
      </c>
      <c r="EG284" s="16" t="str">
        <f t="shared" si="583"/>
        <v>272026</v>
      </c>
      <c r="EH284" s="16" t="str">
        <f t="shared" si="566"/>
        <v>Fiche infoA5</v>
      </c>
      <c r="EI284" s="16" t="str">
        <f t="shared" si="567"/>
        <v/>
      </c>
    </row>
    <row r="285" spans="1:145" x14ac:dyDescent="0.2">
      <c r="A285" s="1373" t="str">
        <f>Juillet!BJ23</f>
        <v>Fiche infoA6</v>
      </c>
      <c r="B285" s="811">
        <f>Juillet!AB23</f>
        <v>46207</v>
      </c>
      <c r="C285" s="1372"/>
      <c r="D285" s="981">
        <f t="shared" si="523"/>
        <v>0</v>
      </c>
      <c r="E285" s="434">
        <f t="shared" si="524"/>
        <v>0</v>
      </c>
      <c r="F285" s="434">
        <f t="shared" si="525"/>
        <v>0</v>
      </c>
      <c r="G285" s="434">
        <f t="shared" si="526"/>
        <v>0</v>
      </c>
      <c r="H285" s="434">
        <f t="shared" si="527"/>
        <v>0</v>
      </c>
      <c r="I285" s="434">
        <f t="shared" si="528"/>
        <v>0</v>
      </c>
      <c r="J285" s="434">
        <f t="shared" si="529"/>
        <v>0</v>
      </c>
      <c r="K285" s="434">
        <f t="shared" si="530"/>
        <v>0</v>
      </c>
      <c r="L285" s="434">
        <f t="shared" si="568"/>
        <v>0</v>
      </c>
      <c r="M285" s="982">
        <f t="shared" si="569"/>
        <v>0</v>
      </c>
      <c r="N285" s="1374"/>
      <c r="O285" s="981">
        <f t="shared" si="531"/>
        <v>0</v>
      </c>
      <c r="P285" s="434">
        <f t="shared" si="532"/>
        <v>0</v>
      </c>
      <c r="Q285" s="434">
        <f t="shared" si="533"/>
        <v>0</v>
      </c>
      <c r="R285" s="434">
        <f t="shared" si="534"/>
        <v>0</v>
      </c>
      <c r="S285" s="434">
        <f t="shared" si="535"/>
        <v>0</v>
      </c>
      <c r="T285" s="434">
        <f t="shared" si="536"/>
        <v>0</v>
      </c>
      <c r="U285" s="434">
        <f t="shared" si="537"/>
        <v>0</v>
      </c>
      <c r="V285" s="434">
        <f t="shared" si="538"/>
        <v>0</v>
      </c>
      <c r="W285" s="434">
        <f t="shared" si="539"/>
        <v>0</v>
      </c>
      <c r="X285" s="982">
        <f t="shared" si="540"/>
        <v>0</v>
      </c>
      <c r="Y285" s="1375"/>
      <c r="Z285" s="1376">
        <f t="shared" si="541"/>
        <v>0</v>
      </c>
      <c r="AA285" s="1376">
        <f t="shared" si="542"/>
        <v>0</v>
      </c>
      <c r="AB285" s="1376">
        <f t="shared" si="543"/>
        <v>0</v>
      </c>
      <c r="AC285" s="1376">
        <f t="shared" si="544"/>
        <v>0</v>
      </c>
      <c r="AD285" s="1376">
        <f t="shared" si="545"/>
        <v>0</v>
      </c>
      <c r="AE285" s="1376">
        <f t="shared" si="546"/>
        <v>0</v>
      </c>
      <c r="AF285" s="1376">
        <f t="shared" si="547"/>
        <v>0</v>
      </c>
      <c r="AG285" s="1376">
        <f t="shared" si="548"/>
        <v>0</v>
      </c>
      <c r="AH285" s="1374"/>
      <c r="AI285" s="444">
        <f t="shared" si="549"/>
        <v>0</v>
      </c>
      <c r="AJ285" s="1090"/>
      <c r="AK285" s="1377"/>
      <c r="AL285" s="811">
        <f t="shared" si="550"/>
        <v>46207</v>
      </c>
      <c r="AM285" s="666">
        <f>IFERROR(IF(AND(AT285="",AR285&lt;&gt;S.CAL!$BJ$3,AR285&lt;&gt;S.CAL!$BJ$4,$AR$275="NON"),M285-BD285,IF(AND(AT285="",AR285&lt;&gt;S.CAL!$BJ$3,AR285&lt;&gt;S.CAL!$BJ$4,$AR$275="OUI"),X285-AI285,IF(AT285&lt;&gt;0,AT285,IF(OR(AR285=S.CAL!$BJ$3,AR285=S.CAL!$BJ$4),AR285,"")))),"")</f>
        <v>0</v>
      </c>
      <c r="AN285" s="1093"/>
      <c r="AO285" s="1094"/>
      <c r="AP285" s="666">
        <f>+IF(AND(AU285="",BB285="OUI",BH285="non",BI285="OUI"),AM285,IF(AND(AU285="",BB285="OUI",BH285="oui",BI285="NON"),AM285,IF(AND(AU285="",BB285="NON",BH285="oui",BI285="NON"),M285,IF(AND(AU285="",BB285="NON",BH285="non",BI285="OUI"),M285,IF(AND(AU285="",BB285="OUI",BH285="non",BI285="NON"),"ERREUR",IF(AND(AU285="",BB285="NON",BH285="non",BI285="NON"),AM285,IF(AND(AU285="",BB285="OUI",BH285="",BI285=""),AM285,IF(AND(AU285="",BB285="NON",BH285="",BI285="",AZ285="NON"),M285,IF(AND(AU285="",BH285="",AZ285="OUI",AR285=""),AM285,IF(AND(AU285="",BH285="",AZ285="NON",AR285="",AT285=""),M285,IF(AND(OR(AR285=S.CAL!$BJ$3,AR285=S.CAL!$BJ$4),(VLOOKUP($AM$275,base_nbre_sem_mensu,2,FALSE)=52)),EE285,IF(AND(OR(AR285=S.CAL!$BJ$3,AR285=S.CAL!$BJ$4),(VLOOKUP($AM$275,base_nbre_sem_mensu,2,FALSE)&lt;52)),AM285,IF(AND(AT285&lt;&gt;"",AU285=""),AT285,AU285)))))))))))))</f>
        <v>0</v>
      </c>
      <c r="AQ285" s="1378">
        <f t="shared" si="570"/>
        <v>0</v>
      </c>
      <c r="AR285" s="1098"/>
      <c r="AS285" s="1374"/>
      <c r="AT285" s="1101"/>
      <c r="AU285" s="813"/>
      <c r="AV285" s="1370">
        <f t="shared" si="551"/>
        <v>46207</v>
      </c>
      <c r="AW285" s="1374"/>
      <c r="AX285" s="511">
        <f t="shared" si="571"/>
        <v>46207</v>
      </c>
      <c r="AY285" s="523">
        <f t="shared" si="572"/>
        <v>0</v>
      </c>
      <c r="AZ285" s="520" t="s">
        <v>137</v>
      </c>
      <c r="BA285" s="516">
        <f t="shared" si="573"/>
        <v>0</v>
      </c>
      <c r="BB285" s="549" t="str">
        <f t="shared" si="552"/>
        <v/>
      </c>
      <c r="BC285" s="523">
        <f t="shared" si="574"/>
        <v>0</v>
      </c>
      <c r="BD285" s="523">
        <f t="shared" si="575"/>
        <v>0</v>
      </c>
      <c r="BE285" s="732"/>
      <c r="BF285" s="514" t="str">
        <f t="shared" si="553"/>
        <v/>
      </c>
      <c r="BG285" s="514" t="str">
        <f t="shared" si="576"/>
        <v>oui</v>
      </c>
      <c r="BH285" s="377" t="str">
        <f t="shared" si="554"/>
        <v/>
      </c>
      <c r="BI285" s="24" t="str">
        <f t="shared" si="555"/>
        <v/>
      </c>
      <c r="BJ285" s="1382"/>
      <c r="BK285" s="1382"/>
      <c r="BL285" s="1382"/>
      <c r="BM285" s="1382"/>
      <c r="BN285" s="1382"/>
      <c r="BO285" s="1382"/>
      <c r="BP285" s="1382"/>
      <c r="BQ285" s="1382"/>
      <c r="BR285" s="1383"/>
      <c r="BS285" s="1370">
        <f t="shared" si="522"/>
        <v>46207</v>
      </c>
      <c r="BT285" s="1384" t="str">
        <f t="shared" si="584"/>
        <v/>
      </c>
      <c r="BU285" s="1382"/>
      <c r="BV285" s="1382"/>
      <c r="BW285" s="1382"/>
      <c r="BX285" s="1382"/>
      <c r="BY285" s="1382"/>
      <c r="BZ285" s="1382"/>
      <c r="CA285" s="1382"/>
      <c r="CB285" s="1382"/>
      <c r="CD285" s="1386">
        <f t="shared" si="577"/>
        <v>0</v>
      </c>
      <c r="DC285" s="16" t="str">
        <f>Juillet!FC23</f>
        <v>non</v>
      </c>
      <c r="DG285" s="315">
        <f t="shared" si="578"/>
        <v>1</v>
      </c>
      <c r="DH285" s="129">
        <f t="shared" si="556"/>
        <v>10</v>
      </c>
      <c r="DI285" s="129">
        <f t="shared" si="579"/>
        <v>1</v>
      </c>
      <c r="DK285" s="16">
        <f>+IF(AND(Juillet!$DP$8&lt;&gt;52,AR285=S.CAL!$BJ$4),10,1)</f>
        <v>1</v>
      </c>
      <c r="DN285" s="16">
        <f t="shared" si="557"/>
        <v>1</v>
      </c>
      <c r="DU285" s="1274" t="str">
        <f t="shared" si="580"/>
        <v>Fiche infoA646207</v>
      </c>
      <c r="DV285" s="1362">
        <f t="shared" si="558"/>
        <v>0</v>
      </c>
      <c r="DW285" s="1363">
        <f t="shared" si="559"/>
        <v>0</v>
      </c>
      <c r="DX285" s="1363">
        <f t="shared" si="560"/>
        <v>0</v>
      </c>
      <c r="DY285" s="1363">
        <f t="shared" si="561"/>
        <v>0</v>
      </c>
      <c r="DZ285" s="1363">
        <f t="shared" si="562"/>
        <v>0</v>
      </c>
      <c r="EA285" s="1363">
        <f t="shared" si="563"/>
        <v>0</v>
      </c>
      <c r="EB285" s="1363">
        <f t="shared" si="564"/>
        <v>0</v>
      </c>
      <c r="EC285" s="1363">
        <f t="shared" si="565"/>
        <v>0</v>
      </c>
      <c r="ED285" s="1363">
        <f t="shared" si="581"/>
        <v>0</v>
      </c>
      <c r="EE285" s="1364">
        <f t="shared" si="582"/>
        <v>0</v>
      </c>
      <c r="EG285" s="16" t="str">
        <f t="shared" si="583"/>
        <v>272026</v>
      </c>
      <c r="EH285" s="16" t="str">
        <f t="shared" si="566"/>
        <v>Fiche infoA6</v>
      </c>
      <c r="EI285" s="16" t="str">
        <f t="shared" si="567"/>
        <v/>
      </c>
    </row>
    <row r="286" spans="1:145" x14ac:dyDescent="0.2">
      <c r="A286" s="24" t="str">
        <f>Juillet!BJ24</f>
        <v>Fiche infoA7</v>
      </c>
      <c r="B286" s="811">
        <f>Juillet!AB24</f>
        <v>46208</v>
      </c>
      <c r="C286" s="1371"/>
      <c r="D286" s="981">
        <f t="shared" si="523"/>
        <v>0</v>
      </c>
      <c r="E286" s="434">
        <f t="shared" si="524"/>
        <v>0</v>
      </c>
      <c r="F286" s="434">
        <f t="shared" si="525"/>
        <v>0</v>
      </c>
      <c r="G286" s="434">
        <f t="shared" si="526"/>
        <v>0</v>
      </c>
      <c r="H286" s="434">
        <f t="shared" si="527"/>
        <v>0</v>
      </c>
      <c r="I286" s="434">
        <f t="shared" si="528"/>
        <v>0</v>
      </c>
      <c r="J286" s="434">
        <f t="shared" si="529"/>
        <v>0</v>
      </c>
      <c r="K286" s="434">
        <f t="shared" si="530"/>
        <v>0</v>
      </c>
      <c r="L286" s="434">
        <f t="shared" si="568"/>
        <v>0</v>
      </c>
      <c r="M286" s="982">
        <f t="shared" si="569"/>
        <v>0</v>
      </c>
      <c r="O286" s="981">
        <f t="shared" si="531"/>
        <v>0</v>
      </c>
      <c r="P286" s="434">
        <f t="shared" si="532"/>
        <v>0</v>
      </c>
      <c r="Q286" s="434">
        <f t="shared" si="533"/>
        <v>0</v>
      </c>
      <c r="R286" s="434">
        <f t="shared" si="534"/>
        <v>0</v>
      </c>
      <c r="S286" s="434">
        <f t="shared" si="535"/>
        <v>0</v>
      </c>
      <c r="T286" s="434">
        <f t="shared" si="536"/>
        <v>0</v>
      </c>
      <c r="U286" s="434">
        <f t="shared" si="537"/>
        <v>0</v>
      </c>
      <c r="V286" s="434">
        <f t="shared" si="538"/>
        <v>0</v>
      </c>
      <c r="W286" s="434">
        <f t="shared" si="539"/>
        <v>0</v>
      </c>
      <c r="X286" s="982">
        <f t="shared" si="540"/>
        <v>0</v>
      </c>
      <c r="Y286" s="441"/>
      <c r="Z286" s="277">
        <f t="shared" si="541"/>
        <v>0</v>
      </c>
      <c r="AA286" s="277">
        <f t="shared" si="542"/>
        <v>0</v>
      </c>
      <c r="AB286" s="277">
        <f t="shared" si="543"/>
        <v>0</v>
      </c>
      <c r="AC286" s="277">
        <f t="shared" si="544"/>
        <v>0</v>
      </c>
      <c r="AD286" s="277">
        <f t="shared" si="545"/>
        <v>0</v>
      </c>
      <c r="AE286" s="277">
        <f t="shared" si="546"/>
        <v>0</v>
      </c>
      <c r="AF286" s="277">
        <f t="shared" si="547"/>
        <v>0</v>
      </c>
      <c r="AG286" s="277">
        <f t="shared" si="548"/>
        <v>0</v>
      </c>
      <c r="AI286" s="444">
        <f t="shared" si="549"/>
        <v>0</v>
      </c>
      <c r="AJ286" s="1090"/>
      <c r="AK286" s="489"/>
      <c r="AL286" s="811">
        <f t="shared" si="550"/>
        <v>46208</v>
      </c>
      <c r="AM286" s="666">
        <f>IFERROR(IF(AND(AT286="",AR286&lt;&gt;S.CAL!$BJ$3,AR286&lt;&gt;S.CAL!$BJ$4,$AR$275="NON"),M286-BD286,IF(AND(AT286="",AR286&lt;&gt;S.CAL!$BJ$3,AR286&lt;&gt;S.CAL!$BJ$4,$AR$275="OUI"),X286-AI286,IF(AT286&lt;&gt;0,AT286,IF(OR(AR286=S.CAL!$BJ$3,AR286=S.CAL!$BJ$4),AR286,"")))),"")</f>
        <v>0</v>
      </c>
      <c r="AN286" s="1093"/>
      <c r="AO286" s="1094"/>
      <c r="AP286" s="666">
        <f>+IF(AND(AU286="",BB286="OUI",BH286="non",BI286="OUI"),AM286,IF(AND(AU286="",BB286="OUI",BH286="oui",BI286="NON"),AM286,IF(AND(AU286="",BB286="NON",BH286="oui",BI286="NON"),M286,IF(AND(AU286="",BB286="NON",BH286="non",BI286="OUI"),M286,IF(AND(AU286="",BB286="OUI",BH286="non",BI286="NON"),"ERREUR",IF(AND(AU286="",BB286="NON",BH286="non",BI286="NON"),AM286,IF(AND(AU286="",BB286="OUI",BH286="",BI286=""),AM286,IF(AND(AU286="",BB286="NON",BH286="",BI286="",AZ286="NON"),M286,IF(AND(AU286="",BH286="",AZ286="OUI",AR286=""),AM286,IF(AND(AU286="",BH286="",AZ286="NON",AR286="",AT286=""),M286,IF(AND(OR(AR286=S.CAL!$BJ$3,AR286=S.CAL!$BJ$4),(VLOOKUP($AM$275,base_nbre_sem_mensu,2,FALSE)=52)),EE286,IF(AND(OR(AR286=S.CAL!$BJ$3,AR286=S.CAL!$BJ$4),(VLOOKUP($AM$275,base_nbre_sem_mensu,2,FALSE)&lt;52)),AM286,IF(AND(AT286&lt;&gt;"",AU286=""),AT286,AU286)))))))))))))</f>
        <v>0</v>
      </c>
      <c r="AQ286" s="498">
        <f t="shared" si="570"/>
        <v>0</v>
      </c>
      <c r="AR286" s="1098"/>
      <c r="AT286" s="1101"/>
      <c r="AU286" s="813"/>
      <c r="AV286" s="1370">
        <f t="shared" si="551"/>
        <v>46208</v>
      </c>
      <c r="AX286" s="511">
        <f t="shared" si="571"/>
        <v>46208</v>
      </c>
      <c r="AY286" s="523">
        <f t="shared" si="572"/>
        <v>0</v>
      </c>
      <c r="AZ286" s="520" t="s">
        <v>137</v>
      </c>
      <c r="BA286" s="516">
        <f t="shared" si="573"/>
        <v>0</v>
      </c>
      <c r="BB286" s="549" t="str">
        <f t="shared" si="552"/>
        <v/>
      </c>
      <c r="BC286" s="523">
        <f t="shared" si="574"/>
        <v>0</v>
      </c>
      <c r="BD286" s="523">
        <f t="shared" si="575"/>
        <v>0</v>
      </c>
      <c r="BE286" s="732"/>
      <c r="BF286" s="514" t="str">
        <f t="shared" si="553"/>
        <v/>
      </c>
      <c r="BG286" s="514" t="str">
        <f t="shared" si="576"/>
        <v>oui</v>
      </c>
      <c r="BH286" s="377" t="str">
        <f t="shared" si="554"/>
        <v/>
      </c>
      <c r="BI286" s="24" t="str">
        <f t="shared" si="555"/>
        <v/>
      </c>
      <c r="BJ286" s="1381"/>
      <c r="BK286" s="1381"/>
      <c r="BL286" s="1381"/>
      <c r="BM286" s="1381"/>
      <c r="BN286" s="1381"/>
      <c r="BO286" s="1381"/>
      <c r="BP286" s="1381"/>
      <c r="BQ286" s="1381"/>
      <c r="BS286" s="1370">
        <f t="shared" si="522"/>
        <v>46208</v>
      </c>
      <c r="BT286" s="27" t="str">
        <f t="shared" si="584"/>
        <v/>
      </c>
      <c r="BU286" s="1380"/>
      <c r="BV286" s="1380"/>
      <c r="BW286" s="1380"/>
      <c r="BX286" s="1380"/>
      <c r="BY286" s="1380"/>
      <c r="BZ286" s="1380"/>
      <c r="CA286" s="1380"/>
      <c r="CB286" s="1380"/>
      <c r="CD286" s="1386">
        <f t="shared" si="577"/>
        <v>0</v>
      </c>
      <c r="DC286" s="16" t="str">
        <f>Juillet!FC24</f>
        <v>non</v>
      </c>
      <c r="DG286" s="315">
        <f t="shared" si="578"/>
        <v>1</v>
      </c>
      <c r="DH286" s="129">
        <f t="shared" si="556"/>
        <v>10</v>
      </c>
      <c r="DI286" s="129">
        <f t="shared" si="579"/>
        <v>1</v>
      </c>
      <c r="DK286" s="16">
        <f>+IF(AND(Juillet!$DP$8&lt;&gt;52,AR286=S.CAL!$BJ$4),10,1)</f>
        <v>1</v>
      </c>
      <c r="DN286" s="16">
        <f t="shared" si="557"/>
        <v>1</v>
      </c>
      <c r="DU286" s="1274" t="str">
        <f t="shared" si="580"/>
        <v>Fiche infoA746208</v>
      </c>
      <c r="DV286" s="1362">
        <f t="shared" si="558"/>
        <v>0</v>
      </c>
      <c r="DW286" s="1363">
        <f t="shared" si="559"/>
        <v>0</v>
      </c>
      <c r="DX286" s="1363">
        <f t="shared" si="560"/>
        <v>0</v>
      </c>
      <c r="DY286" s="1363">
        <f t="shared" si="561"/>
        <v>0</v>
      </c>
      <c r="DZ286" s="1363">
        <f t="shared" si="562"/>
        <v>0</v>
      </c>
      <c r="EA286" s="1363">
        <f t="shared" si="563"/>
        <v>0</v>
      </c>
      <c r="EB286" s="1363">
        <f t="shared" si="564"/>
        <v>0</v>
      </c>
      <c r="EC286" s="1363">
        <f t="shared" si="565"/>
        <v>0</v>
      </c>
      <c r="ED286" s="1363">
        <f t="shared" si="581"/>
        <v>0</v>
      </c>
      <c r="EE286" s="1364">
        <f t="shared" si="582"/>
        <v>0</v>
      </c>
      <c r="EG286" s="16" t="str">
        <f t="shared" si="583"/>
        <v>272026</v>
      </c>
      <c r="EH286" s="16" t="str">
        <f t="shared" si="566"/>
        <v>Fiche infoA7</v>
      </c>
      <c r="EI286" s="16" t="str">
        <f t="shared" si="567"/>
        <v/>
      </c>
    </row>
    <row r="287" spans="1:145" x14ac:dyDescent="0.2">
      <c r="A287" s="1373" t="str">
        <f>Juillet!BJ25</f>
        <v>Fiche infoA1</v>
      </c>
      <c r="B287" s="811">
        <f>Juillet!AB25</f>
        <v>46209</v>
      </c>
      <c r="C287" s="1372"/>
      <c r="D287" s="981">
        <f t="shared" si="523"/>
        <v>0</v>
      </c>
      <c r="E287" s="434">
        <f t="shared" si="524"/>
        <v>0</v>
      </c>
      <c r="F287" s="434">
        <f t="shared" si="525"/>
        <v>0</v>
      </c>
      <c r="G287" s="434">
        <f t="shared" si="526"/>
        <v>0</v>
      </c>
      <c r="H287" s="434">
        <f t="shared" si="527"/>
        <v>0</v>
      </c>
      <c r="I287" s="434">
        <f t="shared" si="528"/>
        <v>0</v>
      </c>
      <c r="J287" s="434">
        <f t="shared" si="529"/>
        <v>0</v>
      </c>
      <c r="K287" s="434">
        <f t="shared" si="530"/>
        <v>0</v>
      </c>
      <c r="L287" s="434">
        <f t="shared" si="568"/>
        <v>0</v>
      </c>
      <c r="M287" s="982">
        <f t="shared" si="569"/>
        <v>0</v>
      </c>
      <c r="N287" s="1374"/>
      <c r="O287" s="981">
        <f t="shared" si="531"/>
        <v>0</v>
      </c>
      <c r="P287" s="434">
        <f t="shared" si="532"/>
        <v>0</v>
      </c>
      <c r="Q287" s="434">
        <f t="shared" si="533"/>
        <v>0</v>
      </c>
      <c r="R287" s="434">
        <f t="shared" si="534"/>
        <v>0</v>
      </c>
      <c r="S287" s="434">
        <f t="shared" si="535"/>
        <v>0</v>
      </c>
      <c r="T287" s="434">
        <f t="shared" si="536"/>
        <v>0</v>
      </c>
      <c r="U287" s="434">
        <f t="shared" si="537"/>
        <v>0</v>
      </c>
      <c r="V287" s="434">
        <f t="shared" si="538"/>
        <v>0</v>
      </c>
      <c r="W287" s="434">
        <f t="shared" si="539"/>
        <v>0</v>
      </c>
      <c r="X287" s="982">
        <f t="shared" si="540"/>
        <v>0</v>
      </c>
      <c r="Y287" s="1375"/>
      <c r="Z287" s="1376">
        <f t="shared" si="541"/>
        <v>0</v>
      </c>
      <c r="AA287" s="1376">
        <f t="shared" si="542"/>
        <v>0</v>
      </c>
      <c r="AB287" s="1376">
        <f t="shared" si="543"/>
        <v>0</v>
      </c>
      <c r="AC287" s="1376">
        <f t="shared" si="544"/>
        <v>0</v>
      </c>
      <c r="AD287" s="1376">
        <f t="shared" si="545"/>
        <v>0</v>
      </c>
      <c r="AE287" s="1376">
        <f t="shared" si="546"/>
        <v>0</v>
      </c>
      <c r="AF287" s="1376">
        <f t="shared" si="547"/>
        <v>0</v>
      </c>
      <c r="AG287" s="1376">
        <f t="shared" si="548"/>
        <v>0</v>
      </c>
      <c r="AH287" s="1374"/>
      <c r="AI287" s="444">
        <f t="shared" si="549"/>
        <v>0</v>
      </c>
      <c r="AJ287" s="1090"/>
      <c r="AK287" s="1377"/>
      <c r="AL287" s="811">
        <f t="shared" si="550"/>
        <v>46209</v>
      </c>
      <c r="AM287" s="666">
        <f>IFERROR(IF(AND(AT287="",AR287&lt;&gt;S.CAL!$BJ$3,AR287&lt;&gt;S.CAL!$BJ$4,$AR$275="NON"),M287-BD287,IF(AND(AT287="",AR287&lt;&gt;S.CAL!$BJ$3,AR287&lt;&gt;S.CAL!$BJ$4,$AR$275="OUI"),X287-AI287,IF(AT287&lt;&gt;0,AT287,IF(OR(AR287=S.CAL!$BJ$3,AR287=S.CAL!$BJ$4),AR287,"")))),"")</f>
        <v>0</v>
      </c>
      <c r="AN287" s="1093"/>
      <c r="AO287" s="1094"/>
      <c r="AP287" s="666">
        <f>+IF(AND(AU287="",BB287="OUI",BH287="non",BI287="OUI"),AM287,IF(AND(AU287="",BB287="OUI",BH287="oui",BI287="NON"),AM287,IF(AND(AU287="",BB287="NON",BH287="oui",BI287="NON"),M287,IF(AND(AU287="",BB287="NON",BH287="non",BI287="OUI"),M287,IF(AND(AU287="",BB287="OUI",BH287="non",BI287="NON"),"ERREUR",IF(AND(AU287="",BB287="NON",BH287="non",BI287="NON"),AM287,IF(AND(AU287="",BB287="OUI",BH287="",BI287=""),AM287,IF(AND(AU287="",BB287="NON",BH287="",BI287="",AZ287="NON"),M287,IF(AND(AU287="",BH287="",AZ287="OUI",AR287=""),AM287,IF(AND(AU287="",BH287="",AZ287="NON",AR287="",AT287=""),M287,IF(AND(OR(AR287=S.CAL!$BJ$3,AR287=S.CAL!$BJ$4),(VLOOKUP($AM$275,base_nbre_sem_mensu,2,FALSE)=52)),EE287,IF(AND(OR(AR287=S.CAL!$BJ$3,AR287=S.CAL!$BJ$4),(VLOOKUP($AM$275,base_nbre_sem_mensu,2,FALSE)&lt;52)),AM287,IF(AND(AT287&lt;&gt;"",AU287=""),AT287,AU287)))))))))))))</f>
        <v>0</v>
      </c>
      <c r="AQ287" s="1378">
        <f t="shared" si="570"/>
        <v>0</v>
      </c>
      <c r="AR287" s="1098"/>
      <c r="AS287" s="1374"/>
      <c r="AT287" s="1101"/>
      <c r="AU287" s="813"/>
      <c r="AV287" s="1370">
        <f t="shared" si="551"/>
        <v>46209</v>
      </c>
      <c r="AW287" s="1374"/>
      <c r="AX287" s="511">
        <f t="shared" si="571"/>
        <v>46209</v>
      </c>
      <c r="AY287" s="523">
        <f t="shared" si="572"/>
        <v>0</v>
      </c>
      <c r="AZ287" s="520" t="s">
        <v>137</v>
      </c>
      <c r="BA287" s="516">
        <f t="shared" si="573"/>
        <v>0</v>
      </c>
      <c r="BB287" s="549" t="str">
        <f t="shared" si="552"/>
        <v/>
      </c>
      <c r="BC287" s="523">
        <f t="shared" si="574"/>
        <v>0</v>
      </c>
      <c r="BD287" s="523">
        <f t="shared" si="575"/>
        <v>0</v>
      </c>
      <c r="BE287" s="732"/>
      <c r="BF287" s="514" t="str">
        <f t="shared" si="553"/>
        <v/>
      </c>
      <c r="BG287" s="514" t="str">
        <f t="shared" si="576"/>
        <v>oui</v>
      </c>
      <c r="BH287" s="377" t="str">
        <f t="shared" si="554"/>
        <v/>
      </c>
      <c r="BI287" s="24" t="str">
        <f t="shared" si="555"/>
        <v/>
      </c>
      <c r="BJ287" s="1382"/>
      <c r="BK287" s="1382"/>
      <c r="BL287" s="1382"/>
      <c r="BM287" s="1382"/>
      <c r="BN287" s="1382"/>
      <c r="BO287" s="1382"/>
      <c r="BP287" s="1382"/>
      <c r="BQ287" s="1382"/>
      <c r="BR287" s="1383"/>
      <c r="BS287" s="1370">
        <f t="shared" si="522"/>
        <v>46209</v>
      </c>
      <c r="BT287" s="1384">
        <f t="shared" si="584"/>
        <v>28</v>
      </c>
      <c r="BU287" s="1382"/>
      <c r="BV287" s="1382"/>
      <c r="BW287" s="1382"/>
      <c r="BX287" s="1382"/>
      <c r="BY287" s="1382"/>
      <c r="BZ287" s="1382"/>
      <c r="CA287" s="1382"/>
      <c r="CB287" s="1382"/>
      <c r="CD287" s="1386">
        <f t="shared" si="577"/>
        <v>0</v>
      </c>
      <c r="DC287" s="16" t="str">
        <f>Juillet!FC25</f>
        <v>non</v>
      </c>
      <c r="DG287" s="315">
        <f t="shared" si="578"/>
        <v>1</v>
      </c>
      <c r="DH287" s="129">
        <f t="shared" si="556"/>
        <v>10</v>
      </c>
      <c r="DI287" s="129">
        <f t="shared" si="579"/>
        <v>1</v>
      </c>
      <c r="DK287" s="16">
        <f>+IF(AND(Juillet!$DP$8&lt;&gt;52,AR287=S.CAL!$BJ$4),10,1)</f>
        <v>1</v>
      </c>
      <c r="DN287" s="16">
        <f t="shared" si="557"/>
        <v>1</v>
      </c>
      <c r="DU287" s="1274" t="str">
        <f t="shared" si="580"/>
        <v>Fiche infoA146209</v>
      </c>
      <c r="DV287" s="1362">
        <f t="shared" si="558"/>
        <v>0</v>
      </c>
      <c r="DW287" s="1363">
        <f t="shared" si="559"/>
        <v>0</v>
      </c>
      <c r="DX287" s="1363">
        <f t="shared" si="560"/>
        <v>0</v>
      </c>
      <c r="DY287" s="1363">
        <f t="shared" si="561"/>
        <v>0</v>
      </c>
      <c r="DZ287" s="1363">
        <f t="shared" si="562"/>
        <v>0</v>
      </c>
      <c r="EA287" s="1363">
        <f t="shared" si="563"/>
        <v>0</v>
      </c>
      <c r="EB287" s="1363">
        <f t="shared" si="564"/>
        <v>0</v>
      </c>
      <c r="EC287" s="1363">
        <f t="shared" si="565"/>
        <v>0</v>
      </c>
      <c r="ED287" s="1363">
        <f t="shared" si="581"/>
        <v>0</v>
      </c>
      <c r="EE287" s="1364">
        <f t="shared" si="582"/>
        <v>0</v>
      </c>
      <c r="EG287" s="16" t="str">
        <f t="shared" si="583"/>
        <v>282026</v>
      </c>
      <c r="EH287" s="16" t="str">
        <f t="shared" si="566"/>
        <v>Fiche infoA1</v>
      </c>
      <c r="EI287" s="16" t="str">
        <f t="shared" si="567"/>
        <v/>
      </c>
    </row>
    <row r="288" spans="1:145" x14ac:dyDescent="0.2">
      <c r="A288" s="24" t="str">
        <f>Juillet!BJ26</f>
        <v>Fiche infoA2</v>
      </c>
      <c r="B288" s="811">
        <f>Juillet!AB26</f>
        <v>46210</v>
      </c>
      <c r="C288" s="1371"/>
      <c r="D288" s="981">
        <f t="shared" si="523"/>
        <v>0</v>
      </c>
      <c r="E288" s="434">
        <f t="shared" si="524"/>
        <v>0</v>
      </c>
      <c r="F288" s="434">
        <f t="shared" si="525"/>
        <v>0</v>
      </c>
      <c r="G288" s="434">
        <f t="shared" si="526"/>
        <v>0</v>
      </c>
      <c r="H288" s="434">
        <f t="shared" si="527"/>
        <v>0</v>
      </c>
      <c r="I288" s="434">
        <f t="shared" si="528"/>
        <v>0</v>
      </c>
      <c r="J288" s="434">
        <f t="shared" si="529"/>
        <v>0</v>
      </c>
      <c r="K288" s="434">
        <f t="shared" si="530"/>
        <v>0</v>
      </c>
      <c r="L288" s="434">
        <f t="shared" si="568"/>
        <v>0</v>
      </c>
      <c r="M288" s="982">
        <f t="shared" si="569"/>
        <v>0</v>
      </c>
      <c r="O288" s="981">
        <f t="shared" si="531"/>
        <v>0</v>
      </c>
      <c r="P288" s="434">
        <f t="shared" si="532"/>
        <v>0</v>
      </c>
      <c r="Q288" s="434">
        <f t="shared" si="533"/>
        <v>0</v>
      </c>
      <c r="R288" s="434">
        <f t="shared" si="534"/>
        <v>0</v>
      </c>
      <c r="S288" s="434">
        <f t="shared" si="535"/>
        <v>0</v>
      </c>
      <c r="T288" s="434">
        <f t="shared" si="536"/>
        <v>0</v>
      </c>
      <c r="U288" s="434">
        <f t="shared" si="537"/>
        <v>0</v>
      </c>
      <c r="V288" s="434">
        <f t="shared" si="538"/>
        <v>0</v>
      </c>
      <c r="W288" s="434">
        <f t="shared" si="539"/>
        <v>0</v>
      </c>
      <c r="X288" s="982">
        <f t="shared" si="540"/>
        <v>0</v>
      </c>
      <c r="Y288" s="441"/>
      <c r="Z288" s="277">
        <f t="shared" si="541"/>
        <v>0</v>
      </c>
      <c r="AA288" s="277">
        <f t="shared" si="542"/>
        <v>0</v>
      </c>
      <c r="AB288" s="277">
        <f t="shared" si="543"/>
        <v>0</v>
      </c>
      <c r="AC288" s="277">
        <f t="shared" si="544"/>
        <v>0</v>
      </c>
      <c r="AD288" s="277">
        <f t="shared" si="545"/>
        <v>0</v>
      </c>
      <c r="AE288" s="277">
        <f t="shared" si="546"/>
        <v>0</v>
      </c>
      <c r="AF288" s="277">
        <f t="shared" si="547"/>
        <v>0</v>
      </c>
      <c r="AG288" s="277">
        <f t="shared" si="548"/>
        <v>0</v>
      </c>
      <c r="AI288" s="444">
        <f t="shared" si="549"/>
        <v>0</v>
      </c>
      <c r="AJ288" s="1090"/>
      <c r="AK288" s="489"/>
      <c r="AL288" s="811">
        <f t="shared" si="550"/>
        <v>46210</v>
      </c>
      <c r="AM288" s="666">
        <f>IFERROR(IF(AND(AT288="",AR288&lt;&gt;S.CAL!$BJ$3,AR288&lt;&gt;S.CAL!$BJ$4,$AR$275="NON"),M288-BD288,IF(AND(AT288="",AR288&lt;&gt;S.CAL!$BJ$3,AR288&lt;&gt;S.CAL!$BJ$4,$AR$275="OUI"),X288-AI288,IF(AT288&lt;&gt;0,AT288,IF(OR(AR288=S.CAL!$BJ$3,AR288=S.CAL!$BJ$4),AR288,"")))),"")</f>
        <v>0</v>
      </c>
      <c r="AN288" s="1093"/>
      <c r="AO288" s="1094"/>
      <c r="AP288" s="666">
        <f>+IF(AND(AU288="",BB288="OUI",BH288="non",BI288="OUI"),AM288,IF(AND(AU288="",BB288="OUI",BH288="oui",BI288="NON"),AM288,IF(AND(AU288="",BB288="NON",BH288="oui",BI288="NON"),M288,IF(AND(AU288="",BB288="NON",BH288="non",BI288="OUI"),M288,IF(AND(AU288="",BB288="OUI",BH288="non",BI288="NON"),"ERREUR",IF(AND(AU288="",BB288="NON",BH288="non",BI288="NON"),AM288,IF(AND(AU288="",BB288="OUI",BH288="",BI288=""),AM288,IF(AND(AU288="",BB288="NON",BH288="",BI288="",AZ288="NON"),M288,IF(AND(AU288="",BH288="",AZ288="OUI",AR288=""),AM288,IF(AND(AU288="",BH288="",AZ288="NON",AR288="",AT288=""),M288,IF(AND(OR(AR288=S.CAL!$BJ$3,AR288=S.CAL!$BJ$4),(VLOOKUP($AM$275,base_nbre_sem_mensu,2,FALSE)=52)),EE288,IF(AND(OR(AR288=S.CAL!$BJ$3,AR288=S.CAL!$BJ$4),(VLOOKUP($AM$275,base_nbre_sem_mensu,2,FALSE)&lt;52)),AM288,IF(AND(AT288&lt;&gt;"",AU288=""),AT288,AU288)))))))))))))</f>
        <v>0</v>
      </c>
      <c r="AQ288" s="498">
        <f t="shared" si="570"/>
        <v>0</v>
      </c>
      <c r="AR288" s="1098"/>
      <c r="AT288" s="1101"/>
      <c r="AU288" s="813"/>
      <c r="AV288" s="1370">
        <f t="shared" si="551"/>
        <v>46210</v>
      </c>
      <c r="AX288" s="511">
        <f t="shared" si="571"/>
        <v>46210</v>
      </c>
      <c r="AY288" s="523">
        <f t="shared" si="572"/>
        <v>0</v>
      </c>
      <c r="AZ288" s="520" t="s">
        <v>137</v>
      </c>
      <c r="BA288" s="516">
        <f t="shared" si="573"/>
        <v>0</v>
      </c>
      <c r="BB288" s="549" t="str">
        <f t="shared" si="552"/>
        <v/>
      </c>
      <c r="BC288" s="523">
        <f t="shared" si="574"/>
        <v>0</v>
      </c>
      <c r="BD288" s="523">
        <f t="shared" si="575"/>
        <v>0</v>
      </c>
      <c r="BE288" s="732"/>
      <c r="BF288" s="514" t="str">
        <f t="shared" si="553"/>
        <v/>
      </c>
      <c r="BG288" s="514" t="str">
        <f t="shared" si="576"/>
        <v>oui</v>
      </c>
      <c r="BH288" s="377" t="str">
        <f t="shared" si="554"/>
        <v/>
      </c>
      <c r="BI288" s="24" t="str">
        <f t="shared" si="555"/>
        <v/>
      </c>
      <c r="BJ288" s="1381"/>
      <c r="BK288" s="1381"/>
      <c r="BL288" s="1381"/>
      <c r="BM288" s="1381"/>
      <c r="BN288" s="1381"/>
      <c r="BO288" s="1381"/>
      <c r="BP288" s="1381"/>
      <c r="BQ288" s="1381"/>
      <c r="BS288" s="1370">
        <f t="shared" si="522"/>
        <v>46210</v>
      </c>
      <c r="BT288" s="27" t="str">
        <f t="shared" si="584"/>
        <v/>
      </c>
      <c r="BU288" s="1380"/>
      <c r="BV288" s="1380"/>
      <c r="BW288" s="1380"/>
      <c r="BX288" s="1380"/>
      <c r="BY288" s="1380"/>
      <c r="BZ288" s="1380"/>
      <c r="CA288" s="1380"/>
      <c r="CB288" s="1380"/>
      <c r="CD288" s="1386">
        <f t="shared" si="577"/>
        <v>0</v>
      </c>
      <c r="DC288" s="16" t="str">
        <f>Juillet!FC26</f>
        <v>non</v>
      </c>
      <c r="DG288" s="315">
        <f t="shared" si="578"/>
        <v>1</v>
      </c>
      <c r="DH288" s="129">
        <f t="shared" si="556"/>
        <v>10</v>
      </c>
      <c r="DI288" s="129">
        <f t="shared" si="579"/>
        <v>1</v>
      </c>
      <c r="DK288" s="16">
        <f>+IF(AND(Juillet!$DP$8&lt;&gt;52,AR288=S.CAL!$BJ$4),10,1)</f>
        <v>1</v>
      </c>
      <c r="DN288" s="16">
        <f t="shared" si="557"/>
        <v>1</v>
      </c>
      <c r="DU288" s="1274" t="str">
        <f t="shared" si="580"/>
        <v>Fiche infoA246210</v>
      </c>
      <c r="DV288" s="1362">
        <f t="shared" si="558"/>
        <v>0</v>
      </c>
      <c r="DW288" s="1363">
        <f t="shared" si="559"/>
        <v>0</v>
      </c>
      <c r="DX288" s="1363">
        <f t="shared" si="560"/>
        <v>0</v>
      </c>
      <c r="DY288" s="1363">
        <f t="shared" si="561"/>
        <v>0</v>
      </c>
      <c r="DZ288" s="1363">
        <f t="shared" si="562"/>
        <v>0</v>
      </c>
      <c r="EA288" s="1363">
        <f t="shared" si="563"/>
        <v>0</v>
      </c>
      <c r="EB288" s="1363">
        <f t="shared" si="564"/>
        <v>0</v>
      </c>
      <c r="EC288" s="1363">
        <f t="shared" si="565"/>
        <v>0</v>
      </c>
      <c r="ED288" s="1363">
        <f t="shared" si="581"/>
        <v>0</v>
      </c>
      <c r="EE288" s="1364">
        <f t="shared" si="582"/>
        <v>0</v>
      </c>
      <c r="EG288" s="16" t="str">
        <f t="shared" si="583"/>
        <v>282026</v>
      </c>
      <c r="EH288" s="16" t="str">
        <f t="shared" si="566"/>
        <v>Fiche infoA2</v>
      </c>
      <c r="EI288" s="16" t="str">
        <f t="shared" si="567"/>
        <v/>
      </c>
    </row>
    <row r="289" spans="1:139" x14ac:dyDescent="0.2">
      <c r="A289" s="1373" t="str">
        <f>Juillet!BJ27</f>
        <v>Fiche infoA3</v>
      </c>
      <c r="B289" s="811">
        <f>Juillet!AB27</f>
        <v>46211</v>
      </c>
      <c r="C289" s="1372"/>
      <c r="D289" s="981">
        <f t="shared" si="523"/>
        <v>0</v>
      </c>
      <c r="E289" s="434">
        <f t="shared" si="524"/>
        <v>0</v>
      </c>
      <c r="F289" s="434">
        <f t="shared" si="525"/>
        <v>0</v>
      </c>
      <c r="G289" s="434">
        <f t="shared" si="526"/>
        <v>0</v>
      </c>
      <c r="H289" s="434">
        <f t="shared" si="527"/>
        <v>0</v>
      </c>
      <c r="I289" s="434">
        <f t="shared" si="528"/>
        <v>0</v>
      </c>
      <c r="J289" s="434">
        <f t="shared" si="529"/>
        <v>0</v>
      </c>
      <c r="K289" s="434">
        <f t="shared" si="530"/>
        <v>0</v>
      </c>
      <c r="L289" s="434">
        <f t="shared" si="568"/>
        <v>0</v>
      </c>
      <c r="M289" s="982">
        <f t="shared" si="569"/>
        <v>0</v>
      </c>
      <c r="N289" s="1374"/>
      <c r="O289" s="981">
        <f t="shared" si="531"/>
        <v>0</v>
      </c>
      <c r="P289" s="434">
        <f t="shared" si="532"/>
        <v>0</v>
      </c>
      <c r="Q289" s="434">
        <f t="shared" si="533"/>
        <v>0</v>
      </c>
      <c r="R289" s="434">
        <f t="shared" si="534"/>
        <v>0</v>
      </c>
      <c r="S289" s="434">
        <f t="shared" si="535"/>
        <v>0</v>
      </c>
      <c r="T289" s="434">
        <f t="shared" si="536"/>
        <v>0</v>
      </c>
      <c r="U289" s="434">
        <f t="shared" si="537"/>
        <v>0</v>
      </c>
      <c r="V289" s="434">
        <f t="shared" si="538"/>
        <v>0</v>
      </c>
      <c r="W289" s="434">
        <f t="shared" si="539"/>
        <v>0</v>
      </c>
      <c r="X289" s="982">
        <f t="shared" si="540"/>
        <v>0</v>
      </c>
      <c r="Y289" s="1375"/>
      <c r="Z289" s="1376">
        <f t="shared" si="541"/>
        <v>0</v>
      </c>
      <c r="AA289" s="1376">
        <f t="shared" si="542"/>
        <v>0</v>
      </c>
      <c r="AB289" s="1376">
        <f t="shared" si="543"/>
        <v>0</v>
      </c>
      <c r="AC289" s="1376">
        <f t="shared" si="544"/>
        <v>0</v>
      </c>
      <c r="AD289" s="1376">
        <f t="shared" si="545"/>
        <v>0</v>
      </c>
      <c r="AE289" s="1376">
        <f t="shared" si="546"/>
        <v>0</v>
      </c>
      <c r="AF289" s="1376">
        <f t="shared" si="547"/>
        <v>0</v>
      </c>
      <c r="AG289" s="1376">
        <f t="shared" si="548"/>
        <v>0</v>
      </c>
      <c r="AH289" s="1374"/>
      <c r="AI289" s="444">
        <f t="shared" si="549"/>
        <v>0</v>
      </c>
      <c r="AJ289" s="1090"/>
      <c r="AK289" s="1377"/>
      <c r="AL289" s="811">
        <f t="shared" si="550"/>
        <v>46211</v>
      </c>
      <c r="AM289" s="666">
        <f>IFERROR(IF(AND(AT289="",AR289&lt;&gt;S.CAL!$BJ$3,AR289&lt;&gt;S.CAL!$BJ$4,$AR$275="NON"),M289-BD289,IF(AND(AT289="",AR289&lt;&gt;S.CAL!$BJ$3,AR289&lt;&gt;S.CAL!$BJ$4,$AR$275="OUI"),X289-AI289,IF(AT289&lt;&gt;0,AT289,IF(OR(AR289=S.CAL!$BJ$3,AR289=S.CAL!$BJ$4),AR289,"")))),"")</f>
        <v>0</v>
      </c>
      <c r="AN289" s="1093"/>
      <c r="AO289" s="1094"/>
      <c r="AP289" s="666">
        <f>+IF(AND(AU289="",BB289="OUI",BH289="non",BI289="OUI"),AM289,IF(AND(AU289="",BB289="OUI",BH289="oui",BI289="NON"),AM289,IF(AND(AU289="",BB289="NON",BH289="oui",BI289="NON"),M289,IF(AND(AU289="",BB289="NON",BH289="non",BI289="OUI"),M289,IF(AND(AU289="",BB289="OUI",BH289="non",BI289="NON"),"ERREUR",IF(AND(AU289="",BB289="NON",BH289="non",BI289="NON"),AM289,IF(AND(AU289="",BB289="OUI",BH289="",BI289=""),AM289,IF(AND(AU289="",BB289="NON",BH289="",BI289="",AZ289="NON"),M289,IF(AND(AU289="",BH289="",AZ289="OUI",AR289=""),AM289,IF(AND(AU289="",BH289="",AZ289="NON",AR289="",AT289=""),M289,IF(AND(OR(AR289=S.CAL!$BJ$3,AR289=S.CAL!$BJ$4),(VLOOKUP($AM$275,base_nbre_sem_mensu,2,FALSE)=52)),EE289,IF(AND(OR(AR289=S.CAL!$BJ$3,AR289=S.CAL!$BJ$4),(VLOOKUP($AM$275,base_nbre_sem_mensu,2,FALSE)&lt;52)),AM289,IF(AND(AT289&lt;&gt;"",AU289=""),AT289,AU289)))))))))))))</f>
        <v>0</v>
      </c>
      <c r="AQ289" s="1378">
        <f t="shared" si="570"/>
        <v>0</v>
      </c>
      <c r="AR289" s="1098"/>
      <c r="AS289" s="1374"/>
      <c r="AT289" s="1101"/>
      <c r="AU289" s="813"/>
      <c r="AV289" s="1370">
        <f t="shared" si="551"/>
        <v>46211</v>
      </c>
      <c r="AW289" s="1374"/>
      <c r="AX289" s="511">
        <f t="shared" si="571"/>
        <v>46211</v>
      </c>
      <c r="AY289" s="523">
        <f t="shared" si="572"/>
        <v>0</v>
      </c>
      <c r="AZ289" s="520" t="s">
        <v>137</v>
      </c>
      <c r="BA289" s="516">
        <f t="shared" si="573"/>
        <v>0</v>
      </c>
      <c r="BB289" s="549" t="str">
        <f t="shared" si="552"/>
        <v/>
      </c>
      <c r="BC289" s="523">
        <f t="shared" si="574"/>
        <v>0</v>
      </c>
      <c r="BD289" s="523">
        <f t="shared" si="575"/>
        <v>0</v>
      </c>
      <c r="BE289" s="732"/>
      <c r="BF289" s="514" t="str">
        <f t="shared" si="553"/>
        <v/>
      </c>
      <c r="BG289" s="514" t="str">
        <f t="shared" si="576"/>
        <v>oui</v>
      </c>
      <c r="BH289" s="377" t="str">
        <f t="shared" si="554"/>
        <v/>
      </c>
      <c r="BI289" s="24" t="str">
        <f t="shared" si="555"/>
        <v/>
      </c>
      <c r="BJ289" s="1382"/>
      <c r="BK289" s="1382"/>
      <c r="BL289" s="1382"/>
      <c r="BM289" s="1382"/>
      <c r="BN289" s="1382"/>
      <c r="BO289" s="1382"/>
      <c r="BP289" s="1382"/>
      <c r="BQ289" s="1382"/>
      <c r="BR289" s="1383"/>
      <c r="BS289" s="1370">
        <f t="shared" si="522"/>
        <v>46211</v>
      </c>
      <c r="BT289" s="1384" t="str">
        <f t="shared" si="584"/>
        <v/>
      </c>
      <c r="BU289" s="1382"/>
      <c r="BV289" s="1382"/>
      <c r="BW289" s="1382"/>
      <c r="BX289" s="1382"/>
      <c r="BY289" s="1382"/>
      <c r="BZ289" s="1382"/>
      <c r="CA289" s="1382"/>
      <c r="CB289" s="1382"/>
      <c r="CD289" s="1386">
        <f t="shared" si="577"/>
        <v>0</v>
      </c>
      <c r="DC289" s="16" t="str">
        <f>Juillet!FC27</f>
        <v>non</v>
      </c>
      <c r="DG289" s="315">
        <f t="shared" si="578"/>
        <v>1</v>
      </c>
      <c r="DH289" s="129">
        <f t="shared" si="556"/>
        <v>10</v>
      </c>
      <c r="DI289" s="129">
        <f t="shared" si="579"/>
        <v>1</v>
      </c>
      <c r="DK289" s="16">
        <f>+IF(AND(Juillet!$DP$8&lt;&gt;52,AR289=S.CAL!$BJ$4),10,1)</f>
        <v>1</v>
      </c>
      <c r="DN289" s="16">
        <f t="shared" si="557"/>
        <v>1</v>
      </c>
      <c r="DU289" s="1274" t="str">
        <f t="shared" si="580"/>
        <v>Fiche infoA346211</v>
      </c>
      <c r="DV289" s="1362">
        <f t="shared" si="558"/>
        <v>0</v>
      </c>
      <c r="DW289" s="1363">
        <f t="shared" si="559"/>
        <v>0</v>
      </c>
      <c r="DX289" s="1363">
        <f t="shared" si="560"/>
        <v>0</v>
      </c>
      <c r="DY289" s="1363">
        <f t="shared" si="561"/>
        <v>0</v>
      </c>
      <c r="DZ289" s="1363">
        <f t="shared" si="562"/>
        <v>0</v>
      </c>
      <c r="EA289" s="1363">
        <f t="shared" si="563"/>
        <v>0</v>
      </c>
      <c r="EB289" s="1363">
        <f t="shared" si="564"/>
        <v>0</v>
      </c>
      <c r="EC289" s="1363">
        <f t="shared" si="565"/>
        <v>0</v>
      </c>
      <c r="ED289" s="1363">
        <f t="shared" si="581"/>
        <v>0</v>
      </c>
      <c r="EE289" s="1364">
        <f t="shared" si="582"/>
        <v>0</v>
      </c>
      <c r="EG289" s="16" t="str">
        <f t="shared" si="583"/>
        <v>282026</v>
      </c>
      <c r="EH289" s="16" t="str">
        <f t="shared" si="566"/>
        <v>Fiche infoA3</v>
      </c>
      <c r="EI289" s="16" t="str">
        <f t="shared" si="567"/>
        <v/>
      </c>
    </row>
    <row r="290" spans="1:139" x14ac:dyDescent="0.2">
      <c r="A290" s="24" t="str">
        <f>Juillet!BJ28</f>
        <v>Fiche infoA4</v>
      </c>
      <c r="B290" s="811">
        <f>Juillet!AB28</f>
        <v>46212</v>
      </c>
      <c r="C290" s="1371"/>
      <c r="D290" s="981">
        <f t="shared" si="523"/>
        <v>0</v>
      </c>
      <c r="E290" s="434">
        <f t="shared" si="524"/>
        <v>0</v>
      </c>
      <c r="F290" s="434">
        <f t="shared" si="525"/>
        <v>0</v>
      </c>
      <c r="G290" s="434">
        <f t="shared" si="526"/>
        <v>0</v>
      </c>
      <c r="H290" s="434">
        <f t="shared" si="527"/>
        <v>0</v>
      </c>
      <c r="I290" s="434">
        <f t="shared" si="528"/>
        <v>0</v>
      </c>
      <c r="J290" s="434">
        <f t="shared" si="529"/>
        <v>0</v>
      </c>
      <c r="K290" s="434">
        <f t="shared" si="530"/>
        <v>0</v>
      </c>
      <c r="L290" s="434">
        <f t="shared" si="568"/>
        <v>0</v>
      </c>
      <c r="M290" s="982">
        <f t="shared" si="569"/>
        <v>0</v>
      </c>
      <c r="O290" s="981">
        <f>IF(AR290&lt;&gt;"",0,IF(DC290="oui",0,IF(AND(ISTEXT(AT290)=TRUE,BJ290=""),0,IF(BJ290="",D290,BJ290))))</f>
        <v>0</v>
      </c>
      <c r="P290" s="434">
        <f>IF(AR290&lt;&gt;"",0,IF(DC290="oui",0,IF(AND(ISTEXT(AT290)=TRUE,BK290=""),0,IF(BK290="",E290,BK290))))</f>
        <v>0</v>
      </c>
      <c r="Q290" s="434">
        <f>IF(AR290&lt;&gt;"",0,IF(DC290="oui",0,IF(AND(ISTEXT(AT290)=TRUE,BL290=""),0,IF(BL290="",F290,BL290))))</f>
        <v>0</v>
      </c>
      <c r="R290" s="434">
        <f>IF(AR290&lt;&gt;"",0,IF(DC290="oui",0,IF(AND(ISTEXT(AT290)=TRUE,BM290=""),0,IF(BM290="",G290,BM290))))</f>
        <v>0</v>
      </c>
      <c r="S290" s="434">
        <f>IF(AR290&lt;&gt;"",0,IF(DC290="oui",0,IF(AND(ISTEXT(AT290)=TRUE,BN290=""),0,IF(BN290="",H290,BN290))))</f>
        <v>0</v>
      </c>
      <c r="T290" s="434">
        <f>IF(AR290&lt;&gt;"",0,IF(DC290="oui",0,IF(AND(ISTEXT(AT290)=TRUE,BO290=""),0,IF(BO290="",I290,BO290))))</f>
        <v>0</v>
      </c>
      <c r="U290" s="434">
        <f>IF(AR290&lt;&gt;"",0,IF(DC290="oui",0,IF(AND(ISTEXT(AT290)=TRUE,BP290=""),0,IF(BP290="",J290,BP290))))</f>
        <v>0</v>
      </c>
      <c r="V290" s="434">
        <f>IF(AR290&lt;&gt;"",0,IF(DC290="oui",0,IF(AND(ISTEXT(AT290)=TRUE,BQ290=""),0,IF(BQ290="",K290,BQ290))))</f>
        <v>0</v>
      </c>
      <c r="W290" s="434">
        <f t="shared" si="539"/>
        <v>0</v>
      </c>
      <c r="X290" s="982">
        <f t="shared" si="540"/>
        <v>0</v>
      </c>
      <c r="Y290" s="441"/>
      <c r="Z290" s="277">
        <f t="shared" si="541"/>
        <v>0</v>
      </c>
      <c r="AA290" s="277">
        <f t="shared" si="542"/>
        <v>0</v>
      </c>
      <c r="AB290" s="277">
        <f t="shared" si="543"/>
        <v>0</v>
      </c>
      <c r="AC290" s="277">
        <f t="shared" si="544"/>
        <v>0</v>
      </c>
      <c r="AD290" s="277">
        <f t="shared" si="545"/>
        <v>0</v>
      </c>
      <c r="AE290" s="277">
        <f t="shared" si="546"/>
        <v>0</v>
      </c>
      <c r="AF290" s="277">
        <f t="shared" si="547"/>
        <v>0</v>
      </c>
      <c r="AG290" s="277">
        <f t="shared" si="548"/>
        <v>0</v>
      </c>
      <c r="AI290" s="444">
        <f>IF(DC290="oui",0,IF(AND(ISTEXT(AT290)=TRUE,OR(X290=0,X290="")),0,ROUND(((((AA290-Z290)-(E290-D290))+((AC290-AB290)-(G290-F290))+((AE290-AD290)-(I290-H290))+(AG290-AF290)-(K290-J290))*24),2)))</f>
        <v>0</v>
      </c>
      <c r="AJ290" s="1090"/>
      <c r="AK290" s="489"/>
      <c r="AL290" s="811">
        <f t="shared" si="550"/>
        <v>46212</v>
      </c>
      <c r="AM290" s="666">
        <f>IFERROR(IF(AND(AT290="",AR290&lt;&gt;S.CAL!$BJ$3,AR290&lt;&gt;S.CAL!$BJ$4,$AR$275="NON"),M290-BD290,IF(AND(AT290="",AR290&lt;&gt;S.CAL!$BJ$3,AR290&lt;&gt;S.CAL!$BJ$4,$AR$275="OUI"),X290-AI290,IF(AT290&lt;&gt;0,AT290,IF(OR(AR290=S.CAL!$BJ$3,AR290=S.CAL!$BJ$4),AR290,"")))),"")</f>
        <v>0</v>
      </c>
      <c r="AN290" s="1093"/>
      <c r="AO290" s="1094"/>
      <c r="AP290" s="666">
        <f>+IF(AND(AU290="",BB290="OUI",BH290="non",BI290="OUI"),AM290,IF(AND(AU290="",BB290="OUI",BH290="oui",BI290="NON"),AM290,IF(AND(AU290="",BB290="NON",BH290="oui",BI290="NON"),M290,IF(AND(AU290="",BB290="NON",BH290="non",BI290="OUI"),M290,IF(AND(AU290="",BB290="OUI",BH290="non",BI290="NON"),"ERREUR",IF(AND(AU290="",BB290="NON",BH290="non",BI290="NON"),AM290,IF(AND(AU290="",BB290="OUI",BH290="",BI290=""),AM290,IF(AND(AU290="",BB290="NON",BH290="",BI290="",AZ290="NON"),M290,IF(AND(AU290="",BH290="",AZ290="OUI",AR290=""),AM290,IF(AND(AU290="",BH290="",AZ290="NON",AR290="",AT290=""),M290,IF(AND(OR(AR290=S.CAL!$BJ$3,AR290=S.CAL!$BJ$4),(VLOOKUP($AM$275,base_nbre_sem_mensu,2,FALSE)=52)),EE290,IF(AND(OR(AR290=S.CAL!$BJ$3,AR290=S.CAL!$BJ$4),(VLOOKUP($AM$275,base_nbre_sem_mensu,2,FALSE)&lt;52)),AM290,IF(AND(AT290&lt;&gt;"",AU290=""),AT290,AU290)))))))))))))</f>
        <v>0</v>
      </c>
      <c r="AQ290" s="498">
        <f t="shared" si="570"/>
        <v>0</v>
      </c>
      <c r="AR290" s="1098"/>
      <c r="AT290" s="1101"/>
      <c r="AU290" s="813"/>
      <c r="AV290" s="1370">
        <f t="shared" si="551"/>
        <v>46212</v>
      </c>
      <c r="AX290" s="511">
        <f t="shared" si="571"/>
        <v>46212</v>
      </c>
      <c r="AY290" s="523">
        <f t="shared" si="572"/>
        <v>0</v>
      </c>
      <c r="AZ290" s="520" t="s">
        <v>137</v>
      </c>
      <c r="BA290" s="516">
        <f t="shared" si="573"/>
        <v>0</v>
      </c>
      <c r="BB290" s="549" t="str">
        <f t="shared" si="552"/>
        <v/>
      </c>
      <c r="BC290" s="523">
        <f t="shared" si="574"/>
        <v>0</v>
      </c>
      <c r="BD290" s="523">
        <f t="shared" si="575"/>
        <v>0</v>
      </c>
      <c r="BE290" s="732"/>
      <c r="BF290" s="514" t="str">
        <f t="shared" si="553"/>
        <v/>
      </c>
      <c r="BG290" s="514" t="str">
        <f t="shared" si="576"/>
        <v>oui</v>
      </c>
      <c r="BH290" s="377" t="str">
        <f t="shared" si="554"/>
        <v/>
      </c>
      <c r="BI290" s="24" t="str">
        <f t="shared" si="555"/>
        <v/>
      </c>
      <c r="BJ290" s="1381"/>
      <c r="BK290" s="1381"/>
      <c r="BL290" s="1381"/>
      <c r="BM290" s="1381"/>
      <c r="BN290" s="1381"/>
      <c r="BO290" s="1381"/>
      <c r="BP290" s="1381"/>
      <c r="BQ290" s="1381"/>
      <c r="BS290" s="1370">
        <f t="shared" si="522"/>
        <v>46212</v>
      </c>
      <c r="BT290" s="27" t="str">
        <f t="shared" si="584"/>
        <v/>
      </c>
      <c r="BU290" s="1380"/>
      <c r="BV290" s="1380"/>
      <c r="BW290" s="1380"/>
      <c r="BX290" s="1380"/>
      <c r="BY290" s="1380"/>
      <c r="BZ290" s="1380"/>
      <c r="CA290" s="1380"/>
      <c r="CB290" s="1380"/>
      <c r="CD290" s="1386">
        <f t="shared" si="577"/>
        <v>0</v>
      </c>
      <c r="DC290" s="16" t="str">
        <f>Juillet!FC28</f>
        <v>non</v>
      </c>
      <c r="DG290" s="315">
        <f t="shared" si="578"/>
        <v>1</v>
      </c>
      <c r="DH290" s="129">
        <f t="shared" si="556"/>
        <v>10</v>
      </c>
      <c r="DI290" s="129">
        <f t="shared" si="579"/>
        <v>1</v>
      </c>
      <c r="DK290" s="16">
        <f>+IF(AND(Juillet!$DP$8&lt;&gt;52,AR290=S.CAL!$BJ$4),10,1)</f>
        <v>1</v>
      </c>
      <c r="DN290" s="16">
        <f t="shared" si="557"/>
        <v>1</v>
      </c>
      <c r="DU290" s="1274" t="str">
        <f t="shared" si="580"/>
        <v>Fiche infoA446212</v>
      </c>
      <c r="DV290" s="1362">
        <f t="shared" si="558"/>
        <v>0</v>
      </c>
      <c r="DW290" s="1363">
        <f t="shared" si="559"/>
        <v>0</v>
      </c>
      <c r="DX290" s="1363">
        <f t="shared" si="560"/>
        <v>0</v>
      </c>
      <c r="DY290" s="1363">
        <f t="shared" si="561"/>
        <v>0</v>
      </c>
      <c r="DZ290" s="1363">
        <f t="shared" si="562"/>
        <v>0</v>
      </c>
      <c r="EA290" s="1363">
        <f t="shared" si="563"/>
        <v>0</v>
      </c>
      <c r="EB290" s="1363">
        <f t="shared" si="564"/>
        <v>0</v>
      </c>
      <c r="EC290" s="1363">
        <f t="shared" si="565"/>
        <v>0</v>
      </c>
      <c r="ED290" s="1363">
        <f t="shared" si="581"/>
        <v>0</v>
      </c>
      <c r="EE290" s="1364">
        <f t="shared" si="582"/>
        <v>0</v>
      </c>
      <c r="EG290" s="16" t="str">
        <f t="shared" si="583"/>
        <v>282026</v>
      </c>
      <c r="EH290" s="16" t="str">
        <f t="shared" si="566"/>
        <v>Fiche infoA4</v>
      </c>
      <c r="EI290" s="16" t="str">
        <f t="shared" si="567"/>
        <v/>
      </c>
    </row>
    <row r="291" spans="1:139" x14ac:dyDescent="0.2">
      <c r="A291" s="1373" t="str">
        <f>Juillet!BJ29</f>
        <v>Fiche infoA5</v>
      </c>
      <c r="B291" s="811">
        <f>Juillet!AB29</f>
        <v>46213</v>
      </c>
      <c r="C291" s="1372"/>
      <c r="D291" s="981">
        <f t="shared" si="523"/>
        <v>0</v>
      </c>
      <c r="E291" s="434">
        <f t="shared" si="524"/>
        <v>0</v>
      </c>
      <c r="F291" s="434">
        <f t="shared" si="525"/>
        <v>0</v>
      </c>
      <c r="G291" s="434">
        <f t="shared" si="526"/>
        <v>0</v>
      </c>
      <c r="H291" s="434">
        <f t="shared" si="527"/>
        <v>0</v>
      </c>
      <c r="I291" s="434">
        <f t="shared" si="528"/>
        <v>0</v>
      </c>
      <c r="J291" s="434">
        <f t="shared" si="529"/>
        <v>0</v>
      </c>
      <c r="K291" s="434">
        <f t="shared" si="530"/>
        <v>0</v>
      </c>
      <c r="L291" s="434">
        <f t="shared" si="568"/>
        <v>0</v>
      </c>
      <c r="M291" s="982">
        <f t="shared" si="569"/>
        <v>0</v>
      </c>
      <c r="N291" s="1374"/>
      <c r="O291" s="981">
        <f t="shared" ref="O291:O312" si="585">IF(AR291&lt;&gt;"",0,IF(DC291="oui",0,IF(AND(ISTEXT(AT291)=TRUE,BJ291=""),0,IF(BJ291="",D291,BJ291))))</f>
        <v>0</v>
      </c>
      <c r="P291" s="434">
        <f t="shared" ref="P291:P312" si="586">IF(AR291&lt;&gt;"",0,IF(DC291="oui",0,IF(AND(ISTEXT(AT291)=TRUE,BK291=""),0,IF(BK291="",E291,BK291))))</f>
        <v>0</v>
      </c>
      <c r="Q291" s="434">
        <f t="shared" ref="Q291:Q312" si="587">IF(AR291&lt;&gt;"",0,IF(DC291="oui",0,IF(AND(ISTEXT(AT291)=TRUE,BL291=""),0,IF(BL291="",F291,BL291))))</f>
        <v>0</v>
      </c>
      <c r="R291" s="434">
        <f t="shared" ref="R291:R312" si="588">IF(AR291&lt;&gt;"",0,IF(DC291="oui",0,IF(AND(ISTEXT(AT291)=TRUE,BM291=""),0,IF(BM291="",G291,BM291))))</f>
        <v>0</v>
      </c>
      <c r="S291" s="434">
        <f t="shared" ref="S291:S312" si="589">IF(AR291&lt;&gt;"",0,IF(DC291="oui",0,IF(AND(ISTEXT(AT291)=TRUE,BN291=""),0,IF(BN291="",H291,BN291))))</f>
        <v>0</v>
      </c>
      <c r="T291" s="434">
        <f t="shared" ref="T291:T312" si="590">IF(AR291&lt;&gt;"",0,IF(DC291="oui",0,IF(AND(ISTEXT(AT291)=TRUE,BO291=""),0,IF(BO291="",I291,BO291))))</f>
        <v>0</v>
      </c>
      <c r="U291" s="434">
        <f t="shared" ref="U291:U312" si="591">IF(AR291&lt;&gt;"",0,IF(DC291="oui",0,IF(AND(ISTEXT(AT291)=TRUE,BP291=""),0,IF(BP291="",J291,BP291))))</f>
        <v>0</v>
      </c>
      <c r="V291" s="434">
        <f t="shared" ref="V291:V312" si="592">IF(AR291&lt;&gt;"",0,IF(DC291="oui",0,IF(AND(ISTEXT(AT291)=TRUE,BQ291=""),0,IF(BQ291="",K291,BQ291))))</f>
        <v>0</v>
      </c>
      <c r="W291" s="434">
        <f t="shared" si="539"/>
        <v>0</v>
      </c>
      <c r="X291" s="982">
        <f t="shared" si="540"/>
        <v>0</v>
      </c>
      <c r="Y291" s="1375"/>
      <c r="Z291" s="1376">
        <f t="shared" si="541"/>
        <v>0</v>
      </c>
      <c r="AA291" s="1376">
        <f t="shared" si="542"/>
        <v>0</v>
      </c>
      <c r="AB291" s="1376">
        <f t="shared" si="543"/>
        <v>0</v>
      </c>
      <c r="AC291" s="1376">
        <f t="shared" si="544"/>
        <v>0</v>
      </c>
      <c r="AD291" s="1376">
        <f t="shared" si="545"/>
        <v>0</v>
      </c>
      <c r="AE291" s="1376">
        <f t="shared" si="546"/>
        <v>0</v>
      </c>
      <c r="AF291" s="1376">
        <f t="shared" si="547"/>
        <v>0</v>
      </c>
      <c r="AG291" s="1376">
        <f t="shared" si="548"/>
        <v>0</v>
      </c>
      <c r="AH291" s="1374"/>
      <c r="AI291" s="444">
        <f t="shared" ref="AI291:AI312" si="593">IF(DC291="oui",0,IF(AND(ISTEXT(AT291)=TRUE,OR(X291=0,X291="")),0,ROUND(((((AA291-Z291)-(E291-D291))+((AC291-AB291)-(G291-F291))+((AE291-AD291)-(I291-H291))+(AG291-AF291)-(K291-J291))*24),2)))</f>
        <v>0</v>
      </c>
      <c r="AJ291" s="1090"/>
      <c r="AK291" s="1377"/>
      <c r="AL291" s="811">
        <f t="shared" si="550"/>
        <v>46213</v>
      </c>
      <c r="AM291" s="666">
        <f>IFERROR(IF(AND(AT291="",AR291&lt;&gt;S.CAL!$BJ$3,AR291&lt;&gt;S.CAL!$BJ$4,$AR$275="NON"),M291-BD291,IF(AND(AT291="",AR291&lt;&gt;S.CAL!$BJ$3,AR291&lt;&gt;S.CAL!$BJ$4,$AR$275="OUI"),X291-AI291,IF(AT291&lt;&gt;0,AT291,IF(OR(AR291=S.CAL!$BJ$3,AR291=S.CAL!$BJ$4),AR291,"")))),"")</f>
        <v>0</v>
      </c>
      <c r="AN291" s="1093"/>
      <c r="AO291" s="1094"/>
      <c r="AP291" s="666">
        <f>+IF(AND(AU291="",BB291="OUI",BH291="non",BI291="OUI"),AM291,IF(AND(AU291="",BB291="OUI",BH291="oui",BI291="NON"),AM291,IF(AND(AU291="",BB291="NON",BH291="oui",BI291="NON"),M291,IF(AND(AU291="",BB291="NON",BH291="non",BI291="OUI"),M291,IF(AND(AU291="",BB291="OUI",BH291="non",BI291="NON"),"ERREUR",IF(AND(AU291="",BB291="NON",BH291="non",BI291="NON"),AM291,IF(AND(AU291="",BB291="OUI",BH291="",BI291=""),AM291,IF(AND(AU291="",BB291="NON",BH291="",BI291="",AZ291="NON"),M291,IF(AND(AU291="",BH291="",AZ291="OUI",AR291=""),AM291,IF(AND(AU291="",BH291="",AZ291="NON",AR291="",AT291=""),M291,IF(AND(OR(AR291=S.CAL!$BJ$3,AR291=S.CAL!$BJ$4),(VLOOKUP($AM$275,base_nbre_sem_mensu,2,FALSE)=52)),EE291,IF(AND(OR(AR291=S.CAL!$BJ$3,AR291=S.CAL!$BJ$4),(VLOOKUP($AM$275,base_nbre_sem_mensu,2,FALSE)&lt;52)),AM291,IF(AND(AT291&lt;&gt;"",AU291=""),AT291,AU291)))))))))))))</f>
        <v>0</v>
      </c>
      <c r="AQ291" s="1378">
        <f t="shared" si="570"/>
        <v>0</v>
      </c>
      <c r="AR291" s="1098"/>
      <c r="AS291" s="1374"/>
      <c r="AT291" s="1101"/>
      <c r="AU291" s="813"/>
      <c r="AV291" s="1370">
        <f t="shared" si="551"/>
        <v>46213</v>
      </c>
      <c r="AW291" s="1374"/>
      <c r="AX291" s="511">
        <f t="shared" si="571"/>
        <v>46213</v>
      </c>
      <c r="AY291" s="523">
        <f t="shared" si="572"/>
        <v>0</v>
      </c>
      <c r="AZ291" s="520" t="s">
        <v>137</v>
      </c>
      <c r="BA291" s="516">
        <f t="shared" si="573"/>
        <v>0</v>
      </c>
      <c r="BB291" s="549" t="str">
        <f t="shared" si="552"/>
        <v/>
      </c>
      <c r="BC291" s="523">
        <f t="shared" si="574"/>
        <v>0</v>
      </c>
      <c r="BD291" s="523">
        <f t="shared" si="575"/>
        <v>0</v>
      </c>
      <c r="BE291" s="732"/>
      <c r="BF291" s="514" t="str">
        <f t="shared" si="553"/>
        <v/>
      </c>
      <c r="BG291" s="514" t="str">
        <f t="shared" si="576"/>
        <v>oui</v>
      </c>
      <c r="BH291" s="377" t="str">
        <f t="shared" si="554"/>
        <v/>
      </c>
      <c r="BI291" s="24" t="str">
        <f t="shared" si="555"/>
        <v/>
      </c>
      <c r="BJ291" s="1382"/>
      <c r="BK291" s="1382"/>
      <c r="BL291" s="1382"/>
      <c r="BM291" s="1382"/>
      <c r="BN291" s="1382"/>
      <c r="BO291" s="1382"/>
      <c r="BP291" s="1382"/>
      <c r="BQ291" s="1382"/>
      <c r="BR291" s="1383"/>
      <c r="BS291" s="1370">
        <f t="shared" si="522"/>
        <v>46213</v>
      </c>
      <c r="BT291" s="1384" t="str">
        <f t="shared" si="584"/>
        <v/>
      </c>
      <c r="BU291" s="1382"/>
      <c r="BV291" s="1382"/>
      <c r="BW291" s="1382"/>
      <c r="BX291" s="1382"/>
      <c r="BY291" s="1382"/>
      <c r="BZ291" s="1382"/>
      <c r="CA291" s="1382"/>
      <c r="CB291" s="1382"/>
      <c r="CD291" s="1386">
        <f t="shared" si="577"/>
        <v>0</v>
      </c>
      <c r="DC291" s="16" t="str">
        <f>Juillet!FC29</f>
        <v>non</v>
      </c>
      <c r="DG291" s="315">
        <f t="shared" si="578"/>
        <v>1</v>
      </c>
      <c r="DH291" s="129">
        <f t="shared" si="556"/>
        <v>10</v>
      </c>
      <c r="DI291" s="129">
        <f t="shared" si="579"/>
        <v>1</v>
      </c>
      <c r="DK291" s="16">
        <f>+IF(AND(Juillet!$DP$8&lt;&gt;52,AR291=S.CAL!$BJ$4),10,1)</f>
        <v>1</v>
      </c>
      <c r="DN291" s="16">
        <f t="shared" si="557"/>
        <v>1</v>
      </c>
      <c r="DU291" s="1274" t="str">
        <f t="shared" si="580"/>
        <v>Fiche infoA546213</v>
      </c>
      <c r="DV291" s="1362">
        <f t="shared" si="558"/>
        <v>0</v>
      </c>
      <c r="DW291" s="1363">
        <f t="shared" si="559"/>
        <v>0</v>
      </c>
      <c r="DX291" s="1363">
        <f t="shared" si="560"/>
        <v>0</v>
      </c>
      <c r="DY291" s="1363">
        <f t="shared" si="561"/>
        <v>0</v>
      </c>
      <c r="DZ291" s="1363">
        <f t="shared" si="562"/>
        <v>0</v>
      </c>
      <c r="EA291" s="1363">
        <f t="shared" si="563"/>
        <v>0</v>
      </c>
      <c r="EB291" s="1363">
        <f t="shared" si="564"/>
        <v>0</v>
      </c>
      <c r="EC291" s="1363">
        <f t="shared" si="565"/>
        <v>0</v>
      </c>
      <c r="ED291" s="1363">
        <f t="shared" si="581"/>
        <v>0</v>
      </c>
      <c r="EE291" s="1364">
        <f t="shared" si="582"/>
        <v>0</v>
      </c>
      <c r="EG291" s="16" t="str">
        <f t="shared" si="583"/>
        <v>282026</v>
      </c>
      <c r="EH291" s="16" t="str">
        <f t="shared" si="566"/>
        <v>Fiche infoA5</v>
      </c>
      <c r="EI291" s="16" t="str">
        <f t="shared" si="567"/>
        <v/>
      </c>
    </row>
    <row r="292" spans="1:139" x14ac:dyDescent="0.2">
      <c r="A292" s="24" t="str">
        <f>Juillet!BJ30</f>
        <v>Fiche infoA6</v>
      </c>
      <c r="B292" s="811">
        <f>Juillet!AB30</f>
        <v>46214</v>
      </c>
      <c r="C292" s="1371"/>
      <c r="D292" s="981">
        <f t="shared" si="523"/>
        <v>0</v>
      </c>
      <c r="E292" s="434">
        <f t="shared" si="524"/>
        <v>0</v>
      </c>
      <c r="F292" s="434">
        <f t="shared" si="525"/>
        <v>0</v>
      </c>
      <c r="G292" s="434">
        <f t="shared" si="526"/>
        <v>0</v>
      </c>
      <c r="H292" s="434">
        <f t="shared" si="527"/>
        <v>0</v>
      </c>
      <c r="I292" s="434">
        <f t="shared" si="528"/>
        <v>0</v>
      </c>
      <c r="J292" s="434">
        <f t="shared" si="529"/>
        <v>0</v>
      </c>
      <c r="K292" s="434">
        <f t="shared" si="530"/>
        <v>0</v>
      </c>
      <c r="L292" s="434">
        <f t="shared" si="568"/>
        <v>0</v>
      </c>
      <c r="M292" s="982">
        <f t="shared" si="569"/>
        <v>0</v>
      </c>
      <c r="O292" s="981">
        <f t="shared" si="585"/>
        <v>0</v>
      </c>
      <c r="P292" s="434">
        <f t="shared" si="586"/>
        <v>0</v>
      </c>
      <c r="Q292" s="434">
        <f t="shared" si="587"/>
        <v>0</v>
      </c>
      <c r="R292" s="434">
        <f t="shared" si="588"/>
        <v>0</v>
      </c>
      <c r="S292" s="434">
        <f t="shared" si="589"/>
        <v>0</v>
      </c>
      <c r="T292" s="434">
        <f t="shared" si="590"/>
        <v>0</v>
      </c>
      <c r="U292" s="434">
        <f t="shared" si="591"/>
        <v>0</v>
      </c>
      <c r="V292" s="434">
        <f t="shared" si="592"/>
        <v>0</v>
      </c>
      <c r="W292" s="434">
        <f t="shared" si="539"/>
        <v>0</v>
      </c>
      <c r="X292" s="982">
        <f t="shared" si="540"/>
        <v>0</v>
      </c>
      <c r="Y292" s="441"/>
      <c r="Z292" s="277">
        <f t="shared" si="541"/>
        <v>0</v>
      </c>
      <c r="AA292" s="277">
        <f t="shared" si="542"/>
        <v>0</v>
      </c>
      <c r="AB292" s="277">
        <f t="shared" si="543"/>
        <v>0</v>
      </c>
      <c r="AC292" s="277">
        <f t="shared" si="544"/>
        <v>0</v>
      </c>
      <c r="AD292" s="277">
        <f t="shared" si="545"/>
        <v>0</v>
      </c>
      <c r="AE292" s="277">
        <f t="shared" si="546"/>
        <v>0</v>
      </c>
      <c r="AF292" s="277">
        <f t="shared" si="547"/>
        <v>0</v>
      </c>
      <c r="AG292" s="277">
        <f t="shared" si="548"/>
        <v>0</v>
      </c>
      <c r="AI292" s="444">
        <f t="shared" si="593"/>
        <v>0</v>
      </c>
      <c r="AJ292" s="1090"/>
      <c r="AK292" s="489"/>
      <c r="AL292" s="811">
        <f t="shared" si="550"/>
        <v>46214</v>
      </c>
      <c r="AM292" s="666">
        <f>IFERROR(IF(AND(AT292="",AR292&lt;&gt;S.CAL!$BJ$3,AR292&lt;&gt;S.CAL!$BJ$4,$AR$275="NON"),M292-BD292,IF(AND(AT292="",AR292&lt;&gt;S.CAL!$BJ$3,AR292&lt;&gt;S.CAL!$BJ$4,$AR$275="OUI"),X292-AI292,IF(AT292&lt;&gt;0,AT292,IF(OR(AR292=S.CAL!$BJ$3,AR292=S.CAL!$BJ$4),AR292,"")))),"")</f>
        <v>0</v>
      </c>
      <c r="AN292" s="1093"/>
      <c r="AO292" s="1094"/>
      <c r="AP292" s="666">
        <f>+IF(AND(AU292="",BB292="OUI",BH292="non",BI292="OUI"),AM292,IF(AND(AU292="",BB292="OUI",BH292="oui",BI292="NON"),AM292,IF(AND(AU292="",BB292="NON",BH292="oui",BI292="NON"),M292,IF(AND(AU292="",BB292="NON",BH292="non",BI292="OUI"),M292,IF(AND(AU292="",BB292="OUI",BH292="non",BI292="NON"),"ERREUR",IF(AND(AU292="",BB292="NON",BH292="non",BI292="NON"),AM292,IF(AND(AU292="",BB292="OUI",BH292="",BI292=""),AM292,IF(AND(AU292="",BB292="NON",BH292="",BI292="",AZ292="NON"),M292,IF(AND(AU292="",BH292="",AZ292="OUI",AR292=""),AM292,IF(AND(AU292="",BH292="",AZ292="NON",AR292="",AT292=""),M292,IF(AND(OR(AR292=S.CAL!$BJ$3,AR292=S.CAL!$BJ$4),(VLOOKUP($AM$275,base_nbre_sem_mensu,2,FALSE)=52)),EE292,IF(AND(OR(AR292=S.CAL!$BJ$3,AR292=S.CAL!$BJ$4),(VLOOKUP($AM$275,base_nbre_sem_mensu,2,FALSE)&lt;52)),AM292,IF(AND(AT292&lt;&gt;"",AU292=""),AT292,AU292)))))))))))))</f>
        <v>0</v>
      </c>
      <c r="AQ292" s="498">
        <f t="shared" si="570"/>
        <v>0</v>
      </c>
      <c r="AR292" s="1098"/>
      <c r="AT292" s="1101"/>
      <c r="AU292" s="813"/>
      <c r="AV292" s="1370">
        <f t="shared" si="551"/>
        <v>46214</v>
      </c>
      <c r="AX292" s="511">
        <f t="shared" si="571"/>
        <v>46214</v>
      </c>
      <c r="AY292" s="523">
        <f t="shared" si="572"/>
        <v>0</v>
      </c>
      <c r="AZ292" s="520" t="s">
        <v>137</v>
      </c>
      <c r="BA292" s="516">
        <f t="shared" si="573"/>
        <v>0</v>
      </c>
      <c r="BB292" s="549" t="str">
        <f t="shared" si="552"/>
        <v/>
      </c>
      <c r="BC292" s="523">
        <f t="shared" si="574"/>
        <v>0</v>
      </c>
      <c r="BD292" s="523">
        <f t="shared" si="575"/>
        <v>0</v>
      </c>
      <c r="BE292" s="732"/>
      <c r="BF292" s="514" t="str">
        <f t="shared" si="553"/>
        <v/>
      </c>
      <c r="BG292" s="514" t="str">
        <f t="shared" si="576"/>
        <v>oui</v>
      </c>
      <c r="BH292" s="377" t="str">
        <f t="shared" si="554"/>
        <v/>
      </c>
      <c r="BI292" s="24" t="str">
        <f t="shared" si="555"/>
        <v/>
      </c>
      <c r="BJ292" s="1381"/>
      <c r="BK292" s="1381"/>
      <c r="BL292" s="1381"/>
      <c r="BM292" s="1381"/>
      <c r="BN292" s="1381"/>
      <c r="BO292" s="1381"/>
      <c r="BP292" s="1381"/>
      <c r="BQ292" s="1381"/>
      <c r="BS292" s="1370">
        <f t="shared" si="522"/>
        <v>46214</v>
      </c>
      <c r="BT292" s="27" t="str">
        <f t="shared" si="584"/>
        <v/>
      </c>
      <c r="BU292" s="1380"/>
      <c r="BV292" s="1380"/>
      <c r="BW292" s="1380"/>
      <c r="BX292" s="1380"/>
      <c r="BY292" s="1380"/>
      <c r="BZ292" s="1380"/>
      <c r="CA292" s="1380"/>
      <c r="CB292" s="1380"/>
      <c r="CD292" s="1386">
        <f t="shared" si="577"/>
        <v>0</v>
      </c>
      <c r="DC292" s="16" t="str">
        <f>Juillet!FC30</f>
        <v>non</v>
      </c>
      <c r="DG292" s="315">
        <f t="shared" si="578"/>
        <v>1</v>
      </c>
      <c r="DH292" s="129">
        <f t="shared" si="556"/>
        <v>10</v>
      </c>
      <c r="DI292" s="129">
        <f t="shared" si="579"/>
        <v>1</v>
      </c>
      <c r="DK292" s="16">
        <f>+IF(AND(Juillet!$DP$8&lt;&gt;52,AR292=S.CAL!$BJ$4),10,1)</f>
        <v>1</v>
      </c>
      <c r="DN292" s="16">
        <f t="shared" si="557"/>
        <v>1</v>
      </c>
      <c r="DU292" s="1274" t="str">
        <f t="shared" si="580"/>
        <v>Fiche infoA646214</v>
      </c>
      <c r="DV292" s="1362">
        <f t="shared" si="558"/>
        <v>0</v>
      </c>
      <c r="DW292" s="1363">
        <f t="shared" si="559"/>
        <v>0</v>
      </c>
      <c r="DX292" s="1363">
        <f t="shared" si="560"/>
        <v>0</v>
      </c>
      <c r="DY292" s="1363">
        <f t="shared" si="561"/>
        <v>0</v>
      </c>
      <c r="DZ292" s="1363">
        <f t="shared" si="562"/>
        <v>0</v>
      </c>
      <c r="EA292" s="1363">
        <f t="shared" si="563"/>
        <v>0</v>
      </c>
      <c r="EB292" s="1363">
        <f t="shared" si="564"/>
        <v>0</v>
      </c>
      <c r="EC292" s="1363">
        <f t="shared" si="565"/>
        <v>0</v>
      </c>
      <c r="ED292" s="1363">
        <f t="shared" si="581"/>
        <v>0</v>
      </c>
      <c r="EE292" s="1364">
        <f t="shared" si="582"/>
        <v>0</v>
      </c>
      <c r="EG292" s="16" t="str">
        <f t="shared" si="583"/>
        <v>282026</v>
      </c>
      <c r="EH292" s="16" t="str">
        <f t="shared" si="566"/>
        <v>Fiche infoA6</v>
      </c>
      <c r="EI292" s="16" t="str">
        <f t="shared" si="567"/>
        <v/>
      </c>
    </row>
    <row r="293" spans="1:139" x14ac:dyDescent="0.2">
      <c r="A293" s="1373" t="str">
        <f>Juillet!BJ31</f>
        <v>Fiche infoA7</v>
      </c>
      <c r="B293" s="811">
        <f>Juillet!AB31</f>
        <v>46215</v>
      </c>
      <c r="C293" s="1372"/>
      <c r="D293" s="981">
        <f t="shared" si="523"/>
        <v>0</v>
      </c>
      <c r="E293" s="434">
        <f t="shared" si="524"/>
        <v>0</v>
      </c>
      <c r="F293" s="434">
        <f t="shared" si="525"/>
        <v>0</v>
      </c>
      <c r="G293" s="434">
        <f t="shared" si="526"/>
        <v>0</v>
      </c>
      <c r="H293" s="434">
        <f t="shared" si="527"/>
        <v>0</v>
      </c>
      <c r="I293" s="434">
        <f t="shared" si="528"/>
        <v>0</v>
      </c>
      <c r="J293" s="434">
        <f t="shared" si="529"/>
        <v>0</v>
      </c>
      <c r="K293" s="434">
        <f t="shared" si="530"/>
        <v>0</v>
      </c>
      <c r="L293" s="434">
        <f t="shared" si="568"/>
        <v>0</v>
      </c>
      <c r="M293" s="982">
        <f t="shared" si="569"/>
        <v>0</v>
      </c>
      <c r="N293" s="1374"/>
      <c r="O293" s="981">
        <f t="shared" si="585"/>
        <v>0</v>
      </c>
      <c r="P293" s="434">
        <f t="shared" si="586"/>
        <v>0</v>
      </c>
      <c r="Q293" s="434">
        <f t="shared" si="587"/>
        <v>0</v>
      </c>
      <c r="R293" s="434">
        <f t="shared" si="588"/>
        <v>0</v>
      </c>
      <c r="S293" s="434">
        <f t="shared" si="589"/>
        <v>0</v>
      </c>
      <c r="T293" s="434">
        <f t="shared" si="590"/>
        <v>0</v>
      </c>
      <c r="U293" s="434">
        <f t="shared" si="591"/>
        <v>0</v>
      </c>
      <c r="V293" s="434">
        <f t="shared" si="592"/>
        <v>0</v>
      </c>
      <c r="W293" s="434">
        <f t="shared" si="539"/>
        <v>0</v>
      </c>
      <c r="X293" s="982">
        <f t="shared" si="540"/>
        <v>0</v>
      </c>
      <c r="Y293" s="1375"/>
      <c r="Z293" s="1376">
        <f t="shared" si="541"/>
        <v>0</v>
      </c>
      <c r="AA293" s="1376">
        <f t="shared" si="542"/>
        <v>0</v>
      </c>
      <c r="AB293" s="1376">
        <f t="shared" si="543"/>
        <v>0</v>
      </c>
      <c r="AC293" s="1376">
        <f t="shared" si="544"/>
        <v>0</v>
      </c>
      <c r="AD293" s="1376">
        <f t="shared" si="545"/>
        <v>0</v>
      </c>
      <c r="AE293" s="1376">
        <f t="shared" si="546"/>
        <v>0</v>
      </c>
      <c r="AF293" s="1376">
        <f t="shared" si="547"/>
        <v>0</v>
      </c>
      <c r="AG293" s="1376">
        <f t="shared" si="548"/>
        <v>0</v>
      </c>
      <c r="AH293" s="1374"/>
      <c r="AI293" s="444">
        <f t="shared" si="593"/>
        <v>0</v>
      </c>
      <c r="AJ293" s="1090"/>
      <c r="AK293" s="1377"/>
      <c r="AL293" s="811">
        <f t="shared" si="550"/>
        <v>46215</v>
      </c>
      <c r="AM293" s="666">
        <f>IFERROR(IF(AND(AT293="",AR293&lt;&gt;S.CAL!$BJ$3,AR293&lt;&gt;S.CAL!$BJ$4,$AR$275="NON"),M293-BD293,IF(AND(AT293="",AR293&lt;&gt;S.CAL!$BJ$3,AR293&lt;&gt;S.CAL!$BJ$4,$AR$275="OUI"),X293-AI293,IF(AT293&lt;&gt;0,AT293,IF(OR(AR293=S.CAL!$BJ$3,AR293=S.CAL!$BJ$4),AR293,"")))),"")</f>
        <v>0</v>
      </c>
      <c r="AN293" s="1093"/>
      <c r="AO293" s="1094"/>
      <c r="AP293" s="666">
        <f>+IF(AND(AU293="",BB293="OUI",BH293="non",BI293="OUI"),AM293,IF(AND(AU293="",BB293="OUI",BH293="oui",BI293="NON"),AM293,IF(AND(AU293="",BB293="NON",BH293="oui",BI293="NON"),M293,IF(AND(AU293="",BB293="NON",BH293="non",BI293="OUI"),M293,IF(AND(AU293="",BB293="OUI",BH293="non",BI293="NON"),"ERREUR",IF(AND(AU293="",BB293="NON",BH293="non",BI293="NON"),AM293,IF(AND(AU293="",BB293="OUI",BH293="",BI293=""),AM293,IF(AND(AU293="",BB293="NON",BH293="",BI293="",AZ293="NON"),M293,IF(AND(AU293="",BH293="",AZ293="OUI",AR293=""),AM293,IF(AND(AU293="",BH293="",AZ293="NON",AR293="",AT293=""),M293,IF(AND(OR(AR293=S.CAL!$BJ$3,AR293=S.CAL!$BJ$4),(VLOOKUP($AM$275,base_nbre_sem_mensu,2,FALSE)=52)),EE293,IF(AND(OR(AR293=S.CAL!$BJ$3,AR293=S.CAL!$BJ$4),(VLOOKUP($AM$275,base_nbre_sem_mensu,2,FALSE)&lt;52)),AM293,IF(AND(AT293&lt;&gt;"",AU293=""),AT293,AU293)))))))))))))</f>
        <v>0</v>
      </c>
      <c r="AQ293" s="1378">
        <f t="shared" si="570"/>
        <v>0</v>
      </c>
      <c r="AR293" s="1098"/>
      <c r="AS293" s="1374"/>
      <c r="AT293" s="1101"/>
      <c r="AU293" s="813"/>
      <c r="AV293" s="1370">
        <f t="shared" si="551"/>
        <v>46215</v>
      </c>
      <c r="AW293" s="1374"/>
      <c r="AX293" s="511">
        <f t="shared" si="571"/>
        <v>46215</v>
      </c>
      <c r="AY293" s="523">
        <f t="shared" si="572"/>
        <v>0</v>
      </c>
      <c r="AZ293" s="520" t="s">
        <v>137</v>
      </c>
      <c r="BA293" s="516">
        <f t="shared" si="573"/>
        <v>0</v>
      </c>
      <c r="BB293" s="549" t="str">
        <f t="shared" si="552"/>
        <v/>
      </c>
      <c r="BC293" s="523">
        <f t="shared" si="574"/>
        <v>0</v>
      </c>
      <c r="BD293" s="523">
        <f t="shared" si="575"/>
        <v>0</v>
      </c>
      <c r="BE293" s="732"/>
      <c r="BF293" s="514" t="str">
        <f t="shared" si="553"/>
        <v/>
      </c>
      <c r="BG293" s="514" t="str">
        <f t="shared" si="576"/>
        <v>oui</v>
      </c>
      <c r="BH293" s="377" t="str">
        <f t="shared" si="554"/>
        <v/>
      </c>
      <c r="BI293" s="24" t="str">
        <f t="shared" si="555"/>
        <v/>
      </c>
      <c r="BJ293" s="1382"/>
      <c r="BK293" s="1382"/>
      <c r="BL293" s="1382"/>
      <c r="BM293" s="1382"/>
      <c r="BN293" s="1382"/>
      <c r="BO293" s="1382"/>
      <c r="BP293" s="1382"/>
      <c r="BQ293" s="1382"/>
      <c r="BR293" s="1383"/>
      <c r="BS293" s="1370">
        <f t="shared" si="522"/>
        <v>46215</v>
      </c>
      <c r="BT293" s="1384" t="str">
        <f t="shared" si="584"/>
        <v/>
      </c>
      <c r="BU293" s="1382"/>
      <c r="BV293" s="1382"/>
      <c r="BW293" s="1382"/>
      <c r="BX293" s="1382"/>
      <c r="BY293" s="1382"/>
      <c r="BZ293" s="1382"/>
      <c r="CA293" s="1382"/>
      <c r="CB293" s="1382"/>
      <c r="CD293" s="1386">
        <f t="shared" si="577"/>
        <v>0</v>
      </c>
      <c r="DC293" s="16" t="str">
        <f>Juillet!FC31</f>
        <v>non</v>
      </c>
      <c r="DG293" s="315">
        <f t="shared" si="578"/>
        <v>1</v>
      </c>
      <c r="DH293" s="129">
        <f t="shared" si="556"/>
        <v>10</v>
      </c>
      <c r="DI293" s="129">
        <f t="shared" si="579"/>
        <v>1</v>
      </c>
      <c r="DK293" s="16">
        <f>+IF(AND(Juillet!$DP$8&lt;&gt;52,AR293=S.CAL!$BJ$4),10,1)</f>
        <v>1</v>
      </c>
      <c r="DN293" s="16">
        <f t="shared" si="557"/>
        <v>1</v>
      </c>
      <c r="DU293" s="1274" t="str">
        <f t="shared" si="580"/>
        <v>Fiche infoA746215</v>
      </c>
      <c r="DV293" s="1362">
        <f t="shared" si="558"/>
        <v>0</v>
      </c>
      <c r="DW293" s="1363">
        <f t="shared" si="559"/>
        <v>0</v>
      </c>
      <c r="DX293" s="1363">
        <f t="shared" si="560"/>
        <v>0</v>
      </c>
      <c r="DY293" s="1363">
        <f t="shared" si="561"/>
        <v>0</v>
      </c>
      <c r="DZ293" s="1363">
        <f t="shared" si="562"/>
        <v>0</v>
      </c>
      <c r="EA293" s="1363">
        <f t="shared" si="563"/>
        <v>0</v>
      </c>
      <c r="EB293" s="1363">
        <f t="shared" si="564"/>
        <v>0</v>
      </c>
      <c r="EC293" s="1363">
        <f t="shared" si="565"/>
        <v>0</v>
      </c>
      <c r="ED293" s="1363">
        <f t="shared" si="581"/>
        <v>0</v>
      </c>
      <c r="EE293" s="1364">
        <f t="shared" si="582"/>
        <v>0</v>
      </c>
      <c r="EG293" s="16" t="str">
        <f t="shared" si="583"/>
        <v>282026</v>
      </c>
      <c r="EH293" s="16" t="str">
        <f t="shared" si="566"/>
        <v>Fiche infoA7</v>
      </c>
      <c r="EI293" s="16" t="str">
        <f t="shared" si="567"/>
        <v/>
      </c>
    </row>
    <row r="294" spans="1:139" x14ac:dyDescent="0.2">
      <c r="A294" s="24" t="str">
        <f>Juillet!BJ32</f>
        <v>Fiche infoA1</v>
      </c>
      <c r="B294" s="811">
        <f>Juillet!AB32</f>
        <v>46216</v>
      </c>
      <c r="C294" s="1371"/>
      <c r="D294" s="981">
        <f t="shared" si="523"/>
        <v>0</v>
      </c>
      <c r="E294" s="434">
        <f t="shared" si="524"/>
        <v>0</v>
      </c>
      <c r="F294" s="434">
        <f t="shared" si="525"/>
        <v>0</v>
      </c>
      <c r="G294" s="434">
        <f t="shared" si="526"/>
        <v>0</v>
      </c>
      <c r="H294" s="434">
        <f t="shared" si="527"/>
        <v>0</v>
      </c>
      <c r="I294" s="434">
        <f t="shared" si="528"/>
        <v>0</v>
      </c>
      <c r="J294" s="434">
        <f t="shared" si="529"/>
        <v>0</v>
      </c>
      <c r="K294" s="434">
        <f t="shared" si="530"/>
        <v>0</v>
      </c>
      <c r="L294" s="434">
        <f t="shared" si="568"/>
        <v>0</v>
      </c>
      <c r="M294" s="982">
        <f t="shared" si="569"/>
        <v>0</v>
      </c>
      <c r="O294" s="981">
        <f t="shared" si="585"/>
        <v>0</v>
      </c>
      <c r="P294" s="434">
        <f t="shared" si="586"/>
        <v>0</v>
      </c>
      <c r="Q294" s="434">
        <f t="shared" si="587"/>
        <v>0</v>
      </c>
      <c r="R294" s="434">
        <f t="shared" si="588"/>
        <v>0</v>
      </c>
      <c r="S294" s="434">
        <f t="shared" si="589"/>
        <v>0</v>
      </c>
      <c r="T294" s="434">
        <f t="shared" si="590"/>
        <v>0</v>
      </c>
      <c r="U294" s="434">
        <f t="shared" si="591"/>
        <v>0</v>
      </c>
      <c r="V294" s="434">
        <f t="shared" si="592"/>
        <v>0</v>
      </c>
      <c r="W294" s="434">
        <f t="shared" si="539"/>
        <v>0</v>
      </c>
      <c r="X294" s="982">
        <f t="shared" si="540"/>
        <v>0</v>
      </c>
      <c r="Y294" s="441"/>
      <c r="Z294" s="277">
        <f t="shared" si="541"/>
        <v>0</v>
      </c>
      <c r="AA294" s="277">
        <f t="shared" si="542"/>
        <v>0</v>
      </c>
      <c r="AB294" s="277">
        <f t="shared" si="543"/>
        <v>0</v>
      </c>
      <c r="AC294" s="277">
        <f t="shared" si="544"/>
        <v>0</v>
      </c>
      <c r="AD294" s="277">
        <f t="shared" si="545"/>
        <v>0</v>
      </c>
      <c r="AE294" s="277">
        <f t="shared" si="546"/>
        <v>0</v>
      </c>
      <c r="AF294" s="277">
        <f t="shared" si="547"/>
        <v>0</v>
      </c>
      <c r="AG294" s="277">
        <f t="shared" si="548"/>
        <v>0</v>
      </c>
      <c r="AI294" s="444">
        <f t="shared" si="593"/>
        <v>0</v>
      </c>
      <c r="AJ294" s="1090"/>
      <c r="AK294" s="489"/>
      <c r="AL294" s="811">
        <f t="shared" si="550"/>
        <v>46216</v>
      </c>
      <c r="AM294" s="666">
        <f>IFERROR(IF(AND(AT294="",AR294&lt;&gt;S.CAL!$BJ$3,AR294&lt;&gt;S.CAL!$BJ$4,$AR$275="NON"),M294-BD294,IF(AND(AT294="",AR294&lt;&gt;S.CAL!$BJ$3,AR294&lt;&gt;S.CAL!$BJ$4,$AR$275="OUI"),X294-AI294,IF(AT294&lt;&gt;0,AT294,IF(OR(AR294=S.CAL!$BJ$3,AR294=S.CAL!$BJ$4),AR294,"")))),"")</f>
        <v>0</v>
      </c>
      <c r="AN294" s="1093"/>
      <c r="AO294" s="1094"/>
      <c r="AP294" s="666">
        <f>+IF(AND(AU294="",BB294="OUI",BH294="non",BI294="OUI"),AM294,IF(AND(AU294="",BB294="OUI",BH294="oui",BI294="NON"),AM294,IF(AND(AU294="",BB294="NON",BH294="oui",BI294="NON"),M294,IF(AND(AU294="",BB294="NON",BH294="non",BI294="OUI"),M294,IF(AND(AU294="",BB294="OUI",BH294="non",BI294="NON"),"ERREUR",IF(AND(AU294="",BB294="NON",BH294="non",BI294="NON"),AM294,IF(AND(AU294="",BB294="OUI",BH294="",BI294=""),AM294,IF(AND(AU294="",BB294="NON",BH294="",BI294="",AZ294="NON"),M294,IF(AND(AU294="",BH294="",AZ294="OUI",AR294=""),AM294,IF(AND(AU294="",BH294="",AZ294="NON",AR294="",AT294=""),M294,IF(AND(OR(AR294=S.CAL!$BJ$3,AR294=S.CAL!$BJ$4),(VLOOKUP($AM$275,base_nbre_sem_mensu,2,FALSE)=52)),EE294,IF(AND(OR(AR294=S.CAL!$BJ$3,AR294=S.CAL!$BJ$4),(VLOOKUP($AM$275,base_nbre_sem_mensu,2,FALSE)&lt;52)),AM294,IF(AND(AT294&lt;&gt;"",AU294=""),AT294,AU294)))))))))))))</f>
        <v>0</v>
      </c>
      <c r="AQ294" s="498">
        <f t="shared" si="570"/>
        <v>0</v>
      </c>
      <c r="AR294" s="1098"/>
      <c r="AT294" s="1101"/>
      <c r="AU294" s="813"/>
      <c r="AV294" s="1370">
        <f t="shared" si="551"/>
        <v>46216</v>
      </c>
      <c r="AX294" s="511">
        <f t="shared" si="571"/>
        <v>46216</v>
      </c>
      <c r="AY294" s="523">
        <f t="shared" si="572"/>
        <v>0</v>
      </c>
      <c r="AZ294" s="520" t="s">
        <v>137</v>
      </c>
      <c r="BA294" s="516">
        <f t="shared" si="573"/>
        <v>0</v>
      </c>
      <c r="BB294" s="549" t="str">
        <f t="shared" si="552"/>
        <v/>
      </c>
      <c r="BC294" s="523">
        <f t="shared" si="574"/>
        <v>0</v>
      </c>
      <c r="BD294" s="523">
        <f t="shared" si="575"/>
        <v>0</v>
      </c>
      <c r="BE294" s="732"/>
      <c r="BF294" s="514" t="str">
        <f t="shared" si="553"/>
        <v/>
      </c>
      <c r="BG294" s="514" t="str">
        <f t="shared" si="576"/>
        <v>oui</v>
      </c>
      <c r="BH294" s="377" t="str">
        <f t="shared" si="554"/>
        <v/>
      </c>
      <c r="BI294" s="24" t="str">
        <f t="shared" si="555"/>
        <v/>
      </c>
      <c r="BJ294" s="1381"/>
      <c r="BK294" s="1381"/>
      <c r="BL294" s="1381"/>
      <c r="BM294" s="1381"/>
      <c r="BN294" s="1381"/>
      <c r="BO294" s="1381"/>
      <c r="BP294" s="1381"/>
      <c r="BQ294" s="1381"/>
      <c r="BS294" s="1370">
        <f t="shared" si="522"/>
        <v>46216</v>
      </c>
      <c r="BT294" s="27">
        <f t="shared" si="584"/>
        <v>29</v>
      </c>
      <c r="BU294" s="1380"/>
      <c r="BV294" s="1380"/>
      <c r="BW294" s="1380"/>
      <c r="BX294" s="1380"/>
      <c r="BY294" s="1380"/>
      <c r="BZ294" s="1380"/>
      <c r="CA294" s="1380"/>
      <c r="CB294" s="1380"/>
      <c r="CD294" s="1386">
        <f t="shared" si="577"/>
        <v>0</v>
      </c>
      <c r="DC294" s="16" t="str">
        <f>Juillet!FC32</f>
        <v>non</v>
      </c>
      <c r="DG294" s="315">
        <f t="shared" si="578"/>
        <v>1</v>
      </c>
      <c r="DH294" s="129">
        <f t="shared" si="556"/>
        <v>10</v>
      </c>
      <c r="DI294" s="129">
        <f t="shared" si="579"/>
        <v>1</v>
      </c>
      <c r="DK294" s="16">
        <f>+IF(AND(Juillet!$DP$8&lt;&gt;52,AR294=S.CAL!$BJ$4),10,1)</f>
        <v>1</v>
      </c>
      <c r="DN294" s="16">
        <f t="shared" si="557"/>
        <v>1</v>
      </c>
      <c r="DU294" s="1274" t="str">
        <f t="shared" si="580"/>
        <v>Fiche infoA146216</v>
      </c>
      <c r="DV294" s="1362">
        <f t="shared" si="558"/>
        <v>0</v>
      </c>
      <c r="DW294" s="1363">
        <f t="shared" si="559"/>
        <v>0</v>
      </c>
      <c r="DX294" s="1363">
        <f t="shared" si="560"/>
        <v>0</v>
      </c>
      <c r="DY294" s="1363">
        <f t="shared" si="561"/>
        <v>0</v>
      </c>
      <c r="DZ294" s="1363">
        <f t="shared" si="562"/>
        <v>0</v>
      </c>
      <c r="EA294" s="1363">
        <f t="shared" si="563"/>
        <v>0</v>
      </c>
      <c r="EB294" s="1363">
        <f t="shared" si="564"/>
        <v>0</v>
      </c>
      <c r="EC294" s="1363">
        <f t="shared" si="565"/>
        <v>0</v>
      </c>
      <c r="ED294" s="1363">
        <f t="shared" si="581"/>
        <v>0</v>
      </c>
      <c r="EE294" s="1364">
        <f t="shared" si="582"/>
        <v>0</v>
      </c>
      <c r="EG294" s="16" t="str">
        <f t="shared" si="583"/>
        <v>292026</v>
      </c>
      <c r="EH294" s="16" t="str">
        <f t="shared" si="566"/>
        <v>Fiche infoA1</v>
      </c>
      <c r="EI294" s="16" t="str">
        <f t="shared" si="567"/>
        <v/>
      </c>
    </row>
    <row r="295" spans="1:139" x14ac:dyDescent="0.2">
      <c r="A295" s="1373" t="str">
        <f>Juillet!BJ33</f>
        <v>Fiche infoA2</v>
      </c>
      <c r="B295" s="811">
        <f>Juillet!AB33</f>
        <v>46217</v>
      </c>
      <c r="C295" s="1372"/>
      <c r="D295" s="981">
        <f t="shared" si="523"/>
        <v>0</v>
      </c>
      <c r="E295" s="434">
        <f t="shared" si="524"/>
        <v>0</v>
      </c>
      <c r="F295" s="434">
        <f t="shared" si="525"/>
        <v>0</v>
      </c>
      <c r="G295" s="434">
        <f t="shared" si="526"/>
        <v>0</v>
      </c>
      <c r="H295" s="434">
        <f t="shared" si="527"/>
        <v>0</v>
      </c>
      <c r="I295" s="434">
        <f t="shared" si="528"/>
        <v>0</v>
      </c>
      <c r="J295" s="434">
        <f t="shared" si="529"/>
        <v>0</v>
      </c>
      <c r="K295" s="434">
        <f t="shared" si="530"/>
        <v>0</v>
      </c>
      <c r="L295" s="434">
        <f t="shared" si="568"/>
        <v>0</v>
      </c>
      <c r="M295" s="982">
        <f t="shared" si="569"/>
        <v>0</v>
      </c>
      <c r="N295" s="1374"/>
      <c r="O295" s="981">
        <f t="shared" si="585"/>
        <v>0</v>
      </c>
      <c r="P295" s="434">
        <f t="shared" si="586"/>
        <v>0</v>
      </c>
      <c r="Q295" s="434">
        <f t="shared" si="587"/>
        <v>0</v>
      </c>
      <c r="R295" s="434">
        <f t="shared" si="588"/>
        <v>0</v>
      </c>
      <c r="S295" s="434">
        <f t="shared" si="589"/>
        <v>0</v>
      </c>
      <c r="T295" s="434">
        <f t="shared" si="590"/>
        <v>0</v>
      </c>
      <c r="U295" s="434">
        <f t="shared" si="591"/>
        <v>0</v>
      </c>
      <c r="V295" s="434">
        <f t="shared" si="592"/>
        <v>0</v>
      </c>
      <c r="W295" s="434">
        <f t="shared" si="539"/>
        <v>0</v>
      </c>
      <c r="X295" s="982">
        <f t="shared" si="540"/>
        <v>0</v>
      </c>
      <c r="Y295" s="1375"/>
      <c r="Z295" s="1376">
        <f t="shared" si="541"/>
        <v>0</v>
      </c>
      <c r="AA295" s="1376">
        <f t="shared" si="542"/>
        <v>0</v>
      </c>
      <c r="AB295" s="1376">
        <f t="shared" si="543"/>
        <v>0</v>
      </c>
      <c r="AC295" s="1376">
        <f t="shared" si="544"/>
        <v>0</v>
      </c>
      <c r="AD295" s="1376">
        <f t="shared" si="545"/>
        <v>0</v>
      </c>
      <c r="AE295" s="1376">
        <f t="shared" si="546"/>
        <v>0</v>
      </c>
      <c r="AF295" s="1376">
        <f t="shared" si="547"/>
        <v>0</v>
      </c>
      <c r="AG295" s="1376">
        <f t="shared" si="548"/>
        <v>0</v>
      </c>
      <c r="AH295" s="1374"/>
      <c r="AI295" s="444">
        <f t="shared" si="593"/>
        <v>0</v>
      </c>
      <c r="AJ295" s="1090"/>
      <c r="AK295" s="1377"/>
      <c r="AL295" s="811">
        <f t="shared" si="550"/>
        <v>46217</v>
      </c>
      <c r="AM295" s="666">
        <f>IFERROR(IF(AND(AT295="",AR295&lt;&gt;S.CAL!$BJ$3,AR295&lt;&gt;S.CAL!$BJ$4,$AR$275="NON"),M295-BD295,IF(AND(AT295="",AR295&lt;&gt;S.CAL!$BJ$3,AR295&lt;&gt;S.CAL!$BJ$4,$AR$275="OUI"),X295-AI295,IF(AT295&lt;&gt;0,AT295,IF(OR(AR295=S.CAL!$BJ$3,AR295=S.CAL!$BJ$4),AR295,"")))),"")</f>
        <v>0</v>
      </c>
      <c r="AN295" s="1093"/>
      <c r="AO295" s="1094"/>
      <c r="AP295" s="666">
        <f>+IF(AND(AU295="",BB295="OUI",BH295="non",BI295="OUI"),AM295,IF(AND(AU295="",BB295="OUI",BH295="oui",BI295="NON"),AM295,IF(AND(AU295="",BB295="NON",BH295="oui",BI295="NON"),M295,IF(AND(AU295="",BB295="NON",BH295="non",BI295="OUI"),M295,IF(AND(AU295="",BB295="OUI",BH295="non",BI295="NON"),"ERREUR",IF(AND(AU295="",BB295="NON",BH295="non",BI295="NON"),AM295,IF(AND(AU295="",BB295="OUI",BH295="",BI295=""),AM295,IF(AND(AU295="",BB295="NON",BH295="",BI295="",AZ295="NON"),M295,IF(AND(AU295="",BH295="",AZ295="OUI",AR295=""),AM295,IF(AND(AU295="",BH295="",AZ295="NON",AR295="",AT295=""),M295,IF(AND(OR(AR295=S.CAL!$BJ$3,AR295=S.CAL!$BJ$4),(VLOOKUP($AM$275,base_nbre_sem_mensu,2,FALSE)=52)),EE295,IF(AND(OR(AR295=S.CAL!$BJ$3,AR295=S.CAL!$BJ$4),(VLOOKUP($AM$275,base_nbre_sem_mensu,2,FALSE)&lt;52)),AM295,IF(AND(AT295&lt;&gt;"",AU295=""),AT295,AU295)))))))))))))</f>
        <v>0</v>
      </c>
      <c r="AQ295" s="1378">
        <f t="shared" si="570"/>
        <v>0</v>
      </c>
      <c r="AR295" s="1098"/>
      <c r="AS295" s="1374"/>
      <c r="AT295" s="1101"/>
      <c r="AU295" s="813"/>
      <c r="AV295" s="1370">
        <f t="shared" si="551"/>
        <v>46217</v>
      </c>
      <c r="AW295" s="1374"/>
      <c r="AX295" s="511">
        <f t="shared" si="571"/>
        <v>46217</v>
      </c>
      <c r="AY295" s="523">
        <f t="shared" si="572"/>
        <v>0</v>
      </c>
      <c r="AZ295" s="520" t="s">
        <v>137</v>
      </c>
      <c r="BA295" s="516">
        <f t="shared" si="573"/>
        <v>0</v>
      </c>
      <c r="BB295" s="549" t="str">
        <f t="shared" si="552"/>
        <v/>
      </c>
      <c r="BC295" s="523">
        <f t="shared" si="574"/>
        <v>0</v>
      </c>
      <c r="BD295" s="523">
        <f t="shared" si="575"/>
        <v>0</v>
      </c>
      <c r="BE295" s="732"/>
      <c r="BF295" s="514" t="str">
        <f t="shared" si="553"/>
        <v/>
      </c>
      <c r="BG295" s="514" t="str">
        <f t="shared" si="576"/>
        <v>oui</v>
      </c>
      <c r="BH295" s="377" t="str">
        <f t="shared" si="554"/>
        <v/>
      </c>
      <c r="BI295" s="24" t="str">
        <f t="shared" si="555"/>
        <v/>
      </c>
      <c r="BJ295" s="1382"/>
      <c r="BK295" s="1382"/>
      <c r="BL295" s="1382"/>
      <c r="BM295" s="1382"/>
      <c r="BN295" s="1382"/>
      <c r="BO295" s="1382"/>
      <c r="BP295" s="1382"/>
      <c r="BQ295" s="1382"/>
      <c r="BR295" s="1383"/>
      <c r="BS295" s="1370">
        <f t="shared" si="522"/>
        <v>46217</v>
      </c>
      <c r="BT295" s="1384" t="str">
        <f t="shared" si="584"/>
        <v/>
      </c>
      <c r="BU295" s="1382"/>
      <c r="BV295" s="1382"/>
      <c r="BW295" s="1382"/>
      <c r="BX295" s="1382"/>
      <c r="BY295" s="1382"/>
      <c r="BZ295" s="1382"/>
      <c r="CA295" s="1382"/>
      <c r="CB295" s="1382"/>
      <c r="CD295" s="1386">
        <f t="shared" si="577"/>
        <v>0</v>
      </c>
      <c r="DC295" s="16" t="str">
        <f>Juillet!FC33</f>
        <v>non</v>
      </c>
      <c r="DG295" s="315">
        <f t="shared" si="578"/>
        <v>1</v>
      </c>
      <c r="DH295" s="129">
        <f t="shared" si="556"/>
        <v>10</v>
      </c>
      <c r="DI295" s="129">
        <f t="shared" si="579"/>
        <v>1</v>
      </c>
      <c r="DK295" s="16">
        <f>+IF(AND(Juillet!$DP$8&lt;&gt;52,AR295=S.CAL!$BJ$4),10,1)</f>
        <v>1</v>
      </c>
      <c r="DN295" s="16">
        <f t="shared" si="557"/>
        <v>1</v>
      </c>
      <c r="DU295" s="1274" t="str">
        <f t="shared" si="580"/>
        <v>Fiche infoA246217</v>
      </c>
      <c r="DV295" s="1362">
        <f t="shared" si="558"/>
        <v>0</v>
      </c>
      <c r="DW295" s="1363">
        <f t="shared" si="559"/>
        <v>0</v>
      </c>
      <c r="DX295" s="1363">
        <f t="shared" si="560"/>
        <v>0</v>
      </c>
      <c r="DY295" s="1363">
        <f t="shared" si="561"/>
        <v>0</v>
      </c>
      <c r="DZ295" s="1363">
        <f t="shared" si="562"/>
        <v>0</v>
      </c>
      <c r="EA295" s="1363">
        <f t="shared" si="563"/>
        <v>0</v>
      </c>
      <c r="EB295" s="1363">
        <f t="shared" si="564"/>
        <v>0</v>
      </c>
      <c r="EC295" s="1363">
        <f t="shared" si="565"/>
        <v>0</v>
      </c>
      <c r="ED295" s="1363">
        <f t="shared" si="581"/>
        <v>0</v>
      </c>
      <c r="EE295" s="1364">
        <f t="shared" si="582"/>
        <v>0</v>
      </c>
      <c r="EG295" s="16" t="str">
        <f t="shared" si="583"/>
        <v>292026</v>
      </c>
      <c r="EH295" s="16" t="str">
        <f t="shared" si="566"/>
        <v>Fiche infoA2</v>
      </c>
      <c r="EI295" s="16" t="str">
        <f t="shared" si="567"/>
        <v/>
      </c>
    </row>
    <row r="296" spans="1:139" x14ac:dyDescent="0.2">
      <c r="A296" s="24" t="str">
        <f>Juillet!BJ34</f>
        <v>Fiche infoA3</v>
      </c>
      <c r="B296" s="811">
        <f>Juillet!AB34</f>
        <v>46218</v>
      </c>
      <c r="C296" s="1371"/>
      <c r="D296" s="981">
        <f t="shared" si="523"/>
        <v>0</v>
      </c>
      <c r="E296" s="434">
        <f t="shared" si="524"/>
        <v>0</v>
      </c>
      <c r="F296" s="434">
        <f t="shared" si="525"/>
        <v>0</v>
      </c>
      <c r="G296" s="434">
        <f t="shared" si="526"/>
        <v>0</v>
      </c>
      <c r="H296" s="434">
        <f t="shared" si="527"/>
        <v>0</v>
      </c>
      <c r="I296" s="434">
        <f t="shared" si="528"/>
        <v>0</v>
      </c>
      <c r="J296" s="434">
        <f t="shared" si="529"/>
        <v>0</v>
      </c>
      <c r="K296" s="434">
        <f t="shared" si="530"/>
        <v>0</v>
      </c>
      <c r="L296" s="434">
        <f t="shared" si="568"/>
        <v>0</v>
      </c>
      <c r="M296" s="982">
        <f t="shared" si="569"/>
        <v>0</v>
      </c>
      <c r="O296" s="981">
        <f t="shared" si="585"/>
        <v>0</v>
      </c>
      <c r="P296" s="434">
        <f t="shared" si="586"/>
        <v>0</v>
      </c>
      <c r="Q296" s="434">
        <f t="shared" si="587"/>
        <v>0</v>
      </c>
      <c r="R296" s="434">
        <f t="shared" si="588"/>
        <v>0</v>
      </c>
      <c r="S296" s="434">
        <f t="shared" si="589"/>
        <v>0</v>
      </c>
      <c r="T296" s="434">
        <f t="shared" si="590"/>
        <v>0</v>
      </c>
      <c r="U296" s="434">
        <f t="shared" si="591"/>
        <v>0</v>
      </c>
      <c r="V296" s="434">
        <f t="shared" si="592"/>
        <v>0</v>
      </c>
      <c r="W296" s="434">
        <f t="shared" si="539"/>
        <v>0</v>
      </c>
      <c r="X296" s="982">
        <f t="shared" si="540"/>
        <v>0</v>
      </c>
      <c r="Y296" s="441"/>
      <c r="Z296" s="277">
        <f t="shared" si="541"/>
        <v>0</v>
      </c>
      <c r="AA296" s="277">
        <f t="shared" si="542"/>
        <v>0</v>
      </c>
      <c r="AB296" s="277">
        <f t="shared" si="543"/>
        <v>0</v>
      </c>
      <c r="AC296" s="277">
        <f t="shared" si="544"/>
        <v>0</v>
      </c>
      <c r="AD296" s="277">
        <f t="shared" si="545"/>
        <v>0</v>
      </c>
      <c r="AE296" s="277">
        <f t="shared" si="546"/>
        <v>0</v>
      </c>
      <c r="AF296" s="277">
        <f t="shared" si="547"/>
        <v>0</v>
      </c>
      <c r="AG296" s="277">
        <f t="shared" si="548"/>
        <v>0</v>
      </c>
      <c r="AI296" s="444">
        <f t="shared" si="593"/>
        <v>0</v>
      </c>
      <c r="AJ296" s="1090"/>
      <c r="AK296" s="489"/>
      <c r="AL296" s="811">
        <f t="shared" si="550"/>
        <v>46218</v>
      </c>
      <c r="AM296" s="666">
        <f>IFERROR(IF(AND(AT296="",AR296&lt;&gt;S.CAL!$BJ$3,AR296&lt;&gt;S.CAL!$BJ$4,$AR$275="NON"),M296-BD296,IF(AND(AT296="",AR296&lt;&gt;S.CAL!$BJ$3,AR296&lt;&gt;S.CAL!$BJ$4,$AR$275="OUI"),X296-AI296,IF(AT296&lt;&gt;0,AT296,IF(OR(AR296=S.CAL!$BJ$3,AR296=S.CAL!$BJ$4),AR296,"")))),"")</f>
        <v>0</v>
      </c>
      <c r="AN296" s="1093"/>
      <c r="AO296" s="1094"/>
      <c r="AP296" s="666">
        <f>+IF(AND(AU296="",BB296="OUI",BH296="non",BI296="OUI"),AM296,IF(AND(AU296="",BB296="OUI",BH296="oui",BI296="NON"),AM296,IF(AND(AU296="",BB296="NON",BH296="oui",BI296="NON"),M296,IF(AND(AU296="",BB296="NON",BH296="non",BI296="OUI"),M296,IF(AND(AU296="",BB296="OUI",BH296="non",BI296="NON"),"ERREUR",IF(AND(AU296="",BB296="NON",BH296="non",BI296="NON"),AM296,IF(AND(AU296="",BB296="OUI",BH296="",BI296=""),AM296,IF(AND(AU296="",BB296="NON",BH296="",BI296="",AZ296="NON"),M296,IF(AND(AU296="",BH296="",AZ296="OUI",AR296=""),AM296,IF(AND(AU296="",BH296="",AZ296="NON",AR296="",AT296=""),M296,IF(AND(OR(AR296=S.CAL!$BJ$3,AR296=S.CAL!$BJ$4),(VLOOKUP($AM$275,base_nbre_sem_mensu,2,FALSE)=52)),EE296,IF(AND(OR(AR296=S.CAL!$BJ$3,AR296=S.CAL!$BJ$4),(VLOOKUP($AM$275,base_nbre_sem_mensu,2,FALSE)&lt;52)),AM296,IF(AND(AT296&lt;&gt;"",AU296=""),AT296,AU296)))))))))))))</f>
        <v>0</v>
      </c>
      <c r="AQ296" s="498">
        <f t="shared" si="570"/>
        <v>0</v>
      </c>
      <c r="AR296" s="1098"/>
      <c r="AT296" s="1101"/>
      <c r="AU296" s="813"/>
      <c r="AV296" s="1370">
        <f t="shared" si="551"/>
        <v>46218</v>
      </c>
      <c r="AX296" s="511">
        <f t="shared" si="571"/>
        <v>46218</v>
      </c>
      <c r="AY296" s="523">
        <f t="shared" si="572"/>
        <v>0</v>
      </c>
      <c r="AZ296" s="520" t="s">
        <v>137</v>
      </c>
      <c r="BA296" s="516">
        <f t="shared" si="573"/>
        <v>0</v>
      </c>
      <c r="BB296" s="549" t="str">
        <f t="shared" si="552"/>
        <v/>
      </c>
      <c r="BC296" s="523">
        <f t="shared" si="574"/>
        <v>0</v>
      </c>
      <c r="BD296" s="523">
        <f t="shared" si="575"/>
        <v>0</v>
      </c>
      <c r="BE296" s="732"/>
      <c r="BF296" s="514" t="str">
        <f t="shared" si="553"/>
        <v/>
      </c>
      <c r="BG296" s="514" t="str">
        <f t="shared" si="576"/>
        <v>oui</v>
      </c>
      <c r="BH296" s="377" t="str">
        <f t="shared" si="554"/>
        <v/>
      </c>
      <c r="BI296" s="24" t="str">
        <f t="shared" si="555"/>
        <v/>
      </c>
      <c r="BJ296" s="1381"/>
      <c r="BK296" s="1381"/>
      <c r="BL296" s="1381"/>
      <c r="BM296" s="1381"/>
      <c r="BN296" s="1381"/>
      <c r="BO296" s="1381"/>
      <c r="BP296" s="1381"/>
      <c r="BQ296" s="1381"/>
      <c r="BS296" s="1370">
        <f t="shared" si="522"/>
        <v>46218</v>
      </c>
      <c r="BT296" s="27" t="str">
        <f t="shared" si="584"/>
        <v/>
      </c>
      <c r="BU296" s="1380"/>
      <c r="BV296" s="1380"/>
      <c r="BW296" s="1380"/>
      <c r="BX296" s="1380"/>
      <c r="BY296" s="1380"/>
      <c r="BZ296" s="1380"/>
      <c r="CA296" s="1380"/>
      <c r="CB296" s="1380"/>
      <c r="CD296" s="1386">
        <f t="shared" si="577"/>
        <v>0</v>
      </c>
      <c r="DC296" s="16" t="str">
        <f>Juillet!FC34</f>
        <v>non</v>
      </c>
      <c r="DG296" s="315">
        <f t="shared" si="578"/>
        <v>1</v>
      </c>
      <c r="DH296" s="129">
        <f t="shared" si="556"/>
        <v>10</v>
      </c>
      <c r="DI296" s="129">
        <f t="shared" si="579"/>
        <v>1</v>
      </c>
      <c r="DK296" s="16">
        <f>+IF(AND(Juillet!$DP$8&lt;&gt;52,AR296=S.CAL!$BJ$4),10,1)</f>
        <v>1</v>
      </c>
      <c r="DN296" s="16">
        <f t="shared" si="557"/>
        <v>1</v>
      </c>
      <c r="DU296" s="1274" t="str">
        <f t="shared" si="580"/>
        <v>Fiche infoA346218</v>
      </c>
      <c r="DV296" s="1362">
        <f t="shared" si="558"/>
        <v>0</v>
      </c>
      <c r="DW296" s="1363">
        <f t="shared" si="559"/>
        <v>0</v>
      </c>
      <c r="DX296" s="1363">
        <f t="shared" si="560"/>
        <v>0</v>
      </c>
      <c r="DY296" s="1363">
        <f t="shared" si="561"/>
        <v>0</v>
      </c>
      <c r="DZ296" s="1363">
        <f t="shared" si="562"/>
        <v>0</v>
      </c>
      <c r="EA296" s="1363">
        <f t="shared" si="563"/>
        <v>0</v>
      </c>
      <c r="EB296" s="1363">
        <f t="shared" si="564"/>
        <v>0</v>
      </c>
      <c r="EC296" s="1363">
        <f t="shared" si="565"/>
        <v>0</v>
      </c>
      <c r="ED296" s="1363">
        <f t="shared" si="581"/>
        <v>0</v>
      </c>
      <c r="EE296" s="1364">
        <f t="shared" si="582"/>
        <v>0</v>
      </c>
      <c r="EG296" s="16" t="str">
        <f t="shared" si="583"/>
        <v>292026</v>
      </c>
      <c r="EH296" s="16" t="str">
        <f t="shared" si="566"/>
        <v>Fiche infoA3</v>
      </c>
      <c r="EI296" s="16" t="str">
        <f t="shared" si="567"/>
        <v/>
      </c>
    </row>
    <row r="297" spans="1:139" x14ac:dyDescent="0.2">
      <c r="A297" s="1373" t="str">
        <f>Juillet!BJ35</f>
        <v>Fiche infoA4</v>
      </c>
      <c r="B297" s="811">
        <f>Juillet!AB35</f>
        <v>46219</v>
      </c>
      <c r="C297" s="1372"/>
      <c r="D297" s="981">
        <f t="shared" si="523"/>
        <v>0</v>
      </c>
      <c r="E297" s="434">
        <f t="shared" si="524"/>
        <v>0</v>
      </c>
      <c r="F297" s="434">
        <f t="shared" si="525"/>
        <v>0</v>
      </c>
      <c r="G297" s="434">
        <f t="shared" si="526"/>
        <v>0</v>
      </c>
      <c r="H297" s="434">
        <f t="shared" si="527"/>
        <v>0</v>
      </c>
      <c r="I297" s="434">
        <f t="shared" si="528"/>
        <v>0</v>
      </c>
      <c r="J297" s="434">
        <f t="shared" si="529"/>
        <v>0</v>
      </c>
      <c r="K297" s="434">
        <f t="shared" si="530"/>
        <v>0</v>
      </c>
      <c r="L297" s="434">
        <f t="shared" si="568"/>
        <v>0</v>
      </c>
      <c r="M297" s="982">
        <f t="shared" si="569"/>
        <v>0</v>
      </c>
      <c r="N297" s="1374"/>
      <c r="O297" s="981">
        <f t="shared" si="585"/>
        <v>0</v>
      </c>
      <c r="P297" s="434">
        <f t="shared" si="586"/>
        <v>0</v>
      </c>
      <c r="Q297" s="434">
        <f t="shared" si="587"/>
        <v>0</v>
      </c>
      <c r="R297" s="434">
        <f t="shared" si="588"/>
        <v>0</v>
      </c>
      <c r="S297" s="434">
        <f t="shared" si="589"/>
        <v>0</v>
      </c>
      <c r="T297" s="434">
        <f t="shared" si="590"/>
        <v>0</v>
      </c>
      <c r="U297" s="434">
        <f t="shared" si="591"/>
        <v>0</v>
      </c>
      <c r="V297" s="434">
        <f t="shared" si="592"/>
        <v>0</v>
      </c>
      <c r="W297" s="434">
        <f t="shared" si="539"/>
        <v>0</v>
      </c>
      <c r="X297" s="982">
        <f t="shared" si="540"/>
        <v>0</v>
      </c>
      <c r="Y297" s="1375"/>
      <c r="Z297" s="1376">
        <f t="shared" si="541"/>
        <v>0</v>
      </c>
      <c r="AA297" s="1376">
        <f t="shared" si="542"/>
        <v>0</v>
      </c>
      <c r="AB297" s="1376">
        <f t="shared" si="543"/>
        <v>0</v>
      </c>
      <c r="AC297" s="1376">
        <f t="shared" si="544"/>
        <v>0</v>
      </c>
      <c r="AD297" s="1376">
        <f t="shared" si="545"/>
        <v>0</v>
      </c>
      <c r="AE297" s="1376">
        <f t="shared" si="546"/>
        <v>0</v>
      </c>
      <c r="AF297" s="1376">
        <f t="shared" si="547"/>
        <v>0</v>
      </c>
      <c r="AG297" s="1376">
        <f t="shared" si="548"/>
        <v>0</v>
      </c>
      <c r="AH297" s="1374"/>
      <c r="AI297" s="444">
        <f t="shared" si="593"/>
        <v>0</v>
      </c>
      <c r="AJ297" s="1090"/>
      <c r="AK297" s="1377"/>
      <c r="AL297" s="811">
        <f t="shared" si="550"/>
        <v>46219</v>
      </c>
      <c r="AM297" s="666">
        <f>IFERROR(IF(AND(AT297="",AR297&lt;&gt;S.CAL!$BJ$3,AR297&lt;&gt;S.CAL!$BJ$4,$AR$275="NON"),M297-BD297,IF(AND(AT297="",AR297&lt;&gt;S.CAL!$BJ$3,AR297&lt;&gt;S.CAL!$BJ$4,$AR$275="OUI"),X297-AI297,IF(AT297&lt;&gt;0,AT297,IF(OR(AR297=S.CAL!$BJ$3,AR297=S.CAL!$BJ$4),AR297,"")))),"")</f>
        <v>0</v>
      </c>
      <c r="AN297" s="1093"/>
      <c r="AO297" s="1094"/>
      <c r="AP297" s="666">
        <f>+IF(AND(AU297="",BB297="OUI",BH297="non",BI297="OUI"),AM297,IF(AND(AU297="",BB297="OUI",BH297="oui",BI297="NON"),AM297,IF(AND(AU297="",BB297="NON",BH297="oui",BI297="NON"),M297,IF(AND(AU297="",BB297="NON",BH297="non",BI297="OUI"),M297,IF(AND(AU297="",BB297="OUI",BH297="non",BI297="NON"),"ERREUR",IF(AND(AU297="",BB297="NON",BH297="non",BI297="NON"),AM297,IF(AND(AU297="",BB297="OUI",BH297="",BI297=""),AM297,IF(AND(AU297="",BB297="NON",BH297="",BI297="",AZ297="NON"),M297,IF(AND(AU297="",BH297="",AZ297="OUI",AR297=""),AM297,IF(AND(AU297="",BH297="",AZ297="NON",AR297="",AT297=""),M297,IF(AND(OR(AR297=S.CAL!$BJ$3,AR297=S.CAL!$BJ$4),(VLOOKUP($AM$275,base_nbre_sem_mensu,2,FALSE)=52)),EE297,IF(AND(OR(AR297=S.CAL!$BJ$3,AR297=S.CAL!$BJ$4),(VLOOKUP($AM$275,base_nbre_sem_mensu,2,FALSE)&lt;52)),AM297,IF(AND(AT297&lt;&gt;"",AU297=""),AT297,AU297)))))))))))))</f>
        <v>0</v>
      </c>
      <c r="AQ297" s="1378">
        <f t="shared" si="570"/>
        <v>0</v>
      </c>
      <c r="AR297" s="1098"/>
      <c r="AS297" s="1374"/>
      <c r="AT297" s="1101"/>
      <c r="AU297" s="813"/>
      <c r="AV297" s="1370">
        <f t="shared" si="551"/>
        <v>46219</v>
      </c>
      <c r="AW297" s="1374"/>
      <c r="AX297" s="511">
        <f t="shared" si="571"/>
        <v>46219</v>
      </c>
      <c r="AY297" s="523">
        <f t="shared" si="572"/>
        <v>0</v>
      </c>
      <c r="AZ297" s="520" t="s">
        <v>137</v>
      </c>
      <c r="BA297" s="516">
        <f t="shared" si="573"/>
        <v>0</v>
      </c>
      <c r="BB297" s="549" t="str">
        <f t="shared" si="552"/>
        <v/>
      </c>
      <c r="BC297" s="523">
        <f t="shared" si="574"/>
        <v>0</v>
      </c>
      <c r="BD297" s="523">
        <f t="shared" si="575"/>
        <v>0</v>
      </c>
      <c r="BE297" s="732"/>
      <c r="BF297" s="514" t="str">
        <f t="shared" si="553"/>
        <v/>
      </c>
      <c r="BG297" s="514" t="str">
        <f t="shared" si="576"/>
        <v>oui</v>
      </c>
      <c r="BH297" s="377" t="str">
        <f t="shared" si="554"/>
        <v/>
      </c>
      <c r="BI297" s="24" t="str">
        <f t="shared" si="555"/>
        <v/>
      </c>
      <c r="BJ297" s="1382"/>
      <c r="BK297" s="1382"/>
      <c r="BL297" s="1382"/>
      <c r="BM297" s="1382"/>
      <c r="BN297" s="1382"/>
      <c r="BO297" s="1382"/>
      <c r="BP297" s="1382"/>
      <c r="BQ297" s="1382"/>
      <c r="BR297" s="1383"/>
      <c r="BS297" s="1370">
        <f t="shared" si="522"/>
        <v>46219</v>
      </c>
      <c r="BT297" s="1384" t="str">
        <f t="shared" si="584"/>
        <v/>
      </c>
      <c r="BU297" s="1382"/>
      <c r="BV297" s="1382"/>
      <c r="BW297" s="1382"/>
      <c r="BX297" s="1382"/>
      <c r="BY297" s="1382"/>
      <c r="BZ297" s="1382"/>
      <c r="CA297" s="1382"/>
      <c r="CB297" s="1382"/>
      <c r="CD297" s="1386">
        <f t="shared" si="577"/>
        <v>0</v>
      </c>
      <c r="DC297" s="16" t="str">
        <f>Juillet!FC35</f>
        <v>non</v>
      </c>
      <c r="DG297" s="315">
        <f t="shared" si="578"/>
        <v>1</v>
      </c>
      <c r="DH297" s="129">
        <f t="shared" si="556"/>
        <v>10</v>
      </c>
      <c r="DI297" s="129">
        <f t="shared" si="579"/>
        <v>1</v>
      </c>
      <c r="DK297" s="16">
        <f>+IF(AND(Juillet!$DP$8&lt;&gt;52,AR297=S.CAL!$BJ$4),10,1)</f>
        <v>1</v>
      </c>
      <c r="DN297" s="16">
        <f t="shared" si="557"/>
        <v>1</v>
      </c>
      <c r="DU297" s="1274" t="str">
        <f t="shared" si="580"/>
        <v>Fiche infoA446219</v>
      </c>
      <c r="DV297" s="1362">
        <f t="shared" si="558"/>
        <v>0</v>
      </c>
      <c r="DW297" s="1363">
        <f t="shared" si="559"/>
        <v>0</v>
      </c>
      <c r="DX297" s="1363">
        <f t="shared" si="560"/>
        <v>0</v>
      </c>
      <c r="DY297" s="1363">
        <f t="shared" si="561"/>
        <v>0</v>
      </c>
      <c r="DZ297" s="1363">
        <f t="shared" si="562"/>
        <v>0</v>
      </c>
      <c r="EA297" s="1363">
        <f t="shared" si="563"/>
        <v>0</v>
      </c>
      <c r="EB297" s="1363">
        <f t="shared" si="564"/>
        <v>0</v>
      </c>
      <c r="EC297" s="1363">
        <f t="shared" si="565"/>
        <v>0</v>
      </c>
      <c r="ED297" s="1363">
        <f t="shared" si="581"/>
        <v>0</v>
      </c>
      <c r="EE297" s="1364">
        <f t="shared" si="582"/>
        <v>0</v>
      </c>
      <c r="EG297" s="16" t="str">
        <f t="shared" si="583"/>
        <v>292026</v>
      </c>
      <c r="EH297" s="16" t="str">
        <f t="shared" si="566"/>
        <v>Fiche infoA4</v>
      </c>
      <c r="EI297" s="16" t="str">
        <f t="shared" si="567"/>
        <v/>
      </c>
    </row>
    <row r="298" spans="1:139" x14ac:dyDescent="0.2">
      <c r="A298" s="24" t="str">
        <f>Juillet!BJ36</f>
        <v>Fiche infoA5</v>
      </c>
      <c r="B298" s="811">
        <f>Juillet!AB36</f>
        <v>46220</v>
      </c>
      <c r="C298" s="1371"/>
      <c r="D298" s="981">
        <f t="shared" si="523"/>
        <v>0</v>
      </c>
      <c r="E298" s="434">
        <f t="shared" si="524"/>
        <v>0</v>
      </c>
      <c r="F298" s="434">
        <f t="shared" si="525"/>
        <v>0</v>
      </c>
      <c r="G298" s="434">
        <f t="shared" si="526"/>
        <v>0</v>
      </c>
      <c r="H298" s="434">
        <f t="shared" si="527"/>
        <v>0</v>
      </c>
      <c r="I298" s="434">
        <f t="shared" si="528"/>
        <v>0</v>
      </c>
      <c r="J298" s="434">
        <f t="shared" si="529"/>
        <v>0</v>
      </c>
      <c r="K298" s="434">
        <f t="shared" si="530"/>
        <v>0</v>
      </c>
      <c r="L298" s="434">
        <f t="shared" si="568"/>
        <v>0</v>
      </c>
      <c r="M298" s="982">
        <f t="shared" si="569"/>
        <v>0</v>
      </c>
      <c r="O298" s="981">
        <f t="shared" si="585"/>
        <v>0</v>
      </c>
      <c r="P298" s="434">
        <f t="shared" si="586"/>
        <v>0</v>
      </c>
      <c r="Q298" s="434">
        <f t="shared" si="587"/>
        <v>0</v>
      </c>
      <c r="R298" s="434">
        <f t="shared" si="588"/>
        <v>0</v>
      </c>
      <c r="S298" s="434">
        <f t="shared" si="589"/>
        <v>0</v>
      </c>
      <c r="T298" s="434">
        <f t="shared" si="590"/>
        <v>0</v>
      </c>
      <c r="U298" s="434">
        <f t="shared" si="591"/>
        <v>0</v>
      </c>
      <c r="V298" s="434">
        <f t="shared" si="592"/>
        <v>0</v>
      </c>
      <c r="W298" s="434">
        <f t="shared" si="539"/>
        <v>0</v>
      </c>
      <c r="X298" s="982">
        <f t="shared" si="540"/>
        <v>0</v>
      </c>
      <c r="Y298" s="441"/>
      <c r="Z298" s="277">
        <f t="shared" si="541"/>
        <v>0</v>
      </c>
      <c r="AA298" s="277">
        <f t="shared" si="542"/>
        <v>0</v>
      </c>
      <c r="AB298" s="277">
        <f t="shared" si="543"/>
        <v>0</v>
      </c>
      <c r="AC298" s="277">
        <f t="shared" si="544"/>
        <v>0</v>
      </c>
      <c r="AD298" s="277">
        <f t="shared" si="545"/>
        <v>0</v>
      </c>
      <c r="AE298" s="277">
        <f t="shared" si="546"/>
        <v>0</v>
      </c>
      <c r="AF298" s="277">
        <f t="shared" si="547"/>
        <v>0</v>
      </c>
      <c r="AG298" s="277">
        <f t="shared" si="548"/>
        <v>0</v>
      </c>
      <c r="AI298" s="444">
        <f t="shared" si="593"/>
        <v>0</v>
      </c>
      <c r="AJ298" s="1090"/>
      <c r="AK298" s="489"/>
      <c r="AL298" s="811">
        <f t="shared" si="550"/>
        <v>46220</v>
      </c>
      <c r="AM298" s="666">
        <f>IFERROR(IF(AND(AT298="",AR298&lt;&gt;S.CAL!$BJ$3,AR298&lt;&gt;S.CAL!$BJ$4,$AR$275="NON"),M298-BD298,IF(AND(AT298="",AR298&lt;&gt;S.CAL!$BJ$3,AR298&lt;&gt;S.CAL!$BJ$4,$AR$275="OUI"),X298-AI298,IF(AT298&lt;&gt;0,AT298,IF(OR(AR298=S.CAL!$BJ$3,AR298=S.CAL!$BJ$4),AR298,"")))),"")</f>
        <v>0</v>
      </c>
      <c r="AN298" s="1093"/>
      <c r="AO298" s="1094"/>
      <c r="AP298" s="666">
        <f>+IF(AND(AU298="",BB298="OUI",BH298="non",BI298="OUI"),AM298,IF(AND(AU298="",BB298="OUI",BH298="oui",BI298="NON"),AM298,IF(AND(AU298="",BB298="NON",BH298="oui",BI298="NON"),M298,IF(AND(AU298="",BB298="NON",BH298="non",BI298="OUI"),M298,IF(AND(AU298="",BB298="OUI",BH298="non",BI298="NON"),"ERREUR",IF(AND(AU298="",BB298="NON",BH298="non",BI298="NON"),AM298,IF(AND(AU298="",BB298="OUI",BH298="",BI298=""),AM298,IF(AND(AU298="",BB298="NON",BH298="",BI298="",AZ298="NON"),M298,IF(AND(AU298="",BH298="",AZ298="OUI",AR298=""),AM298,IF(AND(AU298="",BH298="",AZ298="NON",AR298="",AT298=""),M298,IF(AND(OR(AR298=S.CAL!$BJ$3,AR298=S.CAL!$BJ$4),(VLOOKUP($AM$275,base_nbre_sem_mensu,2,FALSE)=52)),EE298,IF(AND(OR(AR298=S.CAL!$BJ$3,AR298=S.CAL!$BJ$4),(VLOOKUP($AM$275,base_nbre_sem_mensu,2,FALSE)&lt;52)),AM298,IF(AND(AT298&lt;&gt;"",AU298=""),AT298,AU298)))))))))))))</f>
        <v>0</v>
      </c>
      <c r="AQ298" s="498">
        <f t="shared" si="570"/>
        <v>0</v>
      </c>
      <c r="AR298" s="1098"/>
      <c r="AT298" s="1101"/>
      <c r="AU298" s="813"/>
      <c r="AV298" s="1370">
        <f t="shared" si="551"/>
        <v>46220</v>
      </c>
      <c r="AX298" s="511">
        <f t="shared" si="571"/>
        <v>46220</v>
      </c>
      <c r="AY298" s="523">
        <f t="shared" si="572"/>
        <v>0</v>
      </c>
      <c r="AZ298" s="520" t="s">
        <v>137</v>
      </c>
      <c r="BA298" s="516">
        <f t="shared" si="573"/>
        <v>0</v>
      </c>
      <c r="BB298" s="549" t="str">
        <f t="shared" si="552"/>
        <v/>
      </c>
      <c r="BC298" s="523">
        <f t="shared" si="574"/>
        <v>0</v>
      </c>
      <c r="BD298" s="523">
        <f t="shared" si="575"/>
        <v>0</v>
      </c>
      <c r="BE298" s="732"/>
      <c r="BF298" s="514" t="str">
        <f t="shared" si="553"/>
        <v/>
      </c>
      <c r="BG298" s="514" t="str">
        <f t="shared" si="576"/>
        <v>oui</v>
      </c>
      <c r="BH298" s="377" t="str">
        <f t="shared" si="554"/>
        <v/>
      </c>
      <c r="BI298" s="24" t="str">
        <f t="shared" si="555"/>
        <v/>
      </c>
      <c r="BJ298" s="1381"/>
      <c r="BK298" s="1381"/>
      <c r="BL298" s="1381"/>
      <c r="BM298" s="1381"/>
      <c r="BN298" s="1381"/>
      <c r="BO298" s="1381"/>
      <c r="BP298" s="1381"/>
      <c r="BQ298" s="1381"/>
      <c r="BS298" s="1370">
        <f t="shared" si="522"/>
        <v>46220</v>
      </c>
      <c r="BT298" s="27" t="str">
        <f t="shared" si="584"/>
        <v/>
      </c>
      <c r="BU298" s="1380"/>
      <c r="BV298" s="1380"/>
      <c r="BW298" s="1380"/>
      <c r="BX298" s="1380"/>
      <c r="BY298" s="1380"/>
      <c r="BZ298" s="1380"/>
      <c r="CA298" s="1380"/>
      <c r="CB298" s="1380"/>
      <c r="CD298" s="1386">
        <f t="shared" si="577"/>
        <v>0</v>
      </c>
      <c r="DC298" s="16" t="str">
        <f>Juillet!FC36</f>
        <v>non</v>
      </c>
      <c r="DG298" s="315">
        <f t="shared" si="578"/>
        <v>1</v>
      </c>
      <c r="DH298" s="129">
        <f t="shared" si="556"/>
        <v>10</v>
      </c>
      <c r="DI298" s="129">
        <f t="shared" si="579"/>
        <v>1</v>
      </c>
      <c r="DK298" s="16">
        <f>+IF(AND(Juillet!$DP$8&lt;&gt;52,AR298=S.CAL!$BJ$4),10,1)</f>
        <v>1</v>
      </c>
      <c r="DN298" s="16">
        <f t="shared" si="557"/>
        <v>1</v>
      </c>
      <c r="DU298" s="1274" t="str">
        <f t="shared" si="580"/>
        <v>Fiche infoA546220</v>
      </c>
      <c r="DV298" s="1362">
        <f t="shared" si="558"/>
        <v>0</v>
      </c>
      <c r="DW298" s="1363">
        <f t="shared" si="559"/>
        <v>0</v>
      </c>
      <c r="DX298" s="1363">
        <f t="shared" si="560"/>
        <v>0</v>
      </c>
      <c r="DY298" s="1363">
        <f t="shared" si="561"/>
        <v>0</v>
      </c>
      <c r="DZ298" s="1363">
        <f t="shared" si="562"/>
        <v>0</v>
      </c>
      <c r="EA298" s="1363">
        <f t="shared" si="563"/>
        <v>0</v>
      </c>
      <c r="EB298" s="1363">
        <f t="shared" si="564"/>
        <v>0</v>
      </c>
      <c r="EC298" s="1363">
        <f t="shared" si="565"/>
        <v>0</v>
      </c>
      <c r="ED298" s="1363">
        <f t="shared" si="581"/>
        <v>0</v>
      </c>
      <c r="EE298" s="1364">
        <f t="shared" si="582"/>
        <v>0</v>
      </c>
      <c r="EG298" s="16" t="str">
        <f t="shared" si="583"/>
        <v>292026</v>
      </c>
      <c r="EH298" s="16" t="str">
        <f t="shared" si="566"/>
        <v>Fiche infoA5</v>
      </c>
      <c r="EI298" s="16" t="str">
        <f t="shared" si="567"/>
        <v/>
      </c>
    </row>
    <row r="299" spans="1:139" x14ac:dyDescent="0.2">
      <c r="A299" s="1373" t="str">
        <f>Juillet!BJ37</f>
        <v>Fiche infoA6</v>
      </c>
      <c r="B299" s="811">
        <f>Juillet!AB37</f>
        <v>46221</v>
      </c>
      <c r="C299" s="1372"/>
      <c r="D299" s="981">
        <f t="shared" si="523"/>
        <v>0</v>
      </c>
      <c r="E299" s="434">
        <f t="shared" si="524"/>
        <v>0</v>
      </c>
      <c r="F299" s="434">
        <f t="shared" si="525"/>
        <v>0</v>
      </c>
      <c r="G299" s="434">
        <f t="shared" si="526"/>
        <v>0</v>
      </c>
      <c r="H299" s="434">
        <f t="shared" si="527"/>
        <v>0</v>
      </c>
      <c r="I299" s="434">
        <f t="shared" si="528"/>
        <v>0</v>
      </c>
      <c r="J299" s="434">
        <f t="shared" si="529"/>
        <v>0</v>
      </c>
      <c r="K299" s="434">
        <f t="shared" si="530"/>
        <v>0</v>
      </c>
      <c r="L299" s="434">
        <f t="shared" si="568"/>
        <v>0</v>
      </c>
      <c r="M299" s="982">
        <f t="shared" si="569"/>
        <v>0</v>
      </c>
      <c r="N299" s="1374"/>
      <c r="O299" s="981">
        <f t="shared" si="585"/>
        <v>0</v>
      </c>
      <c r="P299" s="434">
        <f t="shared" si="586"/>
        <v>0</v>
      </c>
      <c r="Q299" s="434">
        <f t="shared" si="587"/>
        <v>0</v>
      </c>
      <c r="R299" s="434">
        <f t="shared" si="588"/>
        <v>0</v>
      </c>
      <c r="S299" s="434">
        <f t="shared" si="589"/>
        <v>0</v>
      </c>
      <c r="T299" s="434">
        <f t="shared" si="590"/>
        <v>0</v>
      </c>
      <c r="U299" s="434">
        <f t="shared" si="591"/>
        <v>0</v>
      </c>
      <c r="V299" s="434">
        <f t="shared" si="592"/>
        <v>0</v>
      </c>
      <c r="W299" s="434">
        <f t="shared" si="539"/>
        <v>0</v>
      </c>
      <c r="X299" s="982">
        <f t="shared" si="540"/>
        <v>0</v>
      </c>
      <c r="Y299" s="1375"/>
      <c r="Z299" s="1376">
        <f t="shared" si="541"/>
        <v>0</v>
      </c>
      <c r="AA299" s="1376">
        <f t="shared" si="542"/>
        <v>0</v>
      </c>
      <c r="AB299" s="1376">
        <f t="shared" si="543"/>
        <v>0</v>
      </c>
      <c r="AC299" s="1376">
        <f t="shared" si="544"/>
        <v>0</v>
      </c>
      <c r="AD299" s="1376">
        <f t="shared" si="545"/>
        <v>0</v>
      </c>
      <c r="AE299" s="1376">
        <f t="shared" si="546"/>
        <v>0</v>
      </c>
      <c r="AF299" s="1376">
        <f t="shared" si="547"/>
        <v>0</v>
      </c>
      <c r="AG299" s="1376">
        <f t="shared" si="548"/>
        <v>0</v>
      </c>
      <c r="AH299" s="1374"/>
      <c r="AI299" s="444">
        <f t="shared" si="593"/>
        <v>0</v>
      </c>
      <c r="AJ299" s="1090"/>
      <c r="AK299" s="1377"/>
      <c r="AL299" s="811">
        <f t="shared" si="550"/>
        <v>46221</v>
      </c>
      <c r="AM299" s="666">
        <f>IFERROR(IF(AND(AT299="",AR299&lt;&gt;S.CAL!$BJ$3,AR299&lt;&gt;S.CAL!$BJ$4,$AR$275="NON"),M299-BD299,IF(AND(AT299="",AR299&lt;&gt;S.CAL!$BJ$3,AR299&lt;&gt;S.CAL!$BJ$4,$AR$275="OUI"),X299-AI299,IF(AT299&lt;&gt;0,AT299,IF(OR(AR299=S.CAL!$BJ$3,AR299=S.CAL!$BJ$4),AR299,"")))),"")</f>
        <v>0</v>
      </c>
      <c r="AN299" s="1093"/>
      <c r="AO299" s="1094"/>
      <c r="AP299" s="666">
        <f>+IF(AND(AU299="",BB299="OUI",BH299="non",BI299="OUI"),AM299,IF(AND(AU299="",BB299="OUI",BH299="oui",BI299="NON"),AM299,IF(AND(AU299="",BB299="NON",BH299="oui",BI299="NON"),M299,IF(AND(AU299="",BB299="NON",BH299="non",BI299="OUI"),M299,IF(AND(AU299="",BB299="OUI",BH299="non",BI299="NON"),"ERREUR",IF(AND(AU299="",BB299="NON",BH299="non",BI299="NON"),AM299,IF(AND(AU299="",BB299="OUI",BH299="",BI299=""),AM299,IF(AND(AU299="",BB299="NON",BH299="",BI299="",AZ299="NON"),M299,IF(AND(AU299="",BH299="",AZ299="OUI",AR299=""),AM299,IF(AND(AU299="",BH299="",AZ299="NON",AR299="",AT299=""),M299,IF(AND(OR(AR299=S.CAL!$BJ$3,AR299=S.CAL!$BJ$4),(VLOOKUP($AM$275,base_nbre_sem_mensu,2,FALSE)=52)),EE299,IF(AND(OR(AR299=S.CAL!$BJ$3,AR299=S.CAL!$BJ$4),(VLOOKUP($AM$275,base_nbre_sem_mensu,2,FALSE)&lt;52)),AM299,IF(AND(AT299&lt;&gt;"",AU299=""),AT299,AU299)))))))))))))</f>
        <v>0</v>
      </c>
      <c r="AQ299" s="1378">
        <f t="shared" si="570"/>
        <v>0</v>
      </c>
      <c r="AR299" s="1098"/>
      <c r="AS299" s="1374"/>
      <c r="AT299" s="1101"/>
      <c r="AU299" s="813"/>
      <c r="AV299" s="1370">
        <f t="shared" si="551"/>
        <v>46221</v>
      </c>
      <c r="AW299" s="1374"/>
      <c r="AX299" s="511">
        <f t="shared" si="571"/>
        <v>46221</v>
      </c>
      <c r="AY299" s="523">
        <f t="shared" si="572"/>
        <v>0</v>
      </c>
      <c r="AZ299" s="520" t="s">
        <v>137</v>
      </c>
      <c r="BA299" s="516">
        <f t="shared" si="573"/>
        <v>0</v>
      </c>
      <c r="BB299" s="549" t="str">
        <f t="shared" si="552"/>
        <v/>
      </c>
      <c r="BC299" s="523">
        <f t="shared" si="574"/>
        <v>0</v>
      </c>
      <c r="BD299" s="523">
        <f t="shared" si="575"/>
        <v>0</v>
      </c>
      <c r="BE299" s="732"/>
      <c r="BF299" s="514" t="str">
        <f t="shared" si="553"/>
        <v/>
      </c>
      <c r="BG299" s="514" t="str">
        <f t="shared" si="576"/>
        <v>oui</v>
      </c>
      <c r="BH299" s="377" t="str">
        <f t="shared" si="554"/>
        <v/>
      </c>
      <c r="BI299" s="24" t="str">
        <f t="shared" si="555"/>
        <v/>
      </c>
      <c r="BJ299" s="1382"/>
      <c r="BK299" s="1382"/>
      <c r="BL299" s="1382"/>
      <c r="BM299" s="1382"/>
      <c r="BN299" s="1382"/>
      <c r="BO299" s="1382"/>
      <c r="BP299" s="1382"/>
      <c r="BQ299" s="1382"/>
      <c r="BR299" s="1383"/>
      <c r="BS299" s="1370">
        <f t="shared" si="522"/>
        <v>46221</v>
      </c>
      <c r="BT299" s="1384" t="str">
        <f t="shared" si="584"/>
        <v/>
      </c>
      <c r="BU299" s="1382"/>
      <c r="BV299" s="1382"/>
      <c r="BW299" s="1382"/>
      <c r="BX299" s="1382"/>
      <c r="BY299" s="1382"/>
      <c r="BZ299" s="1382"/>
      <c r="CA299" s="1382"/>
      <c r="CB299" s="1382"/>
      <c r="CD299" s="1386">
        <f t="shared" si="577"/>
        <v>0</v>
      </c>
      <c r="DC299" s="16" t="str">
        <f>Juillet!FC37</f>
        <v>non</v>
      </c>
      <c r="DG299" s="315">
        <f t="shared" si="578"/>
        <v>1</v>
      </c>
      <c r="DH299" s="129">
        <f t="shared" si="556"/>
        <v>10</v>
      </c>
      <c r="DI299" s="129">
        <f t="shared" si="579"/>
        <v>1</v>
      </c>
      <c r="DK299" s="16">
        <f>+IF(AND(Juillet!$DP$8&lt;&gt;52,AR299=S.CAL!$BJ$4),10,1)</f>
        <v>1</v>
      </c>
      <c r="DN299" s="16">
        <f t="shared" si="557"/>
        <v>1</v>
      </c>
      <c r="DU299" s="1274" t="str">
        <f t="shared" si="580"/>
        <v>Fiche infoA646221</v>
      </c>
      <c r="DV299" s="1362">
        <f t="shared" si="558"/>
        <v>0</v>
      </c>
      <c r="DW299" s="1363">
        <f t="shared" si="559"/>
        <v>0</v>
      </c>
      <c r="DX299" s="1363">
        <f t="shared" si="560"/>
        <v>0</v>
      </c>
      <c r="DY299" s="1363">
        <f t="shared" si="561"/>
        <v>0</v>
      </c>
      <c r="DZ299" s="1363">
        <f t="shared" si="562"/>
        <v>0</v>
      </c>
      <c r="EA299" s="1363">
        <f t="shared" si="563"/>
        <v>0</v>
      </c>
      <c r="EB299" s="1363">
        <f t="shared" si="564"/>
        <v>0</v>
      </c>
      <c r="EC299" s="1363">
        <f t="shared" si="565"/>
        <v>0</v>
      </c>
      <c r="ED299" s="1363">
        <f t="shared" si="581"/>
        <v>0</v>
      </c>
      <c r="EE299" s="1364">
        <f t="shared" si="582"/>
        <v>0</v>
      </c>
      <c r="EG299" s="16" t="str">
        <f t="shared" si="583"/>
        <v>292026</v>
      </c>
      <c r="EH299" s="16" t="str">
        <f t="shared" si="566"/>
        <v>Fiche infoA6</v>
      </c>
      <c r="EI299" s="16" t="str">
        <f t="shared" si="567"/>
        <v/>
      </c>
    </row>
    <row r="300" spans="1:139" x14ac:dyDescent="0.2">
      <c r="A300" s="24" t="str">
        <f>Juillet!BJ38</f>
        <v>Fiche infoA7</v>
      </c>
      <c r="B300" s="811">
        <f>Juillet!AB38</f>
        <v>46222</v>
      </c>
      <c r="C300" s="1371"/>
      <c r="D300" s="981">
        <f t="shared" si="523"/>
        <v>0</v>
      </c>
      <c r="E300" s="434">
        <f t="shared" si="524"/>
        <v>0</v>
      </c>
      <c r="F300" s="434">
        <f t="shared" si="525"/>
        <v>0</v>
      </c>
      <c r="G300" s="434">
        <f t="shared" si="526"/>
        <v>0</v>
      </c>
      <c r="H300" s="434">
        <f t="shared" si="527"/>
        <v>0</v>
      </c>
      <c r="I300" s="434">
        <f t="shared" si="528"/>
        <v>0</v>
      </c>
      <c r="J300" s="434">
        <f t="shared" si="529"/>
        <v>0</v>
      </c>
      <c r="K300" s="434">
        <f t="shared" si="530"/>
        <v>0</v>
      </c>
      <c r="L300" s="434">
        <f t="shared" si="568"/>
        <v>0</v>
      </c>
      <c r="M300" s="982">
        <f t="shared" si="569"/>
        <v>0</v>
      </c>
      <c r="O300" s="981">
        <f t="shared" si="585"/>
        <v>0</v>
      </c>
      <c r="P300" s="434">
        <f t="shared" si="586"/>
        <v>0</v>
      </c>
      <c r="Q300" s="434">
        <f t="shared" si="587"/>
        <v>0</v>
      </c>
      <c r="R300" s="434">
        <f t="shared" si="588"/>
        <v>0</v>
      </c>
      <c r="S300" s="434">
        <f t="shared" si="589"/>
        <v>0</v>
      </c>
      <c r="T300" s="434">
        <f t="shared" si="590"/>
        <v>0</v>
      </c>
      <c r="U300" s="434">
        <f t="shared" si="591"/>
        <v>0</v>
      </c>
      <c r="V300" s="434">
        <f t="shared" si="592"/>
        <v>0</v>
      </c>
      <c r="W300" s="434">
        <f t="shared" si="539"/>
        <v>0</v>
      </c>
      <c r="X300" s="982">
        <f t="shared" si="540"/>
        <v>0</v>
      </c>
      <c r="Y300" s="441"/>
      <c r="Z300" s="277">
        <f t="shared" si="541"/>
        <v>0</v>
      </c>
      <c r="AA300" s="277">
        <f t="shared" si="542"/>
        <v>0</v>
      </c>
      <c r="AB300" s="277">
        <f t="shared" si="543"/>
        <v>0</v>
      </c>
      <c r="AC300" s="277">
        <f t="shared" si="544"/>
        <v>0</v>
      </c>
      <c r="AD300" s="277">
        <f t="shared" si="545"/>
        <v>0</v>
      </c>
      <c r="AE300" s="277">
        <f t="shared" si="546"/>
        <v>0</v>
      </c>
      <c r="AF300" s="277">
        <f t="shared" si="547"/>
        <v>0</v>
      </c>
      <c r="AG300" s="277">
        <f t="shared" si="548"/>
        <v>0</v>
      </c>
      <c r="AI300" s="444">
        <f t="shared" si="593"/>
        <v>0</v>
      </c>
      <c r="AJ300" s="1090"/>
      <c r="AK300" s="489"/>
      <c r="AL300" s="811">
        <f t="shared" si="550"/>
        <v>46222</v>
      </c>
      <c r="AM300" s="666">
        <f>IFERROR(IF(AND(AT300="",AR300&lt;&gt;S.CAL!$BJ$3,AR300&lt;&gt;S.CAL!$BJ$4,$AR$275="NON"),M300-BD300,IF(AND(AT300="",AR300&lt;&gt;S.CAL!$BJ$3,AR300&lt;&gt;S.CAL!$BJ$4,$AR$275="OUI"),X300-AI300,IF(AT300&lt;&gt;0,AT300,IF(OR(AR300=S.CAL!$BJ$3,AR300=S.CAL!$BJ$4),AR300,"")))),"")</f>
        <v>0</v>
      </c>
      <c r="AN300" s="1093"/>
      <c r="AO300" s="1094"/>
      <c r="AP300" s="666">
        <f>+IF(AND(AU300="",BB300="OUI",BH300="non",BI300="OUI"),AM300,IF(AND(AU300="",BB300="OUI",BH300="oui",BI300="NON"),AM300,IF(AND(AU300="",BB300="NON",BH300="oui",BI300="NON"),M300,IF(AND(AU300="",BB300="NON",BH300="non",BI300="OUI"),M300,IF(AND(AU300="",BB300="OUI",BH300="non",BI300="NON"),"ERREUR",IF(AND(AU300="",BB300="NON",BH300="non",BI300="NON"),AM300,IF(AND(AU300="",BB300="OUI",BH300="",BI300=""),AM300,IF(AND(AU300="",BB300="NON",BH300="",BI300="",AZ300="NON"),M300,IF(AND(AU300="",BH300="",AZ300="OUI",AR300=""),AM300,IF(AND(AU300="",BH300="",AZ300="NON",AR300="",AT300=""),M300,IF(AND(OR(AR300=S.CAL!$BJ$3,AR300=S.CAL!$BJ$4),(VLOOKUP($AM$275,base_nbre_sem_mensu,2,FALSE)=52)),EE300,IF(AND(OR(AR300=S.CAL!$BJ$3,AR300=S.CAL!$BJ$4),(VLOOKUP($AM$275,base_nbre_sem_mensu,2,FALSE)&lt;52)),AM300,IF(AND(AT300&lt;&gt;"",AU300=""),AT300,AU300)))))))))))))</f>
        <v>0</v>
      </c>
      <c r="AQ300" s="498">
        <f t="shared" si="570"/>
        <v>0</v>
      </c>
      <c r="AR300" s="1098"/>
      <c r="AT300" s="1101"/>
      <c r="AU300" s="813"/>
      <c r="AV300" s="1370">
        <f t="shared" si="551"/>
        <v>46222</v>
      </c>
      <c r="AX300" s="511">
        <f t="shared" si="571"/>
        <v>46222</v>
      </c>
      <c r="AY300" s="523">
        <f t="shared" si="572"/>
        <v>0</v>
      </c>
      <c r="AZ300" s="520" t="s">
        <v>137</v>
      </c>
      <c r="BA300" s="516">
        <f t="shared" si="573"/>
        <v>0</v>
      </c>
      <c r="BB300" s="549" t="str">
        <f t="shared" si="552"/>
        <v/>
      </c>
      <c r="BC300" s="523">
        <f t="shared" si="574"/>
        <v>0</v>
      </c>
      <c r="BD300" s="523">
        <f t="shared" si="575"/>
        <v>0</v>
      </c>
      <c r="BE300" s="732"/>
      <c r="BF300" s="514" t="str">
        <f t="shared" si="553"/>
        <v/>
      </c>
      <c r="BG300" s="514" t="str">
        <f t="shared" si="576"/>
        <v>oui</v>
      </c>
      <c r="BH300" s="377" t="str">
        <f t="shared" si="554"/>
        <v/>
      </c>
      <c r="BI300" s="24" t="str">
        <f t="shared" si="555"/>
        <v/>
      </c>
      <c r="BJ300" s="1381"/>
      <c r="BK300" s="1381"/>
      <c r="BL300" s="1381"/>
      <c r="BM300" s="1381"/>
      <c r="BN300" s="1381"/>
      <c r="BO300" s="1381"/>
      <c r="BP300" s="1381"/>
      <c r="BQ300" s="1381"/>
      <c r="BS300" s="1370">
        <f t="shared" si="522"/>
        <v>46222</v>
      </c>
      <c r="BT300" s="27" t="str">
        <f t="shared" si="584"/>
        <v/>
      </c>
      <c r="BU300" s="1380"/>
      <c r="BV300" s="1380"/>
      <c r="BW300" s="1380"/>
      <c r="BX300" s="1380"/>
      <c r="BY300" s="1380"/>
      <c r="BZ300" s="1380"/>
      <c r="CA300" s="1380"/>
      <c r="CB300" s="1380"/>
      <c r="CD300" s="1386">
        <f t="shared" si="577"/>
        <v>0</v>
      </c>
      <c r="DC300" s="16" t="str">
        <f>Juillet!FC38</f>
        <v>non</v>
      </c>
      <c r="DG300" s="315">
        <f t="shared" si="578"/>
        <v>1</v>
      </c>
      <c r="DH300" s="129">
        <f t="shared" si="556"/>
        <v>10</v>
      </c>
      <c r="DI300" s="129">
        <f t="shared" si="579"/>
        <v>1</v>
      </c>
      <c r="DK300" s="16">
        <f>+IF(AND(Juillet!$DP$8&lt;&gt;52,AR300=S.CAL!$BJ$4),10,1)</f>
        <v>1</v>
      </c>
      <c r="DN300" s="16">
        <f t="shared" si="557"/>
        <v>1</v>
      </c>
      <c r="DU300" s="1274" t="str">
        <f t="shared" si="580"/>
        <v>Fiche infoA746222</v>
      </c>
      <c r="DV300" s="1362">
        <f t="shared" si="558"/>
        <v>0</v>
      </c>
      <c r="DW300" s="1363">
        <f t="shared" si="559"/>
        <v>0</v>
      </c>
      <c r="DX300" s="1363">
        <f t="shared" si="560"/>
        <v>0</v>
      </c>
      <c r="DY300" s="1363">
        <f t="shared" si="561"/>
        <v>0</v>
      </c>
      <c r="DZ300" s="1363">
        <f t="shared" si="562"/>
        <v>0</v>
      </c>
      <c r="EA300" s="1363">
        <f t="shared" si="563"/>
        <v>0</v>
      </c>
      <c r="EB300" s="1363">
        <f t="shared" si="564"/>
        <v>0</v>
      </c>
      <c r="EC300" s="1363">
        <f t="shared" si="565"/>
        <v>0</v>
      </c>
      <c r="ED300" s="1363">
        <f t="shared" si="581"/>
        <v>0</v>
      </c>
      <c r="EE300" s="1364">
        <f t="shared" si="582"/>
        <v>0</v>
      </c>
      <c r="EG300" s="16" t="str">
        <f t="shared" si="583"/>
        <v>292026</v>
      </c>
      <c r="EH300" s="16" t="str">
        <f t="shared" si="566"/>
        <v>Fiche infoA7</v>
      </c>
      <c r="EI300" s="16" t="str">
        <f t="shared" si="567"/>
        <v/>
      </c>
    </row>
    <row r="301" spans="1:139" x14ac:dyDescent="0.2">
      <c r="A301" s="1373" t="str">
        <f>Juillet!BJ39</f>
        <v>Fiche infoA1</v>
      </c>
      <c r="B301" s="811">
        <f>Juillet!AB39</f>
        <v>46223</v>
      </c>
      <c r="C301" s="1372"/>
      <c r="D301" s="981">
        <f t="shared" si="523"/>
        <v>0</v>
      </c>
      <c r="E301" s="434">
        <f t="shared" si="524"/>
        <v>0</v>
      </c>
      <c r="F301" s="434">
        <f t="shared" si="525"/>
        <v>0</v>
      </c>
      <c r="G301" s="434">
        <f t="shared" si="526"/>
        <v>0</v>
      </c>
      <c r="H301" s="434">
        <f t="shared" si="527"/>
        <v>0</v>
      </c>
      <c r="I301" s="434">
        <f t="shared" si="528"/>
        <v>0</v>
      </c>
      <c r="J301" s="434">
        <f t="shared" si="529"/>
        <v>0</v>
      </c>
      <c r="K301" s="434">
        <f t="shared" si="530"/>
        <v>0</v>
      </c>
      <c r="L301" s="434">
        <f t="shared" si="568"/>
        <v>0</v>
      </c>
      <c r="M301" s="982">
        <f t="shared" si="569"/>
        <v>0</v>
      </c>
      <c r="N301" s="1374"/>
      <c r="O301" s="981">
        <f t="shared" si="585"/>
        <v>0</v>
      </c>
      <c r="P301" s="434">
        <f t="shared" si="586"/>
        <v>0</v>
      </c>
      <c r="Q301" s="434">
        <f t="shared" si="587"/>
        <v>0</v>
      </c>
      <c r="R301" s="434">
        <f t="shared" si="588"/>
        <v>0</v>
      </c>
      <c r="S301" s="434">
        <f t="shared" si="589"/>
        <v>0</v>
      </c>
      <c r="T301" s="434">
        <f t="shared" si="590"/>
        <v>0</v>
      </c>
      <c r="U301" s="434">
        <f t="shared" si="591"/>
        <v>0</v>
      </c>
      <c r="V301" s="434">
        <f t="shared" si="592"/>
        <v>0</v>
      </c>
      <c r="W301" s="434">
        <f t="shared" si="539"/>
        <v>0</v>
      </c>
      <c r="X301" s="982">
        <f t="shared" si="540"/>
        <v>0</v>
      </c>
      <c r="Y301" s="1375"/>
      <c r="Z301" s="1376">
        <f t="shared" si="541"/>
        <v>0</v>
      </c>
      <c r="AA301" s="1376">
        <f t="shared" si="542"/>
        <v>0</v>
      </c>
      <c r="AB301" s="1376">
        <f t="shared" si="543"/>
        <v>0</v>
      </c>
      <c r="AC301" s="1376">
        <f t="shared" si="544"/>
        <v>0</v>
      </c>
      <c r="AD301" s="1376">
        <f t="shared" si="545"/>
        <v>0</v>
      </c>
      <c r="AE301" s="1376">
        <f t="shared" si="546"/>
        <v>0</v>
      </c>
      <c r="AF301" s="1376">
        <f t="shared" si="547"/>
        <v>0</v>
      </c>
      <c r="AG301" s="1376">
        <f t="shared" si="548"/>
        <v>0</v>
      </c>
      <c r="AH301" s="1374"/>
      <c r="AI301" s="444">
        <f t="shared" si="593"/>
        <v>0</v>
      </c>
      <c r="AJ301" s="1090"/>
      <c r="AK301" s="1377"/>
      <c r="AL301" s="811">
        <f t="shared" si="550"/>
        <v>46223</v>
      </c>
      <c r="AM301" s="666">
        <f>IFERROR(IF(AND(AT301="",AR301&lt;&gt;S.CAL!$BJ$3,AR301&lt;&gt;S.CAL!$BJ$4,$AR$275="NON"),M301-BD301,IF(AND(AT301="",AR301&lt;&gt;S.CAL!$BJ$3,AR301&lt;&gt;S.CAL!$BJ$4,$AR$275="OUI"),X301-AI301,IF(AT301&lt;&gt;0,AT301,IF(OR(AR301=S.CAL!$BJ$3,AR301=S.CAL!$BJ$4),AR301,"")))),"")</f>
        <v>0</v>
      </c>
      <c r="AN301" s="1093"/>
      <c r="AO301" s="1094"/>
      <c r="AP301" s="666">
        <f>+IF(AND(AU301="",BB301="OUI",BH301="non",BI301="OUI"),AM301,IF(AND(AU301="",BB301="OUI",BH301="oui",BI301="NON"),AM301,IF(AND(AU301="",BB301="NON",BH301="oui",BI301="NON"),M301,IF(AND(AU301="",BB301="NON",BH301="non",BI301="OUI"),M301,IF(AND(AU301="",BB301="OUI",BH301="non",BI301="NON"),"ERREUR",IF(AND(AU301="",BB301="NON",BH301="non",BI301="NON"),AM301,IF(AND(AU301="",BB301="OUI",BH301="",BI301=""),AM301,IF(AND(AU301="",BB301="NON",BH301="",BI301="",AZ301="NON"),M301,IF(AND(AU301="",BH301="",AZ301="OUI",AR301=""),AM301,IF(AND(AU301="",BH301="",AZ301="NON",AR301="",AT301=""),M301,IF(AND(OR(AR301=S.CAL!$BJ$3,AR301=S.CAL!$BJ$4),(VLOOKUP($AM$275,base_nbre_sem_mensu,2,FALSE)=52)),EE301,IF(AND(OR(AR301=S.CAL!$BJ$3,AR301=S.CAL!$BJ$4),(VLOOKUP($AM$275,base_nbre_sem_mensu,2,FALSE)&lt;52)),AM301,IF(AND(AT301&lt;&gt;"",AU301=""),AT301,AU301)))))))))))))</f>
        <v>0</v>
      </c>
      <c r="AQ301" s="1378">
        <f t="shared" si="570"/>
        <v>0</v>
      </c>
      <c r="AR301" s="1098"/>
      <c r="AS301" s="1374"/>
      <c r="AT301" s="1101"/>
      <c r="AU301" s="813"/>
      <c r="AV301" s="1370">
        <f t="shared" si="551"/>
        <v>46223</v>
      </c>
      <c r="AW301" s="1374"/>
      <c r="AX301" s="511">
        <f t="shared" si="571"/>
        <v>46223</v>
      </c>
      <c r="AY301" s="523">
        <f t="shared" si="572"/>
        <v>0</v>
      </c>
      <c r="AZ301" s="520" t="s">
        <v>137</v>
      </c>
      <c r="BA301" s="516">
        <f t="shared" si="573"/>
        <v>0</v>
      </c>
      <c r="BB301" s="549" t="str">
        <f t="shared" si="552"/>
        <v/>
      </c>
      <c r="BC301" s="523">
        <f t="shared" si="574"/>
        <v>0</v>
      </c>
      <c r="BD301" s="523">
        <f t="shared" si="575"/>
        <v>0</v>
      </c>
      <c r="BE301" s="732"/>
      <c r="BF301" s="514" t="str">
        <f t="shared" si="553"/>
        <v/>
      </c>
      <c r="BG301" s="514" t="str">
        <f t="shared" si="576"/>
        <v>oui</v>
      </c>
      <c r="BH301" s="377" t="str">
        <f t="shared" si="554"/>
        <v/>
      </c>
      <c r="BI301" s="24" t="str">
        <f t="shared" si="555"/>
        <v/>
      </c>
      <c r="BJ301" s="1382"/>
      <c r="BK301" s="1382"/>
      <c r="BL301" s="1382"/>
      <c r="BM301" s="1382"/>
      <c r="BN301" s="1382"/>
      <c r="BO301" s="1382"/>
      <c r="BP301" s="1382"/>
      <c r="BQ301" s="1382"/>
      <c r="BR301" s="1383"/>
      <c r="BS301" s="1370">
        <f t="shared" si="522"/>
        <v>46223</v>
      </c>
      <c r="BT301" s="1384">
        <f t="shared" si="584"/>
        <v>30</v>
      </c>
      <c r="BU301" s="1382"/>
      <c r="BV301" s="1382"/>
      <c r="BW301" s="1382"/>
      <c r="BX301" s="1382"/>
      <c r="BY301" s="1382"/>
      <c r="BZ301" s="1382"/>
      <c r="CA301" s="1382"/>
      <c r="CB301" s="1382"/>
      <c r="CD301" s="1386">
        <f t="shared" si="577"/>
        <v>0</v>
      </c>
      <c r="DC301" s="16" t="str">
        <f>Juillet!FC39</f>
        <v>non</v>
      </c>
      <c r="DG301" s="315">
        <f t="shared" si="578"/>
        <v>1</v>
      </c>
      <c r="DH301" s="129">
        <f t="shared" si="556"/>
        <v>10</v>
      </c>
      <c r="DI301" s="129">
        <f t="shared" si="579"/>
        <v>1</v>
      </c>
      <c r="DK301" s="16">
        <f>+IF(AND(Juillet!$DP$8&lt;&gt;52,AR301=S.CAL!$BJ$4),10,1)</f>
        <v>1</v>
      </c>
      <c r="DN301" s="16">
        <f t="shared" si="557"/>
        <v>1</v>
      </c>
      <c r="DU301" s="1274" t="str">
        <f t="shared" si="580"/>
        <v>Fiche infoA146223</v>
      </c>
      <c r="DV301" s="1362">
        <f t="shared" si="558"/>
        <v>0</v>
      </c>
      <c r="DW301" s="1363">
        <f t="shared" si="559"/>
        <v>0</v>
      </c>
      <c r="DX301" s="1363">
        <f t="shared" si="560"/>
        <v>0</v>
      </c>
      <c r="DY301" s="1363">
        <f t="shared" si="561"/>
        <v>0</v>
      </c>
      <c r="DZ301" s="1363">
        <f t="shared" si="562"/>
        <v>0</v>
      </c>
      <c r="EA301" s="1363">
        <f t="shared" si="563"/>
        <v>0</v>
      </c>
      <c r="EB301" s="1363">
        <f t="shared" si="564"/>
        <v>0</v>
      </c>
      <c r="EC301" s="1363">
        <f t="shared" si="565"/>
        <v>0</v>
      </c>
      <c r="ED301" s="1363">
        <f t="shared" si="581"/>
        <v>0</v>
      </c>
      <c r="EE301" s="1364">
        <f t="shared" si="582"/>
        <v>0</v>
      </c>
      <c r="EG301" s="16" t="str">
        <f t="shared" si="583"/>
        <v>302026</v>
      </c>
      <c r="EH301" s="16" t="str">
        <f t="shared" si="566"/>
        <v>Fiche infoA1</v>
      </c>
      <c r="EI301" s="16" t="str">
        <f t="shared" si="567"/>
        <v/>
      </c>
    </row>
    <row r="302" spans="1:139" x14ac:dyDescent="0.2">
      <c r="A302" s="24" t="str">
        <f>Juillet!BJ40</f>
        <v>Fiche infoA2</v>
      </c>
      <c r="B302" s="811">
        <f>Juillet!AB40</f>
        <v>46224</v>
      </c>
      <c r="C302" s="1371"/>
      <c r="D302" s="981">
        <f t="shared" si="523"/>
        <v>0</v>
      </c>
      <c r="E302" s="434">
        <f t="shared" si="524"/>
        <v>0</v>
      </c>
      <c r="F302" s="434">
        <f t="shared" si="525"/>
        <v>0</v>
      </c>
      <c r="G302" s="434">
        <f t="shared" si="526"/>
        <v>0</v>
      </c>
      <c r="H302" s="434">
        <f t="shared" si="527"/>
        <v>0</v>
      </c>
      <c r="I302" s="434">
        <f t="shared" si="528"/>
        <v>0</v>
      </c>
      <c r="J302" s="434">
        <f t="shared" si="529"/>
        <v>0</v>
      </c>
      <c r="K302" s="434">
        <f t="shared" si="530"/>
        <v>0</v>
      </c>
      <c r="L302" s="434">
        <f t="shared" si="568"/>
        <v>0</v>
      </c>
      <c r="M302" s="982">
        <f t="shared" si="569"/>
        <v>0</v>
      </c>
      <c r="O302" s="981">
        <f t="shared" si="585"/>
        <v>0</v>
      </c>
      <c r="P302" s="434">
        <f t="shared" si="586"/>
        <v>0</v>
      </c>
      <c r="Q302" s="434">
        <f t="shared" si="587"/>
        <v>0</v>
      </c>
      <c r="R302" s="434">
        <f t="shared" si="588"/>
        <v>0</v>
      </c>
      <c r="S302" s="434">
        <f t="shared" si="589"/>
        <v>0</v>
      </c>
      <c r="T302" s="434">
        <f t="shared" si="590"/>
        <v>0</v>
      </c>
      <c r="U302" s="434">
        <f t="shared" si="591"/>
        <v>0</v>
      </c>
      <c r="V302" s="434">
        <f t="shared" si="592"/>
        <v>0</v>
      </c>
      <c r="W302" s="434">
        <f t="shared" si="539"/>
        <v>0</v>
      </c>
      <c r="X302" s="982">
        <f t="shared" si="540"/>
        <v>0</v>
      </c>
      <c r="Y302" s="441"/>
      <c r="Z302" s="277">
        <f t="shared" si="541"/>
        <v>0</v>
      </c>
      <c r="AA302" s="277">
        <f t="shared" si="542"/>
        <v>0</v>
      </c>
      <c r="AB302" s="277">
        <f t="shared" si="543"/>
        <v>0</v>
      </c>
      <c r="AC302" s="277">
        <f t="shared" si="544"/>
        <v>0</v>
      </c>
      <c r="AD302" s="277">
        <f t="shared" si="545"/>
        <v>0</v>
      </c>
      <c r="AE302" s="277">
        <f t="shared" si="546"/>
        <v>0</v>
      </c>
      <c r="AF302" s="277">
        <f t="shared" si="547"/>
        <v>0</v>
      </c>
      <c r="AG302" s="277">
        <f t="shared" si="548"/>
        <v>0</v>
      </c>
      <c r="AI302" s="444">
        <f t="shared" si="593"/>
        <v>0</v>
      </c>
      <c r="AJ302" s="1090"/>
      <c r="AK302" s="489"/>
      <c r="AL302" s="811">
        <f t="shared" si="550"/>
        <v>46224</v>
      </c>
      <c r="AM302" s="666">
        <f>IFERROR(IF(AND(AT302="",AR302&lt;&gt;S.CAL!$BJ$3,AR302&lt;&gt;S.CAL!$BJ$4,$AR$275="NON"),M302-BD302,IF(AND(AT302="",AR302&lt;&gt;S.CAL!$BJ$3,AR302&lt;&gt;S.CAL!$BJ$4,$AR$275="OUI"),X302-AI302,IF(AT302&lt;&gt;0,AT302,IF(OR(AR302=S.CAL!$BJ$3,AR302=S.CAL!$BJ$4),AR302,"")))),"")</f>
        <v>0</v>
      </c>
      <c r="AN302" s="1093"/>
      <c r="AO302" s="1094"/>
      <c r="AP302" s="666">
        <f>+IF(AND(AU302="",BB302="OUI",BH302="non",BI302="OUI"),AM302,IF(AND(AU302="",BB302="OUI",BH302="oui",BI302="NON"),AM302,IF(AND(AU302="",BB302="NON",BH302="oui",BI302="NON"),M302,IF(AND(AU302="",BB302="NON",BH302="non",BI302="OUI"),M302,IF(AND(AU302="",BB302="OUI",BH302="non",BI302="NON"),"ERREUR",IF(AND(AU302="",BB302="NON",BH302="non",BI302="NON"),AM302,IF(AND(AU302="",BB302="OUI",BH302="",BI302=""),AM302,IF(AND(AU302="",BB302="NON",BH302="",BI302="",AZ302="NON"),M302,IF(AND(AU302="",BH302="",AZ302="OUI",AR302=""),AM302,IF(AND(AU302="",BH302="",AZ302="NON",AR302="",AT302=""),M302,IF(AND(OR(AR302=S.CAL!$BJ$3,AR302=S.CAL!$BJ$4),(VLOOKUP($AM$275,base_nbre_sem_mensu,2,FALSE)=52)),EE302,IF(AND(OR(AR302=S.CAL!$BJ$3,AR302=S.CAL!$BJ$4),(VLOOKUP($AM$275,base_nbre_sem_mensu,2,FALSE)&lt;52)),AM302,IF(AND(AT302&lt;&gt;"",AU302=""),AT302,AU302)))))))))))))</f>
        <v>0</v>
      </c>
      <c r="AQ302" s="498">
        <f t="shared" si="570"/>
        <v>0</v>
      </c>
      <c r="AR302" s="1098"/>
      <c r="AT302" s="1101"/>
      <c r="AU302" s="813"/>
      <c r="AV302" s="1370">
        <f t="shared" si="551"/>
        <v>46224</v>
      </c>
      <c r="AX302" s="511">
        <f t="shared" si="571"/>
        <v>46224</v>
      </c>
      <c r="AY302" s="523">
        <f t="shared" si="572"/>
        <v>0</v>
      </c>
      <c r="AZ302" s="520" t="s">
        <v>137</v>
      </c>
      <c r="BA302" s="516">
        <f t="shared" si="573"/>
        <v>0</v>
      </c>
      <c r="BB302" s="549" t="str">
        <f t="shared" si="552"/>
        <v/>
      </c>
      <c r="BC302" s="523">
        <f t="shared" si="574"/>
        <v>0</v>
      </c>
      <c r="BD302" s="523">
        <f t="shared" si="575"/>
        <v>0</v>
      </c>
      <c r="BE302" s="732"/>
      <c r="BF302" s="514" t="str">
        <f t="shared" si="553"/>
        <v/>
      </c>
      <c r="BG302" s="514" t="str">
        <f t="shared" si="576"/>
        <v>oui</v>
      </c>
      <c r="BH302" s="377" t="str">
        <f t="shared" si="554"/>
        <v/>
      </c>
      <c r="BI302" s="24" t="str">
        <f t="shared" si="555"/>
        <v/>
      </c>
      <c r="BJ302" s="1381"/>
      <c r="BK302" s="1381"/>
      <c r="BL302" s="1381"/>
      <c r="BM302" s="1381"/>
      <c r="BN302" s="1381"/>
      <c r="BO302" s="1381"/>
      <c r="BP302" s="1381"/>
      <c r="BQ302" s="1381"/>
      <c r="BS302" s="1370">
        <f t="shared" si="522"/>
        <v>46224</v>
      </c>
      <c r="BT302" s="27" t="str">
        <f t="shared" si="584"/>
        <v/>
      </c>
      <c r="BU302" s="1380"/>
      <c r="BV302" s="1380"/>
      <c r="BW302" s="1380"/>
      <c r="BX302" s="1380"/>
      <c r="BY302" s="1380"/>
      <c r="BZ302" s="1380"/>
      <c r="CA302" s="1380"/>
      <c r="CB302" s="1380"/>
      <c r="CD302" s="1386">
        <f t="shared" si="577"/>
        <v>0</v>
      </c>
      <c r="DC302" s="16" t="str">
        <f>Juillet!FC40</f>
        <v>non</v>
      </c>
      <c r="DG302" s="315">
        <f t="shared" si="578"/>
        <v>1</v>
      </c>
      <c r="DH302" s="129">
        <f t="shared" si="556"/>
        <v>10</v>
      </c>
      <c r="DI302" s="129">
        <f t="shared" si="579"/>
        <v>1</v>
      </c>
      <c r="DK302" s="16">
        <f>+IF(AND(Juillet!$DP$8&lt;&gt;52,AR302=S.CAL!$BJ$4),10,1)</f>
        <v>1</v>
      </c>
      <c r="DN302" s="16">
        <f t="shared" si="557"/>
        <v>1</v>
      </c>
      <c r="DU302" s="1274" t="str">
        <f t="shared" si="580"/>
        <v>Fiche infoA246224</v>
      </c>
      <c r="DV302" s="1362">
        <f t="shared" si="558"/>
        <v>0</v>
      </c>
      <c r="DW302" s="1363">
        <f t="shared" si="559"/>
        <v>0</v>
      </c>
      <c r="DX302" s="1363">
        <f t="shared" si="560"/>
        <v>0</v>
      </c>
      <c r="DY302" s="1363">
        <f t="shared" si="561"/>
        <v>0</v>
      </c>
      <c r="DZ302" s="1363">
        <f t="shared" si="562"/>
        <v>0</v>
      </c>
      <c r="EA302" s="1363">
        <f t="shared" si="563"/>
        <v>0</v>
      </c>
      <c r="EB302" s="1363">
        <f t="shared" si="564"/>
        <v>0</v>
      </c>
      <c r="EC302" s="1363">
        <f t="shared" si="565"/>
        <v>0</v>
      </c>
      <c r="ED302" s="1363">
        <f t="shared" si="581"/>
        <v>0</v>
      </c>
      <c r="EE302" s="1364">
        <f t="shared" si="582"/>
        <v>0</v>
      </c>
      <c r="EG302" s="16" t="str">
        <f t="shared" si="583"/>
        <v>302026</v>
      </c>
      <c r="EH302" s="16" t="str">
        <f t="shared" si="566"/>
        <v>Fiche infoA2</v>
      </c>
      <c r="EI302" s="16" t="str">
        <f t="shared" si="567"/>
        <v/>
      </c>
    </row>
    <row r="303" spans="1:139" x14ac:dyDescent="0.2">
      <c r="A303" s="1373" t="str">
        <f>Juillet!BJ41</f>
        <v>Fiche infoA3</v>
      </c>
      <c r="B303" s="811">
        <f>Juillet!AB41</f>
        <v>46225</v>
      </c>
      <c r="C303" s="1372"/>
      <c r="D303" s="981">
        <f t="shared" si="523"/>
        <v>0</v>
      </c>
      <c r="E303" s="434">
        <f t="shared" si="524"/>
        <v>0</v>
      </c>
      <c r="F303" s="434">
        <f t="shared" si="525"/>
        <v>0</v>
      </c>
      <c r="G303" s="434">
        <f t="shared" si="526"/>
        <v>0</v>
      </c>
      <c r="H303" s="434">
        <f t="shared" si="527"/>
        <v>0</v>
      </c>
      <c r="I303" s="434">
        <f t="shared" si="528"/>
        <v>0</v>
      </c>
      <c r="J303" s="434">
        <f t="shared" si="529"/>
        <v>0</v>
      </c>
      <c r="K303" s="434">
        <f t="shared" si="530"/>
        <v>0</v>
      </c>
      <c r="L303" s="434">
        <f t="shared" si="568"/>
        <v>0</v>
      </c>
      <c r="M303" s="982">
        <f t="shared" si="569"/>
        <v>0</v>
      </c>
      <c r="N303" s="1374"/>
      <c r="O303" s="981">
        <f t="shared" si="585"/>
        <v>0</v>
      </c>
      <c r="P303" s="434">
        <f t="shared" si="586"/>
        <v>0</v>
      </c>
      <c r="Q303" s="434">
        <f t="shared" si="587"/>
        <v>0</v>
      </c>
      <c r="R303" s="434">
        <f t="shared" si="588"/>
        <v>0</v>
      </c>
      <c r="S303" s="434">
        <f t="shared" si="589"/>
        <v>0</v>
      </c>
      <c r="T303" s="434">
        <f t="shared" si="590"/>
        <v>0</v>
      </c>
      <c r="U303" s="434">
        <f t="shared" si="591"/>
        <v>0</v>
      </c>
      <c r="V303" s="434">
        <f t="shared" si="592"/>
        <v>0</v>
      </c>
      <c r="W303" s="434">
        <f t="shared" si="539"/>
        <v>0</v>
      </c>
      <c r="X303" s="982">
        <f t="shared" si="540"/>
        <v>0</v>
      </c>
      <c r="Y303" s="1375"/>
      <c r="Z303" s="1376">
        <f t="shared" si="541"/>
        <v>0</v>
      </c>
      <c r="AA303" s="1376">
        <f t="shared" si="542"/>
        <v>0</v>
      </c>
      <c r="AB303" s="1376">
        <f t="shared" si="543"/>
        <v>0</v>
      </c>
      <c r="AC303" s="1376">
        <f t="shared" si="544"/>
        <v>0</v>
      </c>
      <c r="AD303" s="1376">
        <f t="shared" si="545"/>
        <v>0</v>
      </c>
      <c r="AE303" s="1376">
        <f t="shared" si="546"/>
        <v>0</v>
      </c>
      <c r="AF303" s="1376">
        <f t="shared" si="547"/>
        <v>0</v>
      </c>
      <c r="AG303" s="1376">
        <f t="shared" si="548"/>
        <v>0</v>
      </c>
      <c r="AH303" s="1374"/>
      <c r="AI303" s="444">
        <f t="shared" si="593"/>
        <v>0</v>
      </c>
      <c r="AJ303" s="1090"/>
      <c r="AK303" s="1377"/>
      <c r="AL303" s="811">
        <f t="shared" si="550"/>
        <v>46225</v>
      </c>
      <c r="AM303" s="666">
        <f>IFERROR(IF(AND(AT303="",AR303&lt;&gt;S.CAL!$BJ$3,AR303&lt;&gt;S.CAL!$BJ$4,$AR$275="NON"),M303-BD303,IF(AND(AT303="",AR303&lt;&gt;S.CAL!$BJ$3,AR303&lt;&gt;S.CAL!$BJ$4,$AR$275="OUI"),X303-AI303,IF(AT303&lt;&gt;0,AT303,IF(OR(AR303=S.CAL!$BJ$3,AR303=S.CAL!$BJ$4),AR303,"")))),"")</f>
        <v>0</v>
      </c>
      <c r="AN303" s="1093"/>
      <c r="AO303" s="1094"/>
      <c r="AP303" s="666">
        <f>+IF(AND(AU303="",BB303="OUI",BH303="non",BI303="OUI"),AM303,IF(AND(AU303="",BB303="OUI",BH303="oui",BI303="NON"),AM303,IF(AND(AU303="",BB303="NON",BH303="oui",BI303="NON"),M303,IF(AND(AU303="",BB303="NON",BH303="non",BI303="OUI"),M303,IF(AND(AU303="",BB303="OUI",BH303="non",BI303="NON"),"ERREUR",IF(AND(AU303="",BB303="NON",BH303="non",BI303="NON"),AM303,IF(AND(AU303="",BB303="OUI",BH303="",BI303=""),AM303,IF(AND(AU303="",BB303="NON",BH303="",BI303="",AZ303="NON"),M303,IF(AND(AU303="",BH303="",AZ303="OUI",AR303=""),AM303,IF(AND(AU303="",BH303="",AZ303="NON",AR303="",AT303=""),M303,IF(AND(OR(AR303=S.CAL!$BJ$3,AR303=S.CAL!$BJ$4),(VLOOKUP($AM$275,base_nbre_sem_mensu,2,FALSE)=52)),EE303,IF(AND(OR(AR303=S.CAL!$BJ$3,AR303=S.CAL!$BJ$4),(VLOOKUP($AM$275,base_nbre_sem_mensu,2,FALSE)&lt;52)),AM303,IF(AND(AT303&lt;&gt;"",AU303=""),AT303,AU303)))))))))))))</f>
        <v>0</v>
      </c>
      <c r="AQ303" s="1378">
        <f t="shared" si="570"/>
        <v>0</v>
      </c>
      <c r="AR303" s="1098"/>
      <c r="AS303" s="1374"/>
      <c r="AT303" s="1101"/>
      <c r="AU303" s="813"/>
      <c r="AV303" s="1370">
        <f t="shared" si="551"/>
        <v>46225</v>
      </c>
      <c r="AW303" s="1374"/>
      <c r="AX303" s="511">
        <f t="shared" si="571"/>
        <v>46225</v>
      </c>
      <c r="AY303" s="523">
        <f t="shared" si="572"/>
        <v>0</v>
      </c>
      <c r="AZ303" s="520" t="s">
        <v>137</v>
      </c>
      <c r="BA303" s="516">
        <f t="shared" si="573"/>
        <v>0</v>
      </c>
      <c r="BB303" s="549" t="str">
        <f t="shared" si="552"/>
        <v/>
      </c>
      <c r="BC303" s="523">
        <f t="shared" si="574"/>
        <v>0</v>
      </c>
      <c r="BD303" s="523">
        <f t="shared" si="575"/>
        <v>0</v>
      </c>
      <c r="BE303" s="732"/>
      <c r="BF303" s="514" t="str">
        <f t="shared" si="553"/>
        <v/>
      </c>
      <c r="BG303" s="514" t="str">
        <f t="shared" si="576"/>
        <v>oui</v>
      </c>
      <c r="BH303" s="377" t="str">
        <f t="shared" si="554"/>
        <v/>
      </c>
      <c r="BI303" s="24" t="str">
        <f t="shared" si="555"/>
        <v/>
      </c>
      <c r="BJ303" s="1382"/>
      <c r="BK303" s="1382"/>
      <c r="BL303" s="1382"/>
      <c r="BM303" s="1382"/>
      <c r="BN303" s="1382"/>
      <c r="BO303" s="1382"/>
      <c r="BP303" s="1382"/>
      <c r="BQ303" s="1382"/>
      <c r="BR303" s="1383"/>
      <c r="BS303" s="1370">
        <f t="shared" si="522"/>
        <v>46225</v>
      </c>
      <c r="BT303" s="1384" t="str">
        <f t="shared" si="584"/>
        <v/>
      </c>
      <c r="BU303" s="1382"/>
      <c r="BV303" s="1382"/>
      <c r="BW303" s="1382"/>
      <c r="BX303" s="1382"/>
      <c r="BY303" s="1382"/>
      <c r="BZ303" s="1382"/>
      <c r="CA303" s="1382"/>
      <c r="CB303" s="1382"/>
      <c r="CD303" s="1386">
        <f t="shared" si="577"/>
        <v>0</v>
      </c>
      <c r="DC303" s="16" t="str">
        <f>Juillet!FC41</f>
        <v>non</v>
      </c>
      <c r="DG303" s="315">
        <f t="shared" si="578"/>
        <v>1</v>
      </c>
      <c r="DH303" s="129">
        <f t="shared" si="556"/>
        <v>10</v>
      </c>
      <c r="DI303" s="129">
        <f t="shared" si="579"/>
        <v>1</v>
      </c>
      <c r="DK303" s="16">
        <f>+IF(AND(Juillet!$DP$8&lt;&gt;52,AR303=S.CAL!$BJ$4),10,1)</f>
        <v>1</v>
      </c>
      <c r="DN303" s="16">
        <f t="shared" si="557"/>
        <v>1</v>
      </c>
      <c r="DU303" s="1274" t="str">
        <f t="shared" si="580"/>
        <v>Fiche infoA346225</v>
      </c>
      <c r="DV303" s="1362">
        <f t="shared" si="558"/>
        <v>0</v>
      </c>
      <c r="DW303" s="1363">
        <f t="shared" si="559"/>
        <v>0</v>
      </c>
      <c r="DX303" s="1363">
        <f t="shared" si="560"/>
        <v>0</v>
      </c>
      <c r="DY303" s="1363">
        <f t="shared" si="561"/>
        <v>0</v>
      </c>
      <c r="DZ303" s="1363">
        <f t="shared" si="562"/>
        <v>0</v>
      </c>
      <c r="EA303" s="1363">
        <f t="shared" si="563"/>
        <v>0</v>
      </c>
      <c r="EB303" s="1363">
        <f t="shared" si="564"/>
        <v>0</v>
      </c>
      <c r="EC303" s="1363">
        <f t="shared" si="565"/>
        <v>0</v>
      </c>
      <c r="ED303" s="1363">
        <f t="shared" si="581"/>
        <v>0</v>
      </c>
      <c r="EE303" s="1364">
        <f t="shared" si="582"/>
        <v>0</v>
      </c>
      <c r="EG303" s="16" t="str">
        <f t="shared" si="583"/>
        <v>302026</v>
      </c>
      <c r="EH303" s="16" t="str">
        <f t="shared" si="566"/>
        <v>Fiche infoA3</v>
      </c>
      <c r="EI303" s="16" t="str">
        <f t="shared" si="567"/>
        <v/>
      </c>
    </row>
    <row r="304" spans="1:139" x14ac:dyDescent="0.2">
      <c r="A304" s="24" t="str">
        <f>Juillet!BJ42</f>
        <v>Fiche infoA4</v>
      </c>
      <c r="B304" s="811">
        <f>Juillet!AB42</f>
        <v>46226</v>
      </c>
      <c r="C304" s="1371"/>
      <c r="D304" s="981">
        <f t="shared" si="523"/>
        <v>0</v>
      </c>
      <c r="E304" s="434">
        <f t="shared" si="524"/>
        <v>0</v>
      </c>
      <c r="F304" s="434">
        <f t="shared" si="525"/>
        <v>0</v>
      </c>
      <c r="G304" s="434">
        <f t="shared" si="526"/>
        <v>0</v>
      </c>
      <c r="H304" s="434">
        <f t="shared" si="527"/>
        <v>0</v>
      </c>
      <c r="I304" s="434">
        <f t="shared" si="528"/>
        <v>0</v>
      </c>
      <c r="J304" s="434">
        <f t="shared" si="529"/>
        <v>0</v>
      </c>
      <c r="K304" s="434">
        <f t="shared" si="530"/>
        <v>0</v>
      </c>
      <c r="L304" s="434">
        <f t="shared" si="568"/>
        <v>0</v>
      </c>
      <c r="M304" s="982">
        <f t="shared" si="569"/>
        <v>0</v>
      </c>
      <c r="O304" s="981">
        <f t="shared" si="585"/>
        <v>0</v>
      </c>
      <c r="P304" s="434">
        <f t="shared" si="586"/>
        <v>0</v>
      </c>
      <c r="Q304" s="434">
        <f t="shared" si="587"/>
        <v>0</v>
      </c>
      <c r="R304" s="434">
        <f t="shared" si="588"/>
        <v>0</v>
      </c>
      <c r="S304" s="434">
        <f t="shared" si="589"/>
        <v>0</v>
      </c>
      <c r="T304" s="434">
        <f t="shared" si="590"/>
        <v>0</v>
      </c>
      <c r="U304" s="434">
        <f t="shared" si="591"/>
        <v>0</v>
      </c>
      <c r="V304" s="434">
        <f t="shared" si="592"/>
        <v>0</v>
      </c>
      <c r="W304" s="434">
        <f t="shared" si="539"/>
        <v>0</v>
      </c>
      <c r="X304" s="982">
        <f t="shared" si="540"/>
        <v>0</v>
      </c>
      <c r="Y304" s="441"/>
      <c r="Z304" s="277">
        <f t="shared" si="541"/>
        <v>0</v>
      </c>
      <c r="AA304" s="277">
        <f t="shared" si="542"/>
        <v>0</v>
      </c>
      <c r="AB304" s="277">
        <f t="shared" si="543"/>
        <v>0</v>
      </c>
      <c r="AC304" s="277">
        <f t="shared" si="544"/>
        <v>0</v>
      </c>
      <c r="AD304" s="277">
        <f t="shared" si="545"/>
        <v>0</v>
      </c>
      <c r="AE304" s="277">
        <f t="shared" si="546"/>
        <v>0</v>
      </c>
      <c r="AF304" s="277">
        <f t="shared" si="547"/>
        <v>0</v>
      </c>
      <c r="AG304" s="277">
        <f t="shared" si="548"/>
        <v>0</v>
      </c>
      <c r="AI304" s="444">
        <f t="shared" si="593"/>
        <v>0</v>
      </c>
      <c r="AJ304" s="1090"/>
      <c r="AK304" s="489"/>
      <c r="AL304" s="811">
        <f t="shared" si="550"/>
        <v>46226</v>
      </c>
      <c r="AM304" s="666">
        <f>IFERROR(IF(AND(AT304="",AR304&lt;&gt;S.CAL!$BJ$3,AR304&lt;&gt;S.CAL!$BJ$4,$AR$275="NON"),M304-BD304,IF(AND(AT304="",AR304&lt;&gt;S.CAL!$BJ$3,AR304&lt;&gt;S.CAL!$BJ$4,$AR$275="OUI"),X304-AI304,IF(AT304&lt;&gt;0,AT304,IF(OR(AR304=S.CAL!$BJ$3,AR304=S.CAL!$BJ$4),AR304,"")))),"")</f>
        <v>0</v>
      </c>
      <c r="AN304" s="1093"/>
      <c r="AO304" s="1094"/>
      <c r="AP304" s="666">
        <f>+IF(AND(AU304="",BB304="OUI",BH304="non",BI304="OUI"),AM304,IF(AND(AU304="",BB304="OUI",BH304="oui",BI304="NON"),AM304,IF(AND(AU304="",BB304="NON",BH304="oui",BI304="NON"),M304,IF(AND(AU304="",BB304="NON",BH304="non",BI304="OUI"),M304,IF(AND(AU304="",BB304="OUI",BH304="non",BI304="NON"),"ERREUR",IF(AND(AU304="",BB304="NON",BH304="non",BI304="NON"),AM304,IF(AND(AU304="",BB304="OUI",BH304="",BI304=""),AM304,IF(AND(AU304="",BB304="NON",BH304="",BI304="",AZ304="NON"),M304,IF(AND(AU304="",BH304="",AZ304="OUI",AR304=""),AM304,IF(AND(AU304="",BH304="",AZ304="NON",AR304="",AT304=""),M304,IF(AND(OR(AR304=S.CAL!$BJ$3,AR304=S.CAL!$BJ$4),(VLOOKUP($AM$275,base_nbre_sem_mensu,2,FALSE)=52)),EE304,IF(AND(OR(AR304=S.CAL!$BJ$3,AR304=S.CAL!$BJ$4),(VLOOKUP($AM$275,base_nbre_sem_mensu,2,FALSE)&lt;52)),AM304,IF(AND(AT304&lt;&gt;"",AU304=""),AT304,AU304)))))))))))))</f>
        <v>0</v>
      </c>
      <c r="AQ304" s="498">
        <f t="shared" si="570"/>
        <v>0</v>
      </c>
      <c r="AR304" s="1098"/>
      <c r="AT304" s="1101"/>
      <c r="AU304" s="813"/>
      <c r="AV304" s="1370">
        <f t="shared" si="551"/>
        <v>46226</v>
      </c>
      <c r="AX304" s="511">
        <f t="shared" si="571"/>
        <v>46226</v>
      </c>
      <c r="AY304" s="523">
        <f t="shared" si="572"/>
        <v>0</v>
      </c>
      <c r="AZ304" s="520" t="s">
        <v>137</v>
      </c>
      <c r="BA304" s="516">
        <f t="shared" si="573"/>
        <v>0</v>
      </c>
      <c r="BB304" s="549" t="str">
        <f t="shared" si="552"/>
        <v/>
      </c>
      <c r="BC304" s="523">
        <f t="shared" si="574"/>
        <v>0</v>
      </c>
      <c r="BD304" s="523">
        <f t="shared" si="575"/>
        <v>0</v>
      </c>
      <c r="BE304" s="732"/>
      <c r="BF304" s="514" t="str">
        <f t="shared" si="553"/>
        <v/>
      </c>
      <c r="BG304" s="514" t="str">
        <f t="shared" si="576"/>
        <v>oui</v>
      </c>
      <c r="BH304" s="377" t="str">
        <f t="shared" si="554"/>
        <v/>
      </c>
      <c r="BI304" s="24" t="str">
        <f t="shared" si="555"/>
        <v/>
      </c>
      <c r="BJ304" s="1381"/>
      <c r="BK304" s="1381"/>
      <c r="BL304" s="1381"/>
      <c r="BM304" s="1381"/>
      <c r="BN304" s="1381"/>
      <c r="BO304" s="1381"/>
      <c r="BP304" s="1381"/>
      <c r="BQ304" s="1381"/>
      <c r="BS304" s="1370">
        <f t="shared" si="522"/>
        <v>46226</v>
      </c>
      <c r="BT304" s="27" t="str">
        <f t="shared" si="584"/>
        <v/>
      </c>
      <c r="BU304" s="1380"/>
      <c r="BV304" s="1380"/>
      <c r="BW304" s="1380"/>
      <c r="BX304" s="1380"/>
      <c r="BY304" s="1380"/>
      <c r="BZ304" s="1380"/>
      <c r="CA304" s="1380"/>
      <c r="CB304" s="1380"/>
      <c r="CD304" s="1386">
        <f t="shared" si="577"/>
        <v>0</v>
      </c>
      <c r="DC304" s="16" t="str">
        <f>Juillet!FC42</f>
        <v>non</v>
      </c>
      <c r="DG304" s="315">
        <f t="shared" si="578"/>
        <v>1</v>
      </c>
      <c r="DH304" s="129">
        <f t="shared" si="556"/>
        <v>10</v>
      </c>
      <c r="DI304" s="129">
        <f t="shared" si="579"/>
        <v>1</v>
      </c>
      <c r="DK304" s="16">
        <f>+IF(AND(Juillet!$DP$8&lt;&gt;52,AR304=S.CAL!$BJ$4),10,1)</f>
        <v>1</v>
      </c>
      <c r="DN304" s="16">
        <f t="shared" si="557"/>
        <v>1</v>
      </c>
      <c r="DU304" s="1274" t="str">
        <f t="shared" si="580"/>
        <v>Fiche infoA446226</v>
      </c>
      <c r="DV304" s="1362">
        <f t="shared" si="558"/>
        <v>0</v>
      </c>
      <c r="DW304" s="1363">
        <f t="shared" si="559"/>
        <v>0</v>
      </c>
      <c r="DX304" s="1363">
        <f t="shared" si="560"/>
        <v>0</v>
      </c>
      <c r="DY304" s="1363">
        <f t="shared" si="561"/>
        <v>0</v>
      </c>
      <c r="DZ304" s="1363">
        <f t="shared" si="562"/>
        <v>0</v>
      </c>
      <c r="EA304" s="1363">
        <f t="shared" si="563"/>
        <v>0</v>
      </c>
      <c r="EB304" s="1363">
        <f t="shared" si="564"/>
        <v>0</v>
      </c>
      <c r="EC304" s="1363">
        <f t="shared" si="565"/>
        <v>0</v>
      </c>
      <c r="ED304" s="1363">
        <f t="shared" si="581"/>
        <v>0</v>
      </c>
      <c r="EE304" s="1364">
        <f t="shared" si="582"/>
        <v>0</v>
      </c>
      <c r="EG304" s="16" t="str">
        <f t="shared" si="583"/>
        <v>302026</v>
      </c>
      <c r="EH304" s="16" t="str">
        <f t="shared" si="566"/>
        <v>Fiche infoA4</v>
      </c>
      <c r="EI304" s="16" t="str">
        <f t="shared" si="567"/>
        <v/>
      </c>
    </row>
    <row r="305" spans="1:145" x14ac:dyDescent="0.2">
      <c r="A305" s="1373" t="str">
        <f>Juillet!BJ43</f>
        <v>Fiche infoA5</v>
      </c>
      <c r="B305" s="811">
        <f>Juillet!AB43</f>
        <v>46227</v>
      </c>
      <c r="C305" s="1372"/>
      <c r="D305" s="981">
        <f t="shared" si="523"/>
        <v>0</v>
      </c>
      <c r="E305" s="434">
        <f t="shared" si="524"/>
        <v>0</v>
      </c>
      <c r="F305" s="434">
        <f t="shared" si="525"/>
        <v>0</v>
      </c>
      <c r="G305" s="434">
        <f t="shared" si="526"/>
        <v>0</v>
      </c>
      <c r="H305" s="434">
        <f t="shared" si="527"/>
        <v>0</v>
      </c>
      <c r="I305" s="434">
        <f t="shared" si="528"/>
        <v>0</v>
      </c>
      <c r="J305" s="434">
        <f t="shared" si="529"/>
        <v>0</v>
      </c>
      <c r="K305" s="434">
        <f t="shared" si="530"/>
        <v>0</v>
      </c>
      <c r="L305" s="434">
        <f t="shared" si="568"/>
        <v>0</v>
      </c>
      <c r="M305" s="982">
        <f t="shared" si="569"/>
        <v>0</v>
      </c>
      <c r="N305" s="1374"/>
      <c r="O305" s="981">
        <f t="shared" si="585"/>
        <v>0</v>
      </c>
      <c r="P305" s="434">
        <f t="shared" si="586"/>
        <v>0</v>
      </c>
      <c r="Q305" s="434">
        <f t="shared" si="587"/>
        <v>0</v>
      </c>
      <c r="R305" s="434">
        <f t="shared" si="588"/>
        <v>0</v>
      </c>
      <c r="S305" s="434">
        <f t="shared" si="589"/>
        <v>0</v>
      </c>
      <c r="T305" s="434">
        <f t="shared" si="590"/>
        <v>0</v>
      </c>
      <c r="U305" s="434">
        <f t="shared" si="591"/>
        <v>0</v>
      </c>
      <c r="V305" s="434">
        <f t="shared" si="592"/>
        <v>0</v>
      </c>
      <c r="W305" s="434">
        <f t="shared" si="539"/>
        <v>0</v>
      </c>
      <c r="X305" s="982">
        <f t="shared" si="540"/>
        <v>0</v>
      </c>
      <c r="Y305" s="1375"/>
      <c r="Z305" s="1376">
        <f t="shared" si="541"/>
        <v>0</v>
      </c>
      <c r="AA305" s="1376">
        <f t="shared" si="542"/>
        <v>0</v>
      </c>
      <c r="AB305" s="1376">
        <f t="shared" si="543"/>
        <v>0</v>
      </c>
      <c r="AC305" s="1376">
        <f t="shared" si="544"/>
        <v>0</v>
      </c>
      <c r="AD305" s="1376">
        <f t="shared" si="545"/>
        <v>0</v>
      </c>
      <c r="AE305" s="1376">
        <f t="shared" si="546"/>
        <v>0</v>
      </c>
      <c r="AF305" s="1376">
        <f t="shared" si="547"/>
        <v>0</v>
      </c>
      <c r="AG305" s="1376">
        <f t="shared" si="548"/>
        <v>0</v>
      </c>
      <c r="AH305" s="1374"/>
      <c r="AI305" s="444">
        <f t="shared" si="593"/>
        <v>0</v>
      </c>
      <c r="AJ305" s="1090"/>
      <c r="AK305" s="1377"/>
      <c r="AL305" s="811">
        <f t="shared" si="550"/>
        <v>46227</v>
      </c>
      <c r="AM305" s="666">
        <f>IFERROR(IF(AND(AT305="",AR305&lt;&gt;S.CAL!$BJ$3,AR305&lt;&gt;S.CAL!$BJ$4,$AR$275="NON"),M305-BD305,IF(AND(AT305="",AR305&lt;&gt;S.CAL!$BJ$3,AR305&lt;&gt;S.CAL!$BJ$4,$AR$275="OUI"),X305-AI305,IF(AT305&lt;&gt;0,AT305,IF(OR(AR305=S.CAL!$BJ$3,AR305=S.CAL!$BJ$4),AR305,"")))),"")</f>
        <v>0</v>
      </c>
      <c r="AN305" s="1093"/>
      <c r="AO305" s="1094"/>
      <c r="AP305" s="666">
        <f>+IF(AND(AU305="",BB305="OUI",BH305="non",BI305="OUI"),AM305,IF(AND(AU305="",BB305="OUI",BH305="oui",BI305="NON"),AM305,IF(AND(AU305="",BB305="NON",BH305="oui",BI305="NON"),M305,IF(AND(AU305="",BB305="NON",BH305="non",BI305="OUI"),M305,IF(AND(AU305="",BB305="OUI",BH305="non",BI305="NON"),"ERREUR",IF(AND(AU305="",BB305="NON",BH305="non",BI305="NON"),AM305,IF(AND(AU305="",BB305="OUI",BH305="",BI305=""),AM305,IF(AND(AU305="",BB305="NON",BH305="",BI305="",AZ305="NON"),M305,IF(AND(AU305="",BH305="",AZ305="OUI",AR305=""),AM305,IF(AND(AU305="",BH305="",AZ305="NON",AR305="",AT305=""),M305,IF(AND(OR(AR305=S.CAL!$BJ$3,AR305=S.CAL!$BJ$4),(VLOOKUP($AM$275,base_nbre_sem_mensu,2,FALSE)=52)),EE305,IF(AND(OR(AR305=S.CAL!$BJ$3,AR305=S.CAL!$BJ$4),(VLOOKUP($AM$275,base_nbre_sem_mensu,2,FALSE)&lt;52)),AM305,IF(AND(AT305&lt;&gt;"",AU305=""),AT305,AU305)))))))))))))</f>
        <v>0</v>
      </c>
      <c r="AQ305" s="1378">
        <f t="shared" si="570"/>
        <v>0</v>
      </c>
      <c r="AR305" s="1098"/>
      <c r="AS305" s="1374"/>
      <c r="AT305" s="1101"/>
      <c r="AU305" s="813"/>
      <c r="AV305" s="1370">
        <f t="shared" si="551"/>
        <v>46227</v>
      </c>
      <c r="AW305" s="1374"/>
      <c r="AX305" s="511">
        <f t="shared" si="571"/>
        <v>46227</v>
      </c>
      <c r="AY305" s="523">
        <f t="shared" si="572"/>
        <v>0</v>
      </c>
      <c r="AZ305" s="520" t="s">
        <v>137</v>
      </c>
      <c r="BA305" s="516">
        <f t="shared" si="573"/>
        <v>0</v>
      </c>
      <c r="BB305" s="549" t="str">
        <f t="shared" si="552"/>
        <v/>
      </c>
      <c r="BC305" s="523">
        <f t="shared" si="574"/>
        <v>0</v>
      </c>
      <c r="BD305" s="523">
        <f t="shared" si="575"/>
        <v>0</v>
      </c>
      <c r="BE305" s="732"/>
      <c r="BF305" s="514" t="str">
        <f t="shared" si="553"/>
        <v/>
      </c>
      <c r="BG305" s="514" t="str">
        <f t="shared" si="576"/>
        <v>oui</v>
      </c>
      <c r="BH305" s="377" t="str">
        <f t="shared" si="554"/>
        <v/>
      </c>
      <c r="BI305" s="24" t="str">
        <f t="shared" si="555"/>
        <v/>
      </c>
      <c r="BJ305" s="1382"/>
      <c r="BK305" s="1382"/>
      <c r="BL305" s="1382"/>
      <c r="BM305" s="1382"/>
      <c r="BN305" s="1382"/>
      <c r="BO305" s="1382"/>
      <c r="BP305" s="1382"/>
      <c r="BQ305" s="1382"/>
      <c r="BR305" s="1383"/>
      <c r="BS305" s="1370">
        <f t="shared" si="522"/>
        <v>46227</v>
      </c>
      <c r="BT305" s="1384" t="str">
        <f t="shared" si="584"/>
        <v/>
      </c>
      <c r="BU305" s="1382"/>
      <c r="BV305" s="1382"/>
      <c r="BW305" s="1382"/>
      <c r="BX305" s="1382"/>
      <c r="BY305" s="1382"/>
      <c r="BZ305" s="1382"/>
      <c r="CA305" s="1382"/>
      <c r="CB305" s="1382"/>
      <c r="CD305" s="1386">
        <f t="shared" si="577"/>
        <v>0</v>
      </c>
      <c r="DC305" s="16" t="str">
        <f>Juillet!FC43</f>
        <v>non</v>
      </c>
      <c r="DG305" s="315">
        <f t="shared" si="578"/>
        <v>1</v>
      </c>
      <c r="DH305" s="129">
        <f t="shared" si="556"/>
        <v>10</v>
      </c>
      <c r="DI305" s="129">
        <f t="shared" si="579"/>
        <v>1</v>
      </c>
      <c r="DK305" s="16">
        <f>+IF(AND(Juillet!$DP$8&lt;&gt;52,AR305=S.CAL!$BJ$4),10,1)</f>
        <v>1</v>
      </c>
      <c r="DN305" s="16">
        <f t="shared" si="557"/>
        <v>1</v>
      </c>
      <c r="DU305" s="1274" t="str">
        <f t="shared" si="580"/>
        <v>Fiche infoA546227</v>
      </c>
      <c r="DV305" s="1362">
        <f t="shared" si="558"/>
        <v>0</v>
      </c>
      <c r="DW305" s="1363">
        <f t="shared" si="559"/>
        <v>0</v>
      </c>
      <c r="DX305" s="1363">
        <f t="shared" si="560"/>
        <v>0</v>
      </c>
      <c r="DY305" s="1363">
        <f t="shared" si="561"/>
        <v>0</v>
      </c>
      <c r="DZ305" s="1363">
        <f t="shared" si="562"/>
        <v>0</v>
      </c>
      <c r="EA305" s="1363">
        <f t="shared" si="563"/>
        <v>0</v>
      </c>
      <c r="EB305" s="1363">
        <f t="shared" si="564"/>
        <v>0</v>
      </c>
      <c r="EC305" s="1363">
        <f t="shared" si="565"/>
        <v>0</v>
      </c>
      <c r="ED305" s="1363">
        <f t="shared" si="581"/>
        <v>0</v>
      </c>
      <c r="EE305" s="1364">
        <f t="shared" si="582"/>
        <v>0</v>
      </c>
      <c r="EG305" s="16" t="str">
        <f t="shared" si="583"/>
        <v>302026</v>
      </c>
      <c r="EH305" s="16" t="str">
        <f t="shared" si="566"/>
        <v>Fiche infoA5</v>
      </c>
      <c r="EI305" s="16" t="str">
        <f t="shared" si="567"/>
        <v/>
      </c>
    </row>
    <row r="306" spans="1:145" x14ac:dyDescent="0.2">
      <c r="A306" s="24" t="str">
        <f>Juillet!BJ44</f>
        <v>Fiche infoA6</v>
      </c>
      <c r="B306" s="811">
        <f>Juillet!AB44</f>
        <v>46228</v>
      </c>
      <c r="C306" s="1371"/>
      <c r="D306" s="981">
        <f t="shared" si="523"/>
        <v>0</v>
      </c>
      <c r="E306" s="434">
        <f t="shared" si="524"/>
        <v>0</v>
      </c>
      <c r="F306" s="434">
        <f t="shared" si="525"/>
        <v>0</v>
      </c>
      <c r="G306" s="434">
        <f t="shared" si="526"/>
        <v>0</v>
      </c>
      <c r="H306" s="434">
        <f t="shared" si="527"/>
        <v>0</v>
      </c>
      <c r="I306" s="434">
        <f t="shared" si="528"/>
        <v>0</v>
      </c>
      <c r="J306" s="434">
        <f t="shared" si="529"/>
        <v>0</v>
      </c>
      <c r="K306" s="434">
        <f t="shared" si="530"/>
        <v>0</v>
      </c>
      <c r="L306" s="434">
        <f t="shared" si="568"/>
        <v>0</v>
      </c>
      <c r="M306" s="982">
        <f t="shared" si="569"/>
        <v>0</v>
      </c>
      <c r="O306" s="981">
        <f t="shared" si="585"/>
        <v>0</v>
      </c>
      <c r="P306" s="434">
        <f t="shared" si="586"/>
        <v>0</v>
      </c>
      <c r="Q306" s="434">
        <f t="shared" si="587"/>
        <v>0</v>
      </c>
      <c r="R306" s="434">
        <f t="shared" si="588"/>
        <v>0</v>
      </c>
      <c r="S306" s="434">
        <f t="shared" si="589"/>
        <v>0</v>
      </c>
      <c r="T306" s="434">
        <f t="shared" si="590"/>
        <v>0</v>
      </c>
      <c r="U306" s="434">
        <f t="shared" si="591"/>
        <v>0</v>
      </c>
      <c r="V306" s="434">
        <f t="shared" si="592"/>
        <v>0</v>
      </c>
      <c r="W306" s="434">
        <f t="shared" si="539"/>
        <v>0</v>
      </c>
      <c r="X306" s="982">
        <f t="shared" si="540"/>
        <v>0</v>
      </c>
      <c r="Y306" s="441"/>
      <c r="Z306" s="277">
        <f t="shared" si="541"/>
        <v>0</v>
      </c>
      <c r="AA306" s="277">
        <f t="shared" si="542"/>
        <v>0</v>
      </c>
      <c r="AB306" s="277">
        <f t="shared" si="543"/>
        <v>0</v>
      </c>
      <c r="AC306" s="277">
        <f t="shared" si="544"/>
        <v>0</v>
      </c>
      <c r="AD306" s="277">
        <f t="shared" si="545"/>
        <v>0</v>
      </c>
      <c r="AE306" s="277">
        <f t="shared" si="546"/>
        <v>0</v>
      </c>
      <c r="AF306" s="277">
        <f t="shared" si="547"/>
        <v>0</v>
      </c>
      <c r="AG306" s="277">
        <f t="shared" si="548"/>
        <v>0</v>
      </c>
      <c r="AI306" s="444">
        <f t="shared" si="593"/>
        <v>0</v>
      </c>
      <c r="AJ306" s="1090"/>
      <c r="AK306" s="489"/>
      <c r="AL306" s="811">
        <f t="shared" si="550"/>
        <v>46228</v>
      </c>
      <c r="AM306" s="666">
        <f>IFERROR(IF(AND(AT306="",AR306&lt;&gt;S.CAL!$BJ$3,AR306&lt;&gt;S.CAL!$BJ$4,$AR$275="NON"),M306-BD306,IF(AND(AT306="",AR306&lt;&gt;S.CAL!$BJ$3,AR306&lt;&gt;S.CAL!$BJ$4,$AR$275="OUI"),X306-AI306,IF(AT306&lt;&gt;0,AT306,IF(OR(AR306=S.CAL!$BJ$3,AR306=S.CAL!$BJ$4),AR306,"")))),"")</f>
        <v>0</v>
      </c>
      <c r="AN306" s="1093"/>
      <c r="AO306" s="1094"/>
      <c r="AP306" s="666">
        <f>+IF(AND(AU306="",BB306="OUI",BH306="non",BI306="OUI"),AM306,IF(AND(AU306="",BB306="OUI",BH306="oui",BI306="NON"),AM306,IF(AND(AU306="",BB306="NON",BH306="oui",BI306="NON"),M306,IF(AND(AU306="",BB306="NON",BH306="non",BI306="OUI"),M306,IF(AND(AU306="",BB306="OUI",BH306="non",BI306="NON"),"ERREUR",IF(AND(AU306="",BB306="NON",BH306="non",BI306="NON"),AM306,IF(AND(AU306="",BB306="OUI",BH306="",BI306=""),AM306,IF(AND(AU306="",BB306="NON",BH306="",BI306="",AZ306="NON"),M306,IF(AND(AU306="",BH306="",AZ306="OUI",AR306=""),AM306,IF(AND(AU306="",BH306="",AZ306="NON",AR306="",AT306=""),M306,IF(AND(OR(AR306=S.CAL!$BJ$3,AR306=S.CAL!$BJ$4),(VLOOKUP($AM$275,base_nbre_sem_mensu,2,FALSE)=52)),EE306,IF(AND(OR(AR306=S.CAL!$BJ$3,AR306=S.CAL!$BJ$4),(VLOOKUP($AM$275,base_nbre_sem_mensu,2,FALSE)&lt;52)),AM306,IF(AND(AT306&lt;&gt;"",AU306=""),AT306,AU306)))))))))))))</f>
        <v>0</v>
      </c>
      <c r="AQ306" s="498">
        <f t="shared" si="570"/>
        <v>0</v>
      </c>
      <c r="AR306" s="1098"/>
      <c r="AT306" s="1101"/>
      <c r="AU306" s="813"/>
      <c r="AV306" s="1370">
        <f t="shared" si="551"/>
        <v>46228</v>
      </c>
      <c r="AX306" s="511">
        <f t="shared" si="571"/>
        <v>46228</v>
      </c>
      <c r="AY306" s="523">
        <f t="shared" si="572"/>
        <v>0</v>
      </c>
      <c r="AZ306" s="520" t="s">
        <v>137</v>
      </c>
      <c r="BA306" s="516">
        <f t="shared" si="573"/>
        <v>0</v>
      </c>
      <c r="BB306" s="549" t="str">
        <f t="shared" si="552"/>
        <v/>
      </c>
      <c r="BC306" s="523">
        <f t="shared" si="574"/>
        <v>0</v>
      </c>
      <c r="BD306" s="523">
        <f t="shared" si="575"/>
        <v>0</v>
      </c>
      <c r="BE306" s="732"/>
      <c r="BF306" s="514" t="str">
        <f t="shared" si="553"/>
        <v/>
      </c>
      <c r="BG306" s="514" t="str">
        <f t="shared" si="576"/>
        <v>oui</v>
      </c>
      <c r="BH306" s="377" t="str">
        <f t="shared" si="554"/>
        <v/>
      </c>
      <c r="BI306" s="24" t="str">
        <f t="shared" si="555"/>
        <v/>
      </c>
      <c r="BJ306" s="1381"/>
      <c r="BK306" s="1381"/>
      <c r="BL306" s="1381"/>
      <c r="BM306" s="1381"/>
      <c r="BN306" s="1381"/>
      <c r="BO306" s="1381"/>
      <c r="BP306" s="1381"/>
      <c r="BQ306" s="1381"/>
      <c r="BS306" s="1370">
        <f t="shared" si="522"/>
        <v>46228</v>
      </c>
      <c r="BT306" s="27" t="str">
        <f t="shared" si="584"/>
        <v/>
      </c>
      <c r="BU306" s="1380"/>
      <c r="BV306" s="1380"/>
      <c r="BW306" s="1380"/>
      <c r="BX306" s="1380"/>
      <c r="BY306" s="1380"/>
      <c r="BZ306" s="1380"/>
      <c r="CA306" s="1380"/>
      <c r="CB306" s="1380"/>
      <c r="CD306" s="1386">
        <f t="shared" si="577"/>
        <v>0</v>
      </c>
      <c r="DC306" s="16" t="str">
        <f>Juillet!FC44</f>
        <v>non</v>
      </c>
      <c r="DG306" s="315">
        <f t="shared" si="578"/>
        <v>1</v>
      </c>
      <c r="DH306" s="129">
        <f t="shared" si="556"/>
        <v>10</v>
      </c>
      <c r="DI306" s="129">
        <f t="shared" si="579"/>
        <v>1</v>
      </c>
      <c r="DK306" s="16">
        <f>+IF(AND(Juillet!$DP$8&lt;&gt;52,AR306=S.CAL!$BJ$4),10,1)</f>
        <v>1</v>
      </c>
      <c r="DN306" s="16">
        <f t="shared" si="557"/>
        <v>1</v>
      </c>
      <c r="DU306" s="1274" t="str">
        <f t="shared" si="580"/>
        <v>Fiche infoA646228</v>
      </c>
      <c r="DV306" s="1362">
        <f t="shared" si="558"/>
        <v>0</v>
      </c>
      <c r="DW306" s="1363">
        <f t="shared" si="559"/>
        <v>0</v>
      </c>
      <c r="DX306" s="1363">
        <f t="shared" si="560"/>
        <v>0</v>
      </c>
      <c r="DY306" s="1363">
        <f t="shared" si="561"/>
        <v>0</v>
      </c>
      <c r="DZ306" s="1363">
        <f t="shared" si="562"/>
        <v>0</v>
      </c>
      <c r="EA306" s="1363">
        <f t="shared" si="563"/>
        <v>0</v>
      </c>
      <c r="EB306" s="1363">
        <f t="shared" si="564"/>
        <v>0</v>
      </c>
      <c r="EC306" s="1363">
        <f t="shared" si="565"/>
        <v>0</v>
      </c>
      <c r="ED306" s="1363">
        <f t="shared" si="581"/>
        <v>0</v>
      </c>
      <c r="EE306" s="1364">
        <f t="shared" si="582"/>
        <v>0</v>
      </c>
      <c r="EG306" s="16" t="str">
        <f t="shared" si="583"/>
        <v>302026</v>
      </c>
      <c r="EH306" s="16" t="str">
        <f t="shared" si="566"/>
        <v>Fiche infoA6</v>
      </c>
      <c r="EI306" s="16" t="str">
        <f t="shared" si="567"/>
        <v/>
      </c>
    </row>
    <row r="307" spans="1:145" x14ac:dyDescent="0.2">
      <c r="A307" s="1373" t="str">
        <f>Juillet!BJ45</f>
        <v>Fiche infoA7</v>
      </c>
      <c r="B307" s="811">
        <f>Juillet!AB45</f>
        <v>46229</v>
      </c>
      <c r="C307" s="1372"/>
      <c r="D307" s="981">
        <f t="shared" si="523"/>
        <v>0</v>
      </c>
      <c r="E307" s="434">
        <f t="shared" si="524"/>
        <v>0</v>
      </c>
      <c r="F307" s="434">
        <f t="shared" si="525"/>
        <v>0</v>
      </c>
      <c r="G307" s="434">
        <f t="shared" si="526"/>
        <v>0</v>
      </c>
      <c r="H307" s="434">
        <f t="shared" si="527"/>
        <v>0</v>
      </c>
      <c r="I307" s="434">
        <f t="shared" si="528"/>
        <v>0</v>
      </c>
      <c r="J307" s="434">
        <f t="shared" si="529"/>
        <v>0</v>
      </c>
      <c r="K307" s="434">
        <f t="shared" si="530"/>
        <v>0</v>
      </c>
      <c r="L307" s="434">
        <f t="shared" si="568"/>
        <v>0</v>
      </c>
      <c r="M307" s="982">
        <f t="shared" si="569"/>
        <v>0</v>
      </c>
      <c r="N307" s="1374"/>
      <c r="O307" s="981">
        <f t="shared" si="585"/>
        <v>0</v>
      </c>
      <c r="P307" s="434">
        <f t="shared" si="586"/>
        <v>0</v>
      </c>
      <c r="Q307" s="434">
        <f t="shared" si="587"/>
        <v>0</v>
      </c>
      <c r="R307" s="434">
        <f t="shared" si="588"/>
        <v>0</v>
      </c>
      <c r="S307" s="434">
        <f t="shared" si="589"/>
        <v>0</v>
      </c>
      <c r="T307" s="434">
        <f t="shared" si="590"/>
        <v>0</v>
      </c>
      <c r="U307" s="434">
        <f t="shared" si="591"/>
        <v>0</v>
      </c>
      <c r="V307" s="434">
        <f t="shared" si="592"/>
        <v>0</v>
      </c>
      <c r="W307" s="434">
        <f t="shared" si="539"/>
        <v>0</v>
      </c>
      <c r="X307" s="982">
        <f t="shared" si="540"/>
        <v>0</v>
      </c>
      <c r="Y307" s="1375"/>
      <c r="Z307" s="1376">
        <f t="shared" si="541"/>
        <v>0</v>
      </c>
      <c r="AA307" s="1376">
        <f t="shared" si="542"/>
        <v>0</v>
      </c>
      <c r="AB307" s="1376">
        <f t="shared" si="543"/>
        <v>0</v>
      </c>
      <c r="AC307" s="1376">
        <f t="shared" si="544"/>
        <v>0</v>
      </c>
      <c r="AD307" s="1376">
        <f t="shared" si="545"/>
        <v>0</v>
      </c>
      <c r="AE307" s="1376">
        <f t="shared" si="546"/>
        <v>0</v>
      </c>
      <c r="AF307" s="1376">
        <f t="shared" si="547"/>
        <v>0</v>
      </c>
      <c r="AG307" s="1376">
        <f t="shared" si="548"/>
        <v>0</v>
      </c>
      <c r="AH307" s="1374"/>
      <c r="AI307" s="444">
        <f t="shared" si="593"/>
        <v>0</v>
      </c>
      <c r="AJ307" s="1090"/>
      <c r="AK307" s="1377"/>
      <c r="AL307" s="811">
        <f t="shared" si="550"/>
        <v>46229</v>
      </c>
      <c r="AM307" s="666">
        <f>IFERROR(IF(AND(AT307="",AR307&lt;&gt;S.CAL!$BJ$3,AR307&lt;&gt;S.CAL!$BJ$4,$AR$275="NON"),M307-BD307,IF(AND(AT307="",AR307&lt;&gt;S.CAL!$BJ$3,AR307&lt;&gt;S.CAL!$BJ$4,$AR$275="OUI"),X307-AI307,IF(AT307&lt;&gt;0,AT307,IF(OR(AR307=S.CAL!$BJ$3,AR307=S.CAL!$BJ$4),AR307,"")))),"")</f>
        <v>0</v>
      </c>
      <c r="AN307" s="1093"/>
      <c r="AO307" s="1094"/>
      <c r="AP307" s="666">
        <f>+IF(AND(AU307="",BB307="OUI",BH307="non",BI307="OUI"),AM307,IF(AND(AU307="",BB307="OUI",BH307="oui",BI307="NON"),AM307,IF(AND(AU307="",BB307="NON",BH307="oui",BI307="NON"),M307,IF(AND(AU307="",BB307="NON",BH307="non",BI307="OUI"),M307,IF(AND(AU307="",BB307="OUI",BH307="non",BI307="NON"),"ERREUR",IF(AND(AU307="",BB307="NON",BH307="non",BI307="NON"),AM307,IF(AND(AU307="",BB307="OUI",BH307="",BI307=""),AM307,IF(AND(AU307="",BB307="NON",BH307="",BI307="",AZ307="NON"),M307,IF(AND(AU307="",BH307="",AZ307="OUI",AR307=""),AM307,IF(AND(AU307="",BH307="",AZ307="NON",AR307="",AT307=""),M307,IF(AND(OR(AR307=S.CAL!$BJ$3,AR307=S.CAL!$BJ$4),(VLOOKUP($AM$275,base_nbre_sem_mensu,2,FALSE)=52)),EE307,IF(AND(OR(AR307=S.CAL!$BJ$3,AR307=S.CAL!$BJ$4),(VLOOKUP($AM$275,base_nbre_sem_mensu,2,FALSE)&lt;52)),AM307,IF(AND(AT307&lt;&gt;"",AU307=""),AT307,AU307)))))))))))))</f>
        <v>0</v>
      </c>
      <c r="AQ307" s="1378">
        <f t="shared" si="570"/>
        <v>0</v>
      </c>
      <c r="AR307" s="1098"/>
      <c r="AS307" s="1374"/>
      <c r="AT307" s="1101"/>
      <c r="AU307" s="813"/>
      <c r="AV307" s="1370">
        <f t="shared" si="551"/>
        <v>46229</v>
      </c>
      <c r="AW307" s="1374"/>
      <c r="AX307" s="511">
        <f t="shared" si="571"/>
        <v>46229</v>
      </c>
      <c r="AY307" s="523">
        <f t="shared" si="572"/>
        <v>0</v>
      </c>
      <c r="AZ307" s="520" t="s">
        <v>137</v>
      </c>
      <c r="BA307" s="516">
        <f t="shared" si="573"/>
        <v>0</v>
      </c>
      <c r="BB307" s="549" t="str">
        <f t="shared" si="552"/>
        <v/>
      </c>
      <c r="BC307" s="523">
        <f t="shared" si="574"/>
        <v>0</v>
      </c>
      <c r="BD307" s="523">
        <f t="shared" si="575"/>
        <v>0</v>
      </c>
      <c r="BE307" s="732"/>
      <c r="BF307" s="514" t="str">
        <f t="shared" si="553"/>
        <v/>
      </c>
      <c r="BG307" s="514" t="str">
        <f t="shared" si="576"/>
        <v>oui</v>
      </c>
      <c r="BH307" s="377" t="str">
        <f t="shared" si="554"/>
        <v/>
      </c>
      <c r="BI307" s="24" t="str">
        <f t="shared" si="555"/>
        <v/>
      </c>
      <c r="BJ307" s="1382"/>
      <c r="BK307" s="1382"/>
      <c r="BL307" s="1382"/>
      <c r="BM307" s="1382"/>
      <c r="BN307" s="1382"/>
      <c r="BO307" s="1382"/>
      <c r="BP307" s="1382"/>
      <c r="BQ307" s="1382"/>
      <c r="BR307" s="1383"/>
      <c r="BS307" s="1370">
        <f t="shared" si="522"/>
        <v>46229</v>
      </c>
      <c r="BT307" s="1384" t="str">
        <f t="shared" si="584"/>
        <v/>
      </c>
      <c r="BU307" s="1382"/>
      <c r="BV307" s="1382"/>
      <c r="BW307" s="1382"/>
      <c r="BX307" s="1382"/>
      <c r="BY307" s="1382"/>
      <c r="BZ307" s="1382"/>
      <c r="CA307" s="1382"/>
      <c r="CB307" s="1382"/>
      <c r="CD307" s="1386">
        <f t="shared" si="577"/>
        <v>0</v>
      </c>
      <c r="DC307" s="16" t="str">
        <f>Juillet!FC45</f>
        <v>non</v>
      </c>
      <c r="DG307" s="315">
        <f t="shared" si="578"/>
        <v>1</v>
      </c>
      <c r="DH307" s="129">
        <f t="shared" si="556"/>
        <v>10</v>
      </c>
      <c r="DI307" s="129">
        <f t="shared" si="579"/>
        <v>1</v>
      </c>
      <c r="DK307" s="16">
        <f>+IF(AND(Juillet!$DP$8&lt;&gt;52,AR307=S.CAL!$BJ$4),10,1)</f>
        <v>1</v>
      </c>
      <c r="DN307" s="16">
        <f t="shared" si="557"/>
        <v>1</v>
      </c>
      <c r="DU307" s="1274" t="str">
        <f t="shared" si="580"/>
        <v>Fiche infoA746229</v>
      </c>
      <c r="DV307" s="1362">
        <f t="shared" si="558"/>
        <v>0</v>
      </c>
      <c r="DW307" s="1363">
        <f t="shared" si="559"/>
        <v>0</v>
      </c>
      <c r="DX307" s="1363">
        <f t="shared" si="560"/>
        <v>0</v>
      </c>
      <c r="DY307" s="1363">
        <f t="shared" si="561"/>
        <v>0</v>
      </c>
      <c r="DZ307" s="1363">
        <f t="shared" si="562"/>
        <v>0</v>
      </c>
      <c r="EA307" s="1363">
        <f t="shared" si="563"/>
        <v>0</v>
      </c>
      <c r="EB307" s="1363">
        <f t="shared" si="564"/>
        <v>0</v>
      </c>
      <c r="EC307" s="1363">
        <f t="shared" si="565"/>
        <v>0</v>
      </c>
      <c r="ED307" s="1363">
        <f t="shared" si="581"/>
        <v>0</v>
      </c>
      <c r="EE307" s="1364">
        <f t="shared" si="582"/>
        <v>0</v>
      </c>
      <c r="EG307" s="16" t="str">
        <f t="shared" si="583"/>
        <v>302026</v>
      </c>
      <c r="EH307" s="16" t="str">
        <f t="shared" si="566"/>
        <v>Fiche infoA7</v>
      </c>
      <c r="EI307" s="16" t="str">
        <f t="shared" si="567"/>
        <v/>
      </c>
    </row>
    <row r="308" spans="1:145" x14ac:dyDescent="0.2">
      <c r="A308" s="24" t="str">
        <f>Juillet!BJ46</f>
        <v>Fiche infoA1</v>
      </c>
      <c r="B308" s="811">
        <f>Juillet!AB46</f>
        <v>46230</v>
      </c>
      <c r="C308" s="1371"/>
      <c r="D308" s="981">
        <f t="shared" si="523"/>
        <v>0</v>
      </c>
      <c r="E308" s="434">
        <f t="shared" si="524"/>
        <v>0</v>
      </c>
      <c r="F308" s="434">
        <f t="shared" si="525"/>
        <v>0</v>
      </c>
      <c r="G308" s="434">
        <f t="shared" si="526"/>
        <v>0</v>
      </c>
      <c r="H308" s="434">
        <f t="shared" si="527"/>
        <v>0</v>
      </c>
      <c r="I308" s="434">
        <f t="shared" si="528"/>
        <v>0</v>
      </c>
      <c r="J308" s="434">
        <f t="shared" si="529"/>
        <v>0</v>
      </c>
      <c r="K308" s="434">
        <f t="shared" si="530"/>
        <v>0</v>
      </c>
      <c r="L308" s="434">
        <f t="shared" si="568"/>
        <v>0</v>
      </c>
      <c r="M308" s="982">
        <f t="shared" si="569"/>
        <v>0</v>
      </c>
      <c r="O308" s="981">
        <f t="shared" si="585"/>
        <v>0</v>
      </c>
      <c r="P308" s="434">
        <f t="shared" si="586"/>
        <v>0</v>
      </c>
      <c r="Q308" s="434">
        <f t="shared" si="587"/>
        <v>0</v>
      </c>
      <c r="R308" s="434">
        <f t="shared" si="588"/>
        <v>0</v>
      </c>
      <c r="S308" s="434">
        <f t="shared" si="589"/>
        <v>0</v>
      </c>
      <c r="T308" s="434">
        <f t="shared" si="590"/>
        <v>0</v>
      </c>
      <c r="U308" s="434">
        <f t="shared" si="591"/>
        <v>0</v>
      </c>
      <c r="V308" s="434">
        <f t="shared" si="592"/>
        <v>0</v>
      </c>
      <c r="W308" s="434">
        <f t="shared" si="539"/>
        <v>0</v>
      </c>
      <c r="X308" s="982">
        <f t="shared" si="540"/>
        <v>0</v>
      </c>
      <c r="Y308" s="441"/>
      <c r="Z308" s="277">
        <f t="shared" si="541"/>
        <v>0</v>
      </c>
      <c r="AA308" s="277">
        <f t="shared" si="542"/>
        <v>0</v>
      </c>
      <c r="AB308" s="277">
        <f t="shared" si="543"/>
        <v>0</v>
      </c>
      <c r="AC308" s="277">
        <f t="shared" si="544"/>
        <v>0</v>
      </c>
      <c r="AD308" s="277">
        <f t="shared" si="545"/>
        <v>0</v>
      </c>
      <c r="AE308" s="277">
        <f t="shared" si="546"/>
        <v>0</v>
      </c>
      <c r="AF308" s="277">
        <f t="shared" si="547"/>
        <v>0</v>
      </c>
      <c r="AG308" s="277">
        <f t="shared" si="548"/>
        <v>0</v>
      </c>
      <c r="AI308" s="444">
        <f t="shared" si="593"/>
        <v>0</v>
      </c>
      <c r="AJ308" s="1090"/>
      <c r="AK308" s="489"/>
      <c r="AL308" s="811">
        <f t="shared" si="550"/>
        <v>46230</v>
      </c>
      <c r="AM308" s="666">
        <f>IFERROR(IF(AND(AT308="",AR308&lt;&gt;S.CAL!$BJ$3,AR308&lt;&gt;S.CAL!$BJ$4,$AR$275="NON"),M308-BD308,IF(AND(AT308="",AR308&lt;&gt;S.CAL!$BJ$3,AR308&lt;&gt;S.CAL!$BJ$4,$AR$275="OUI"),X308-AI308,IF(AT308&lt;&gt;0,AT308,IF(OR(AR308=S.CAL!$BJ$3,AR308=S.CAL!$BJ$4),AR308,"")))),"")</f>
        <v>0</v>
      </c>
      <c r="AN308" s="1093"/>
      <c r="AO308" s="1094"/>
      <c r="AP308" s="666">
        <f>+IF(AND(AU308="",BB308="OUI",BH308="non",BI308="OUI"),AM308,IF(AND(AU308="",BB308="OUI",BH308="oui",BI308="NON"),AM308,IF(AND(AU308="",BB308="NON",BH308="oui",BI308="NON"),M308,IF(AND(AU308="",BB308="NON",BH308="non",BI308="OUI"),M308,IF(AND(AU308="",BB308="OUI",BH308="non",BI308="NON"),"ERREUR",IF(AND(AU308="",BB308="NON",BH308="non",BI308="NON"),AM308,IF(AND(AU308="",BB308="OUI",BH308="",BI308=""),AM308,IF(AND(AU308="",BB308="NON",BH308="",BI308="",AZ308="NON"),M308,IF(AND(AU308="",BH308="",AZ308="OUI",AR308=""),AM308,IF(AND(AU308="",BH308="",AZ308="NON",AR308="",AT308=""),M308,IF(AND(OR(AR308=S.CAL!$BJ$3,AR308=S.CAL!$BJ$4),(VLOOKUP($AM$275,base_nbre_sem_mensu,2,FALSE)=52)),EE308,IF(AND(OR(AR308=S.CAL!$BJ$3,AR308=S.CAL!$BJ$4),(VLOOKUP($AM$275,base_nbre_sem_mensu,2,FALSE)&lt;52)),AM308,IF(AND(AT308&lt;&gt;"",AU308=""),AT308,AU308)))))))))))))</f>
        <v>0</v>
      </c>
      <c r="AQ308" s="498">
        <f t="shared" si="570"/>
        <v>0</v>
      </c>
      <c r="AR308" s="1098"/>
      <c r="AT308" s="1101"/>
      <c r="AU308" s="813"/>
      <c r="AV308" s="1370">
        <f t="shared" si="551"/>
        <v>46230</v>
      </c>
      <c r="AX308" s="511">
        <f t="shared" si="571"/>
        <v>46230</v>
      </c>
      <c r="AY308" s="523">
        <f t="shared" si="572"/>
        <v>0</v>
      </c>
      <c r="AZ308" s="520" t="s">
        <v>137</v>
      </c>
      <c r="BA308" s="516">
        <f t="shared" si="573"/>
        <v>0</v>
      </c>
      <c r="BB308" s="549" t="str">
        <f t="shared" si="552"/>
        <v/>
      </c>
      <c r="BC308" s="523">
        <f t="shared" si="574"/>
        <v>0</v>
      </c>
      <c r="BD308" s="523">
        <f t="shared" si="575"/>
        <v>0</v>
      </c>
      <c r="BE308" s="732"/>
      <c r="BF308" s="514" t="str">
        <f t="shared" si="553"/>
        <v/>
      </c>
      <c r="BG308" s="514" t="str">
        <f t="shared" si="576"/>
        <v>oui</v>
      </c>
      <c r="BH308" s="377" t="str">
        <f t="shared" si="554"/>
        <v/>
      </c>
      <c r="BI308" s="24" t="str">
        <f t="shared" si="555"/>
        <v/>
      </c>
      <c r="BJ308" s="1381"/>
      <c r="BK308" s="1381"/>
      <c r="BL308" s="1381"/>
      <c r="BM308" s="1381"/>
      <c r="BN308" s="1381"/>
      <c r="BO308" s="1381"/>
      <c r="BP308" s="1381"/>
      <c r="BQ308" s="1381"/>
      <c r="BS308" s="1370">
        <f t="shared" si="522"/>
        <v>46230</v>
      </c>
      <c r="BT308" s="27">
        <f t="shared" si="584"/>
        <v>31</v>
      </c>
      <c r="BU308" s="1380"/>
      <c r="BV308" s="1380"/>
      <c r="BW308" s="1380"/>
      <c r="BX308" s="1380"/>
      <c r="BY308" s="1380"/>
      <c r="BZ308" s="1380"/>
      <c r="CA308" s="1380"/>
      <c r="CB308" s="1380"/>
      <c r="CD308" s="1386">
        <f t="shared" si="577"/>
        <v>0</v>
      </c>
      <c r="DC308" s="16" t="str">
        <f>Juillet!FC46</f>
        <v>non</v>
      </c>
      <c r="DG308" s="315">
        <f t="shared" si="578"/>
        <v>1</v>
      </c>
      <c r="DH308" s="129">
        <f t="shared" si="556"/>
        <v>10</v>
      </c>
      <c r="DI308" s="129">
        <f t="shared" si="579"/>
        <v>1</v>
      </c>
      <c r="DK308" s="16">
        <f>+IF(AND(Juillet!$DP$8&lt;&gt;52,AR308=S.CAL!$BJ$4),10,1)</f>
        <v>1</v>
      </c>
      <c r="DN308" s="16">
        <f t="shared" si="557"/>
        <v>1</v>
      </c>
      <c r="DU308" s="1274" t="str">
        <f t="shared" si="580"/>
        <v>Fiche infoA146230</v>
      </c>
      <c r="DV308" s="1362">
        <f t="shared" si="558"/>
        <v>0</v>
      </c>
      <c r="DW308" s="1363">
        <f t="shared" si="559"/>
        <v>0</v>
      </c>
      <c r="DX308" s="1363">
        <f t="shared" si="560"/>
        <v>0</v>
      </c>
      <c r="DY308" s="1363">
        <f t="shared" si="561"/>
        <v>0</v>
      </c>
      <c r="DZ308" s="1363">
        <f t="shared" si="562"/>
        <v>0</v>
      </c>
      <c r="EA308" s="1363">
        <f t="shared" si="563"/>
        <v>0</v>
      </c>
      <c r="EB308" s="1363">
        <f t="shared" si="564"/>
        <v>0</v>
      </c>
      <c r="EC308" s="1363">
        <f t="shared" si="565"/>
        <v>0</v>
      </c>
      <c r="ED308" s="1363">
        <f t="shared" si="581"/>
        <v>0</v>
      </c>
      <c r="EE308" s="1364">
        <f t="shared" si="582"/>
        <v>0</v>
      </c>
      <c r="EG308" s="16" t="str">
        <f t="shared" si="583"/>
        <v>312026</v>
      </c>
      <c r="EH308" s="16" t="str">
        <f t="shared" si="566"/>
        <v>Fiche infoA1</v>
      </c>
      <c r="EI308" s="16" t="str">
        <f t="shared" si="567"/>
        <v/>
      </c>
    </row>
    <row r="309" spans="1:145" x14ac:dyDescent="0.2">
      <c r="A309" s="1373" t="str">
        <f>Juillet!BJ47</f>
        <v>Fiche infoA2</v>
      </c>
      <c r="B309" s="811">
        <f>Juillet!AB47</f>
        <v>46231</v>
      </c>
      <c r="C309" s="1372"/>
      <c r="D309" s="981">
        <f t="shared" si="523"/>
        <v>0</v>
      </c>
      <c r="E309" s="434">
        <f t="shared" si="524"/>
        <v>0</v>
      </c>
      <c r="F309" s="434">
        <f t="shared" si="525"/>
        <v>0</v>
      </c>
      <c r="G309" s="434">
        <f t="shared" si="526"/>
        <v>0</v>
      </c>
      <c r="H309" s="434">
        <f t="shared" si="527"/>
        <v>0</v>
      </c>
      <c r="I309" s="434">
        <f t="shared" si="528"/>
        <v>0</v>
      </c>
      <c r="J309" s="434">
        <f t="shared" si="529"/>
        <v>0</v>
      </c>
      <c r="K309" s="434">
        <f t="shared" si="530"/>
        <v>0</v>
      </c>
      <c r="L309" s="434">
        <f t="shared" si="568"/>
        <v>0</v>
      </c>
      <c r="M309" s="982">
        <f t="shared" si="569"/>
        <v>0</v>
      </c>
      <c r="N309" s="1374"/>
      <c r="O309" s="981">
        <f t="shared" si="585"/>
        <v>0</v>
      </c>
      <c r="P309" s="434">
        <f t="shared" si="586"/>
        <v>0</v>
      </c>
      <c r="Q309" s="434">
        <f t="shared" si="587"/>
        <v>0</v>
      </c>
      <c r="R309" s="434">
        <f t="shared" si="588"/>
        <v>0</v>
      </c>
      <c r="S309" s="434">
        <f t="shared" si="589"/>
        <v>0</v>
      </c>
      <c r="T309" s="434">
        <f t="shared" si="590"/>
        <v>0</v>
      </c>
      <c r="U309" s="434">
        <f t="shared" si="591"/>
        <v>0</v>
      </c>
      <c r="V309" s="434">
        <f t="shared" si="592"/>
        <v>0</v>
      </c>
      <c r="W309" s="434">
        <f t="shared" si="539"/>
        <v>0</v>
      </c>
      <c r="X309" s="982">
        <f t="shared" si="540"/>
        <v>0</v>
      </c>
      <c r="Y309" s="1375"/>
      <c r="Z309" s="1376">
        <f t="shared" si="541"/>
        <v>0</v>
      </c>
      <c r="AA309" s="1376">
        <f t="shared" si="542"/>
        <v>0</v>
      </c>
      <c r="AB309" s="1376">
        <f t="shared" si="543"/>
        <v>0</v>
      </c>
      <c r="AC309" s="1376">
        <f t="shared" si="544"/>
        <v>0</v>
      </c>
      <c r="AD309" s="1376">
        <f t="shared" si="545"/>
        <v>0</v>
      </c>
      <c r="AE309" s="1376">
        <f t="shared" si="546"/>
        <v>0</v>
      </c>
      <c r="AF309" s="1376">
        <f t="shared" si="547"/>
        <v>0</v>
      </c>
      <c r="AG309" s="1376">
        <f t="shared" si="548"/>
        <v>0</v>
      </c>
      <c r="AH309" s="1374"/>
      <c r="AI309" s="444">
        <f t="shared" si="593"/>
        <v>0</v>
      </c>
      <c r="AJ309" s="1090"/>
      <c r="AK309" s="1377"/>
      <c r="AL309" s="811">
        <f t="shared" si="550"/>
        <v>46231</v>
      </c>
      <c r="AM309" s="666">
        <f>IFERROR(IF(AND(AT309="",AR309&lt;&gt;S.CAL!$BJ$3,AR309&lt;&gt;S.CAL!$BJ$4,$AR$275="NON"),M309-BD309,IF(AND(AT309="",AR309&lt;&gt;S.CAL!$BJ$3,AR309&lt;&gt;S.CAL!$BJ$4,$AR$275="OUI"),X309-AI309,IF(AT309&lt;&gt;0,AT309,IF(OR(AR309=S.CAL!$BJ$3,AR309=S.CAL!$BJ$4),AR309,"")))),"")</f>
        <v>0</v>
      </c>
      <c r="AN309" s="1093"/>
      <c r="AO309" s="1094"/>
      <c r="AP309" s="666">
        <f>+IF(AND(AU309="",BB309="OUI",BH309="non",BI309="OUI"),AM309,IF(AND(AU309="",BB309="OUI",BH309="oui",BI309="NON"),AM309,IF(AND(AU309="",BB309="NON",BH309="oui",BI309="NON"),M309,IF(AND(AU309="",BB309="NON",BH309="non",BI309="OUI"),M309,IF(AND(AU309="",BB309="OUI",BH309="non",BI309="NON"),"ERREUR",IF(AND(AU309="",BB309="NON",BH309="non",BI309="NON"),AM309,IF(AND(AU309="",BB309="OUI",BH309="",BI309=""),AM309,IF(AND(AU309="",BB309="NON",BH309="",BI309="",AZ309="NON"),M309,IF(AND(AU309="",BH309="",AZ309="OUI",AR309=""),AM309,IF(AND(AU309="",BH309="",AZ309="NON",AR309="",AT309=""),M309,IF(AND(OR(AR309=S.CAL!$BJ$3,AR309=S.CAL!$BJ$4),(VLOOKUP($AM$275,base_nbre_sem_mensu,2,FALSE)=52)),EE309,IF(AND(OR(AR309=S.CAL!$BJ$3,AR309=S.CAL!$BJ$4),(VLOOKUP($AM$275,base_nbre_sem_mensu,2,FALSE)&lt;52)),AM309,IF(AND(AT309&lt;&gt;"",AU309=""),AT309,AU309)))))))))))))</f>
        <v>0</v>
      </c>
      <c r="AQ309" s="1378">
        <f t="shared" si="570"/>
        <v>0</v>
      </c>
      <c r="AR309" s="1098"/>
      <c r="AS309" s="1374"/>
      <c r="AT309" s="1101"/>
      <c r="AU309" s="813"/>
      <c r="AV309" s="1370">
        <f t="shared" si="551"/>
        <v>46231</v>
      </c>
      <c r="AW309" s="1374"/>
      <c r="AX309" s="511">
        <f t="shared" si="571"/>
        <v>46231</v>
      </c>
      <c r="AY309" s="523">
        <f t="shared" si="572"/>
        <v>0</v>
      </c>
      <c r="AZ309" s="520" t="s">
        <v>137</v>
      </c>
      <c r="BA309" s="516">
        <f t="shared" si="573"/>
        <v>0</v>
      </c>
      <c r="BB309" s="549" t="str">
        <f t="shared" si="552"/>
        <v/>
      </c>
      <c r="BC309" s="523">
        <f t="shared" si="574"/>
        <v>0</v>
      </c>
      <c r="BD309" s="523">
        <f t="shared" si="575"/>
        <v>0</v>
      </c>
      <c r="BE309" s="732"/>
      <c r="BF309" s="514" t="str">
        <f t="shared" si="553"/>
        <v/>
      </c>
      <c r="BG309" s="514" t="str">
        <f t="shared" si="576"/>
        <v>oui</v>
      </c>
      <c r="BH309" s="377" t="str">
        <f t="shared" si="554"/>
        <v/>
      </c>
      <c r="BI309" s="24" t="str">
        <f t="shared" si="555"/>
        <v/>
      </c>
      <c r="BJ309" s="1382"/>
      <c r="BK309" s="1382"/>
      <c r="BL309" s="1382"/>
      <c r="BM309" s="1382"/>
      <c r="BN309" s="1382"/>
      <c r="BO309" s="1382"/>
      <c r="BP309" s="1382"/>
      <c r="BQ309" s="1382"/>
      <c r="BR309" s="1383"/>
      <c r="BS309" s="1370">
        <f t="shared" si="522"/>
        <v>46231</v>
      </c>
      <c r="BT309" s="1384" t="str">
        <f t="shared" si="584"/>
        <v/>
      </c>
      <c r="BU309" s="1382"/>
      <c r="BV309" s="1382"/>
      <c r="BW309" s="1382"/>
      <c r="BX309" s="1382"/>
      <c r="BY309" s="1382"/>
      <c r="BZ309" s="1382"/>
      <c r="CA309" s="1382"/>
      <c r="CB309" s="1382"/>
      <c r="CD309" s="1386">
        <f t="shared" si="577"/>
        <v>0</v>
      </c>
      <c r="DC309" s="16" t="str">
        <f>Juillet!FC47</f>
        <v>non</v>
      </c>
      <c r="DG309" s="315">
        <f t="shared" si="578"/>
        <v>1</v>
      </c>
      <c r="DH309" s="129">
        <f t="shared" si="556"/>
        <v>10</v>
      </c>
      <c r="DI309" s="129">
        <f t="shared" si="579"/>
        <v>1</v>
      </c>
      <c r="DK309" s="16">
        <f>+IF(AND(Juillet!$DP$8&lt;&gt;52,AR309=S.CAL!$BJ$4),10,1)</f>
        <v>1</v>
      </c>
      <c r="DN309" s="16">
        <f t="shared" si="557"/>
        <v>1</v>
      </c>
      <c r="DU309" s="1274" t="str">
        <f t="shared" si="580"/>
        <v>Fiche infoA246231</v>
      </c>
      <c r="DV309" s="1362">
        <f t="shared" si="558"/>
        <v>0</v>
      </c>
      <c r="DW309" s="1363">
        <f t="shared" si="559"/>
        <v>0</v>
      </c>
      <c r="DX309" s="1363">
        <f t="shared" si="560"/>
        <v>0</v>
      </c>
      <c r="DY309" s="1363">
        <f t="shared" si="561"/>
        <v>0</v>
      </c>
      <c r="DZ309" s="1363">
        <f t="shared" si="562"/>
        <v>0</v>
      </c>
      <c r="EA309" s="1363">
        <f t="shared" si="563"/>
        <v>0</v>
      </c>
      <c r="EB309" s="1363">
        <f t="shared" si="564"/>
        <v>0</v>
      </c>
      <c r="EC309" s="1363">
        <f t="shared" si="565"/>
        <v>0</v>
      </c>
      <c r="ED309" s="1363">
        <f t="shared" si="581"/>
        <v>0</v>
      </c>
      <c r="EE309" s="1364">
        <f t="shared" si="582"/>
        <v>0</v>
      </c>
      <c r="EG309" s="16" t="str">
        <f t="shared" si="583"/>
        <v>312026</v>
      </c>
      <c r="EH309" s="16" t="str">
        <f t="shared" si="566"/>
        <v>Fiche infoA2</v>
      </c>
      <c r="EI309" s="16" t="str">
        <f t="shared" si="567"/>
        <v/>
      </c>
    </row>
    <row r="310" spans="1:145" x14ac:dyDescent="0.2">
      <c r="A310" s="24" t="str">
        <f>Juillet!BJ48</f>
        <v>Fiche infoA3</v>
      </c>
      <c r="B310" s="811">
        <f>Juillet!AB48</f>
        <v>46232</v>
      </c>
      <c r="C310" s="1371"/>
      <c r="D310" s="981">
        <f t="shared" si="523"/>
        <v>0</v>
      </c>
      <c r="E310" s="434">
        <f t="shared" si="524"/>
        <v>0</v>
      </c>
      <c r="F310" s="434">
        <f t="shared" si="525"/>
        <v>0</v>
      </c>
      <c r="G310" s="434">
        <f t="shared" si="526"/>
        <v>0</v>
      </c>
      <c r="H310" s="434">
        <f t="shared" si="527"/>
        <v>0</v>
      </c>
      <c r="I310" s="434">
        <f t="shared" si="528"/>
        <v>0</v>
      </c>
      <c r="J310" s="434">
        <f t="shared" si="529"/>
        <v>0</v>
      </c>
      <c r="K310" s="434">
        <f t="shared" si="530"/>
        <v>0</v>
      </c>
      <c r="L310" s="434">
        <f t="shared" si="568"/>
        <v>0</v>
      </c>
      <c r="M310" s="982">
        <f t="shared" si="569"/>
        <v>0</v>
      </c>
      <c r="O310" s="981">
        <f t="shared" si="585"/>
        <v>0</v>
      </c>
      <c r="P310" s="434">
        <f t="shared" si="586"/>
        <v>0</v>
      </c>
      <c r="Q310" s="434">
        <f t="shared" si="587"/>
        <v>0</v>
      </c>
      <c r="R310" s="434">
        <f t="shared" si="588"/>
        <v>0</v>
      </c>
      <c r="S310" s="434">
        <f t="shared" si="589"/>
        <v>0</v>
      </c>
      <c r="T310" s="434">
        <f t="shared" si="590"/>
        <v>0</v>
      </c>
      <c r="U310" s="434">
        <f t="shared" si="591"/>
        <v>0</v>
      </c>
      <c r="V310" s="434">
        <f t="shared" si="592"/>
        <v>0</v>
      </c>
      <c r="W310" s="434">
        <f t="shared" si="539"/>
        <v>0</v>
      </c>
      <c r="X310" s="982">
        <f t="shared" si="540"/>
        <v>0</v>
      </c>
      <c r="Y310" s="441"/>
      <c r="Z310" s="277">
        <f t="shared" si="541"/>
        <v>0</v>
      </c>
      <c r="AA310" s="277">
        <f t="shared" si="542"/>
        <v>0</v>
      </c>
      <c r="AB310" s="277">
        <f t="shared" si="543"/>
        <v>0</v>
      </c>
      <c r="AC310" s="277">
        <f t="shared" si="544"/>
        <v>0</v>
      </c>
      <c r="AD310" s="277">
        <f t="shared" si="545"/>
        <v>0</v>
      </c>
      <c r="AE310" s="277">
        <f t="shared" si="546"/>
        <v>0</v>
      </c>
      <c r="AF310" s="277">
        <f t="shared" si="547"/>
        <v>0</v>
      </c>
      <c r="AG310" s="277">
        <f t="shared" si="548"/>
        <v>0</v>
      </c>
      <c r="AI310" s="444">
        <f t="shared" si="593"/>
        <v>0</v>
      </c>
      <c r="AJ310" s="1090"/>
      <c r="AK310" s="489"/>
      <c r="AL310" s="811">
        <f t="shared" si="550"/>
        <v>46232</v>
      </c>
      <c r="AM310" s="666">
        <f>IFERROR(IF(AND(AT310="",AR310&lt;&gt;S.CAL!$BJ$3,AR310&lt;&gt;S.CAL!$BJ$4,$AR$275="NON"),M310-BD310,IF(AND(AT310="",AR310&lt;&gt;S.CAL!$BJ$3,AR310&lt;&gt;S.CAL!$BJ$4,$AR$275="OUI"),X310-AI310,IF(AT310&lt;&gt;0,AT310,IF(OR(AR310=S.CAL!$BJ$3,AR310=S.CAL!$BJ$4),AR310,"")))),"")</f>
        <v>0</v>
      </c>
      <c r="AN310" s="1093"/>
      <c r="AO310" s="1094"/>
      <c r="AP310" s="666">
        <f>+IF(AND(AU310="",BB310="OUI",BH310="non",BI310="OUI"),AM310,IF(AND(AU310="",BB310="OUI",BH310="oui",BI310="NON"),AM310,IF(AND(AU310="",BB310="NON",BH310="oui",BI310="NON"),M310,IF(AND(AU310="",BB310="NON",BH310="non",BI310="OUI"),M310,IF(AND(AU310="",BB310="OUI",BH310="non",BI310="NON"),"ERREUR",IF(AND(AU310="",BB310="NON",BH310="non",BI310="NON"),AM310,IF(AND(AU310="",BB310="OUI",BH310="",BI310=""),AM310,IF(AND(AU310="",BB310="NON",BH310="",BI310="",AZ310="NON"),M310,IF(AND(AU310="",BH310="",AZ310="OUI",AR310=""),AM310,IF(AND(AU310="",BH310="",AZ310="NON",AR310="",AT310=""),M310,IF(AND(OR(AR310=S.CAL!$BJ$3,AR310=S.CAL!$BJ$4),(VLOOKUP($AM$275,base_nbre_sem_mensu,2,FALSE)=52)),EE310,IF(AND(OR(AR310=S.CAL!$BJ$3,AR310=S.CAL!$BJ$4),(VLOOKUP($AM$275,base_nbre_sem_mensu,2,FALSE)&lt;52)),AM310,IF(AND(AT310&lt;&gt;"",AU310=""),AT310,AU310)))))))))))))</f>
        <v>0</v>
      </c>
      <c r="AQ310" s="498">
        <f t="shared" si="570"/>
        <v>0</v>
      </c>
      <c r="AR310" s="1098"/>
      <c r="AT310" s="1101"/>
      <c r="AU310" s="813"/>
      <c r="AV310" s="1370">
        <f t="shared" si="551"/>
        <v>46232</v>
      </c>
      <c r="AX310" s="511">
        <f t="shared" si="571"/>
        <v>46232</v>
      </c>
      <c r="AY310" s="523">
        <f t="shared" si="572"/>
        <v>0</v>
      </c>
      <c r="AZ310" s="520" t="s">
        <v>137</v>
      </c>
      <c r="BA310" s="516">
        <f t="shared" si="573"/>
        <v>0</v>
      </c>
      <c r="BB310" s="549" t="str">
        <f t="shared" si="552"/>
        <v/>
      </c>
      <c r="BC310" s="523">
        <f t="shared" si="574"/>
        <v>0</v>
      </c>
      <c r="BD310" s="523">
        <f t="shared" si="575"/>
        <v>0</v>
      </c>
      <c r="BE310" s="732"/>
      <c r="BF310" s="514" t="str">
        <f t="shared" si="553"/>
        <v/>
      </c>
      <c r="BG310" s="514" t="str">
        <f t="shared" si="576"/>
        <v>oui</v>
      </c>
      <c r="BH310" s="377" t="str">
        <f t="shared" si="554"/>
        <v/>
      </c>
      <c r="BI310" s="24" t="str">
        <f t="shared" si="555"/>
        <v/>
      </c>
      <c r="BJ310" s="1381"/>
      <c r="BK310" s="1381"/>
      <c r="BL310" s="1381"/>
      <c r="BM310" s="1381"/>
      <c r="BN310" s="1381"/>
      <c r="BO310" s="1381"/>
      <c r="BP310" s="1381"/>
      <c r="BQ310" s="1381"/>
      <c r="BS310" s="1370">
        <f t="shared" si="522"/>
        <v>46232</v>
      </c>
      <c r="BT310" s="27" t="str">
        <f t="shared" si="584"/>
        <v/>
      </c>
      <c r="BU310" s="1380"/>
      <c r="BV310" s="1380"/>
      <c r="BW310" s="1380"/>
      <c r="BX310" s="1380"/>
      <c r="BY310" s="1380"/>
      <c r="BZ310" s="1380"/>
      <c r="CA310" s="1380"/>
      <c r="CB310" s="1380"/>
      <c r="CD310" s="1386">
        <f t="shared" si="577"/>
        <v>0</v>
      </c>
      <c r="DC310" s="16" t="str">
        <f>Juillet!FC48</f>
        <v>non</v>
      </c>
      <c r="DG310" s="315">
        <f t="shared" si="578"/>
        <v>1</v>
      </c>
      <c r="DH310" s="129">
        <f t="shared" si="556"/>
        <v>10</v>
      </c>
      <c r="DI310" s="129">
        <f t="shared" si="579"/>
        <v>1</v>
      </c>
      <c r="DK310" s="16">
        <f>+IF(AND(Juillet!$DP$8&lt;&gt;52,AR310=S.CAL!$BJ$4),10,1)</f>
        <v>1</v>
      </c>
      <c r="DN310" s="16">
        <f t="shared" si="557"/>
        <v>1</v>
      </c>
      <c r="DU310" s="1274" t="str">
        <f t="shared" si="580"/>
        <v>Fiche infoA346232</v>
      </c>
      <c r="DV310" s="1362">
        <f t="shared" si="558"/>
        <v>0</v>
      </c>
      <c r="DW310" s="1363">
        <f t="shared" si="559"/>
        <v>0</v>
      </c>
      <c r="DX310" s="1363">
        <f t="shared" si="560"/>
        <v>0</v>
      </c>
      <c r="DY310" s="1363">
        <f t="shared" si="561"/>
        <v>0</v>
      </c>
      <c r="DZ310" s="1363">
        <f t="shared" si="562"/>
        <v>0</v>
      </c>
      <c r="EA310" s="1363">
        <f t="shared" si="563"/>
        <v>0</v>
      </c>
      <c r="EB310" s="1363">
        <f t="shared" si="564"/>
        <v>0</v>
      </c>
      <c r="EC310" s="1363">
        <f t="shared" si="565"/>
        <v>0</v>
      </c>
      <c r="ED310" s="1363">
        <f t="shared" si="581"/>
        <v>0</v>
      </c>
      <c r="EE310" s="1364">
        <f t="shared" si="582"/>
        <v>0</v>
      </c>
      <c r="EG310" s="16" t="str">
        <f t="shared" si="583"/>
        <v>312026</v>
      </c>
      <c r="EH310" s="16" t="str">
        <f t="shared" si="566"/>
        <v>Fiche infoA3</v>
      </c>
      <c r="EI310" s="16" t="str">
        <f t="shared" si="567"/>
        <v/>
      </c>
    </row>
    <row r="311" spans="1:145" x14ac:dyDescent="0.2">
      <c r="A311" s="1373" t="str">
        <f>Juillet!BJ49</f>
        <v>Fiche infoA4</v>
      </c>
      <c r="B311" s="811">
        <f>Juillet!AB49</f>
        <v>46233</v>
      </c>
      <c r="C311" s="1372"/>
      <c r="D311" s="981">
        <f t="shared" si="523"/>
        <v>0</v>
      </c>
      <c r="E311" s="434">
        <f t="shared" si="524"/>
        <v>0</v>
      </c>
      <c r="F311" s="434">
        <f t="shared" si="525"/>
        <v>0</v>
      </c>
      <c r="G311" s="434">
        <f t="shared" si="526"/>
        <v>0</v>
      </c>
      <c r="H311" s="434">
        <f t="shared" si="527"/>
        <v>0</v>
      </c>
      <c r="I311" s="434">
        <f t="shared" si="528"/>
        <v>0</v>
      </c>
      <c r="J311" s="434">
        <f t="shared" si="529"/>
        <v>0</v>
      </c>
      <c r="K311" s="434">
        <f t="shared" si="530"/>
        <v>0</v>
      </c>
      <c r="L311" s="434">
        <f t="shared" si="568"/>
        <v>0</v>
      </c>
      <c r="M311" s="982">
        <f t="shared" si="569"/>
        <v>0</v>
      </c>
      <c r="N311" s="1374"/>
      <c r="O311" s="981">
        <f t="shared" si="585"/>
        <v>0</v>
      </c>
      <c r="P311" s="434">
        <f t="shared" si="586"/>
        <v>0</v>
      </c>
      <c r="Q311" s="434">
        <f t="shared" si="587"/>
        <v>0</v>
      </c>
      <c r="R311" s="434">
        <f t="shared" si="588"/>
        <v>0</v>
      </c>
      <c r="S311" s="434">
        <f t="shared" si="589"/>
        <v>0</v>
      </c>
      <c r="T311" s="434">
        <f t="shared" si="590"/>
        <v>0</v>
      </c>
      <c r="U311" s="434">
        <f t="shared" si="591"/>
        <v>0</v>
      </c>
      <c r="V311" s="434">
        <f t="shared" si="592"/>
        <v>0</v>
      </c>
      <c r="W311" s="434">
        <f t="shared" si="539"/>
        <v>0</v>
      </c>
      <c r="X311" s="982">
        <f t="shared" si="540"/>
        <v>0</v>
      </c>
      <c r="Y311" s="1375"/>
      <c r="Z311" s="1376">
        <f t="shared" si="541"/>
        <v>0</v>
      </c>
      <c r="AA311" s="1376">
        <f t="shared" si="542"/>
        <v>0</v>
      </c>
      <c r="AB311" s="1376">
        <f t="shared" si="543"/>
        <v>0</v>
      </c>
      <c r="AC311" s="1376">
        <f t="shared" si="544"/>
        <v>0</v>
      </c>
      <c r="AD311" s="1376">
        <f t="shared" si="545"/>
        <v>0</v>
      </c>
      <c r="AE311" s="1376">
        <f t="shared" si="546"/>
        <v>0</v>
      </c>
      <c r="AF311" s="1376">
        <f t="shared" si="547"/>
        <v>0</v>
      </c>
      <c r="AG311" s="1376">
        <f t="shared" si="548"/>
        <v>0</v>
      </c>
      <c r="AH311" s="1374"/>
      <c r="AI311" s="444">
        <f t="shared" si="593"/>
        <v>0</v>
      </c>
      <c r="AJ311" s="1090"/>
      <c r="AK311" s="1377"/>
      <c r="AL311" s="811">
        <f t="shared" si="550"/>
        <v>46233</v>
      </c>
      <c r="AM311" s="666">
        <f>IFERROR(IF(AND(AT311="",AR311&lt;&gt;S.CAL!$BJ$3,AR311&lt;&gt;S.CAL!$BJ$4,$AR$275="NON"),M311-BD311,IF(AND(AT311="",AR311&lt;&gt;S.CAL!$BJ$3,AR311&lt;&gt;S.CAL!$BJ$4,$AR$275="OUI"),X311-AI311,IF(AT311&lt;&gt;0,AT311,IF(OR(AR311=S.CAL!$BJ$3,AR311=S.CAL!$BJ$4),AR311,"")))),"")</f>
        <v>0</v>
      </c>
      <c r="AN311" s="1093"/>
      <c r="AO311" s="1094"/>
      <c r="AP311" s="666">
        <f>+IF(AND(AU311="",BB311="OUI",BH311="non",BI311="OUI"),AM311,IF(AND(AU311="",BB311="OUI",BH311="oui",BI311="NON"),AM311,IF(AND(AU311="",BB311="NON",BH311="oui",BI311="NON"),M311,IF(AND(AU311="",BB311="NON",BH311="non",BI311="OUI"),M311,IF(AND(AU311="",BB311="OUI",BH311="non",BI311="NON"),"ERREUR",IF(AND(AU311="",BB311="NON",BH311="non",BI311="NON"),AM311,IF(AND(AU311="",BB311="OUI",BH311="",BI311=""),AM311,IF(AND(AU311="",BB311="NON",BH311="",BI311="",AZ311="NON"),M311,IF(AND(AU311="",BH311="",AZ311="OUI",AR311=""),AM311,IF(AND(AU311="",BH311="",AZ311="NON",AR311="",AT311=""),M311,IF(AND(OR(AR311=S.CAL!$BJ$3,AR311=S.CAL!$BJ$4),(VLOOKUP($AM$275,base_nbre_sem_mensu,2,FALSE)=52)),EE311,IF(AND(OR(AR311=S.CAL!$BJ$3,AR311=S.CAL!$BJ$4),(VLOOKUP($AM$275,base_nbre_sem_mensu,2,FALSE)&lt;52)),AM311,IF(AND(AT311&lt;&gt;"",AU311=""),AT311,AU311)))))))))))))</f>
        <v>0</v>
      </c>
      <c r="AQ311" s="1378">
        <f t="shared" si="570"/>
        <v>0</v>
      </c>
      <c r="AR311" s="1098"/>
      <c r="AS311" s="1374"/>
      <c r="AT311" s="1101"/>
      <c r="AU311" s="813"/>
      <c r="AV311" s="1370">
        <f t="shared" si="551"/>
        <v>46233</v>
      </c>
      <c r="AW311" s="1374"/>
      <c r="AX311" s="511">
        <f t="shared" si="571"/>
        <v>46233</v>
      </c>
      <c r="AY311" s="523">
        <f t="shared" si="572"/>
        <v>0</v>
      </c>
      <c r="AZ311" s="520" t="s">
        <v>137</v>
      </c>
      <c r="BA311" s="516">
        <f t="shared" si="573"/>
        <v>0</v>
      </c>
      <c r="BB311" s="549" t="str">
        <f t="shared" si="552"/>
        <v/>
      </c>
      <c r="BC311" s="523">
        <f t="shared" si="574"/>
        <v>0</v>
      </c>
      <c r="BD311" s="523">
        <f t="shared" si="575"/>
        <v>0</v>
      </c>
      <c r="BE311" s="732"/>
      <c r="BF311" s="514" t="str">
        <f t="shared" si="553"/>
        <v/>
      </c>
      <c r="BG311" s="514" t="str">
        <f t="shared" si="576"/>
        <v>oui</v>
      </c>
      <c r="BH311" s="377" t="str">
        <f t="shared" si="554"/>
        <v/>
      </c>
      <c r="BI311" s="24" t="str">
        <f t="shared" si="555"/>
        <v/>
      </c>
      <c r="BJ311" s="1382"/>
      <c r="BK311" s="1382"/>
      <c r="BL311" s="1382"/>
      <c r="BM311" s="1382"/>
      <c r="BN311" s="1382"/>
      <c r="BO311" s="1382"/>
      <c r="BP311" s="1382"/>
      <c r="BQ311" s="1382"/>
      <c r="BR311" s="1383"/>
      <c r="BS311" s="1370">
        <f t="shared" si="522"/>
        <v>46233</v>
      </c>
      <c r="BT311" s="1384" t="str">
        <f t="shared" si="584"/>
        <v/>
      </c>
      <c r="BU311" s="1382"/>
      <c r="BV311" s="1382"/>
      <c r="BW311" s="1382"/>
      <c r="BX311" s="1382"/>
      <c r="BY311" s="1382"/>
      <c r="BZ311" s="1382"/>
      <c r="CA311" s="1382"/>
      <c r="CB311" s="1382"/>
      <c r="CD311" s="1386">
        <f t="shared" si="577"/>
        <v>0</v>
      </c>
      <c r="DC311" s="16" t="str">
        <f>Juillet!FC49</f>
        <v>non</v>
      </c>
      <c r="DG311" s="315">
        <f t="shared" si="578"/>
        <v>1</v>
      </c>
      <c r="DH311" s="129">
        <f t="shared" si="556"/>
        <v>10</v>
      </c>
      <c r="DI311" s="129">
        <f t="shared" si="579"/>
        <v>1</v>
      </c>
      <c r="DK311" s="16">
        <f>+IF(AND(Juillet!$DP$8&lt;&gt;52,AR311=S.CAL!$BJ$4),10,1)</f>
        <v>1</v>
      </c>
      <c r="DN311" s="16">
        <f t="shared" si="557"/>
        <v>1</v>
      </c>
      <c r="DU311" s="1274" t="str">
        <f t="shared" si="580"/>
        <v>Fiche infoA446233</v>
      </c>
      <c r="DV311" s="1362">
        <f t="shared" si="558"/>
        <v>0</v>
      </c>
      <c r="DW311" s="1363">
        <f t="shared" si="559"/>
        <v>0</v>
      </c>
      <c r="DX311" s="1363">
        <f t="shared" si="560"/>
        <v>0</v>
      </c>
      <c r="DY311" s="1363">
        <f t="shared" si="561"/>
        <v>0</v>
      </c>
      <c r="DZ311" s="1363">
        <f t="shared" si="562"/>
        <v>0</v>
      </c>
      <c r="EA311" s="1363">
        <f t="shared" si="563"/>
        <v>0</v>
      </c>
      <c r="EB311" s="1363">
        <f t="shared" si="564"/>
        <v>0</v>
      </c>
      <c r="EC311" s="1363">
        <f t="shared" si="565"/>
        <v>0</v>
      </c>
      <c r="ED311" s="1363">
        <f t="shared" si="581"/>
        <v>0</v>
      </c>
      <c r="EE311" s="1364">
        <f t="shared" si="582"/>
        <v>0</v>
      </c>
      <c r="EG311" s="16" t="str">
        <f t="shared" si="583"/>
        <v>312026</v>
      </c>
      <c r="EH311" s="16" t="str">
        <f t="shared" si="566"/>
        <v>Fiche infoA4</v>
      </c>
      <c r="EI311" s="16" t="str">
        <f t="shared" si="567"/>
        <v/>
      </c>
    </row>
    <row r="312" spans="1:145" x14ac:dyDescent="0.2">
      <c r="A312" s="24" t="str">
        <f>Juillet!BJ50</f>
        <v>Fiche infoA5</v>
      </c>
      <c r="B312" s="812">
        <f>Juillet!AB50</f>
        <v>46234</v>
      </c>
      <c r="C312" s="1371"/>
      <c r="D312" s="983">
        <f t="shared" si="523"/>
        <v>0</v>
      </c>
      <c r="E312" s="984">
        <f t="shared" si="524"/>
        <v>0</v>
      </c>
      <c r="F312" s="984">
        <f t="shared" si="525"/>
        <v>0</v>
      </c>
      <c r="G312" s="984">
        <f t="shared" si="526"/>
        <v>0</v>
      </c>
      <c r="H312" s="984">
        <f t="shared" si="527"/>
        <v>0</v>
      </c>
      <c r="I312" s="984">
        <f t="shared" si="528"/>
        <v>0</v>
      </c>
      <c r="J312" s="984">
        <f t="shared" si="529"/>
        <v>0</v>
      </c>
      <c r="K312" s="984">
        <f t="shared" si="530"/>
        <v>0</v>
      </c>
      <c r="L312" s="984">
        <f t="shared" si="568"/>
        <v>0</v>
      </c>
      <c r="M312" s="985">
        <f t="shared" si="569"/>
        <v>0</v>
      </c>
      <c r="O312" s="983">
        <f t="shared" si="585"/>
        <v>0</v>
      </c>
      <c r="P312" s="984">
        <f t="shared" si="586"/>
        <v>0</v>
      </c>
      <c r="Q312" s="984">
        <f t="shared" si="587"/>
        <v>0</v>
      </c>
      <c r="R312" s="984">
        <f t="shared" si="588"/>
        <v>0</v>
      </c>
      <c r="S312" s="984">
        <f t="shared" si="589"/>
        <v>0</v>
      </c>
      <c r="T312" s="984">
        <f t="shared" si="590"/>
        <v>0</v>
      </c>
      <c r="U312" s="984">
        <f t="shared" si="591"/>
        <v>0</v>
      </c>
      <c r="V312" s="984">
        <f t="shared" si="592"/>
        <v>0</v>
      </c>
      <c r="W312" s="984">
        <f t="shared" si="539"/>
        <v>0</v>
      </c>
      <c r="X312" s="985">
        <f t="shared" si="540"/>
        <v>0</v>
      </c>
      <c r="Y312" s="441"/>
      <c r="Z312" s="277">
        <f t="shared" si="541"/>
        <v>0</v>
      </c>
      <c r="AA312" s="277">
        <f t="shared" si="542"/>
        <v>0</v>
      </c>
      <c r="AB312" s="277">
        <f t="shared" si="543"/>
        <v>0</v>
      </c>
      <c r="AC312" s="277">
        <f t="shared" si="544"/>
        <v>0</v>
      </c>
      <c r="AD312" s="277">
        <f t="shared" si="545"/>
        <v>0</v>
      </c>
      <c r="AE312" s="277">
        <f t="shared" si="546"/>
        <v>0</v>
      </c>
      <c r="AF312" s="277">
        <f t="shared" si="547"/>
        <v>0</v>
      </c>
      <c r="AG312" s="277">
        <f t="shared" si="548"/>
        <v>0</v>
      </c>
      <c r="AI312" s="444">
        <f t="shared" si="593"/>
        <v>0</v>
      </c>
      <c r="AJ312" s="1090"/>
      <c r="AK312" s="489"/>
      <c r="AL312" s="812">
        <f t="shared" si="550"/>
        <v>46234</v>
      </c>
      <c r="AM312" s="499">
        <f>IFERROR(IF(AND(AT312="",AR312&lt;&gt;S.CAL!$BJ$3,AR312&lt;&gt;S.CAL!$BJ$4,$AR$275="NON"),M312-BD312,IF(AND(AT312="",AR312&lt;&gt;S.CAL!$BJ$3,AR312&lt;&gt;S.CAL!$BJ$4,$AR$275="OUI"),X312-AI312,IF(AT312&lt;&gt;0,AT312,IF(OR(AR312=S.CAL!$BJ$3,AR312=S.CAL!$BJ$4),AR312,"")))),"")</f>
        <v>0</v>
      </c>
      <c r="AN312" s="1095"/>
      <c r="AO312" s="1096"/>
      <c r="AP312" s="499">
        <f>+IF(AND(AU312="",BB312="OUI",BH312="non",BI312="OUI"),AM312,IF(AND(AU312="",BB312="OUI",BH312="oui",BI312="NON"),AM312,IF(AND(AU312="",BB312="NON",BH312="oui",BI312="NON"),M312,IF(AND(AU312="",BB312="NON",BH312="non",BI312="OUI"),M312,IF(AND(AU312="",BB312="OUI",BH312="non",BI312="NON"),"ERREUR",IF(AND(AU312="",BB312="NON",BH312="non",BI312="NON"),AM312,IF(AND(AU312="",BB312="OUI",BH312="",BI312=""),AM312,IF(AND(AU312="",BB312="NON",BH312="",BI312="",AZ312="NON"),M312,IF(AND(AU312="",BH312="",AZ312="OUI",AR312=""),AM312,IF(AND(AU312="",BH312="",AZ312="NON",AR312="",AT312=""),M312,IF(AND(OR(AR312=S.CAL!$BJ$3,AR312=S.CAL!$BJ$4),(VLOOKUP($AM$275,base_nbre_sem_mensu,2,FALSE)=52)),EE312,IF(AND(OR(AR312=S.CAL!$BJ$3,AR312=S.CAL!$BJ$4),(VLOOKUP($AM$275,base_nbre_sem_mensu,2,FALSE)&lt;52)),AM312,IF(AND(AT312&lt;&gt;"",AU312=""),AT312,AU312)))))))))))))</f>
        <v>0</v>
      </c>
      <c r="AQ312" s="498">
        <f t="shared" si="570"/>
        <v>0</v>
      </c>
      <c r="AR312" s="1099"/>
      <c r="AT312" s="1102"/>
      <c r="AU312" s="814"/>
      <c r="AV312" s="812">
        <f t="shared" si="551"/>
        <v>46234</v>
      </c>
      <c r="AX312" s="511">
        <f t="shared" si="571"/>
        <v>46234</v>
      </c>
      <c r="AY312" s="524">
        <f t="shared" si="572"/>
        <v>0</v>
      </c>
      <c r="AZ312" s="521" t="s">
        <v>137</v>
      </c>
      <c r="BA312" s="534">
        <f t="shared" si="573"/>
        <v>0</v>
      </c>
      <c r="BB312" s="522" t="str">
        <f t="shared" si="552"/>
        <v/>
      </c>
      <c r="BC312" s="524">
        <f t="shared" si="574"/>
        <v>0</v>
      </c>
      <c r="BD312" s="524">
        <f t="shared" si="575"/>
        <v>0</v>
      </c>
      <c r="BE312" s="491"/>
      <c r="BF312" s="514" t="str">
        <f t="shared" si="553"/>
        <v/>
      </c>
      <c r="BG312" s="514" t="str">
        <f t="shared" si="576"/>
        <v>oui</v>
      </c>
      <c r="BH312" s="377" t="str">
        <f t="shared" si="554"/>
        <v/>
      </c>
      <c r="BI312" s="24" t="str">
        <f t="shared" si="555"/>
        <v/>
      </c>
      <c r="BJ312" s="1381"/>
      <c r="BK312" s="1381"/>
      <c r="BL312" s="1381"/>
      <c r="BM312" s="1381"/>
      <c r="BN312" s="1381"/>
      <c r="BO312" s="1381"/>
      <c r="BP312" s="1381"/>
      <c r="BQ312" s="1381"/>
      <c r="BS312" s="812">
        <f t="shared" si="522"/>
        <v>46234</v>
      </c>
      <c r="BT312" s="27" t="str">
        <f t="shared" si="584"/>
        <v/>
      </c>
      <c r="BU312" s="1380"/>
      <c r="BV312" s="1380"/>
      <c r="BW312" s="1380"/>
      <c r="BX312" s="1380"/>
      <c r="BY312" s="1380"/>
      <c r="BZ312" s="1380"/>
      <c r="CA312" s="1380"/>
      <c r="CB312" s="1380"/>
      <c r="CD312" s="1387">
        <f t="shared" si="577"/>
        <v>0</v>
      </c>
      <c r="DC312" s="16" t="str">
        <f>Juillet!FC50</f>
        <v>non</v>
      </c>
      <c r="DG312" s="315">
        <f t="shared" si="578"/>
        <v>1</v>
      </c>
      <c r="DH312" s="129">
        <f t="shared" si="556"/>
        <v>10</v>
      </c>
      <c r="DI312" s="129">
        <f t="shared" si="579"/>
        <v>1</v>
      </c>
      <c r="DK312" s="16">
        <f>+IF(AND(Juillet!$DP$8&lt;&gt;52,AR312=S.CAL!$BJ$4),10,1)</f>
        <v>1</v>
      </c>
      <c r="DN312" s="16">
        <f t="shared" si="557"/>
        <v>1</v>
      </c>
      <c r="DU312" s="1274" t="str">
        <f t="shared" si="580"/>
        <v>Fiche infoA546234</v>
      </c>
      <c r="DV312" s="1362">
        <f t="shared" si="558"/>
        <v>0</v>
      </c>
      <c r="DW312" s="1363">
        <f t="shared" si="559"/>
        <v>0</v>
      </c>
      <c r="DX312" s="1363">
        <f t="shared" si="560"/>
        <v>0</v>
      </c>
      <c r="DY312" s="1363">
        <f t="shared" si="561"/>
        <v>0</v>
      </c>
      <c r="DZ312" s="1363">
        <f t="shared" si="562"/>
        <v>0</v>
      </c>
      <c r="EA312" s="1363">
        <f t="shared" si="563"/>
        <v>0</v>
      </c>
      <c r="EB312" s="1363">
        <f t="shared" si="564"/>
        <v>0</v>
      </c>
      <c r="EC312" s="1363">
        <f t="shared" si="565"/>
        <v>0</v>
      </c>
      <c r="ED312" s="1363">
        <f t="shared" si="581"/>
        <v>0</v>
      </c>
      <c r="EE312" s="1364">
        <f t="shared" si="582"/>
        <v>0</v>
      </c>
      <c r="EG312" s="16" t="str">
        <f t="shared" si="583"/>
        <v>312026</v>
      </c>
      <c r="EH312" s="16" t="str">
        <f t="shared" si="566"/>
        <v>Fiche infoA5</v>
      </c>
      <c r="EI312" s="16" t="str">
        <f t="shared" si="567"/>
        <v/>
      </c>
    </row>
    <row r="313" spans="1:145" x14ac:dyDescent="0.2">
      <c r="AM313" s="536">
        <f>SUM(AM282:AM312)</f>
        <v>0</v>
      </c>
      <c r="AN313" s="500">
        <f>SUM(AN282:AN312)</f>
        <v>0</v>
      </c>
      <c r="AO313" s="500">
        <f>SUM(AO282:AO312)</f>
        <v>0</v>
      </c>
      <c r="AP313" s="501">
        <f>SUM(AP282:AP312)</f>
        <v>0</v>
      </c>
      <c r="BD313" s="537">
        <f>SUM(BD282:BD312)</f>
        <v>0</v>
      </c>
      <c r="EE313" s="1364"/>
    </row>
    <row r="314" spans="1:145" x14ac:dyDescent="0.2">
      <c r="X314" s="29" t="s">
        <v>441</v>
      </c>
      <c r="Y314" s="29"/>
      <c r="Z314" s="29"/>
      <c r="AA314" s="29"/>
      <c r="AB314" s="29"/>
      <c r="AC314" s="29"/>
      <c r="AD314" s="29"/>
      <c r="AE314" s="29"/>
      <c r="AF314" s="29"/>
      <c r="AG314" s="29"/>
      <c r="AI314" s="445">
        <f>SUM(AI282:AI312)</f>
        <v>0</v>
      </c>
      <c r="AJ314" s="19"/>
      <c r="AK314" s="19"/>
      <c r="AL314" s="19"/>
      <c r="AM314" s="19"/>
      <c r="AN314" s="19"/>
      <c r="AO314" s="19"/>
      <c r="AP314" s="19"/>
      <c r="AQ314" s="494"/>
    </row>
    <row r="316" spans="1:145" ht="23.25" x14ac:dyDescent="0.35">
      <c r="B316" s="435" t="s">
        <v>794</v>
      </c>
      <c r="C316" s="435"/>
      <c r="D316" s="435"/>
      <c r="BS316" s="19" t="s">
        <v>1524</v>
      </c>
      <c r="EK316" s="16" t="str">
        <f>+EG326</f>
        <v>numero sem</v>
      </c>
      <c r="EL316" s="27" t="s">
        <v>1518</v>
      </c>
      <c r="EM316" s="27" t="s">
        <v>1519</v>
      </c>
      <c r="EN316" s="16" t="s">
        <v>1520</v>
      </c>
    </row>
    <row r="317" spans="1:145" ht="13.5" thickBot="1" x14ac:dyDescent="0.25">
      <c r="AR317" s="1717" t="s">
        <v>989</v>
      </c>
      <c r="AS317" s="1718"/>
      <c r="AT317" s="1719"/>
      <c r="BT317" s="29" t="s">
        <v>1527</v>
      </c>
      <c r="BU317" s="27" t="str">
        <f>+IFERROR(EJ317,"")</f>
        <v>31</v>
      </c>
      <c r="BV317" s="53" t="str">
        <f>IF(BU317="","",+EN317)</f>
        <v>non</v>
      </c>
      <c r="BW317" s="1729" t="str">
        <f>+IF(BV317="oui", "Ecart "&amp;EO317&amp;" hrs","")</f>
        <v/>
      </c>
      <c r="BX317" s="1729"/>
      <c r="EJ317" s="16" t="str">
        <f>LEFT(EK317,LEN(EK317)-4)</f>
        <v>31</v>
      </c>
      <c r="EK317" s="16" t="str" cm="1">
        <f t="array" ref="EK317">IFERROR(INDEX(EG327:EG357,MATCH(0,INDEX(COUNTIF(EK316:EK316,EG327:EG357),0,0),0)),"")</f>
        <v>312026</v>
      </c>
      <c r="EL317" s="27">
        <f>+SUMIFS($EE$12:$EE$537,$EG$12:$EG$537,EK317)</f>
        <v>0</v>
      </c>
      <c r="EM317" s="27">
        <f>+SUMIFS($EI$12:$EI$537,$EG$12:$EG$537,EK317)</f>
        <v>0</v>
      </c>
      <c r="EN317" s="16" t="str">
        <f t="shared" ref="EN317:EN322" si="594">+IF(AND(EL317&lt;&gt;EM317,EK317&lt;&gt;""),"oui","non")</f>
        <v>non</v>
      </c>
      <c r="EO317" s="16">
        <f>+EL317-EM317</f>
        <v>0</v>
      </c>
    </row>
    <row r="318" spans="1:145" ht="13.5" thickTop="1" x14ac:dyDescent="0.2">
      <c r="C318" s="39" t="s">
        <v>793</v>
      </c>
      <c r="D318" s="1713">
        <f>+Identification!$B$7</f>
        <v>0</v>
      </c>
      <c r="E318" s="1713"/>
      <c r="F318" s="1713"/>
      <c r="G318" s="1713"/>
      <c r="O318" s="436" t="s">
        <v>76</v>
      </c>
      <c r="P318" s="32"/>
      <c r="Q318" s="33"/>
      <c r="R318" s="436" t="s">
        <v>140</v>
      </c>
      <c r="S318" s="32"/>
      <c r="T318" s="32"/>
      <c r="U318" s="32"/>
      <c r="V318" s="32"/>
      <c r="W318" s="32"/>
      <c r="X318" s="33"/>
      <c r="AR318" s="1720"/>
      <c r="AS318" s="1721"/>
      <c r="AT318" s="1722"/>
      <c r="BU318" s="27" t="str">
        <f t="shared" ref="BU318:BU322" si="595">+IFERROR(EJ318,"")</f>
        <v>32</v>
      </c>
      <c r="BV318" s="53" t="str">
        <f t="shared" ref="BV318:BV322" si="596">IF(BU318="","",+EN318)</f>
        <v>non</v>
      </c>
      <c r="BW318" s="1729" t="str">
        <f t="shared" ref="BW318:BW322" si="597">+IF(BV318="oui", "Ecart "&amp;EO318&amp;" hrs","")</f>
        <v/>
      </c>
      <c r="BX318" s="1729"/>
      <c r="EJ318" s="16" t="str">
        <f t="shared" ref="EJ318:EJ323" si="598">LEFT(EK318,LEN(EK318)-4)</f>
        <v>32</v>
      </c>
      <c r="EK318" s="16" t="str" cm="1">
        <f t="array" ref="EK318">IFERROR(INDEX(EG327:EG357,MATCH(0,INDEX(COUNTIF(EK316:EK317,EG327:EG357),0,0),0)),"")</f>
        <v>322026</v>
      </c>
      <c r="EL318" s="27">
        <f t="shared" ref="EL318:EL322" si="599">+SUMIFS($EE$12:$EE$537,$EG$12:$EG$537,EK318)</f>
        <v>0</v>
      </c>
      <c r="EM318" s="27">
        <f t="shared" ref="EM318:EM323" si="600">+SUMIFS($EI$12:$EI$537,$EG$12:$EG$537,EK318)</f>
        <v>0</v>
      </c>
      <c r="EN318" s="16" t="str">
        <f t="shared" si="594"/>
        <v>non</v>
      </c>
      <c r="EO318" s="16">
        <f t="shared" ref="EO318:EO323" si="601">+EL318-EM318</f>
        <v>0</v>
      </c>
    </row>
    <row r="319" spans="1:145" x14ac:dyDescent="0.2">
      <c r="O319" s="35"/>
      <c r="Q319" s="36"/>
      <c r="R319" s="1723"/>
      <c r="S319" s="1724"/>
      <c r="T319" s="1724"/>
      <c r="U319" s="1724"/>
      <c r="V319" s="1724"/>
      <c r="W319" s="1724"/>
      <c r="X319" s="1725"/>
      <c r="Y319" s="442"/>
      <c r="Z319" s="442"/>
      <c r="AA319" s="442"/>
      <c r="AB319" s="442"/>
      <c r="AC319" s="442"/>
      <c r="AD319" s="442"/>
      <c r="AE319" s="442"/>
      <c r="AF319" s="442"/>
      <c r="AG319" s="442"/>
      <c r="AR319" s="1720"/>
      <c r="AS319" s="1721"/>
      <c r="AT319" s="1722"/>
      <c r="BU319" s="27" t="str">
        <f t="shared" si="595"/>
        <v>33</v>
      </c>
      <c r="BV319" s="53" t="str">
        <f t="shared" si="596"/>
        <v>non</v>
      </c>
      <c r="BW319" s="1729" t="str">
        <f t="shared" si="597"/>
        <v/>
      </c>
      <c r="BX319" s="1729"/>
      <c r="EJ319" s="16" t="str">
        <f t="shared" si="598"/>
        <v>33</v>
      </c>
      <c r="EK319" s="16" t="str">
        <f t="array" ref="EK319">IFERROR(INDEX(EG327:EG357,MATCH(0,INDEX(COUNTIF(EK316:EK318,EG327:EG357),0,0),0)),"")</f>
        <v>332026</v>
      </c>
      <c r="EL319" s="27">
        <f t="shared" si="599"/>
        <v>0</v>
      </c>
      <c r="EM319" s="27">
        <f t="shared" si="600"/>
        <v>0</v>
      </c>
      <c r="EN319" s="16" t="str">
        <f t="shared" si="594"/>
        <v>non</v>
      </c>
      <c r="EO319" s="16">
        <f t="shared" si="601"/>
        <v>0</v>
      </c>
    </row>
    <row r="320" spans="1:145" x14ac:dyDescent="0.2">
      <c r="C320" s="39" t="s">
        <v>25</v>
      </c>
      <c r="D320" s="1713">
        <f>+Identification!$B$25</f>
        <v>0</v>
      </c>
      <c r="E320" s="1713"/>
      <c r="O320" s="35"/>
      <c r="Q320" s="36"/>
      <c r="R320" s="1723"/>
      <c r="S320" s="1724"/>
      <c r="T320" s="1724"/>
      <c r="U320" s="1724"/>
      <c r="V320" s="1724"/>
      <c r="W320" s="1724"/>
      <c r="X320" s="1725"/>
      <c r="Y320" s="442"/>
      <c r="Z320" s="442"/>
      <c r="AA320" s="442"/>
      <c r="AB320" s="442"/>
      <c r="AC320" s="442"/>
      <c r="AD320" s="442"/>
      <c r="AE320" s="442"/>
      <c r="AF320" s="442"/>
      <c r="AG320" s="442"/>
      <c r="AL320" s="16" t="str">
        <f t="shared" ref="AL320" si="602">C323</f>
        <v>Mois :</v>
      </c>
      <c r="AM320" s="1716">
        <f t="shared" ref="AM320" si="603">D323</f>
        <v>46235</v>
      </c>
      <c r="AN320" s="1716">
        <f t="shared" ref="AN320" si="604">E323</f>
        <v>0</v>
      </c>
      <c r="AR320" s="539" t="str">
        <f>IF(AT320="",AR275,AT320)</f>
        <v>NON</v>
      </c>
      <c r="AS320" s="538" t="s">
        <v>492</v>
      </c>
      <c r="AT320" s="1083"/>
      <c r="BJ320" s="16" t="str">
        <f t="shared" ref="BJ320" si="605">AL320</f>
        <v>Mois :</v>
      </c>
      <c r="BK320" s="1716">
        <f t="shared" ref="BK320" si="606">AM320</f>
        <v>46235</v>
      </c>
      <c r="BL320" s="1716"/>
      <c r="BU320" s="27" t="str">
        <f t="shared" si="595"/>
        <v>34</v>
      </c>
      <c r="BV320" s="53" t="str">
        <f t="shared" si="596"/>
        <v>non</v>
      </c>
      <c r="BW320" s="1729" t="str">
        <f t="shared" si="597"/>
        <v/>
      </c>
      <c r="BX320" s="1729"/>
      <c r="EJ320" s="16" t="str">
        <f t="shared" si="598"/>
        <v>34</v>
      </c>
      <c r="EK320" s="16" t="str">
        <f t="array" ref="EK320">IFERROR(INDEX(EG327:EG357,MATCH(0,INDEX(COUNTIF(EK316:EK319,EG327:EG357),0,0),0)),"")</f>
        <v>342026</v>
      </c>
      <c r="EL320" s="27">
        <f t="shared" si="599"/>
        <v>0</v>
      </c>
      <c r="EM320" s="27">
        <f t="shared" si="600"/>
        <v>0</v>
      </c>
      <c r="EN320" s="16" t="str">
        <f t="shared" si="594"/>
        <v>non</v>
      </c>
      <c r="EO320" s="16">
        <f t="shared" si="601"/>
        <v>0</v>
      </c>
    </row>
    <row r="321" spans="1:145" ht="13.5" thickBot="1" x14ac:dyDescent="0.25">
      <c r="O321" s="42"/>
      <c r="P321" s="43"/>
      <c r="Q321" s="44"/>
      <c r="R321" s="1726"/>
      <c r="S321" s="1727"/>
      <c r="T321" s="1727"/>
      <c r="U321" s="1727"/>
      <c r="V321" s="1727"/>
      <c r="W321" s="1727"/>
      <c r="X321" s="1728"/>
      <c r="Y321" s="442"/>
      <c r="Z321" s="442"/>
      <c r="AA321" s="442"/>
      <c r="AB321" s="442"/>
      <c r="AC321" s="442"/>
      <c r="AD321" s="442"/>
      <c r="AE321" s="442"/>
      <c r="AF321" s="442"/>
      <c r="AG321" s="442"/>
      <c r="BU321" s="27" t="str">
        <f t="shared" si="595"/>
        <v>35</v>
      </c>
      <c r="BV321" s="53" t="str">
        <f t="shared" si="596"/>
        <v>non</v>
      </c>
      <c r="BW321" s="1729" t="str">
        <f t="shared" si="597"/>
        <v/>
      </c>
      <c r="BX321" s="1729"/>
      <c r="EJ321" s="16" t="str">
        <f t="shared" si="598"/>
        <v>35</v>
      </c>
      <c r="EK321" s="16" t="str">
        <f t="array" ref="EK321">IFERROR(INDEX(EG327:EG357,MATCH(0,INDEX(COUNTIF(EK316:EK320,EG327:EG357),0,0),0)),"")</f>
        <v>352026</v>
      </c>
      <c r="EL321" s="27">
        <f t="shared" si="599"/>
        <v>0</v>
      </c>
      <c r="EM321" s="27">
        <f t="shared" si="600"/>
        <v>0</v>
      </c>
      <c r="EN321" s="16" t="str">
        <f t="shared" si="594"/>
        <v>non</v>
      </c>
      <c r="EO321" s="16">
        <f t="shared" si="601"/>
        <v>0</v>
      </c>
    </row>
    <row r="322" spans="1:145" ht="13.5" thickTop="1" x14ac:dyDescent="0.2">
      <c r="AI322" s="535" t="s">
        <v>986</v>
      </c>
      <c r="BU322" s="27" t="str">
        <f t="shared" si="595"/>
        <v>36</v>
      </c>
      <c r="BV322" s="53" t="str">
        <f t="shared" si="596"/>
        <v>non</v>
      </c>
      <c r="BW322" s="1729" t="str">
        <f t="shared" si="597"/>
        <v/>
      </c>
      <c r="BX322" s="1729"/>
      <c r="EJ322" s="16" t="str">
        <f t="shared" si="598"/>
        <v>36</v>
      </c>
      <c r="EK322" s="16" t="str">
        <f t="array" ref="EK322">IFERROR(INDEX(EG327:EG357,MATCH(0,INDEX(COUNTIF(EK316:EK321,EG327:EG357),0,0),0)),"")</f>
        <v>362026</v>
      </c>
      <c r="EL322" s="27">
        <f t="shared" si="599"/>
        <v>0</v>
      </c>
      <c r="EM322" s="27">
        <f t="shared" si="600"/>
        <v>0</v>
      </c>
      <c r="EN322" s="16" t="str">
        <f t="shared" si="594"/>
        <v>non</v>
      </c>
      <c r="EO322" s="16">
        <f t="shared" si="601"/>
        <v>0</v>
      </c>
    </row>
    <row r="323" spans="1:145" x14ac:dyDescent="0.2">
      <c r="C323" s="39" t="s">
        <v>28</v>
      </c>
      <c r="D323" s="1716">
        <f>+Aout!X3</f>
        <v>46235</v>
      </c>
      <c r="E323" s="1716"/>
      <c r="F323" s="39" t="s">
        <v>12</v>
      </c>
      <c r="G323" s="63">
        <f>+Aout!X4</f>
        <v>2026</v>
      </c>
      <c r="EJ323" s="16" t="e">
        <f t="shared" si="598"/>
        <v>#VALUE!</v>
      </c>
      <c r="EK323" s="16" t="str">
        <f t="array" ref="EK323">IFERROR(INDEX($EG$12:$EG$42,MATCH(0,INDEX(COUNTIF($EK$1:EK322,$EG$12:$EG$42),0,0),0)),"")</f>
        <v/>
      </c>
      <c r="EL323" s="27">
        <f>+SUMIFS($EE$12:$EE$537,$EG$12:$EG$537,EK323)</f>
        <v>0</v>
      </c>
      <c r="EM323" s="27">
        <f t="shared" si="600"/>
        <v>0</v>
      </c>
      <c r="EN323" s="16" t="str">
        <f>+IF(AND(EL323&lt;&gt;EM323,EK323&lt;&gt;""),"oui","non")</f>
        <v>non</v>
      </c>
      <c r="EO323" s="16">
        <f t="shared" si="601"/>
        <v>0</v>
      </c>
    </row>
    <row r="324" spans="1:145" x14ac:dyDescent="0.2">
      <c r="AL324" s="1714" t="s">
        <v>960</v>
      </c>
      <c r="AM324" s="1714"/>
      <c r="AN324" s="1714"/>
      <c r="AO324" s="1714"/>
      <c r="AP324" s="1714"/>
      <c r="AQ324" s="492"/>
      <c r="AT324" s="1715" t="s">
        <v>749</v>
      </c>
      <c r="AU324" s="1715"/>
      <c r="AV324" s="1715"/>
      <c r="AW324" s="63"/>
      <c r="AX324" s="63"/>
      <c r="AY324" s="517" t="s">
        <v>975</v>
      </c>
      <c r="AZ324" s="518"/>
      <c r="BA324" s="518"/>
      <c r="BB324" s="518"/>
      <c r="BC324" s="519"/>
      <c r="BD324" s="519"/>
      <c r="BE324" s="519"/>
      <c r="BF324" s="512"/>
      <c r="BG324" s="512"/>
      <c r="BJ324" s="437"/>
      <c r="BK324" s="437"/>
      <c r="BL324" s="437"/>
      <c r="BM324" s="437"/>
      <c r="BN324" s="437"/>
      <c r="BO324" s="437"/>
      <c r="BP324" s="437"/>
      <c r="BQ324" s="437"/>
      <c r="BU324" s="438"/>
      <c r="BV324" s="438"/>
      <c r="BW324" s="438"/>
      <c r="BX324" s="438"/>
      <c r="BY324" s="438"/>
      <c r="BZ324" s="438"/>
      <c r="CA324" s="438"/>
      <c r="CB324" s="438"/>
    </row>
    <row r="325" spans="1:145" ht="15" customHeight="1" x14ac:dyDescent="0.2">
      <c r="D325" s="439" t="s">
        <v>791</v>
      </c>
      <c r="E325" s="438"/>
      <c r="F325" s="438"/>
      <c r="G325" s="438"/>
      <c r="H325" s="438"/>
      <c r="I325" s="438"/>
      <c r="J325" s="438"/>
      <c r="K325" s="438"/>
      <c r="L325" s="438"/>
      <c r="M325" s="438"/>
      <c r="O325" s="440" t="s">
        <v>790</v>
      </c>
      <c r="P325" s="437"/>
      <c r="Q325" s="437"/>
      <c r="R325" s="437"/>
      <c r="S325" s="437"/>
      <c r="T325" s="437"/>
      <c r="U325" s="437"/>
      <c r="V325" s="437"/>
      <c r="W325" s="437"/>
      <c r="X325" s="437"/>
      <c r="BJ325" s="1087" t="s">
        <v>792</v>
      </c>
      <c r="BK325" s="1088"/>
      <c r="BL325" s="1088"/>
      <c r="BM325" s="1088"/>
      <c r="BN325" s="1088"/>
      <c r="BO325" s="1088"/>
      <c r="BP325" s="1088"/>
      <c r="BQ325" s="1088"/>
      <c r="BU325" s="1087" t="s">
        <v>1369</v>
      </c>
      <c r="BV325" s="1088"/>
      <c r="BW325" s="1088"/>
      <c r="BX325" s="1088"/>
      <c r="BY325" s="1088"/>
      <c r="BZ325" s="1088"/>
      <c r="CA325" s="1088"/>
      <c r="CB325" s="1088"/>
      <c r="DG325" s="315" t="s">
        <v>1326</v>
      </c>
      <c r="DH325" s="129"/>
      <c r="DI325" s="129"/>
      <c r="DK325" s="129" t="s">
        <v>1331</v>
      </c>
      <c r="DN325" s="16" t="s">
        <v>1334</v>
      </c>
      <c r="DV325" s="825" t="s">
        <v>1521</v>
      </c>
      <c r="DW325" s="825"/>
      <c r="DX325" s="825"/>
      <c r="DY325" s="825"/>
      <c r="DZ325" s="825"/>
      <c r="EA325" s="825"/>
      <c r="EB325" s="825"/>
      <c r="EC325" s="825"/>
      <c r="ED325" s="825"/>
      <c r="EE325" s="825"/>
    </row>
    <row r="326" spans="1:145" ht="56.25" customHeight="1" x14ac:dyDescent="0.2">
      <c r="A326" s="24" t="s">
        <v>789</v>
      </c>
      <c r="B326" s="432" t="s">
        <v>16</v>
      </c>
      <c r="C326" s="433"/>
      <c r="D326" s="432" t="s">
        <v>219</v>
      </c>
      <c r="E326" s="432" t="s">
        <v>220</v>
      </c>
      <c r="F326" s="432" t="s">
        <v>221</v>
      </c>
      <c r="G326" s="432" t="s">
        <v>222</v>
      </c>
      <c r="H326" s="432" t="s">
        <v>522</v>
      </c>
      <c r="I326" s="432" t="s">
        <v>523</v>
      </c>
      <c r="J326" s="432" t="s">
        <v>524</v>
      </c>
      <c r="K326" s="432" t="s">
        <v>525</v>
      </c>
      <c r="L326" s="432" t="s">
        <v>182</v>
      </c>
      <c r="M326" s="432" t="s">
        <v>183</v>
      </c>
      <c r="N326" s="433"/>
      <c r="O326" s="432" t="s">
        <v>219</v>
      </c>
      <c r="P326" s="432" t="s">
        <v>220</v>
      </c>
      <c r="Q326" s="432" t="s">
        <v>221</v>
      </c>
      <c r="R326" s="432" t="s">
        <v>222</v>
      </c>
      <c r="S326" s="432" t="s">
        <v>522</v>
      </c>
      <c r="T326" s="432" t="s">
        <v>523</v>
      </c>
      <c r="U326" s="432" t="s">
        <v>524</v>
      </c>
      <c r="V326" s="432" t="s">
        <v>525</v>
      </c>
      <c r="W326" s="432" t="s">
        <v>182</v>
      </c>
      <c r="X326" s="432" t="s">
        <v>183</v>
      </c>
      <c r="Y326" s="433"/>
      <c r="Z326" s="432" t="s">
        <v>796</v>
      </c>
      <c r="AA326" s="432" t="s">
        <v>797</v>
      </c>
      <c r="AB326" s="432" t="s">
        <v>798</v>
      </c>
      <c r="AC326" s="432" t="s">
        <v>799</v>
      </c>
      <c r="AD326" s="432" t="s">
        <v>800</v>
      </c>
      <c r="AE326" s="432" t="s">
        <v>801</v>
      </c>
      <c r="AF326" s="432" t="s">
        <v>802</v>
      </c>
      <c r="AG326" s="432" t="s">
        <v>803</v>
      </c>
      <c r="AI326" s="432" t="s">
        <v>804</v>
      </c>
      <c r="AJ326" s="432" t="s">
        <v>795</v>
      </c>
      <c r="AK326" s="433"/>
      <c r="AL326" s="495" t="s">
        <v>16</v>
      </c>
      <c r="AM326" s="530" t="s">
        <v>1003</v>
      </c>
      <c r="AN326" s="1084" t="s">
        <v>958</v>
      </c>
      <c r="AO326" s="1085" t="s">
        <v>959</v>
      </c>
      <c r="AP326" s="496" t="s">
        <v>1707</v>
      </c>
      <c r="AQ326" s="493"/>
      <c r="AR326" s="1086" t="s">
        <v>684</v>
      </c>
      <c r="AT326" s="1086" t="s">
        <v>1333</v>
      </c>
      <c r="AU326" s="1085" t="s">
        <v>1707</v>
      </c>
      <c r="AV326" s="432" t="s">
        <v>16</v>
      </c>
      <c r="AW326" s="433"/>
      <c r="AX326" s="433"/>
      <c r="AY326" s="529" t="s">
        <v>972</v>
      </c>
      <c r="AZ326" s="530" t="s">
        <v>978</v>
      </c>
      <c r="BA326" s="513" t="s">
        <v>976</v>
      </c>
      <c r="BB326" s="550" t="s">
        <v>977</v>
      </c>
      <c r="BC326" s="551" t="s">
        <v>1005</v>
      </c>
      <c r="BD326" s="550" t="s">
        <v>979</v>
      </c>
      <c r="BE326" s="552" t="s">
        <v>1004</v>
      </c>
      <c r="BF326" s="513" t="s">
        <v>980</v>
      </c>
      <c r="BG326" s="513" t="s">
        <v>985</v>
      </c>
      <c r="BI326" s="24" t="s">
        <v>1011</v>
      </c>
      <c r="BJ326" s="432" t="s">
        <v>219</v>
      </c>
      <c r="BK326" s="432" t="s">
        <v>220</v>
      </c>
      <c r="BL326" s="432" t="s">
        <v>221</v>
      </c>
      <c r="BM326" s="432" t="s">
        <v>222</v>
      </c>
      <c r="BN326" s="432" t="s">
        <v>522</v>
      </c>
      <c r="BO326" s="432" t="s">
        <v>523</v>
      </c>
      <c r="BP326" s="432" t="s">
        <v>524</v>
      </c>
      <c r="BQ326" s="432" t="s">
        <v>525</v>
      </c>
      <c r="BS326" s="1361" t="str">
        <f t="shared" ref="BS326:BS357" si="607">AV326</f>
        <v>Jours</v>
      </c>
      <c r="BU326" s="432" t="s">
        <v>219</v>
      </c>
      <c r="BV326" s="432" t="s">
        <v>220</v>
      </c>
      <c r="BW326" s="432" t="s">
        <v>221</v>
      </c>
      <c r="BX326" s="432" t="s">
        <v>222</v>
      </c>
      <c r="BY326" s="432" t="s">
        <v>522</v>
      </c>
      <c r="BZ326" s="432" t="s">
        <v>523</v>
      </c>
      <c r="CA326" s="432" t="s">
        <v>524</v>
      </c>
      <c r="CB326" s="432" t="s">
        <v>525</v>
      </c>
      <c r="CD326" s="1361" t="s">
        <v>1526</v>
      </c>
      <c r="CS326" s="488"/>
      <c r="CT326" s="488"/>
      <c r="CU326" s="488"/>
      <c r="CV326" s="488"/>
      <c r="DG326" s="315" t="s">
        <v>1327</v>
      </c>
      <c r="DH326" s="129" t="s">
        <v>1328</v>
      </c>
      <c r="DI326" s="129" t="s">
        <v>1330</v>
      </c>
      <c r="DK326" s="129" t="s">
        <v>1332</v>
      </c>
      <c r="DU326" s="1361" t="s">
        <v>238</v>
      </c>
      <c r="DV326" s="1361" t="s">
        <v>219</v>
      </c>
      <c r="DW326" s="1361" t="s">
        <v>220</v>
      </c>
      <c r="DX326" s="1361" t="s">
        <v>221</v>
      </c>
      <c r="DY326" s="1361" t="s">
        <v>222</v>
      </c>
      <c r="DZ326" s="1361" t="s">
        <v>522</v>
      </c>
      <c r="EA326" s="1361" t="s">
        <v>523</v>
      </c>
      <c r="EB326" s="1361" t="s">
        <v>524</v>
      </c>
      <c r="EC326" s="1361" t="s">
        <v>525</v>
      </c>
      <c r="ED326" s="1361" t="s">
        <v>182</v>
      </c>
      <c r="EE326" s="1361" t="s">
        <v>183</v>
      </c>
      <c r="EG326" s="1361" t="s">
        <v>1224</v>
      </c>
      <c r="EH326" s="1361" t="s">
        <v>1522</v>
      </c>
      <c r="EI326" s="1361" t="s">
        <v>1523</v>
      </c>
    </row>
    <row r="327" spans="1:145" x14ac:dyDescent="0.2">
      <c r="A327" s="24" t="str">
        <f>Aout!BJ20</f>
        <v>Fiche infoA6</v>
      </c>
      <c r="B327" s="810">
        <f>Aout!AB20</f>
        <v>46235</v>
      </c>
      <c r="C327" s="1371"/>
      <c r="D327" s="978">
        <f t="shared" ref="D327:D357" si="608">IF(AR327&lt;&gt;"",0,IF(DN327=10,0,IFERROR(+IF(BU327="",VLOOKUP(A327,base_horaire,2,FALSE),BU327),0)))</f>
        <v>0</v>
      </c>
      <c r="E327" s="979">
        <f t="shared" ref="E327:E357" si="609">IF(AR327&lt;&gt;"",0,IF(DN327=10,0,IFERROR(+IF(BV327="",VLOOKUP(A327,base_horaire,3,FALSE),BV327),0)))</f>
        <v>0</v>
      </c>
      <c r="F327" s="979">
        <f t="shared" ref="F327:F357" si="610">IF(AR327&lt;&gt;"",0,IF(DN327=10,0,IFERROR(+IF(BW327="",VLOOKUP(A327,base_horaire,4,FALSE),BW327),0)))</f>
        <v>0</v>
      </c>
      <c r="G327" s="979">
        <f t="shared" ref="G327:G357" si="611">IF(AR327&lt;&gt;"",0,IF(DN327=10,0,IFERROR(+IF(BX327="",VLOOKUP(A327,base_horaire,5,FALSE),BX327),0)))</f>
        <v>0</v>
      </c>
      <c r="H327" s="979">
        <f t="shared" ref="H327:H357" si="612">IF(AR327&lt;&gt;"",0,IF(DN327=10,0,IFERROR(+IF(BY327="",VLOOKUP(A327,base_horaire,6,FALSE),BY327),0)))</f>
        <v>0</v>
      </c>
      <c r="I327" s="979">
        <f t="shared" ref="I327:I357" si="613">IF(AR327&lt;&gt;"",0,IF(DN327=10,0,IFERROR(+IF(BZ327="",VLOOKUP(A327,base_horaire,7,FALSE),BZ327),0)))</f>
        <v>0</v>
      </c>
      <c r="J327" s="979">
        <f t="shared" ref="J327:J357" si="614">IF(AR327&lt;&gt;"",0,IF(DN327=10,0,IFERROR(+IF(CA327="",VLOOKUP(A327,base_horaire,8,FALSE),CA327),0)))</f>
        <v>0</v>
      </c>
      <c r="K327" s="979">
        <f t="shared" ref="K327:K357" si="615">IF(AR327&lt;&gt;"",0,IF(DN327=10,0,IFERROR(+IF(CB327="",VLOOKUP(A327,base_horaire,9,FALSE),CB327),0)))</f>
        <v>0</v>
      </c>
      <c r="L327" s="979">
        <f>+E327-D327+G327-F327+I327-H327+K327-J327</f>
        <v>0</v>
      </c>
      <c r="M327" s="980">
        <f>ROUND(+L327*24,2)</f>
        <v>0</v>
      </c>
      <c r="O327" s="978">
        <f t="shared" ref="O327:O334" si="616">IF(AR327&lt;&gt;"",0,IF(DC327="oui",0,IF(AND(ISTEXT(AT327)=TRUE,BJ327=""),0,IF(BJ327="",D327,BJ327))))</f>
        <v>0</v>
      </c>
      <c r="P327" s="979">
        <f t="shared" ref="P327:P334" si="617">IF(AR327&lt;&gt;"",0,IF(DC327="oui",0,IF(AND(ISTEXT(AT327)=TRUE,BK327=""),0,IF(BK327="",E327,BK327))))</f>
        <v>0</v>
      </c>
      <c r="Q327" s="979">
        <f t="shared" ref="Q327:Q334" si="618">IF(AR327&lt;&gt;"",0,IF(DC327="oui",0,IF(AND(ISTEXT(AT327)=TRUE,BL327=""),0,IF(BL327="",F327,BL327))))</f>
        <v>0</v>
      </c>
      <c r="R327" s="979">
        <f t="shared" ref="R327:R334" si="619">IF(AR327&lt;&gt;"",0,IF(DC327="oui",0,IF(AND(ISTEXT(AT327)=TRUE,BM327=""),0,IF(BM327="",G327,BM327))))</f>
        <v>0</v>
      </c>
      <c r="S327" s="979">
        <f t="shared" ref="S327:S334" si="620">IF(AR327&lt;&gt;"",0,IF(DC327="oui",0,IF(AND(ISTEXT(AT327)=TRUE,BN327=""),0,IF(BN327="",H327,BN327))))</f>
        <v>0</v>
      </c>
      <c r="T327" s="979">
        <f t="shared" ref="T327:T334" si="621">IF(AR327&lt;&gt;"",0,IF(DC327="oui",0,IF(AND(ISTEXT(AT327)=TRUE,BO327=""),0,IF(BO327="",I327,BO327))))</f>
        <v>0</v>
      </c>
      <c r="U327" s="979">
        <f t="shared" ref="U327:U334" si="622">IF(AR327&lt;&gt;"",0,IF(DC327="oui",0,IF(AND(ISTEXT(AT327)=TRUE,BP327=""),0,IF(BP327="",J327,BP327))))</f>
        <v>0</v>
      </c>
      <c r="V327" s="979">
        <f t="shared" ref="V327:V334" si="623">IF(AR327&lt;&gt;"",0,IF(DC327="oui",0,IF(AND(ISTEXT(AT327)=TRUE,BQ327=""),0,IF(BQ327="",K327,BQ327))))</f>
        <v>0</v>
      </c>
      <c r="W327" s="979">
        <f t="shared" ref="W327:W357" si="624">+P327-O327+R327-Q327+T327-S327+V327-U327</f>
        <v>0</v>
      </c>
      <c r="X327" s="980">
        <f t="shared" ref="X327:X357" si="625">ROUND(+W327*24,2)</f>
        <v>0</v>
      </c>
      <c r="Y327" s="441"/>
      <c r="Z327" s="277">
        <f t="shared" ref="Z327:Z357" si="626">+IF(AND(O327&gt;D327,D327&gt;0),D327,O327)</f>
        <v>0</v>
      </c>
      <c r="AA327" s="277">
        <f t="shared" ref="AA327:AA357" si="627">+IF(P327&gt;E327,P327,E327)</f>
        <v>0</v>
      </c>
      <c r="AB327" s="277">
        <f t="shared" ref="AB327:AB357" si="628">+IF(AND(Q327&gt;F327,F327&gt;0),F327,Q327)</f>
        <v>0</v>
      </c>
      <c r="AC327" s="277">
        <f t="shared" ref="AC327:AC357" si="629">+IF(R327&gt;G327,R327,G327)</f>
        <v>0</v>
      </c>
      <c r="AD327" s="277">
        <f t="shared" ref="AD327:AD357" si="630">+IF(AND(S327&gt;H327,H327&gt;0),H327,S327)</f>
        <v>0</v>
      </c>
      <c r="AE327" s="277">
        <f t="shared" ref="AE327:AE357" si="631">+IF(T327&gt;I327,T327,I327)</f>
        <v>0</v>
      </c>
      <c r="AF327" s="277">
        <f t="shared" ref="AF327:AF357" si="632">+IF(AND(U327&gt;J327,J327&gt;0),J327,U327)</f>
        <v>0</v>
      </c>
      <c r="AG327" s="277">
        <f t="shared" ref="AG327:AG357" si="633">+IF(V327&gt;K327,V327,K327)</f>
        <v>0</v>
      </c>
      <c r="AI327" s="443">
        <f t="shared" ref="AI327:AI334" si="634">IF(DC327="oui",0,IF(AND(ISTEXT(AT327)=TRUE,OR(X327=0,X327="")),0,ROUND(((((AA327-Z327)-(E327-D327))+((AC327-AB327)-(G327-F327))+((AE327-AD327)-(I327-H327))+(AG327-AF327)-(K327-J327))*24),2)))</f>
        <v>0</v>
      </c>
      <c r="AJ327" s="1089"/>
      <c r="AK327" s="489"/>
      <c r="AL327" s="810">
        <f t="shared" ref="AL327:AL357" si="635">B327</f>
        <v>46235</v>
      </c>
      <c r="AM327" s="497">
        <f>IFERROR(IF(AND(AT327="",AR327&lt;&gt;S.CAL!$BJ$3,AR327&lt;&gt;S.CAL!$BJ$4,$AR$320="NON"),M327-BD327,IF(AND(AT327="",AR327&lt;&gt;S.CAL!$BJ$3,AR327&lt;&gt;S.CAL!$BJ$4,$AR$320="OUI"),X327-AI327,IF(AT327&lt;&gt;0,AT327,IF(OR(AR327=S.CAL!$BJ$3,AR327=S.CAL!$BJ$4),AR327,"")))),"")</f>
        <v>0</v>
      </c>
      <c r="AN327" s="1091"/>
      <c r="AO327" s="1092"/>
      <c r="AP327" s="497">
        <f>+IF(AND(AU327="",BB327="OUI",BH327="non",BI327="OUI"),AM327,IF(AND(AU327="",BB327="OUI",BH327="oui",BI327="NON"),AM327,IF(AND(AU327="",BB327="NON",BH327="oui",BI327="NON"),M327,IF(AND(AU327="",BB327="NON",BH327="non",BI327="OUI"),M327,IF(AND(AU327="",BB327="OUI",BH327="non",BI327="NON"),"ERREUR",IF(AND(AU327="",BB327="NON",BH327="non",BI327="NON"),AM327,IF(AND(AU327="",BB327="OUI",BH327="",BI327=""),AM327,IF(AND(AU327="",BB327="NON",BH327="",BI327="",AZ327="NON"),M327,IF(AND(AU327="",BH327="",AZ327="OUI",AR327=""),AM327,IF(AND(AU327="",BH327="",AZ327="NON",AR327="",AT327=""),M327,IF(AND(OR(AR327=S.CAL!$BJ$3,AR327=S.CAL!$BJ$4),(VLOOKUP($AM$320,base_nbre_sem_mensu,2,FALSE)=52)),EE327,IF(AND(OR(AR327=S.CAL!$BJ$3,AR327=S.CAL!$BJ$4),(VLOOKUP($AM$320,base_nbre_sem_mensu,2,FALSE)&lt;52)),AM327,IF(AND(AT327&lt;&gt;"",AU327=""),AT327,AU327)))))))))))))</f>
        <v>0</v>
      </c>
      <c r="AQ327" s="498">
        <f>AI327-SUM(AN327:AO327)</f>
        <v>0</v>
      </c>
      <c r="AR327" s="1097"/>
      <c r="AT327" s="1100"/>
      <c r="AU327" s="813"/>
      <c r="AV327" s="1369">
        <f t="shared" ref="AV327:AV357" si="636">B327</f>
        <v>46235</v>
      </c>
      <c r="AX327" s="511">
        <f>+AV327</f>
        <v>46235</v>
      </c>
      <c r="AY327" s="528">
        <f>+IF(M327-X327&lt;0,0,M327-X327)</f>
        <v>0</v>
      </c>
      <c r="AZ327" s="531" t="s">
        <v>137</v>
      </c>
      <c r="BA327" s="532">
        <f>+IF(AZ327="OUI",AY327,0)</f>
        <v>0</v>
      </c>
      <c r="BB327" s="533" t="str">
        <f t="shared" ref="BB327:BB357" si="637">IF(AND(BE327="",+IFERROR(VLOOKUP(AT327,Liste_motif_formule,5,FALSE),0)="OUI"),"OUI",IF(AND(BE327="",IFERROR(VLOOKUP(AT327,Liste_motif_formule,5,FALSE),0)="NON"),"NON",IF(AND(BE327="",IFERROR(M327-AT327&gt;=0,0),AT327&lt;&gt;""),"OUI",IF(AND(BE327="",DC327="oui"),"OUI",IF(BE327&lt;&gt;"",BE327,"")))))</f>
        <v/>
      </c>
      <c r="BC327" s="528">
        <f>+IF(BB327="OUI",IFERROR(M327-AT327,M327),0)</f>
        <v>0</v>
      </c>
      <c r="BD327" s="528">
        <f>+BC327+BA327</f>
        <v>0</v>
      </c>
      <c r="BE327" s="490"/>
      <c r="BF327" s="514" t="str">
        <f t="shared" ref="BF327:BF357" si="638">+IF(AND(AZ327="OUI",BB327="OUI"),"ERREUR","")</f>
        <v/>
      </c>
      <c r="BG327" s="514" t="str">
        <f>+IF(AND(M327=0,AT327=""),"oui","non")</f>
        <v>oui</v>
      </c>
      <c r="BH327" s="377" t="str">
        <f t="shared" ref="BH327:BH357" si="639">IFERROR(+VLOOKUP(AT327,Liste_motif_formule,4,FALSE),"")</f>
        <v/>
      </c>
      <c r="BI327" s="24" t="str">
        <f t="shared" ref="BI327:BI357" si="640">IFERROR(+VLOOKUP(AT327,Liste_motif_formule,5,FALSE),"")</f>
        <v/>
      </c>
      <c r="BJ327" s="1381"/>
      <c r="BK327" s="1381"/>
      <c r="BL327" s="1381"/>
      <c r="BM327" s="1381"/>
      <c r="BN327" s="1381"/>
      <c r="BO327" s="1381"/>
      <c r="BP327" s="1381"/>
      <c r="BQ327" s="1381"/>
      <c r="BS327" s="1369">
        <f t="shared" si="607"/>
        <v>46235</v>
      </c>
      <c r="BT327" s="27">
        <f>IFERROR(WEEKNUM(BS327,21),"")</f>
        <v>31</v>
      </c>
      <c r="BU327" s="1379"/>
      <c r="BV327" s="1379"/>
      <c r="BW327" s="1379"/>
      <c r="BX327" s="1379"/>
      <c r="BY327" s="1379"/>
      <c r="BZ327" s="1379"/>
      <c r="CA327" s="1379"/>
      <c r="CB327" s="1379"/>
      <c r="CD327" s="1385">
        <f>+M327</f>
        <v>0</v>
      </c>
      <c r="DC327" s="16" t="str">
        <f>Aout!FC20</f>
        <v>non</v>
      </c>
      <c r="DG327" s="315">
        <f>IF(OR(AT327=0,AT327=""),1,10)</f>
        <v>1</v>
      </c>
      <c r="DH327" s="129">
        <f t="shared" ref="DH327:DH357" si="641">IFERROR(+VLOOKUP(AT327,Liste_motif_formule,9,FALSE),10)</f>
        <v>10</v>
      </c>
      <c r="DI327" s="129">
        <f>+IF(OR(DG327=1,DH327=1),1,10)</f>
        <v>1</v>
      </c>
      <c r="DK327" s="16">
        <f>+IF(AND(Aout!$DP$8&lt;&gt;52,AR327=S.CAL!$BJ$4),10,1)</f>
        <v>1</v>
      </c>
      <c r="DN327" s="16">
        <f t="shared" ref="DN327:DN357" si="642">+IF(AND(DC327="non",ISTEXT(AT327)=TRUE,IFERROR(VLOOKUP(AT327,Liste_motif_formule,4,FALSE)="non",0),IFERROR(VLOOKUP(AT327,Liste_motif_formule,5,FALSE)="non",0)),10,1)</f>
        <v>1</v>
      </c>
      <c r="DU327" s="1274" t="str">
        <f>+A327&amp;B327</f>
        <v>Fiche infoA646235</v>
      </c>
      <c r="DV327" s="1362">
        <f t="shared" ref="DV327:DV357" si="643">+IFERROR(+IF(BU327="",VLOOKUP(A327,base_horaire,2,FALSE),BU327),0)</f>
        <v>0</v>
      </c>
      <c r="DW327" s="1363">
        <f t="shared" ref="DW327:DW357" si="644">+IFERROR(+IF(BV327="",VLOOKUP(A327,base_horaire,3,FALSE),BV327),0)</f>
        <v>0</v>
      </c>
      <c r="DX327" s="1363">
        <f t="shared" ref="DX327:DX357" si="645">+IFERROR(+IF(BW327="",VLOOKUP(A327,base_horaire,4,FALSE),BW327),0)</f>
        <v>0</v>
      </c>
      <c r="DY327" s="1363">
        <f t="shared" ref="DY327:DY357" si="646">+IFERROR(+IF(BX327="",VLOOKUP(A327,base_horaire,5,FALSE),BX327),0)</f>
        <v>0</v>
      </c>
      <c r="DZ327" s="1363">
        <f t="shared" ref="DZ327:DZ357" si="647">+IFERROR(+IF(BY327="",VLOOKUP(A327,base_horaire,6,FALSE),BY327),0)</f>
        <v>0</v>
      </c>
      <c r="EA327" s="1363">
        <f t="shared" ref="EA327:EA357" si="648">IFERROR(+IF(BZ327="",VLOOKUP(A327,base_horaire,7,FALSE),BZ327),0)</f>
        <v>0</v>
      </c>
      <c r="EB327" s="1363">
        <f t="shared" ref="EB327:EB357" si="649">IFERROR(+IF(CA327="",VLOOKUP(A327,base_horaire,8,FALSE),CA327),0)</f>
        <v>0</v>
      </c>
      <c r="EC327" s="1363">
        <f t="shared" ref="EC327:EC357" si="650">IFERROR(+IF(CB327="",VLOOKUP(A327,base_horaire,9,FALSE),CB327),0)</f>
        <v>0</v>
      </c>
      <c r="ED327" s="1363">
        <f>+DW327-DV327+DY327-DX327+EA327-DZ327+EC327-EB327</f>
        <v>0</v>
      </c>
      <c r="EE327" s="1364">
        <f>ROUND(+ED327*24,2)</f>
        <v>0</v>
      </c>
      <c r="EG327" s="16" t="str">
        <f>+WEEKNUM(B327,21)&amp;YEAR(B327)</f>
        <v>312026</v>
      </c>
      <c r="EH327" s="16" t="str">
        <f t="shared" ref="EH327:EH357" si="651">+A327</f>
        <v>Fiche infoA6</v>
      </c>
      <c r="EI327" s="16" t="str">
        <f t="shared" ref="EI327:EI357" si="652">+VLOOKUP(EH327,Base_heures,6,FALSE)</f>
        <v/>
      </c>
    </row>
    <row r="328" spans="1:145" x14ac:dyDescent="0.2">
      <c r="A328" s="1373" t="str">
        <f>Aout!BJ21</f>
        <v>Fiche infoA7</v>
      </c>
      <c r="B328" s="811">
        <f>Aout!AB21</f>
        <v>46236</v>
      </c>
      <c r="C328" s="1372"/>
      <c r="D328" s="981">
        <f t="shared" si="608"/>
        <v>0</v>
      </c>
      <c r="E328" s="434">
        <f t="shared" si="609"/>
        <v>0</v>
      </c>
      <c r="F328" s="434">
        <f t="shared" si="610"/>
        <v>0</v>
      </c>
      <c r="G328" s="434">
        <f t="shared" si="611"/>
        <v>0</v>
      </c>
      <c r="H328" s="434">
        <f t="shared" si="612"/>
        <v>0</v>
      </c>
      <c r="I328" s="434">
        <f t="shared" si="613"/>
        <v>0</v>
      </c>
      <c r="J328" s="434">
        <f t="shared" si="614"/>
        <v>0</v>
      </c>
      <c r="K328" s="434">
        <f t="shared" si="615"/>
        <v>0</v>
      </c>
      <c r="L328" s="434">
        <f t="shared" ref="L328:L357" si="653">+E328-D328+G328-F328+I328-H328+K328-J328</f>
        <v>0</v>
      </c>
      <c r="M328" s="982">
        <f t="shared" ref="M328:M357" si="654">ROUND(+L328*24,2)</f>
        <v>0</v>
      </c>
      <c r="N328" s="1374"/>
      <c r="O328" s="981">
        <f t="shared" si="616"/>
        <v>0</v>
      </c>
      <c r="P328" s="434">
        <f t="shared" si="617"/>
        <v>0</v>
      </c>
      <c r="Q328" s="434">
        <f t="shared" si="618"/>
        <v>0</v>
      </c>
      <c r="R328" s="434">
        <f t="shared" si="619"/>
        <v>0</v>
      </c>
      <c r="S328" s="434">
        <f t="shared" si="620"/>
        <v>0</v>
      </c>
      <c r="T328" s="434">
        <f t="shared" si="621"/>
        <v>0</v>
      </c>
      <c r="U328" s="434">
        <f t="shared" si="622"/>
        <v>0</v>
      </c>
      <c r="V328" s="434">
        <f t="shared" si="623"/>
        <v>0</v>
      </c>
      <c r="W328" s="434">
        <f t="shared" si="624"/>
        <v>0</v>
      </c>
      <c r="X328" s="982">
        <f t="shared" si="625"/>
        <v>0</v>
      </c>
      <c r="Y328" s="1375"/>
      <c r="Z328" s="1376">
        <f t="shared" si="626"/>
        <v>0</v>
      </c>
      <c r="AA328" s="1376">
        <f t="shared" si="627"/>
        <v>0</v>
      </c>
      <c r="AB328" s="1376">
        <f t="shared" si="628"/>
        <v>0</v>
      </c>
      <c r="AC328" s="1376">
        <f t="shared" si="629"/>
        <v>0</v>
      </c>
      <c r="AD328" s="1376">
        <f t="shared" si="630"/>
        <v>0</v>
      </c>
      <c r="AE328" s="1376">
        <f t="shared" si="631"/>
        <v>0</v>
      </c>
      <c r="AF328" s="1376">
        <f t="shared" si="632"/>
        <v>0</v>
      </c>
      <c r="AG328" s="1376">
        <f t="shared" si="633"/>
        <v>0</v>
      </c>
      <c r="AH328" s="1374"/>
      <c r="AI328" s="444">
        <f t="shared" si="634"/>
        <v>0</v>
      </c>
      <c r="AJ328" s="1090"/>
      <c r="AK328" s="1377"/>
      <c r="AL328" s="811">
        <f t="shared" si="635"/>
        <v>46236</v>
      </c>
      <c r="AM328" s="666">
        <f>IFERROR(IF(AND(AT328="",AR328&lt;&gt;S.CAL!$BJ$3,AR328&lt;&gt;S.CAL!$BJ$4,$AR$320="NON"),M328-BD328,IF(AND(AT328="",AR328&lt;&gt;S.CAL!$BJ$3,AR328&lt;&gt;S.CAL!$BJ$4,$AR$320="OUI"),X328-AI328,IF(AT328&lt;&gt;0,AT328,IF(OR(AR328=S.CAL!$BJ$3,AR328=S.CAL!$BJ$4),AR328,"")))),"")</f>
        <v>0</v>
      </c>
      <c r="AN328" s="1093"/>
      <c r="AO328" s="1094"/>
      <c r="AP328" s="666">
        <f>+IF(AND(AU328="",BB328="OUI",BH328="non",BI328="OUI"),AM328,IF(AND(AU328="",BB328="OUI",BH328="oui",BI328="NON"),AM328,IF(AND(AU328="",BB328="NON",BH328="oui",BI328="NON"),M328,IF(AND(AU328="",BB328="NON",BH328="non",BI328="OUI"),M328,IF(AND(AU328="",BB328="OUI",BH328="non",BI328="NON"),"ERREUR",IF(AND(AU328="",BB328="NON",BH328="non",BI328="NON"),AM328,IF(AND(AU328="",BB328="OUI",BH328="",BI328=""),AM328,IF(AND(AU328="",BB328="NON",BH328="",BI328="",AZ328="NON"),M328,IF(AND(AU328="",BH328="",AZ328="OUI",AR328=""),AM328,IF(AND(AU328="",BH328="",AZ328="NON",AR328="",AT328=""),M328,IF(AND(OR(AR328=S.CAL!$BJ$3,AR328=S.CAL!$BJ$4),(VLOOKUP($AM$320,base_nbre_sem_mensu,2,FALSE)=52)),EE328,IF(AND(OR(AR328=S.CAL!$BJ$3,AR328=S.CAL!$BJ$4),(VLOOKUP($AM$320,base_nbre_sem_mensu,2,FALSE)&lt;52)),AM328,IF(AND(AT328&lt;&gt;"",AU328=""),AT328,AU328)))))))))))))</f>
        <v>0</v>
      </c>
      <c r="AQ328" s="1378">
        <f t="shared" ref="AQ328:AQ357" si="655">AI328-SUM(AN328:AO328)</f>
        <v>0</v>
      </c>
      <c r="AR328" s="1098"/>
      <c r="AS328" s="1374"/>
      <c r="AT328" s="1101"/>
      <c r="AU328" s="813"/>
      <c r="AV328" s="1370">
        <f t="shared" si="636"/>
        <v>46236</v>
      </c>
      <c r="AW328" s="1374"/>
      <c r="AX328" s="511">
        <f t="shared" ref="AX328:AX357" si="656">+AV328</f>
        <v>46236</v>
      </c>
      <c r="AY328" s="523">
        <f t="shared" ref="AY328:AY357" si="657">+IF(M328-X328&lt;0,0,M328-X328)</f>
        <v>0</v>
      </c>
      <c r="AZ328" s="520" t="s">
        <v>137</v>
      </c>
      <c r="BA328" s="516">
        <f t="shared" ref="BA328:BA357" si="658">+IF(AZ328="OUI",AY328,0)</f>
        <v>0</v>
      </c>
      <c r="BB328" s="549" t="str">
        <f t="shared" si="637"/>
        <v/>
      </c>
      <c r="BC328" s="523">
        <f t="shared" ref="BC328:BC357" si="659">+IF(BB328="OUI",IFERROR(M328-AT328,M328),0)</f>
        <v>0</v>
      </c>
      <c r="BD328" s="523">
        <f t="shared" ref="BD328:BD357" si="660">+BC328+BA328</f>
        <v>0</v>
      </c>
      <c r="BE328" s="732"/>
      <c r="BF328" s="514" t="str">
        <f t="shared" si="638"/>
        <v/>
      </c>
      <c r="BG328" s="514" t="str">
        <f t="shared" ref="BG328:BG357" si="661">+IF(AND(M328=0,AT328=""),"oui","non")</f>
        <v>oui</v>
      </c>
      <c r="BH328" s="377" t="str">
        <f t="shared" si="639"/>
        <v/>
      </c>
      <c r="BI328" s="24" t="str">
        <f t="shared" si="640"/>
        <v/>
      </c>
      <c r="BJ328" s="1382"/>
      <c r="BK328" s="1382"/>
      <c r="BL328" s="1382"/>
      <c r="BM328" s="1382"/>
      <c r="BN328" s="1382"/>
      <c r="BO328" s="1382"/>
      <c r="BP328" s="1382"/>
      <c r="BQ328" s="1382"/>
      <c r="BR328" s="1383"/>
      <c r="BS328" s="1370">
        <f t="shared" si="607"/>
        <v>46236</v>
      </c>
      <c r="BT328" s="1384" t="str">
        <f>IFERROR(IF(WEEKDAY(BS328,11)=1,WEEKNUM(BS328,21),""),"")</f>
        <v/>
      </c>
      <c r="BU328" s="1382"/>
      <c r="BV328" s="1382"/>
      <c r="BW328" s="1382"/>
      <c r="BX328" s="1382"/>
      <c r="BY328" s="1382"/>
      <c r="BZ328" s="1382"/>
      <c r="CA328" s="1382"/>
      <c r="CB328" s="1382"/>
      <c r="CD328" s="1386">
        <f t="shared" ref="CD328:CD357" si="662">+M328</f>
        <v>0</v>
      </c>
      <c r="DC328" s="16" t="str">
        <f>Aout!FC21</f>
        <v>non</v>
      </c>
      <c r="DG328" s="315">
        <f t="shared" ref="DG328:DG357" si="663">IF(OR(AT328=0,AT328=""),1,10)</f>
        <v>1</v>
      </c>
      <c r="DH328" s="129">
        <f t="shared" si="641"/>
        <v>10</v>
      </c>
      <c r="DI328" s="129">
        <f t="shared" ref="DI328:DI357" si="664">+IF(OR(DG328=1,DH328=1),1,10)</f>
        <v>1</v>
      </c>
      <c r="DK328" s="16">
        <f>+IF(AND(Aout!$DP$8&lt;&gt;52,AR328=S.CAL!$BJ$4),10,1)</f>
        <v>1</v>
      </c>
      <c r="DN328" s="16">
        <f t="shared" si="642"/>
        <v>1</v>
      </c>
      <c r="DU328" s="1274" t="str">
        <f t="shared" ref="DU328:DU357" si="665">+A328&amp;B328</f>
        <v>Fiche infoA746236</v>
      </c>
      <c r="DV328" s="1362">
        <f t="shared" si="643"/>
        <v>0</v>
      </c>
      <c r="DW328" s="1363">
        <f t="shared" si="644"/>
        <v>0</v>
      </c>
      <c r="DX328" s="1363">
        <f t="shared" si="645"/>
        <v>0</v>
      </c>
      <c r="DY328" s="1363">
        <f t="shared" si="646"/>
        <v>0</v>
      </c>
      <c r="DZ328" s="1363">
        <f t="shared" si="647"/>
        <v>0</v>
      </c>
      <c r="EA328" s="1363">
        <f t="shared" si="648"/>
        <v>0</v>
      </c>
      <c r="EB328" s="1363">
        <f t="shared" si="649"/>
        <v>0</v>
      </c>
      <c r="EC328" s="1363">
        <f t="shared" si="650"/>
        <v>0</v>
      </c>
      <c r="ED328" s="1363">
        <f t="shared" ref="ED328:ED357" si="666">+DW328-DV328+DY328-DX328+EA328-DZ328+EC328-EB328</f>
        <v>0</v>
      </c>
      <c r="EE328" s="1364">
        <f t="shared" ref="EE328:EE357" si="667">ROUND(+ED328*24,2)</f>
        <v>0</v>
      </c>
      <c r="EG328" s="16" t="str">
        <f t="shared" ref="EG328:EG357" si="668">+WEEKNUM(B328,21)&amp;YEAR(B328)</f>
        <v>312026</v>
      </c>
      <c r="EH328" s="16" t="str">
        <f t="shared" si="651"/>
        <v>Fiche infoA7</v>
      </c>
      <c r="EI328" s="16" t="str">
        <f t="shared" si="652"/>
        <v/>
      </c>
    </row>
    <row r="329" spans="1:145" x14ac:dyDescent="0.2">
      <c r="A329" s="24" t="str">
        <f>Aout!BJ22</f>
        <v>Fiche infoA1</v>
      </c>
      <c r="B329" s="811">
        <f>Aout!AB22</f>
        <v>46237</v>
      </c>
      <c r="C329" s="1371"/>
      <c r="D329" s="981">
        <f t="shared" si="608"/>
        <v>0</v>
      </c>
      <c r="E329" s="434">
        <f t="shared" si="609"/>
        <v>0</v>
      </c>
      <c r="F329" s="434">
        <f t="shared" si="610"/>
        <v>0</v>
      </c>
      <c r="G329" s="434">
        <f t="shared" si="611"/>
        <v>0</v>
      </c>
      <c r="H329" s="434">
        <f t="shared" si="612"/>
        <v>0</v>
      </c>
      <c r="I329" s="434">
        <f t="shared" si="613"/>
        <v>0</v>
      </c>
      <c r="J329" s="434">
        <f t="shared" si="614"/>
        <v>0</v>
      </c>
      <c r="K329" s="434">
        <f t="shared" si="615"/>
        <v>0</v>
      </c>
      <c r="L329" s="434">
        <f t="shared" si="653"/>
        <v>0</v>
      </c>
      <c r="M329" s="982">
        <f t="shared" si="654"/>
        <v>0</v>
      </c>
      <c r="O329" s="981">
        <f t="shared" si="616"/>
        <v>0</v>
      </c>
      <c r="P329" s="434">
        <f t="shared" si="617"/>
        <v>0</v>
      </c>
      <c r="Q329" s="434">
        <f t="shared" si="618"/>
        <v>0</v>
      </c>
      <c r="R329" s="434">
        <f t="shared" si="619"/>
        <v>0</v>
      </c>
      <c r="S329" s="434">
        <f t="shared" si="620"/>
        <v>0</v>
      </c>
      <c r="T329" s="434">
        <f t="shared" si="621"/>
        <v>0</v>
      </c>
      <c r="U329" s="434">
        <f t="shared" si="622"/>
        <v>0</v>
      </c>
      <c r="V329" s="434">
        <f t="shared" si="623"/>
        <v>0</v>
      </c>
      <c r="W329" s="434">
        <f t="shared" si="624"/>
        <v>0</v>
      </c>
      <c r="X329" s="982">
        <f t="shared" si="625"/>
        <v>0</v>
      </c>
      <c r="Y329" s="441"/>
      <c r="Z329" s="277">
        <f t="shared" si="626"/>
        <v>0</v>
      </c>
      <c r="AA329" s="277">
        <f t="shared" si="627"/>
        <v>0</v>
      </c>
      <c r="AB329" s="277">
        <f t="shared" si="628"/>
        <v>0</v>
      </c>
      <c r="AC329" s="277">
        <f t="shared" si="629"/>
        <v>0</v>
      </c>
      <c r="AD329" s="277">
        <f t="shared" si="630"/>
        <v>0</v>
      </c>
      <c r="AE329" s="277">
        <f t="shared" si="631"/>
        <v>0</v>
      </c>
      <c r="AF329" s="277">
        <f t="shared" si="632"/>
        <v>0</v>
      </c>
      <c r="AG329" s="277">
        <f t="shared" si="633"/>
        <v>0</v>
      </c>
      <c r="AI329" s="444">
        <f t="shared" si="634"/>
        <v>0</v>
      </c>
      <c r="AJ329" s="1090"/>
      <c r="AK329" s="489"/>
      <c r="AL329" s="811">
        <f t="shared" si="635"/>
        <v>46237</v>
      </c>
      <c r="AM329" s="666">
        <f>IFERROR(IF(AND(AT329="",AR329&lt;&gt;S.CAL!$BJ$3,AR329&lt;&gt;S.CAL!$BJ$4,$AR$320="NON"),M329-BD329,IF(AND(AT329="",AR329&lt;&gt;S.CAL!$BJ$3,AR329&lt;&gt;S.CAL!$BJ$4,$AR$320="OUI"),X329-AI329,IF(AT329&lt;&gt;0,AT329,IF(OR(AR329=S.CAL!$BJ$3,AR329=S.CAL!$BJ$4),AR329,"")))),"")</f>
        <v>0</v>
      </c>
      <c r="AN329" s="1093"/>
      <c r="AO329" s="1094"/>
      <c r="AP329" s="666">
        <f>+IF(AND(AU329="",BB329="OUI",BH329="non",BI329="OUI"),AM329,IF(AND(AU329="",BB329="OUI",BH329="oui",BI329="NON"),AM329,IF(AND(AU329="",BB329="NON",BH329="oui",BI329="NON"),M329,IF(AND(AU329="",BB329="NON",BH329="non",BI329="OUI"),M329,IF(AND(AU329="",BB329="OUI",BH329="non",BI329="NON"),"ERREUR",IF(AND(AU329="",BB329="NON",BH329="non",BI329="NON"),AM329,IF(AND(AU329="",BB329="OUI",BH329="",BI329=""),AM329,IF(AND(AU329="",BB329="NON",BH329="",BI329="",AZ329="NON"),M329,IF(AND(AU329="",BH329="",AZ329="OUI",AR329=""),AM329,IF(AND(AU329="",BH329="",AZ329="NON",AR329="",AT329=""),M329,IF(AND(OR(AR329=S.CAL!$BJ$3,AR329=S.CAL!$BJ$4),(VLOOKUP($AM$320,base_nbre_sem_mensu,2,FALSE)=52)),EE329,IF(AND(OR(AR329=S.CAL!$BJ$3,AR329=S.CAL!$BJ$4),(VLOOKUP($AM$320,base_nbre_sem_mensu,2,FALSE)&lt;52)),AM329,IF(AND(AT329&lt;&gt;"",AU329=""),AT329,AU329)))))))))))))</f>
        <v>0</v>
      </c>
      <c r="AQ329" s="498">
        <f t="shared" si="655"/>
        <v>0</v>
      </c>
      <c r="AR329" s="1098"/>
      <c r="AT329" s="1101"/>
      <c r="AU329" s="813"/>
      <c r="AV329" s="1370">
        <f t="shared" si="636"/>
        <v>46237</v>
      </c>
      <c r="AX329" s="511">
        <f t="shared" si="656"/>
        <v>46237</v>
      </c>
      <c r="AY329" s="523">
        <f t="shared" si="657"/>
        <v>0</v>
      </c>
      <c r="AZ329" s="520" t="s">
        <v>137</v>
      </c>
      <c r="BA329" s="516">
        <f t="shared" si="658"/>
        <v>0</v>
      </c>
      <c r="BB329" s="549" t="str">
        <f t="shared" si="637"/>
        <v/>
      </c>
      <c r="BC329" s="523">
        <f t="shared" si="659"/>
        <v>0</v>
      </c>
      <c r="BD329" s="523">
        <f t="shared" si="660"/>
        <v>0</v>
      </c>
      <c r="BE329" s="732"/>
      <c r="BF329" s="514" t="str">
        <f t="shared" si="638"/>
        <v/>
      </c>
      <c r="BG329" s="514" t="str">
        <f t="shared" si="661"/>
        <v>oui</v>
      </c>
      <c r="BH329" s="377" t="str">
        <f t="shared" si="639"/>
        <v/>
      </c>
      <c r="BI329" s="24" t="str">
        <f t="shared" si="640"/>
        <v/>
      </c>
      <c r="BJ329" s="1381"/>
      <c r="BK329" s="1381"/>
      <c r="BL329" s="1381"/>
      <c r="BM329" s="1381"/>
      <c r="BN329" s="1381"/>
      <c r="BO329" s="1381"/>
      <c r="BP329" s="1381"/>
      <c r="BQ329" s="1381"/>
      <c r="BS329" s="1370">
        <f t="shared" si="607"/>
        <v>46237</v>
      </c>
      <c r="BT329" s="27">
        <f t="shared" ref="BT329:BT357" si="669">IFERROR(IF(WEEKDAY(BS329,11)=1,WEEKNUM(BS329,21),""),"")</f>
        <v>32</v>
      </c>
      <c r="BU329" s="1380"/>
      <c r="BV329" s="1380"/>
      <c r="BW329" s="1380"/>
      <c r="BX329" s="1380"/>
      <c r="BY329" s="1380"/>
      <c r="BZ329" s="1380"/>
      <c r="CA329" s="1380"/>
      <c r="CB329" s="1380"/>
      <c r="CD329" s="1386">
        <f t="shared" si="662"/>
        <v>0</v>
      </c>
      <c r="DC329" s="16" t="str">
        <f>Aout!FC22</f>
        <v>non</v>
      </c>
      <c r="DG329" s="315">
        <f t="shared" si="663"/>
        <v>1</v>
      </c>
      <c r="DH329" s="129">
        <f t="shared" si="641"/>
        <v>10</v>
      </c>
      <c r="DI329" s="129">
        <f t="shared" si="664"/>
        <v>1</v>
      </c>
      <c r="DK329" s="16">
        <f>+IF(AND(Aout!$DP$8&lt;&gt;52,AR329=S.CAL!$BJ$4),10,1)</f>
        <v>1</v>
      </c>
      <c r="DN329" s="16">
        <f t="shared" si="642"/>
        <v>1</v>
      </c>
      <c r="DU329" s="1274" t="str">
        <f t="shared" si="665"/>
        <v>Fiche infoA146237</v>
      </c>
      <c r="DV329" s="1362">
        <f t="shared" si="643"/>
        <v>0</v>
      </c>
      <c r="DW329" s="1363">
        <f t="shared" si="644"/>
        <v>0</v>
      </c>
      <c r="DX329" s="1363">
        <f t="shared" si="645"/>
        <v>0</v>
      </c>
      <c r="DY329" s="1363">
        <f t="shared" si="646"/>
        <v>0</v>
      </c>
      <c r="DZ329" s="1363">
        <f t="shared" si="647"/>
        <v>0</v>
      </c>
      <c r="EA329" s="1363">
        <f t="shared" si="648"/>
        <v>0</v>
      </c>
      <c r="EB329" s="1363">
        <f t="shared" si="649"/>
        <v>0</v>
      </c>
      <c r="EC329" s="1363">
        <f t="shared" si="650"/>
        <v>0</v>
      </c>
      <c r="ED329" s="1363">
        <f t="shared" si="666"/>
        <v>0</v>
      </c>
      <c r="EE329" s="1364">
        <f t="shared" si="667"/>
        <v>0</v>
      </c>
      <c r="EG329" s="16" t="str">
        <f t="shared" si="668"/>
        <v>322026</v>
      </c>
      <c r="EH329" s="16" t="str">
        <f t="shared" si="651"/>
        <v>Fiche infoA1</v>
      </c>
      <c r="EI329" s="16" t="str">
        <f t="shared" si="652"/>
        <v/>
      </c>
    </row>
    <row r="330" spans="1:145" x14ac:dyDescent="0.2">
      <c r="A330" s="1373" t="str">
        <f>Aout!BJ23</f>
        <v>Fiche infoA2</v>
      </c>
      <c r="B330" s="811">
        <f>Aout!AB23</f>
        <v>46238</v>
      </c>
      <c r="C330" s="1372"/>
      <c r="D330" s="981">
        <f t="shared" si="608"/>
        <v>0</v>
      </c>
      <c r="E330" s="434">
        <f t="shared" si="609"/>
        <v>0</v>
      </c>
      <c r="F330" s="434">
        <f t="shared" si="610"/>
        <v>0</v>
      </c>
      <c r="G330" s="434">
        <f t="shared" si="611"/>
        <v>0</v>
      </c>
      <c r="H330" s="434">
        <f t="shared" si="612"/>
        <v>0</v>
      </c>
      <c r="I330" s="434">
        <f t="shared" si="613"/>
        <v>0</v>
      </c>
      <c r="J330" s="434">
        <f t="shared" si="614"/>
        <v>0</v>
      </c>
      <c r="K330" s="434">
        <f t="shared" si="615"/>
        <v>0</v>
      </c>
      <c r="L330" s="434">
        <f t="shared" si="653"/>
        <v>0</v>
      </c>
      <c r="M330" s="982">
        <f t="shared" si="654"/>
        <v>0</v>
      </c>
      <c r="N330" s="1374"/>
      <c r="O330" s="981">
        <f t="shared" si="616"/>
        <v>0</v>
      </c>
      <c r="P330" s="434">
        <f t="shared" si="617"/>
        <v>0</v>
      </c>
      <c r="Q330" s="434">
        <f t="shared" si="618"/>
        <v>0</v>
      </c>
      <c r="R330" s="434">
        <f t="shared" si="619"/>
        <v>0</v>
      </c>
      <c r="S330" s="434">
        <f t="shared" si="620"/>
        <v>0</v>
      </c>
      <c r="T330" s="434">
        <f t="shared" si="621"/>
        <v>0</v>
      </c>
      <c r="U330" s="434">
        <f t="shared" si="622"/>
        <v>0</v>
      </c>
      <c r="V330" s="434">
        <f t="shared" si="623"/>
        <v>0</v>
      </c>
      <c r="W330" s="434">
        <f t="shared" si="624"/>
        <v>0</v>
      </c>
      <c r="X330" s="982">
        <f t="shared" si="625"/>
        <v>0</v>
      </c>
      <c r="Y330" s="1375"/>
      <c r="Z330" s="1376">
        <f t="shared" si="626"/>
        <v>0</v>
      </c>
      <c r="AA330" s="1376">
        <f t="shared" si="627"/>
        <v>0</v>
      </c>
      <c r="AB330" s="1376">
        <f t="shared" si="628"/>
        <v>0</v>
      </c>
      <c r="AC330" s="1376">
        <f t="shared" si="629"/>
        <v>0</v>
      </c>
      <c r="AD330" s="1376">
        <f t="shared" si="630"/>
        <v>0</v>
      </c>
      <c r="AE330" s="1376">
        <f t="shared" si="631"/>
        <v>0</v>
      </c>
      <c r="AF330" s="1376">
        <f t="shared" si="632"/>
        <v>0</v>
      </c>
      <c r="AG330" s="1376">
        <f t="shared" si="633"/>
        <v>0</v>
      </c>
      <c r="AH330" s="1374"/>
      <c r="AI330" s="444">
        <f t="shared" si="634"/>
        <v>0</v>
      </c>
      <c r="AJ330" s="1090"/>
      <c r="AK330" s="1377"/>
      <c r="AL330" s="811">
        <f t="shared" si="635"/>
        <v>46238</v>
      </c>
      <c r="AM330" s="666">
        <f>IFERROR(IF(AND(AT330="",AR330&lt;&gt;S.CAL!$BJ$3,AR330&lt;&gt;S.CAL!$BJ$4,$AR$320="NON"),M330-BD330,IF(AND(AT330="",AR330&lt;&gt;S.CAL!$BJ$3,AR330&lt;&gt;S.CAL!$BJ$4,$AR$320="OUI"),X330-AI330,IF(AT330&lt;&gt;0,AT330,IF(OR(AR330=S.CAL!$BJ$3,AR330=S.CAL!$BJ$4),AR330,"")))),"")</f>
        <v>0</v>
      </c>
      <c r="AN330" s="1093"/>
      <c r="AO330" s="1094"/>
      <c r="AP330" s="666">
        <f>+IF(AND(AU330="",BB330="OUI",BH330="non",BI330="OUI"),AM330,IF(AND(AU330="",BB330="OUI",BH330="oui",BI330="NON"),AM330,IF(AND(AU330="",BB330="NON",BH330="oui",BI330="NON"),M330,IF(AND(AU330="",BB330="NON",BH330="non",BI330="OUI"),M330,IF(AND(AU330="",BB330="OUI",BH330="non",BI330="NON"),"ERREUR",IF(AND(AU330="",BB330="NON",BH330="non",BI330="NON"),AM330,IF(AND(AU330="",BB330="OUI",BH330="",BI330=""),AM330,IF(AND(AU330="",BB330="NON",BH330="",BI330="",AZ330="NON"),M330,IF(AND(AU330="",BH330="",AZ330="OUI",AR330=""),AM330,IF(AND(AU330="",BH330="",AZ330="NON",AR330="",AT330=""),M330,IF(AND(OR(AR330=S.CAL!$BJ$3,AR330=S.CAL!$BJ$4),(VLOOKUP($AM$320,base_nbre_sem_mensu,2,FALSE)=52)),EE330,IF(AND(OR(AR330=S.CAL!$BJ$3,AR330=S.CAL!$BJ$4),(VLOOKUP($AM$320,base_nbre_sem_mensu,2,FALSE)&lt;52)),AM330,IF(AND(AT330&lt;&gt;"",AU330=""),AT330,AU330)))))))))))))</f>
        <v>0</v>
      </c>
      <c r="AQ330" s="1378">
        <f t="shared" si="655"/>
        <v>0</v>
      </c>
      <c r="AR330" s="1098"/>
      <c r="AS330" s="1374"/>
      <c r="AT330" s="1101"/>
      <c r="AU330" s="813"/>
      <c r="AV330" s="1370">
        <f t="shared" si="636"/>
        <v>46238</v>
      </c>
      <c r="AW330" s="1374"/>
      <c r="AX330" s="511">
        <f t="shared" si="656"/>
        <v>46238</v>
      </c>
      <c r="AY330" s="523">
        <f t="shared" si="657"/>
        <v>0</v>
      </c>
      <c r="AZ330" s="520" t="s">
        <v>137</v>
      </c>
      <c r="BA330" s="516">
        <f t="shared" si="658"/>
        <v>0</v>
      </c>
      <c r="BB330" s="549" t="str">
        <f t="shared" si="637"/>
        <v/>
      </c>
      <c r="BC330" s="523">
        <f t="shared" si="659"/>
        <v>0</v>
      </c>
      <c r="BD330" s="523">
        <f t="shared" si="660"/>
        <v>0</v>
      </c>
      <c r="BE330" s="732"/>
      <c r="BF330" s="514" t="str">
        <f t="shared" si="638"/>
        <v/>
      </c>
      <c r="BG330" s="514" t="str">
        <f t="shared" si="661"/>
        <v>oui</v>
      </c>
      <c r="BH330" s="377" t="str">
        <f t="shared" si="639"/>
        <v/>
      </c>
      <c r="BI330" s="24" t="str">
        <f t="shared" si="640"/>
        <v/>
      </c>
      <c r="BJ330" s="1382"/>
      <c r="BK330" s="1382"/>
      <c r="BL330" s="1382"/>
      <c r="BM330" s="1382"/>
      <c r="BN330" s="1382"/>
      <c r="BO330" s="1382"/>
      <c r="BP330" s="1382"/>
      <c r="BQ330" s="1382"/>
      <c r="BR330" s="1383"/>
      <c r="BS330" s="1370">
        <f t="shared" si="607"/>
        <v>46238</v>
      </c>
      <c r="BT330" s="1384" t="str">
        <f t="shared" si="669"/>
        <v/>
      </c>
      <c r="BU330" s="1382"/>
      <c r="BV330" s="1382"/>
      <c r="BW330" s="1382"/>
      <c r="BX330" s="1382"/>
      <c r="BY330" s="1382"/>
      <c r="BZ330" s="1382"/>
      <c r="CA330" s="1382"/>
      <c r="CB330" s="1382"/>
      <c r="CD330" s="1386">
        <f t="shared" si="662"/>
        <v>0</v>
      </c>
      <c r="DC330" s="16" t="str">
        <f>Aout!FC23</f>
        <v>non</v>
      </c>
      <c r="DG330" s="315">
        <f t="shared" si="663"/>
        <v>1</v>
      </c>
      <c r="DH330" s="129">
        <f t="shared" si="641"/>
        <v>10</v>
      </c>
      <c r="DI330" s="129">
        <f t="shared" si="664"/>
        <v>1</v>
      </c>
      <c r="DK330" s="16">
        <f>+IF(AND(Aout!$DP$8&lt;&gt;52,AR330=S.CAL!$BJ$4),10,1)</f>
        <v>1</v>
      </c>
      <c r="DN330" s="16">
        <f t="shared" si="642"/>
        <v>1</v>
      </c>
      <c r="DU330" s="1274" t="str">
        <f t="shared" si="665"/>
        <v>Fiche infoA246238</v>
      </c>
      <c r="DV330" s="1362">
        <f t="shared" si="643"/>
        <v>0</v>
      </c>
      <c r="DW330" s="1363">
        <f t="shared" si="644"/>
        <v>0</v>
      </c>
      <c r="DX330" s="1363">
        <f t="shared" si="645"/>
        <v>0</v>
      </c>
      <c r="DY330" s="1363">
        <f t="shared" si="646"/>
        <v>0</v>
      </c>
      <c r="DZ330" s="1363">
        <f t="shared" si="647"/>
        <v>0</v>
      </c>
      <c r="EA330" s="1363">
        <f t="shared" si="648"/>
        <v>0</v>
      </c>
      <c r="EB330" s="1363">
        <f t="shared" si="649"/>
        <v>0</v>
      </c>
      <c r="EC330" s="1363">
        <f t="shared" si="650"/>
        <v>0</v>
      </c>
      <c r="ED330" s="1363">
        <f t="shared" si="666"/>
        <v>0</v>
      </c>
      <c r="EE330" s="1364">
        <f t="shared" si="667"/>
        <v>0</v>
      </c>
      <c r="EG330" s="16" t="str">
        <f t="shared" si="668"/>
        <v>322026</v>
      </c>
      <c r="EH330" s="16" t="str">
        <f t="shared" si="651"/>
        <v>Fiche infoA2</v>
      </c>
      <c r="EI330" s="16" t="str">
        <f t="shared" si="652"/>
        <v/>
      </c>
    </row>
    <row r="331" spans="1:145" x14ac:dyDescent="0.2">
      <c r="A331" s="24" t="str">
        <f>Aout!BJ24</f>
        <v>Fiche infoA3</v>
      </c>
      <c r="B331" s="811">
        <f>Aout!AB24</f>
        <v>46239</v>
      </c>
      <c r="C331" s="1371"/>
      <c r="D331" s="981">
        <f t="shared" si="608"/>
        <v>0</v>
      </c>
      <c r="E331" s="434">
        <f t="shared" si="609"/>
        <v>0</v>
      </c>
      <c r="F331" s="434">
        <f t="shared" si="610"/>
        <v>0</v>
      </c>
      <c r="G331" s="434">
        <f t="shared" si="611"/>
        <v>0</v>
      </c>
      <c r="H331" s="434">
        <f t="shared" si="612"/>
        <v>0</v>
      </c>
      <c r="I331" s="434">
        <f t="shared" si="613"/>
        <v>0</v>
      </c>
      <c r="J331" s="434">
        <f t="shared" si="614"/>
        <v>0</v>
      </c>
      <c r="K331" s="434">
        <f t="shared" si="615"/>
        <v>0</v>
      </c>
      <c r="L331" s="434">
        <f t="shared" si="653"/>
        <v>0</v>
      </c>
      <c r="M331" s="982">
        <f t="shared" si="654"/>
        <v>0</v>
      </c>
      <c r="O331" s="981">
        <f t="shared" si="616"/>
        <v>0</v>
      </c>
      <c r="P331" s="434">
        <f t="shared" si="617"/>
        <v>0</v>
      </c>
      <c r="Q331" s="434">
        <f t="shared" si="618"/>
        <v>0</v>
      </c>
      <c r="R331" s="434">
        <f t="shared" si="619"/>
        <v>0</v>
      </c>
      <c r="S331" s="434">
        <f t="shared" si="620"/>
        <v>0</v>
      </c>
      <c r="T331" s="434">
        <f t="shared" si="621"/>
        <v>0</v>
      </c>
      <c r="U331" s="434">
        <f t="shared" si="622"/>
        <v>0</v>
      </c>
      <c r="V331" s="434">
        <f t="shared" si="623"/>
        <v>0</v>
      </c>
      <c r="W331" s="434">
        <f t="shared" si="624"/>
        <v>0</v>
      </c>
      <c r="X331" s="982">
        <f t="shared" si="625"/>
        <v>0</v>
      </c>
      <c r="Y331" s="441"/>
      <c r="Z331" s="277">
        <f t="shared" si="626"/>
        <v>0</v>
      </c>
      <c r="AA331" s="277">
        <f t="shared" si="627"/>
        <v>0</v>
      </c>
      <c r="AB331" s="277">
        <f t="shared" si="628"/>
        <v>0</v>
      </c>
      <c r="AC331" s="277">
        <f t="shared" si="629"/>
        <v>0</v>
      </c>
      <c r="AD331" s="277">
        <f t="shared" si="630"/>
        <v>0</v>
      </c>
      <c r="AE331" s="277">
        <f t="shared" si="631"/>
        <v>0</v>
      </c>
      <c r="AF331" s="277">
        <f t="shared" si="632"/>
        <v>0</v>
      </c>
      <c r="AG331" s="277">
        <f t="shared" si="633"/>
        <v>0</v>
      </c>
      <c r="AI331" s="444">
        <f t="shared" si="634"/>
        <v>0</v>
      </c>
      <c r="AJ331" s="1090"/>
      <c r="AK331" s="489"/>
      <c r="AL331" s="811">
        <f t="shared" si="635"/>
        <v>46239</v>
      </c>
      <c r="AM331" s="666">
        <f>IFERROR(IF(AND(AT331="",AR331&lt;&gt;S.CAL!$BJ$3,AR331&lt;&gt;S.CAL!$BJ$4,$AR$320="NON"),M331-BD331,IF(AND(AT331="",AR331&lt;&gt;S.CAL!$BJ$3,AR331&lt;&gt;S.CAL!$BJ$4,$AR$320="OUI"),X331-AI331,IF(AT331&lt;&gt;0,AT331,IF(OR(AR331=S.CAL!$BJ$3,AR331=S.CAL!$BJ$4),AR331,"")))),"")</f>
        <v>0</v>
      </c>
      <c r="AN331" s="1093"/>
      <c r="AO331" s="1094"/>
      <c r="AP331" s="666">
        <f>+IF(AND(AU331="",BB331="OUI",BH331="non",BI331="OUI"),AM331,IF(AND(AU331="",BB331="OUI",BH331="oui",BI331="NON"),AM331,IF(AND(AU331="",BB331="NON",BH331="oui",BI331="NON"),M331,IF(AND(AU331="",BB331="NON",BH331="non",BI331="OUI"),M331,IF(AND(AU331="",BB331="OUI",BH331="non",BI331="NON"),"ERREUR",IF(AND(AU331="",BB331="NON",BH331="non",BI331="NON"),AM331,IF(AND(AU331="",BB331="OUI",BH331="",BI331=""),AM331,IF(AND(AU331="",BB331="NON",BH331="",BI331="",AZ331="NON"),M331,IF(AND(AU331="",BH331="",AZ331="OUI",AR331=""),AM331,IF(AND(AU331="",BH331="",AZ331="NON",AR331="",AT331=""),M331,IF(AND(OR(AR331=S.CAL!$BJ$3,AR331=S.CAL!$BJ$4),(VLOOKUP($AM$320,base_nbre_sem_mensu,2,FALSE)=52)),EE331,IF(AND(OR(AR331=S.CAL!$BJ$3,AR331=S.CAL!$BJ$4),(VLOOKUP($AM$320,base_nbre_sem_mensu,2,FALSE)&lt;52)),AM331,IF(AND(AT331&lt;&gt;"",AU331=""),AT331,AU331)))))))))))))</f>
        <v>0</v>
      </c>
      <c r="AQ331" s="498">
        <f t="shared" si="655"/>
        <v>0</v>
      </c>
      <c r="AR331" s="1098"/>
      <c r="AT331" s="1101"/>
      <c r="AU331" s="813"/>
      <c r="AV331" s="1370">
        <f t="shared" si="636"/>
        <v>46239</v>
      </c>
      <c r="AX331" s="511">
        <f t="shared" si="656"/>
        <v>46239</v>
      </c>
      <c r="AY331" s="523">
        <f t="shared" si="657"/>
        <v>0</v>
      </c>
      <c r="AZ331" s="520" t="s">
        <v>137</v>
      </c>
      <c r="BA331" s="516">
        <f t="shared" si="658"/>
        <v>0</v>
      </c>
      <c r="BB331" s="549" t="str">
        <f t="shared" si="637"/>
        <v/>
      </c>
      <c r="BC331" s="523">
        <f t="shared" si="659"/>
        <v>0</v>
      </c>
      <c r="BD331" s="523">
        <f t="shared" si="660"/>
        <v>0</v>
      </c>
      <c r="BE331" s="732"/>
      <c r="BF331" s="514" t="str">
        <f t="shared" si="638"/>
        <v/>
      </c>
      <c r="BG331" s="514" t="str">
        <f t="shared" si="661"/>
        <v>oui</v>
      </c>
      <c r="BH331" s="377" t="str">
        <f t="shared" si="639"/>
        <v/>
      </c>
      <c r="BI331" s="24" t="str">
        <f t="shared" si="640"/>
        <v/>
      </c>
      <c r="BJ331" s="1381"/>
      <c r="BK331" s="1381"/>
      <c r="BL331" s="1381"/>
      <c r="BM331" s="1381"/>
      <c r="BN331" s="1381"/>
      <c r="BO331" s="1381"/>
      <c r="BP331" s="1381"/>
      <c r="BQ331" s="1381"/>
      <c r="BS331" s="1370">
        <f t="shared" si="607"/>
        <v>46239</v>
      </c>
      <c r="BT331" s="27" t="str">
        <f t="shared" si="669"/>
        <v/>
      </c>
      <c r="BU331" s="1380"/>
      <c r="BV331" s="1380"/>
      <c r="BW331" s="1380"/>
      <c r="BX331" s="1380"/>
      <c r="BY331" s="1380"/>
      <c r="BZ331" s="1380"/>
      <c r="CA331" s="1380"/>
      <c r="CB331" s="1380"/>
      <c r="CD331" s="1386">
        <f t="shared" si="662"/>
        <v>0</v>
      </c>
      <c r="DC331" s="16" t="str">
        <f>Aout!FC24</f>
        <v>non</v>
      </c>
      <c r="DG331" s="315">
        <f t="shared" si="663"/>
        <v>1</v>
      </c>
      <c r="DH331" s="129">
        <f t="shared" si="641"/>
        <v>10</v>
      </c>
      <c r="DI331" s="129">
        <f t="shared" si="664"/>
        <v>1</v>
      </c>
      <c r="DK331" s="16">
        <f>+IF(AND(Aout!$DP$8&lt;&gt;52,AR331=S.CAL!$BJ$4),10,1)</f>
        <v>1</v>
      </c>
      <c r="DN331" s="16">
        <f t="shared" si="642"/>
        <v>1</v>
      </c>
      <c r="DU331" s="1274" t="str">
        <f t="shared" si="665"/>
        <v>Fiche infoA346239</v>
      </c>
      <c r="DV331" s="1362">
        <f t="shared" si="643"/>
        <v>0</v>
      </c>
      <c r="DW331" s="1363">
        <f t="shared" si="644"/>
        <v>0</v>
      </c>
      <c r="DX331" s="1363">
        <f t="shared" si="645"/>
        <v>0</v>
      </c>
      <c r="DY331" s="1363">
        <f t="shared" si="646"/>
        <v>0</v>
      </c>
      <c r="DZ331" s="1363">
        <f t="shared" si="647"/>
        <v>0</v>
      </c>
      <c r="EA331" s="1363">
        <f t="shared" si="648"/>
        <v>0</v>
      </c>
      <c r="EB331" s="1363">
        <f t="shared" si="649"/>
        <v>0</v>
      </c>
      <c r="EC331" s="1363">
        <f t="shared" si="650"/>
        <v>0</v>
      </c>
      <c r="ED331" s="1363">
        <f t="shared" si="666"/>
        <v>0</v>
      </c>
      <c r="EE331" s="1364">
        <f t="shared" si="667"/>
        <v>0</v>
      </c>
      <c r="EG331" s="16" t="str">
        <f t="shared" si="668"/>
        <v>322026</v>
      </c>
      <c r="EH331" s="16" t="str">
        <f t="shared" si="651"/>
        <v>Fiche infoA3</v>
      </c>
      <c r="EI331" s="16" t="str">
        <f t="shared" si="652"/>
        <v/>
      </c>
    </row>
    <row r="332" spans="1:145" x14ac:dyDescent="0.2">
      <c r="A332" s="1373" t="str">
        <f>Aout!BJ25</f>
        <v>Fiche infoA4</v>
      </c>
      <c r="B332" s="811">
        <f>Aout!AB25</f>
        <v>46240</v>
      </c>
      <c r="C332" s="1372"/>
      <c r="D332" s="981">
        <f t="shared" si="608"/>
        <v>0</v>
      </c>
      <c r="E332" s="434">
        <f t="shared" si="609"/>
        <v>0</v>
      </c>
      <c r="F332" s="434">
        <f t="shared" si="610"/>
        <v>0</v>
      </c>
      <c r="G332" s="434">
        <f t="shared" si="611"/>
        <v>0</v>
      </c>
      <c r="H332" s="434">
        <f t="shared" si="612"/>
        <v>0</v>
      </c>
      <c r="I332" s="434">
        <f t="shared" si="613"/>
        <v>0</v>
      </c>
      <c r="J332" s="434">
        <f t="shared" si="614"/>
        <v>0</v>
      </c>
      <c r="K332" s="434">
        <f t="shared" si="615"/>
        <v>0</v>
      </c>
      <c r="L332" s="434">
        <f t="shared" si="653"/>
        <v>0</v>
      </c>
      <c r="M332" s="982">
        <f t="shared" si="654"/>
        <v>0</v>
      </c>
      <c r="N332" s="1374"/>
      <c r="O332" s="981">
        <f t="shared" si="616"/>
        <v>0</v>
      </c>
      <c r="P332" s="434">
        <f t="shared" si="617"/>
        <v>0</v>
      </c>
      <c r="Q332" s="434">
        <f t="shared" si="618"/>
        <v>0</v>
      </c>
      <c r="R332" s="434">
        <f t="shared" si="619"/>
        <v>0</v>
      </c>
      <c r="S332" s="434">
        <f t="shared" si="620"/>
        <v>0</v>
      </c>
      <c r="T332" s="434">
        <f t="shared" si="621"/>
        <v>0</v>
      </c>
      <c r="U332" s="434">
        <f t="shared" si="622"/>
        <v>0</v>
      </c>
      <c r="V332" s="434">
        <f t="shared" si="623"/>
        <v>0</v>
      </c>
      <c r="W332" s="434">
        <f t="shared" si="624"/>
        <v>0</v>
      </c>
      <c r="X332" s="982">
        <f t="shared" si="625"/>
        <v>0</v>
      </c>
      <c r="Y332" s="1375"/>
      <c r="Z332" s="1376">
        <f t="shared" si="626"/>
        <v>0</v>
      </c>
      <c r="AA332" s="1376">
        <f t="shared" si="627"/>
        <v>0</v>
      </c>
      <c r="AB332" s="1376">
        <f t="shared" si="628"/>
        <v>0</v>
      </c>
      <c r="AC332" s="1376">
        <f t="shared" si="629"/>
        <v>0</v>
      </c>
      <c r="AD332" s="1376">
        <f t="shared" si="630"/>
        <v>0</v>
      </c>
      <c r="AE332" s="1376">
        <f t="shared" si="631"/>
        <v>0</v>
      </c>
      <c r="AF332" s="1376">
        <f t="shared" si="632"/>
        <v>0</v>
      </c>
      <c r="AG332" s="1376">
        <f t="shared" si="633"/>
        <v>0</v>
      </c>
      <c r="AH332" s="1374"/>
      <c r="AI332" s="444">
        <f t="shared" si="634"/>
        <v>0</v>
      </c>
      <c r="AJ332" s="1090"/>
      <c r="AK332" s="1377"/>
      <c r="AL332" s="811">
        <f t="shared" si="635"/>
        <v>46240</v>
      </c>
      <c r="AM332" s="666">
        <f>IFERROR(IF(AND(AT332="",AR332&lt;&gt;S.CAL!$BJ$3,AR332&lt;&gt;S.CAL!$BJ$4,$AR$320="NON"),M332-BD332,IF(AND(AT332="",AR332&lt;&gt;S.CAL!$BJ$3,AR332&lt;&gt;S.CAL!$BJ$4,$AR$320="OUI"),X332-AI332,IF(AT332&lt;&gt;0,AT332,IF(OR(AR332=S.CAL!$BJ$3,AR332=S.CAL!$BJ$4),AR332,"")))),"")</f>
        <v>0</v>
      </c>
      <c r="AN332" s="1093"/>
      <c r="AO332" s="1094"/>
      <c r="AP332" s="666">
        <f>+IF(AND(AU332="",BB332="OUI",BH332="non",BI332="OUI"),AM332,IF(AND(AU332="",BB332="OUI",BH332="oui",BI332="NON"),AM332,IF(AND(AU332="",BB332="NON",BH332="oui",BI332="NON"),M332,IF(AND(AU332="",BB332="NON",BH332="non",BI332="OUI"),M332,IF(AND(AU332="",BB332="OUI",BH332="non",BI332="NON"),"ERREUR",IF(AND(AU332="",BB332="NON",BH332="non",BI332="NON"),AM332,IF(AND(AU332="",BB332="OUI",BH332="",BI332=""),AM332,IF(AND(AU332="",BB332="NON",BH332="",BI332="",AZ332="NON"),M332,IF(AND(AU332="",BH332="",AZ332="OUI",AR332=""),AM332,IF(AND(AU332="",BH332="",AZ332="NON",AR332="",AT332=""),M332,IF(AND(OR(AR332=S.CAL!$BJ$3,AR332=S.CAL!$BJ$4),(VLOOKUP($AM$320,base_nbre_sem_mensu,2,FALSE)=52)),EE332,IF(AND(OR(AR332=S.CAL!$BJ$3,AR332=S.CAL!$BJ$4),(VLOOKUP($AM$320,base_nbre_sem_mensu,2,FALSE)&lt;52)),AM332,IF(AND(AT332&lt;&gt;"",AU332=""),AT332,AU332)))))))))))))</f>
        <v>0</v>
      </c>
      <c r="AQ332" s="1378">
        <f t="shared" si="655"/>
        <v>0</v>
      </c>
      <c r="AR332" s="1098"/>
      <c r="AS332" s="1374"/>
      <c r="AT332" s="1101"/>
      <c r="AU332" s="813"/>
      <c r="AV332" s="1370">
        <f t="shared" si="636"/>
        <v>46240</v>
      </c>
      <c r="AW332" s="1374"/>
      <c r="AX332" s="511">
        <f t="shared" si="656"/>
        <v>46240</v>
      </c>
      <c r="AY332" s="523">
        <f t="shared" si="657"/>
        <v>0</v>
      </c>
      <c r="AZ332" s="520" t="s">
        <v>137</v>
      </c>
      <c r="BA332" s="516">
        <f t="shared" si="658"/>
        <v>0</v>
      </c>
      <c r="BB332" s="549" t="str">
        <f t="shared" si="637"/>
        <v/>
      </c>
      <c r="BC332" s="523">
        <f t="shared" si="659"/>
        <v>0</v>
      </c>
      <c r="BD332" s="523">
        <f t="shared" si="660"/>
        <v>0</v>
      </c>
      <c r="BE332" s="732"/>
      <c r="BF332" s="514" t="str">
        <f t="shared" si="638"/>
        <v/>
      </c>
      <c r="BG332" s="514" t="str">
        <f t="shared" si="661"/>
        <v>oui</v>
      </c>
      <c r="BH332" s="377" t="str">
        <f t="shared" si="639"/>
        <v/>
      </c>
      <c r="BI332" s="24" t="str">
        <f t="shared" si="640"/>
        <v/>
      </c>
      <c r="BJ332" s="1382"/>
      <c r="BK332" s="1382"/>
      <c r="BL332" s="1382"/>
      <c r="BM332" s="1382"/>
      <c r="BN332" s="1382"/>
      <c r="BO332" s="1382"/>
      <c r="BP332" s="1382"/>
      <c r="BQ332" s="1382"/>
      <c r="BR332" s="1383"/>
      <c r="BS332" s="1370">
        <f t="shared" si="607"/>
        <v>46240</v>
      </c>
      <c r="BT332" s="1384" t="str">
        <f t="shared" si="669"/>
        <v/>
      </c>
      <c r="BU332" s="1382"/>
      <c r="BV332" s="1382"/>
      <c r="BW332" s="1382"/>
      <c r="BX332" s="1382"/>
      <c r="BY332" s="1382"/>
      <c r="BZ332" s="1382"/>
      <c r="CA332" s="1382"/>
      <c r="CB332" s="1382"/>
      <c r="CD332" s="1386">
        <f t="shared" si="662"/>
        <v>0</v>
      </c>
      <c r="DC332" s="16" t="str">
        <f>Aout!FC25</f>
        <v>non</v>
      </c>
      <c r="DG332" s="315">
        <f t="shared" si="663"/>
        <v>1</v>
      </c>
      <c r="DH332" s="129">
        <f t="shared" si="641"/>
        <v>10</v>
      </c>
      <c r="DI332" s="129">
        <f t="shared" si="664"/>
        <v>1</v>
      </c>
      <c r="DK332" s="16">
        <f>+IF(AND(Aout!$DP$8&lt;&gt;52,AR332=S.CAL!$BJ$4),10,1)</f>
        <v>1</v>
      </c>
      <c r="DN332" s="16">
        <f t="shared" si="642"/>
        <v>1</v>
      </c>
      <c r="DU332" s="1274" t="str">
        <f t="shared" si="665"/>
        <v>Fiche infoA446240</v>
      </c>
      <c r="DV332" s="1362">
        <f t="shared" si="643"/>
        <v>0</v>
      </c>
      <c r="DW332" s="1363">
        <f t="shared" si="644"/>
        <v>0</v>
      </c>
      <c r="DX332" s="1363">
        <f t="shared" si="645"/>
        <v>0</v>
      </c>
      <c r="DY332" s="1363">
        <f t="shared" si="646"/>
        <v>0</v>
      </c>
      <c r="DZ332" s="1363">
        <f t="shared" si="647"/>
        <v>0</v>
      </c>
      <c r="EA332" s="1363">
        <f t="shared" si="648"/>
        <v>0</v>
      </c>
      <c r="EB332" s="1363">
        <f t="shared" si="649"/>
        <v>0</v>
      </c>
      <c r="EC332" s="1363">
        <f t="shared" si="650"/>
        <v>0</v>
      </c>
      <c r="ED332" s="1363">
        <f t="shared" si="666"/>
        <v>0</v>
      </c>
      <c r="EE332" s="1364">
        <f t="shared" si="667"/>
        <v>0</v>
      </c>
      <c r="EG332" s="16" t="str">
        <f t="shared" si="668"/>
        <v>322026</v>
      </c>
      <c r="EH332" s="16" t="str">
        <f t="shared" si="651"/>
        <v>Fiche infoA4</v>
      </c>
      <c r="EI332" s="16" t="str">
        <f t="shared" si="652"/>
        <v/>
      </c>
    </row>
    <row r="333" spans="1:145" x14ac:dyDescent="0.2">
      <c r="A333" s="24" t="str">
        <f>Aout!BJ26</f>
        <v>Fiche infoA5</v>
      </c>
      <c r="B333" s="811">
        <f>Aout!AB26</f>
        <v>46241</v>
      </c>
      <c r="C333" s="1371"/>
      <c r="D333" s="981">
        <f t="shared" si="608"/>
        <v>0</v>
      </c>
      <c r="E333" s="434">
        <f t="shared" si="609"/>
        <v>0</v>
      </c>
      <c r="F333" s="434">
        <f t="shared" si="610"/>
        <v>0</v>
      </c>
      <c r="G333" s="434">
        <f t="shared" si="611"/>
        <v>0</v>
      </c>
      <c r="H333" s="434">
        <f t="shared" si="612"/>
        <v>0</v>
      </c>
      <c r="I333" s="434">
        <f t="shared" si="613"/>
        <v>0</v>
      </c>
      <c r="J333" s="434">
        <f t="shared" si="614"/>
        <v>0</v>
      </c>
      <c r="K333" s="434">
        <f t="shared" si="615"/>
        <v>0</v>
      </c>
      <c r="L333" s="434">
        <f t="shared" si="653"/>
        <v>0</v>
      </c>
      <c r="M333" s="982">
        <f t="shared" si="654"/>
        <v>0</v>
      </c>
      <c r="O333" s="981">
        <f t="shared" si="616"/>
        <v>0</v>
      </c>
      <c r="P333" s="434">
        <f t="shared" si="617"/>
        <v>0</v>
      </c>
      <c r="Q333" s="434">
        <f t="shared" si="618"/>
        <v>0</v>
      </c>
      <c r="R333" s="434">
        <f t="shared" si="619"/>
        <v>0</v>
      </c>
      <c r="S333" s="434">
        <f t="shared" si="620"/>
        <v>0</v>
      </c>
      <c r="T333" s="434">
        <f t="shared" si="621"/>
        <v>0</v>
      </c>
      <c r="U333" s="434">
        <f t="shared" si="622"/>
        <v>0</v>
      </c>
      <c r="V333" s="434">
        <f t="shared" si="623"/>
        <v>0</v>
      </c>
      <c r="W333" s="434">
        <f t="shared" si="624"/>
        <v>0</v>
      </c>
      <c r="X333" s="982">
        <f t="shared" si="625"/>
        <v>0</v>
      </c>
      <c r="Y333" s="441"/>
      <c r="Z333" s="277">
        <f t="shared" si="626"/>
        <v>0</v>
      </c>
      <c r="AA333" s="277">
        <f t="shared" si="627"/>
        <v>0</v>
      </c>
      <c r="AB333" s="277">
        <f t="shared" si="628"/>
        <v>0</v>
      </c>
      <c r="AC333" s="277">
        <f t="shared" si="629"/>
        <v>0</v>
      </c>
      <c r="AD333" s="277">
        <f t="shared" si="630"/>
        <v>0</v>
      </c>
      <c r="AE333" s="277">
        <f t="shared" si="631"/>
        <v>0</v>
      </c>
      <c r="AF333" s="277">
        <f t="shared" si="632"/>
        <v>0</v>
      </c>
      <c r="AG333" s="277">
        <f t="shared" si="633"/>
        <v>0</v>
      </c>
      <c r="AI333" s="444">
        <f t="shared" si="634"/>
        <v>0</v>
      </c>
      <c r="AJ333" s="1090"/>
      <c r="AK333" s="489"/>
      <c r="AL333" s="811">
        <f t="shared" si="635"/>
        <v>46241</v>
      </c>
      <c r="AM333" s="666">
        <f>IFERROR(IF(AND(AT333="",AR333&lt;&gt;S.CAL!$BJ$3,AR333&lt;&gt;S.CAL!$BJ$4,$AR$320="NON"),M333-BD333,IF(AND(AT333="",AR333&lt;&gt;S.CAL!$BJ$3,AR333&lt;&gt;S.CAL!$BJ$4,$AR$320="OUI"),X333-AI333,IF(AT333&lt;&gt;0,AT333,IF(OR(AR333=S.CAL!$BJ$3,AR333=S.CAL!$BJ$4),AR333,"")))),"")</f>
        <v>0</v>
      </c>
      <c r="AN333" s="1093"/>
      <c r="AO333" s="1094"/>
      <c r="AP333" s="666">
        <f>+IF(AND(AU333="",BB333="OUI",BH333="non",BI333="OUI"),AM333,IF(AND(AU333="",BB333="OUI",BH333="oui",BI333="NON"),AM333,IF(AND(AU333="",BB333="NON",BH333="oui",BI333="NON"),M333,IF(AND(AU333="",BB333="NON",BH333="non",BI333="OUI"),M333,IF(AND(AU333="",BB333="OUI",BH333="non",BI333="NON"),"ERREUR",IF(AND(AU333="",BB333="NON",BH333="non",BI333="NON"),AM333,IF(AND(AU333="",BB333="OUI",BH333="",BI333=""),AM333,IF(AND(AU333="",BB333="NON",BH333="",BI333="",AZ333="NON"),M333,IF(AND(AU333="",BH333="",AZ333="OUI",AR333=""),AM333,IF(AND(AU333="",BH333="",AZ333="NON",AR333="",AT333=""),M333,IF(AND(OR(AR333=S.CAL!$BJ$3,AR333=S.CAL!$BJ$4),(VLOOKUP($AM$320,base_nbre_sem_mensu,2,FALSE)=52)),EE333,IF(AND(OR(AR333=S.CAL!$BJ$3,AR333=S.CAL!$BJ$4),(VLOOKUP($AM$320,base_nbre_sem_mensu,2,FALSE)&lt;52)),AM333,IF(AND(AT333&lt;&gt;"",AU333=""),AT333,AU333)))))))))))))</f>
        <v>0</v>
      </c>
      <c r="AQ333" s="498">
        <f t="shared" si="655"/>
        <v>0</v>
      </c>
      <c r="AR333" s="1098"/>
      <c r="AT333" s="1101"/>
      <c r="AU333" s="813"/>
      <c r="AV333" s="1370">
        <f t="shared" si="636"/>
        <v>46241</v>
      </c>
      <c r="AX333" s="511">
        <f t="shared" si="656"/>
        <v>46241</v>
      </c>
      <c r="AY333" s="523">
        <f t="shared" si="657"/>
        <v>0</v>
      </c>
      <c r="AZ333" s="520" t="s">
        <v>137</v>
      </c>
      <c r="BA333" s="516">
        <f t="shared" si="658"/>
        <v>0</v>
      </c>
      <c r="BB333" s="549" t="str">
        <f t="shared" si="637"/>
        <v/>
      </c>
      <c r="BC333" s="523">
        <f t="shared" si="659"/>
        <v>0</v>
      </c>
      <c r="BD333" s="523">
        <f t="shared" si="660"/>
        <v>0</v>
      </c>
      <c r="BE333" s="732"/>
      <c r="BF333" s="514" t="str">
        <f t="shared" si="638"/>
        <v/>
      </c>
      <c r="BG333" s="514" t="str">
        <f t="shared" si="661"/>
        <v>oui</v>
      </c>
      <c r="BH333" s="377" t="str">
        <f t="shared" si="639"/>
        <v/>
      </c>
      <c r="BI333" s="24" t="str">
        <f t="shared" si="640"/>
        <v/>
      </c>
      <c r="BJ333" s="1381"/>
      <c r="BK333" s="1381"/>
      <c r="BL333" s="1381"/>
      <c r="BM333" s="1381"/>
      <c r="BN333" s="1381"/>
      <c r="BO333" s="1381"/>
      <c r="BP333" s="1381"/>
      <c r="BQ333" s="1381"/>
      <c r="BS333" s="1370">
        <f t="shared" si="607"/>
        <v>46241</v>
      </c>
      <c r="BT333" s="27" t="str">
        <f t="shared" si="669"/>
        <v/>
      </c>
      <c r="BU333" s="1380"/>
      <c r="BV333" s="1380"/>
      <c r="BW333" s="1380"/>
      <c r="BX333" s="1380"/>
      <c r="BY333" s="1380"/>
      <c r="BZ333" s="1380"/>
      <c r="CA333" s="1380"/>
      <c r="CB333" s="1380"/>
      <c r="CD333" s="1386">
        <f t="shared" si="662"/>
        <v>0</v>
      </c>
      <c r="DC333" s="16" t="str">
        <f>Aout!FC26</f>
        <v>non</v>
      </c>
      <c r="DG333" s="315">
        <f t="shared" si="663"/>
        <v>1</v>
      </c>
      <c r="DH333" s="129">
        <f t="shared" si="641"/>
        <v>10</v>
      </c>
      <c r="DI333" s="129">
        <f t="shared" si="664"/>
        <v>1</v>
      </c>
      <c r="DK333" s="16">
        <f>+IF(AND(Aout!$DP$8&lt;&gt;52,AR333=S.CAL!$BJ$4),10,1)</f>
        <v>1</v>
      </c>
      <c r="DN333" s="16">
        <f t="shared" si="642"/>
        <v>1</v>
      </c>
      <c r="DU333" s="1274" t="str">
        <f t="shared" si="665"/>
        <v>Fiche infoA546241</v>
      </c>
      <c r="DV333" s="1362">
        <f t="shared" si="643"/>
        <v>0</v>
      </c>
      <c r="DW333" s="1363">
        <f t="shared" si="644"/>
        <v>0</v>
      </c>
      <c r="DX333" s="1363">
        <f t="shared" si="645"/>
        <v>0</v>
      </c>
      <c r="DY333" s="1363">
        <f t="shared" si="646"/>
        <v>0</v>
      </c>
      <c r="DZ333" s="1363">
        <f t="shared" si="647"/>
        <v>0</v>
      </c>
      <c r="EA333" s="1363">
        <f t="shared" si="648"/>
        <v>0</v>
      </c>
      <c r="EB333" s="1363">
        <f t="shared" si="649"/>
        <v>0</v>
      </c>
      <c r="EC333" s="1363">
        <f t="shared" si="650"/>
        <v>0</v>
      </c>
      <c r="ED333" s="1363">
        <f t="shared" si="666"/>
        <v>0</v>
      </c>
      <c r="EE333" s="1364">
        <f t="shared" si="667"/>
        <v>0</v>
      </c>
      <c r="EG333" s="16" t="str">
        <f t="shared" si="668"/>
        <v>322026</v>
      </c>
      <c r="EH333" s="16" t="str">
        <f t="shared" si="651"/>
        <v>Fiche infoA5</v>
      </c>
      <c r="EI333" s="16" t="str">
        <f t="shared" si="652"/>
        <v/>
      </c>
    </row>
    <row r="334" spans="1:145" x14ac:dyDescent="0.2">
      <c r="A334" s="1373" t="str">
        <f>Aout!BJ27</f>
        <v>Fiche infoA6</v>
      </c>
      <c r="B334" s="811">
        <f>Aout!AB27</f>
        <v>46242</v>
      </c>
      <c r="C334" s="1372"/>
      <c r="D334" s="981">
        <f t="shared" si="608"/>
        <v>0</v>
      </c>
      <c r="E334" s="434">
        <f t="shared" si="609"/>
        <v>0</v>
      </c>
      <c r="F334" s="434">
        <f t="shared" si="610"/>
        <v>0</v>
      </c>
      <c r="G334" s="434">
        <f t="shared" si="611"/>
        <v>0</v>
      </c>
      <c r="H334" s="434">
        <f t="shared" si="612"/>
        <v>0</v>
      </c>
      <c r="I334" s="434">
        <f t="shared" si="613"/>
        <v>0</v>
      </c>
      <c r="J334" s="434">
        <f t="shared" si="614"/>
        <v>0</v>
      </c>
      <c r="K334" s="434">
        <f t="shared" si="615"/>
        <v>0</v>
      </c>
      <c r="L334" s="434">
        <f t="shared" si="653"/>
        <v>0</v>
      </c>
      <c r="M334" s="982">
        <f t="shared" si="654"/>
        <v>0</v>
      </c>
      <c r="N334" s="1374"/>
      <c r="O334" s="981">
        <f t="shared" si="616"/>
        <v>0</v>
      </c>
      <c r="P334" s="434">
        <f t="shared" si="617"/>
        <v>0</v>
      </c>
      <c r="Q334" s="434">
        <f t="shared" si="618"/>
        <v>0</v>
      </c>
      <c r="R334" s="434">
        <f t="shared" si="619"/>
        <v>0</v>
      </c>
      <c r="S334" s="434">
        <f t="shared" si="620"/>
        <v>0</v>
      </c>
      <c r="T334" s="434">
        <f t="shared" si="621"/>
        <v>0</v>
      </c>
      <c r="U334" s="434">
        <f t="shared" si="622"/>
        <v>0</v>
      </c>
      <c r="V334" s="434">
        <f t="shared" si="623"/>
        <v>0</v>
      </c>
      <c r="W334" s="434">
        <f t="shared" si="624"/>
        <v>0</v>
      </c>
      <c r="X334" s="982">
        <f t="shared" si="625"/>
        <v>0</v>
      </c>
      <c r="Y334" s="1375"/>
      <c r="Z334" s="1376">
        <f t="shared" si="626"/>
        <v>0</v>
      </c>
      <c r="AA334" s="1376">
        <f t="shared" si="627"/>
        <v>0</v>
      </c>
      <c r="AB334" s="1376">
        <f t="shared" si="628"/>
        <v>0</v>
      </c>
      <c r="AC334" s="1376">
        <f t="shared" si="629"/>
        <v>0</v>
      </c>
      <c r="AD334" s="1376">
        <f t="shared" si="630"/>
        <v>0</v>
      </c>
      <c r="AE334" s="1376">
        <f t="shared" si="631"/>
        <v>0</v>
      </c>
      <c r="AF334" s="1376">
        <f t="shared" si="632"/>
        <v>0</v>
      </c>
      <c r="AG334" s="1376">
        <f t="shared" si="633"/>
        <v>0</v>
      </c>
      <c r="AH334" s="1374"/>
      <c r="AI334" s="444">
        <f t="shared" si="634"/>
        <v>0</v>
      </c>
      <c r="AJ334" s="1090"/>
      <c r="AK334" s="1377"/>
      <c r="AL334" s="811">
        <f t="shared" si="635"/>
        <v>46242</v>
      </c>
      <c r="AM334" s="666">
        <f>IFERROR(IF(AND(AT334="",AR334&lt;&gt;S.CAL!$BJ$3,AR334&lt;&gt;S.CAL!$BJ$4,$AR$320="NON"),M334-BD334,IF(AND(AT334="",AR334&lt;&gt;S.CAL!$BJ$3,AR334&lt;&gt;S.CAL!$BJ$4,$AR$320="OUI"),X334-AI334,IF(AT334&lt;&gt;0,AT334,IF(OR(AR334=S.CAL!$BJ$3,AR334=S.CAL!$BJ$4),AR334,"")))),"")</f>
        <v>0</v>
      </c>
      <c r="AN334" s="1093"/>
      <c r="AO334" s="1094"/>
      <c r="AP334" s="666">
        <f>+IF(AND(AU334="",BB334="OUI",BH334="non",BI334="OUI"),AM334,IF(AND(AU334="",BB334="OUI",BH334="oui",BI334="NON"),AM334,IF(AND(AU334="",BB334="NON",BH334="oui",BI334="NON"),M334,IF(AND(AU334="",BB334="NON",BH334="non",BI334="OUI"),M334,IF(AND(AU334="",BB334="OUI",BH334="non",BI334="NON"),"ERREUR",IF(AND(AU334="",BB334="NON",BH334="non",BI334="NON"),AM334,IF(AND(AU334="",BB334="OUI",BH334="",BI334=""),AM334,IF(AND(AU334="",BB334="NON",BH334="",BI334="",AZ334="NON"),M334,IF(AND(AU334="",BH334="",AZ334="OUI",AR334=""),AM334,IF(AND(AU334="",BH334="",AZ334="NON",AR334="",AT334=""),M334,IF(AND(OR(AR334=S.CAL!$BJ$3,AR334=S.CAL!$BJ$4),(VLOOKUP($AM$320,base_nbre_sem_mensu,2,FALSE)=52)),EE334,IF(AND(OR(AR334=S.CAL!$BJ$3,AR334=S.CAL!$BJ$4),(VLOOKUP($AM$320,base_nbre_sem_mensu,2,FALSE)&lt;52)),AM334,IF(AND(AT334&lt;&gt;"",AU334=""),AT334,AU334)))))))))))))</f>
        <v>0</v>
      </c>
      <c r="AQ334" s="1378">
        <f t="shared" si="655"/>
        <v>0</v>
      </c>
      <c r="AR334" s="1098"/>
      <c r="AS334" s="1374"/>
      <c r="AT334" s="1101"/>
      <c r="AU334" s="813"/>
      <c r="AV334" s="1370">
        <f t="shared" si="636"/>
        <v>46242</v>
      </c>
      <c r="AW334" s="1374"/>
      <c r="AX334" s="511">
        <f t="shared" si="656"/>
        <v>46242</v>
      </c>
      <c r="AY334" s="523">
        <f t="shared" si="657"/>
        <v>0</v>
      </c>
      <c r="AZ334" s="520" t="s">
        <v>137</v>
      </c>
      <c r="BA334" s="516">
        <f t="shared" si="658"/>
        <v>0</v>
      </c>
      <c r="BB334" s="549" t="str">
        <f t="shared" si="637"/>
        <v/>
      </c>
      <c r="BC334" s="523">
        <f t="shared" si="659"/>
        <v>0</v>
      </c>
      <c r="BD334" s="523">
        <f t="shared" si="660"/>
        <v>0</v>
      </c>
      <c r="BE334" s="732"/>
      <c r="BF334" s="514" t="str">
        <f t="shared" si="638"/>
        <v/>
      </c>
      <c r="BG334" s="514" t="str">
        <f t="shared" si="661"/>
        <v>oui</v>
      </c>
      <c r="BH334" s="377" t="str">
        <f t="shared" si="639"/>
        <v/>
      </c>
      <c r="BI334" s="24" t="str">
        <f t="shared" si="640"/>
        <v/>
      </c>
      <c r="BJ334" s="1382"/>
      <c r="BK334" s="1382"/>
      <c r="BL334" s="1382"/>
      <c r="BM334" s="1382"/>
      <c r="BN334" s="1382"/>
      <c r="BO334" s="1382"/>
      <c r="BP334" s="1382"/>
      <c r="BQ334" s="1382"/>
      <c r="BR334" s="1383"/>
      <c r="BS334" s="1370">
        <f t="shared" si="607"/>
        <v>46242</v>
      </c>
      <c r="BT334" s="1384" t="str">
        <f t="shared" si="669"/>
        <v/>
      </c>
      <c r="BU334" s="1382"/>
      <c r="BV334" s="1382"/>
      <c r="BW334" s="1382"/>
      <c r="BX334" s="1382"/>
      <c r="BY334" s="1382"/>
      <c r="BZ334" s="1382"/>
      <c r="CA334" s="1382"/>
      <c r="CB334" s="1382"/>
      <c r="CD334" s="1386">
        <f t="shared" si="662"/>
        <v>0</v>
      </c>
      <c r="DC334" s="16" t="str">
        <f>Aout!FC27</f>
        <v>non</v>
      </c>
      <c r="DG334" s="315">
        <f t="shared" si="663"/>
        <v>1</v>
      </c>
      <c r="DH334" s="129">
        <f t="shared" si="641"/>
        <v>10</v>
      </c>
      <c r="DI334" s="129">
        <f t="shared" si="664"/>
        <v>1</v>
      </c>
      <c r="DK334" s="16">
        <f>+IF(AND(Aout!$DP$8&lt;&gt;52,AR334=S.CAL!$BJ$4),10,1)</f>
        <v>1</v>
      </c>
      <c r="DN334" s="16">
        <f t="shared" si="642"/>
        <v>1</v>
      </c>
      <c r="DU334" s="1274" t="str">
        <f t="shared" si="665"/>
        <v>Fiche infoA646242</v>
      </c>
      <c r="DV334" s="1362">
        <f t="shared" si="643"/>
        <v>0</v>
      </c>
      <c r="DW334" s="1363">
        <f t="shared" si="644"/>
        <v>0</v>
      </c>
      <c r="DX334" s="1363">
        <f t="shared" si="645"/>
        <v>0</v>
      </c>
      <c r="DY334" s="1363">
        <f t="shared" si="646"/>
        <v>0</v>
      </c>
      <c r="DZ334" s="1363">
        <f t="shared" si="647"/>
        <v>0</v>
      </c>
      <c r="EA334" s="1363">
        <f t="shared" si="648"/>
        <v>0</v>
      </c>
      <c r="EB334" s="1363">
        <f t="shared" si="649"/>
        <v>0</v>
      </c>
      <c r="EC334" s="1363">
        <f t="shared" si="650"/>
        <v>0</v>
      </c>
      <c r="ED334" s="1363">
        <f t="shared" si="666"/>
        <v>0</v>
      </c>
      <c r="EE334" s="1364">
        <f t="shared" si="667"/>
        <v>0</v>
      </c>
      <c r="EG334" s="16" t="str">
        <f t="shared" si="668"/>
        <v>322026</v>
      </c>
      <c r="EH334" s="16" t="str">
        <f t="shared" si="651"/>
        <v>Fiche infoA6</v>
      </c>
      <c r="EI334" s="16" t="str">
        <f t="shared" si="652"/>
        <v/>
      </c>
    </row>
    <row r="335" spans="1:145" x14ac:dyDescent="0.2">
      <c r="A335" s="24" t="str">
        <f>Aout!BJ28</f>
        <v>Fiche infoA7</v>
      </c>
      <c r="B335" s="811">
        <f>Aout!AB28</f>
        <v>46243</v>
      </c>
      <c r="C335" s="1371"/>
      <c r="D335" s="981">
        <f t="shared" si="608"/>
        <v>0</v>
      </c>
      <c r="E335" s="434">
        <f t="shared" si="609"/>
        <v>0</v>
      </c>
      <c r="F335" s="434">
        <f t="shared" si="610"/>
        <v>0</v>
      </c>
      <c r="G335" s="434">
        <f t="shared" si="611"/>
        <v>0</v>
      </c>
      <c r="H335" s="434">
        <f t="shared" si="612"/>
        <v>0</v>
      </c>
      <c r="I335" s="434">
        <f t="shared" si="613"/>
        <v>0</v>
      </c>
      <c r="J335" s="434">
        <f t="shared" si="614"/>
        <v>0</v>
      </c>
      <c r="K335" s="434">
        <f t="shared" si="615"/>
        <v>0</v>
      </c>
      <c r="L335" s="434">
        <f t="shared" si="653"/>
        <v>0</v>
      </c>
      <c r="M335" s="982">
        <f t="shared" si="654"/>
        <v>0</v>
      </c>
      <c r="O335" s="981">
        <f>IF(AR335&lt;&gt;"",0,IF(DC335="oui",0,IF(AND(ISTEXT(AT335)=TRUE,BJ335=""),0,IF(BJ335="",D335,BJ335))))</f>
        <v>0</v>
      </c>
      <c r="P335" s="434">
        <f>IF(AR335&lt;&gt;"",0,IF(DC335="oui",0,IF(AND(ISTEXT(AT335)=TRUE,BK335=""),0,IF(BK335="",E335,BK335))))</f>
        <v>0</v>
      </c>
      <c r="Q335" s="434">
        <f>IF(AR335&lt;&gt;"",0,IF(DC335="oui",0,IF(AND(ISTEXT(AT335)=TRUE,BL335=""),0,IF(BL335="",F335,BL335))))</f>
        <v>0</v>
      </c>
      <c r="R335" s="434">
        <f>IF(AR335&lt;&gt;"",0,IF(DC335="oui",0,IF(AND(ISTEXT(AT335)=TRUE,BM335=""),0,IF(BM335="",G335,BM335))))</f>
        <v>0</v>
      </c>
      <c r="S335" s="434">
        <f>IF(AR335&lt;&gt;"",0,IF(DC335="oui",0,IF(AND(ISTEXT(AT335)=TRUE,BN335=""),0,IF(BN335="",H335,BN335))))</f>
        <v>0</v>
      </c>
      <c r="T335" s="434">
        <f>IF(AR335&lt;&gt;"",0,IF(DC335="oui",0,IF(AND(ISTEXT(AT335)=TRUE,BO335=""),0,IF(BO335="",I335,BO335))))</f>
        <v>0</v>
      </c>
      <c r="U335" s="434">
        <f>IF(AR335&lt;&gt;"",0,IF(DC335="oui",0,IF(AND(ISTEXT(AT335)=TRUE,BP335=""),0,IF(BP335="",J335,BP335))))</f>
        <v>0</v>
      </c>
      <c r="V335" s="434">
        <f>IF(AR335&lt;&gt;"",0,IF(DC335="oui",0,IF(AND(ISTEXT(AT335)=TRUE,BQ335=""),0,IF(BQ335="",K335,BQ335))))</f>
        <v>0</v>
      </c>
      <c r="W335" s="434">
        <f t="shared" si="624"/>
        <v>0</v>
      </c>
      <c r="X335" s="982">
        <f t="shared" si="625"/>
        <v>0</v>
      </c>
      <c r="Y335" s="441"/>
      <c r="Z335" s="277">
        <f t="shared" si="626"/>
        <v>0</v>
      </c>
      <c r="AA335" s="277">
        <f t="shared" si="627"/>
        <v>0</v>
      </c>
      <c r="AB335" s="277">
        <f t="shared" si="628"/>
        <v>0</v>
      </c>
      <c r="AC335" s="277">
        <f t="shared" si="629"/>
        <v>0</v>
      </c>
      <c r="AD335" s="277">
        <f t="shared" si="630"/>
        <v>0</v>
      </c>
      <c r="AE335" s="277">
        <f t="shared" si="631"/>
        <v>0</v>
      </c>
      <c r="AF335" s="277">
        <f t="shared" si="632"/>
        <v>0</v>
      </c>
      <c r="AG335" s="277">
        <f t="shared" si="633"/>
        <v>0</v>
      </c>
      <c r="AI335" s="444">
        <f>IF(DC335="oui",0,IF(AND(ISTEXT(AT335)=TRUE,OR(X335=0,X335="")),0,ROUND(((((AA335-Z335)-(E335-D335))+((AC335-AB335)-(G335-F335))+((AE335-AD335)-(I335-H335))+(AG335-AF335)-(K335-J335))*24),2)))</f>
        <v>0</v>
      </c>
      <c r="AJ335" s="1090"/>
      <c r="AK335" s="489"/>
      <c r="AL335" s="811">
        <f t="shared" si="635"/>
        <v>46243</v>
      </c>
      <c r="AM335" s="666">
        <f>IFERROR(IF(AND(AT335="",AR335&lt;&gt;S.CAL!$BJ$3,AR335&lt;&gt;S.CAL!$BJ$4,$AR$320="NON"),M335-BD335,IF(AND(AT335="",AR335&lt;&gt;S.CAL!$BJ$3,AR335&lt;&gt;S.CAL!$BJ$4,$AR$320="OUI"),X335-AI335,IF(AT335&lt;&gt;0,AT335,IF(OR(AR335=S.CAL!$BJ$3,AR335=S.CAL!$BJ$4),AR335,"")))),"")</f>
        <v>0</v>
      </c>
      <c r="AN335" s="1093"/>
      <c r="AO335" s="1094"/>
      <c r="AP335" s="666">
        <f>+IF(AND(AU335="",BB335="OUI",BH335="non",BI335="OUI"),AM335,IF(AND(AU335="",BB335="OUI",BH335="oui",BI335="NON"),AM335,IF(AND(AU335="",BB335="NON",BH335="oui",BI335="NON"),M335,IF(AND(AU335="",BB335="NON",BH335="non",BI335="OUI"),M335,IF(AND(AU335="",BB335="OUI",BH335="non",BI335="NON"),"ERREUR",IF(AND(AU335="",BB335="NON",BH335="non",BI335="NON"),AM335,IF(AND(AU335="",BB335="OUI",BH335="",BI335=""),AM335,IF(AND(AU335="",BB335="NON",BH335="",BI335="",AZ335="NON"),M335,IF(AND(AU335="",BH335="",AZ335="OUI",AR335=""),AM335,IF(AND(AU335="",BH335="",AZ335="NON",AR335="",AT335=""),M335,IF(AND(OR(AR335=S.CAL!$BJ$3,AR335=S.CAL!$BJ$4),(VLOOKUP($AM$320,base_nbre_sem_mensu,2,FALSE)=52)),EE335,IF(AND(OR(AR335=S.CAL!$BJ$3,AR335=S.CAL!$BJ$4),(VLOOKUP($AM$320,base_nbre_sem_mensu,2,FALSE)&lt;52)),AM335,IF(AND(AT335&lt;&gt;"",AU335=""),AT335,AU335)))))))))))))</f>
        <v>0</v>
      </c>
      <c r="AQ335" s="498">
        <f t="shared" si="655"/>
        <v>0</v>
      </c>
      <c r="AR335" s="1098"/>
      <c r="AT335" s="1101"/>
      <c r="AU335" s="813"/>
      <c r="AV335" s="1370">
        <f t="shared" si="636"/>
        <v>46243</v>
      </c>
      <c r="AX335" s="511">
        <f t="shared" si="656"/>
        <v>46243</v>
      </c>
      <c r="AY335" s="523">
        <f t="shared" si="657"/>
        <v>0</v>
      </c>
      <c r="AZ335" s="520" t="s">
        <v>137</v>
      </c>
      <c r="BA335" s="516">
        <f t="shared" si="658"/>
        <v>0</v>
      </c>
      <c r="BB335" s="549" t="str">
        <f t="shared" si="637"/>
        <v/>
      </c>
      <c r="BC335" s="523">
        <f t="shared" si="659"/>
        <v>0</v>
      </c>
      <c r="BD335" s="523">
        <f t="shared" si="660"/>
        <v>0</v>
      </c>
      <c r="BE335" s="732"/>
      <c r="BF335" s="514" t="str">
        <f t="shared" si="638"/>
        <v/>
      </c>
      <c r="BG335" s="514" t="str">
        <f t="shared" si="661"/>
        <v>oui</v>
      </c>
      <c r="BH335" s="377" t="str">
        <f t="shared" si="639"/>
        <v/>
      </c>
      <c r="BI335" s="24" t="str">
        <f t="shared" si="640"/>
        <v/>
      </c>
      <c r="BJ335" s="1381"/>
      <c r="BK335" s="1381"/>
      <c r="BL335" s="1381"/>
      <c r="BM335" s="1381"/>
      <c r="BN335" s="1381"/>
      <c r="BO335" s="1381"/>
      <c r="BP335" s="1381"/>
      <c r="BQ335" s="1381"/>
      <c r="BS335" s="1370">
        <f t="shared" si="607"/>
        <v>46243</v>
      </c>
      <c r="BT335" s="27" t="str">
        <f t="shared" si="669"/>
        <v/>
      </c>
      <c r="BU335" s="1380"/>
      <c r="BV335" s="1380"/>
      <c r="BW335" s="1380"/>
      <c r="BX335" s="1380"/>
      <c r="BY335" s="1380"/>
      <c r="BZ335" s="1380"/>
      <c r="CA335" s="1380"/>
      <c r="CB335" s="1380"/>
      <c r="CD335" s="1386">
        <f t="shared" si="662"/>
        <v>0</v>
      </c>
      <c r="DC335" s="16" t="str">
        <f>Aout!FC28</f>
        <v>non</v>
      </c>
      <c r="DG335" s="315">
        <f t="shared" si="663"/>
        <v>1</v>
      </c>
      <c r="DH335" s="129">
        <f t="shared" si="641"/>
        <v>10</v>
      </c>
      <c r="DI335" s="129">
        <f t="shared" si="664"/>
        <v>1</v>
      </c>
      <c r="DK335" s="16">
        <f>+IF(AND(Aout!$DP$8&lt;&gt;52,AR335=S.CAL!$BJ$4),10,1)</f>
        <v>1</v>
      </c>
      <c r="DN335" s="16">
        <f t="shared" si="642"/>
        <v>1</v>
      </c>
      <c r="DU335" s="1274" t="str">
        <f t="shared" si="665"/>
        <v>Fiche infoA746243</v>
      </c>
      <c r="DV335" s="1362">
        <f t="shared" si="643"/>
        <v>0</v>
      </c>
      <c r="DW335" s="1363">
        <f t="shared" si="644"/>
        <v>0</v>
      </c>
      <c r="DX335" s="1363">
        <f t="shared" si="645"/>
        <v>0</v>
      </c>
      <c r="DY335" s="1363">
        <f t="shared" si="646"/>
        <v>0</v>
      </c>
      <c r="DZ335" s="1363">
        <f t="shared" si="647"/>
        <v>0</v>
      </c>
      <c r="EA335" s="1363">
        <f t="shared" si="648"/>
        <v>0</v>
      </c>
      <c r="EB335" s="1363">
        <f t="shared" si="649"/>
        <v>0</v>
      </c>
      <c r="EC335" s="1363">
        <f t="shared" si="650"/>
        <v>0</v>
      </c>
      <c r="ED335" s="1363">
        <f t="shared" si="666"/>
        <v>0</v>
      </c>
      <c r="EE335" s="1364">
        <f t="shared" si="667"/>
        <v>0</v>
      </c>
      <c r="EG335" s="16" t="str">
        <f t="shared" si="668"/>
        <v>322026</v>
      </c>
      <c r="EH335" s="16" t="str">
        <f t="shared" si="651"/>
        <v>Fiche infoA7</v>
      </c>
      <c r="EI335" s="16" t="str">
        <f t="shared" si="652"/>
        <v/>
      </c>
    </row>
    <row r="336" spans="1:145" x14ac:dyDescent="0.2">
      <c r="A336" s="1373" t="str">
        <f>Aout!BJ29</f>
        <v>Fiche infoA1</v>
      </c>
      <c r="B336" s="811">
        <f>Aout!AB29</f>
        <v>46244</v>
      </c>
      <c r="C336" s="1372"/>
      <c r="D336" s="981">
        <f t="shared" si="608"/>
        <v>0</v>
      </c>
      <c r="E336" s="434">
        <f t="shared" si="609"/>
        <v>0</v>
      </c>
      <c r="F336" s="434">
        <f t="shared" si="610"/>
        <v>0</v>
      </c>
      <c r="G336" s="434">
        <f t="shared" si="611"/>
        <v>0</v>
      </c>
      <c r="H336" s="434">
        <f t="shared" si="612"/>
        <v>0</v>
      </c>
      <c r="I336" s="434">
        <f t="shared" si="613"/>
        <v>0</v>
      </c>
      <c r="J336" s="434">
        <f t="shared" si="614"/>
        <v>0</v>
      </c>
      <c r="K336" s="434">
        <f t="shared" si="615"/>
        <v>0</v>
      </c>
      <c r="L336" s="434">
        <f t="shared" si="653"/>
        <v>0</v>
      </c>
      <c r="M336" s="982">
        <f t="shared" si="654"/>
        <v>0</v>
      </c>
      <c r="N336" s="1374"/>
      <c r="O336" s="981">
        <f t="shared" ref="O336:O357" si="670">IF(AR336&lt;&gt;"",0,IF(DC336="oui",0,IF(AND(ISTEXT(AT336)=TRUE,BJ336=""),0,IF(BJ336="",D336,BJ336))))</f>
        <v>0</v>
      </c>
      <c r="P336" s="434">
        <f t="shared" ref="P336:P357" si="671">IF(AR336&lt;&gt;"",0,IF(DC336="oui",0,IF(AND(ISTEXT(AT336)=TRUE,BK336=""),0,IF(BK336="",E336,BK336))))</f>
        <v>0</v>
      </c>
      <c r="Q336" s="434">
        <f t="shared" ref="Q336:Q357" si="672">IF(AR336&lt;&gt;"",0,IF(DC336="oui",0,IF(AND(ISTEXT(AT336)=TRUE,BL336=""),0,IF(BL336="",F336,BL336))))</f>
        <v>0</v>
      </c>
      <c r="R336" s="434">
        <f t="shared" ref="R336:R357" si="673">IF(AR336&lt;&gt;"",0,IF(DC336="oui",0,IF(AND(ISTEXT(AT336)=TRUE,BM336=""),0,IF(BM336="",G336,BM336))))</f>
        <v>0</v>
      </c>
      <c r="S336" s="434">
        <f t="shared" ref="S336:S357" si="674">IF(AR336&lt;&gt;"",0,IF(DC336="oui",0,IF(AND(ISTEXT(AT336)=TRUE,BN336=""),0,IF(BN336="",H336,BN336))))</f>
        <v>0</v>
      </c>
      <c r="T336" s="434">
        <f t="shared" ref="T336:T357" si="675">IF(AR336&lt;&gt;"",0,IF(DC336="oui",0,IF(AND(ISTEXT(AT336)=TRUE,BO336=""),0,IF(BO336="",I336,BO336))))</f>
        <v>0</v>
      </c>
      <c r="U336" s="434">
        <f t="shared" ref="U336:U357" si="676">IF(AR336&lt;&gt;"",0,IF(DC336="oui",0,IF(AND(ISTEXT(AT336)=TRUE,BP336=""),0,IF(BP336="",J336,BP336))))</f>
        <v>0</v>
      </c>
      <c r="V336" s="434">
        <f t="shared" ref="V336:V357" si="677">IF(AR336&lt;&gt;"",0,IF(DC336="oui",0,IF(AND(ISTEXT(AT336)=TRUE,BQ336=""),0,IF(BQ336="",K336,BQ336))))</f>
        <v>0</v>
      </c>
      <c r="W336" s="434">
        <f t="shared" si="624"/>
        <v>0</v>
      </c>
      <c r="X336" s="982">
        <f t="shared" si="625"/>
        <v>0</v>
      </c>
      <c r="Y336" s="1375"/>
      <c r="Z336" s="1376">
        <f t="shared" si="626"/>
        <v>0</v>
      </c>
      <c r="AA336" s="1376">
        <f t="shared" si="627"/>
        <v>0</v>
      </c>
      <c r="AB336" s="1376">
        <f t="shared" si="628"/>
        <v>0</v>
      </c>
      <c r="AC336" s="1376">
        <f t="shared" si="629"/>
        <v>0</v>
      </c>
      <c r="AD336" s="1376">
        <f t="shared" si="630"/>
        <v>0</v>
      </c>
      <c r="AE336" s="1376">
        <f t="shared" si="631"/>
        <v>0</v>
      </c>
      <c r="AF336" s="1376">
        <f t="shared" si="632"/>
        <v>0</v>
      </c>
      <c r="AG336" s="1376">
        <f t="shared" si="633"/>
        <v>0</v>
      </c>
      <c r="AH336" s="1374"/>
      <c r="AI336" s="444">
        <f t="shared" ref="AI336:AI357" si="678">IF(DC336="oui",0,IF(AND(ISTEXT(AT336)=TRUE,OR(X336=0,X336="")),0,ROUND(((((AA336-Z336)-(E336-D336))+((AC336-AB336)-(G336-F336))+((AE336-AD336)-(I336-H336))+(AG336-AF336)-(K336-J336))*24),2)))</f>
        <v>0</v>
      </c>
      <c r="AJ336" s="1090"/>
      <c r="AK336" s="1377"/>
      <c r="AL336" s="811">
        <f t="shared" si="635"/>
        <v>46244</v>
      </c>
      <c r="AM336" s="666">
        <f>IFERROR(IF(AND(AT336="",AR336&lt;&gt;S.CAL!$BJ$3,AR336&lt;&gt;S.CAL!$BJ$4,$AR$320="NON"),M336-BD336,IF(AND(AT336="",AR336&lt;&gt;S.CAL!$BJ$3,AR336&lt;&gt;S.CAL!$BJ$4,$AR$320="OUI"),X336-AI336,IF(AT336&lt;&gt;0,AT336,IF(OR(AR336=S.CAL!$BJ$3,AR336=S.CAL!$BJ$4),AR336,"")))),"")</f>
        <v>0</v>
      </c>
      <c r="AN336" s="1093"/>
      <c r="AO336" s="1094"/>
      <c r="AP336" s="666">
        <f>+IF(AND(AU336="",BB336="OUI",BH336="non",BI336="OUI"),AM336,IF(AND(AU336="",BB336="OUI",BH336="oui",BI336="NON"),AM336,IF(AND(AU336="",BB336="NON",BH336="oui",BI336="NON"),M336,IF(AND(AU336="",BB336="NON",BH336="non",BI336="OUI"),M336,IF(AND(AU336="",BB336="OUI",BH336="non",BI336="NON"),"ERREUR",IF(AND(AU336="",BB336="NON",BH336="non",BI336="NON"),AM336,IF(AND(AU336="",BB336="OUI",BH336="",BI336=""),AM336,IF(AND(AU336="",BB336="NON",BH336="",BI336="",AZ336="NON"),M336,IF(AND(AU336="",BH336="",AZ336="OUI",AR336=""),AM336,IF(AND(AU336="",BH336="",AZ336="NON",AR336="",AT336=""),M336,IF(AND(OR(AR336=S.CAL!$BJ$3,AR336=S.CAL!$BJ$4),(VLOOKUP($AM$320,base_nbre_sem_mensu,2,FALSE)=52)),EE336,IF(AND(OR(AR336=S.CAL!$BJ$3,AR336=S.CAL!$BJ$4),(VLOOKUP($AM$320,base_nbre_sem_mensu,2,FALSE)&lt;52)),AM336,IF(AND(AT336&lt;&gt;"",AU336=""),AT336,AU336)))))))))))))</f>
        <v>0</v>
      </c>
      <c r="AQ336" s="1378">
        <f t="shared" si="655"/>
        <v>0</v>
      </c>
      <c r="AR336" s="1098"/>
      <c r="AS336" s="1374"/>
      <c r="AT336" s="1101"/>
      <c r="AU336" s="813"/>
      <c r="AV336" s="1370">
        <f t="shared" si="636"/>
        <v>46244</v>
      </c>
      <c r="AW336" s="1374"/>
      <c r="AX336" s="511">
        <f t="shared" si="656"/>
        <v>46244</v>
      </c>
      <c r="AY336" s="523">
        <f t="shared" si="657"/>
        <v>0</v>
      </c>
      <c r="AZ336" s="520" t="s">
        <v>137</v>
      </c>
      <c r="BA336" s="516">
        <f t="shared" si="658"/>
        <v>0</v>
      </c>
      <c r="BB336" s="549" t="str">
        <f t="shared" si="637"/>
        <v/>
      </c>
      <c r="BC336" s="523">
        <f t="shared" si="659"/>
        <v>0</v>
      </c>
      <c r="BD336" s="523">
        <f t="shared" si="660"/>
        <v>0</v>
      </c>
      <c r="BE336" s="732"/>
      <c r="BF336" s="514" t="str">
        <f t="shared" si="638"/>
        <v/>
      </c>
      <c r="BG336" s="514" t="str">
        <f t="shared" si="661"/>
        <v>oui</v>
      </c>
      <c r="BH336" s="377" t="str">
        <f t="shared" si="639"/>
        <v/>
      </c>
      <c r="BI336" s="24" t="str">
        <f t="shared" si="640"/>
        <v/>
      </c>
      <c r="BJ336" s="1382"/>
      <c r="BK336" s="1382"/>
      <c r="BL336" s="1382"/>
      <c r="BM336" s="1382"/>
      <c r="BN336" s="1382"/>
      <c r="BO336" s="1382"/>
      <c r="BP336" s="1382"/>
      <c r="BQ336" s="1382"/>
      <c r="BR336" s="1383"/>
      <c r="BS336" s="1370">
        <f t="shared" si="607"/>
        <v>46244</v>
      </c>
      <c r="BT336" s="1384">
        <f t="shared" si="669"/>
        <v>33</v>
      </c>
      <c r="BU336" s="1382"/>
      <c r="BV336" s="1382"/>
      <c r="BW336" s="1382"/>
      <c r="BX336" s="1382"/>
      <c r="BY336" s="1382"/>
      <c r="BZ336" s="1382"/>
      <c r="CA336" s="1382"/>
      <c r="CB336" s="1382"/>
      <c r="CD336" s="1386">
        <f t="shared" si="662"/>
        <v>0</v>
      </c>
      <c r="DC336" s="16" t="str">
        <f>Aout!FC29</f>
        <v>non</v>
      </c>
      <c r="DG336" s="315">
        <f t="shared" si="663"/>
        <v>1</v>
      </c>
      <c r="DH336" s="129">
        <f t="shared" si="641"/>
        <v>10</v>
      </c>
      <c r="DI336" s="129">
        <f t="shared" si="664"/>
        <v>1</v>
      </c>
      <c r="DK336" s="16">
        <f>+IF(AND(Aout!$DP$8&lt;&gt;52,AR336=S.CAL!$BJ$4),10,1)</f>
        <v>1</v>
      </c>
      <c r="DN336" s="16">
        <f t="shared" si="642"/>
        <v>1</v>
      </c>
      <c r="DU336" s="1274" t="str">
        <f t="shared" si="665"/>
        <v>Fiche infoA146244</v>
      </c>
      <c r="DV336" s="1362">
        <f t="shared" si="643"/>
        <v>0</v>
      </c>
      <c r="DW336" s="1363">
        <f t="shared" si="644"/>
        <v>0</v>
      </c>
      <c r="DX336" s="1363">
        <f t="shared" si="645"/>
        <v>0</v>
      </c>
      <c r="DY336" s="1363">
        <f t="shared" si="646"/>
        <v>0</v>
      </c>
      <c r="DZ336" s="1363">
        <f t="shared" si="647"/>
        <v>0</v>
      </c>
      <c r="EA336" s="1363">
        <f t="shared" si="648"/>
        <v>0</v>
      </c>
      <c r="EB336" s="1363">
        <f t="shared" si="649"/>
        <v>0</v>
      </c>
      <c r="EC336" s="1363">
        <f t="shared" si="650"/>
        <v>0</v>
      </c>
      <c r="ED336" s="1363">
        <f t="shared" si="666"/>
        <v>0</v>
      </c>
      <c r="EE336" s="1364">
        <f t="shared" si="667"/>
        <v>0</v>
      </c>
      <c r="EG336" s="16" t="str">
        <f t="shared" si="668"/>
        <v>332026</v>
      </c>
      <c r="EH336" s="16" t="str">
        <f t="shared" si="651"/>
        <v>Fiche infoA1</v>
      </c>
      <c r="EI336" s="16" t="str">
        <f t="shared" si="652"/>
        <v/>
      </c>
    </row>
    <row r="337" spans="1:139" x14ac:dyDescent="0.2">
      <c r="A337" s="24" t="str">
        <f>Aout!BJ30</f>
        <v>Fiche infoA2</v>
      </c>
      <c r="B337" s="811">
        <f>Aout!AB30</f>
        <v>46245</v>
      </c>
      <c r="C337" s="1371"/>
      <c r="D337" s="981">
        <f t="shared" si="608"/>
        <v>0</v>
      </c>
      <c r="E337" s="434">
        <f t="shared" si="609"/>
        <v>0</v>
      </c>
      <c r="F337" s="434">
        <f t="shared" si="610"/>
        <v>0</v>
      </c>
      <c r="G337" s="434">
        <f t="shared" si="611"/>
        <v>0</v>
      </c>
      <c r="H337" s="434">
        <f t="shared" si="612"/>
        <v>0</v>
      </c>
      <c r="I337" s="434">
        <f t="shared" si="613"/>
        <v>0</v>
      </c>
      <c r="J337" s="434">
        <f t="shared" si="614"/>
        <v>0</v>
      </c>
      <c r="K337" s="434">
        <f t="shared" si="615"/>
        <v>0</v>
      </c>
      <c r="L337" s="434">
        <f t="shared" si="653"/>
        <v>0</v>
      </c>
      <c r="M337" s="982">
        <f t="shared" si="654"/>
        <v>0</v>
      </c>
      <c r="O337" s="981">
        <f t="shared" si="670"/>
        <v>0</v>
      </c>
      <c r="P337" s="434">
        <f t="shared" si="671"/>
        <v>0</v>
      </c>
      <c r="Q337" s="434">
        <f t="shared" si="672"/>
        <v>0</v>
      </c>
      <c r="R337" s="434">
        <f t="shared" si="673"/>
        <v>0</v>
      </c>
      <c r="S337" s="434">
        <f t="shared" si="674"/>
        <v>0</v>
      </c>
      <c r="T337" s="434">
        <f t="shared" si="675"/>
        <v>0</v>
      </c>
      <c r="U337" s="434">
        <f t="shared" si="676"/>
        <v>0</v>
      </c>
      <c r="V337" s="434">
        <f t="shared" si="677"/>
        <v>0</v>
      </c>
      <c r="W337" s="434">
        <f t="shared" si="624"/>
        <v>0</v>
      </c>
      <c r="X337" s="982">
        <f t="shared" si="625"/>
        <v>0</v>
      </c>
      <c r="Y337" s="441"/>
      <c r="Z337" s="277">
        <f t="shared" si="626"/>
        <v>0</v>
      </c>
      <c r="AA337" s="277">
        <f t="shared" si="627"/>
        <v>0</v>
      </c>
      <c r="AB337" s="277">
        <f t="shared" si="628"/>
        <v>0</v>
      </c>
      <c r="AC337" s="277">
        <f t="shared" si="629"/>
        <v>0</v>
      </c>
      <c r="AD337" s="277">
        <f t="shared" si="630"/>
        <v>0</v>
      </c>
      <c r="AE337" s="277">
        <f t="shared" si="631"/>
        <v>0</v>
      </c>
      <c r="AF337" s="277">
        <f t="shared" si="632"/>
        <v>0</v>
      </c>
      <c r="AG337" s="277">
        <f t="shared" si="633"/>
        <v>0</v>
      </c>
      <c r="AI337" s="444">
        <f t="shared" si="678"/>
        <v>0</v>
      </c>
      <c r="AJ337" s="1090"/>
      <c r="AK337" s="489"/>
      <c r="AL337" s="811">
        <f t="shared" si="635"/>
        <v>46245</v>
      </c>
      <c r="AM337" s="666">
        <f>IFERROR(IF(AND(AT337="",AR337&lt;&gt;S.CAL!$BJ$3,AR337&lt;&gt;S.CAL!$BJ$4,$AR$320="NON"),M337-BD337,IF(AND(AT337="",AR337&lt;&gt;S.CAL!$BJ$3,AR337&lt;&gt;S.CAL!$BJ$4,$AR$320="OUI"),X337-AI337,IF(AT337&lt;&gt;0,AT337,IF(OR(AR337=S.CAL!$BJ$3,AR337=S.CAL!$BJ$4),AR337,"")))),"")</f>
        <v>0</v>
      </c>
      <c r="AN337" s="1093"/>
      <c r="AO337" s="1094"/>
      <c r="AP337" s="666">
        <f>+IF(AND(AU337="",BB337="OUI",BH337="non",BI337="OUI"),AM337,IF(AND(AU337="",BB337="OUI",BH337="oui",BI337="NON"),AM337,IF(AND(AU337="",BB337="NON",BH337="oui",BI337="NON"),M337,IF(AND(AU337="",BB337="NON",BH337="non",BI337="OUI"),M337,IF(AND(AU337="",BB337="OUI",BH337="non",BI337="NON"),"ERREUR",IF(AND(AU337="",BB337="NON",BH337="non",BI337="NON"),AM337,IF(AND(AU337="",BB337="OUI",BH337="",BI337=""),AM337,IF(AND(AU337="",BB337="NON",BH337="",BI337="",AZ337="NON"),M337,IF(AND(AU337="",BH337="",AZ337="OUI",AR337=""),AM337,IF(AND(AU337="",BH337="",AZ337="NON",AR337="",AT337=""),M337,IF(AND(OR(AR337=S.CAL!$BJ$3,AR337=S.CAL!$BJ$4),(VLOOKUP($AM$320,base_nbre_sem_mensu,2,FALSE)=52)),EE337,IF(AND(OR(AR337=S.CAL!$BJ$3,AR337=S.CAL!$BJ$4),(VLOOKUP($AM$320,base_nbre_sem_mensu,2,FALSE)&lt;52)),AM337,IF(AND(AT337&lt;&gt;"",AU337=""),AT337,AU337)))))))))))))</f>
        <v>0</v>
      </c>
      <c r="AQ337" s="498">
        <f t="shared" si="655"/>
        <v>0</v>
      </c>
      <c r="AR337" s="1098"/>
      <c r="AT337" s="1101"/>
      <c r="AU337" s="813"/>
      <c r="AV337" s="1370">
        <f t="shared" si="636"/>
        <v>46245</v>
      </c>
      <c r="AX337" s="511">
        <f t="shared" si="656"/>
        <v>46245</v>
      </c>
      <c r="AY337" s="523">
        <f t="shared" si="657"/>
        <v>0</v>
      </c>
      <c r="AZ337" s="520" t="s">
        <v>137</v>
      </c>
      <c r="BA337" s="516">
        <f t="shared" si="658"/>
        <v>0</v>
      </c>
      <c r="BB337" s="549" t="str">
        <f t="shared" si="637"/>
        <v/>
      </c>
      <c r="BC337" s="523">
        <f t="shared" si="659"/>
        <v>0</v>
      </c>
      <c r="BD337" s="523">
        <f t="shared" si="660"/>
        <v>0</v>
      </c>
      <c r="BE337" s="732"/>
      <c r="BF337" s="514" t="str">
        <f t="shared" si="638"/>
        <v/>
      </c>
      <c r="BG337" s="514" t="str">
        <f t="shared" si="661"/>
        <v>oui</v>
      </c>
      <c r="BH337" s="377" t="str">
        <f t="shared" si="639"/>
        <v/>
      </c>
      <c r="BI337" s="24" t="str">
        <f t="shared" si="640"/>
        <v/>
      </c>
      <c r="BJ337" s="1381"/>
      <c r="BK337" s="1381"/>
      <c r="BL337" s="1381"/>
      <c r="BM337" s="1381"/>
      <c r="BN337" s="1381"/>
      <c r="BO337" s="1381"/>
      <c r="BP337" s="1381"/>
      <c r="BQ337" s="1381"/>
      <c r="BS337" s="1370">
        <f t="shared" si="607"/>
        <v>46245</v>
      </c>
      <c r="BT337" s="27" t="str">
        <f t="shared" si="669"/>
        <v/>
      </c>
      <c r="BU337" s="1380"/>
      <c r="BV337" s="1380"/>
      <c r="BW337" s="1380"/>
      <c r="BX337" s="1380"/>
      <c r="BY337" s="1380"/>
      <c r="BZ337" s="1380"/>
      <c r="CA337" s="1380"/>
      <c r="CB337" s="1380"/>
      <c r="CD337" s="1386">
        <f t="shared" si="662"/>
        <v>0</v>
      </c>
      <c r="DC337" s="16" t="str">
        <f>Aout!FC30</f>
        <v>non</v>
      </c>
      <c r="DG337" s="315">
        <f t="shared" si="663"/>
        <v>1</v>
      </c>
      <c r="DH337" s="129">
        <f t="shared" si="641"/>
        <v>10</v>
      </c>
      <c r="DI337" s="129">
        <f t="shared" si="664"/>
        <v>1</v>
      </c>
      <c r="DK337" s="16">
        <f>+IF(AND(Aout!$DP$8&lt;&gt;52,AR337=S.CAL!$BJ$4),10,1)</f>
        <v>1</v>
      </c>
      <c r="DN337" s="16">
        <f t="shared" si="642"/>
        <v>1</v>
      </c>
      <c r="DU337" s="1274" t="str">
        <f t="shared" si="665"/>
        <v>Fiche infoA246245</v>
      </c>
      <c r="DV337" s="1362">
        <f t="shared" si="643"/>
        <v>0</v>
      </c>
      <c r="DW337" s="1363">
        <f t="shared" si="644"/>
        <v>0</v>
      </c>
      <c r="DX337" s="1363">
        <f t="shared" si="645"/>
        <v>0</v>
      </c>
      <c r="DY337" s="1363">
        <f t="shared" si="646"/>
        <v>0</v>
      </c>
      <c r="DZ337" s="1363">
        <f t="shared" si="647"/>
        <v>0</v>
      </c>
      <c r="EA337" s="1363">
        <f t="shared" si="648"/>
        <v>0</v>
      </c>
      <c r="EB337" s="1363">
        <f t="shared" si="649"/>
        <v>0</v>
      </c>
      <c r="EC337" s="1363">
        <f t="shared" si="650"/>
        <v>0</v>
      </c>
      <c r="ED337" s="1363">
        <f t="shared" si="666"/>
        <v>0</v>
      </c>
      <c r="EE337" s="1364">
        <f t="shared" si="667"/>
        <v>0</v>
      </c>
      <c r="EG337" s="16" t="str">
        <f t="shared" si="668"/>
        <v>332026</v>
      </c>
      <c r="EH337" s="16" t="str">
        <f t="shared" si="651"/>
        <v>Fiche infoA2</v>
      </c>
      <c r="EI337" s="16" t="str">
        <f t="shared" si="652"/>
        <v/>
      </c>
    </row>
    <row r="338" spans="1:139" x14ac:dyDescent="0.2">
      <c r="A338" s="1373" t="str">
        <f>Aout!BJ31</f>
        <v>Fiche infoA3</v>
      </c>
      <c r="B338" s="811">
        <f>Aout!AB31</f>
        <v>46246</v>
      </c>
      <c r="C338" s="1372"/>
      <c r="D338" s="981">
        <f t="shared" si="608"/>
        <v>0</v>
      </c>
      <c r="E338" s="434">
        <f t="shared" si="609"/>
        <v>0</v>
      </c>
      <c r="F338" s="434">
        <f t="shared" si="610"/>
        <v>0</v>
      </c>
      <c r="G338" s="434">
        <f t="shared" si="611"/>
        <v>0</v>
      </c>
      <c r="H338" s="434">
        <f t="shared" si="612"/>
        <v>0</v>
      </c>
      <c r="I338" s="434">
        <f t="shared" si="613"/>
        <v>0</v>
      </c>
      <c r="J338" s="434">
        <f t="shared" si="614"/>
        <v>0</v>
      </c>
      <c r="K338" s="434">
        <f t="shared" si="615"/>
        <v>0</v>
      </c>
      <c r="L338" s="434">
        <f t="shared" si="653"/>
        <v>0</v>
      </c>
      <c r="M338" s="982">
        <f t="shared" si="654"/>
        <v>0</v>
      </c>
      <c r="N338" s="1374"/>
      <c r="O338" s="981">
        <f t="shared" si="670"/>
        <v>0</v>
      </c>
      <c r="P338" s="434">
        <f t="shared" si="671"/>
        <v>0</v>
      </c>
      <c r="Q338" s="434">
        <f t="shared" si="672"/>
        <v>0</v>
      </c>
      <c r="R338" s="434">
        <f t="shared" si="673"/>
        <v>0</v>
      </c>
      <c r="S338" s="434">
        <f t="shared" si="674"/>
        <v>0</v>
      </c>
      <c r="T338" s="434">
        <f t="shared" si="675"/>
        <v>0</v>
      </c>
      <c r="U338" s="434">
        <f t="shared" si="676"/>
        <v>0</v>
      </c>
      <c r="V338" s="434">
        <f t="shared" si="677"/>
        <v>0</v>
      </c>
      <c r="W338" s="434">
        <f t="shared" si="624"/>
        <v>0</v>
      </c>
      <c r="X338" s="982">
        <f t="shared" si="625"/>
        <v>0</v>
      </c>
      <c r="Y338" s="1375"/>
      <c r="Z338" s="1376">
        <f t="shared" si="626"/>
        <v>0</v>
      </c>
      <c r="AA338" s="1376">
        <f t="shared" si="627"/>
        <v>0</v>
      </c>
      <c r="AB338" s="1376">
        <f t="shared" si="628"/>
        <v>0</v>
      </c>
      <c r="AC338" s="1376">
        <f t="shared" si="629"/>
        <v>0</v>
      </c>
      <c r="AD338" s="1376">
        <f t="shared" si="630"/>
        <v>0</v>
      </c>
      <c r="AE338" s="1376">
        <f t="shared" si="631"/>
        <v>0</v>
      </c>
      <c r="AF338" s="1376">
        <f t="shared" si="632"/>
        <v>0</v>
      </c>
      <c r="AG338" s="1376">
        <f t="shared" si="633"/>
        <v>0</v>
      </c>
      <c r="AH338" s="1374"/>
      <c r="AI338" s="444">
        <f t="shared" si="678"/>
        <v>0</v>
      </c>
      <c r="AJ338" s="1090"/>
      <c r="AK338" s="1377"/>
      <c r="AL338" s="811">
        <f t="shared" si="635"/>
        <v>46246</v>
      </c>
      <c r="AM338" s="666">
        <f>IFERROR(IF(AND(AT338="",AR338&lt;&gt;S.CAL!$BJ$3,AR338&lt;&gt;S.CAL!$BJ$4,$AR$320="NON"),M338-BD338,IF(AND(AT338="",AR338&lt;&gt;S.CAL!$BJ$3,AR338&lt;&gt;S.CAL!$BJ$4,$AR$320="OUI"),X338-AI338,IF(AT338&lt;&gt;0,AT338,IF(OR(AR338=S.CAL!$BJ$3,AR338=S.CAL!$BJ$4),AR338,"")))),"")</f>
        <v>0</v>
      </c>
      <c r="AN338" s="1093"/>
      <c r="AO338" s="1094"/>
      <c r="AP338" s="666">
        <f>+IF(AND(AU338="",BB338="OUI",BH338="non",BI338="OUI"),AM338,IF(AND(AU338="",BB338="OUI",BH338="oui",BI338="NON"),AM338,IF(AND(AU338="",BB338="NON",BH338="oui",BI338="NON"),M338,IF(AND(AU338="",BB338="NON",BH338="non",BI338="OUI"),M338,IF(AND(AU338="",BB338="OUI",BH338="non",BI338="NON"),"ERREUR",IF(AND(AU338="",BB338="NON",BH338="non",BI338="NON"),AM338,IF(AND(AU338="",BB338="OUI",BH338="",BI338=""),AM338,IF(AND(AU338="",BB338="NON",BH338="",BI338="",AZ338="NON"),M338,IF(AND(AU338="",BH338="",AZ338="OUI",AR338=""),AM338,IF(AND(AU338="",BH338="",AZ338="NON",AR338="",AT338=""),M338,IF(AND(OR(AR338=S.CAL!$BJ$3,AR338=S.CAL!$BJ$4),(VLOOKUP($AM$320,base_nbre_sem_mensu,2,FALSE)=52)),EE338,IF(AND(OR(AR338=S.CAL!$BJ$3,AR338=S.CAL!$BJ$4),(VLOOKUP($AM$320,base_nbre_sem_mensu,2,FALSE)&lt;52)),AM338,IF(AND(AT338&lt;&gt;"",AU338=""),AT338,AU338)))))))))))))</f>
        <v>0</v>
      </c>
      <c r="AQ338" s="1378">
        <f t="shared" si="655"/>
        <v>0</v>
      </c>
      <c r="AR338" s="1098"/>
      <c r="AS338" s="1374"/>
      <c r="AT338" s="1101"/>
      <c r="AU338" s="813"/>
      <c r="AV338" s="1370">
        <f t="shared" si="636"/>
        <v>46246</v>
      </c>
      <c r="AW338" s="1374"/>
      <c r="AX338" s="511">
        <f t="shared" si="656"/>
        <v>46246</v>
      </c>
      <c r="AY338" s="523">
        <f t="shared" si="657"/>
        <v>0</v>
      </c>
      <c r="AZ338" s="520" t="s">
        <v>137</v>
      </c>
      <c r="BA338" s="516">
        <f t="shared" si="658"/>
        <v>0</v>
      </c>
      <c r="BB338" s="549" t="str">
        <f t="shared" si="637"/>
        <v/>
      </c>
      <c r="BC338" s="523">
        <f t="shared" si="659"/>
        <v>0</v>
      </c>
      <c r="BD338" s="523">
        <f t="shared" si="660"/>
        <v>0</v>
      </c>
      <c r="BE338" s="732"/>
      <c r="BF338" s="514" t="str">
        <f t="shared" si="638"/>
        <v/>
      </c>
      <c r="BG338" s="514" t="str">
        <f t="shared" si="661"/>
        <v>oui</v>
      </c>
      <c r="BH338" s="377" t="str">
        <f t="shared" si="639"/>
        <v/>
      </c>
      <c r="BI338" s="24" t="str">
        <f t="shared" si="640"/>
        <v/>
      </c>
      <c r="BJ338" s="1382"/>
      <c r="BK338" s="1382"/>
      <c r="BL338" s="1382"/>
      <c r="BM338" s="1382"/>
      <c r="BN338" s="1382"/>
      <c r="BO338" s="1382"/>
      <c r="BP338" s="1382"/>
      <c r="BQ338" s="1382"/>
      <c r="BR338" s="1383"/>
      <c r="BS338" s="1370">
        <f t="shared" si="607"/>
        <v>46246</v>
      </c>
      <c r="BT338" s="1384" t="str">
        <f t="shared" si="669"/>
        <v/>
      </c>
      <c r="BU338" s="1382"/>
      <c r="BV338" s="1382"/>
      <c r="BW338" s="1382"/>
      <c r="BX338" s="1382"/>
      <c r="BY338" s="1382"/>
      <c r="BZ338" s="1382"/>
      <c r="CA338" s="1382"/>
      <c r="CB338" s="1382"/>
      <c r="CD338" s="1386">
        <f t="shared" si="662"/>
        <v>0</v>
      </c>
      <c r="DC338" s="16" t="str">
        <f>Aout!FC31</f>
        <v>non</v>
      </c>
      <c r="DG338" s="315">
        <f t="shared" si="663"/>
        <v>1</v>
      </c>
      <c r="DH338" s="129">
        <f t="shared" si="641"/>
        <v>10</v>
      </c>
      <c r="DI338" s="129">
        <f t="shared" si="664"/>
        <v>1</v>
      </c>
      <c r="DK338" s="16">
        <f>+IF(AND(Aout!$DP$8&lt;&gt;52,AR338=S.CAL!$BJ$4),10,1)</f>
        <v>1</v>
      </c>
      <c r="DN338" s="16">
        <f t="shared" si="642"/>
        <v>1</v>
      </c>
      <c r="DU338" s="1274" t="str">
        <f t="shared" si="665"/>
        <v>Fiche infoA346246</v>
      </c>
      <c r="DV338" s="1362">
        <f t="shared" si="643"/>
        <v>0</v>
      </c>
      <c r="DW338" s="1363">
        <f t="shared" si="644"/>
        <v>0</v>
      </c>
      <c r="DX338" s="1363">
        <f t="shared" si="645"/>
        <v>0</v>
      </c>
      <c r="DY338" s="1363">
        <f t="shared" si="646"/>
        <v>0</v>
      </c>
      <c r="DZ338" s="1363">
        <f t="shared" si="647"/>
        <v>0</v>
      </c>
      <c r="EA338" s="1363">
        <f t="shared" si="648"/>
        <v>0</v>
      </c>
      <c r="EB338" s="1363">
        <f t="shared" si="649"/>
        <v>0</v>
      </c>
      <c r="EC338" s="1363">
        <f t="shared" si="650"/>
        <v>0</v>
      </c>
      <c r="ED338" s="1363">
        <f t="shared" si="666"/>
        <v>0</v>
      </c>
      <c r="EE338" s="1364">
        <f t="shared" si="667"/>
        <v>0</v>
      </c>
      <c r="EG338" s="16" t="str">
        <f t="shared" si="668"/>
        <v>332026</v>
      </c>
      <c r="EH338" s="16" t="str">
        <f t="shared" si="651"/>
        <v>Fiche infoA3</v>
      </c>
      <c r="EI338" s="16" t="str">
        <f t="shared" si="652"/>
        <v/>
      </c>
    </row>
    <row r="339" spans="1:139" x14ac:dyDescent="0.2">
      <c r="A339" s="24" t="str">
        <f>Aout!BJ32</f>
        <v>Fiche infoA4</v>
      </c>
      <c r="B339" s="811">
        <f>Aout!AB32</f>
        <v>46247</v>
      </c>
      <c r="C339" s="1371"/>
      <c r="D339" s="981">
        <f t="shared" si="608"/>
        <v>0</v>
      </c>
      <c r="E339" s="434">
        <f t="shared" si="609"/>
        <v>0</v>
      </c>
      <c r="F339" s="434">
        <f t="shared" si="610"/>
        <v>0</v>
      </c>
      <c r="G339" s="434">
        <f t="shared" si="611"/>
        <v>0</v>
      </c>
      <c r="H339" s="434">
        <f t="shared" si="612"/>
        <v>0</v>
      </c>
      <c r="I339" s="434">
        <f t="shared" si="613"/>
        <v>0</v>
      </c>
      <c r="J339" s="434">
        <f t="shared" si="614"/>
        <v>0</v>
      </c>
      <c r="K339" s="434">
        <f t="shared" si="615"/>
        <v>0</v>
      </c>
      <c r="L339" s="434">
        <f t="shared" si="653"/>
        <v>0</v>
      </c>
      <c r="M339" s="982">
        <f t="shared" si="654"/>
        <v>0</v>
      </c>
      <c r="O339" s="981">
        <f t="shared" si="670"/>
        <v>0</v>
      </c>
      <c r="P339" s="434">
        <f t="shared" si="671"/>
        <v>0</v>
      </c>
      <c r="Q339" s="434">
        <f t="shared" si="672"/>
        <v>0</v>
      </c>
      <c r="R339" s="434">
        <f t="shared" si="673"/>
        <v>0</v>
      </c>
      <c r="S339" s="434">
        <f t="shared" si="674"/>
        <v>0</v>
      </c>
      <c r="T339" s="434">
        <f t="shared" si="675"/>
        <v>0</v>
      </c>
      <c r="U339" s="434">
        <f t="shared" si="676"/>
        <v>0</v>
      </c>
      <c r="V339" s="434">
        <f t="shared" si="677"/>
        <v>0</v>
      </c>
      <c r="W339" s="434">
        <f t="shared" si="624"/>
        <v>0</v>
      </c>
      <c r="X339" s="982">
        <f t="shared" si="625"/>
        <v>0</v>
      </c>
      <c r="Y339" s="441"/>
      <c r="Z339" s="277">
        <f t="shared" si="626"/>
        <v>0</v>
      </c>
      <c r="AA339" s="277">
        <f t="shared" si="627"/>
        <v>0</v>
      </c>
      <c r="AB339" s="277">
        <f t="shared" si="628"/>
        <v>0</v>
      </c>
      <c r="AC339" s="277">
        <f t="shared" si="629"/>
        <v>0</v>
      </c>
      <c r="AD339" s="277">
        <f t="shared" si="630"/>
        <v>0</v>
      </c>
      <c r="AE339" s="277">
        <f t="shared" si="631"/>
        <v>0</v>
      </c>
      <c r="AF339" s="277">
        <f t="shared" si="632"/>
        <v>0</v>
      </c>
      <c r="AG339" s="277">
        <f t="shared" si="633"/>
        <v>0</v>
      </c>
      <c r="AI339" s="444">
        <f t="shared" si="678"/>
        <v>0</v>
      </c>
      <c r="AJ339" s="1090"/>
      <c r="AK339" s="489"/>
      <c r="AL339" s="811">
        <f t="shared" si="635"/>
        <v>46247</v>
      </c>
      <c r="AM339" s="666">
        <f>IFERROR(IF(AND(AT339="",AR339&lt;&gt;S.CAL!$BJ$3,AR339&lt;&gt;S.CAL!$BJ$4,$AR$320="NON"),M339-BD339,IF(AND(AT339="",AR339&lt;&gt;S.CAL!$BJ$3,AR339&lt;&gt;S.CAL!$BJ$4,$AR$320="OUI"),X339-AI339,IF(AT339&lt;&gt;0,AT339,IF(OR(AR339=S.CAL!$BJ$3,AR339=S.CAL!$BJ$4),AR339,"")))),"")</f>
        <v>0</v>
      </c>
      <c r="AN339" s="1093"/>
      <c r="AO339" s="1094"/>
      <c r="AP339" s="666">
        <f>+IF(AND(AU339="",BB339="OUI",BH339="non",BI339="OUI"),AM339,IF(AND(AU339="",BB339="OUI",BH339="oui",BI339="NON"),AM339,IF(AND(AU339="",BB339="NON",BH339="oui",BI339="NON"),M339,IF(AND(AU339="",BB339="NON",BH339="non",BI339="OUI"),M339,IF(AND(AU339="",BB339="OUI",BH339="non",BI339="NON"),"ERREUR",IF(AND(AU339="",BB339="NON",BH339="non",BI339="NON"),AM339,IF(AND(AU339="",BB339="OUI",BH339="",BI339=""),AM339,IF(AND(AU339="",BB339="NON",BH339="",BI339="",AZ339="NON"),M339,IF(AND(AU339="",BH339="",AZ339="OUI",AR339=""),AM339,IF(AND(AU339="",BH339="",AZ339="NON",AR339="",AT339=""),M339,IF(AND(OR(AR339=S.CAL!$BJ$3,AR339=S.CAL!$BJ$4),(VLOOKUP($AM$320,base_nbre_sem_mensu,2,FALSE)=52)),EE339,IF(AND(OR(AR339=S.CAL!$BJ$3,AR339=S.CAL!$BJ$4),(VLOOKUP($AM$320,base_nbre_sem_mensu,2,FALSE)&lt;52)),AM339,IF(AND(AT339&lt;&gt;"",AU339=""),AT339,AU339)))))))))))))</f>
        <v>0</v>
      </c>
      <c r="AQ339" s="498">
        <f t="shared" si="655"/>
        <v>0</v>
      </c>
      <c r="AR339" s="1098"/>
      <c r="AT339" s="1101"/>
      <c r="AU339" s="813"/>
      <c r="AV339" s="1370">
        <f t="shared" si="636"/>
        <v>46247</v>
      </c>
      <c r="AX339" s="511">
        <f t="shared" si="656"/>
        <v>46247</v>
      </c>
      <c r="AY339" s="523">
        <f t="shared" si="657"/>
        <v>0</v>
      </c>
      <c r="AZ339" s="520" t="s">
        <v>137</v>
      </c>
      <c r="BA339" s="516">
        <f t="shared" si="658"/>
        <v>0</v>
      </c>
      <c r="BB339" s="549" t="str">
        <f t="shared" si="637"/>
        <v/>
      </c>
      <c r="BC339" s="523">
        <f t="shared" si="659"/>
        <v>0</v>
      </c>
      <c r="BD339" s="523">
        <f t="shared" si="660"/>
        <v>0</v>
      </c>
      <c r="BE339" s="732"/>
      <c r="BF339" s="514" t="str">
        <f t="shared" si="638"/>
        <v/>
      </c>
      <c r="BG339" s="514" t="str">
        <f t="shared" si="661"/>
        <v>oui</v>
      </c>
      <c r="BH339" s="377" t="str">
        <f t="shared" si="639"/>
        <v/>
      </c>
      <c r="BI339" s="24" t="str">
        <f t="shared" si="640"/>
        <v/>
      </c>
      <c r="BJ339" s="1381"/>
      <c r="BK339" s="1381"/>
      <c r="BL339" s="1381"/>
      <c r="BM339" s="1381"/>
      <c r="BN339" s="1381"/>
      <c r="BO339" s="1381"/>
      <c r="BP339" s="1381"/>
      <c r="BQ339" s="1381"/>
      <c r="BS339" s="1370">
        <f t="shared" si="607"/>
        <v>46247</v>
      </c>
      <c r="BT339" s="27" t="str">
        <f t="shared" si="669"/>
        <v/>
      </c>
      <c r="BU339" s="1380"/>
      <c r="BV339" s="1380"/>
      <c r="BW339" s="1380"/>
      <c r="BX339" s="1380"/>
      <c r="BY339" s="1380"/>
      <c r="BZ339" s="1380"/>
      <c r="CA339" s="1380"/>
      <c r="CB339" s="1380"/>
      <c r="CD339" s="1386">
        <f t="shared" si="662"/>
        <v>0</v>
      </c>
      <c r="DC339" s="16" t="str">
        <f>Aout!FC32</f>
        <v>non</v>
      </c>
      <c r="DG339" s="315">
        <f t="shared" si="663"/>
        <v>1</v>
      </c>
      <c r="DH339" s="129">
        <f t="shared" si="641"/>
        <v>10</v>
      </c>
      <c r="DI339" s="129">
        <f t="shared" si="664"/>
        <v>1</v>
      </c>
      <c r="DK339" s="16">
        <f>+IF(AND(Aout!$DP$8&lt;&gt;52,AR339=S.CAL!$BJ$4),10,1)</f>
        <v>1</v>
      </c>
      <c r="DN339" s="16">
        <f t="shared" si="642"/>
        <v>1</v>
      </c>
      <c r="DU339" s="1274" t="str">
        <f t="shared" si="665"/>
        <v>Fiche infoA446247</v>
      </c>
      <c r="DV339" s="1362">
        <f t="shared" si="643"/>
        <v>0</v>
      </c>
      <c r="DW339" s="1363">
        <f t="shared" si="644"/>
        <v>0</v>
      </c>
      <c r="DX339" s="1363">
        <f t="shared" si="645"/>
        <v>0</v>
      </c>
      <c r="DY339" s="1363">
        <f t="shared" si="646"/>
        <v>0</v>
      </c>
      <c r="DZ339" s="1363">
        <f t="shared" si="647"/>
        <v>0</v>
      </c>
      <c r="EA339" s="1363">
        <f t="shared" si="648"/>
        <v>0</v>
      </c>
      <c r="EB339" s="1363">
        <f t="shared" si="649"/>
        <v>0</v>
      </c>
      <c r="EC339" s="1363">
        <f t="shared" si="650"/>
        <v>0</v>
      </c>
      <c r="ED339" s="1363">
        <f t="shared" si="666"/>
        <v>0</v>
      </c>
      <c r="EE339" s="1364">
        <f t="shared" si="667"/>
        <v>0</v>
      </c>
      <c r="EG339" s="16" t="str">
        <f t="shared" si="668"/>
        <v>332026</v>
      </c>
      <c r="EH339" s="16" t="str">
        <f t="shared" si="651"/>
        <v>Fiche infoA4</v>
      </c>
      <c r="EI339" s="16" t="str">
        <f t="shared" si="652"/>
        <v/>
      </c>
    </row>
    <row r="340" spans="1:139" x14ac:dyDescent="0.2">
      <c r="A340" s="1373" t="str">
        <f>Aout!BJ33</f>
        <v>Fiche infoA5</v>
      </c>
      <c r="B340" s="811">
        <f>Aout!AB33</f>
        <v>46248</v>
      </c>
      <c r="C340" s="1372"/>
      <c r="D340" s="981">
        <f t="shared" si="608"/>
        <v>0</v>
      </c>
      <c r="E340" s="434">
        <f t="shared" si="609"/>
        <v>0</v>
      </c>
      <c r="F340" s="434">
        <f t="shared" si="610"/>
        <v>0</v>
      </c>
      <c r="G340" s="434">
        <f t="shared" si="611"/>
        <v>0</v>
      </c>
      <c r="H340" s="434">
        <f t="shared" si="612"/>
        <v>0</v>
      </c>
      <c r="I340" s="434">
        <f t="shared" si="613"/>
        <v>0</v>
      </c>
      <c r="J340" s="434">
        <f t="shared" si="614"/>
        <v>0</v>
      </c>
      <c r="K340" s="434">
        <f t="shared" si="615"/>
        <v>0</v>
      </c>
      <c r="L340" s="434">
        <f t="shared" si="653"/>
        <v>0</v>
      </c>
      <c r="M340" s="982">
        <f t="shared" si="654"/>
        <v>0</v>
      </c>
      <c r="N340" s="1374"/>
      <c r="O340" s="981">
        <f t="shared" si="670"/>
        <v>0</v>
      </c>
      <c r="P340" s="434">
        <f t="shared" si="671"/>
        <v>0</v>
      </c>
      <c r="Q340" s="434">
        <f t="shared" si="672"/>
        <v>0</v>
      </c>
      <c r="R340" s="434">
        <f t="shared" si="673"/>
        <v>0</v>
      </c>
      <c r="S340" s="434">
        <f t="shared" si="674"/>
        <v>0</v>
      </c>
      <c r="T340" s="434">
        <f t="shared" si="675"/>
        <v>0</v>
      </c>
      <c r="U340" s="434">
        <f t="shared" si="676"/>
        <v>0</v>
      </c>
      <c r="V340" s="434">
        <f t="shared" si="677"/>
        <v>0</v>
      </c>
      <c r="W340" s="434">
        <f t="shared" si="624"/>
        <v>0</v>
      </c>
      <c r="X340" s="982">
        <f t="shared" si="625"/>
        <v>0</v>
      </c>
      <c r="Y340" s="1375"/>
      <c r="Z340" s="1376">
        <f t="shared" si="626"/>
        <v>0</v>
      </c>
      <c r="AA340" s="1376">
        <f t="shared" si="627"/>
        <v>0</v>
      </c>
      <c r="AB340" s="1376">
        <f t="shared" si="628"/>
        <v>0</v>
      </c>
      <c r="AC340" s="1376">
        <f t="shared" si="629"/>
        <v>0</v>
      </c>
      <c r="AD340" s="1376">
        <f t="shared" si="630"/>
        <v>0</v>
      </c>
      <c r="AE340" s="1376">
        <f t="shared" si="631"/>
        <v>0</v>
      </c>
      <c r="AF340" s="1376">
        <f t="shared" si="632"/>
        <v>0</v>
      </c>
      <c r="AG340" s="1376">
        <f t="shared" si="633"/>
        <v>0</v>
      </c>
      <c r="AH340" s="1374"/>
      <c r="AI340" s="444">
        <f t="shared" si="678"/>
        <v>0</v>
      </c>
      <c r="AJ340" s="1090"/>
      <c r="AK340" s="1377"/>
      <c r="AL340" s="811">
        <f t="shared" si="635"/>
        <v>46248</v>
      </c>
      <c r="AM340" s="666">
        <f>IFERROR(IF(AND(AT340="",AR340&lt;&gt;S.CAL!$BJ$3,AR340&lt;&gt;S.CAL!$BJ$4,$AR$320="NON"),M340-BD340,IF(AND(AT340="",AR340&lt;&gt;S.CAL!$BJ$3,AR340&lt;&gt;S.CAL!$BJ$4,$AR$320="OUI"),X340-AI340,IF(AT340&lt;&gt;0,AT340,IF(OR(AR340=S.CAL!$BJ$3,AR340=S.CAL!$BJ$4),AR340,"")))),"")</f>
        <v>0</v>
      </c>
      <c r="AN340" s="1093"/>
      <c r="AO340" s="1094"/>
      <c r="AP340" s="666">
        <f>+IF(AND(AU340="",BB340="OUI",BH340="non",BI340="OUI"),AM340,IF(AND(AU340="",BB340="OUI",BH340="oui",BI340="NON"),AM340,IF(AND(AU340="",BB340="NON",BH340="oui",BI340="NON"),M340,IF(AND(AU340="",BB340="NON",BH340="non",BI340="OUI"),M340,IF(AND(AU340="",BB340="OUI",BH340="non",BI340="NON"),"ERREUR",IF(AND(AU340="",BB340="NON",BH340="non",BI340="NON"),AM340,IF(AND(AU340="",BB340="OUI",BH340="",BI340=""),AM340,IF(AND(AU340="",BB340="NON",BH340="",BI340="",AZ340="NON"),M340,IF(AND(AU340="",BH340="",AZ340="OUI",AR340=""),AM340,IF(AND(AU340="",BH340="",AZ340="NON",AR340="",AT340=""),M340,IF(AND(OR(AR340=S.CAL!$BJ$3,AR340=S.CAL!$BJ$4),(VLOOKUP($AM$320,base_nbre_sem_mensu,2,FALSE)=52)),EE340,IF(AND(OR(AR340=S.CAL!$BJ$3,AR340=S.CAL!$BJ$4),(VLOOKUP($AM$320,base_nbre_sem_mensu,2,FALSE)&lt;52)),AM340,IF(AND(AT340&lt;&gt;"",AU340=""),AT340,AU340)))))))))))))</f>
        <v>0</v>
      </c>
      <c r="AQ340" s="1378">
        <f t="shared" si="655"/>
        <v>0</v>
      </c>
      <c r="AR340" s="1098"/>
      <c r="AS340" s="1374"/>
      <c r="AT340" s="1101"/>
      <c r="AU340" s="813"/>
      <c r="AV340" s="1370">
        <f t="shared" si="636"/>
        <v>46248</v>
      </c>
      <c r="AW340" s="1374"/>
      <c r="AX340" s="511">
        <f t="shared" si="656"/>
        <v>46248</v>
      </c>
      <c r="AY340" s="523">
        <f t="shared" si="657"/>
        <v>0</v>
      </c>
      <c r="AZ340" s="520" t="s">
        <v>137</v>
      </c>
      <c r="BA340" s="516">
        <f t="shared" si="658"/>
        <v>0</v>
      </c>
      <c r="BB340" s="549" t="str">
        <f t="shared" si="637"/>
        <v/>
      </c>
      <c r="BC340" s="523">
        <f t="shared" si="659"/>
        <v>0</v>
      </c>
      <c r="BD340" s="523">
        <f t="shared" si="660"/>
        <v>0</v>
      </c>
      <c r="BE340" s="732"/>
      <c r="BF340" s="514" t="str">
        <f t="shared" si="638"/>
        <v/>
      </c>
      <c r="BG340" s="514" t="str">
        <f t="shared" si="661"/>
        <v>oui</v>
      </c>
      <c r="BH340" s="377" t="str">
        <f t="shared" si="639"/>
        <v/>
      </c>
      <c r="BI340" s="24" t="str">
        <f t="shared" si="640"/>
        <v/>
      </c>
      <c r="BJ340" s="1382"/>
      <c r="BK340" s="1382"/>
      <c r="BL340" s="1382"/>
      <c r="BM340" s="1382"/>
      <c r="BN340" s="1382"/>
      <c r="BO340" s="1382"/>
      <c r="BP340" s="1382"/>
      <c r="BQ340" s="1382"/>
      <c r="BR340" s="1383"/>
      <c r="BS340" s="1370">
        <f t="shared" si="607"/>
        <v>46248</v>
      </c>
      <c r="BT340" s="1384" t="str">
        <f t="shared" si="669"/>
        <v/>
      </c>
      <c r="BU340" s="1382"/>
      <c r="BV340" s="1382"/>
      <c r="BW340" s="1382"/>
      <c r="BX340" s="1382"/>
      <c r="BY340" s="1382"/>
      <c r="BZ340" s="1382"/>
      <c r="CA340" s="1382"/>
      <c r="CB340" s="1382"/>
      <c r="CD340" s="1386">
        <f t="shared" si="662"/>
        <v>0</v>
      </c>
      <c r="DC340" s="16" t="str">
        <f>Aout!FC33</f>
        <v>non</v>
      </c>
      <c r="DG340" s="315">
        <f t="shared" si="663"/>
        <v>1</v>
      </c>
      <c r="DH340" s="129">
        <f t="shared" si="641"/>
        <v>10</v>
      </c>
      <c r="DI340" s="129">
        <f t="shared" si="664"/>
        <v>1</v>
      </c>
      <c r="DK340" s="16">
        <f>+IF(AND(Aout!$DP$8&lt;&gt;52,AR340=S.CAL!$BJ$4),10,1)</f>
        <v>1</v>
      </c>
      <c r="DN340" s="16">
        <f t="shared" si="642"/>
        <v>1</v>
      </c>
      <c r="DU340" s="1274" t="str">
        <f t="shared" si="665"/>
        <v>Fiche infoA546248</v>
      </c>
      <c r="DV340" s="1362">
        <f t="shared" si="643"/>
        <v>0</v>
      </c>
      <c r="DW340" s="1363">
        <f t="shared" si="644"/>
        <v>0</v>
      </c>
      <c r="DX340" s="1363">
        <f t="shared" si="645"/>
        <v>0</v>
      </c>
      <c r="DY340" s="1363">
        <f t="shared" si="646"/>
        <v>0</v>
      </c>
      <c r="DZ340" s="1363">
        <f t="shared" si="647"/>
        <v>0</v>
      </c>
      <c r="EA340" s="1363">
        <f t="shared" si="648"/>
        <v>0</v>
      </c>
      <c r="EB340" s="1363">
        <f t="shared" si="649"/>
        <v>0</v>
      </c>
      <c r="EC340" s="1363">
        <f t="shared" si="650"/>
        <v>0</v>
      </c>
      <c r="ED340" s="1363">
        <f t="shared" si="666"/>
        <v>0</v>
      </c>
      <c r="EE340" s="1364">
        <f t="shared" si="667"/>
        <v>0</v>
      </c>
      <c r="EG340" s="16" t="str">
        <f t="shared" si="668"/>
        <v>332026</v>
      </c>
      <c r="EH340" s="16" t="str">
        <f t="shared" si="651"/>
        <v>Fiche infoA5</v>
      </c>
      <c r="EI340" s="16" t="str">
        <f t="shared" si="652"/>
        <v/>
      </c>
    </row>
    <row r="341" spans="1:139" x14ac:dyDescent="0.2">
      <c r="A341" s="24" t="str">
        <f>Aout!BJ34</f>
        <v>Fiche infoA6</v>
      </c>
      <c r="B341" s="811">
        <f>Aout!AB34</f>
        <v>46249</v>
      </c>
      <c r="C341" s="1371"/>
      <c r="D341" s="981">
        <f t="shared" si="608"/>
        <v>0</v>
      </c>
      <c r="E341" s="434">
        <f t="shared" si="609"/>
        <v>0</v>
      </c>
      <c r="F341" s="434">
        <f t="shared" si="610"/>
        <v>0</v>
      </c>
      <c r="G341" s="434">
        <f t="shared" si="611"/>
        <v>0</v>
      </c>
      <c r="H341" s="434">
        <f t="shared" si="612"/>
        <v>0</v>
      </c>
      <c r="I341" s="434">
        <f t="shared" si="613"/>
        <v>0</v>
      </c>
      <c r="J341" s="434">
        <f t="shared" si="614"/>
        <v>0</v>
      </c>
      <c r="K341" s="434">
        <f t="shared" si="615"/>
        <v>0</v>
      </c>
      <c r="L341" s="434">
        <f t="shared" si="653"/>
        <v>0</v>
      </c>
      <c r="M341" s="982">
        <f t="shared" si="654"/>
        <v>0</v>
      </c>
      <c r="O341" s="981">
        <f t="shared" si="670"/>
        <v>0</v>
      </c>
      <c r="P341" s="434">
        <f t="shared" si="671"/>
        <v>0</v>
      </c>
      <c r="Q341" s="434">
        <f t="shared" si="672"/>
        <v>0</v>
      </c>
      <c r="R341" s="434">
        <f t="shared" si="673"/>
        <v>0</v>
      </c>
      <c r="S341" s="434">
        <f t="shared" si="674"/>
        <v>0</v>
      </c>
      <c r="T341" s="434">
        <f t="shared" si="675"/>
        <v>0</v>
      </c>
      <c r="U341" s="434">
        <f t="shared" si="676"/>
        <v>0</v>
      </c>
      <c r="V341" s="434">
        <f t="shared" si="677"/>
        <v>0</v>
      </c>
      <c r="W341" s="434">
        <f t="shared" si="624"/>
        <v>0</v>
      </c>
      <c r="X341" s="982">
        <f t="shared" si="625"/>
        <v>0</v>
      </c>
      <c r="Y341" s="441"/>
      <c r="Z341" s="277">
        <f t="shared" si="626"/>
        <v>0</v>
      </c>
      <c r="AA341" s="277">
        <f t="shared" si="627"/>
        <v>0</v>
      </c>
      <c r="AB341" s="277">
        <f t="shared" si="628"/>
        <v>0</v>
      </c>
      <c r="AC341" s="277">
        <f t="shared" si="629"/>
        <v>0</v>
      </c>
      <c r="AD341" s="277">
        <f t="shared" si="630"/>
        <v>0</v>
      </c>
      <c r="AE341" s="277">
        <f t="shared" si="631"/>
        <v>0</v>
      </c>
      <c r="AF341" s="277">
        <f t="shared" si="632"/>
        <v>0</v>
      </c>
      <c r="AG341" s="277">
        <f t="shared" si="633"/>
        <v>0</v>
      </c>
      <c r="AI341" s="444">
        <f t="shared" si="678"/>
        <v>0</v>
      </c>
      <c r="AJ341" s="1090"/>
      <c r="AK341" s="489"/>
      <c r="AL341" s="811">
        <f t="shared" si="635"/>
        <v>46249</v>
      </c>
      <c r="AM341" s="666">
        <f>IFERROR(IF(AND(AT341="",AR341&lt;&gt;S.CAL!$BJ$3,AR341&lt;&gt;S.CAL!$BJ$4,$AR$320="NON"),M341-BD341,IF(AND(AT341="",AR341&lt;&gt;S.CAL!$BJ$3,AR341&lt;&gt;S.CAL!$BJ$4,$AR$320="OUI"),X341-AI341,IF(AT341&lt;&gt;0,AT341,IF(OR(AR341=S.CAL!$BJ$3,AR341=S.CAL!$BJ$4),AR341,"")))),"")</f>
        <v>0</v>
      </c>
      <c r="AN341" s="1093"/>
      <c r="AO341" s="1094"/>
      <c r="AP341" s="666">
        <f>+IF(AND(AU341="",BB341="OUI",BH341="non",BI341="OUI"),AM341,IF(AND(AU341="",BB341="OUI",BH341="oui",BI341="NON"),AM341,IF(AND(AU341="",BB341="NON",BH341="oui",BI341="NON"),M341,IF(AND(AU341="",BB341="NON",BH341="non",BI341="OUI"),M341,IF(AND(AU341="",BB341="OUI",BH341="non",BI341="NON"),"ERREUR",IF(AND(AU341="",BB341="NON",BH341="non",BI341="NON"),AM341,IF(AND(AU341="",BB341="OUI",BH341="",BI341=""),AM341,IF(AND(AU341="",BB341="NON",BH341="",BI341="",AZ341="NON"),M341,IF(AND(AU341="",BH341="",AZ341="OUI",AR341=""),AM341,IF(AND(AU341="",BH341="",AZ341="NON",AR341="",AT341=""),M341,IF(AND(OR(AR341=S.CAL!$BJ$3,AR341=S.CAL!$BJ$4),(VLOOKUP($AM$320,base_nbre_sem_mensu,2,FALSE)=52)),EE341,IF(AND(OR(AR341=S.CAL!$BJ$3,AR341=S.CAL!$BJ$4),(VLOOKUP($AM$320,base_nbre_sem_mensu,2,FALSE)&lt;52)),AM341,IF(AND(AT341&lt;&gt;"",AU341=""),AT341,AU341)))))))))))))</f>
        <v>0</v>
      </c>
      <c r="AQ341" s="498">
        <f t="shared" si="655"/>
        <v>0</v>
      </c>
      <c r="AR341" s="1098"/>
      <c r="AT341" s="1101"/>
      <c r="AU341" s="813"/>
      <c r="AV341" s="1370">
        <f t="shared" si="636"/>
        <v>46249</v>
      </c>
      <c r="AX341" s="511">
        <f t="shared" si="656"/>
        <v>46249</v>
      </c>
      <c r="AY341" s="523">
        <f t="shared" si="657"/>
        <v>0</v>
      </c>
      <c r="AZ341" s="520" t="s">
        <v>137</v>
      </c>
      <c r="BA341" s="516">
        <f t="shared" si="658"/>
        <v>0</v>
      </c>
      <c r="BB341" s="549" t="str">
        <f t="shared" si="637"/>
        <v/>
      </c>
      <c r="BC341" s="523">
        <f t="shared" si="659"/>
        <v>0</v>
      </c>
      <c r="BD341" s="523">
        <f t="shared" si="660"/>
        <v>0</v>
      </c>
      <c r="BE341" s="732"/>
      <c r="BF341" s="514" t="str">
        <f t="shared" si="638"/>
        <v/>
      </c>
      <c r="BG341" s="514" t="str">
        <f t="shared" si="661"/>
        <v>oui</v>
      </c>
      <c r="BH341" s="377" t="str">
        <f t="shared" si="639"/>
        <v/>
      </c>
      <c r="BI341" s="24" t="str">
        <f t="shared" si="640"/>
        <v/>
      </c>
      <c r="BJ341" s="1381"/>
      <c r="BK341" s="1381"/>
      <c r="BL341" s="1381"/>
      <c r="BM341" s="1381"/>
      <c r="BN341" s="1381"/>
      <c r="BO341" s="1381"/>
      <c r="BP341" s="1381"/>
      <c r="BQ341" s="1381"/>
      <c r="BS341" s="1370">
        <f t="shared" si="607"/>
        <v>46249</v>
      </c>
      <c r="BT341" s="27" t="str">
        <f t="shared" si="669"/>
        <v/>
      </c>
      <c r="BU341" s="1380"/>
      <c r="BV341" s="1380"/>
      <c r="BW341" s="1380"/>
      <c r="BX341" s="1380"/>
      <c r="BY341" s="1380"/>
      <c r="BZ341" s="1380"/>
      <c r="CA341" s="1380"/>
      <c r="CB341" s="1380"/>
      <c r="CD341" s="1386">
        <f t="shared" si="662"/>
        <v>0</v>
      </c>
      <c r="DC341" s="16" t="str">
        <f>Aout!FC34</f>
        <v>non</v>
      </c>
      <c r="DG341" s="315">
        <f t="shared" si="663"/>
        <v>1</v>
      </c>
      <c r="DH341" s="129">
        <f t="shared" si="641"/>
        <v>10</v>
      </c>
      <c r="DI341" s="129">
        <f t="shared" si="664"/>
        <v>1</v>
      </c>
      <c r="DK341" s="16">
        <f>+IF(AND(Aout!$DP$8&lt;&gt;52,AR341=S.CAL!$BJ$4),10,1)</f>
        <v>1</v>
      </c>
      <c r="DN341" s="16">
        <f t="shared" si="642"/>
        <v>1</v>
      </c>
      <c r="DU341" s="1274" t="str">
        <f t="shared" si="665"/>
        <v>Fiche infoA646249</v>
      </c>
      <c r="DV341" s="1362">
        <f t="shared" si="643"/>
        <v>0</v>
      </c>
      <c r="DW341" s="1363">
        <f t="shared" si="644"/>
        <v>0</v>
      </c>
      <c r="DX341" s="1363">
        <f t="shared" si="645"/>
        <v>0</v>
      </c>
      <c r="DY341" s="1363">
        <f t="shared" si="646"/>
        <v>0</v>
      </c>
      <c r="DZ341" s="1363">
        <f t="shared" si="647"/>
        <v>0</v>
      </c>
      <c r="EA341" s="1363">
        <f t="shared" si="648"/>
        <v>0</v>
      </c>
      <c r="EB341" s="1363">
        <f t="shared" si="649"/>
        <v>0</v>
      </c>
      <c r="EC341" s="1363">
        <f t="shared" si="650"/>
        <v>0</v>
      </c>
      <c r="ED341" s="1363">
        <f t="shared" si="666"/>
        <v>0</v>
      </c>
      <c r="EE341" s="1364">
        <f t="shared" si="667"/>
        <v>0</v>
      </c>
      <c r="EG341" s="16" t="str">
        <f t="shared" si="668"/>
        <v>332026</v>
      </c>
      <c r="EH341" s="16" t="str">
        <f t="shared" si="651"/>
        <v>Fiche infoA6</v>
      </c>
      <c r="EI341" s="16" t="str">
        <f t="shared" si="652"/>
        <v/>
      </c>
    </row>
    <row r="342" spans="1:139" x14ac:dyDescent="0.2">
      <c r="A342" s="1373" t="str">
        <f>Aout!BJ35</f>
        <v>Fiche infoA7</v>
      </c>
      <c r="B342" s="811">
        <f>Aout!AB35</f>
        <v>46250</v>
      </c>
      <c r="C342" s="1372"/>
      <c r="D342" s="981">
        <f t="shared" si="608"/>
        <v>0</v>
      </c>
      <c r="E342" s="434">
        <f t="shared" si="609"/>
        <v>0</v>
      </c>
      <c r="F342" s="434">
        <f t="shared" si="610"/>
        <v>0</v>
      </c>
      <c r="G342" s="434">
        <f t="shared" si="611"/>
        <v>0</v>
      </c>
      <c r="H342" s="434">
        <f t="shared" si="612"/>
        <v>0</v>
      </c>
      <c r="I342" s="434">
        <f t="shared" si="613"/>
        <v>0</v>
      </c>
      <c r="J342" s="434">
        <f t="shared" si="614"/>
        <v>0</v>
      </c>
      <c r="K342" s="434">
        <f t="shared" si="615"/>
        <v>0</v>
      </c>
      <c r="L342" s="434">
        <f t="shared" si="653"/>
        <v>0</v>
      </c>
      <c r="M342" s="982">
        <f t="shared" si="654"/>
        <v>0</v>
      </c>
      <c r="N342" s="1374"/>
      <c r="O342" s="981">
        <f t="shared" si="670"/>
        <v>0</v>
      </c>
      <c r="P342" s="434">
        <f t="shared" si="671"/>
        <v>0</v>
      </c>
      <c r="Q342" s="434">
        <f t="shared" si="672"/>
        <v>0</v>
      </c>
      <c r="R342" s="434">
        <f t="shared" si="673"/>
        <v>0</v>
      </c>
      <c r="S342" s="434">
        <f t="shared" si="674"/>
        <v>0</v>
      </c>
      <c r="T342" s="434">
        <f t="shared" si="675"/>
        <v>0</v>
      </c>
      <c r="U342" s="434">
        <f t="shared" si="676"/>
        <v>0</v>
      </c>
      <c r="V342" s="434">
        <f t="shared" si="677"/>
        <v>0</v>
      </c>
      <c r="W342" s="434">
        <f t="shared" si="624"/>
        <v>0</v>
      </c>
      <c r="X342" s="982">
        <f t="shared" si="625"/>
        <v>0</v>
      </c>
      <c r="Y342" s="1375"/>
      <c r="Z342" s="1376">
        <f t="shared" si="626"/>
        <v>0</v>
      </c>
      <c r="AA342" s="1376">
        <f t="shared" si="627"/>
        <v>0</v>
      </c>
      <c r="AB342" s="1376">
        <f t="shared" si="628"/>
        <v>0</v>
      </c>
      <c r="AC342" s="1376">
        <f t="shared" si="629"/>
        <v>0</v>
      </c>
      <c r="AD342" s="1376">
        <f t="shared" si="630"/>
        <v>0</v>
      </c>
      <c r="AE342" s="1376">
        <f t="shared" si="631"/>
        <v>0</v>
      </c>
      <c r="AF342" s="1376">
        <f t="shared" si="632"/>
        <v>0</v>
      </c>
      <c r="AG342" s="1376">
        <f t="shared" si="633"/>
        <v>0</v>
      </c>
      <c r="AH342" s="1374"/>
      <c r="AI342" s="444">
        <f t="shared" si="678"/>
        <v>0</v>
      </c>
      <c r="AJ342" s="1090"/>
      <c r="AK342" s="1377"/>
      <c r="AL342" s="811">
        <f t="shared" si="635"/>
        <v>46250</v>
      </c>
      <c r="AM342" s="666">
        <f>IFERROR(IF(AND(AT342="",AR342&lt;&gt;S.CAL!$BJ$3,AR342&lt;&gt;S.CAL!$BJ$4,$AR$320="NON"),M342-BD342,IF(AND(AT342="",AR342&lt;&gt;S.CAL!$BJ$3,AR342&lt;&gt;S.CAL!$BJ$4,$AR$320="OUI"),X342-AI342,IF(AT342&lt;&gt;0,AT342,IF(OR(AR342=S.CAL!$BJ$3,AR342=S.CAL!$BJ$4),AR342,"")))),"")</f>
        <v>0</v>
      </c>
      <c r="AN342" s="1093"/>
      <c r="AO342" s="1094"/>
      <c r="AP342" s="666">
        <f>+IF(AND(AU342="",BB342="OUI",BH342="non",BI342="OUI"),AM342,IF(AND(AU342="",BB342="OUI",BH342="oui",BI342="NON"),AM342,IF(AND(AU342="",BB342="NON",BH342="oui",BI342="NON"),M342,IF(AND(AU342="",BB342="NON",BH342="non",BI342="OUI"),M342,IF(AND(AU342="",BB342="OUI",BH342="non",BI342="NON"),"ERREUR",IF(AND(AU342="",BB342="NON",BH342="non",BI342="NON"),AM342,IF(AND(AU342="",BB342="OUI",BH342="",BI342=""),AM342,IF(AND(AU342="",BB342="NON",BH342="",BI342="",AZ342="NON"),M342,IF(AND(AU342="",BH342="",AZ342="OUI",AR342=""),AM342,IF(AND(AU342="",BH342="",AZ342="NON",AR342="",AT342=""),M342,IF(AND(OR(AR342=S.CAL!$BJ$3,AR342=S.CAL!$BJ$4),(VLOOKUP($AM$320,base_nbre_sem_mensu,2,FALSE)=52)),EE342,IF(AND(OR(AR342=S.CAL!$BJ$3,AR342=S.CAL!$BJ$4),(VLOOKUP($AM$320,base_nbre_sem_mensu,2,FALSE)&lt;52)),AM342,IF(AND(AT342&lt;&gt;"",AU342=""),AT342,AU342)))))))))))))</f>
        <v>0</v>
      </c>
      <c r="AQ342" s="1378">
        <f t="shared" si="655"/>
        <v>0</v>
      </c>
      <c r="AR342" s="1098"/>
      <c r="AS342" s="1374"/>
      <c r="AT342" s="1101"/>
      <c r="AU342" s="813"/>
      <c r="AV342" s="1370">
        <f t="shared" si="636"/>
        <v>46250</v>
      </c>
      <c r="AW342" s="1374"/>
      <c r="AX342" s="511">
        <f t="shared" si="656"/>
        <v>46250</v>
      </c>
      <c r="AY342" s="523">
        <f t="shared" si="657"/>
        <v>0</v>
      </c>
      <c r="AZ342" s="520" t="s">
        <v>137</v>
      </c>
      <c r="BA342" s="516">
        <f t="shared" si="658"/>
        <v>0</v>
      </c>
      <c r="BB342" s="549" t="str">
        <f t="shared" si="637"/>
        <v/>
      </c>
      <c r="BC342" s="523">
        <f t="shared" si="659"/>
        <v>0</v>
      </c>
      <c r="BD342" s="523">
        <f t="shared" si="660"/>
        <v>0</v>
      </c>
      <c r="BE342" s="732"/>
      <c r="BF342" s="514" t="str">
        <f t="shared" si="638"/>
        <v/>
      </c>
      <c r="BG342" s="514" t="str">
        <f t="shared" si="661"/>
        <v>oui</v>
      </c>
      <c r="BH342" s="377" t="str">
        <f t="shared" si="639"/>
        <v/>
      </c>
      <c r="BI342" s="24" t="str">
        <f t="shared" si="640"/>
        <v/>
      </c>
      <c r="BJ342" s="1382"/>
      <c r="BK342" s="1382"/>
      <c r="BL342" s="1382"/>
      <c r="BM342" s="1382"/>
      <c r="BN342" s="1382"/>
      <c r="BO342" s="1382"/>
      <c r="BP342" s="1382"/>
      <c r="BQ342" s="1382"/>
      <c r="BR342" s="1383"/>
      <c r="BS342" s="1370">
        <f t="shared" si="607"/>
        <v>46250</v>
      </c>
      <c r="BT342" s="1384" t="str">
        <f t="shared" si="669"/>
        <v/>
      </c>
      <c r="BU342" s="1382"/>
      <c r="BV342" s="1382"/>
      <c r="BW342" s="1382"/>
      <c r="BX342" s="1382"/>
      <c r="BY342" s="1382"/>
      <c r="BZ342" s="1382"/>
      <c r="CA342" s="1382"/>
      <c r="CB342" s="1382"/>
      <c r="CD342" s="1386">
        <f t="shared" si="662"/>
        <v>0</v>
      </c>
      <c r="DC342" s="16" t="str">
        <f>Aout!FC35</f>
        <v>non</v>
      </c>
      <c r="DG342" s="315">
        <f t="shared" si="663"/>
        <v>1</v>
      </c>
      <c r="DH342" s="129">
        <f t="shared" si="641"/>
        <v>10</v>
      </c>
      <c r="DI342" s="129">
        <f t="shared" si="664"/>
        <v>1</v>
      </c>
      <c r="DK342" s="16">
        <f>+IF(AND(Aout!$DP$8&lt;&gt;52,AR342=S.CAL!$BJ$4),10,1)</f>
        <v>1</v>
      </c>
      <c r="DN342" s="16">
        <f t="shared" si="642"/>
        <v>1</v>
      </c>
      <c r="DU342" s="1274" t="str">
        <f t="shared" si="665"/>
        <v>Fiche infoA746250</v>
      </c>
      <c r="DV342" s="1362">
        <f t="shared" si="643"/>
        <v>0</v>
      </c>
      <c r="DW342" s="1363">
        <f t="shared" si="644"/>
        <v>0</v>
      </c>
      <c r="DX342" s="1363">
        <f t="shared" si="645"/>
        <v>0</v>
      </c>
      <c r="DY342" s="1363">
        <f t="shared" si="646"/>
        <v>0</v>
      </c>
      <c r="DZ342" s="1363">
        <f t="shared" si="647"/>
        <v>0</v>
      </c>
      <c r="EA342" s="1363">
        <f t="shared" si="648"/>
        <v>0</v>
      </c>
      <c r="EB342" s="1363">
        <f t="shared" si="649"/>
        <v>0</v>
      </c>
      <c r="EC342" s="1363">
        <f t="shared" si="650"/>
        <v>0</v>
      </c>
      <c r="ED342" s="1363">
        <f t="shared" si="666"/>
        <v>0</v>
      </c>
      <c r="EE342" s="1364">
        <f t="shared" si="667"/>
        <v>0</v>
      </c>
      <c r="EG342" s="16" t="str">
        <f t="shared" si="668"/>
        <v>332026</v>
      </c>
      <c r="EH342" s="16" t="str">
        <f t="shared" si="651"/>
        <v>Fiche infoA7</v>
      </c>
      <c r="EI342" s="16" t="str">
        <f t="shared" si="652"/>
        <v/>
      </c>
    </row>
    <row r="343" spans="1:139" x14ac:dyDescent="0.2">
      <c r="A343" s="24" t="str">
        <f>Aout!BJ36</f>
        <v>Fiche infoA1</v>
      </c>
      <c r="B343" s="811">
        <f>Aout!AB36</f>
        <v>46251</v>
      </c>
      <c r="C343" s="1371"/>
      <c r="D343" s="981">
        <f t="shared" si="608"/>
        <v>0</v>
      </c>
      <c r="E343" s="434">
        <f t="shared" si="609"/>
        <v>0</v>
      </c>
      <c r="F343" s="434">
        <f t="shared" si="610"/>
        <v>0</v>
      </c>
      <c r="G343" s="434">
        <f t="shared" si="611"/>
        <v>0</v>
      </c>
      <c r="H343" s="434">
        <f t="shared" si="612"/>
        <v>0</v>
      </c>
      <c r="I343" s="434">
        <f t="shared" si="613"/>
        <v>0</v>
      </c>
      <c r="J343" s="434">
        <f t="shared" si="614"/>
        <v>0</v>
      </c>
      <c r="K343" s="434">
        <f t="shared" si="615"/>
        <v>0</v>
      </c>
      <c r="L343" s="434">
        <f t="shared" si="653"/>
        <v>0</v>
      </c>
      <c r="M343" s="982">
        <f t="shared" si="654"/>
        <v>0</v>
      </c>
      <c r="O343" s="981">
        <f t="shared" si="670"/>
        <v>0</v>
      </c>
      <c r="P343" s="434">
        <f t="shared" si="671"/>
        <v>0</v>
      </c>
      <c r="Q343" s="434">
        <f t="shared" si="672"/>
        <v>0</v>
      </c>
      <c r="R343" s="434">
        <f t="shared" si="673"/>
        <v>0</v>
      </c>
      <c r="S343" s="434">
        <f t="shared" si="674"/>
        <v>0</v>
      </c>
      <c r="T343" s="434">
        <f t="shared" si="675"/>
        <v>0</v>
      </c>
      <c r="U343" s="434">
        <f t="shared" si="676"/>
        <v>0</v>
      </c>
      <c r="V343" s="434">
        <f t="shared" si="677"/>
        <v>0</v>
      </c>
      <c r="W343" s="434">
        <f t="shared" si="624"/>
        <v>0</v>
      </c>
      <c r="X343" s="982">
        <f t="shared" si="625"/>
        <v>0</v>
      </c>
      <c r="Y343" s="441"/>
      <c r="Z343" s="277">
        <f t="shared" si="626"/>
        <v>0</v>
      </c>
      <c r="AA343" s="277">
        <f t="shared" si="627"/>
        <v>0</v>
      </c>
      <c r="AB343" s="277">
        <f t="shared" si="628"/>
        <v>0</v>
      </c>
      <c r="AC343" s="277">
        <f t="shared" si="629"/>
        <v>0</v>
      </c>
      <c r="AD343" s="277">
        <f t="shared" si="630"/>
        <v>0</v>
      </c>
      <c r="AE343" s="277">
        <f t="shared" si="631"/>
        <v>0</v>
      </c>
      <c r="AF343" s="277">
        <f t="shared" si="632"/>
        <v>0</v>
      </c>
      <c r="AG343" s="277">
        <f t="shared" si="633"/>
        <v>0</v>
      </c>
      <c r="AI343" s="444">
        <f t="shared" si="678"/>
        <v>0</v>
      </c>
      <c r="AJ343" s="1090"/>
      <c r="AK343" s="489"/>
      <c r="AL343" s="811">
        <f t="shared" si="635"/>
        <v>46251</v>
      </c>
      <c r="AM343" s="666">
        <f>IFERROR(IF(AND(AT343="",AR343&lt;&gt;S.CAL!$BJ$3,AR343&lt;&gt;S.CAL!$BJ$4,$AR$320="NON"),M343-BD343,IF(AND(AT343="",AR343&lt;&gt;S.CAL!$BJ$3,AR343&lt;&gt;S.CAL!$BJ$4,$AR$320="OUI"),X343-AI343,IF(AT343&lt;&gt;0,AT343,IF(OR(AR343=S.CAL!$BJ$3,AR343=S.CAL!$BJ$4),AR343,"")))),"")</f>
        <v>0</v>
      </c>
      <c r="AN343" s="1093"/>
      <c r="AO343" s="1094"/>
      <c r="AP343" s="666">
        <f>+IF(AND(AU343="",BB343="OUI",BH343="non",BI343="OUI"),AM343,IF(AND(AU343="",BB343="OUI",BH343="oui",BI343="NON"),AM343,IF(AND(AU343="",BB343="NON",BH343="oui",BI343="NON"),M343,IF(AND(AU343="",BB343="NON",BH343="non",BI343="OUI"),M343,IF(AND(AU343="",BB343="OUI",BH343="non",BI343="NON"),"ERREUR",IF(AND(AU343="",BB343="NON",BH343="non",BI343="NON"),AM343,IF(AND(AU343="",BB343="OUI",BH343="",BI343=""),AM343,IF(AND(AU343="",BB343="NON",BH343="",BI343="",AZ343="NON"),M343,IF(AND(AU343="",BH343="",AZ343="OUI",AR343=""),AM343,IF(AND(AU343="",BH343="",AZ343="NON",AR343="",AT343=""),M343,IF(AND(OR(AR343=S.CAL!$BJ$3,AR343=S.CAL!$BJ$4),(VLOOKUP($AM$320,base_nbre_sem_mensu,2,FALSE)=52)),EE343,IF(AND(OR(AR343=S.CAL!$BJ$3,AR343=S.CAL!$BJ$4),(VLOOKUP($AM$320,base_nbre_sem_mensu,2,FALSE)&lt;52)),AM343,IF(AND(AT343&lt;&gt;"",AU343=""),AT343,AU343)))))))))))))</f>
        <v>0</v>
      </c>
      <c r="AQ343" s="498">
        <f t="shared" si="655"/>
        <v>0</v>
      </c>
      <c r="AR343" s="1098"/>
      <c r="AT343" s="1101"/>
      <c r="AU343" s="813"/>
      <c r="AV343" s="1370">
        <f t="shared" si="636"/>
        <v>46251</v>
      </c>
      <c r="AX343" s="511">
        <f t="shared" si="656"/>
        <v>46251</v>
      </c>
      <c r="AY343" s="523">
        <f t="shared" si="657"/>
        <v>0</v>
      </c>
      <c r="AZ343" s="520" t="s">
        <v>137</v>
      </c>
      <c r="BA343" s="516">
        <f t="shared" si="658"/>
        <v>0</v>
      </c>
      <c r="BB343" s="549" t="str">
        <f t="shared" si="637"/>
        <v/>
      </c>
      <c r="BC343" s="523">
        <f t="shared" si="659"/>
        <v>0</v>
      </c>
      <c r="BD343" s="523">
        <f t="shared" si="660"/>
        <v>0</v>
      </c>
      <c r="BE343" s="732"/>
      <c r="BF343" s="514" t="str">
        <f t="shared" si="638"/>
        <v/>
      </c>
      <c r="BG343" s="514" t="str">
        <f t="shared" si="661"/>
        <v>oui</v>
      </c>
      <c r="BH343" s="377" t="str">
        <f t="shared" si="639"/>
        <v/>
      </c>
      <c r="BI343" s="24" t="str">
        <f t="shared" si="640"/>
        <v/>
      </c>
      <c r="BJ343" s="1381"/>
      <c r="BK343" s="1381"/>
      <c r="BL343" s="1381"/>
      <c r="BM343" s="1381"/>
      <c r="BN343" s="1381"/>
      <c r="BO343" s="1381"/>
      <c r="BP343" s="1381"/>
      <c r="BQ343" s="1381"/>
      <c r="BS343" s="1370">
        <f t="shared" si="607"/>
        <v>46251</v>
      </c>
      <c r="BT343" s="27">
        <f t="shared" si="669"/>
        <v>34</v>
      </c>
      <c r="BU343" s="1380"/>
      <c r="BV343" s="1380"/>
      <c r="BW343" s="1380"/>
      <c r="BX343" s="1380"/>
      <c r="BY343" s="1380"/>
      <c r="BZ343" s="1380"/>
      <c r="CA343" s="1380"/>
      <c r="CB343" s="1380"/>
      <c r="CD343" s="1386">
        <f t="shared" si="662"/>
        <v>0</v>
      </c>
      <c r="DC343" s="16" t="str">
        <f>Aout!FC36</f>
        <v>non</v>
      </c>
      <c r="DG343" s="315">
        <f t="shared" si="663"/>
        <v>1</v>
      </c>
      <c r="DH343" s="129">
        <f t="shared" si="641"/>
        <v>10</v>
      </c>
      <c r="DI343" s="129">
        <f t="shared" si="664"/>
        <v>1</v>
      </c>
      <c r="DK343" s="16">
        <f>+IF(AND(Aout!$DP$8&lt;&gt;52,AR343=S.CAL!$BJ$4),10,1)</f>
        <v>1</v>
      </c>
      <c r="DN343" s="16">
        <f t="shared" si="642"/>
        <v>1</v>
      </c>
      <c r="DU343" s="1274" t="str">
        <f t="shared" si="665"/>
        <v>Fiche infoA146251</v>
      </c>
      <c r="DV343" s="1362">
        <f t="shared" si="643"/>
        <v>0</v>
      </c>
      <c r="DW343" s="1363">
        <f t="shared" si="644"/>
        <v>0</v>
      </c>
      <c r="DX343" s="1363">
        <f t="shared" si="645"/>
        <v>0</v>
      </c>
      <c r="DY343" s="1363">
        <f t="shared" si="646"/>
        <v>0</v>
      </c>
      <c r="DZ343" s="1363">
        <f t="shared" si="647"/>
        <v>0</v>
      </c>
      <c r="EA343" s="1363">
        <f t="shared" si="648"/>
        <v>0</v>
      </c>
      <c r="EB343" s="1363">
        <f t="shared" si="649"/>
        <v>0</v>
      </c>
      <c r="EC343" s="1363">
        <f t="shared" si="650"/>
        <v>0</v>
      </c>
      <c r="ED343" s="1363">
        <f t="shared" si="666"/>
        <v>0</v>
      </c>
      <c r="EE343" s="1364">
        <f t="shared" si="667"/>
        <v>0</v>
      </c>
      <c r="EG343" s="16" t="str">
        <f t="shared" si="668"/>
        <v>342026</v>
      </c>
      <c r="EH343" s="16" t="str">
        <f t="shared" si="651"/>
        <v>Fiche infoA1</v>
      </c>
      <c r="EI343" s="16" t="str">
        <f t="shared" si="652"/>
        <v/>
      </c>
    </row>
    <row r="344" spans="1:139" x14ac:dyDescent="0.2">
      <c r="A344" s="1373" t="str">
        <f>Aout!BJ37</f>
        <v>Fiche infoA2</v>
      </c>
      <c r="B344" s="811">
        <f>Aout!AB37</f>
        <v>46252</v>
      </c>
      <c r="C344" s="1372"/>
      <c r="D344" s="981">
        <f t="shared" si="608"/>
        <v>0</v>
      </c>
      <c r="E344" s="434">
        <f t="shared" si="609"/>
        <v>0</v>
      </c>
      <c r="F344" s="434">
        <f t="shared" si="610"/>
        <v>0</v>
      </c>
      <c r="G344" s="434">
        <f t="shared" si="611"/>
        <v>0</v>
      </c>
      <c r="H344" s="434">
        <f t="shared" si="612"/>
        <v>0</v>
      </c>
      <c r="I344" s="434">
        <f t="shared" si="613"/>
        <v>0</v>
      </c>
      <c r="J344" s="434">
        <f t="shared" si="614"/>
        <v>0</v>
      </c>
      <c r="K344" s="434">
        <f t="shared" si="615"/>
        <v>0</v>
      </c>
      <c r="L344" s="434">
        <f t="shared" si="653"/>
        <v>0</v>
      </c>
      <c r="M344" s="982">
        <f t="shared" si="654"/>
        <v>0</v>
      </c>
      <c r="N344" s="1374"/>
      <c r="O344" s="981">
        <f t="shared" si="670"/>
        <v>0</v>
      </c>
      <c r="P344" s="434">
        <f t="shared" si="671"/>
        <v>0</v>
      </c>
      <c r="Q344" s="434">
        <f t="shared" si="672"/>
        <v>0</v>
      </c>
      <c r="R344" s="434">
        <f t="shared" si="673"/>
        <v>0</v>
      </c>
      <c r="S344" s="434">
        <f t="shared" si="674"/>
        <v>0</v>
      </c>
      <c r="T344" s="434">
        <f t="shared" si="675"/>
        <v>0</v>
      </c>
      <c r="U344" s="434">
        <f t="shared" si="676"/>
        <v>0</v>
      </c>
      <c r="V344" s="434">
        <f t="shared" si="677"/>
        <v>0</v>
      </c>
      <c r="W344" s="434">
        <f t="shared" si="624"/>
        <v>0</v>
      </c>
      <c r="X344" s="982">
        <f t="shared" si="625"/>
        <v>0</v>
      </c>
      <c r="Y344" s="1375"/>
      <c r="Z344" s="1376">
        <f t="shared" si="626"/>
        <v>0</v>
      </c>
      <c r="AA344" s="1376">
        <f t="shared" si="627"/>
        <v>0</v>
      </c>
      <c r="AB344" s="1376">
        <f t="shared" si="628"/>
        <v>0</v>
      </c>
      <c r="AC344" s="1376">
        <f t="shared" si="629"/>
        <v>0</v>
      </c>
      <c r="AD344" s="1376">
        <f t="shared" si="630"/>
        <v>0</v>
      </c>
      <c r="AE344" s="1376">
        <f t="shared" si="631"/>
        <v>0</v>
      </c>
      <c r="AF344" s="1376">
        <f t="shared" si="632"/>
        <v>0</v>
      </c>
      <c r="AG344" s="1376">
        <f t="shared" si="633"/>
        <v>0</v>
      </c>
      <c r="AH344" s="1374"/>
      <c r="AI344" s="444">
        <f t="shared" si="678"/>
        <v>0</v>
      </c>
      <c r="AJ344" s="1090"/>
      <c r="AK344" s="1377"/>
      <c r="AL344" s="811">
        <f t="shared" si="635"/>
        <v>46252</v>
      </c>
      <c r="AM344" s="666">
        <f>IFERROR(IF(AND(AT344="",AR344&lt;&gt;S.CAL!$BJ$3,AR344&lt;&gt;S.CAL!$BJ$4,$AR$320="NON"),M344-BD344,IF(AND(AT344="",AR344&lt;&gt;S.CAL!$BJ$3,AR344&lt;&gt;S.CAL!$BJ$4,$AR$320="OUI"),X344-AI344,IF(AT344&lt;&gt;0,AT344,IF(OR(AR344=S.CAL!$BJ$3,AR344=S.CAL!$BJ$4),AR344,"")))),"")</f>
        <v>0</v>
      </c>
      <c r="AN344" s="1093"/>
      <c r="AO344" s="1094"/>
      <c r="AP344" s="666">
        <f>+IF(AND(AU344="",BB344="OUI",BH344="non",BI344="OUI"),AM344,IF(AND(AU344="",BB344="OUI",BH344="oui",BI344="NON"),AM344,IF(AND(AU344="",BB344="NON",BH344="oui",BI344="NON"),M344,IF(AND(AU344="",BB344="NON",BH344="non",BI344="OUI"),M344,IF(AND(AU344="",BB344="OUI",BH344="non",BI344="NON"),"ERREUR",IF(AND(AU344="",BB344="NON",BH344="non",BI344="NON"),AM344,IF(AND(AU344="",BB344="OUI",BH344="",BI344=""),AM344,IF(AND(AU344="",BB344="NON",BH344="",BI344="",AZ344="NON"),M344,IF(AND(AU344="",BH344="",AZ344="OUI",AR344=""),AM344,IF(AND(AU344="",BH344="",AZ344="NON",AR344="",AT344=""),M344,IF(AND(OR(AR344=S.CAL!$BJ$3,AR344=S.CAL!$BJ$4),(VLOOKUP($AM$320,base_nbre_sem_mensu,2,FALSE)=52)),EE344,IF(AND(OR(AR344=S.CAL!$BJ$3,AR344=S.CAL!$BJ$4),(VLOOKUP($AM$320,base_nbre_sem_mensu,2,FALSE)&lt;52)),AM344,IF(AND(AT344&lt;&gt;"",AU344=""),AT344,AU344)))))))))))))</f>
        <v>0</v>
      </c>
      <c r="AQ344" s="1378">
        <f t="shared" si="655"/>
        <v>0</v>
      </c>
      <c r="AR344" s="1098"/>
      <c r="AS344" s="1374"/>
      <c r="AT344" s="1101"/>
      <c r="AU344" s="813"/>
      <c r="AV344" s="1370">
        <f t="shared" si="636"/>
        <v>46252</v>
      </c>
      <c r="AW344" s="1374"/>
      <c r="AX344" s="511">
        <f t="shared" si="656"/>
        <v>46252</v>
      </c>
      <c r="AY344" s="523">
        <f t="shared" si="657"/>
        <v>0</v>
      </c>
      <c r="AZ344" s="520" t="s">
        <v>137</v>
      </c>
      <c r="BA344" s="516">
        <f t="shared" si="658"/>
        <v>0</v>
      </c>
      <c r="BB344" s="549" t="str">
        <f t="shared" si="637"/>
        <v/>
      </c>
      <c r="BC344" s="523">
        <f t="shared" si="659"/>
        <v>0</v>
      </c>
      <c r="BD344" s="523">
        <f t="shared" si="660"/>
        <v>0</v>
      </c>
      <c r="BE344" s="732"/>
      <c r="BF344" s="514" t="str">
        <f t="shared" si="638"/>
        <v/>
      </c>
      <c r="BG344" s="514" t="str">
        <f t="shared" si="661"/>
        <v>oui</v>
      </c>
      <c r="BH344" s="377" t="str">
        <f t="shared" si="639"/>
        <v/>
      </c>
      <c r="BI344" s="24" t="str">
        <f t="shared" si="640"/>
        <v/>
      </c>
      <c r="BJ344" s="1382"/>
      <c r="BK344" s="1382"/>
      <c r="BL344" s="1382"/>
      <c r="BM344" s="1382"/>
      <c r="BN344" s="1382"/>
      <c r="BO344" s="1382"/>
      <c r="BP344" s="1382"/>
      <c r="BQ344" s="1382"/>
      <c r="BR344" s="1383"/>
      <c r="BS344" s="1370">
        <f t="shared" si="607"/>
        <v>46252</v>
      </c>
      <c r="BT344" s="1384" t="str">
        <f t="shared" si="669"/>
        <v/>
      </c>
      <c r="BU344" s="1382"/>
      <c r="BV344" s="1382"/>
      <c r="BW344" s="1382"/>
      <c r="BX344" s="1382"/>
      <c r="BY344" s="1382"/>
      <c r="BZ344" s="1382"/>
      <c r="CA344" s="1382"/>
      <c r="CB344" s="1382"/>
      <c r="CD344" s="1386">
        <f t="shared" si="662"/>
        <v>0</v>
      </c>
      <c r="DC344" s="16" t="str">
        <f>Aout!FC37</f>
        <v>non</v>
      </c>
      <c r="DG344" s="315">
        <f t="shared" si="663"/>
        <v>1</v>
      </c>
      <c r="DH344" s="129">
        <f t="shared" si="641"/>
        <v>10</v>
      </c>
      <c r="DI344" s="129">
        <f t="shared" si="664"/>
        <v>1</v>
      </c>
      <c r="DK344" s="16">
        <f>+IF(AND(Aout!$DP$8&lt;&gt;52,AR344=S.CAL!$BJ$4),10,1)</f>
        <v>1</v>
      </c>
      <c r="DN344" s="16">
        <f t="shared" si="642"/>
        <v>1</v>
      </c>
      <c r="DU344" s="1274" t="str">
        <f t="shared" si="665"/>
        <v>Fiche infoA246252</v>
      </c>
      <c r="DV344" s="1362">
        <f t="shared" si="643"/>
        <v>0</v>
      </c>
      <c r="DW344" s="1363">
        <f t="shared" si="644"/>
        <v>0</v>
      </c>
      <c r="DX344" s="1363">
        <f t="shared" si="645"/>
        <v>0</v>
      </c>
      <c r="DY344" s="1363">
        <f t="shared" si="646"/>
        <v>0</v>
      </c>
      <c r="DZ344" s="1363">
        <f t="shared" si="647"/>
        <v>0</v>
      </c>
      <c r="EA344" s="1363">
        <f t="shared" si="648"/>
        <v>0</v>
      </c>
      <c r="EB344" s="1363">
        <f t="shared" si="649"/>
        <v>0</v>
      </c>
      <c r="EC344" s="1363">
        <f t="shared" si="650"/>
        <v>0</v>
      </c>
      <c r="ED344" s="1363">
        <f t="shared" si="666"/>
        <v>0</v>
      </c>
      <c r="EE344" s="1364">
        <f t="shared" si="667"/>
        <v>0</v>
      </c>
      <c r="EG344" s="16" t="str">
        <f t="shared" si="668"/>
        <v>342026</v>
      </c>
      <c r="EH344" s="16" t="str">
        <f t="shared" si="651"/>
        <v>Fiche infoA2</v>
      </c>
      <c r="EI344" s="16" t="str">
        <f t="shared" si="652"/>
        <v/>
      </c>
    </row>
    <row r="345" spans="1:139" x14ac:dyDescent="0.2">
      <c r="A345" s="24" t="str">
        <f>Aout!BJ38</f>
        <v>Fiche infoA3</v>
      </c>
      <c r="B345" s="811">
        <f>Aout!AB38</f>
        <v>46253</v>
      </c>
      <c r="C345" s="1371"/>
      <c r="D345" s="981">
        <f t="shared" si="608"/>
        <v>0</v>
      </c>
      <c r="E345" s="434">
        <f t="shared" si="609"/>
        <v>0</v>
      </c>
      <c r="F345" s="434">
        <f t="shared" si="610"/>
        <v>0</v>
      </c>
      <c r="G345" s="434">
        <f t="shared" si="611"/>
        <v>0</v>
      </c>
      <c r="H345" s="434">
        <f t="shared" si="612"/>
        <v>0</v>
      </c>
      <c r="I345" s="434">
        <f t="shared" si="613"/>
        <v>0</v>
      </c>
      <c r="J345" s="434">
        <f t="shared" si="614"/>
        <v>0</v>
      </c>
      <c r="K345" s="434">
        <f t="shared" si="615"/>
        <v>0</v>
      </c>
      <c r="L345" s="434">
        <f t="shared" si="653"/>
        <v>0</v>
      </c>
      <c r="M345" s="982">
        <f t="shared" si="654"/>
        <v>0</v>
      </c>
      <c r="O345" s="981">
        <f t="shared" si="670"/>
        <v>0</v>
      </c>
      <c r="P345" s="434">
        <f t="shared" si="671"/>
        <v>0</v>
      </c>
      <c r="Q345" s="434">
        <f t="shared" si="672"/>
        <v>0</v>
      </c>
      <c r="R345" s="434">
        <f t="shared" si="673"/>
        <v>0</v>
      </c>
      <c r="S345" s="434">
        <f t="shared" si="674"/>
        <v>0</v>
      </c>
      <c r="T345" s="434">
        <f t="shared" si="675"/>
        <v>0</v>
      </c>
      <c r="U345" s="434">
        <f t="shared" si="676"/>
        <v>0</v>
      </c>
      <c r="V345" s="434">
        <f t="shared" si="677"/>
        <v>0</v>
      </c>
      <c r="W345" s="434">
        <f t="shared" si="624"/>
        <v>0</v>
      </c>
      <c r="X345" s="982">
        <f t="shared" si="625"/>
        <v>0</v>
      </c>
      <c r="Y345" s="441"/>
      <c r="Z345" s="277">
        <f t="shared" si="626"/>
        <v>0</v>
      </c>
      <c r="AA345" s="277">
        <f t="shared" si="627"/>
        <v>0</v>
      </c>
      <c r="AB345" s="277">
        <f t="shared" si="628"/>
        <v>0</v>
      </c>
      <c r="AC345" s="277">
        <f t="shared" si="629"/>
        <v>0</v>
      </c>
      <c r="AD345" s="277">
        <f t="shared" si="630"/>
        <v>0</v>
      </c>
      <c r="AE345" s="277">
        <f t="shared" si="631"/>
        <v>0</v>
      </c>
      <c r="AF345" s="277">
        <f t="shared" si="632"/>
        <v>0</v>
      </c>
      <c r="AG345" s="277">
        <f t="shared" si="633"/>
        <v>0</v>
      </c>
      <c r="AI345" s="444">
        <f t="shared" si="678"/>
        <v>0</v>
      </c>
      <c r="AJ345" s="1090"/>
      <c r="AK345" s="489"/>
      <c r="AL345" s="811">
        <f t="shared" si="635"/>
        <v>46253</v>
      </c>
      <c r="AM345" s="666">
        <f>IFERROR(IF(AND(AT345="",AR345&lt;&gt;S.CAL!$BJ$3,AR345&lt;&gt;S.CAL!$BJ$4,$AR$320="NON"),M345-BD345,IF(AND(AT345="",AR345&lt;&gt;S.CAL!$BJ$3,AR345&lt;&gt;S.CAL!$BJ$4,$AR$320="OUI"),X345-AI345,IF(AT345&lt;&gt;0,AT345,IF(OR(AR345=S.CAL!$BJ$3,AR345=S.CAL!$BJ$4),AR345,"")))),"")</f>
        <v>0</v>
      </c>
      <c r="AN345" s="1093"/>
      <c r="AO345" s="1094"/>
      <c r="AP345" s="666">
        <f>+IF(AND(AU345="",BB345="OUI",BH345="non",BI345="OUI"),AM345,IF(AND(AU345="",BB345="OUI",BH345="oui",BI345="NON"),AM345,IF(AND(AU345="",BB345="NON",BH345="oui",BI345="NON"),M345,IF(AND(AU345="",BB345="NON",BH345="non",BI345="OUI"),M345,IF(AND(AU345="",BB345="OUI",BH345="non",BI345="NON"),"ERREUR",IF(AND(AU345="",BB345="NON",BH345="non",BI345="NON"),AM345,IF(AND(AU345="",BB345="OUI",BH345="",BI345=""),AM345,IF(AND(AU345="",BB345="NON",BH345="",BI345="",AZ345="NON"),M345,IF(AND(AU345="",BH345="",AZ345="OUI",AR345=""),AM345,IF(AND(AU345="",BH345="",AZ345="NON",AR345="",AT345=""),M345,IF(AND(OR(AR345=S.CAL!$BJ$3,AR345=S.CAL!$BJ$4),(VLOOKUP($AM$320,base_nbre_sem_mensu,2,FALSE)=52)),EE345,IF(AND(OR(AR345=S.CAL!$BJ$3,AR345=S.CAL!$BJ$4),(VLOOKUP($AM$320,base_nbre_sem_mensu,2,FALSE)&lt;52)),AM345,IF(AND(AT345&lt;&gt;"",AU345=""),AT345,AU345)))))))))))))</f>
        <v>0</v>
      </c>
      <c r="AQ345" s="498">
        <f t="shared" si="655"/>
        <v>0</v>
      </c>
      <c r="AR345" s="1098"/>
      <c r="AT345" s="1101"/>
      <c r="AU345" s="813"/>
      <c r="AV345" s="1370">
        <f t="shared" si="636"/>
        <v>46253</v>
      </c>
      <c r="AX345" s="511">
        <f t="shared" si="656"/>
        <v>46253</v>
      </c>
      <c r="AY345" s="523">
        <f t="shared" si="657"/>
        <v>0</v>
      </c>
      <c r="AZ345" s="520" t="s">
        <v>137</v>
      </c>
      <c r="BA345" s="516">
        <f t="shared" si="658"/>
        <v>0</v>
      </c>
      <c r="BB345" s="549" t="str">
        <f t="shared" si="637"/>
        <v/>
      </c>
      <c r="BC345" s="523">
        <f t="shared" si="659"/>
        <v>0</v>
      </c>
      <c r="BD345" s="523">
        <f t="shared" si="660"/>
        <v>0</v>
      </c>
      <c r="BE345" s="732"/>
      <c r="BF345" s="514" t="str">
        <f t="shared" si="638"/>
        <v/>
      </c>
      <c r="BG345" s="514" t="str">
        <f t="shared" si="661"/>
        <v>oui</v>
      </c>
      <c r="BH345" s="377" t="str">
        <f t="shared" si="639"/>
        <v/>
      </c>
      <c r="BI345" s="24" t="str">
        <f t="shared" si="640"/>
        <v/>
      </c>
      <c r="BJ345" s="1381"/>
      <c r="BK345" s="1381"/>
      <c r="BL345" s="1381"/>
      <c r="BM345" s="1381"/>
      <c r="BN345" s="1381"/>
      <c r="BO345" s="1381"/>
      <c r="BP345" s="1381"/>
      <c r="BQ345" s="1381"/>
      <c r="BS345" s="1370">
        <f t="shared" si="607"/>
        <v>46253</v>
      </c>
      <c r="BT345" s="27" t="str">
        <f t="shared" si="669"/>
        <v/>
      </c>
      <c r="BU345" s="1380"/>
      <c r="BV345" s="1380"/>
      <c r="BW345" s="1380"/>
      <c r="BX345" s="1380"/>
      <c r="BY345" s="1380"/>
      <c r="BZ345" s="1380"/>
      <c r="CA345" s="1380"/>
      <c r="CB345" s="1380"/>
      <c r="CD345" s="1386">
        <f t="shared" si="662"/>
        <v>0</v>
      </c>
      <c r="DC345" s="16" t="str">
        <f>Aout!FC38</f>
        <v>non</v>
      </c>
      <c r="DG345" s="315">
        <f t="shared" si="663"/>
        <v>1</v>
      </c>
      <c r="DH345" s="129">
        <f t="shared" si="641"/>
        <v>10</v>
      </c>
      <c r="DI345" s="129">
        <f t="shared" si="664"/>
        <v>1</v>
      </c>
      <c r="DK345" s="16">
        <f>+IF(AND(Aout!$DP$8&lt;&gt;52,AR345=S.CAL!$BJ$4),10,1)</f>
        <v>1</v>
      </c>
      <c r="DN345" s="16">
        <f t="shared" si="642"/>
        <v>1</v>
      </c>
      <c r="DU345" s="1274" t="str">
        <f t="shared" si="665"/>
        <v>Fiche infoA346253</v>
      </c>
      <c r="DV345" s="1362">
        <f t="shared" si="643"/>
        <v>0</v>
      </c>
      <c r="DW345" s="1363">
        <f t="shared" si="644"/>
        <v>0</v>
      </c>
      <c r="DX345" s="1363">
        <f t="shared" si="645"/>
        <v>0</v>
      </c>
      <c r="DY345" s="1363">
        <f t="shared" si="646"/>
        <v>0</v>
      </c>
      <c r="DZ345" s="1363">
        <f t="shared" si="647"/>
        <v>0</v>
      </c>
      <c r="EA345" s="1363">
        <f t="shared" si="648"/>
        <v>0</v>
      </c>
      <c r="EB345" s="1363">
        <f t="shared" si="649"/>
        <v>0</v>
      </c>
      <c r="EC345" s="1363">
        <f t="shared" si="650"/>
        <v>0</v>
      </c>
      <c r="ED345" s="1363">
        <f t="shared" si="666"/>
        <v>0</v>
      </c>
      <c r="EE345" s="1364">
        <f t="shared" si="667"/>
        <v>0</v>
      </c>
      <c r="EG345" s="16" t="str">
        <f t="shared" si="668"/>
        <v>342026</v>
      </c>
      <c r="EH345" s="16" t="str">
        <f t="shared" si="651"/>
        <v>Fiche infoA3</v>
      </c>
      <c r="EI345" s="16" t="str">
        <f t="shared" si="652"/>
        <v/>
      </c>
    </row>
    <row r="346" spans="1:139" x14ac:dyDescent="0.2">
      <c r="A346" s="1373" t="str">
        <f>Aout!BJ39</f>
        <v>Fiche infoA4</v>
      </c>
      <c r="B346" s="811">
        <f>Aout!AB39</f>
        <v>46254</v>
      </c>
      <c r="C346" s="1372"/>
      <c r="D346" s="981">
        <f t="shared" si="608"/>
        <v>0</v>
      </c>
      <c r="E346" s="434">
        <f t="shared" si="609"/>
        <v>0</v>
      </c>
      <c r="F346" s="434">
        <f t="shared" si="610"/>
        <v>0</v>
      </c>
      <c r="G346" s="434">
        <f t="shared" si="611"/>
        <v>0</v>
      </c>
      <c r="H346" s="434">
        <f t="shared" si="612"/>
        <v>0</v>
      </c>
      <c r="I346" s="434">
        <f t="shared" si="613"/>
        <v>0</v>
      </c>
      <c r="J346" s="434">
        <f t="shared" si="614"/>
        <v>0</v>
      </c>
      <c r="K346" s="434">
        <f t="shared" si="615"/>
        <v>0</v>
      </c>
      <c r="L346" s="434">
        <f t="shared" si="653"/>
        <v>0</v>
      </c>
      <c r="M346" s="982">
        <f t="shared" si="654"/>
        <v>0</v>
      </c>
      <c r="N346" s="1374"/>
      <c r="O346" s="981">
        <f t="shared" si="670"/>
        <v>0</v>
      </c>
      <c r="P346" s="434">
        <f t="shared" si="671"/>
        <v>0</v>
      </c>
      <c r="Q346" s="434">
        <f t="shared" si="672"/>
        <v>0</v>
      </c>
      <c r="R346" s="434">
        <f t="shared" si="673"/>
        <v>0</v>
      </c>
      <c r="S346" s="434">
        <f t="shared" si="674"/>
        <v>0</v>
      </c>
      <c r="T346" s="434">
        <f t="shared" si="675"/>
        <v>0</v>
      </c>
      <c r="U346" s="434">
        <f t="shared" si="676"/>
        <v>0</v>
      </c>
      <c r="V346" s="434">
        <f t="shared" si="677"/>
        <v>0</v>
      </c>
      <c r="W346" s="434">
        <f t="shared" si="624"/>
        <v>0</v>
      </c>
      <c r="X346" s="982">
        <f t="shared" si="625"/>
        <v>0</v>
      </c>
      <c r="Y346" s="1375"/>
      <c r="Z346" s="1376">
        <f t="shared" si="626"/>
        <v>0</v>
      </c>
      <c r="AA346" s="1376">
        <f t="shared" si="627"/>
        <v>0</v>
      </c>
      <c r="AB346" s="1376">
        <f t="shared" si="628"/>
        <v>0</v>
      </c>
      <c r="AC346" s="1376">
        <f t="shared" si="629"/>
        <v>0</v>
      </c>
      <c r="AD346" s="1376">
        <f t="shared" si="630"/>
        <v>0</v>
      </c>
      <c r="AE346" s="1376">
        <f t="shared" si="631"/>
        <v>0</v>
      </c>
      <c r="AF346" s="1376">
        <f t="shared" si="632"/>
        <v>0</v>
      </c>
      <c r="AG346" s="1376">
        <f t="shared" si="633"/>
        <v>0</v>
      </c>
      <c r="AH346" s="1374"/>
      <c r="AI346" s="444">
        <f t="shared" si="678"/>
        <v>0</v>
      </c>
      <c r="AJ346" s="1090"/>
      <c r="AK346" s="1377"/>
      <c r="AL346" s="811">
        <f t="shared" si="635"/>
        <v>46254</v>
      </c>
      <c r="AM346" s="666">
        <f>IFERROR(IF(AND(AT346="",AR346&lt;&gt;S.CAL!$BJ$3,AR346&lt;&gt;S.CAL!$BJ$4,$AR$320="NON"),M346-BD346,IF(AND(AT346="",AR346&lt;&gt;S.CAL!$BJ$3,AR346&lt;&gt;S.CAL!$BJ$4,$AR$320="OUI"),X346-AI346,IF(AT346&lt;&gt;0,AT346,IF(OR(AR346=S.CAL!$BJ$3,AR346=S.CAL!$BJ$4),AR346,"")))),"")</f>
        <v>0</v>
      </c>
      <c r="AN346" s="1093"/>
      <c r="AO346" s="1094"/>
      <c r="AP346" s="666">
        <f>+IF(AND(AU346="",BB346="OUI",BH346="non",BI346="OUI"),AM346,IF(AND(AU346="",BB346="OUI",BH346="oui",BI346="NON"),AM346,IF(AND(AU346="",BB346="NON",BH346="oui",BI346="NON"),M346,IF(AND(AU346="",BB346="NON",BH346="non",BI346="OUI"),M346,IF(AND(AU346="",BB346="OUI",BH346="non",BI346="NON"),"ERREUR",IF(AND(AU346="",BB346="NON",BH346="non",BI346="NON"),AM346,IF(AND(AU346="",BB346="OUI",BH346="",BI346=""),AM346,IF(AND(AU346="",BB346="NON",BH346="",BI346="",AZ346="NON"),M346,IF(AND(AU346="",BH346="",AZ346="OUI",AR346=""),AM346,IF(AND(AU346="",BH346="",AZ346="NON",AR346="",AT346=""),M346,IF(AND(OR(AR346=S.CAL!$BJ$3,AR346=S.CAL!$BJ$4),(VLOOKUP($AM$320,base_nbre_sem_mensu,2,FALSE)=52)),EE346,IF(AND(OR(AR346=S.CAL!$BJ$3,AR346=S.CAL!$BJ$4),(VLOOKUP($AM$320,base_nbre_sem_mensu,2,FALSE)&lt;52)),AM346,IF(AND(AT346&lt;&gt;"",AU346=""),AT346,AU346)))))))))))))</f>
        <v>0</v>
      </c>
      <c r="AQ346" s="1378">
        <f t="shared" si="655"/>
        <v>0</v>
      </c>
      <c r="AR346" s="1098"/>
      <c r="AS346" s="1374"/>
      <c r="AT346" s="1101"/>
      <c r="AU346" s="813"/>
      <c r="AV346" s="1370">
        <f t="shared" si="636"/>
        <v>46254</v>
      </c>
      <c r="AW346" s="1374"/>
      <c r="AX346" s="511">
        <f t="shared" si="656"/>
        <v>46254</v>
      </c>
      <c r="AY346" s="523">
        <f t="shared" si="657"/>
        <v>0</v>
      </c>
      <c r="AZ346" s="520" t="s">
        <v>137</v>
      </c>
      <c r="BA346" s="516">
        <f t="shared" si="658"/>
        <v>0</v>
      </c>
      <c r="BB346" s="549" t="str">
        <f t="shared" si="637"/>
        <v/>
      </c>
      <c r="BC346" s="523">
        <f t="shared" si="659"/>
        <v>0</v>
      </c>
      <c r="BD346" s="523">
        <f t="shared" si="660"/>
        <v>0</v>
      </c>
      <c r="BE346" s="732"/>
      <c r="BF346" s="514" t="str">
        <f t="shared" si="638"/>
        <v/>
      </c>
      <c r="BG346" s="514" t="str">
        <f t="shared" si="661"/>
        <v>oui</v>
      </c>
      <c r="BH346" s="377" t="str">
        <f t="shared" si="639"/>
        <v/>
      </c>
      <c r="BI346" s="24" t="str">
        <f t="shared" si="640"/>
        <v/>
      </c>
      <c r="BJ346" s="1382"/>
      <c r="BK346" s="1382"/>
      <c r="BL346" s="1382"/>
      <c r="BM346" s="1382"/>
      <c r="BN346" s="1382"/>
      <c r="BO346" s="1382"/>
      <c r="BP346" s="1382"/>
      <c r="BQ346" s="1382"/>
      <c r="BR346" s="1383"/>
      <c r="BS346" s="1370">
        <f t="shared" si="607"/>
        <v>46254</v>
      </c>
      <c r="BT346" s="1384" t="str">
        <f t="shared" si="669"/>
        <v/>
      </c>
      <c r="BU346" s="1382"/>
      <c r="BV346" s="1382"/>
      <c r="BW346" s="1382"/>
      <c r="BX346" s="1382"/>
      <c r="BY346" s="1382"/>
      <c r="BZ346" s="1382"/>
      <c r="CA346" s="1382"/>
      <c r="CB346" s="1382"/>
      <c r="CD346" s="1386">
        <f t="shared" si="662"/>
        <v>0</v>
      </c>
      <c r="DC346" s="16" t="str">
        <f>Aout!FC39</f>
        <v>non</v>
      </c>
      <c r="DG346" s="315">
        <f t="shared" si="663"/>
        <v>1</v>
      </c>
      <c r="DH346" s="129">
        <f t="shared" si="641"/>
        <v>10</v>
      </c>
      <c r="DI346" s="129">
        <f t="shared" si="664"/>
        <v>1</v>
      </c>
      <c r="DK346" s="16">
        <f>+IF(AND(Aout!$DP$8&lt;&gt;52,AR346=S.CAL!$BJ$4),10,1)</f>
        <v>1</v>
      </c>
      <c r="DN346" s="16">
        <f t="shared" si="642"/>
        <v>1</v>
      </c>
      <c r="DU346" s="1274" t="str">
        <f t="shared" si="665"/>
        <v>Fiche infoA446254</v>
      </c>
      <c r="DV346" s="1362">
        <f t="shared" si="643"/>
        <v>0</v>
      </c>
      <c r="DW346" s="1363">
        <f t="shared" si="644"/>
        <v>0</v>
      </c>
      <c r="DX346" s="1363">
        <f t="shared" si="645"/>
        <v>0</v>
      </c>
      <c r="DY346" s="1363">
        <f t="shared" si="646"/>
        <v>0</v>
      </c>
      <c r="DZ346" s="1363">
        <f t="shared" si="647"/>
        <v>0</v>
      </c>
      <c r="EA346" s="1363">
        <f t="shared" si="648"/>
        <v>0</v>
      </c>
      <c r="EB346" s="1363">
        <f t="shared" si="649"/>
        <v>0</v>
      </c>
      <c r="EC346" s="1363">
        <f t="shared" si="650"/>
        <v>0</v>
      </c>
      <c r="ED346" s="1363">
        <f t="shared" si="666"/>
        <v>0</v>
      </c>
      <c r="EE346" s="1364">
        <f t="shared" si="667"/>
        <v>0</v>
      </c>
      <c r="EG346" s="16" t="str">
        <f t="shared" si="668"/>
        <v>342026</v>
      </c>
      <c r="EH346" s="16" t="str">
        <f t="shared" si="651"/>
        <v>Fiche infoA4</v>
      </c>
      <c r="EI346" s="16" t="str">
        <f t="shared" si="652"/>
        <v/>
      </c>
    </row>
    <row r="347" spans="1:139" x14ac:dyDescent="0.2">
      <c r="A347" s="24" t="str">
        <f>Aout!BJ40</f>
        <v>Fiche infoA5</v>
      </c>
      <c r="B347" s="811">
        <f>Aout!AB40</f>
        <v>46255</v>
      </c>
      <c r="C347" s="1371"/>
      <c r="D347" s="981">
        <f t="shared" si="608"/>
        <v>0</v>
      </c>
      <c r="E347" s="434">
        <f t="shared" si="609"/>
        <v>0</v>
      </c>
      <c r="F347" s="434">
        <f t="shared" si="610"/>
        <v>0</v>
      </c>
      <c r="G347" s="434">
        <f t="shared" si="611"/>
        <v>0</v>
      </c>
      <c r="H347" s="434">
        <f t="shared" si="612"/>
        <v>0</v>
      </c>
      <c r="I347" s="434">
        <f t="shared" si="613"/>
        <v>0</v>
      </c>
      <c r="J347" s="434">
        <f t="shared" si="614"/>
        <v>0</v>
      </c>
      <c r="K347" s="434">
        <f t="shared" si="615"/>
        <v>0</v>
      </c>
      <c r="L347" s="434">
        <f t="shared" si="653"/>
        <v>0</v>
      </c>
      <c r="M347" s="982">
        <f t="shared" si="654"/>
        <v>0</v>
      </c>
      <c r="O347" s="981">
        <f t="shared" si="670"/>
        <v>0</v>
      </c>
      <c r="P347" s="434">
        <f t="shared" si="671"/>
        <v>0</v>
      </c>
      <c r="Q347" s="434">
        <f t="shared" si="672"/>
        <v>0</v>
      </c>
      <c r="R347" s="434">
        <f t="shared" si="673"/>
        <v>0</v>
      </c>
      <c r="S347" s="434">
        <f t="shared" si="674"/>
        <v>0</v>
      </c>
      <c r="T347" s="434">
        <f t="shared" si="675"/>
        <v>0</v>
      </c>
      <c r="U347" s="434">
        <f t="shared" si="676"/>
        <v>0</v>
      </c>
      <c r="V347" s="434">
        <f t="shared" si="677"/>
        <v>0</v>
      </c>
      <c r="W347" s="434">
        <f t="shared" si="624"/>
        <v>0</v>
      </c>
      <c r="X347" s="982">
        <f t="shared" si="625"/>
        <v>0</v>
      </c>
      <c r="Y347" s="441"/>
      <c r="Z347" s="277">
        <f t="shared" si="626"/>
        <v>0</v>
      </c>
      <c r="AA347" s="277">
        <f t="shared" si="627"/>
        <v>0</v>
      </c>
      <c r="AB347" s="277">
        <f t="shared" si="628"/>
        <v>0</v>
      </c>
      <c r="AC347" s="277">
        <f t="shared" si="629"/>
        <v>0</v>
      </c>
      <c r="AD347" s="277">
        <f t="shared" si="630"/>
        <v>0</v>
      </c>
      <c r="AE347" s="277">
        <f t="shared" si="631"/>
        <v>0</v>
      </c>
      <c r="AF347" s="277">
        <f t="shared" si="632"/>
        <v>0</v>
      </c>
      <c r="AG347" s="277">
        <f t="shared" si="633"/>
        <v>0</v>
      </c>
      <c r="AI347" s="444">
        <f t="shared" si="678"/>
        <v>0</v>
      </c>
      <c r="AJ347" s="1090"/>
      <c r="AK347" s="489"/>
      <c r="AL347" s="811">
        <f t="shared" si="635"/>
        <v>46255</v>
      </c>
      <c r="AM347" s="666">
        <f>IFERROR(IF(AND(AT347="",AR347&lt;&gt;S.CAL!$BJ$3,AR347&lt;&gt;S.CAL!$BJ$4,$AR$320="NON"),M347-BD347,IF(AND(AT347="",AR347&lt;&gt;S.CAL!$BJ$3,AR347&lt;&gt;S.CAL!$BJ$4,$AR$320="OUI"),X347-AI347,IF(AT347&lt;&gt;0,AT347,IF(OR(AR347=S.CAL!$BJ$3,AR347=S.CAL!$BJ$4),AR347,"")))),"")</f>
        <v>0</v>
      </c>
      <c r="AN347" s="1093"/>
      <c r="AO347" s="1094"/>
      <c r="AP347" s="666">
        <f>+IF(AND(AU347="",BB347="OUI",BH347="non",BI347="OUI"),AM347,IF(AND(AU347="",BB347="OUI",BH347="oui",BI347="NON"),AM347,IF(AND(AU347="",BB347="NON",BH347="oui",BI347="NON"),M347,IF(AND(AU347="",BB347="NON",BH347="non",BI347="OUI"),M347,IF(AND(AU347="",BB347="OUI",BH347="non",BI347="NON"),"ERREUR",IF(AND(AU347="",BB347="NON",BH347="non",BI347="NON"),AM347,IF(AND(AU347="",BB347="OUI",BH347="",BI347=""),AM347,IF(AND(AU347="",BB347="NON",BH347="",BI347="",AZ347="NON"),M347,IF(AND(AU347="",BH347="",AZ347="OUI",AR347=""),AM347,IF(AND(AU347="",BH347="",AZ347="NON",AR347="",AT347=""),M347,IF(AND(OR(AR347=S.CAL!$BJ$3,AR347=S.CAL!$BJ$4),(VLOOKUP($AM$320,base_nbre_sem_mensu,2,FALSE)=52)),EE347,IF(AND(OR(AR347=S.CAL!$BJ$3,AR347=S.CAL!$BJ$4),(VLOOKUP($AM$320,base_nbre_sem_mensu,2,FALSE)&lt;52)),AM347,IF(AND(AT347&lt;&gt;"",AU347=""),AT347,AU347)))))))))))))</f>
        <v>0</v>
      </c>
      <c r="AQ347" s="498">
        <f t="shared" si="655"/>
        <v>0</v>
      </c>
      <c r="AR347" s="1098"/>
      <c r="AT347" s="1101"/>
      <c r="AU347" s="813"/>
      <c r="AV347" s="1370">
        <f t="shared" si="636"/>
        <v>46255</v>
      </c>
      <c r="AX347" s="511">
        <f t="shared" si="656"/>
        <v>46255</v>
      </c>
      <c r="AY347" s="523">
        <f t="shared" si="657"/>
        <v>0</v>
      </c>
      <c r="AZ347" s="520" t="s">
        <v>137</v>
      </c>
      <c r="BA347" s="516">
        <f t="shared" si="658"/>
        <v>0</v>
      </c>
      <c r="BB347" s="549" t="str">
        <f t="shared" si="637"/>
        <v/>
      </c>
      <c r="BC347" s="523">
        <f t="shared" si="659"/>
        <v>0</v>
      </c>
      <c r="BD347" s="523">
        <f t="shared" si="660"/>
        <v>0</v>
      </c>
      <c r="BE347" s="732"/>
      <c r="BF347" s="514" t="str">
        <f t="shared" si="638"/>
        <v/>
      </c>
      <c r="BG347" s="514" t="str">
        <f t="shared" si="661"/>
        <v>oui</v>
      </c>
      <c r="BH347" s="377" t="str">
        <f t="shared" si="639"/>
        <v/>
      </c>
      <c r="BI347" s="24" t="str">
        <f t="shared" si="640"/>
        <v/>
      </c>
      <c r="BJ347" s="1381"/>
      <c r="BK347" s="1381"/>
      <c r="BL347" s="1381"/>
      <c r="BM347" s="1381"/>
      <c r="BN347" s="1381"/>
      <c r="BO347" s="1381"/>
      <c r="BP347" s="1381"/>
      <c r="BQ347" s="1381"/>
      <c r="BS347" s="1370">
        <f t="shared" si="607"/>
        <v>46255</v>
      </c>
      <c r="BT347" s="27" t="str">
        <f t="shared" si="669"/>
        <v/>
      </c>
      <c r="BU347" s="1380"/>
      <c r="BV347" s="1380"/>
      <c r="BW347" s="1380"/>
      <c r="BX347" s="1380"/>
      <c r="BY347" s="1380"/>
      <c r="BZ347" s="1380"/>
      <c r="CA347" s="1380"/>
      <c r="CB347" s="1380"/>
      <c r="CD347" s="1386">
        <f t="shared" si="662"/>
        <v>0</v>
      </c>
      <c r="DC347" s="16" t="str">
        <f>Aout!FC40</f>
        <v>non</v>
      </c>
      <c r="DG347" s="315">
        <f t="shared" si="663"/>
        <v>1</v>
      </c>
      <c r="DH347" s="129">
        <f t="shared" si="641"/>
        <v>10</v>
      </c>
      <c r="DI347" s="129">
        <f t="shared" si="664"/>
        <v>1</v>
      </c>
      <c r="DK347" s="16">
        <f>+IF(AND(Aout!$DP$8&lt;&gt;52,AR347=S.CAL!$BJ$4),10,1)</f>
        <v>1</v>
      </c>
      <c r="DN347" s="16">
        <f t="shared" si="642"/>
        <v>1</v>
      </c>
      <c r="DU347" s="1274" t="str">
        <f t="shared" si="665"/>
        <v>Fiche infoA546255</v>
      </c>
      <c r="DV347" s="1362">
        <f t="shared" si="643"/>
        <v>0</v>
      </c>
      <c r="DW347" s="1363">
        <f t="shared" si="644"/>
        <v>0</v>
      </c>
      <c r="DX347" s="1363">
        <f t="shared" si="645"/>
        <v>0</v>
      </c>
      <c r="DY347" s="1363">
        <f t="shared" si="646"/>
        <v>0</v>
      </c>
      <c r="DZ347" s="1363">
        <f t="shared" si="647"/>
        <v>0</v>
      </c>
      <c r="EA347" s="1363">
        <f t="shared" si="648"/>
        <v>0</v>
      </c>
      <c r="EB347" s="1363">
        <f t="shared" si="649"/>
        <v>0</v>
      </c>
      <c r="EC347" s="1363">
        <f t="shared" si="650"/>
        <v>0</v>
      </c>
      <c r="ED347" s="1363">
        <f t="shared" si="666"/>
        <v>0</v>
      </c>
      <c r="EE347" s="1364">
        <f t="shared" si="667"/>
        <v>0</v>
      </c>
      <c r="EG347" s="16" t="str">
        <f t="shared" si="668"/>
        <v>342026</v>
      </c>
      <c r="EH347" s="16" t="str">
        <f t="shared" si="651"/>
        <v>Fiche infoA5</v>
      </c>
      <c r="EI347" s="16" t="str">
        <f t="shared" si="652"/>
        <v/>
      </c>
    </row>
    <row r="348" spans="1:139" x14ac:dyDescent="0.2">
      <c r="A348" s="1373" t="str">
        <f>Aout!BJ41</f>
        <v>Fiche infoA6</v>
      </c>
      <c r="B348" s="811">
        <f>Aout!AB41</f>
        <v>46256</v>
      </c>
      <c r="C348" s="1372"/>
      <c r="D348" s="981">
        <f t="shared" si="608"/>
        <v>0</v>
      </c>
      <c r="E348" s="434">
        <f t="shared" si="609"/>
        <v>0</v>
      </c>
      <c r="F348" s="434">
        <f t="shared" si="610"/>
        <v>0</v>
      </c>
      <c r="G348" s="434">
        <f t="shared" si="611"/>
        <v>0</v>
      </c>
      <c r="H348" s="434">
        <f t="shared" si="612"/>
        <v>0</v>
      </c>
      <c r="I348" s="434">
        <f t="shared" si="613"/>
        <v>0</v>
      </c>
      <c r="J348" s="434">
        <f t="shared" si="614"/>
        <v>0</v>
      </c>
      <c r="K348" s="434">
        <f t="shared" si="615"/>
        <v>0</v>
      </c>
      <c r="L348" s="434">
        <f t="shared" si="653"/>
        <v>0</v>
      </c>
      <c r="M348" s="982">
        <f t="shared" si="654"/>
        <v>0</v>
      </c>
      <c r="N348" s="1374"/>
      <c r="O348" s="981">
        <f t="shared" si="670"/>
        <v>0</v>
      </c>
      <c r="P348" s="434">
        <f t="shared" si="671"/>
        <v>0</v>
      </c>
      <c r="Q348" s="434">
        <f t="shared" si="672"/>
        <v>0</v>
      </c>
      <c r="R348" s="434">
        <f t="shared" si="673"/>
        <v>0</v>
      </c>
      <c r="S348" s="434">
        <f t="shared" si="674"/>
        <v>0</v>
      </c>
      <c r="T348" s="434">
        <f t="shared" si="675"/>
        <v>0</v>
      </c>
      <c r="U348" s="434">
        <f t="shared" si="676"/>
        <v>0</v>
      </c>
      <c r="V348" s="434">
        <f t="shared" si="677"/>
        <v>0</v>
      </c>
      <c r="W348" s="434">
        <f t="shared" si="624"/>
        <v>0</v>
      </c>
      <c r="X348" s="982">
        <f t="shared" si="625"/>
        <v>0</v>
      </c>
      <c r="Y348" s="1375"/>
      <c r="Z348" s="1376">
        <f t="shared" si="626"/>
        <v>0</v>
      </c>
      <c r="AA348" s="1376">
        <f t="shared" si="627"/>
        <v>0</v>
      </c>
      <c r="AB348" s="1376">
        <f t="shared" si="628"/>
        <v>0</v>
      </c>
      <c r="AC348" s="1376">
        <f t="shared" si="629"/>
        <v>0</v>
      </c>
      <c r="AD348" s="1376">
        <f t="shared" si="630"/>
        <v>0</v>
      </c>
      <c r="AE348" s="1376">
        <f t="shared" si="631"/>
        <v>0</v>
      </c>
      <c r="AF348" s="1376">
        <f t="shared" si="632"/>
        <v>0</v>
      </c>
      <c r="AG348" s="1376">
        <f t="shared" si="633"/>
        <v>0</v>
      </c>
      <c r="AH348" s="1374"/>
      <c r="AI348" s="444">
        <f t="shared" si="678"/>
        <v>0</v>
      </c>
      <c r="AJ348" s="1090"/>
      <c r="AK348" s="1377"/>
      <c r="AL348" s="811">
        <f t="shared" si="635"/>
        <v>46256</v>
      </c>
      <c r="AM348" s="666">
        <f>IFERROR(IF(AND(AT348="",AR348&lt;&gt;S.CAL!$BJ$3,AR348&lt;&gt;S.CAL!$BJ$4,$AR$320="NON"),M348-BD348,IF(AND(AT348="",AR348&lt;&gt;S.CAL!$BJ$3,AR348&lt;&gt;S.CAL!$BJ$4,$AR$320="OUI"),X348-AI348,IF(AT348&lt;&gt;0,AT348,IF(OR(AR348=S.CAL!$BJ$3,AR348=S.CAL!$BJ$4),AR348,"")))),"")</f>
        <v>0</v>
      </c>
      <c r="AN348" s="1093"/>
      <c r="AO348" s="1094"/>
      <c r="AP348" s="666">
        <f>+IF(AND(AU348="",BB348="OUI",BH348="non",BI348="OUI"),AM348,IF(AND(AU348="",BB348="OUI",BH348="oui",BI348="NON"),AM348,IF(AND(AU348="",BB348="NON",BH348="oui",BI348="NON"),M348,IF(AND(AU348="",BB348="NON",BH348="non",BI348="OUI"),M348,IF(AND(AU348="",BB348="OUI",BH348="non",BI348="NON"),"ERREUR",IF(AND(AU348="",BB348="NON",BH348="non",BI348="NON"),AM348,IF(AND(AU348="",BB348="OUI",BH348="",BI348=""),AM348,IF(AND(AU348="",BB348="NON",BH348="",BI348="",AZ348="NON"),M348,IF(AND(AU348="",BH348="",AZ348="OUI",AR348=""),AM348,IF(AND(AU348="",BH348="",AZ348="NON",AR348="",AT348=""),M348,IF(AND(OR(AR348=S.CAL!$BJ$3,AR348=S.CAL!$BJ$4),(VLOOKUP($AM$320,base_nbre_sem_mensu,2,FALSE)=52)),EE348,IF(AND(OR(AR348=S.CAL!$BJ$3,AR348=S.CAL!$BJ$4),(VLOOKUP($AM$320,base_nbre_sem_mensu,2,FALSE)&lt;52)),AM348,IF(AND(AT348&lt;&gt;"",AU348=""),AT348,AU348)))))))))))))</f>
        <v>0</v>
      </c>
      <c r="AQ348" s="1378">
        <f t="shared" si="655"/>
        <v>0</v>
      </c>
      <c r="AR348" s="1098"/>
      <c r="AS348" s="1374"/>
      <c r="AT348" s="1101"/>
      <c r="AU348" s="813"/>
      <c r="AV348" s="1370">
        <f t="shared" si="636"/>
        <v>46256</v>
      </c>
      <c r="AW348" s="1374"/>
      <c r="AX348" s="511">
        <f t="shared" si="656"/>
        <v>46256</v>
      </c>
      <c r="AY348" s="523">
        <f t="shared" si="657"/>
        <v>0</v>
      </c>
      <c r="AZ348" s="520" t="s">
        <v>137</v>
      </c>
      <c r="BA348" s="516">
        <f t="shared" si="658"/>
        <v>0</v>
      </c>
      <c r="BB348" s="549" t="str">
        <f t="shared" si="637"/>
        <v/>
      </c>
      <c r="BC348" s="523">
        <f t="shared" si="659"/>
        <v>0</v>
      </c>
      <c r="BD348" s="523">
        <f t="shared" si="660"/>
        <v>0</v>
      </c>
      <c r="BE348" s="732"/>
      <c r="BF348" s="514" t="str">
        <f t="shared" si="638"/>
        <v/>
      </c>
      <c r="BG348" s="514" t="str">
        <f t="shared" si="661"/>
        <v>oui</v>
      </c>
      <c r="BH348" s="377" t="str">
        <f t="shared" si="639"/>
        <v/>
      </c>
      <c r="BI348" s="24" t="str">
        <f t="shared" si="640"/>
        <v/>
      </c>
      <c r="BJ348" s="1382"/>
      <c r="BK348" s="1382"/>
      <c r="BL348" s="1382"/>
      <c r="BM348" s="1382"/>
      <c r="BN348" s="1382"/>
      <c r="BO348" s="1382"/>
      <c r="BP348" s="1382"/>
      <c r="BQ348" s="1382"/>
      <c r="BR348" s="1383"/>
      <c r="BS348" s="1370">
        <f t="shared" si="607"/>
        <v>46256</v>
      </c>
      <c r="BT348" s="1384" t="str">
        <f t="shared" si="669"/>
        <v/>
      </c>
      <c r="BU348" s="1382"/>
      <c r="BV348" s="1382"/>
      <c r="BW348" s="1382"/>
      <c r="BX348" s="1382"/>
      <c r="BY348" s="1382"/>
      <c r="BZ348" s="1382"/>
      <c r="CA348" s="1382"/>
      <c r="CB348" s="1382"/>
      <c r="CD348" s="1386">
        <f t="shared" si="662"/>
        <v>0</v>
      </c>
      <c r="DC348" s="16" t="str">
        <f>Aout!FC41</f>
        <v>non</v>
      </c>
      <c r="DG348" s="315">
        <f t="shared" si="663"/>
        <v>1</v>
      </c>
      <c r="DH348" s="129">
        <f t="shared" si="641"/>
        <v>10</v>
      </c>
      <c r="DI348" s="129">
        <f t="shared" si="664"/>
        <v>1</v>
      </c>
      <c r="DK348" s="16">
        <f>+IF(AND(Aout!$DP$8&lt;&gt;52,AR348=S.CAL!$BJ$4),10,1)</f>
        <v>1</v>
      </c>
      <c r="DN348" s="16">
        <f t="shared" si="642"/>
        <v>1</v>
      </c>
      <c r="DU348" s="1274" t="str">
        <f t="shared" si="665"/>
        <v>Fiche infoA646256</v>
      </c>
      <c r="DV348" s="1362">
        <f t="shared" si="643"/>
        <v>0</v>
      </c>
      <c r="DW348" s="1363">
        <f t="shared" si="644"/>
        <v>0</v>
      </c>
      <c r="DX348" s="1363">
        <f t="shared" si="645"/>
        <v>0</v>
      </c>
      <c r="DY348" s="1363">
        <f t="shared" si="646"/>
        <v>0</v>
      </c>
      <c r="DZ348" s="1363">
        <f t="shared" si="647"/>
        <v>0</v>
      </c>
      <c r="EA348" s="1363">
        <f t="shared" si="648"/>
        <v>0</v>
      </c>
      <c r="EB348" s="1363">
        <f t="shared" si="649"/>
        <v>0</v>
      </c>
      <c r="EC348" s="1363">
        <f t="shared" si="650"/>
        <v>0</v>
      </c>
      <c r="ED348" s="1363">
        <f t="shared" si="666"/>
        <v>0</v>
      </c>
      <c r="EE348" s="1364">
        <f t="shared" si="667"/>
        <v>0</v>
      </c>
      <c r="EG348" s="16" t="str">
        <f t="shared" si="668"/>
        <v>342026</v>
      </c>
      <c r="EH348" s="16" t="str">
        <f t="shared" si="651"/>
        <v>Fiche infoA6</v>
      </c>
      <c r="EI348" s="16" t="str">
        <f t="shared" si="652"/>
        <v/>
      </c>
    </row>
    <row r="349" spans="1:139" x14ac:dyDescent="0.2">
      <c r="A349" s="24" t="str">
        <f>Aout!BJ42</f>
        <v>Fiche infoA7</v>
      </c>
      <c r="B349" s="811">
        <f>Aout!AB42</f>
        <v>46257</v>
      </c>
      <c r="C349" s="1371"/>
      <c r="D349" s="981">
        <f t="shared" si="608"/>
        <v>0</v>
      </c>
      <c r="E349" s="434">
        <f t="shared" si="609"/>
        <v>0</v>
      </c>
      <c r="F349" s="434">
        <f t="shared" si="610"/>
        <v>0</v>
      </c>
      <c r="G349" s="434">
        <f t="shared" si="611"/>
        <v>0</v>
      </c>
      <c r="H349" s="434">
        <f t="shared" si="612"/>
        <v>0</v>
      </c>
      <c r="I349" s="434">
        <f t="shared" si="613"/>
        <v>0</v>
      </c>
      <c r="J349" s="434">
        <f t="shared" si="614"/>
        <v>0</v>
      </c>
      <c r="K349" s="434">
        <f t="shared" si="615"/>
        <v>0</v>
      </c>
      <c r="L349" s="434">
        <f t="shared" si="653"/>
        <v>0</v>
      </c>
      <c r="M349" s="982">
        <f t="shared" si="654"/>
        <v>0</v>
      </c>
      <c r="O349" s="981">
        <f t="shared" si="670"/>
        <v>0</v>
      </c>
      <c r="P349" s="434">
        <f t="shared" si="671"/>
        <v>0</v>
      </c>
      <c r="Q349" s="434">
        <f t="shared" si="672"/>
        <v>0</v>
      </c>
      <c r="R349" s="434">
        <f t="shared" si="673"/>
        <v>0</v>
      </c>
      <c r="S349" s="434">
        <f t="shared" si="674"/>
        <v>0</v>
      </c>
      <c r="T349" s="434">
        <f t="shared" si="675"/>
        <v>0</v>
      </c>
      <c r="U349" s="434">
        <f t="shared" si="676"/>
        <v>0</v>
      </c>
      <c r="V349" s="434">
        <f t="shared" si="677"/>
        <v>0</v>
      </c>
      <c r="W349" s="434">
        <f t="shared" si="624"/>
        <v>0</v>
      </c>
      <c r="X349" s="982">
        <f t="shared" si="625"/>
        <v>0</v>
      </c>
      <c r="Y349" s="441"/>
      <c r="Z349" s="277">
        <f t="shared" si="626"/>
        <v>0</v>
      </c>
      <c r="AA349" s="277">
        <f t="shared" si="627"/>
        <v>0</v>
      </c>
      <c r="AB349" s="277">
        <f t="shared" si="628"/>
        <v>0</v>
      </c>
      <c r="AC349" s="277">
        <f t="shared" si="629"/>
        <v>0</v>
      </c>
      <c r="AD349" s="277">
        <f t="shared" si="630"/>
        <v>0</v>
      </c>
      <c r="AE349" s="277">
        <f t="shared" si="631"/>
        <v>0</v>
      </c>
      <c r="AF349" s="277">
        <f t="shared" si="632"/>
        <v>0</v>
      </c>
      <c r="AG349" s="277">
        <f t="shared" si="633"/>
        <v>0</v>
      </c>
      <c r="AI349" s="444">
        <f t="shared" si="678"/>
        <v>0</v>
      </c>
      <c r="AJ349" s="1090"/>
      <c r="AK349" s="489"/>
      <c r="AL349" s="811">
        <f t="shared" si="635"/>
        <v>46257</v>
      </c>
      <c r="AM349" s="666">
        <f>IFERROR(IF(AND(AT349="",AR349&lt;&gt;S.CAL!$BJ$3,AR349&lt;&gt;S.CAL!$BJ$4,$AR$320="NON"),M349-BD349,IF(AND(AT349="",AR349&lt;&gt;S.CAL!$BJ$3,AR349&lt;&gt;S.CAL!$BJ$4,$AR$320="OUI"),X349-AI349,IF(AT349&lt;&gt;0,AT349,IF(OR(AR349=S.CAL!$BJ$3,AR349=S.CAL!$BJ$4),AR349,"")))),"")</f>
        <v>0</v>
      </c>
      <c r="AN349" s="1093"/>
      <c r="AO349" s="1094"/>
      <c r="AP349" s="666">
        <f>+IF(AND(AU349="",BB349="OUI",BH349="non",BI349="OUI"),AM349,IF(AND(AU349="",BB349="OUI",BH349="oui",BI349="NON"),AM349,IF(AND(AU349="",BB349="NON",BH349="oui",BI349="NON"),M349,IF(AND(AU349="",BB349="NON",BH349="non",BI349="OUI"),M349,IF(AND(AU349="",BB349="OUI",BH349="non",BI349="NON"),"ERREUR",IF(AND(AU349="",BB349="NON",BH349="non",BI349="NON"),AM349,IF(AND(AU349="",BB349="OUI",BH349="",BI349=""),AM349,IF(AND(AU349="",BB349="NON",BH349="",BI349="",AZ349="NON"),M349,IF(AND(AU349="",BH349="",AZ349="OUI",AR349=""),AM349,IF(AND(AU349="",BH349="",AZ349="NON",AR349="",AT349=""),M349,IF(AND(OR(AR349=S.CAL!$BJ$3,AR349=S.CAL!$BJ$4),(VLOOKUP($AM$320,base_nbre_sem_mensu,2,FALSE)=52)),EE349,IF(AND(OR(AR349=S.CAL!$BJ$3,AR349=S.CAL!$BJ$4),(VLOOKUP($AM$320,base_nbre_sem_mensu,2,FALSE)&lt;52)),AM349,IF(AND(AT349&lt;&gt;"",AU349=""),AT349,AU349)))))))))))))</f>
        <v>0</v>
      </c>
      <c r="AQ349" s="498">
        <f t="shared" si="655"/>
        <v>0</v>
      </c>
      <c r="AR349" s="1098"/>
      <c r="AT349" s="1101"/>
      <c r="AU349" s="813"/>
      <c r="AV349" s="1370">
        <f t="shared" si="636"/>
        <v>46257</v>
      </c>
      <c r="AX349" s="511">
        <f t="shared" si="656"/>
        <v>46257</v>
      </c>
      <c r="AY349" s="523">
        <f t="shared" si="657"/>
        <v>0</v>
      </c>
      <c r="AZ349" s="520" t="s">
        <v>137</v>
      </c>
      <c r="BA349" s="516">
        <f t="shared" si="658"/>
        <v>0</v>
      </c>
      <c r="BB349" s="549" t="str">
        <f t="shared" si="637"/>
        <v/>
      </c>
      <c r="BC349" s="523">
        <f t="shared" si="659"/>
        <v>0</v>
      </c>
      <c r="BD349" s="523">
        <f t="shared" si="660"/>
        <v>0</v>
      </c>
      <c r="BE349" s="732"/>
      <c r="BF349" s="514" t="str">
        <f t="shared" si="638"/>
        <v/>
      </c>
      <c r="BG349" s="514" t="str">
        <f t="shared" si="661"/>
        <v>oui</v>
      </c>
      <c r="BH349" s="377" t="str">
        <f t="shared" si="639"/>
        <v/>
      </c>
      <c r="BI349" s="24" t="str">
        <f t="shared" si="640"/>
        <v/>
      </c>
      <c r="BJ349" s="1381"/>
      <c r="BK349" s="1381"/>
      <c r="BL349" s="1381"/>
      <c r="BM349" s="1381"/>
      <c r="BN349" s="1381"/>
      <c r="BO349" s="1381"/>
      <c r="BP349" s="1381"/>
      <c r="BQ349" s="1381"/>
      <c r="BS349" s="1370">
        <f t="shared" si="607"/>
        <v>46257</v>
      </c>
      <c r="BT349" s="27" t="str">
        <f t="shared" si="669"/>
        <v/>
      </c>
      <c r="BU349" s="1380"/>
      <c r="BV349" s="1380"/>
      <c r="BW349" s="1380"/>
      <c r="BX349" s="1380"/>
      <c r="BY349" s="1380"/>
      <c r="BZ349" s="1380"/>
      <c r="CA349" s="1380"/>
      <c r="CB349" s="1380"/>
      <c r="CD349" s="1386">
        <f t="shared" si="662"/>
        <v>0</v>
      </c>
      <c r="DC349" s="16" t="str">
        <f>Aout!FC42</f>
        <v>non</v>
      </c>
      <c r="DG349" s="315">
        <f t="shared" si="663"/>
        <v>1</v>
      </c>
      <c r="DH349" s="129">
        <f t="shared" si="641"/>
        <v>10</v>
      </c>
      <c r="DI349" s="129">
        <f t="shared" si="664"/>
        <v>1</v>
      </c>
      <c r="DK349" s="16">
        <f>+IF(AND(Aout!$DP$8&lt;&gt;52,AR349=S.CAL!$BJ$4),10,1)</f>
        <v>1</v>
      </c>
      <c r="DN349" s="16">
        <f t="shared" si="642"/>
        <v>1</v>
      </c>
      <c r="DU349" s="1274" t="str">
        <f t="shared" si="665"/>
        <v>Fiche infoA746257</v>
      </c>
      <c r="DV349" s="1362">
        <f t="shared" si="643"/>
        <v>0</v>
      </c>
      <c r="DW349" s="1363">
        <f t="shared" si="644"/>
        <v>0</v>
      </c>
      <c r="DX349" s="1363">
        <f t="shared" si="645"/>
        <v>0</v>
      </c>
      <c r="DY349" s="1363">
        <f t="shared" si="646"/>
        <v>0</v>
      </c>
      <c r="DZ349" s="1363">
        <f t="shared" si="647"/>
        <v>0</v>
      </c>
      <c r="EA349" s="1363">
        <f t="shared" si="648"/>
        <v>0</v>
      </c>
      <c r="EB349" s="1363">
        <f t="shared" si="649"/>
        <v>0</v>
      </c>
      <c r="EC349" s="1363">
        <f t="shared" si="650"/>
        <v>0</v>
      </c>
      <c r="ED349" s="1363">
        <f t="shared" si="666"/>
        <v>0</v>
      </c>
      <c r="EE349" s="1364">
        <f t="shared" si="667"/>
        <v>0</v>
      </c>
      <c r="EG349" s="16" t="str">
        <f t="shared" si="668"/>
        <v>342026</v>
      </c>
      <c r="EH349" s="16" t="str">
        <f t="shared" si="651"/>
        <v>Fiche infoA7</v>
      </c>
      <c r="EI349" s="16" t="str">
        <f t="shared" si="652"/>
        <v/>
      </c>
    </row>
    <row r="350" spans="1:139" x14ac:dyDescent="0.2">
      <c r="A350" s="1373" t="str">
        <f>Aout!BJ43</f>
        <v>Fiche infoA1</v>
      </c>
      <c r="B350" s="811">
        <f>Aout!AB43</f>
        <v>46258</v>
      </c>
      <c r="C350" s="1372"/>
      <c r="D350" s="981">
        <f t="shared" si="608"/>
        <v>0</v>
      </c>
      <c r="E350" s="434">
        <f t="shared" si="609"/>
        <v>0</v>
      </c>
      <c r="F350" s="434">
        <f t="shared" si="610"/>
        <v>0</v>
      </c>
      <c r="G350" s="434">
        <f t="shared" si="611"/>
        <v>0</v>
      </c>
      <c r="H350" s="434">
        <f t="shared" si="612"/>
        <v>0</v>
      </c>
      <c r="I350" s="434">
        <f t="shared" si="613"/>
        <v>0</v>
      </c>
      <c r="J350" s="434">
        <f t="shared" si="614"/>
        <v>0</v>
      </c>
      <c r="K350" s="434">
        <f t="shared" si="615"/>
        <v>0</v>
      </c>
      <c r="L350" s="434">
        <f t="shared" si="653"/>
        <v>0</v>
      </c>
      <c r="M350" s="982">
        <f t="shared" si="654"/>
        <v>0</v>
      </c>
      <c r="N350" s="1374"/>
      <c r="O350" s="981">
        <f t="shared" si="670"/>
        <v>0</v>
      </c>
      <c r="P350" s="434">
        <f t="shared" si="671"/>
        <v>0</v>
      </c>
      <c r="Q350" s="434">
        <f t="shared" si="672"/>
        <v>0</v>
      </c>
      <c r="R350" s="434">
        <f t="shared" si="673"/>
        <v>0</v>
      </c>
      <c r="S350" s="434">
        <f t="shared" si="674"/>
        <v>0</v>
      </c>
      <c r="T350" s="434">
        <f t="shared" si="675"/>
        <v>0</v>
      </c>
      <c r="U350" s="434">
        <f t="shared" si="676"/>
        <v>0</v>
      </c>
      <c r="V350" s="434">
        <f t="shared" si="677"/>
        <v>0</v>
      </c>
      <c r="W350" s="434">
        <f t="shared" si="624"/>
        <v>0</v>
      </c>
      <c r="X350" s="982">
        <f t="shared" si="625"/>
        <v>0</v>
      </c>
      <c r="Y350" s="1375"/>
      <c r="Z350" s="1376">
        <f t="shared" si="626"/>
        <v>0</v>
      </c>
      <c r="AA350" s="1376">
        <f t="shared" si="627"/>
        <v>0</v>
      </c>
      <c r="AB350" s="1376">
        <f t="shared" si="628"/>
        <v>0</v>
      </c>
      <c r="AC350" s="1376">
        <f t="shared" si="629"/>
        <v>0</v>
      </c>
      <c r="AD350" s="1376">
        <f t="shared" si="630"/>
        <v>0</v>
      </c>
      <c r="AE350" s="1376">
        <f t="shared" si="631"/>
        <v>0</v>
      </c>
      <c r="AF350" s="1376">
        <f t="shared" si="632"/>
        <v>0</v>
      </c>
      <c r="AG350" s="1376">
        <f t="shared" si="633"/>
        <v>0</v>
      </c>
      <c r="AH350" s="1374"/>
      <c r="AI350" s="444">
        <f t="shared" si="678"/>
        <v>0</v>
      </c>
      <c r="AJ350" s="1090"/>
      <c r="AK350" s="1377"/>
      <c r="AL350" s="811">
        <f t="shared" si="635"/>
        <v>46258</v>
      </c>
      <c r="AM350" s="666">
        <f>IFERROR(IF(AND(AT350="",AR350&lt;&gt;S.CAL!$BJ$3,AR350&lt;&gt;S.CAL!$BJ$4,$AR$320="NON"),M350-BD350,IF(AND(AT350="",AR350&lt;&gt;S.CAL!$BJ$3,AR350&lt;&gt;S.CAL!$BJ$4,$AR$320="OUI"),X350-AI350,IF(AT350&lt;&gt;0,AT350,IF(OR(AR350=S.CAL!$BJ$3,AR350=S.CAL!$BJ$4),AR350,"")))),"")</f>
        <v>0</v>
      </c>
      <c r="AN350" s="1093"/>
      <c r="AO350" s="1094"/>
      <c r="AP350" s="666">
        <f>+IF(AND(AU350="",BB350="OUI",BH350="non",BI350="OUI"),AM350,IF(AND(AU350="",BB350="OUI",BH350="oui",BI350="NON"),AM350,IF(AND(AU350="",BB350="NON",BH350="oui",BI350="NON"),M350,IF(AND(AU350="",BB350="NON",BH350="non",BI350="OUI"),M350,IF(AND(AU350="",BB350="OUI",BH350="non",BI350="NON"),"ERREUR",IF(AND(AU350="",BB350="NON",BH350="non",BI350="NON"),AM350,IF(AND(AU350="",BB350="OUI",BH350="",BI350=""),AM350,IF(AND(AU350="",BB350="NON",BH350="",BI350="",AZ350="NON"),M350,IF(AND(AU350="",BH350="",AZ350="OUI",AR350=""),AM350,IF(AND(AU350="",BH350="",AZ350="NON",AR350="",AT350=""),M350,IF(AND(OR(AR350=S.CAL!$BJ$3,AR350=S.CAL!$BJ$4),(VLOOKUP($AM$320,base_nbre_sem_mensu,2,FALSE)=52)),EE350,IF(AND(OR(AR350=S.CAL!$BJ$3,AR350=S.CAL!$BJ$4),(VLOOKUP($AM$320,base_nbre_sem_mensu,2,FALSE)&lt;52)),AM350,IF(AND(AT350&lt;&gt;"",AU350=""),AT350,AU350)))))))))))))</f>
        <v>0</v>
      </c>
      <c r="AQ350" s="1378">
        <f t="shared" si="655"/>
        <v>0</v>
      </c>
      <c r="AR350" s="1098"/>
      <c r="AS350" s="1374"/>
      <c r="AT350" s="1101"/>
      <c r="AU350" s="813"/>
      <c r="AV350" s="1370">
        <f t="shared" si="636"/>
        <v>46258</v>
      </c>
      <c r="AW350" s="1374"/>
      <c r="AX350" s="511">
        <f t="shared" si="656"/>
        <v>46258</v>
      </c>
      <c r="AY350" s="523">
        <f t="shared" si="657"/>
        <v>0</v>
      </c>
      <c r="AZ350" s="520" t="s">
        <v>137</v>
      </c>
      <c r="BA350" s="516">
        <f t="shared" si="658"/>
        <v>0</v>
      </c>
      <c r="BB350" s="549" t="str">
        <f t="shared" si="637"/>
        <v/>
      </c>
      <c r="BC350" s="523">
        <f t="shared" si="659"/>
        <v>0</v>
      </c>
      <c r="BD350" s="523">
        <f t="shared" si="660"/>
        <v>0</v>
      </c>
      <c r="BE350" s="732"/>
      <c r="BF350" s="514" t="str">
        <f t="shared" si="638"/>
        <v/>
      </c>
      <c r="BG350" s="514" t="str">
        <f t="shared" si="661"/>
        <v>oui</v>
      </c>
      <c r="BH350" s="377" t="str">
        <f t="shared" si="639"/>
        <v/>
      </c>
      <c r="BI350" s="24" t="str">
        <f t="shared" si="640"/>
        <v/>
      </c>
      <c r="BJ350" s="1382"/>
      <c r="BK350" s="1382"/>
      <c r="BL350" s="1382"/>
      <c r="BM350" s="1382"/>
      <c r="BN350" s="1382"/>
      <c r="BO350" s="1382"/>
      <c r="BP350" s="1382"/>
      <c r="BQ350" s="1382"/>
      <c r="BR350" s="1383"/>
      <c r="BS350" s="1370">
        <f t="shared" si="607"/>
        <v>46258</v>
      </c>
      <c r="BT350" s="1384">
        <f t="shared" si="669"/>
        <v>35</v>
      </c>
      <c r="BU350" s="1382"/>
      <c r="BV350" s="1382"/>
      <c r="BW350" s="1382"/>
      <c r="BX350" s="1382"/>
      <c r="BY350" s="1382"/>
      <c r="BZ350" s="1382"/>
      <c r="CA350" s="1382"/>
      <c r="CB350" s="1382"/>
      <c r="CD350" s="1386">
        <f t="shared" si="662"/>
        <v>0</v>
      </c>
      <c r="DC350" s="16" t="str">
        <f>Aout!FC43</f>
        <v>non</v>
      </c>
      <c r="DG350" s="315">
        <f t="shared" si="663"/>
        <v>1</v>
      </c>
      <c r="DH350" s="129">
        <f t="shared" si="641"/>
        <v>10</v>
      </c>
      <c r="DI350" s="129">
        <f t="shared" si="664"/>
        <v>1</v>
      </c>
      <c r="DK350" s="16">
        <f>+IF(AND(Aout!$DP$8&lt;&gt;52,AR350=S.CAL!$BJ$4),10,1)</f>
        <v>1</v>
      </c>
      <c r="DN350" s="16">
        <f t="shared" si="642"/>
        <v>1</v>
      </c>
      <c r="DU350" s="1274" t="str">
        <f t="shared" si="665"/>
        <v>Fiche infoA146258</v>
      </c>
      <c r="DV350" s="1362">
        <f t="shared" si="643"/>
        <v>0</v>
      </c>
      <c r="DW350" s="1363">
        <f t="shared" si="644"/>
        <v>0</v>
      </c>
      <c r="DX350" s="1363">
        <f t="shared" si="645"/>
        <v>0</v>
      </c>
      <c r="DY350" s="1363">
        <f t="shared" si="646"/>
        <v>0</v>
      </c>
      <c r="DZ350" s="1363">
        <f t="shared" si="647"/>
        <v>0</v>
      </c>
      <c r="EA350" s="1363">
        <f t="shared" si="648"/>
        <v>0</v>
      </c>
      <c r="EB350" s="1363">
        <f t="shared" si="649"/>
        <v>0</v>
      </c>
      <c r="EC350" s="1363">
        <f t="shared" si="650"/>
        <v>0</v>
      </c>
      <c r="ED350" s="1363">
        <f t="shared" si="666"/>
        <v>0</v>
      </c>
      <c r="EE350" s="1364">
        <f t="shared" si="667"/>
        <v>0</v>
      </c>
      <c r="EG350" s="16" t="str">
        <f t="shared" si="668"/>
        <v>352026</v>
      </c>
      <c r="EH350" s="16" t="str">
        <f t="shared" si="651"/>
        <v>Fiche infoA1</v>
      </c>
      <c r="EI350" s="16" t="str">
        <f t="shared" si="652"/>
        <v/>
      </c>
    </row>
    <row r="351" spans="1:139" x14ac:dyDescent="0.2">
      <c r="A351" s="24" t="str">
        <f>Aout!BJ44</f>
        <v>Fiche infoA2</v>
      </c>
      <c r="B351" s="811">
        <f>Aout!AB44</f>
        <v>46259</v>
      </c>
      <c r="C351" s="1371"/>
      <c r="D351" s="981">
        <f t="shared" si="608"/>
        <v>0</v>
      </c>
      <c r="E351" s="434">
        <f t="shared" si="609"/>
        <v>0</v>
      </c>
      <c r="F351" s="434">
        <f t="shared" si="610"/>
        <v>0</v>
      </c>
      <c r="G351" s="434">
        <f t="shared" si="611"/>
        <v>0</v>
      </c>
      <c r="H351" s="434">
        <f t="shared" si="612"/>
        <v>0</v>
      </c>
      <c r="I351" s="434">
        <f t="shared" si="613"/>
        <v>0</v>
      </c>
      <c r="J351" s="434">
        <f t="shared" si="614"/>
        <v>0</v>
      </c>
      <c r="K351" s="434">
        <f t="shared" si="615"/>
        <v>0</v>
      </c>
      <c r="L351" s="434">
        <f t="shared" si="653"/>
        <v>0</v>
      </c>
      <c r="M351" s="982">
        <f t="shared" si="654"/>
        <v>0</v>
      </c>
      <c r="O351" s="981">
        <f t="shared" si="670"/>
        <v>0</v>
      </c>
      <c r="P351" s="434">
        <f t="shared" si="671"/>
        <v>0</v>
      </c>
      <c r="Q351" s="434">
        <f t="shared" si="672"/>
        <v>0</v>
      </c>
      <c r="R351" s="434">
        <f t="shared" si="673"/>
        <v>0</v>
      </c>
      <c r="S351" s="434">
        <f t="shared" si="674"/>
        <v>0</v>
      </c>
      <c r="T351" s="434">
        <f t="shared" si="675"/>
        <v>0</v>
      </c>
      <c r="U351" s="434">
        <f t="shared" si="676"/>
        <v>0</v>
      </c>
      <c r="V351" s="434">
        <f t="shared" si="677"/>
        <v>0</v>
      </c>
      <c r="W351" s="434">
        <f t="shared" si="624"/>
        <v>0</v>
      </c>
      <c r="X351" s="982">
        <f t="shared" si="625"/>
        <v>0</v>
      </c>
      <c r="Y351" s="441"/>
      <c r="Z351" s="277">
        <f t="shared" si="626"/>
        <v>0</v>
      </c>
      <c r="AA351" s="277">
        <f t="shared" si="627"/>
        <v>0</v>
      </c>
      <c r="AB351" s="277">
        <f t="shared" si="628"/>
        <v>0</v>
      </c>
      <c r="AC351" s="277">
        <f t="shared" si="629"/>
        <v>0</v>
      </c>
      <c r="AD351" s="277">
        <f t="shared" si="630"/>
        <v>0</v>
      </c>
      <c r="AE351" s="277">
        <f t="shared" si="631"/>
        <v>0</v>
      </c>
      <c r="AF351" s="277">
        <f t="shared" si="632"/>
        <v>0</v>
      </c>
      <c r="AG351" s="277">
        <f t="shared" si="633"/>
        <v>0</v>
      </c>
      <c r="AI351" s="444">
        <f t="shared" si="678"/>
        <v>0</v>
      </c>
      <c r="AJ351" s="1090"/>
      <c r="AK351" s="489"/>
      <c r="AL351" s="811">
        <f t="shared" si="635"/>
        <v>46259</v>
      </c>
      <c r="AM351" s="666">
        <f>IFERROR(IF(AND(AT351="",AR351&lt;&gt;S.CAL!$BJ$3,AR351&lt;&gt;S.CAL!$BJ$4,$AR$320="NON"),M351-BD351,IF(AND(AT351="",AR351&lt;&gt;S.CAL!$BJ$3,AR351&lt;&gt;S.CAL!$BJ$4,$AR$320="OUI"),X351-AI351,IF(AT351&lt;&gt;0,AT351,IF(OR(AR351=S.CAL!$BJ$3,AR351=S.CAL!$BJ$4),AR351,"")))),"")</f>
        <v>0</v>
      </c>
      <c r="AN351" s="1093"/>
      <c r="AO351" s="1094"/>
      <c r="AP351" s="666">
        <f>+IF(AND(AU351="",BB351="OUI",BH351="non",BI351="OUI"),AM351,IF(AND(AU351="",BB351="OUI",BH351="oui",BI351="NON"),AM351,IF(AND(AU351="",BB351="NON",BH351="oui",BI351="NON"),M351,IF(AND(AU351="",BB351="NON",BH351="non",BI351="OUI"),M351,IF(AND(AU351="",BB351="OUI",BH351="non",BI351="NON"),"ERREUR",IF(AND(AU351="",BB351="NON",BH351="non",BI351="NON"),AM351,IF(AND(AU351="",BB351="OUI",BH351="",BI351=""),AM351,IF(AND(AU351="",BB351="NON",BH351="",BI351="",AZ351="NON"),M351,IF(AND(AU351="",BH351="",AZ351="OUI",AR351=""),AM351,IF(AND(AU351="",BH351="",AZ351="NON",AR351="",AT351=""),M351,IF(AND(OR(AR351=S.CAL!$BJ$3,AR351=S.CAL!$BJ$4),(VLOOKUP($AM$320,base_nbre_sem_mensu,2,FALSE)=52)),EE351,IF(AND(OR(AR351=S.CAL!$BJ$3,AR351=S.CAL!$BJ$4),(VLOOKUP($AM$320,base_nbre_sem_mensu,2,FALSE)&lt;52)),AM351,IF(AND(AT351&lt;&gt;"",AU351=""),AT351,AU351)))))))))))))</f>
        <v>0</v>
      </c>
      <c r="AQ351" s="498">
        <f t="shared" si="655"/>
        <v>0</v>
      </c>
      <c r="AR351" s="1098"/>
      <c r="AT351" s="1101"/>
      <c r="AU351" s="813"/>
      <c r="AV351" s="1370">
        <f t="shared" si="636"/>
        <v>46259</v>
      </c>
      <c r="AX351" s="511">
        <f t="shared" si="656"/>
        <v>46259</v>
      </c>
      <c r="AY351" s="523">
        <f t="shared" si="657"/>
        <v>0</v>
      </c>
      <c r="AZ351" s="520" t="s">
        <v>137</v>
      </c>
      <c r="BA351" s="516">
        <f t="shared" si="658"/>
        <v>0</v>
      </c>
      <c r="BB351" s="549" t="str">
        <f t="shared" si="637"/>
        <v/>
      </c>
      <c r="BC351" s="523">
        <f t="shared" si="659"/>
        <v>0</v>
      </c>
      <c r="BD351" s="523">
        <f t="shared" si="660"/>
        <v>0</v>
      </c>
      <c r="BE351" s="732"/>
      <c r="BF351" s="514" t="str">
        <f t="shared" si="638"/>
        <v/>
      </c>
      <c r="BG351" s="514" t="str">
        <f t="shared" si="661"/>
        <v>oui</v>
      </c>
      <c r="BH351" s="377" t="str">
        <f t="shared" si="639"/>
        <v/>
      </c>
      <c r="BI351" s="24" t="str">
        <f t="shared" si="640"/>
        <v/>
      </c>
      <c r="BJ351" s="1381"/>
      <c r="BK351" s="1381"/>
      <c r="BL351" s="1381"/>
      <c r="BM351" s="1381"/>
      <c r="BN351" s="1381"/>
      <c r="BO351" s="1381"/>
      <c r="BP351" s="1381"/>
      <c r="BQ351" s="1381"/>
      <c r="BS351" s="1370">
        <f t="shared" si="607"/>
        <v>46259</v>
      </c>
      <c r="BT351" s="27" t="str">
        <f t="shared" si="669"/>
        <v/>
      </c>
      <c r="BU351" s="1380"/>
      <c r="BV351" s="1380"/>
      <c r="BW351" s="1380"/>
      <c r="BX351" s="1380"/>
      <c r="BY351" s="1380"/>
      <c r="BZ351" s="1380"/>
      <c r="CA351" s="1380"/>
      <c r="CB351" s="1380"/>
      <c r="CD351" s="1386">
        <f t="shared" si="662"/>
        <v>0</v>
      </c>
      <c r="DC351" s="16" t="str">
        <f>Aout!FC44</f>
        <v>non</v>
      </c>
      <c r="DG351" s="315">
        <f t="shared" si="663"/>
        <v>1</v>
      </c>
      <c r="DH351" s="129">
        <f t="shared" si="641"/>
        <v>10</v>
      </c>
      <c r="DI351" s="129">
        <f t="shared" si="664"/>
        <v>1</v>
      </c>
      <c r="DK351" s="16">
        <f>+IF(AND(Aout!$DP$8&lt;&gt;52,AR351=S.CAL!$BJ$4),10,1)</f>
        <v>1</v>
      </c>
      <c r="DN351" s="16">
        <f t="shared" si="642"/>
        <v>1</v>
      </c>
      <c r="DU351" s="1274" t="str">
        <f t="shared" si="665"/>
        <v>Fiche infoA246259</v>
      </c>
      <c r="DV351" s="1362">
        <f t="shared" si="643"/>
        <v>0</v>
      </c>
      <c r="DW351" s="1363">
        <f t="shared" si="644"/>
        <v>0</v>
      </c>
      <c r="DX351" s="1363">
        <f t="shared" si="645"/>
        <v>0</v>
      </c>
      <c r="DY351" s="1363">
        <f t="shared" si="646"/>
        <v>0</v>
      </c>
      <c r="DZ351" s="1363">
        <f t="shared" si="647"/>
        <v>0</v>
      </c>
      <c r="EA351" s="1363">
        <f t="shared" si="648"/>
        <v>0</v>
      </c>
      <c r="EB351" s="1363">
        <f t="shared" si="649"/>
        <v>0</v>
      </c>
      <c r="EC351" s="1363">
        <f t="shared" si="650"/>
        <v>0</v>
      </c>
      <c r="ED351" s="1363">
        <f t="shared" si="666"/>
        <v>0</v>
      </c>
      <c r="EE351" s="1364">
        <f t="shared" si="667"/>
        <v>0</v>
      </c>
      <c r="EG351" s="16" t="str">
        <f t="shared" si="668"/>
        <v>352026</v>
      </c>
      <c r="EH351" s="16" t="str">
        <f t="shared" si="651"/>
        <v>Fiche infoA2</v>
      </c>
      <c r="EI351" s="16" t="str">
        <f t="shared" si="652"/>
        <v/>
      </c>
    </row>
    <row r="352" spans="1:139" x14ac:dyDescent="0.2">
      <c r="A352" s="1373" t="str">
        <f>Aout!BJ45</f>
        <v>Fiche infoA3</v>
      </c>
      <c r="B352" s="811">
        <f>Aout!AB45</f>
        <v>46260</v>
      </c>
      <c r="C352" s="1372"/>
      <c r="D352" s="981">
        <f t="shared" si="608"/>
        <v>0</v>
      </c>
      <c r="E352" s="434">
        <f t="shared" si="609"/>
        <v>0</v>
      </c>
      <c r="F352" s="434">
        <f t="shared" si="610"/>
        <v>0</v>
      </c>
      <c r="G352" s="434">
        <f t="shared" si="611"/>
        <v>0</v>
      </c>
      <c r="H352" s="434">
        <f t="shared" si="612"/>
        <v>0</v>
      </c>
      <c r="I352" s="434">
        <f t="shared" si="613"/>
        <v>0</v>
      </c>
      <c r="J352" s="434">
        <f t="shared" si="614"/>
        <v>0</v>
      </c>
      <c r="K352" s="434">
        <f t="shared" si="615"/>
        <v>0</v>
      </c>
      <c r="L352" s="434">
        <f t="shared" si="653"/>
        <v>0</v>
      </c>
      <c r="M352" s="982">
        <f t="shared" si="654"/>
        <v>0</v>
      </c>
      <c r="N352" s="1374"/>
      <c r="O352" s="981">
        <f t="shared" si="670"/>
        <v>0</v>
      </c>
      <c r="P352" s="434">
        <f t="shared" si="671"/>
        <v>0</v>
      </c>
      <c r="Q352" s="434">
        <f t="shared" si="672"/>
        <v>0</v>
      </c>
      <c r="R352" s="434">
        <f t="shared" si="673"/>
        <v>0</v>
      </c>
      <c r="S352" s="434">
        <f t="shared" si="674"/>
        <v>0</v>
      </c>
      <c r="T352" s="434">
        <f t="shared" si="675"/>
        <v>0</v>
      </c>
      <c r="U352" s="434">
        <f t="shared" si="676"/>
        <v>0</v>
      </c>
      <c r="V352" s="434">
        <f t="shared" si="677"/>
        <v>0</v>
      </c>
      <c r="W352" s="434">
        <f t="shared" si="624"/>
        <v>0</v>
      </c>
      <c r="X352" s="982">
        <f t="shared" si="625"/>
        <v>0</v>
      </c>
      <c r="Y352" s="1375"/>
      <c r="Z352" s="1376">
        <f t="shared" si="626"/>
        <v>0</v>
      </c>
      <c r="AA352" s="1376">
        <f t="shared" si="627"/>
        <v>0</v>
      </c>
      <c r="AB352" s="1376">
        <f t="shared" si="628"/>
        <v>0</v>
      </c>
      <c r="AC352" s="1376">
        <f t="shared" si="629"/>
        <v>0</v>
      </c>
      <c r="AD352" s="1376">
        <f t="shared" si="630"/>
        <v>0</v>
      </c>
      <c r="AE352" s="1376">
        <f t="shared" si="631"/>
        <v>0</v>
      </c>
      <c r="AF352" s="1376">
        <f t="shared" si="632"/>
        <v>0</v>
      </c>
      <c r="AG352" s="1376">
        <f t="shared" si="633"/>
        <v>0</v>
      </c>
      <c r="AH352" s="1374"/>
      <c r="AI352" s="444">
        <f t="shared" si="678"/>
        <v>0</v>
      </c>
      <c r="AJ352" s="1090"/>
      <c r="AK352" s="1377"/>
      <c r="AL352" s="811">
        <f t="shared" si="635"/>
        <v>46260</v>
      </c>
      <c r="AM352" s="666">
        <f>IFERROR(IF(AND(AT352="",AR352&lt;&gt;S.CAL!$BJ$3,AR352&lt;&gt;S.CAL!$BJ$4,$AR$320="NON"),M352-BD352,IF(AND(AT352="",AR352&lt;&gt;S.CAL!$BJ$3,AR352&lt;&gt;S.CAL!$BJ$4,$AR$320="OUI"),X352-AI352,IF(AT352&lt;&gt;0,AT352,IF(OR(AR352=S.CAL!$BJ$3,AR352=S.CAL!$BJ$4),AR352,"")))),"")</f>
        <v>0</v>
      </c>
      <c r="AN352" s="1093"/>
      <c r="AO352" s="1094"/>
      <c r="AP352" s="666">
        <f>+IF(AND(AU352="",BB352="OUI",BH352="non",BI352="OUI"),AM352,IF(AND(AU352="",BB352="OUI",BH352="oui",BI352="NON"),AM352,IF(AND(AU352="",BB352="NON",BH352="oui",BI352="NON"),M352,IF(AND(AU352="",BB352="NON",BH352="non",BI352="OUI"),M352,IF(AND(AU352="",BB352="OUI",BH352="non",BI352="NON"),"ERREUR",IF(AND(AU352="",BB352="NON",BH352="non",BI352="NON"),AM352,IF(AND(AU352="",BB352="OUI",BH352="",BI352=""),AM352,IF(AND(AU352="",BB352="NON",BH352="",BI352="",AZ352="NON"),M352,IF(AND(AU352="",BH352="",AZ352="OUI",AR352=""),AM352,IF(AND(AU352="",BH352="",AZ352="NON",AR352="",AT352=""),M352,IF(AND(OR(AR352=S.CAL!$BJ$3,AR352=S.CAL!$BJ$4),(VLOOKUP($AM$320,base_nbre_sem_mensu,2,FALSE)=52)),EE352,IF(AND(OR(AR352=S.CAL!$BJ$3,AR352=S.CAL!$BJ$4),(VLOOKUP($AM$320,base_nbre_sem_mensu,2,FALSE)&lt;52)),AM352,IF(AND(AT352&lt;&gt;"",AU352=""),AT352,AU352)))))))))))))</f>
        <v>0</v>
      </c>
      <c r="AQ352" s="1378">
        <f t="shared" si="655"/>
        <v>0</v>
      </c>
      <c r="AR352" s="1098"/>
      <c r="AS352" s="1374"/>
      <c r="AT352" s="1101"/>
      <c r="AU352" s="813"/>
      <c r="AV352" s="1370">
        <f t="shared" si="636"/>
        <v>46260</v>
      </c>
      <c r="AW352" s="1374"/>
      <c r="AX352" s="511">
        <f t="shared" si="656"/>
        <v>46260</v>
      </c>
      <c r="AY352" s="523">
        <f t="shared" si="657"/>
        <v>0</v>
      </c>
      <c r="AZ352" s="520" t="s">
        <v>137</v>
      </c>
      <c r="BA352" s="516">
        <f t="shared" si="658"/>
        <v>0</v>
      </c>
      <c r="BB352" s="549" t="str">
        <f t="shared" si="637"/>
        <v/>
      </c>
      <c r="BC352" s="523">
        <f t="shared" si="659"/>
        <v>0</v>
      </c>
      <c r="BD352" s="523">
        <f t="shared" si="660"/>
        <v>0</v>
      </c>
      <c r="BE352" s="732"/>
      <c r="BF352" s="514" t="str">
        <f t="shared" si="638"/>
        <v/>
      </c>
      <c r="BG352" s="514" t="str">
        <f t="shared" si="661"/>
        <v>oui</v>
      </c>
      <c r="BH352" s="377" t="str">
        <f t="shared" si="639"/>
        <v/>
      </c>
      <c r="BI352" s="24" t="str">
        <f t="shared" si="640"/>
        <v/>
      </c>
      <c r="BJ352" s="1382"/>
      <c r="BK352" s="1382"/>
      <c r="BL352" s="1382"/>
      <c r="BM352" s="1382"/>
      <c r="BN352" s="1382"/>
      <c r="BO352" s="1382"/>
      <c r="BP352" s="1382"/>
      <c r="BQ352" s="1382"/>
      <c r="BR352" s="1383"/>
      <c r="BS352" s="1370">
        <f t="shared" si="607"/>
        <v>46260</v>
      </c>
      <c r="BT352" s="1384" t="str">
        <f t="shared" si="669"/>
        <v/>
      </c>
      <c r="BU352" s="1382"/>
      <c r="BV352" s="1382"/>
      <c r="BW352" s="1382"/>
      <c r="BX352" s="1382"/>
      <c r="BY352" s="1382"/>
      <c r="BZ352" s="1382"/>
      <c r="CA352" s="1382"/>
      <c r="CB352" s="1382"/>
      <c r="CD352" s="1386">
        <f t="shared" si="662"/>
        <v>0</v>
      </c>
      <c r="DC352" s="16" t="str">
        <f>Aout!FC45</f>
        <v>non</v>
      </c>
      <c r="DG352" s="315">
        <f t="shared" si="663"/>
        <v>1</v>
      </c>
      <c r="DH352" s="129">
        <f t="shared" si="641"/>
        <v>10</v>
      </c>
      <c r="DI352" s="129">
        <f t="shared" si="664"/>
        <v>1</v>
      </c>
      <c r="DK352" s="16">
        <f>+IF(AND(Aout!$DP$8&lt;&gt;52,AR352=S.CAL!$BJ$4),10,1)</f>
        <v>1</v>
      </c>
      <c r="DN352" s="16">
        <f t="shared" si="642"/>
        <v>1</v>
      </c>
      <c r="DU352" s="1274" t="str">
        <f t="shared" si="665"/>
        <v>Fiche infoA346260</v>
      </c>
      <c r="DV352" s="1362">
        <f t="shared" si="643"/>
        <v>0</v>
      </c>
      <c r="DW352" s="1363">
        <f t="shared" si="644"/>
        <v>0</v>
      </c>
      <c r="DX352" s="1363">
        <f t="shared" si="645"/>
        <v>0</v>
      </c>
      <c r="DY352" s="1363">
        <f t="shared" si="646"/>
        <v>0</v>
      </c>
      <c r="DZ352" s="1363">
        <f t="shared" si="647"/>
        <v>0</v>
      </c>
      <c r="EA352" s="1363">
        <f t="shared" si="648"/>
        <v>0</v>
      </c>
      <c r="EB352" s="1363">
        <f t="shared" si="649"/>
        <v>0</v>
      </c>
      <c r="EC352" s="1363">
        <f t="shared" si="650"/>
        <v>0</v>
      </c>
      <c r="ED352" s="1363">
        <f t="shared" si="666"/>
        <v>0</v>
      </c>
      <c r="EE352" s="1364">
        <f t="shared" si="667"/>
        <v>0</v>
      </c>
      <c r="EG352" s="16" t="str">
        <f t="shared" si="668"/>
        <v>352026</v>
      </c>
      <c r="EH352" s="16" t="str">
        <f t="shared" si="651"/>
        <v>Fiche infoA3</v>
      </c>
      <c r="EI352" s="16" t="str">
        <f t="shared" si="652"/>
        <v/>
      </c>
    </row>
    <row r="353" spans="1:145" x14ac:dyDescent="0.2">
      <c r="A353" s="24" t="str">
        <f>Aout!BJ46</f>
        <v>Fiche infoA4</v>
      </c>
      <c r="B353" s="811">
        <f>Aout!AB46</f>
        <v>46261</v>
      </c>
      <c r="C353" s="1371"/>
      <c r="D353" s="981">
        <f t="shared" si="608"/>
        <v>0</v>
      </c>
      <c r="E353" s="434">
        <f t="shared" si="609"/>
        <v>0</v>
      </c>
      <c r="F353" s="434">
        <f t="shared" si="610"/>
        <v>0</v>
      </c>
      <c r="G353" s="434">
        <f t="shared" si="611"/>
        <v>0</v>
      </c>
      <c r="H353" s="434">
        <f t="shared" si="612"/>
        <v>0</v>
      </c>
      <c r="I353" s="434">
        <f t="shared" si="613"/>
        <v>0</v>
      </c>
      <c r="J353" s="434">
        <f t="shared" si="614"/>
        <v>0</v>
      </c>
      <c r="K353" s="434">
        <f t="shared" si="615"/>
        <v>0</v>
      </c>
      <c r="L353" s="434">
        <f t="shared" si="653"/>
        <v>0</v>
      </c>
      <c r="M353" s="982">
        <f t="shared" si="654"/>
        <v>0</v>
      </c>
      <c r="O353" s="981">
        <f t="shared" si="670"/>
        <v>0</v>
      </c>
      <c r="P353" s="434">
        <f t="shared" si="671"/>
        <v>0</v>
      </c>
      <c r="Q353" s="434">
        <f t="shared" si="672"/>
        <v>0</v>
      </c>
      <c r="R353" s="434">
        <f t="shared" si="673"/>
        <v>0</v>
      </c>
      <c r="S353" s="434">
        <f t="shared" si="674"/>
        <v>0</v>
      </c>
      <c r="T353" s="434">
        <f t="shared" si="675"/>
        <v>0</v>
      </c>
      <c r="U353" s="434">
        <f t="shared" si="676"/>
        <v>0</v>
      </c>
      <c r="V353" s="434">
        <f t="shared" si="677"/>
        <v>0</v>
      </c>
      <c r="W353" s="434">
        <f t="shared" si="624"/>
        <v>0</v>
      </c>
      <c r="X353" s="982">
        <f t="shared" si="625"/>
        <v>0</v>
      </c>
      <c r="Y353" s="441"/>
      <c r="Z353" s="277">
        <f t="shared" si="626"/>
        <v>0</v>
      </c>
      <c r="AA353" s="277">
        <f t="shared" si="627"/>
        <v>0</v>
      </c>
      <c r="AB353" s="277">
        <f t="shared" si="628"/>
        <v>0</v>
      </c>
      <c r="AC353" s="277">
        <f t="shared" si="629"/>
        <v>0</v>
      </c>
      <c r="AD353" s="277">
        <f t="shared" si="630"/>
        <v>0</v>
      </c>
      <c r="AE353" s="277">
        <f t="shared" si="631"/>
        <v>0</v>
      </c>
      <c r="AF353" s="277">
        <f t="shared" si="632"/>
        <v>0</v>
      </c>
      <c r="AG353" s="277">
        <f t="shared" si="633"/>
        <v>0</v>
      </c>
      <c r="AI353" s="444">
        <f t="shared" si="678"/>
        <v>0</v>
      </c>
      <c r="AJ353" s="1090"/>
      <c r="AK353" s="489"/>
      <c r="AL353" s="811">
        <f t="shared" si="635"/>
        <v>46261</v>
      </c>
      <c r="AM353" s="666">
        <f>IFERROR(IF(AND(AT353="",AR353&lt;&gt;S.CAL!$BJ$3,AR353&lt;&gt;S.CAL!$BJ$4,$AR$320="NON"),M353-BD353,IF(AND(AT353="",AR353&lt;&gt;S.CAL!$BJ$3,AR353&lt;&gt;S.CAL!$BJ$4,$AR$320="OUI"),X353-AI353,IF(AT353&lt;&gt;0,AT353,IF(OR(AR353=S.CAL!$BJ$3,AR353=S.CAL!$BJ$4),AR353,"")))),"")</f>
        <v>0</v>
      </c>
      <c r="AN353" s="1093"/>
      <c r="AO353" s="1094"/>
      <c r="AP353" s="666">
        <f>+IF(AND(AU353="",BB353="OUI",BH353="non",BI353="OUI"),AM353,IF(AND(AU353="",BB353="OUI",BH353="oui",BI353="NON"),AM353,IF(AND(AU353="",BB353="NON",BH353="oui",BI353="NON"),M353,IF(AND(AU353="",BB353="NON",BH353="non",BI353="OUI"),M353,IF(AND(AU353="",BB353="OUI",BH353="non",BI353="NON"),"ERREUR",IF(AND(AU353="",BB353="NON",BH353="non",BI353="NON"),AM353,IF(AND(AU353="",BB353="OUI",BH353="",BI353=""),AM353,IF(AND(AU353="",BB353="NON",BH353="",BI353="",AZ353="NON"),M353,IF(AND(AU353="",BH353="",AZ353="OUI",AR353=""),AM353,IF(AND(AU353="",BH353="",AZ353="NON",AR353="",AT353=""),M353,IF(AND(OR(AR353=S.CAL!$BJ$3,AR353=S.CAL!$BJ$4),(VLOOKUP($AM$320,base_nbre_sem_mensu,2,FALSE)=52)),EE353,IF(AND(OR(AR353=S.CAL!$BJ$3,AR353=S.CAL!$BJ$4),(VLOOKUP($AM$320,base_nbre_sem_mensu,2,FALSE)&lt;52)),AM353,IF(AND(AT353&lt;&gt;"",AU353=""),AT353,AU353)))))))))))))</f>
        <v>0</v>
      </c>
      <c r="AQ353" s="498">
        <f t="shared" si="655"/>
        <v>0</v>
      </c>
      <c r="AR353" s="1098"/>
      <c r="AT353" s="1101"/>
      <c r="AU353" s="813"/>
      <c r="AV353" s="1370">
        <f t="shared" si="636"/>
        <v>46261</v>
      </c>
      <c r="AX353" s="511">
        <f t="shared" si="656"/>
        <v>46261</v>
      </c>
      <c r="AY353" s="523">
        <f t="shared" si="657"/>
        <v>0</v>
      </c>
      <c r="AZ353" s="520" t="s">
        <v>137</v>
      </c>
      <c r="BA353" s="516">
        <f t="shared" si="658"/>
        <v>0</v>
      </c>
      <c r="BB353" s="549" t="str">
        <f t="shared" si="637"/>
        <v/>
      </c>
      <c r="BC353" s="523">
        <f t="shared" si="659"/>
        <v>0</v>
      </c>
      <c r="BD353" s="523">
        <f t="shared" si="660"/>
        <v>0</v>
      </c>
      <c r="BE353" s="732"/>
      <c r="BF353" s="514" t="str">
        <f t="shared" si="638"/>
        <v/>
      </c>
      <c r="BG353" s="514" t="str">
        <f t="shared" si="661"/>
        <v>oui</v>
      </c>
      <c r="BH353" s="377" t="str">
        <f t="shared" si="639"/>
        <v/>
      </c>
      <c r="BI353" s="24" t="str">
        <f t="shared" si="640"/>
        <v/>
      </c>
      <c r="BJ353" s="1381"/>
      <c r="BK353" s="1381"/>
      <c r="BL353" s="1381"/>
      <c r="BM353" s="1381"/>
      <c r="BN353" s="1381"/>
      <c r="BO353" s="1381"/>
      <c r="BP353" s="1381"/>
      <c r="BQ353" s="1381"/>
      <c r="BS353" s="1370">
        <f t="shared" si="607"/>
        <v>46261</v>
      </c>
      <c r="BT353" s="27" t="str">
        <f t="shared" si="669"/>
        <v/>
      </c>
      <c r="BU353" s="1380"/>
      <c r="BV353" s="1380"/>
      <c r="BW353" s="1380"/>
      <c r="BX353" s="1380"/>
      <c r="BY353" s="1380"/>
      <c r="BZ353" s="1380"/>
      <c r="CA353" s="1380"/>
      <c r="CB353" s="1380"/>
      <c r="CD353" s="1386">
        <f t="shared" si="662"/>
        <v>0</v>
      </c>
      <c r="DC353" s="16" t="str">
        <f>Aout!FC46</f>
        <v>non</v>
      </c>
      <c r="DG353" s="315">
        <f t="shared" si="663"/>
        <v>1</v>
      </c>
      <c r="DH353" s="129">
        <f t="shared" si="641"/>
        <v>10</v>
      </c>
      <c r="DI353" s="129">
        <f t="shared" si="664"/>
        <v>1</v>
      </c>
      <c r="DK353" s="16">
        <f>+IF(AND(Aout!$DP$8&lt;&gt;52,AR353=S.CAL!$BJ$4),10,1)</f>
        <v>1</v>
      </c>
      <c r="DN353" s="16">
        <f t="shared" si="642"/>
        <v>1</v>
      </c>
      <c r="DU353" s="1274" t="str">
        <f t="shared" si="665"/>
        <v>Fiche infoA446261</v>
      </c>
      <c r="DV353" s="1362">
        <f t="shared" si="643"/>
        <v>0</v>
      </c>
      <c r="DW353" s="1363">
        <f t="shared" si="644"/>
        <v>0</v>
      </c>
      <c r="DX353" s="1363">
        <f t="shared" si="645"/>
        <v>0</v>
      </c>
      <c r="DY353" s="1363">
        <f t="shared" si="646"/>
        <v>0</v>
      </c>
      <c r="DZ353" s="1363">
        <f t="shared" si="647"/>
        <v>0</v>
      </c>
      <c r="EA353" s="1363">
        <f t="shared" si="648"/>
        <v>0</v>
      </c>
      <c r="EB353" s="1363">
        <f t="shared" si="649"/>
        <v>0</v>
      </c>
      <c r="EC353" s="1363">
        <f t="shared" si="650"/>
        <v>0</v>
      </c>
      <c r="ED353" s="1363">
        <f t="shared" si="666"/>
        <v>0</v>
      </c>
      <c r="EE353" s="1364">
        <f t="shared" si="667"/>
        <v>0</v>
      </c>
      <c r="EG353" s="16" t="str">
        <f t="shared" si="668"/>
        <v>352026</v>
      </c>
      <c r="EH353" s="16" t="str">
        <f t="shared" si="651"/>
        <v>Fiche infoA4</v>
      </c>
      <c r="EI353" s="16" t="str">
        <f t="shared" si="652"/>
        <v/>
      </c>
    </row>
    <row r="354" spans="1:145" x14ac:dyDescent="0.2">
      <c r="A354" s="1373" t="str">
        <f>Aout!BJ47</f>
        <v>Fiche infoA5</v>
      </c>
      <c r="B354" s="811">
        <f>Aout!AB47</f>
        <v>46262</v>
      </c>
      <c r="C354" s="1372"/>
      <c r="D354" s="981">
        <f t="shared" si="608"/>
        <v>0</v>
      </c>
      <c r="E354" s="434">
        <f t="shared" si="609"/>
        <v>0</v>
      </c>
      <c r="F354" s="434">
        <f t="shared" si="610"/>
        <v>0</v>
      </c>
      <c r="G354" s="434">
        <f t="shared" si="611"/>
        <v>0</v>
      </c>
      <c r="H354" s="434">
        <f t="shared" si="612"/>
        <v>0</v>
      </c>
      <c r="I354" s="434">
        <f t="shared" si="613"/>
        <v>0</v>
      </c>
      <c r="J354" s="434">
        <f t="shared" si="614"/>
        <v>0</v>
      </c>
      <c r="K354" s="434">
        <f t="shared" si="615"/>
        <v>0</v>
      </c>
      <c r="L354" s="434">
        <f t="shared" si="653"/>
        <v>0</v>
      </c>
      <c r="M354" s="982">
        <f t="shared" si="654"/>
        <v>0</v>
      </c>
      <c r="N354" s="1374"/>
      <c r="O354" s="981">
        <f t="shared" si="670"/>
        <v>0</v>
      </c>
      <c r="P354" s="434">
        <f t="shared" si="671"/>
        <v>0</v>
      </c>
      <c r="Q354" s="434">
        <f t="shared" si="672"/>
        <v>0</v>
      </c>
      <c r="R354" s="434">
        <f t="shared" si="673"/>
        <v>0</v>
      </c>
      <c r="S354" s="434">
        <f t="shared" si="674"/>
        <v>0</v>
      </c>
      <c r="T354" s="434">
        <f t="shared" si="675"/>
        <v>0</v>
      </c>
      <c r="U354" s="434">
        <f t="shared" si="676"/>
        <v>0</v>
      </c>
      <c r="V354" s="434">
        <f t="shared" si="677"/>
        <v>0</v>
      </c>
      <c r="W354" s="434">
        <f t="shared" si="624"/>
        <v>0</v>
      </c>
      <c r="X354" s="982">
        <f t="shared" si="625"/>
        <v>0</v>
      </c>
      <c r="Y354" s="1375"/>
      <c r="Z354" s="1376">
        <f t="shared" si="626"/>
        <v>0</v>
      </c>
      <c r="AA354" s="1376">
        <f t="shared" si="627"/>
        <v>0</v>
      </c>
      <c r="AB354" s="1376">
        <f t="shared" si="628"/>
        <v>0</v>
      </c>
      <c r="AC354" s="1376">
        <f t="shared" si="629"/>
        <v>0</v>
      </c>
      <c r="AD354" s="1376">
        <f t="shared" si="630"/>
        <v>0</v>
      </c>
      <c r="AE354" s="1376">
        <f t="shared" si="631"/>
        <v>0</v>
      </c>
      <c r="AF354" s="1376">
        <f t="shared" si="632"/>
        <v>0</v>
      </c>
      <c r="AG354" s="1376">
        <f t="shared" si="633"/>
        <v>0</v>
      </c>
      <c r="AH354" s="1374"/>
      <c r="AI354" s="444">
        <f t="shared" si="678"/>
        <v>0</v>
      </c>
      <c r="AJ354" s="1090"/>
      <c r="AK354" s="1377"/>
      <c r="AL354" s="811">
        <f t="shared" si="635"/>
        <v>46262</v>
      </c>
      <c r="AM354" s="666">
        <f>IFERROR(IF(AND(AT354="",AR354&lt;&gt;S.CAL!$BJ$3,AR354&lt;&gt;S.CAL!$BJ$4,$AR$320="NON"),M354-BD354,IF(AND(AT354="",AR354&lt;&gt;S.CAL!$BJ$3,AR354&lt;&gt;S.CAL!$BJ$4,$AR$320="OUI"),X354-AI354,IF(AT354&lt;&gt;0,AT354,IF(OR(AR354=S.CAL!$BJ$3,AR354=S.CAL!$BJ$4),AR354,"")))),"")</f>
        <v>0</v>
      </c>
      <c r="AN354" s="1093"/>
      <c r="AO354" s="1094"/>
      <c r="AP354" s="666">
        <f>+IF(AND(AU354="",BB354="OUI",BH354="non",BI354="OUI"),AM354,IF(AND(AU354="",BB354="OUI",BH354="oui",BI354="NON"),AM354,IF(AND(AU354="",BB354="NON",BH354="oui",BI354="NON"),M354,IF(AND(AU354="",BB354="NON",BH354="non",BI354="OUI"),M354,IF(AND(AU354="",BB354="OUI",BH354="non",BI354="NON"),"ERREUR",IF(AND(AU354="",BB354="NON",BH354="non",BI354="NON"),AM354,IF(AND(AU354="",BB354="OUI",BH354="",BI354=""),AM354,IF(AND(AU354="",BB354="NON",BH354="",BI354="",AZ354="NON"),M354,IF(AND(AU354="",BH354="",AZ354="OUI",AR354=""),AM354,IF(AND(AU354="",BH354="",AZ354="NON",AR354="",AT354=""),M354,IF(AND(OR(AR354=S.CAL!$BJ$3,AR354=S.CAL!$BJ$4),(VLOOKUP($AM$320,base_nbre_sem_mensu,2,FALSE)=52)),EE354,IF(AND(OR(AR354=S.CAL!$BJ$3,AR354=S.CAL!$BJ$4),(VLOOKUP($AM$320,base_nbre_sem_mensu,2,FALSE)&lt;52)),AM354,IF(AND(AT354&lt;&gt;"",AU354=""),AT354,AU354)))))))))))))</f>
        <v>0</v>
      </c>
      <c r="AQ354" s="1378">
        <f t="shared" si="655"/>
        <v>0</v>
      </c>
      <c r="AR354" s="1098"/>
      <c r="AS354" s="1374"/>
      <c r="AT354" s="1101"/>
      <c r="AU354" s="813"/>
      <c r="AV354" s="1370">
        <f t="shared" si="636"/>
        <v>46262</v>
      </c>
      <c r="AW354" s="1374"/>
      <c r="AX354" s="511">
        <f t="shared" si="656"/>
        <v>46262</v>
      </c>
      <c r="AY354" s="523">
        <f t="shared" si="657"/>
        <v>0</v>
      </c>
      <c r="AZ354" s="520" t="s">
        <v>137</v>
      </c>
      <c r="BA354" s="516">
        <f t="shared" si="658"/>
        <v>0</v>
      </c>
      <c r="BB354" s="549" t="str">
        <f t="shared" si="637"/>
        <v/>
      </c>
      <c r="BC354" s="523">
        <f t="shared" si="659"/>
        <v>0</v>
      </c>
      <c r="BD354" s="523">
        <f t="shared" si="660"/>
        <v>0</v>
      </c>
      <c r="BE354" s="732"/>
      <c r="BF354" s="514" t="str">
        <f t="shared" si="638"/>
        <v/>
      </c>
      <c r="BG354" s="514" t="str">
        <f t="shared" si="661"/>
        <v>oui</v>
      </c>
      <c r="BH354" s="377" t="str">
        <f t="shared" si="639"/>
        <v/>
      </c>
      <c r="BI354" s="24" t="str">
        <f t="shared" si="640"/>
        <v/>
      </c>
      <c r="BJ354" s="1382"/>
      <c r="BK354" s="1382"/>
      <c r="BL354" s="1382"/>
      <c r="BM354" s="1382"/>
      <c r="BN354" s="1382"/>
      <c r="BO354" s="1382"/>
      <c r="BP354" s="1382"/>
      <c r="BQ354" s="1382"/>
      <c r="BR354" s="1383"/>
      <c r="BS354" s="1370">
        <f t="shared" si="607"/>
        <v>46262</v>
      </c>
      <c r="BT354" s="1384" t="str">
        <f t="shared" si="669"/>
        <v/>
      </c>
      <c r="BU354" s="1382"/>
      <c r="BV354" s="1382"/>
      <c r="BW354" s="1382"/>
      <c r="BX354" s="1382"/>
      <c r="BY354" s="1382"/>
      <c r="BZ354" s="1382"/>
      <c r="CA354" s="1382"/>
      <c r="CB354" s="1382"/>
      <c r="CD354" s="1386">
        <f t="shared" si="662"/>
        <v>0</v>
      </c>
      <c r="DC354" s="16" t="str">
        <f>Aout!FC47</f>
        <v>non</v>
      </c>
      <c r="DG354" s="315">
        <f t="shared" si="663"/>
        <v>1</v>
      </c>
      <c r="DH354" s="129">
        <f t="shared" si="641"/>
        <v>10</v>
      </c>
      <c r="DI354" s="129">
        <f t="shared" si="664"/>
        <v>1</v>
      </c>
      <c r="DK354" s="16">
        <f>+IF(AND(Aout!$DP$8&lt;&gt;52,AR354=S.CAL!$BJ$4),10,1)</f>
        <v>1</v>
      </c>
      <c r="DN354" s="16">
        <f t="shared" si="642"/>
        <v>1</v>
      </c>
      <c r="DU354" s="1274" t="str">
        <f t="shared" si="665"/>
        <v>Fiche infoA546262</v>
      </c>
      <c r="DV354" s="1362">
        <f t="shared" si="643"/>
        <v>0</v>
      </c>
      <c r="DW354" s="1363">
        <f t="shared" si="644"/>
        <v>0</v>
      </c>
      <c r="DX354" s="1363">
        <f t="shared" si="645"/>
        <v>0</v>
      </c>
      <c r="DY354" s="1363">
        <f t="shared" si="646"/>
        <v>0</v>
      </c>
      <c r="DZ354" s="1363">
        <f t="shared" si="647"/>
        <v>0</v>
      </c>
      <c r="EA354" s="1363">
        <f t="shared" si="648"/>
        <v>0</v>
      </c>
      <c r="EB354" s="1363">
        <f t="shared" si="649"/>
        <v>0</v>
      </c>
      <c r="EC354" s="1363">
        <f t="shared" si="650"/>
        <v>0</v>
      </c>
      <c r="ED354" s="1363">
        <f t="shared" si="666"/>
        <v>0</v>
      </c>
      <c r="EE354" s="1364">
        <f t="shared" si="667"/>
        <v>0</v>
      </c>
      <c r="EG354" s="16" t="str">
        <f t="shared" si="668"/>
        <v>352026</v>
      </c>
      <c r="EH354" s="16" t="str">
        <f t="shared" si="651"/>
        <v>Fiche infoA5</v>
      </c>
      <c r="EI354" s="16" t="str">
        <f t="shared" si="652"/>
        <v/>
      </c>
    </row>
    <row r="355" spans="1:145" x14ac:dyDescent="0.2">
      <c r="A355" s="24" t="str">
        <f>Aout!BJ48</f>
        <v>Fiche infoA6</v>
      </c>
      <c r="B355" s="811">
        <f>Aout!AB48</f>
        <v>46263</v>
      </c>
      <c r="C355" s="1371"/>
      <c r="D355" s="981">
        <f t="shared" si="608"/>
        <v>0</v>
      </c>
      <c r="E355" s="434">
        <f t="shared" si="609"/>
        <v>0</v>
      </c>
      <c r="F355" s="434">
        <f t="shared" si="610"/>
        <v>0</v>
      </c>
      <c r="G355" s="434">
        <f t="shared" si="611"/>
        <v>0</v>
      </c>
      <c r="H355" s="434">
        <f t="shared" si="612"/>
        <v>0</v>
      </c>
      <c r="I355" s="434">
        <f t="shared" si="613"/>
        <v>0</v>
      </c>
      <c r="J355" s="434">
        <f t="shared" si="614"/>
        <v>0</v>
      </c>
      <c r="K355" s="434">
        <f t="shared" si="615"/>
        <v>0</v>
      </c>
      <c r="L355" s="434">
        <f t="shared" si="653"/>
        <v>0</v>
      </c>
      <c r="M355" s="982">
        <f t="shared" si="654"/>
        <v>0</v>
      </c>
      <c r="O355" s="981">
        <f t="shared" si="670"/>
        <v>0</v>
      </c>
      <c r="P355" s="434">
        <f t="shared" si="671"/>
        <v>0</v>
      </c>
      <c r="Q355" s="434">
        <f t="shared" si="672"/>
        <v>0</v>
      </c>
      <c r="R355" s="434">
        <f t="shared" si="673"/>
        <v>0</v>
      </c>
      <c r="S355" s="434">
        <f t="shared" si="674"/>
        <v>0</v>
      </c>
      <c r="T355" s="434">
        <f t="shared" si="675"/>
        <v>0</v>
      </c>
      <c r="U355" s="434">
        <f t="shared" si="676"/>
        <v>0</v>
      </c>
      <c r="V355" s="434">
        <f t="shared" si="677"/>
        <v>0</v>
      </c>
      <c r="W355" s="434">
        <f t="shared" si="624"/>
        <v>0</v>
      </c>
      <c r="X355" s="982">
        <f t="shared" si="625"/>
        <v>0</v>
      </c>
      <c r="Y355" s="441"/>
      <c r="Z355" s="277">
        <f t="shared" si="626"/>
        <v>0</v>
      </c>
      <c r="AA355" s="277">
        <f t="shared" si="627"/>
        <v>0</v>
      </c>
      <c r="AB355" s="277">
        <f t="shared" si="628"/>
        <v>0</v>
      </c>
      <c r="AC355" s="277">
        <f t="shared" si="629"/>
        <v>0</v>
      </c>
      <c r="AD355" s="277">
        <f t="shared" si="630"/>
        <v>0</v>
      </c>
      <c r="AE355" s="277">
        <f t="shared" si="631"/>
        <v>0</v>
      </c>
      <c r="AF355" s="277">
        <f t="shared" si="632"/>
        <v>0</v>
      </c>
      <c r="AG355" s="277">
        <f t="shared" si="633"/>
        <v>0</v>
      </c>
      <c r="AI355" s="444">
        <f t="shared" si="678"/>
        <v>0</v>
      </c>
      <c r="AJ355" s="1090"/>
      <c r="AK355" s="489"/>
      <c r="AL355" s="811">
        <f t="shared" si="635"/>
        <v>46263</v>
      </c>
      <c r="AM355" s="666">
        <f>IFERROR(IF(AND(AT355="",AR355&lt;&gt;S.CAL!$BJ$3,AR355&lt;&gt;S.CAL!$BJ$4,$AR$320="NON"),M355-BD355,IF(AND(AT355="",AR355&lt;&gt;S.CAL!$BJ$3,AR355&lt;&gt;S.CAL!$BJ$4,$AR$320="OUI"),X355-AI355,IF(AT355&lt;&gt;0,AT355,IF(OR(AR355=S.CAL!$BJ$3,AR355=S.CAL!$BJ$4),AR355,"")))),"")</f>
        <v>0</v>
      </c>
      <c r="AN355" s="1093"/>
      <c r="AO355" s="1094"/>
      <c r="AP355" s="666">
        <f>+IF(AND(AU355="",BB355="OUI",BH355="non",BI355="OUI"),AM355,IF(AND(AU355="",BB355="OUI",BH355="oui",BI355="NON"),AM355,IF(AND(AU355="",BB355="NON",BH355="oui",BI355="NON"),M355,IF(AND(AU355="",BB355="NON",BH355="non",BI355="OUI"),M355,IF(AND(AU355="",BB355="OUI",BH355="non",BI355="NON"),"ERREUR",IF(AND(AU355="",BB355="NON",BH355="non",BI355="NON"),AM355,IF(AND(AU355="",BB355="OUI",BH355="",BI355=""),AM355,IF(AND(AU355="",BB355="NON",BH355="",BI355="",AZ355="NON"),M355,IF(AND(AU355="",BH355="",AZ355="OUI",AR355=""),AM355,IF(AND(AU355="",BH355="",AZ355="NON",AR355="",AT355=""),M355,IF(AND(OR(AR355=S.CAL!$BJ$3,AR355=S.CAL!$BJ$4),(VLOOKUP($AM$320,base_nbre_sem_mensu,2,FALSE)=52)),EE355,IF(AND(OR(AR355=S.CAL!$BJ$3,AR355=S.CAL!$BJ$4),(VLOOKUP($AM$320,base_nbre_sem_mensu,2,FALSE)&lt;52)),AM355,IF(AND(AT355&lt;&gt;"",AU355=""),AT355,AU355)))))))))))))</f>
        <v>0</v>
      </c>
      <c r="AQ355" s="498">
        <f t="shared" si="655"/>
        <v>0</v>
      </c>
      <c r="AR355" s="1098"/>
      <c r="AT355" s="1101"/>
      <c r="AU355" s="813"/>
      <c r="AV355" s="1370">
        <f t="shared" si="636"/>
        <v>46263</v>
      </c>
      <c r="AX355" s="511">
        <f t="shared" si="656"/>
        <v>46263</v>
      </c>
      <c r="AY355" s="523">
        <f t="shared" si="657"/>
        <v>0</v>
      </c>
      <c r="AZ355" s="520" t="s">
        <v>137</v>
      </c>
      <c r="BA355" s="516">
        <f t="shared" si="658"/>
        <v>0</v>
      </c>
      <c r="BB355" s="549" t="str">
        <f t="shared" si="637"/>
        <v/>
      </c>
      <c r="BC355" s="523">
        <f t="shared" si="659"/>
        <v>0</v>
      </c>
      <c r="BD355" s="523">
        <f t="shared" si="660"/>
        <v>0</v>
      </c>
      <c r="BE355" s="732"/>
      <c r="BF355" s="514" t="str">
        <f t="shared" si="638"/>
        <v/>
      </c>
      <c r="BG355" s="514" t="str">
        <f t="shared" si="661"/>
        <v>oui</v>
      </c>
      <c r="BH355" s="377" t="str">
        <f t="shared" si="639"/>
        <v/>
      </c>
      <c r="BI355" s="24" t="str">
        <f t="shared" si="640"/>
        <v/>
      </c>
      <c r="BJ355" s="1381"/>
      <c r="BK355" s="1381"/>
      <c r="BL355" s="1381"/>
      <c r="BM355" s="1381"/>
      <c r="BN355" s="1381"/>
      <c r="BO355" s="1381"/>
      <c r="BP355" s="1381"/>
      <c r="BQ355" s="1381"/>
      <c r="BS355" s="1370">
        <f t="shared" si="607"/>
        <v>46263</v>
      </c>
      <c r="BT355" s="27" t="str">
        <f t="shared" si="669"/>
        <v/>
      </c>
      <c r="BU355" s="1380"/>
      <c r="BV355" s="1380"/>
      <c r="BW355" s="1380"/>
      <c r="BX355" s="1380"/>
      <c r="BY355" s="1380"/>
      <c r="BZ355" s="1380"/>
      <c r="CA355" s="1380"/>
      <c r="CB355" s="1380"/>
      <c r="CD355" s="1386">
        <f t="shared" si="662"/>
        <v>0</v>
      </c>
      <c r="DC355" s="16" t="str">
        <f>Aout!FC48</f>
        <v>non</v>
      </c>
      <c r="DG355" s="315">
        <f t="shared" si="663"/>
        <v>1</v>
      </c>
      <c r="DH355" s="129">
        <f t="shared" si="641"/>
        <v>10</v>
      </c>
      <c r="DI355" s="129">
        <f t="shared" si="664"/>
        <v>1</v>
      </c>
      <c r="DK355" s="16">
        <f>+IF(AND(Aout!$DP$8&lt;&gt;52,AR355=S.CAL!$BJ$4),10,1)</f>
        <v>1</v>
      </c>
      <c r="DN355" s="16">
        <f t="shared" si="642"/>
        <v>1</v>
      </c>
      <c r="DU355" s="1274" t="str">
        <f t="shared" si="665"/>
        <v>Fiche infoA646263</v>
      </c>
      <c r="DV355" s="1362">
        <f t="shared" si="643"/>
        <v>0</v>
      </c>
      <c r="DW355" s="1363">
        <f t="shared" si="644"/>
        <v>0</v>
      </c>
      <c r="DX355" s="1363">
        <f t="shared" si="645"/>
        <v>0</v>
      </c>
      <c r="DY355" s="1363">
        <f t="shared" si="646"/>
        <v>0</v>
      </c>
      <c r="DZ355" s="1363">
        <f t="shared" si="647"/>
        <v>0</v>
      </c>
      <c r="EA355" s="1363">
        <f t="shared" si="648"/>
        <v>0</v>
      </c>
      <c r="EB355" s="1363">
        <f t="shared" si="649"/>
        <v>0</v>
      </c>
      <c r="EC355" s="1363">
        <f t="shared" si="650"/>
        <v>0</v>
      </c>
      <c r="ED355" s="1363">
        <f t="shared" si="666"/>
        <v>0</v>
      </c>
      <c r="EE355" s="1364">
        <f t="shared" si="667"/>
        <v>0</v>
      </c>
      <c r="EG355" s="16" t="str">
        <f t="shared" si="668"/>
        <v>352026</v>
      </c>
      <c r="EH355" s="16" t="str">
        <f t="shared" si="651"/>
        <v>Fiche infoA6</v>
      </c>
      <c r="EI355" s="16" t="str">
        <f t="shared" si="652"/>
        <v/>
      </c>
    </row>
    <row r="356" spans="1:145" x14ac:dyDescent="0.2">
      <c r="A356" s="1373" t="str">
        <f>Aout!BJ49</f>
        <v>Fiche infoA7</v>
      </c>
      <c r="B356" s="811">
        <f>Aout!AB49</f>
        <v>46264</v>
      </c>
      <c r="C356" s="1372"/>
      <c r="D356" s="981">
        <f t="shared" si="608"/>
        <v>0</v>
      </c>
      <c r="E356" s="434">
        <f t="shared" si="609"/>
        <v>0</v>
      </c>
      <c r="F356" s="434">
        <f t="shared" si="610"/>
        <v>0</v>
      </c>
      <c r="G356" s="434">
        <f t="shared" si="611"/>
        <v>0</v>
      </c>
      <c r="H356" s="434">
        <f t="shared" si="612"/>
        <v>0</v>
      </c>
      <c r="I356" s="434">
        <f t="shared" si="613"/>
        <v>0</v>
      </c>
      <c r="J356" s="434">
        <f t="shared" si="614"/>
        <v>0</v>
      </c>
      <c r="K356" s="434">
        <f t="shared" si="615"/>
        <v>0</v>
      </c>
      <c r="L356" s="434">
        <f t="shared" si="653"/>
        <v>0</v>
      </c>
      <c r="M356" s="982">
        <f t="shared" si="654"/>
        <v>0</v>
      </c>
      <c r="N356" s="1374"/>
      <c r="O356" s="981">
        <f t="shared" si="670"/>
        <v>0</v>
      </c>
      <c r="P356" s="434">
        <f t="shared" si="671"/>
        <v>0</v>
      </c>
      <c r="Q356" s="434">
        <f t="shared" si="672"/>
        <v>0</v>
      </c>
      <c r="R356" s="434">
        <f t="shared" si="673"/>
        <v>0</v>
      </c>
      <c r="S356" s="434">
        <f t="shared" si="674"/>
        <v>0</v>
      </c>
      <c r="T356" s="434">
        <f t="shared" si="675"/>
        <v>0</v>
      </c>
      <c r="U356" s="434">
        <f t="shared" si="676"/>
        <v>0</v>
      </c>
      <c r="V356" s="434">
        <f t="shared" si="677"/>
        <v>0</v>
      </c>
      <c r="W356" s="434">
        <f t="shared" si="624"/>
        <v>0</v>
      </c>
      <c r="X356" s="982">
        <f t="shared" si="625"/>
        <v>0</v>
      </c>
      <c r="Y356" s="1375"/>
      <c r="Z356" s="1376">
        <f t="shared" si="626"/>
        <v>0</v>
      </c>
      <c r="AA356" s="1376">
        <f t="shared" si="627"/>
        <v>0</v>
      </c>
      <c r="AB356" s="1376">
        <f t="shared" si="628"/>
        <v>0</v>
      </c>
      <c r="AC356" s="1376">
        <f t="shared" si="629"/>
        <v>0</v>
      </c>
      <c r="AD356" s="1376">
        <f t="shared" si="630"/>
        <v>0</v>
      </c>
      <c r="AE356" s="1376">
        <f t="shared" si="631"/>
        <v>0</v>
      </c>
      <c r="AF356" s="1376">
        <f t="shared" si="632"/>
        <v>0</v>
      </c>
      <c r="AG356" s="1376">
        <f t="shared" si="633"/>
        <v>0</v>
      </c>
      <c r="AH356" s="1374"/>
      <c r="AI356" s="444">
        <f t="shared" si="678"/>
        <v>0</v>
      </c>
      <c r="AJ356" s="1090"/>
      <c r="AK356" s="1377"/>
      <c r="AL356" s="811">
        <f t="shared" si="635"/>
        <v>46264</v>
      </c>
      <c r="AM356" s="666">
        <f>IFERROR(IF(AND(AT356="",AR356&lt;&gt;S.CAL!$BJ$3,AR356&lt;&gt;S.CAL!$BJ$4,$AR$320="NON"),M356-BD356,IF(AND(AT356="",AR356&lt;&gt;S.CAL!$BJ$3,AR356&lt;&gt;S.CAL!$BJ$4,$AR$320="OUI"),X356-AI356,IF(AT356&lt;&gt;0,AT356,IF(OR(AR356=S.CAL!$BJ$3,AR356=S.CAL!$BJ$4),AR356,"")))),"")</f>
        <v>0</v>
      </c>
      <c r="AN356" s="1093"/>
      <c r="AO356" s="1094"/>
      <c r="AP356" s="666">
        <f>+IF(AND(AU356="",BB356="OUI",BH356="non",BI356="OUI"),AM356,IF(AND(AU356="",BB356="OUI",BH356="oui",BI356="NON"),AM356,IF(AND(AU356="",BB356="NON",BH356="oui",BI356="NON"),M356,IF(AND(AU356="",BB356="NON",BH356="non",BI356="OUI"),M356,IF(AND(AU356="",BB356="OUI",BH356="non",BI356="NON"),"ERREUR",IF(AND(AU356="",BB356="NON",BH356="non",BI356="NON"),AM356,IF(AND(AU356="",BB356="OUI",BH356="",BI356=""),AM356,IF(AND(AU356="",BB356="NON",BH356="",BI356="",AZ356="NON"),M356,IF(AND(AU356="",BH356="",AZ356="OUI",AR356=""),AM356,IF(AND(AU356="",BH356="",AZ356="NON",AR356="",AT356=""),M356,IF(AND(OR(AR356=S.CAL!$BJ$3,AR356=S.CAL!$BJ$4),(VLOOKUP($AM$320,base_nbre_sem_mensu,2,FALSE)=52)),EE356,IF(AND(OR(AR356=S.CAL!$BJ$3,AR356=S.CAL!$BJ$4),(VLOOKUP($AM$320,base_nbre_sem_mensu,2,FALSE)&lt;52)),AM356,IF(AND(AT356&lt;&gt;"",AU356=""),AT356,AU356)))))))))))))</f>
        <v>0</v>
      </c>
      <c r="AQ356" s="1378">
        <f t="shared" si="655"/>
        <v>0</v>
      </c>
      <c r="AR356" s="1098"/>
      <c r="AS356" s="1374"/>
      <c r="AT356" s="1101"/>
      <c r="AU356" s="813"/>
      <c r="AV356" s="1370">
        <f t="shared" si="636"/>
        <v>46264</v>
      </c>
      <c r="AW356" s="1374"/>
      <c r="AX356" s="511">
        <f t="shared" si="656"/>
        <v>46264</v>
      </c>
      <c r="AY356" s="523">
        <f t="shared" si="657"/>
        <v>0</v>
      </c>
      <c r="AZ356" s="520" t="s">
        <v>137</v>
      </c>
      <c r="BA356" s="516">
        <f t="shared" si="658"/>
        <v>0</v>
      </c>
      <c r="BB356" s="549" t="str">
        <f t="shared" si="637"/>
        <v/>
      </c>
      <c r="BC356" s="523">
        <f t="shared" si="659"/>
        <v>0</v>
      </c>
      <c r="BD356" s="523">
        <f t="shared" si="660"/>
        <v>0</v>
      </c>
      <c r="BE356" s="732"/>
      <c r="BF356" s="514" t="str">
        <f t="shared" si="638"/>
        <v/>
      </c>
      <c r="BG356" s="514" t="str">
        <f t="shared" si="661"/>
        <v>oui</v>
      </c>
      <c r="BH356" s="377" t="str">
        <f t="shared" si="639"/>
        <v/>
      </c>
      <c r="BI356" s="24" t="str">
        <f t="shared" si="640"/>
        <v/>
      </c>
      <c r="BJ356" s="1382"/>
      <c r="BK356" s="1382"/>
      <c r="BL356" s="1382"/>
      <c r="BM356" s="1382"/>
      <c r="BN356" s="1382"/>
      <c r="BO356" s="1382"/>
      <c r="BP356" s="1382"/>
      <c r="BQ356" s="1382"/>
      <c r="BR356" s="1383"/>
      <c r="BS356" s="1370">
        <f t="shared" si="607"/>
        <v>46264</v>
      </c>
      <c r="BT356" s="1384" t="str">
        <f t="shared" si="669"/>
        <v/>
      </c>
      <c r="BU356" s="1382"/>
      <c r="BV356" s="1382"/>
      <c r="BW356" s="1382"/>
      <c r="BX356" s="1382"/>
      <c r="BY356" s="1382"/>
      <c r="BZ356" s="1382"/>
      <c r="CA356" s="1382"/>
      <c r="CB356" s="1382"/>
      <c r="CD356" s="1386">
        <f t="shared" si="662"/>
        <v>0</v>
      </c>
      <c r="DC356" s="16" t="str">
        <f>Aout!FC49</f>
        <v>non</v>
      </c>
      <c r="DG356" s="315">
        <f t="shared" si="663"/>
        <v>1</v>
      </c>
      <c r="DH356" s="129">
        <f t="shared" si="641"/>
        <v>10</v>
      </c>
      <c r="DI356" s="129">
        <f t="shared" si="664"/>
        <v>1</v>
      </c>
      <c r="DK356" s="16">
        <f>+IF(AND(Aout!$DP$8&lt;&gt;52,AR356=S.CAL!$BJ$4),10,1)</f>
        <v>1</v>
      </c>
      <c r="DN356" s="16">
        <f t="shared" si="642"/>
        <v>1</v>
      </c>
      <c r="DU356" s="1274" t="str">
        <f t="shared" si="665"/>
        <v>Fiche infoA746264</v>
      </c>
      <c r="DV356" s="1362">
        <f t="shared" si="643"/>
        <v>0</v>
      </c>
      <c r="DW356" s="1363">
        <f t="shared" si="644"/>
        <v>0</v>
      </c>
      <c r="DX356" s="1363">
        <f t="shared" si="645"/>
        <v>0</v>
      </c>
      <c r="DY356" s="1363">
        <f t="shared" si="646"/>
        <v>0</v>
      </c>
      <c r="DZ356" s="1363">
        <f t="shared" si="647"/>
        <v>0</v>
      </c>
      <c r="EA356" s="1363">
        <f t="shared" si="648"/>
        <v>0</v>
      </c>
      <c r="EB356" s="1363">
        <f t="shared" si="649"/>
        <v>0</v>
      </c>
      <c r="EC356" s="1363">
        <f t="shared" si="650"/>
        <v>0</v>
      </c>
      <c r="ED356" s="1363">
        <f t="shared" si="666"/>
        <v>0</v>
      </c>
      <c r="EE356" s="1364">
        <f t="shared" si="667"/>
        <v>0</v>
      </c>
      <c r="EG356" s="16" t="str">
        <f t="shared" si="668"/>
        <v>352026</v>
      </c>
      <c r="EH356" s="16" t="str">
        <f t="shared" si="651"/>
        <v>Fiche infoA7</v>
      </c>
      <c r="EI356" s="16" t="str">
        <f t="shared" si="652"/>
        <v/>
      </c>
    </row>
    <row r="357" spans="1:145" x14ac:dyDescent="0.2">
      <c r="A357" s="24" t="str">
        <f>Aout!BJ50</f>
        <v>Fiche infoA1</v>
      </c>
      <c r="B357" s="812">
        <f>Aout!AB50</f>
        <v>46265</v>
      </c>
      <c r="C357" s="1371"/>
      <c r="D357" s="983">
        <f t="shared" si="608"/>
        <v>0</v>
      </c>
      <c r="E357" s="984">
        <f t="shared" si="609"/>
        <v>0</v>
      </c>
      <c r="F357" s="984">
        <f t="shared" si="610"/>
        <v>0</v>
      </c>
      <c r="G357" s="984">
        <f t="shared" si="611"/>
        <v>0</v>
      </c>
      <c r="H357" s="984">
        <f t="shared" si="612"/>
        <v>0</v>
      </c>
      <c r="I357" s="984">
        <f t="shared" si="613"/>
        <v>0</v>
      </c>
      <c r="J357" s="984">
        <f t="shared" si="614"/>
        <v>0</v>
      </c>
      <c r="K357" s="984">
        <f t="shared" si="615"/>
        <v>0</v>
      </c>
      <c r="L357" s="984">
        <f t="shared" si="653"/>
        <v>0</v>
      </c>
      <c r="M357" s="985">
        <f t="shared" si="654"/>
        <v>0</v>
      </c>
      <c r="O357" s="983">
        <f t="shared" si="670"/>
        <v>0</v>
      </c>
      <c r="P357" s="984">
        <f t="shared" si="671"/>
        <v>0</v>
      </c>
      <c r="Q357" s="984">
        <f t="shared" si="672"/>
        <v>0</v>
      </c>
      <c r="R357" s="984">
        <f t="shared" si="673"/>
        <v>0</v>
      </c>
      <c r="S357" s="984">
        <f t="shared" si="674"/>
        <v>0</v>
      </c>
      <c r="T357" s="984">
        <f t="shared" si="675"/>
        <v>0</v>
      </c>
      <c r="U357" s="984">
        <f t="shared" si="676"/>
        <v>0</v>
      </c>
      <c r="V357" s="984">
        <f t="shared" si="677"/>
        <v>0</v>
      </c>
      <c r="W357" s="984">
        <f t="shared" si="624"/>
        <v>0</v>
      </c>
      <c r="X357" s="985">
        <f t="shared" si="625"/>
        <v>0</v>
      </c>
      <c r="Y357" s="441"/>
      <c r="Z357" s="277">
        <f t="shared" si="626"/>
        <v>0</v>
      </c>
      <c r="AA357" s="277">
        <f t="shared" si="627"/>
        <v>0</v>
      </c>
      <c r="AB357" s="277">
        <f t="shared" si="628"/>
        <v>0</v>
      </c>
      <c r="AC357" s="277">
        <f t="shared" si="629"/>
        <v>0</v>
      </c>
      <c r="AD357" s="277">
        <f t="shared" si="630"/>
        <v>0</v>
      </c>
      <c r="AE357" s="277">
        <f t="shared" si="631"/>
        <v>0</v>
      </c>
      <c r="AF357" s="277">
        <f t="shared" si="632"/>
        <v>0</v>
      </c>
      <c r="AG357" s="277">
        <f t="shared" si="633"/>
        <v>0</v>
      </c>
      <c r="AI357" s="444">
        <f t="shared" si="678"/>
        <v>0</v>
      </c>
      <c r="AJ357" s="1090"/>
      <c r="AK357" s="489"/>
      <c r="AL357" s="812">
        <f t="shared" si="635"/>
        <v>46265</v>
      </c>
      <c r="AM357" s="499">
        <f>IFERROR(IF(AND(AT357="",AR357&lt;&gt;S.CAL!$BJ$3,AR357&lt;&gt;S.CAL!$BJ$4,$AR$320="NON"),M357-BD357,IF(AND(AT357="",AR357&lt;&gt;S.CAL!$BJ$3,AR357&lt;&gt;S.CAL!$BJ$4,$AR$320="OUI"),X357-AI357,IF(AT357&lt;&gt;0,AT357,IF(OR(AR357=S.CAL!$BJ$3,AR357=S.CAL!$BJ$4),AR357,"")))),"")</f>
        <v>0</v>
      </c>
      <c r="AN357" s="1095"/>
      <c r="AO357" s="1096"/>
      <c r="AP357" s="499">
        <f>+IF(AND(AU357="",BB357="OUI",BH357="non",BI357="OUI"),AM357,IF(AND(AU357="",BB357="OUI",BH357="oui",BI357="NON"),AM357,IF(AND(AU357="",BB357="NON",BH357="oui",BI357="NON"),M357,IF(AND(AU357="",BB357="NON",BH357="non",BI357="OUI"),M357,IF(AND(AU357="",BB357="OUI",BH357="non",BI357="NON"),"ERREUR",IF(AND(AU357="",BB357="NON",BH357="non",BI357="NON"),AM357,IF(AND(AU357="",BB357="OUI",BH357="",BI357=""),AM357,IF(AND(AU357="",BB357="NON",BH357="",BI357="",AZ357="NON"),M357,IF(AND(AU357="",BH357="",AZ357="OUI",AR357=""),AM357,IF(AND(AU357="",BH357="",AZ357="NON",AR357="",AT357=""),M357,IF(AND(OR(AR357=S.CAL!$BJ$3,AR357=S.CAL!$BJ$4),(VLOOKUP($AM$320,base_nbre_sem_mensu,2,FALSE)=52)),EE357,IF(AND(OR(AR357=S.CAL!$BJ$3,AR357=S.CAL!$BJ$4),(VLOOKUP($AM$320,base_nbre_sem_mensu,2,FALSE)&lt;52)),AM357,IF(AND(AT357&lt;&gt;"",AU357=""),AT357,AU357)))))))))))))</f>
        <v>0</v>
      </c>
      <c r="AQ357" s="498">
        <f t="shared" si="655"/>
        <v>0</v>
      </c>
      <c r="AR357" s="1099"/>
      <c r="AT357" s="1102"/>
      <c r="AU357" s="814"/>
      <c r="AV357" s="812">
        <f t="shared" si="636"/>
        <v>46265</v>
      </c>
      <c r="AX357" s="511">
        <f t="shared" si="656"/>
        <v>46265</v>
      </c>
      <c r="AY357" s="524">
        <f t="shared" si="657"/>
        <v>0</v>
      </c>
      <c r="AZ357" s="521" t="s">
        <v>137</v>
      </c>
      <c r="BA357" s="534">
        <f t="shared" si="658"/>
        <v>0</v>
      </c>
      <c r="BB357" s="522" t="str">
        <f t="shared" si="637"/>
        <v/>
      </c>
      <c r="BC357" s="524">
        <f t="shared" si="659"/>
        <v>0</v>
      </c>
      <c r="BD357" s="524">
        <f t="shared" si="660"/>
        <v>0</v>
      </c>
      <c r="BE357" s="491"/>
      <c r="BF357" s="514" t="str">
        <f t="shared" si="638"/>
        <v/>
      </c>
      <c r="BG357" s="514" t="str">
        <f t="shared" si="661"/>
        <v>oui</v>
      </c>
      <c r="BH357" s="377" t="str">
        <f t="shared" si="639"/>
        <v/>
      </c>
      <c r="BI357" s="24" t="str">
        <f t="shared" si="640"/>
        <v/>
      </c>
      <c r="BJ357" s="1381"/>
      <c r="BK357" s="1381"/>
      <c r="BL357" s="1381"/>
      <c r="BM357" s="1381"/>
      <c r="BN357" s="1381"/>
      <c r="BO357" s="1381"/>
      <c r="BP357" s="1381"/>
      <c r="BQ357" s="1381"/>
      <c r="BS357" s="812">
        <f t="shared" si="607"/>
        <v>46265</v>
      </c>
      <c r="BT357" s="27">
        <f t="shared" si="669"/>
        <v>36</v>
      </c>
      <c r="BU357" s="1380"/>
      <c r="BV357" s="1380"/>
      <c r="BW357" s="1380"/>
      <c r="BX357" s="1380"/>
      <c r="BY357" s="1380"/>
      <c r="BZ357" s="1380"/>
      <c r="CA357" s="1380"/>
      <c r="CB357" s="1380"/>
      <c r="CD357" s="1387">
        <f t="shared" si="662"/>
        <v>0</v>
      </c>
      <c r="DC357" s="16" t="str">
        <f>Aout!FC50</f>
        <v>non</v>
      </c>
      <c r="DG357" s="315">
        <f t="shared" si="663"/>
        <v>1</v>
      </c>
      <c r="DH357" s="129">
        <f t="shared" si="641"/>
        <v>10</v>
      </c>
      <c r="DI357" s="129">
        <f t="shared" si="664"/>
        <v>1</v>
      </c>
      <c r="DK357" s="16">
        <f>+IF(AND(Aout!$DP$8&lt;&gt;52,AR357=S.CAL!$BJ$4),10,1)</f>
        <v>1</v>
      </c>
      <c r="DN357" s="16">
        <f t="shared" si="642"/>
        <v>1</v>
      </c>
      <c r="DU357" s="1274" t="str">
        <f t="shared" si="665"/>
        <v>Fiche infoA146265</v>
      </c>
      <c r="DV357" s="1362">
        <f t="shared" si="643"/>
        <v>0</v>
      </c>
      <c r="DW357" s="1363">
        <f t="shared" si="644"/>
        <v>0</v>
      </c>
      <c r="DX357" s="1363">
        <f t="shared" si="645"/>
        <v>0</v>
      </c>
      <c r="DY357" s="1363">
        <f t="shared" si="646"/>
        <v>0</v>
      </c>
      <c r="DZ357" s="1363">
        <f t="shared" si="647"/>
        <v>0</v>
      </c>
      <c r="EA357" s="1363">
        <f t="shared" si="648"/>
        <v>0</v>
      </c>
      <c r="EB357" s="1363">
        <f t="shared" si="649"/>
        <v>0</v>
      </c>
      <c r="EC357" s="1363">
        <f t="shared" si="650"/>
        <v>0</v>
      </c>
      <c r="ED357" s="1363">
        <f t="shared" si="666"/>
        <v>0</v>
      </c>
      <c r="EE357" s="1364">
        <f t="shared" si="667"/>
        <v>0</v>
      </c>
      <c r="EG357" s="16" t="str">
        <f t="shared" si="668"/>
        <v>362026</v>
      </c>
      <c r="EH357" s="16" t="str">
        <f t="shared" si="651"/>
        <v>Fiche infoA1</v>
      </c>
      <c r="EI357" s="16" t="str">
        <f t="shared" si="652"/>
        <v/>
      </c>
    </row>
    <row r="358" spans="1:145" x14ac:dyDescent="0.2">
      <c r="AM358" s="536">
        <f>SUM(AM327:AM357)</f>
        <v>0</v>
      </c>
      <c r="AN358" s="500">
        <f>SUM(AN327:AN357)</f>
        <v>0</v>
      </c>
      <c r="AO358" s="500">
        <f>SUM(AO327:AO357)</f>
        <v>0</v>
      </c>
      <c r="AP358" s="501">
        <f>SUM(AP327:AP357)</f>
        <v>0</v>
      </c>
      <c r="BD358" s="537">
        <f>SUM(BD327:BD357)</f>
        <v>0</v>
      </c>
      <c r="EE358" s="1364"/>
    </row>
    <row r="359" spans="1:145" x14ac:dyDescent="0.2">
      <c r="X359" s="29" t="s">
        <v>441</v>
      </c>
      <c r="Y359" s="29"/>
      <c r="Z359" s="29"/>
      <c r="AA359" s="29"/>
      <c r="AB359" s="29"/>
      <c r="AC359" s="29"/>
      <c r="AD359" s="29"/>
      <c r="AE359" s="29"/>
      <c r="AF359" s="29"/>
      <c r="AG359" s="29"/>
      <c r="AI359" s="445">
        <f>SUM(AI327:AI357)</f>
        <v>0</v>
      </c>
      <c r="AJ359" s="19"/>
      <c r="AK359" s="19"/>
      <c r="AL359" s="19"/>
      <c r="AM359" s="19"/>
      <c r="AN359" s="19"/>
      <c r="AO359" s="19"/>
      <c r="AP359" s="19"/>
      <c r="AQ359" s="494"/>
    </row>
    <row r="361" spans="1:145" ht="23.25" x14ac:dyDescent="0.35">
      <c r="B361" s="435" t="s">
        <v>794</v>
      </c>
      <c r="C361" s="435"/>
      <c r="D361" s="435"/>
      <c r="BS361" s="19" t="s">
        <v>1524</v>
      </c>
      <c r="EK361" s="16" t="str">
        <f>+EG371</f>
        <v>numero sem</v>
      </c>
      <c r="EL361" s="27" t="s">
        <v>1518</v>
      </c>
      <c r="EM361" s="27" t="s">
        <v>1519</v>
      </c>
      <c r="EN361" s="16" t="s">
        <v>1520</v>
      </c>
    </row>
    <row r="362" spans="1:145" ht="13.5" thickBot="1" x14ac:dyDescent="0.25">
      <c r="AR362" s="1717" t="s">
        <v>989</v>
      </c>
      <c r="AS362" s="1718"/>
      <c r="AT362" s="1719"/>
      <c r="BT362" s="29" t="s">
        <v>1527</v>
      </c>
      <c r="BU362" s="27" t="str">
        <f>+IFERROR(EJ362,"")</f>
        <v>36</v>
      </c>
      <c r="BV362" s="53" t="str">
        <f>IF(BU362="","",+EN362)</f>
        <v>non</v>
      </c>
      <c r="BW362" s="1729" t="str">
        <f>+IF(BV362="oui", "Ecart "&amp;EO362&amp;" hrs","")</f>
        <v/>
      </c>
      <c r="BX362" s="1729"/>
      <c r="EJ362" s="16" t="str">
        <f>LEFT(EK362,LEN(EK362)-4)</f>
        <v>36</v>
      </c>
      <c r="EK362" s="16" t="str" cm="1">
        <f t="array" ref="EK362">IFERROR(INDEX(EG372:EG402,MATCH(0,INDEX(COUNTIF(EK361:EK361,EG372:EG402),0,0),0)),"")</f>
        <v>362026</v>
      </c>
      <c r="EL362" s="27">
        <f>+SUMIFS($EE$12:$EE$537,$EG$12:$EG$537,EK362)</f>
        <v>0</v>
      </c>
      <c r="EM362" s="27">
        <f>+SUMIFS($EI$12:$EI$537,$EG$12:$EG$537,EK362)</f>
        <v>0</v>
      </c>
      <c r="EN362" s="16" t="str">
        <f t="shared" ref="EN362:EN367" si="679">+IF(AND(EL362&lt;&gt;EM362,EK362&lt;&gt;""),"oui","non")</f>
        <v>non</v>
      </c>
      <c r="EO362" s="16">
        <f>+EL362-EM362</f>
        <v>0</v>
      </c>
    </row>
    <row r="363" spans="1:145" ht="13.5" thickTop="1" x14ac:dyDescent="0.2">
      <c r="C363" s="39" t="s">
        <v>793</v>
      </c>
      <c r="D363" s="1713">
        <f>+Identification!$B$7</f>
        <v>0</v>
      </c>
      <c r="E363" s="1713"/>
      <c r="F363" s="1713"/>
      <c r="G363" s="1713"/>
      <c r="O363" s="436" t="s">
        <v>76</v>
      </c>
      <c r="P363" s="32"/>
      <c r="Q363" s="33"/>
      <c r="R363" s="436" t="s">
        <v>140</v>
      </c>
      <c r="S363" s="32"/>
      <c r="T363" s="32"/>
      <c r="U363" s="32"/>
      <c r="V363" s="32"/>
      <c r="W363" s="32"/>
      <c r="X363" s="33"/>
      <c r="AR363" s="1720"/>
      <c r="AS363" s="1721"/>
      <c r="AT363" s="1722"/>
      <c r="BU363" s="27" t="str">
        <f t="shared" ref="BU363:BU367" si="680">+IFERROR(EJ363,"")</f>
        <v>37</v>
      </c>
      <c r="BV363" s="53" t="str">
        <f t="shared" ref="BV363:BV367" si="681">IF(BU363="","",+EN363)</f>
        <v>non</v>
      </c>
      <c r="BW363" s="1729" t="str">
        <f t="shared" ref="BW363:BW367" si="682">+IF(BV363="oui", "Ecart "&amp;EO363&amp;" hrs","")</f>
        <v/>
      </c>
      <c r="BX363" s="1729"/>
      <c r="EJ363" s="16" t="str">
        <f t="shared" ref="EJ363:EJ368" si="683">LEFT(EK363,LEN(EK363)-4)</f>
        <v>37</v>
      </c>
      <c r="EK363" s="16" t="str" cm="1">
        <f t="array" ref="EK363">IFERROR(INDEX(EG372:EG402,MATCH(0,INDEX(COUNTIF(EK361:EK362,EG372:EG402),0,0),0)),"")</f>
        <v>372026</v>
      </c>
      <c r="EL363" s="27">
        <f t="shared" ref="EL363:EL367" si="684">+SUMIFS($EE$12:$EE$537,$EG$12:$EG$537,EK363)</f>
        <v>0</v>
      </c>
      <c r="EM363" s="27">
        <f t="shared" ref="EM363:EM368" si="685">+SUMIFS($EI$12:$EI$537,$EG$12:$EG$537,EK363)</f>
        <v>0</v>
      </c>
      <c r="EN363" s="16" t="str">
        <f t="shared" si="679"/>
        <v>non</v>
      </c>
      <c r="EO363" s="16">
        <f t="shared" ref="EO363:EO368" si="686">+EL363-EM363</f>
        <v>0</v>
      </c>
    </row>
    <row r="364" spans="1:145" x14ac:dyDescent="0.2">
      <c r="O364" s="35"/>
      <c r="Q364" s="36"/>
      <c r="R364" s="1723"/>
      <c r="S364" s="1724"/>
      <c r="T364" s="1724"/>
      <c r="U364" s="1724"/>
      <c r="V364" s="1724"/>
      <c r="W364" s="1724"/>
      <c r="X364" s="1725"/>
      <c r="Y364" s="442"/>
      <c r="Z364" s="442"/>
      <c r="AA364" s="442"/>
      <c r="AB364" s="442"/>
      <c r="AC364" s="442"/>
      <c r="AD364" s="442"/>
      <c r="AE364" s="442"/>
      <c r="AF364" s="442"/>
      <c r="AG364" s="442"/>
      <c r="AR364" s="1720"/>
      <c r="AS364" s="1721"/>
      <c r="AT364" s="1722"/>
      <c r="BU364" s="27" t="str">
        <f t="shared" si="680"/>
        <v>38</v>
      </c>
      <c r="BV364" s="53" t="str">
        <f t="shared" si="681"/>
        <v>non</v>
      </c>
      <c r="BW364" s="1729" t="str">
        <f t="shared" si="682"/>
        <v/>
      </c>
      <c r="BX364" s="1729"/>
      <c r="EJ364" s="16" t="str">
        <f t="shared" si="683"/>
        <v>38</v>
      </c>
      <c r="EK364" s="16" t="str">
        <f t="array" ref="EK364">IFERROR(INDEX(EG372:EG402,MATCH(0,INDEX(COUNTIF(EK361:EK363,EG372:EG402),0,0),0)),"")</f>
        <v>382026</v>
      </c>
      <c r="EL364" s="27">
        <f t="shared" si="684"/>
        <v>0</v>
      </c>
      <c r="EM364" s="27">
        <f t="shared" si="685"/>
        <v>0</v>
      </c>
      <c r="EN364" s="16" t="str">
        <f t="shared" si="679"/>
        <v>non</v>
      </c>
      <c r="EO364" s="16">
        <f t="shared" si="686"/>
        <v>0</v>
      </c>
    </row>
    <row r="365" spans="1:145" x14ac:dyDescent="0.2">
      <c r="C365" s="39" t="s">
        <v>25</v>
      </c>
      <c r="D365" s="1713">
        <f>+Identification!$B$25</f>
        <v>0</v>
      </c>
      <c r="E365" s="1713"/>
      <c r="O365" s="35"/>
      <c r="Q365" s="36"/>
      <c r="R365" s="1723"/>
      <c r="S365" s="1724"/>
      <c r="T365" s="1724"/>
      <c r="U365" s="1724"/>
      <c r="V365" s="1724"/>
      <c r="W365" s="1724"/>
      <c r="X365" s="1725"/>
      <c r="Y365" s="442"/>
      <c r="Z365" s="442"/>
      <c r="AA365" s="442"/>
      <c r="AB365" s="442"/>
      <c r="AC365" s="442"/>
      <c r="AD365" s="442"/>
      <c r="AE365" s="442"/>
      <c r="AF365" s="442"/>
      <c r="AG365" s="442"/>
      <c r="AL365" s="16" t="str">
        <f t="shared" ref="AL365" si="687">C368</f>
        <v>Mois :</v>
      </c>
      <c r="AM365" s="1716">
        <f t="shared" ref="AM365" si="688">D368</f>
        <v>46266</v>
      </c>
      <c r="AN365" s="1716">
        <f t="shared" ref="AN365" si="689">E368</f>
        <v>0</v>
      </c>
      <c r="AR365" s="539" t="str">
        <f>IF(AT365="",AR320,AT365)</f>
        <v>NON</v>
      </c>
      <c r="AS365" s="538" t="s">
        <v>492</v>
      </c>
      <c r="AT365" s="1083"/>
      <c r="BJ365" s="16" t="str">
        <f t="shared" ref="BJ365" si="690">AL365</f>
        <v>Mois :</v>
      </c>
      <c r="BK365" s="1716">
        <f t="shared" ref="BK365" si="691">AM365</f>
        <v>46266</v>
      </c>
      <c r="BL365" s="1716"/>
      <c r="BU365" s="27" t="str">
        <f t="shared" si="680"/>
        <v>39</v>
      </c>
      <c r="BV365" s="53" t="str">
        <f t="shared" si="681"/>
        <v>non</v>
      </c>
      <c r="BW365" s="1729" t="str">
        <f t="shared" si="682"/>
        <v/>
      </c>
      <c r="BX365" s="1729"/>
      <c r="EJ365" s="16" t="str">
        <f t="shared" si="683"/>
        <v>39</v>
      </c>
      <c r="EK365" s="16" t="str">
        <f t="array" ref="EK365">IFERROR(INDEX(EG372:EG402,MATCH(0,INDEX(COUNTIF(EK361:EK364,EG372:EG402),0,0),0)),"")</f>
        <v>392026</v>
      </c>
      <c r="EL365" s="27">
        <f t="shared" si="684"/>
        <v>0</v>
      </c>
      <c r="EM365" s="27">
        <f t="shared" si="685"/>
        <v>0</v>
      </c>
      <c r="EN365" s="16" t="str">
        <f t="shared" si="679"/>
        <v>non</v>
      </c>
      <c r="EO365" s="16">
        <f t="shared" si="686"/>
        <v>0</v>
      </c>
    </row>
    <row r="366" spans="1:145" ht="13.5" thickBot="1" x14ac:dyDescent="0.25">
      <c r="O366" s="42"/>
      <c r="P366" s="43"/>
      <c r="Q366" s="44"/>
      <c r="R366" s="1726"/>
      <c r="S366" s="1727"/>
      <c r="T366" s="1727"/>
      <c r="U366" s="1727"/>
      <c r="V366" s="1727"/>
      <c r="W366" s="1727"/>
      <c r="X366" s="1728"/>
      <c r="Y366" s="442"/>
      <c r="Z366" s="442"/>
      <c r="AA366" s="442"/>
      <c r="AB366" s="442"/>
      <c r="AC366" s="442"/>
      <c r="AD366" s="442"/>
      <c r="AE366" s="442"/>
      <c r="AF366" s="442"/>
      <c r="AG366" s="442"/>
      <c r="BU366" s="27" t="str">
        <f t="shared" si="680"/>
        <v>40</v>
      </c>
      <c r="BV366" s="53" t="str">
        <f t="shared" si="681"/>
        <v>non</v>
      </c>
      <c r="BW366" s="1729" t="str">
        <f t="shared" si="682"/>
        <v/>
      </c>
      <c r="BX366" s="1729"/>
      <c r="EJ366" s="16" t="str">
        <f t="shared" si="683"/>
        <v>40</v>
      </c>
      <c r="EK366" s="16" t="str">
        <f t="array" ref="EK366">IFERROR(INDEX(EG372:EG402,MATCH(0,INDEX(COUNTIF(EK361:EK365,EG372:EG402),0,0),0)),"")</f>
        <v>402026</v>
      </c>
      <c r="EL366" s="27">
        <f t="shared" si="684"/>
        <v>0</v>
      </c>
      <c r="EM366" s="27">
        <f t="shared" si="685"/>
        <v>0</v>
      </c>
      <c r="EN366" s="16" t="str">
        <f t="shared" si="679"/>
        <v>non</v>
      </c>
      <c r="EO366" s="16">
        <f t="shared" si="686"/>
        <v>0</v>
      </c>
    </row>
    <row r="367" spans="1:145" ht="13.5" thickTop="1" x14ac:dyDescent="0.2">
      <c r="AI367" s="535" t="s">
        <v>986</v>
      </c>
      <c r="BU367" s="27" t="str">
        <f t="shared" si="680"/>
        <v/>
      </c>
      <c r="BV367" s="53" t="str">
        <f t="shared" si="681"/>
        <v/>
      </c>
      <c r="BW367" s="1729" t="str">
        <f t="shared" si="682"/>
        <v/>
      </c>
      <c r="BX367" s="1729"/>
      <c r="EJ367" s="16" t="e">
        <f t="shared" si="683"/>
        <v>#VALUE!</v>
      </c>
      <c r="EK367" s="16" t="str">
        <f t="array" ref="EK367">IFERROR(INDEX(EG372:EG402,MATCH(0,INDEX(COUNTIF(EK361:EK366,EG372:EG402),0,0),0)),"")</f>
        <v/>
      </c>
      <c r="EL367" s="27">
        <f t="shared" si="684"/>
        <v>0</v>
      </c>
      <c r="EM367" s="27">
        <f t="shared" si="685"/>
        <v>0</v>
      </c>
      <c r="EN367" s="16" t="str">
        <f t="shared" si="679"/>
        <v>non</v>
      </c>
      <c r="EO367" s="16">
        <f t="shared" si="686"/>
        <v>0</v>
      </c>
    </row>
    <row r="368" spans="1:145" x14ac:dyDescent="0.2">
      <c r="C368" s="39" t="s">
        <v>28</v>
      </c>
      <c r="D368" s="1716">
        <f>+Septembre!X3</f>
        <v>46266</v>
      </c>
      <c r="E368" s="1716"/>
      <c r="F368" s="39" t="s">
        <v>12</v>
      </c>
      <c r="G368" s="63">
        <f>+Septembre!X4</f>
        <v>2026</v>
      </c>
      <c r="EJ368" s="16" t="e">
        <f t="shared" si="683"/>
        <v>#VALUE!</v>
      </c>
      <c r="EK368" s="16" t="str">
        <f t="array" ref="EK368">IFERROR(INDEX($EG$12:$EG$42,MATCH(0,INDEX(COUNTIF($EK$1:EK367,$EG$12:$EG$42),0,0),0)),"")</f>
        <v/>
      </c>
      <c r="EL368" s="27">
        <f>+SUMIFS($EE$12:$EE$537,$EG$12:$EG$537,EK368)</f>
        <v>0</v>
      </c>
      <c r="EM368" s="27">
        <f t="shared" si="685"/>
        <v>0</v>
      </c>
      <c r="EN368" s="16" t="str">
        <f>+IF(AND(EL368&lt;&gt;EM368,EK368&lt;&gt;""),"oui","non")</f>
        <v>non</v>
      </c>
      <c r="EO368" s="16">
        <f t="shared" si="686"/>
        <v>0</v>
      </c>
    </row>
    <row r="369" spans="1:139" x14ac:dyDescent="0.2">
      <c r="AL369" s="1714" t="s">
        <v>960</v>
      </c>
      <c r="AM369" s="1714"/>
      <c r="AN369" s="1714"/>
      <c r="AO369" s="1714"/>
      <c r="AP369" s="1714"/>
      <c r="AQ369" s="492"/>
      <c r="AT369" s="1715" t="s">
        <v>749</v>
      </c>
      <c r="AU369" s="1715"/>
      <c r="AV369" s="1715"/>
      <c r="AW369" s="63"/>
      <c r="AX369" s="63"/>
      <c r="AY369" s="517" t="s">
        <v>975</v>
      </c>
      <c r="AZ369" s="518"/>
      <c r="BA369" s="518"/>
      <c r="BB369" s="518"/>
      <c r="BC369" s="519"/>
      <c r="BD369" s="519"/>
      <c r="BE369" s="519"/>
      <c r="BF369" s="512"/>
      <c r="BG369" s="512"/>
      <c r="BJ369" s="437"/>
      <c r="BK369" s="437"/>
      <c r="BL369" s="437"/>
      <c r="BM369" s="437"/>
      <c r="BN369" s="437"/>
      <c r="BO369" s="437"/>
      <c r="BP369" s="437"/>
      <c r="BQ369" s="437"/>
      <c r="BU369" s="438"/>
      <c r="BV369" s="438"/>
      <c r="BW369" s="438"/>
      <c r="BX369" s="438"/>
      <c r="BY369" s="438"/>
      <c r="BZ369" s="438"/>
      <c r="CA369" s="438"/>
      <c r="CB369" s="438"/>
    </row>
    <row r="370" spans="1:139" ht="15" customHeight="1" x14ac:dyDescent="0.2">
      <c r="D370" s="439" t="s">
        <v>791</v>
      </c>
      <c r="E370" s="438"/>
      <c r="F370" s="438"/>
      <c r="G370" s="438"/>
      <c r="H370" s="438"/>
      <c r="I370" s="438"/>
      <c r="J370" s="438"/>
      <c r="K370" s="438"/>
      <c r="L370" s="438"/>
      <c r="M370" s="438"/>
      <c r="O370" s="440" t="s">
        <v>790</v>
      </c>
      <c r="P370" s="437"/>
      <c r="Q370" s="437"/>
      <c r="R370" s="437"/>
      <c r="S370" s="437"/>
      <c r="T370" s="437"/>
      <c r="U370" s="437"/>
      <c r="V370" s="437"/>
      <c r="W370" s="437"/>
      <c r="X370" s="437"/>
      <c r="BJ370" s="1087" t="s">
        <v>792</v>
      </c>
      <c r="BK370" s="1088"/>
      <c r="BL370" s="1088"/>
      <c r="BM370" s="1088"/>
      <c r="BN370" s="1088"/>
      <c r="BO370" s="1088"/>
      <c r="BP370" s="1088"/>
      <c r="BQ370" s="1088"/>
      <c r="BU370" s="1087" t="s">
        <v>1369</v>
      </c>
      <c r="BV370" s="1088"/>
      <c r="BW370" s="1088"/>
      <c r="BX370" s="1088"/>
      <c r="BY370" s="1088"/>
      <c r="BZ370" s="1088"/>
      <c r="CA370" s="1088"/>
      <c r="CB370" s="1088"/>
      <c r="DG370" s="315" t="s">
        <v>1326</v>
      </c>
      <c r="DH370" s="129"/>
      <c r="DI370" s="129"/>
      <c r="DK370" s="129" t="s">
        <v>1331</v>
      </c>
      <c r="DN370" s="16" t="s">
        <v>1334</v>
      </c>
      <c r="DV370" s="825" t="s">
        <v>1521</v>
      </c>
      <c r="DW370" s="825"/>
      <c r="DX370" s="825"/>
      <c r="DY370" s="825"/>
      <c r="DZ370" s="825"/>
      <c r="EA370" s="825"/>
      <c r="EB370" s="825"/>
      <c r="EC370" s="825"/>
      <c r="ED370" s="825"/>
      <c r="EE370" s="825"/>
    </row>
    <row r="371" spans="1:139" ht="56.25" customHeight="1" x14ac:dyDescent="0.2">
      <c r="A371" s="24" t="s">
        <v>789</v>
      </c>
      <c r="B371" s="432" t="s">
        <v>16</v>
      </c>
      <c r="C371" s="433"/>
      <c r="D371" s="432" t="s">
        <v>219</v>
      </c>
      <c r="E371" s="432" t="s">
        <v>220</v>
      </c>
      <c r="F371" s="432" t="s">
        <v>221</v>
      </c>
      <c r="G371" s="432" t="s">
        <v>222</v>
      </c>
      <c r="H371" s="432" t="s">
        <v>522</v>
      </c>
      <c r="I371" s="432" t="s">
        <v>523</v>
      </c>
      <c r="J371" s="432" t="s">
        <v>524</v>
      </c>
      <c r="K371" s="432" t="s">
        <v>525</v>
      </c>
      <c r="L371" s="432" t="s">
        <v>182</v>
      </c>
      <c r="M371" s="432" t="s">
        <v>183</v>
      </c>
      <c r="N371" s="433"/>
      <c r="O371" s="432" t="s">
        <v>219</v>
      </c>
      <c r="P371" s="432" t="s">
        <v>220</v>
      </c>
      <c r="Q371" s="432" t="s">
        <v>221</v>
      </c>
      <c r="R371" s="432" t="s">
        <v>222</v>
      </c>
      <c r="S371" s="432" t="s">
        <v>522</v>
      </c>
      <c r="T371" s="432" t="s">
        <v>523</v>
      </c>
      <c r="U371" s="432" t="s">
        <v>524</v>
      </c>
      <c r="V371" s="432" t="s">
        <v>525</v>
      </c>
      <c r="W371" s="432" t="s">
        <v>182</v>
      </c>
      <c r="X371" s="432" t="s">
        <v>183</v>
      </c>
      <c r="Y371" s="433"/>
      <c r="Z371" s="432" t="s">
        <v>796</v>
      </c>
      <c r="AA371" s="432" t="s">
        <v>797</v>
      </c>
      <c r="AB371" s="432" t="s">
        <v>798</v>
      </c>
      <c r="AC371" s="432" t="s">
        <v>799</v>
      </c>
      <c r="AD371" s="432" t="s">
        <v>800</v>
      </c>
      <c r="AE371" s="432" t="s">
        <v>801</v>
      </c>
      <c r="AF371" s="432" t="s">
        <v>802</v>
      </c>
      <c r="AG371" s="432" t="s">
        <v>803</v>
      </c>
      <c r="AI371" s="432" t="s">
        <v>804</v>
      </c>
      <c r="AJ371" s="432" t="s">
        <v>795</v>
      </c>
      <c r="AK371" s="433"/>
      <c r="AL371" s="495" t="s">
        <v>16</v>
      </c>
      <c r="AM371" s="530" t="s">
        <v>1003</v>
      </c>
      <c r="AN371" s="1084" t="s">
        <v>958</v>
      </c>
      <c r="AO371" s="1085" t="s">
        <v>959</v>
      </c>
      <c r="AP371" s="496" t="s">
        <v>1707</v>
      </c>
      <c r="AQ371" s="493"/>
      <c r="AR371" s="1086" t="s">
        <v>684</v>
      </c>
      <c r="AT371" s="1086" t="s">
        <v>1333</v>
      </c>
      <c r="AU371" s="1085" t="s">
        <v>1707</v>
      </c>
      <c r="AV371" s="432" t="s">
        <v>16</v>
      </c>
      <c r="AW371" s="433"/>
      <c r="AX371" s="433"/>
      <c r="AY371" s="529" t="s">
        <v>972</v>
      </c>
      <c r="AZ371" s="530" t="s">
        <v>978</v>
      </c>
      <c r="BA371" s="513" t="s">
        <v>976</v>
      </c>
      <c r="BB371" s="550" t="s">
        <v>977</v>
      </c>
      <c r="BC371" s="551" t="s">
        <v>1005</v>
      </c>
      <c r="BD371" s="550" t="s">
        <v>979</v>
      </c>
      <c r="BE371" s="552" t="s">
        <v>1004</v>
      </c>
      <c r="BF371" s="513" t="s">
        <v>980</v>
      </c>
      <c r="BG371" s="513" t="s">
        <v>985</v>
      </c>
      <c r="BI371" s="24" t="s">
        <v>1011</v>
      </c>
      <c r="BJ371" s="432" t="s">
        <v>219</v>
      </c>
      <c r="BK371" s="432" t="s">
        <v>220</v>
      </c>
      <c r="BL371" s="432" t="s">
        <v>221</v>
      </c>
      <c r="BM371" s="432" t="s">
        <v>222</v>
      </c>
      <c r="BN371" s="432" t="s">
        <v>522</v>
      </c>
      <c r="BO371" s="432" t="s">
        <v>523</v>
      </c>
      <c r="BP371" s="432" t="s">
        <v>524</v>
      </c>
      <c r="BQ371" s="432" t="s">
        <v>525</v>
      </c>
      <c r="BS371" s="1361" t="str">
        <f t="shared" ref="BS371:BS402" si="692">AV371</f>
        <v>Jours</v>
      </c>
      <c r="BU371" s="432" t="s">
        <v>219</v>
      </c>
      <c r="BV371" s="432" t="s">
        <v>220</v>
      </c>
      <c r="BW371" s="432" t="s">
        <v>221</v>
      </c>
      <c r="BX371" s="432" t="s">
        <v>222</v>
      </c>
      <c r="BY371" s="432" t="s">
        <v>522</v>
      </c>
      <c r="BZ371" s="432" t="s">
        <v>523</v>
      </c>
      <c r="CA371" s="432" t="s">
        <v>524</v>
      </c>
      <c r="CB371" s="432" t="s">
        <v>525</v>
      </c>
      <c r="CD371" s="1361" t="s">
        <v>1526</v>
      </c>
      <c r="CS371" s="488"/>
      <c r="CT371" s="488"/>
      <c r="CU371" s="488"/>
      <c r="CV371" s="488"/>
      <c r="DG371" s="315" t="s">
        <v>1327</v>
      </c>
      <c r="DH371" s="129" t="s">
        <v>1328</v>
      </c>
      <c r="DI371" s="129" t="s">
        <v>1330</v>
      </c>
      <c r="DK371" s="129" t="s">
        <v>1332</v>
      </c>
      <c r="DU371" s="1361" t="s">
        <v>238</v>
      </c>
      <c r="DV371" s="1361" t="s">
        <v>219</v>
      </c>
      <c r="DW371" s="1361" t="s">
        <v>220</v>
      </c>
      <c r="DX371" s="1361" t="s">
        <v>221</v>
      </c>
      <c r="DY371" s="1361" t="s">
        <v>222</v>
      </c>
      <c r="DZ371" s="1361" t="s">
        <v>522</v>
      </c>
      <c r="EA371" s="1361" t="s">
        <v>523</v>
      </c>
      <c r="EB371" s="1361" t="s">
        <v>524</v>
      </c>
      <c r="EC371" s="1361" t="s">
        <v>525</v>
      </c>
      <c r="ED371" s="1361" t="s">
        <v>182</v>
      </c>
      <c r="EE371" s="1361" t="s">
        <v>183</v>
      </c>
      <c r="EG371" s="1361" t="s">
        <v>1224</v>
      </c>
      <c r="EH371" s="1361" t="s">
        <v>1522</v>
      </c>
      <c r="EI371" s="1361" t="s">
        <v>1523</v>
      </c>
    </row>
    <row r="372" spans="1:139" x14ac:dyDescent="0.2">
      <c r="A372" s="24" t="str">
        <f>Septembre!BJ20</f>
        <v>Fiche infoA2</v>
      </c>
      <c r="B372" s="810">
        <f>Septembre!AB20</f>
        <v>46266</v>
      </c>
      <c r="C372" s="1371"/>
      <c r="D372" s="978">
        <f t="shared" ref="D372:D402" si="693">IF(AR372&lt;&gt;"",0,IF(DN372=10,0,IFERROR(+IF(BU372="",VLOOKUP(A372,base_horaire,2,FALSE),BU372),0)))</f>
        <v>0</v>
      </c>
      <c r="E372" s="979">
        <f t="shared" ref="E372:E402" si="694">IF(AR372&lt;&gt;"",0,IF(DN372=10,0,IFERROR(+IF(BV372="",VLOOKUP(A372,base_horaire,3,FALSE),BV372),0)))</f>
        <v>0</v>
      </c>
      <c r="F372" s="979">
        <f t="shared" ref="F372:F402" si="695">IF(AR372&lt;&gt;"",0,IF(DN372=10,0,IFERROR(+IF(BW372="",VLOOKUP(A372,base_horaire,4,FALSE),BW372),0)))</f>
        <v>0</v>
      </c>
      <c r="G372" s="979">
        <f t="shared" ref="G372:G402" si="696">IF(AR372&lt;&gt;"",0,IF(DN372=10,0,IFERROR(+IF(BX372="",VLOOKUP(A372,base_horaire,5,FALSE),BX372),0)))</f>
        <v>0</v>
      </c>
      <c r="H372" s="979">
        <f t="shared" ref="H372:H402" si="697">IF(AR372&lt;&gt;"",0,IF(DN372=10,0,IFERROR(+IF(BY372="",VLOOKUP(A372,base_horaire,6,FALSE),BY372),0)))</f>
        <v>0</v>
      </c>
      <c r="I372" s="979">
        <f t="shared" ref="I372:I402" si="698">IF(AR372&lt;&gt;"",0,IF(DN372=10,0,IFERROR(+IF(BZ372="",VLOOKUP(A372,base_horaire,7,FALSE),BZ372),0)))</f>
        <v>0</v>
      </c>
      <c r="J372" s="979">
        <f t="shared" ref="J372:J402" si="699">IF(AR372&lt;&gt;"",0,IF(DN372=10,0,IFERROR(+IF(CA372="",VLOOKUP(A372,base_horaire,8,FALSE),CA372),0)))</f>
        <v>0</v>
      </c>
      <c r="K372" s="979">
        <f t="shared" ref="K372:K402" si="700">IF(AR372&lt;&gt;"",0,IF(DN372=10,0,IFERROR(+IF(CB372="",VLOOKUP(A372,base_horaire,9,FALSE),CB372),0)))</f>
        <v>0</v>
      </c>
      <c r="L372" s="979">
        <f>+E372-D372+G372-F372+I372-H372+K372-J372</f>
        <v>0</v>
      </c>
      <c r="M372" s="980">
        <f>ROUND(+L372*24,2)</f>
        <v>0</v>
      </c>
      <c r="O372" s="978">
        <f t="shared" ref="O372:O379" si="701">IF(AR372&lt;&gt;"",0,IF(DC372="oui",0,IF(AND(ISTEXT(AT372)=TRUE,BJ372=""),0,IF(BJ372="",D372,BJ372))))</f>
        <v>0</v>
      </c>
      <c r="P372" s="979">
        <f t="shared" ref="P372:P379" si="702">IF(AR372&lt;&gt;"",0,IF(DC372="oui",0,IF(AND(ISTEXT(AT372)=TRUE,BK372=""),0,IF(BK372="",E372,BK372))))</f>
        <v>0</v>
      </c>
      <c r="Q372" s="979">
        <f t="shared" ref="Q372:Q379" si="703">IF(AR372&lt;&gt;"",0,IF(DC372="oui",0,IF(AND(ISTEXT(AT372)=TRUE,BL372=""),0,IF(BL372="",F372,BL372))))</f>
        <v>0</v>
      </c>
      <c r="R372" s="979">
        <f t="shared" ref="R372:R379" si="704">IF(AR372&lt;&gt;"",0,IF(DC372="oui",0,IF(AND(ISTEXT(AT372)=TRUE,BM372=""),0,IF(BM372="",G372,BM372))))</f>
        <v>0</v>
      </c>
      <c r="S372" s="979">
        <f t="shared" ref="S372:S379" si="705">IF(AR372&lt;&gt;"",0,IF(DC372="oui",0,IF(AND(ISTEXT(AT372)=TRUE,BN372=""),0,IF(BN372="",H372,BN372))))</f>
        <v>0</v>
      </c>
      <c r="T372" s="979">
        <f t="shared" ref="T372:T379" si="706">IF(AR372&lt;&gt;"",0,IF(DC372="oui",0,IF(AND(ISTEXT(AT372)=TRUE,BO372=""),0,IF(BO372="",I372,BO372))))</f>
        <v>0</v>
      </c>
      <c r="U372" s="979">
        <f t="shared" ref="U372:U379" si="707">IF(AR372&lt;&gt;"",0,IF(DC372="oui",0,IF(AND(ISTEXT(AT372)=TRUE,BP372=""),0,IF(BP372="",J372,BP372))))</f>
        <v>0</v>
      </c>
      <c r="V372" s="979">
        <f t="shared" ref="V372:V379" si="708">IF(AR372&lt;&gt;"",0,IF(DC372="oui",0,IF(AND(ISTEXT(AT372)=TRUE,BQ372=""),0,IF(BQ372="",K372,BQ372))))</f>
        <v>0</v>
      </c>
      <c r="W372" s="979">
        <f t="shared" ref="W372:W402" si="709">+P372-O372+R372-Q372+T372-S372+V372-U372</f>
        <v>0</v>
      </c>
      <c r="X372" s="980">
        <f t="shared" ref="X372:X402" si="710">ROUND(+W372*24,2)</f>
        <v>0</v>
      </c>
      <c r="Y372" s="441"/>
      <c r="Z372" s="277">
        <f t="shared" ref="Z372:Z402" si="711">+IF(AND(O372&gt;D372,D372&gt;0),D372,O372)</f>
        <v>0</v>
      </c>
      <c r="AA372" s="277">
        <f t="shared" ref="AA372:AA402" si="712">+IF(P372&gt;E372,P372,E372)</f>
        <v>0</v>
      </c>
      <c r="AB372" s="277">
        <f t="shared" ref="AB372:AB402" si="713">+IF(AND(Q372&gt;F372,F372&gt;0),F372,Q372)</f>
        <v>0</v>
      </c>
      <c r="AC372" s="277">
        <f t="shared" ref="AC372:AC402" si="714">+IF(R372&gt;G372,R372,G372)</f>
        <v>0</v>
      </c>
      <c r="AD372" s="277">
        <f t="shared" ref="AD372:AD402" si="715">+IF(AND(S372&gt;H372,H372&gt;0),H372,S372)</f>
        <v>0</v>
      </c>
      <c r="AE372" s="277">
        <f t="shared" ref="AE372:AE402" si="716">+IF(T372&gt;I372,T372,I372)</f>
        <v>0</v>
      </c>
      <c r="AF372" s="277">
        <f t="shared" ref="AF372:AF402" si="717">+IF(AND(U372&gt;J372,J372&gt;0),J372,U372)</f>
        <v>0</v>
      </c>
      <c r="AG372" s="277">
        <f t="shared" ref="AG372:AG402" si="718">+IF(V372&gt;K372,V372,K372)</f>
        <v>0</v>
      </c>
      <c r="AI372" s="443">
        <f t="shared" ref="AI372:AI379" si="719">IF(DC372="oui",0,IF(AND(ISTEXT(AT372)=TRUE,OR(X372=0,X372="")),0,ROUND(((((AA372-Z372)-(E372-D372))+((AC372-AB372)-(G372-F372))+((AE372-AD372)-(I372-H372))+(AG372-AF372)-(K372-J372))*24),2)))</f>
        <v>0</v>
      </c>
      <c r="AJ372" s="1089"/>
      <c r="AK372" s="489"/>
      <c r="AL372" s="810">
        <f t="shared" ref="AL372:AL402" si="720">B372</f>
        <v>46266</v>
      </c>
      <c r="AM372" s="497">
        <f>IFERROR(IF(AND(AT372="",AR372&lt;&gt;S.CAL!$BJ$3,AR372&lt;&gt;S.CAL!$BJ$4,$AR$365="NON"),M372-BD372,IF(AND(AT372="",AR372&lt;&gt;S.CAL!$BJ$3,AR372&lt;&gt;S.CAL!$BJ$4,$AR$365="OUI"),X372-AI372,IF(AT372&lt;&gt;0,AT372,IF(OR(AR372=S.CAL!$BJ$3,AR372=S.CAL!$BJ$4),AR372,"")))),"")</f>
        <v>0</v>
      </c>
      <c r="AN372" s="1091"/>
      <c r="AO372" s="1092"/>
      <c r="AP372" s="497">
        <f>+IF(AND(AU372="",BB372="OUI",BH372="non",BI372="OUI"),AM372,IF(AND(AU372="",BB372="OUI",BH372="oui",BI372="NON"),AM372,IF(AND(AU372="",BB372="NON",BH372="oui",BI372="NON"),M372,IF(AND(AU372="",BB372="NON",BH372="non",BI372="OUI"),M372,IF(AND(AU372="",BB372="OUI",BH372="non",BI372="NON"),"ERREUR",IF(AND(AU372="",BB372="NON",BH372="non",BI372="NON"),AM372,IF(AND(AU372="",BB372="OUI",BH372="",BI372=""),AM372,IF(AND(AU372="",BB372="NON",BH372="",BI372="",AZ372="NON"),M372,IF(AND(AU372="",BH372="",AZ372="OUI",AR372=""),AM372,IF(AND(AU372="",BH372="",AZ372="NON",AR372="",AT372=""),M372,IF(AND(OR(AR372=S.CAL!$BJ$3,AR372=S.CAL!$BJ$4),(VLOOKUP($AM$365,base_nbre_sem_mensu,2,FALSE)=52)),EE372,IF(AND(OR(AR372=S.CAL!$BJ$3,AR372=S.CAL!$BJ$4),(VLOOKUP($AM$365,base_nbre_sem_mensu,2,FALSE)&lt;52)),AM372,IF(AND(AT372&lt;&gt;"",AU372=""),AT372,AU372)))))))))))))</f>
        <v>0</v>
      </c>
      <c r="AQ372" s="498">
        <f>AI372-SUM(AN372:AO372)</f>
        <v>0</v>
      </c>
      <c r="AR372" s="1097"/>
      <c r="AT372" s="1100"/>
      <c r="AU372" s="813"/>
      <c r="AV372" s="1369">
        <f t="shared" ref="AV372:AV402" si="721">B372</f>
        <v>46266</v>
      </c>
      <c r="AX372" s="511">
        <f>+AV372</f>
        <v>46266</v>
      </c>
      <c r="AY372" s="528">
        <f>+IF(M372-X372&lt;0,0,M372-X372)</f>
        <v>0</v>
      </c>
      <c r="AZ372" s="531" t="s">
        <v>137</v>
      </c>
      <c r="BA372" s="532">
        <f>+IF(AZ372="OUI",AY372,0)</f>
        <v>0</v>
      </c>
      <c r="BB372" s="533" t="str">
        <f t="shared" ref="BB372:BB402" si="722">IF(AND(BE372="",+IFERROR(VLOOKUP(AT372,Liste_motif_formule,5,FALSE),0)="OUI"),"OUI",IF(AND(BE372="",IFERROR(VLOOKUP(AT372,Liste_motif_formule,5,FALSE),0)="NON"),"NON",IF(AND(BE372="",IFERROR(M372-AT372&gt;=0,0),AT372&lt;&gt;""),"OUI",IF(AND(BE372="",DC372="oui"),"OUI",IF(BE372&lt;&gt;"",BE372,"")))))</f>
        <v/>
      </c>
      <c r="BC372" s="528">
        <f>+IF(BB372="OUI",IFERROR(M372-AT372,M372),0)</f>
        <v>0</v>
      </c>
      <c r="BD372" s="528">
        <f>+BC372+BA372</f>
        <v>0</v>
      </c>
      <c r="BE372" s="1103"/>
      <c r="BF372" s="514" t="str">
        <f t="shared" ref="BF372:BF402" si="723">+IF(AND(AZ372="OUI",BB372="OUI"),"ERREUR","")</f>
        <v/>
      </c>
      <c r="BG372" s="514" t="str">
        <f>+IF(AND(M372=0,AT372=""),"oui","non")</f>
        <v>oui</v>
      </c>
      <c r="BH372" s="377" t="str">
        <f t="shared" ref="BH372:BH402" si="724">IFERROR(+VLOOKUP(AT372,Liste_motif_formule,4,FALSE),"")</f>
        <v/>
      </c>
      <c r="BI372" s="24" t="str">
        <f t="shared" ref="BI372:BI402" si="725">IFERROR(+VLOOKUP(AT372,Liste_motif_formule,5,FALSE),"")</f>
        <v/>
      </c>
      <c r="BJ372" s="1381"/>
      <c r="BK372" s="1381"/>
      <c r="BL372" s="1381"/>
      <c r="BM372" s="1381"/>
      <c r="BN372" s="1381"/>
      <c r="BO372" s="1381"/>
      <c r="BP372" s="1381"/>
      <c r="BQ372" s="1381"/>
      <c r="BS372" s="1369">
        <f t="shared" si="692"/>
        <v>46266</v>
      </c>
      <c r="BT372" s="27">
        <f>IFERROR(WEEKNUM(BS372,21),"")</f>
        <v>36</v>
      </c>
      <c r="BU372" s="1379"/>
      <c r="BV372" s="1379"/>
      <c r="BW372" s="1379"/>
      <c r="BX372" s="1379"/>
      <c r="BY372" s="1379"/>
      <c r="BZ372" s="1379"/>
      <c r="CA372" s="1379"/>
      <c r="CB372" s="1379"/>
      <c r="CD372" s="1385">
        <f>+M372</f>
        <v>0</v>
      </c>
      <c r="DC372" s="16" t="str">
        <f>Septembre!FC20</f>
        <v>non</v>
      </c>
      <c r="DG372" s="315">
        <f>IF(OR(AT372=0,AT372=""),1,10)</f>
        <v>1</v>
      </c>
      <c r="DH372" s="129">
        <f t="shared" ref="DH372:DH402" si="726">IFERROR(+VLOOKUP(AT372,Liste_motif_formule,9,FALSE),10)</f>
        <v>10</v>
      </c>
      <c r="DI372" s="129">
        <f>+IF(OR(DG372=1,DH372=1),1,10)</f>
        <v>1</v>
      </c>
      <c r="DK372" s="16">
        <f>+IF(AND(Septembre!$DP$8&lt;&gt;52,AR372=S.CAL!$BJ$4),10,1)</f>
        <v>1</v>
      </c>
      <c r="DN372" s="16">
        <f t="shared" ref="DN372:DN402" si="727">+IF(AND(DC372="non",ISTEXT(AT372)=TRUE,IFERROR(VLOOKUP(AT372,Liste_motif_formule,4,FALSE)="non",0),IFERROR(VLOOKUP(AT372,Liste_motif_formule,5,FALSE)="non",0)),10,1)</f>
        <v>1</v>
      </c>
      <c r="DU372" s="1274" t="str">
        <f>+A372&amp;B372</f>
        <v>Fiche infoA246266</v>
      </c>
      <c r="DV372" s="1362">
        <f t="shared" ref="DV372:DV402" si="728">+IFERROR(+IF(BU372="",VLOOKUP(A372,base_horaire,2,FALSE),BU372),0)</f>
        <v>0</v>
      </c>
      <c r="DW372" s="1363">
        <f t="shared" ref="DW372:DW402" si="729">+IFERROR(+IF(BV372="",VLOOKUP(A372,base_horaire,3,FALSE),BV372),0)</f>
        <v>0</v>
      </c>
      <c r="DX372" s="1363">
        <f t="shared" ref="DX372:DX402" si="730">+IFERROR(+IF(BW372="",VLOOKUP(A372,base_horaire,4,FALSE),BW372),0)</f>
        <v>0</v>
      </c>
      <c r="DY372" s="1363">
        <f t="shared" ref="DY372:DY402" si="731">+IFERROR(+IF(BX372="",VLOOKUP(A372,base_horaire,5,FALSE),BX372),0)</f>
        <v>0</v>
      </c>
      <c r="DZ372" s="1363">
        <f t="shared" ref="DZ372:DZ402" si="732">+IFERROR(+IF(BY372="",VLOOKUP(A372,base_horaire,6,FALSE),BY372),0)</f>
        <v>0</v>
      </c>
      <c r="EA372" s="1363">
        <f t="shared" ref="EA372:EA402" si="733">IFERROR(+IF(BZ372="",VLOOKUP(A372,base_horaire,7,FALSE),BZ372),0)</f>
        <v>0</v>
      </c>
      <c r="EB372" s="1363">
        <f t="shared" ref="EB372:EB402" si="734">IFERROR(+IF(CA372="",VLOOKUP(A372,base_horaire,8,FALSE),CA372),0)</f>
        <v>0</v>
      </c>
      <c r="EC372" s="1363">
        <f t="shared" ref="EC372:EC402" si="735">IFERROR(+IF(CB372="",VLOOKUP(A372,base_horaire,9,FALSE),CB372),0)</f>
        <v>0</v>
      </c>
      <c r="ED372" s="1363">
        <f>+DW372-DV372+DY372-DX372+EA372-DZ372+EC372-EB372</f>
        <v>0</v>
      </c>
      <c r="EE372" s="1364">
        <f>ROUND(+ED372*24,2)</f>
        <v>0</v>
      </c>
      <c r="EG372" s="16" t="str">
        <f>+WEEKNUM(B372,21)&amp;YEAR(B372)</f>
        <v>362026</v>
      </c>
      <c r="EH372" s="16" t="str">
        <f t="shared" ref="EH372:EH402" si="736">+A372</f>
        <v>Fiche infoA2</v>
      </c>
      <c r="EI372" s="16" t="str">
        <f t="shared" ref="EI372:EI402" si="737">+VLOOKUP(EH372,Base_heures,6,FALSE)</f>
        <v/>
      </c>
    </row>
    <row r="373" spans="1:139" x14ac:dyDescent="0.2">
      <c r="A373" s="1373" t="str">
        <f>Septembre!BJ21</f>
        <v>Fiche infoA3</v>
      </c>
      <c r="B373" s="811">
        <f>Septembre!AB21</f>
        <v>46267</v>
      </c>
      <c r="C373" s="1372"/>
      <c r="D373" s="981">
        <f t="shared" si="693"/>
        <v>0</v>
      </c>
      <c r="E373" s="434">
        <f t="shared" si="694"/>
        <v>0</v>
      </c>
      <c r="F373" s="434">
        <f t="shared" si="695"/>
        <v>0</v>
      </c>
      <c r="G373" s="434">
        <f t="shared" si="696"/>
        <v>0</v>
      </c>
      <c r="H373" s="434">
        <f t="shared" si="697"/>
        <v>0</v>
      </c>
      <c r="I373" s="434">
        <f t="shared" si="698"/>
        <v>0</v>
      </c>
      <c r="J373" s="434">
        <f t="shared" si="699"/>
        <v>0</v>
      </c>
      <c r="K373" s="434">
        <f t="shared" si="700"/>
        <v>0</v>
      </c>
      <c r="L373" s="434">
        <f t="shared" ref="L373:L402" si="738">+E373-D373+G373-F373+I373-H373+K373-J373</f>
        <v>0</v>
      </c>
      <c r="M373" s="982">
        <f t="shared" ref="M373:M402" si="739">ROUND(+L373*24,2)</f>
        <v>0</v>
      </c>
      <c r="N373" s="1374"/>
      <c r="O373" s="981">
        <f t="shared" si="701"/>
        <v>0</v>
      </c>
      <c r="P373" s="434">
        <f t="shared" si="702"/>
        <v>0</v>
      </c>
      <c r="Q373" s="434">
        <f t="shared" si="703"/>
        <v>0</v>
      </c>
      <c r="R373" s="434">
        <f t="shared" si="704"/>
        <v>0</v>
      </c>
      <c r="S373" s="434">
        <f t="shared" si="705"/>
        <v>0</v>
      </c>
      <c r="T373" s="434">
        <f t="shared" si="706"/>
        <v>0</v>
      </c>
      <c r="U373" s="434">
        <f t="shared" si="707"/>
        <v>0</v>
      </c>
      <c r="V373" s="434">
        <f t="shared" si="708"/>
        <v>0</v>
      </c>
      <c r="W373" s="434">
        <f t="shared" si="709"/>
        <v>0</v>
      </c>
      <c r="X373" s="982">
        <f t="shared" si="710"/>
        <v>0</v>
      </c>
      <c r="Y373" s="1375"/>
      <c r="Z373" s="1376">
        <f t="shared" si="711"/>
        <v>0</v>
      </c>
      <c r="AA373" s="1376">
        <f t="shared" si="712"/>
        <v>0</v>
      </c>
      <c r="AB373" s="1376">
        <f t="shared" si="713"/>
        <v>0</v>
      </c>
      <c r="AC373" s="1376">
        <f t="shared" si="714"/>
        <v>0</v>
      </c>
      <c r="AD373" s="1376">
        <f t="shared" si="715"/>
        <v>0</v>
      </c>
      <c r="AE373" s="1376">
        <f t="shared" si="716"/>
        <v>0</v>
      </c>
      <c r="AF373" s="1376">
        <f t="shared" si="717"/>
        <v>0</v>
      </c>
      <c r="AG373" s="1376">
        <f t="shared" si="718"/>
        <v>0</v>
      </c>
      <c r="AH373" s="1374"/>
      <c r="AI373" s="444">
        <f t="shared" si="719"/>
        <v>0</v>
      </c>
      <c r="AJ373" s="1090"/>
      <c r="AK373" s="1377"/>
      <c r="AL373" s="811">
        <f t="shared" si="720"/>
        <v>46267</v>
      </c>
      <c r="AM373" s="666">
        <f>IFERROR(IF(AND(AT373="",AR373&lt;&gt;S.CAL!$BJ$3,AR373&lt;&gt;S.CAL!$BJ$4,$AR$365="NON"),M373-BD373,IF(AND(AT373="",AR373&lt;&gt;S.CAL!$BJ$3,AR373&lt;&gt;S.CAL!$BJ$4,$AR$365="OUI"),X373-AI373,IF(AT373&lt;&gt;0,AT373,IF(OR(AR373=S.CAL!$BJ$3,AR373=S.CAL!$BJ$4),AR373,"")))),"")</f>
        <v>0</v>
      </c>
      <c r="AN373" s="1093"/>
      <c r="AO373" s="1094"/>
      <c r="AP373" s="666">
        <f>+IF(AND(AU373="",BB373="OUI",BH373="non",BI373="OUI"),AM373,IF(AND(AU373="",BB373="OUI",BH373="oui",BI373="NON"),AM373,IF(AND(AU373="",BB373="NON",BH373="oui",BI373="NON"),M373,IF(AND(AU373="",BB373="NON",BH373="non",BI373="OUI"),M373,IF(AND(AU373="",BB373="OUI",BH373="non",BI373="NON"),"ERREUR",IF(AND(AU373="",BB373="NON",BH373="non",BI373="NON"),AM373,IF(AND(AU373="",BB373="OUI",BH373="",BI373=""),AM373,IF(AND(AU373="",BB373="NON",BH373="",BI373="",AZ373="NON"),M373,IF(AND(AU373="",BH373="",AZ373="OUI",AR373=""),AM373,IF(AND(AU373="",BH373="",AZ373="NON",AR373="",AT373=""),M373,IF(AND(OR(AR373=S.CAL!$BJ$3,AR373=S.CAL!$BJ$4),(VLOOKUP($AM$365,base_nbre_sem_mensu,2,FALSE)=52)),EE373,IF(AND(OR(AR373=S.CAL!$BJ$3,AR373=S.CAL!$BJ$4),(VLOOKUP($AM$365,base_nbre_sem_mensu,2,FALSE)&lt;52)),AM373,IF(AND(AT373&lt;&gt;"",AU373=""),AT373,AU373)))))))))))))</f>
        <v>0</v>
      </c>
      <c r="AQ373" s="1378">
        <f t="shared" ref="AQ373:AQ402" si="740">AI373-SUM(AN373:AO373)</f>
        <v>0</v>
      </c>
      <c r="AR373" s="1098"/>
      <c r="AS373" s="1374"/>
      <c r="AT373" s="1101"/>
      <c r="AU373" s="813"/>
      <c r="AV373" s="1370">
        <f t="shared" si="721"/>
        <v>46267</v>
      </c>
      <c r="AW373" s="1374"/>
      <c r="AX373" s="511">
        <f t="shared" ref="AX373:AX402" si="741">+AV373</f>
        <v>46267</v>
      </c>
      <c r="AY373" s="523">
        <f t="shared" ref="AY373:AY402" si="742">+IF(M373-X373&lt;0,0,M373-X373)</f>
        <v>0</v>
      </c>
      <c r="AZ373" s="520" t="s">
        <v>137</v>
      </c>
      <c r="BA373" s="516">
        <f t="shared" ref="BA373:BA402" si="743">+IF(AZ373="OUI",AY373,0)</f>
        <v>0</v>
      </c>
      <c r="BB373" s="549" t="str">
        <f t="shared" si="722"/>
        <v/>
      </c>
      <c r="BC373" s="523">
        <f t="shared" ref="BC373:BC402" si="744">+IF(BB373="OUI",IFERROR(M373-AT373,M373),0)</f>
        <v>0</v>
      </c>
      <c r="BD373" s="523">
        <f t="shared" ref="BD373:BD402" si="745">+BC373+BA373</f>
        <v>0</v>
      </c>
      <c r="BE373" s="1104"/>
      <c r="BF373" s="514" t="str">
        <f t="shared" si="723"/>
        <v/>
      </c>
      <c r="BG373" s="514" t="str">
        <f t="shared" ref="BG373:BG402" si="746">+IF(AND(M373=0,AT373=""),"oui","non")</f>
        <v>oui</v>
      </c>
      <c r="BH373" s="377" t="str">
        <f t="shared" si="724"/>
        <v/>
      </c>
      <c r="BI373" s="24" t="str">
        <f t="shared" si="725"/>
        <v/>
      </c>
      <c r="BJ373" s="1382"/>
      <c r="BK373" s="1382"/>
      <c r="BL373" s="1382"/>
      <c r="BM373" s="1382"/>
      <c r="BN373" s="1382"/>
      <c r="BO373" s="1382"/>
      <c r="BP373" s="1382"/>
      <c r="BQ373" s="1382"/>
      <c r="BR373" s="1383"/>
      <c r="BS373" s="1370">
        <f t="shared" si="692"/>
        <v>46267</v>
      </c>
      <c r="BT373" s="1384" t="str">
        <f>IFERROR(IF(WEEKDAY(BS373,11)=1,WEEKNUM(BS373,21),""),"")</f>
        <v/>
      </c>
      <c r="BU373" s="1382"/>
      <c r="BV373" s="1382"/>
      <c r="BW373" s="1382"/>
      <c r="BX373" s="1382"/>
      <c r="BY373" s="1382"/>
      <c r="BZ373" s="1382"/>
      <c r="CA373" s="1382"/>
      <c r="CB373" s="1382"/>
      <c r="CD373" s="1386">
        <f t="shared" ref="CD373:CD402" si="747">+M373</f>
        <v>0</v>
      </c>
      <c r="DC373" s="16" t="str">
        <f>Septembre!FC21</f>
        <v>non</v>
      </c>
      <c r="DG373" s="315">
        <f t="shared" ref="DG373:DG402" si="748">IF(OR(AT373=0,AT373=""),1,10)</f>
        <v>1</v>
      </c>
      <c r="DH373" s="129">
        <f t="shared" si="726"/>
        <v>10</v>
      </c>
      <c r="DI373" s="129">
        <f t="shared" ref="DI373:DI402" si="749">+IF(OR(DG373=1,DH373=1),1,10)</f>
        <v>1</v>
      </c>
      <c r="DK373" s="16">
        <f>+IF(AND(Septembre!$DP$8&lt;&gt;52,AR373=S.CAL!$BJ$4),10,1)</f>
        <v>1</v>
      </c>
      <c r="DN373" s="16">
        <f t="shared" si="727"/>
        <v>1</v>
      </c>
      <c r="DU373" s="1274" t="str">
        <f t="shared" ref="DU373:DU402" si="750">+A373&amp;B373</f>
        <v>Fiche infoA346267</v>
      </c>
      <c r="DV373" s="1362">
        <f t="shared" si="728"/>
        <v>0</v>
      </c>
      <c r="DW373" s="1363">
        <f t="shared" si="729"/>
        <v>0</v>
      </c>
      <c r="DX373" s="1363">
        <f t="shared" si="730"/>
        <v>0</v>
      </c>
      <c r="DY373" s="1363">
        <f t="shared" si="731"/>
        <v>0</v>
      </c>
      <c r="DZ373" s="1363">
        <f t="shared" si="732"/>
        <v>0</v>
      </c>
      <c r="EA373" s="1363">
        <f t="shared" si="733"/>
        <v>0</v>
      </c>
      <c r="EB373" s="1363">
        <f t="shared" si="734"/>
        <v>0</v>
      </c>
      <c r="EC373" s="1363">
        <f t="shared" si="735"/>
        <v>0</v>
      </c>
      <c r="ED373" s="1363">
        <f t="shared" ref="ED373:ED402" si="751">+DW373-DV373+DY373-DX373+EA373-DZ373+EC373-EB373</f>
        <v>0</v>
      </c>
      <c r="EE373" s="1364">
        <f t="shared" ref="EE373:EE402" si="752">ROUND(+ED373*24,2)</f>
        <v>0</v>
      </c>
      <c r="EG373" s="16" t="str">
        <f t="shared" ref="EG373:EG402" si="753">+WEEKNUM(B373,21)&amp;YEAR(B373)</f>
        <v>362026</v>
      </c>
      <c r="EH373" s="16" t="str">
        <f t="shared" si="736"/>
        <v>Fiche infoA3</v>
      </c>
      <c r="EI373" s="16" t="str">
        <f t="shared" si="737"/>
        <v/>
      </c>
    </row>
    <row r="374" spans="1:139" x14ac:dyDescent="0.2">
      <c r="A374" s="24" t="str">
        <f>Septembre!BJ22</f>
        <v>Fiche infoA4</v>
      </c>
      <c r="B374" s="811">
        <f>Septembre!AB22</f>
        <v>46268</v>
      </c>
      <c r="C374" s="1371"/>
      <c r="D374" s="981">
        <f t="shared" si="693"/>
        <v>0</v>
      </c>
      <c r="E374" s="434">
        <f t="shared" si="694"/>
        <v>0</v>
      </c>
      <c r="F374" s="434">
        <f t="shared" si="695"/>
        <v>0</v>
      </c>
      <c r="G374" s="434">
        <f t="shared" si="696"/>
        <v>0</v>
      </c>
      <c r="H374" s="434">
        <f t="shared" si="697"/>
        <v>0</v>
      </c>
      <c r="I374" s="434">
        <f t="shared" si="698"/>
        <v>0</v>
      </c>
      <c r="J374" s="434">
        <f t="shared" si="699"/>
        <v>0</v>
      </c>
      <c r="K374" s="434">
        <f t="shared" si="700"/>
        <v>0</v>
      </c>
      <c r="L374" s="434">
        <f t="shared" si="738"/>
        <v>0</v>
      </c>
      <c r="M374" s="982">
        <f t="shared" si="739"/>
        <v>0</v>
      </c>
      <c r="O374" s="981">
        <f t="shared" si="701"/>
        <v>0</v>
      </c>
      <c r="P374" s="434">
        <f t="shared" si="702"/>
        <v>0</v>
      </c>
      <c r="Q374" s="434">
        <f t="shared" si="703"/>
        <v>0</v>
      </c>
      <c r="R374" s="434">
        <f t="shared" si="704"/>
        <v>0</v>
      </c>
      <c r="S374" s="434">
        <f t="shared" si="705"/>
        <v>0</v>
      </c>
      <c r="T374" s="434">
        <f t="shared" si="706"/>
        <v>0</v>
      </c>
      <c r="U374" s="434">
        <f t="shared" si="707"/>
        <v>0</v>
      </c>
      <c r="V374" s="434">
        <f t="shared" si="708"/>
        <v>0</v>
      </c>
      <c r="W374" s="434">
        <f t="shared" si="709"/>
        <v>0</v>
      </c>
      <c r="X374" s="982">
        <f t="shared" si="710"/>
        <v>0</v>
      </c>
      <c r="Y374" s="441"/>
      <c r="Z374" s="277">
        <f t="shared" si="711"/>
        <v>0</v>
      </c>
      <c r="AA374" s="277">
        <f t="shared" si="712"/>
        <v>0</v>
      </c>
      <c r="AB374" s="277">
        <f t="shared" si="713"/>
        <v>0</v>
      </c>
      <c r="AC374" s="277">
        <f t="shared" si="714"/>
        <v>0</v>
      </c>
      <c r="AD374" s="277">
        <f t="shared" si="715"/>
        <v>0</v>
      </c>
      <c r="AE374" s="277">
        <f t="shared" si="716"/>
        <v>0</v>
      </c>
      <c r="AF374" s="277">
        <f t="shared" si="717"/>
        <v>0</v>
      </c>
      <c r="AG374" s="277">
        <f t="shared" si="718"/>
        <v>0</v>
      </c>
      <c r="AI374" s="444">
        <f t="shared" si="719"/>
        <v>0</v>
      </c>
      <c r="AJ374" s="1090"/>
      <c r="AK374" s="489"/>
      <c r="AL374" s="811">
        <f t="shared" si="720"/>
        <v>46268</v>
      </c>
      <c r="AM374" s="666">
        <f>IFERROR(IF(AND(AT374="",AR374&lt;&gt;S.CAL!$BJ$3,AR374&lt;&gt;S.CAL!$BJ$4,$AR$365="NON"),M374-BD374,IF(AND(AT374="",AR374&lt;&gt;S.CAL!$BJ$3,AR374&lt;&gt;S.CAL!$BJ$4,$AR$365="OUI"),X374-AI374,IF(AT374&lt;&gt;0,AT374,IF(OR(AR374=S.CAL!$BJ$3,AR374=S.CAL!$BJ$4),AR374,"")))),"")</f>
        <v>0</v>
      </c>
      <c r="AN374" s="1093"/>
      <c r="AO374" s="1094"/>
      <c r="AP374" s="666">
        <f>+IF(AND(AU374="",BB374="OUI",BH374="non",BI374="OUI"),AM374,IF(AND(AU374="",BB374="OUI",BH374="oui",BI374="NON"),AM374,IF(AND(AU374="",BB374="NON",BH374="oui",BI374="NON"),M374,IF(AND(AU374="",BB374="NON",BH374="non",BI374="OUI"),M374,IF(AND(AU374="",BB374="OUI",BH374="non",BI374="NON"),"ERREUR",IF(AND(AU374="",BB374="NON",BH374="non",BI374="NON"),AM374,IF(AND(AU374="",BB374="OUI",BH374="",BI374=""),AM374,IF(AND(AU374="",BB374="NON",BH374="",BI374="",AZ374="NON"),M374,IF(AND(AU374="",BH374="",AZ374="OUI",AR374=""),AM374,IF(AND(AU374="",BH374="",AZ374="NON",AR374="",AT374=""),M374,IF(AND(OR(AR374=S.CAL!$BJ$3,AR374=S.CAL!$BJ$4),(VLOOKUP($AM$365,base_nbre_sem_mensu,2,FALSE)=52)),EE374,IF(AND(OR(AR374=S.CAL!$BJ$3,AR374=S.CAL!$BJ$4),(VLOOKUP($AM$365,base_nbre_sem_mensu,2,FALSE)&lt;52)),AM374,IF(AND(AT374&lt;&gt;"",AU374=""),AT374,AU374)))))))))))))</f>
        <v>0</v>
      </c>
      <c r="AQ374" s="498">
        <f t="shared" si="740"/>
        <v>0</v>
      </c>
      <c r="AR374" s="1098"/>
      <c r="AT374" s="1101"/>
      <c r="AU374" s="813"/>
      <c r="AV374" s="1370">
        <f t="shared" si="721"/>
        <v>46268</v>
      </c>
      <c r="AX374" s="511">
        <f t="shared" si="741"/>
        <v>46268</v>
      </c>
      <c r="AY374" s="523">
        <f t="shared" si="742"/>
        <v>0</v>
      </c>
      <c r="AZ374" s="520" t="s">
        <v>137</v>
      </c>
      <c r="BA374" s="516">
        <f t="shared" si="743"/>
        <v>0</v>
      </c>
      <c r="BB374" s="549" t="str">
        <f t="shared" si="722"/>
        <v/>
      </c>
      <c r="BC374" s="523">
        <f t="shared" si="744"/>
        <v>0</v>
      </c>
      <c r="BD374" s="523">
        <f t="shared" si="745"/>
        <v>0</v>
      </c>
      <c r="BE374" s="1104"/>
      <c r="BF374" s="514" t="str">
        <f t="shared" si="723"/>
        <v/>
      </c>
      <c r="BG374" s="514" t="str">
        <f t="shared" si="746"/>
        <v>oui</v>
      </c>
      <c r="BH374" s="377" t="str">
        <f t="shared" si="724"/>
        <v/>
      </c>
      <c r="BI374" s="24" t="str">
        <f t="shared" si="725"/>
        <v/>
      </c>
      <c r="BJ374" s="1381"/>
      <c r="BK374" s="1381"/>
      <c r="BL374" s="1381"/>
      <c r="BM374" s="1381"/>
      <c r="BN374" s="1381"/>
      <c r="BO374" s="1381"/>
      <c r="BP374" s="1381"/>
      <c r="BQ374" s="1381"/>
      <c r="BS374" s="1370">
        <f t="shared" si="692"/>
        <v>46268</v>
      </c>
      <c r="BT374" s="27" t="str">
        <f t="shared" ref="BT374:BT402" si="754">IFERROR(IF(WEEKDAY(BS374,11)=1,WEEKNUM(BS374,21),""),"")</f>
        <v/>
      </c>
      <c r="BU374" s="1380"/>
      <c r="BV374" s="1380"/>
      <c r="BW374" s="1380"/>
      <c r="BX374" s="1380"/>
      <c r="BY374" s="1380"/>
      <c r="BZ374" s="1380"/>
      <c r="CA374" s="1380"/>
      <c r="CB374" s="1380"/>
      <c r="CD374" s="1386">
        <f t="shared" si="747"/>
        <v>0</v>
      </c>
      <c r="DC374" s="16" t="str">
        <f>Septembre!FC22</f>
        <v>non</v>
      </c>
      <c r="DG374" s="315">
        <f t="shared" si="748"/>
        <v>1</v>
      </c>
      <c r="DH374" s="129">
        <f t="shared" si="726"/>
        <v>10</v>
      </c>
      <c r="DI374" s="129">
        <f t="shared" si="749"/>
        <v>1</v>
      </c>
      <c r="DK374" s="16">
        <f>+IF(AND(Septembre!$DP$8&lt;&gt;52,AR374=S.CAL!$BJ$4),10,1)</f>
        <v>1</v>
      </c>
      <c r="DN374" s="16">
        <f t="shared" si="727"/>
        <v>1</v>
      </c>
      <c r="DU374" s="1274" t="str">
        <f t="shared" si="750"/>
        <v>Fiche infoA446268</v>
      </c>
      <c r="DV374" s="1362">
        <f t="shared" si="728"/>
        <v>0</v>
      </c>
      <c r="DW374" s="1363">
        <f t="shared" si="729"/>
        <v>0</v>
      </c>
      <c r="DX374" s="1363">
        <f t="shared" si="730"/>
        <v>0</v>
      </c>
      <c r="DY374" s="1363">
        <f t="shared" si="731"/>
        <v>0</v>
      </c>
      <c r="DZ374" s="1363">
        <f t="shared" si="732"/>
        <v>0</v>
      </c>
      <c r="EA374" s="1363">
        <f t="shared" si="733"/>
        <v>0</v>
      </c>
      <c r="EB374" s="1363">
        <f t="shared" si="734"/>
        <v>0</v>
      </c>
      <c r="EC374" s="1363">
        <f t="shared" si="735"/>
        <v>0</v>
      </c>
      <c r="ED374" s="1363">
        <f t="shared" si="751"/>
        <v>0</v>
      </c>
      <c r="EE374" s="1364">
        <f t="shared" si="752"/>
        <v>0</v>
      </c>
      <c r="EG374" s="16" t="str">
        <f t="shared" si="753"/>
        <v>362026</v>
      </c>
      <c r="EH374" s="16" t="str">
        <f t="shared" si="736"/>
        <v>Fiche infoA4</v>
      </c>
      <c r="EI374" s="16" t="str">
        <f t="shared" si="737"/>
        <v/>
      </c>
    </row>
    <row r="375" spans="1:139" x14ac:dyDescent="0.2">
      <c r="A375" s="1373" t="str">
        <f>Septembre!BJ23</f>
        <v>Fiche infoA5</v>
      </c>
      <c r="B375" s="811">
        <f>Septembre!AB23</f>
        <v>46269</v>
      </c>
      <c r="C375" s="1372"/>
      <c r="D375" s="981">
        <f t="shared" si="693"/>
        <v>0</v>
      </c>
      <c r="E375" s="434">
        <f t="shared" si="694"/>
        <v>0</v>
      </c>
      <c r="F375" s="434">
        <f t="shared" si="695"/>
        <v>0</v>
      </c>
      <c r="G375" s="434">
        <f t="shared" si="696"/>
        <v>0</v>
      </c>
      <c r="H375" s="434">
        <f t="shared" si="697"/>
        <v>0</v>
      </c>
      <c r="I375" s="434">
        <f t="shared" si="698"/>
        <v>0</v>
      </c>
      <c r="J375" s="434">
        <f t="shared" si="699"/>
        <v>0</v>
      </c>
      <c r="K375" s="434">
        <f t="shared" si="700"/>
        <v>0</v>
      </c>
      <c r="L375" s="434">
        <f t="shared" si="738"/>
        <v>0</v>
      </c>
      <c r="M375" s="982">
        <f t="shared" si="739"/>
        <v>0</v>
      </c>
      <c r="N375" s="1374"/>
      <c r="O375" s="981">
        <f t="shared" si="701"/>
        <v>0</v>
      </c>
      <c r="P375" s="434">
        <f t="shared" si="702"/>
        <v>0</v>
      </c>
      <c r="Q375" s="434">
        <f t="shared" si="703"/>
        <v>0</v>
      </c>
      <c r="R375" s="434">
        <f t="shared" si="704"/>
        <v>0</v>
      </c>
      <c r="S375" s="434">
        <f t="shared" si="705"/>
        <v>0</v>
      </c>
      <c r="T375" s="434">
        <f t="shared" si="706"/>
        <v>0</v>
      </c>
      <c r="U375" s="434">
        <f t="shared" si="707"/>
        <v>0</v>
      </c>
      <c r="V375" s="434">
        <f t="shared" si="708"/>
        <v>0</v>
      </c>
      <c r="W375" s="434">
        <f t="shared" si="709"/>
        <v>0</v>
      </c>
      <c r="X375" s="982">
        <f t="shared" si="710"/>
        <v>0</v>
      </c>
      <c r="Y375" s="1375"/>
      <c r="Z375" s="1376">
        <f t="shared" si="711"/>
        <v>0</v>
      </c>
      <c r="AA375" s="1376">
        <f t="shared" si="712"/>
        <v>0</v>
      </c>
      <c r="AB375" s="1376">
        <f t="shared" si="713"/>
        <v>0</v>
      </c>
      <c r="AC375" s="1376">
        <f t="shared" si="714"/>
        <v>0</v>
      </c>
      <c r="AD375" s="1376">
        <f t="shared" si="715"/>
        <v>0</v>
      </c>
      <c r="AE375" s="1376">
        <f t="shared" si="716"/>
        <v>0</v>
      </c>
      <c r="AF375" s="1376">
        <f t="shared" si="717"/>
        <v>0</v>
      </c>
      <c r="AG375" s="1376">
        <f t="shared" si="718"/>
        <v>0</v>
      </c>
      <c r="AH375" s="1374"/>
      <c r="AI375" s="444">
        <f t="shared" si="719"/>
        <v>0</v>
      </c>
      <c r="AJ375" s="1090"/>
      <c r="AK375" s="1377"/>
      <c r="AL375" s="811">
        <f t="shared" si="720"/>
        <v>46269</v>
      </c>
      <c r="AM375" s="666">
        <f>IFERROR(IF(AND(AT375="",AR375&lt;&gt;S.CAL!$BJ$3,AR375&lt;&gt;S.CAL!$BJ$4,$AR$365="NON"),M375-BD375,IF(AND(AT375="",AR375&lt;&gt;S.CAL!$BJ$3,AR375&lt;&gt;S.CAL!$BJ$4,$AR$365="OUI"),X375-AI375,IF(AT375&lt;&gt;0,AT375,IF(OR(AR375=S.CAL!$BJ$3,AR375=S.CAL!$BJ$4),AR375,"")))),"")</f>
        <v>0</v>
      </c>
      <c r="AN375" s="1093"/>
      <c r="AO375" s="1094"/>
      <c r="AP375" s="666">
        <f>+IF(AND(AU375="",BB375="OUI",BH375="non",BI375="OUI"),AM375,IF(AND(AU375="",BB375="OUI",BH375="oui",BI375="NON"),AM375,IF(AND(AU375="",BB375="NON",BH375="oui",BI375="NON"),M375,IF(AND(AU375="",BB375="NON",BH375="non",BI375="OUI"),M375,IF(AND(AU375="",BB375="OUI",BH375="non",BI375="NON"),"ERREUR",IF(AND(AU375="",BB375="NON",BH375="non",BI375="NON"),AM375,IF(AND(AU375="",BB375="OUI",BH375="",BI375=""),AM375,IF(AND(AU375="",BB375="NON",BH375="",BI375="",AZ375="NON"),M375,IF(AND(AU375="",BH375="",AZ375="OUI",AR375=""),AM375,IF(AND(AU375="",BH375="",AZ375="NON",AR375="",AT375=""),M375,IF(AND(OR(AR375=S.CAL!$BJ$3,AR375=S.CAL!$BJ$4),(VLOOKUP($AM$365,base_nbre_sem_mensu,2,FALSE)=52)),EE375,IF(AND(OR(AR375=S.CAL!$BJ$3,AR375=S.CAL!$BJ$4),(VLOOKUP($AM$365,base_nbre_sem_mensu,2,FALSE)&lt;52)),AM375,IF(AND(AT375&lt;&gt;"",AU375=""),AT375,AU375)))))))))))))</f>
        <v>0</v>
      </c>
      <c r="AQ375" s="1378">
        <f t="shared" si="740"/>
        <v>0</v>
      </c>
      <c r="AR375" s="1098"/>
      <c r="AS375" s="1374"/>
      <c r="AT375" s="1101"/>
      <c r="AU375" s="813"/>
      <c r="AV375" s="1370">
        <f t="shared" si="721"/>
        <v>46269</v>
      </c>
      <c r="AW375" s="1374"/>
      <c r="AX375" s="511">
        <f t="shared" si="741"/>
        <v>46269</v>
      </c>
      <c r="AY375" s="523">
        <f t="shared" si="742"/>
        <v>0</v>
      </c>
      <c r="AZ375" s="520" t="s">
        <v>137</v>
      </c>
      <c r="BA375" s="516">
        <f t="shared" si="743"/>
        <v>0</v>
      </c>
      <c r="BB375" s="549" t="str">
        <f t="shared" si="722"/>
        <v/>
      </c>
      <c r="BC375" s="523">
        <f t="shared" si="744"/>
        <v>0</v>
      </c>
      <c r="BD375" s="523">
        <f t="shared" si="745"/>
        <v>0</v>
      </c>
      <c r="BE375" s="1104"/>
      <c r="BF375" s="514" t="str">
        <f t="shared" si="723"/>
        <v/>
      </c>
      <c r="BG375" s="514" t="str">
        <f t="shared" si="746"/>
        <v>oui</v>
      </c>
      <c r="BH375" s="377" t="str">
        <f t="shared" si="724"/>
        <v/>
      </c>
      <c r="BI375" s="24" t="str">
        <f t="shared" si="725"/>
        <v/>
      </c>
      <c r="BJ375" s="1382"/>
      <c r="BK375" s="1382"/>
      <c r="BL375" s="1382"/>
      <c r="BM375" s="1382"/>
      <c r="BN375" s="1382"/>
      <c r="BO375" s="1382"/>
      <c r="BP375" s="1382"/>
      <c r="BQ375" s="1382"/>
      <c r="BR375" s="1383"/>
      <c r="BS375" s="1370">
        <f t="shared" si="692"/>
        <v>46269</v>
      </c>
      <c r="BT375" s="1384" t="str">
        <f t="shared" si="754"/>
        <v/>
      </c>
      <c r="BU375" s="1382"/>
      <c r="BV375" s="1382"/>
      <c r="BW375" s="1382"/>
      <c r="BX375" s="1382"/>
      <c r="BY375" s="1382"/>
      <c r="BZ375" s="1382"/>
      <c r="CA375" s="1382"/>
      <c r="CB375" s="1382"/>
      <c r="CD375" s="1386">
        <f t="shared" si="747"/>
        <v>0</v>
      </c>
      <c r="DC375" s="16" t="str">
        <f>Septembre!FC23</f>
        <v>non</v>
      </c>
      <c r="DG375" s="315">
        <f t="shared" si="748"/>
        <v>1</v>
      </c>
      <c r="DH375" s="129">
        <f t="shared" si="726"/>
        <v>10</v>
      </c>
      <c r="DI375" s="129">
        <f t="shared" si="749"/>
        <v>1</v>
      </c>
      <c r="DK375" s="16">
        <f>+IF(AND(Septembre!$DP$8&lt;&gt;52,AR375=S.CAL!$BJ$4),10,1)</f>
        <v>1</v>
      </c>
      <c r="DN375" s="16">
        <f t="shared" si="727"/>
        <v>1</v>
      </c>
      <c r="DU375" s="1274" t="str">
        <f t="shared" si="750"/>
        <v>Fiche infoA546269</v>
      </c>
      <c r="DV375" s="1362">
        <f t="shared" si="728"/>
        <v>0</v>
      </c>
      <c r="DW375" s="1363">
        <f t="shared" si="729"/>
        <v>0</v>
      </c>
      <c r="DX375" s="1363">
        <f t="shared" si="730"/>
        <v>0</v>
      </c>
      <c r="DY375" s="1363">
        <f t="shared" si="731"/>
        <v>0</v>
      </c>
      <c r="DZ375" s="1363">
        <f t="shared" si="732"/>
        <v>0</v>
      </c>
      <c r="EA375" s="1363">
        <f t="shared" si="733"/>
        <v>0</v>
      </c>
      <c r="EB375" s="1363">
        <f t="shared" si="734"/>
        <v>0</v>
      </c>
      <c r="EC375" s="1363">
        <f t="shared" si="735"/>
        <v>0</v>
      </c>
      <c r="ED375" s="1363">
        <f t="shared" si="751"/>
        <v>0</v>
      </c>
      <c r="EE375" s="1364">
        <f t="shared" si="752"/>
        <v>0</v>
      </c>
      <c r="EG375" s="16" t="str">
        <f t="shared" si="753"/>
        <v>362026</v>
      </c>
      <c r="EH375" s="16" t="str">
        <f t="shared" si="736"/>
        <v>Fiche infoA5</v>
      </c>
      <c r="EI375" s="16" t="str">
        <f t="shared" si="737"/>
        <v/>
      </c>
    </row>
    <row r="376" spans="1:139" x14ac:dyDescent="0.2">
      <c r="A376" s="24" t="str">
        <f>Septembre!BJ24</f>
        <v>Fiche infoA6</v>
      </c>
      <c r="B376" s="811">
        <f>Septembre!AB24</f>
        <v>46270</v>
      </c>
      <c r="C376" s="1371"/>
      <c r="D376" s="981">
        <f t="shared" si="693"/>
        <v>0</v>
      </c>
      <c r="E376" s="434">
        <f t="shared" si="694"/>
        <v>0</v>
      </c>
      <c r="F376" s="434">
        <f t="shared" si="695"/>
        <v>0</v>
      </c>
      <c r="G376" s="434">
        <f t="shared" si="696"/>
        <v>0</v>
      </c>
      <c r="H376" s="434">
        <f t="shared" si="697"/>
        <v>0</v>
      </c>
      <c r="I376" s="434">
        <f t="shared" si="698"/>
        <v>0</v>
      </c>
      <c r="J376" s="434">
        <f t="shared" si="699"/>
        <v>0</v>
      </c>
      <c r="K376" s="434">
        <f t="shared" si="700"/>
        <v>0</v>
      </c>
      <c r="L376" s="434">
        <f t="shared" si="738"/>
        <v>0</v>
      </c>
      <c r="M376" s="982">
        <f t="shared" si="739"/>
        <v>0</v>
      </c>
      <c r="O376" s="981">
        <f t="shared" si="701"/>
        <v>0</v>
      </c>
      <c r="P376" s="434">
        <f t="shared" si="702"/>
        <v>0</v>
      </c>
      <c r="Q376" s="434">
        <f t="shared" si="703"/>
        <v>0</v>
      </c>
      <c r="R376" s="434">
        <f t="shared" si="704"/>
        <v>0</v>
      </c>
      <c r="S376" s="434">
        <f t="shared" si="705"/>
        <v>0</v>
      </c>
      <c r="T376" s="434">
        <f t="shared" si="706"/>
        <v>0</v>
      </c>
      <c r="U376" s="434">
        <f t="shared" si="707"/>
        <v>0</v>
      </c>
      <c r="V376" s="434">
        <f t="shared" si="708"/>
        <v>0</v>
      </c>
      <c r="W376" s="434">
        <f t="shared" si="709"/>
        <v>0</v>
      </c>
      <c r="X376" s="982">
        <f t="shared" si="710"/>
        <v>0</v>
      </c>
      <c r="Y376" s="441"/>
      <c r="Z376" s="277">
        <f t="shared" si="711"/>
        <v>0</v>
      </c>
      <c r="AA376" s="277">
        <f t="shared" si="712"/>
        <v>0</v>
      </c>
      <c r="AB376" s="277">
        <f t="shared" si="713"/>
        <v>0</v>
      </c>
      <c r="AC376" s="277">
        <f t="shared" si="714"/>
        <v>0</v>
      </c>
      <c r="AD376" s="277">
        <f t="shared" si="715"/>
        <v>0</v>
      </c>
      <c r="AE376" s="277">
        <f t="shared" si="716"/>
        <v>0</v>
      </c>
      <c r="AF376" s="277">
        <f t="shared" si="717"/>
        <v>0</v>
      </c>
      <c r="AG376" s="277">
        <f t="shared" si="718"/>
        <v>0</v>
      </c>
      <c r="AI376" s="444">
        <f t="shared" si="719"/>
        <v>0</v>
      </c>
      <c r="AJ376" s="1090"/>
      <c r="AK376" s="489"/>
      <c r="AL376" s="811">
        <f t="shared" si="720"/>
        <v>46270</v>
      </c>
      <c r="AM376" s="666">
        <f>IFERROR(IF(AND(AT376="",AR376&lt;&gt;S.CAL!$BJ$3,AR376&lt;&gt;S.CAL!$BJ$4,$AR$365="NON"),M376-BD376,IF(AND(AT376="",AR376&lt;&gt;S.CAL!$BJ$3,AR376&lt;&gt;S.CAL!$BJ$4,$AR$365="OUI"),X376-AI376,IF(AT376&lt;&gt;0,AT376,IF(OR(AR376=S.CAL!$BJ$3,AR376=S.CAL!$BJ$4),AR376,"")))),"")</f>
        <v>0</v>
      </c>
      <c r="AN376" s="1093"/>
      <c r="AO376" s="1094"/>
      <c r="AP376" s="666">
        <f>+IF(AND(AU376="",BB376="OUI",BH376="non",BI376="OUI"),AM376,IF(AND(AU376="",BB376="OUI",BH376="oui",BI376="NON"),AM376,IF(AND(AU376="",BB376="NON",BH376="oui",BI376="NON"),M376,IF(AND(AU376="",BB376="NON",BH376="non",BI376="OUI"),M376,IF(AND(AU376="",BB376="OUI",BH376="non",BI376="NON"),"ERREUR",IF(AND(AU376="",BB376="NON",BH376="non",BI376="NON"),AM376,IF(AND(AU376="",BB376="OUI",BH376="",BI376=""),AM376,IF(AND(AU376="",BB376="NON",BH376="",BI376="",AZ376="NON"),M376,IF(AND(AU376="",BH376="",AZ376="OUI",AR376=""),AM376,IF(AND(AU376="",BH376="",AZ376="NON",AR376="",AT376=""),M376,IF(AND(OR(AR376=S.CAL!$BJ$3,AR376=S.CAL!$BJ$4),(VLOOKUP($AM$365,base_nbre_sem_mensu,2,FALSE)=52)),EE376,IF(AND(OR(AR376=S.CAL!$BJ$3,AR376=S.CAL!$BJ$4),(VLOOKUP($AM$365,base_nbre_sem_mensu,2,FALSE)&lt;52)),AM376,IF(AND(AT376&lt;&gt;"",AU376=""),AT376,AU376)))))))))))))</f>
        <v>0</v>
      </c>
      <c r="AQ376" s="498">
        <f t="shared" si="740"/>
        <v>0</v>
      </c>
      <c r="AR376" s="1098"/>
      <c r="AT376" s="1101"/>
      <c r="AU376" s="813"/>
      <c r="AV376" s="1370">
        <f t="shared" si="721"/>
        <v>46270</v>
      </c>
      <c r="AX376" s="511">
        <f t="shared" si="741"/>
        <v>46270</v>
      </c>
      <c r="AY376" s="523">
        <f t="shared" si="742"/>
        <v>0</v>
      </c>
      <c r="AZ376" s="520" t="s">
        <v>137</v>
      </c>
      <c r="BA376" s="516">
        <f t="shared" si="743"/>
        <v>0</v>
      </c>
      <c r="BB376" s="549" t="str">
        <f t="shared" si="722"/>
        <v/>
      </c>
      <c r="BC376" s="523">
        <f t="shared" si="744"/>
        <v>0</v>
      </c>
      <c r="BD376" s="523">
        <f t="shared" si="745"/>
        <v>0</v>
      </c>
      <c r="BE376" s="1104"/>
      <c r="BF376" s="514" t="str">
        <f t="shared" si="723"/>
        <v/>
      </c>
      <c r="BG376" s="514" t="str">
        <f t="shared" si="746"/>
        <v>oui</v>
      </c>
      <c r="BH376" s="377" t="str">
        <f t="shared" si="724"/>
        <v/>
      </c>
      <c r="BI376" s="24" t="str">
        <f t="shared" si="725"/>
        <v/>
      </c>
      <c r="BJ376" s="1381"/>
      <c r="BK376" s="1381"/>
      <c r="BL376" s="1381"/>
      <c r="BM376" s="1381"/>
      <c r="BN376" s="1381"/>
      <c r="BO376" s="1381"/>
      <c r="BP376" s="1381"/>
      <c r="BQ376" s="1381"/>
      <c r="BS376" s="1370">
        <f t="shared" si="692"/>
        <v>46270</v>
      </c>
      <c r="BT376" s="27" t="str">
        <f t="shared" si="754"/>
        <v/>
      </c>
      <c r="BU376" s="1380"/>
      <c r="BV376" s="1380"/>
      <c r="BW376" s="1380"/>
      <c r="BX376" s="1380"/>
      <c r="BY376" s="1380"/>
      <c r="BZ376" s="1380"/>
      <c r="CA376" s="1380"/>
      <c r="CB376" s="1380"/>
      <c r="CD376" s="1386">
        <f t="shared" si="747"/>
        <v>0</v>
      </c>
      <c r="DC376" s="16" t="str">
        <f>Septembre!FC24</f>
        <v>non</v>
      </c>
      <c r="DG376" s="315">
        <f t="shared" si="748"/>
        <v>1</v>
      </c>
      <c r="DH376" s="129">
        <f t="shared" si="726"/>
        <v>10</v>
      </c>
      <c r="DI376" s="129">
        <f t="shared" si="749"/>
        <v>1</v>
      </c>
      <c r="DK376" s="16">
        <f>+IF(AND(Septembre!$DP$8&lt;&gt;52,AR376=S.CAL!$BJ$4),10,1)</f>
        <v>1</v>
      </c>
      <c r="DN376" s="16">
        <f t="shared" si="727"/>
        <v>1</v>
      </c>
      <c r="DU376" s="1274" t="str">
        <f t="shared" si="750"/>
        <v>Fiche infoA646270</v>
      </c>
      <c r="DV376" s="1362">
        <f t="shared" si="728"/>
        <v>0</v>
      </c>
      <c r="DW376" s="1363">
        <f t="shared" si="729"/>
        <v>0</v>
      </c>
      <c r="DX376" s="1363">
        <f t="shared" si="730"/>
        <v>0</v>
      </c>
      <c r="DY376" s="1363">
        <f t="shared" si="731"/>
        <v>0</v>
      </c>
      <c r="DZ376" s="1363">
        <f t="shared" si="732"/>
        <v>0</v>
      </c>
      <c r="EA376" s="1363">
        <f t="shared" si="733"/>
        <v>0</v>
      </c>
      <c r="EB376" s="1363">
        <f t="shared" si="734"/>
        <v>0</v>
      </c>
      <c r="EC376" s="1363">
        <f t="shared" si="735"/>
        <v>0</v>
      </c>
      <c r="ED376" s="1363">
        <f t="shared" si="751"/>
        <v>0</v>
      </c>
      <c r="EE376" s="1364">
        <f t="shared" si="752"/>
        <v>0</v>
      </c>
      <c r="EG376" s="16" t="str">
        <f t="shared" si="753"/>
        <v>362026</v>
      </c>
      <c r="EH376" s="16" t="str">
        <f t="shared" si="736"/>
        <v>Fiche infoA6</v>
      </c>
      <c r="EI376" s="16" t="str">
        <f t="shared" si="737"/>
        <v/>
      </c>
    </row>
    <row r="377" spans="1:139" x14ac:dyDescent="0.2">
      <c r="A377" s="1373" t="str">
        <f>Septembre!BJ25</f>
        <v>Fiche infoA7</v>
      </c>
      <c r="B377" s="811">
        <f>Septembre!AB25</f>
        <v>46271</v>
      </c>
      <c r="C377" s="1372"/>
      <c r="D377" s="981">
        <f t="shared" si="693"/>
        <v>0</v>
      </c>
      <c r="E377" s="434">
        <f t="shared" si="694"/>
        <v>0</v>
      </c>
      <c r="F377" s="434">
        <f t="shared" si="695"/>
        <v>0</v>
      </c>
      <c r="G377" s="434">
        <f t="shared" si="696"/>
        <v>0</v>
      </c>
      <c r="H377" s="434">
        <f t="shared" si="697"/>
        <v>0</v>
      </c>
      <c r="I377" s="434">
        <f t="shared" si="698"/>
        <v>0</v>
      </c>
      <c r="J377" s="434">
        <f t="shared" si="699"/>
        <v>0</v>
      </c>
      <c r="K377" s="434">
        <f t="shared" si="700"/>
        <v>0</v>
      </c>
      <c r="L377" s="434">
        <f t="shared" si="738"/>
        <v>0</v>
      </c>
      <c r="M377" s="982">
        <f t="shared" si="739"/>
        <v>0</v>
      </c>
      <c r="N377" s="1374"/>
      <c r="O377" s="981">
        <f t="shared" si="701"/>
        <v>0</v>
      </c>
      <c r="P377" s="434">
        <f t="shared" si="702"/>
        <v>0</v>
      </c>
      <c r="Q377" s="434">
        <f t="shared" si="703"/>
        <v>0</v>
      </c>
      <c r="R377" s="434">
        <f t="shared" si="704"/>
        <v>0</v>
      </c>
      <c r="S377" s="434">
        <f t="shared" si="705"/>
        <v>0</v>
      </c>
      <c r="T377" s="434">
        <f t="shared" si="706"/>
        <v>0</v>
      </c>
      <c r="U377" s="434">
        <f t="shared" si="707"/>
        <v>0</v>
      </c>
      <c r="V377" s="434">
        <f t="shared" si="708"/>
        <v>0</v>
      </c>
      <c r="W377" s="434">
        <f t="shared" si="709"/>
        <v>0</v>
      </c>
      <c r="X377" s="982">
        <f t="shared" si="710"/>
        <v>0</v>
      </c>
      <c r="Y377" s="1375"/>
      <c r="Z377" s="1376">
        <f t="shared" si="711"/>
        <v>0</v>
      </c>
      <c r="AA377" s="1376">
        <f t="shared" si="712"/>
        <v>0</v>
      </c>
      <c r="AB377" s="1376">
        <f t="shared" si="713"/>
        <v>0</v>
      </c>
      <c r="AC377" s="1376">
        <f t="shared" si="714"/>
        <v>0</v>
      </c>
      <c r="AD377" s="1376">
        <f t="shared" si="715"/>
        <v>0</v>
      </c>
      <c r="AE377" s="1376">
        <f t="shared" si="716"/>
        <v>0</v>
      </c>
      <c r="AF377" s="1376">
        <f t="shared" si="717"/>
        <v>0</v>
      </c>
      <c r="AG377" s="1376">
        <f t="shared" si="718"/>
        <v>0</v>
      </c>
      <c r="AH377" s="1374"/>
      <c r="AI377" s="444">
        <f t="shared" si="719"/>
        <v>0</v>
      </c>
      <c r="AJ377" s="1090"/>
      <c r="AK377" s="1377"/>
      <c r="AL377" s="811">
        <f t="shared" si="720"/>
        <v>46271</v>
      </c>
      <c r="AM377" s="666">
        <f>IFERROR(IF(AND(AT377="",AR377&lt;&gt;S.CAL!$BJ$3,AR377&lt;&gt;S.CAL!$BJ$4,$AR$365="NON"),M377-BD377,IF(AND(AT377="",AR377&lt;&gt;S.CAL!$BJ$3,AR377&lt;&gt;S.CAL!$BJ$4,$AR$365="OUI"),X377-AI377,IF(AT377&lt;&gt;0,AT377,IF(OR(AR377=S.CAL!$BJ$3,AR377=S.CAL!$BJ$4),AR377,"")))),"")</f>
        <v>0</v>
      </c>
      <c r="AN377" s="1093"/>
      <c r="AO377" s="1094"/>
      <c r="AP377" s="666">
        <f>+IF(AND(AU377="",BB377="OUI",BH377="non",BI377="OUI"),AM377,IF(AND(AU377="",BB377="OUI",BH377="oui",BI377="NON"),AM377,IF(AND(AU377="",BB377="NON",BH377="oui",BI377="NON"),M377,IF(AND(AU377="",BB377="NON",BH377="non",BI377="OUI"),M377,IF(AND(AU377="",BB377="OUI",BH377="non",BI377="NON"),"ERREUR",IF(AND(AU377="",BB377="NON",BH377="non",BI377="NON"),AM377,IF(AND(AU377="",BB377="OUI",BH377="",BI377=""),AM377,IF(AND(AU377="",BB377="NON",BH377="",BI377="",AZ377="NON"),M377,IF(AND(AU377="",BH377="",AZ377="OUI",AR377=""),AM377,IF(AND(AU377="",BH377="",AZ377="NON",AR377="",AT377=""),M377,IF(AND(OR(AR377=S.CAL!$BJ$3,AR377=S.CAL!$BJ$4),(VLOOKUP($AM$365,base_nbre_sem_mensu,2,FALSE)=52)),EE377,IF(AND(OR(AR377=S.CAL!$BJ$3,AR377=S.CAL!$BJ$4),(VLOOKUP($AM$365,base_nbre_sem_mensu,2,FALSE)&lt;52)),AM377,IF(AND(AT377&lt;&gt;"",AU377=""),AT377,AU377)))))))))))))</f>
        <v>0</v>
      </c>
      <c r="AQ377" s="1378">
        <f t="shared" si="740"/>
        <v>0</v>
      </c>
      <c r="AR377" s="1098"/>
      <c r="AS377" s="1374"/>
      <c r="AT377" s="1101"/>
      <c r="AU377" s="813"/>
      <c r="AV377" s="1370">
        <f t="shared" si="721"/>
        <v>46271</v>
      </c>
      <c r="AW377" s="1374"/>
      <c r="AX377" s="511">
        <f t="shared" si="741"/>
        <v>46271</v>
      </c>
      <c r="AY377" s="523">
        <f t="shared" si="742"/>
        <v>0</v>
      </c>
      <c r="AZ377" s="520" t="s">
        <v>137</v>
      </c>
      <c r="BA377" s="516">
        <f t="shared" si="743"/>
        <v>0</v>
      </c>
      <c r="BB377" s="549" t="str">
        <f t="shared" si="722"/>
        <v/>
      </c>
      <c r="BC377" s="523">
        <f t="shared" si="744"/>
        <v>0</v>
      </c>
      <c r="BD377" s="523">
        <f t="shared" si="745"/>
        <v>0</v>
      </c>
      <c r="BE377" s="1104"/>
      <c r="BF377" s="514" t="str">
        <f t="shared" si="723"/>
        <v/>
      </c>
      <c r="BG377" s="514" t="str">
        <f t="shared" si="746"/>
        <v>oui</v>
      </c>
      <c r="BH377" s="377" t="str">
        <f t="shared" si="724"/>
        <v/>
      </c>
      <c r="BI377" s="24" t="str">
        <f t="shared" si="725"/>
        <v/>
      </c>
      <c r="BJ377" s="1382"/>
      <c r="BK377" s="1382"/>
      <c r="BL377" s="1382"/>
      <c r="BM377" s="1382"/>
      <c r="BN377" s="1382"/>
      <c r="BO377" s="1382"/>
      <c r="BP377" s="1382"/>
      <c r="BQ377" s="1382"/>
      <c r="BR377" s="1383"/>
      <c r="BS377" s="1370">
        <f t="shared" si="692"/>
        <v>46271</v>
      </c>
      <c r="BT377" s="1384" t="str">
        <f t="shared" si="754"/>
        <v/>
      </c>
      <c r="BU377" s="1382"/>
      <c r="BV377" s="1382"/>
      <c r="BW377" s="1382"/>
      <c r="BX377" s="1382"/>
      <c r="BY377" s="1382"/>
      <c r="BZ377" s="1382"/>
      <c r="CA377" s="1382"/>
      <c r="CB377" s="1382"/>
      <c r="CD377" s="1386">
        <f t="shared" si="747"/>
        <v>0</v>
      </c>
      <c r="DC377" s="16" t="str">
        <f>Septembre!FC25</f>
        <v>non</v>
      </c>
      <c r="DG377" s="315">
        <f t="shared" si="748"/>
        <v>1</v>
      </c>
      <c r="DH377" s="129">
        <f t="shared" si="726"/>
        <v>10</v>
      </c>
      <c r="DI377" s="129">
        <f t="shared" si="749"/>
        <v>1</v>
      </c>
      <c r="DK377" s="16">
        <f>+IF(AND(Septembre!$DP$8&lt;&gt;52,AR377=S.CAL!$BJ$4),10,1)</f>
        <v>1</v>
      </c>
      <c r="DN377" s="16">
        <f t="shared" si="727"/>
        <v>1</v>
      </c>
      <c r="DU377" s="1274" t="str">
        <f t="shared" si="750"/>
        <v>Fiche infoA746271</v>
      </c>
      <c r="DV377" s="1362">
        <f t="shared" si="728"/>
        <v>0</v>
      </c>
      <c r="DW377" s="1363">
        <f t="shared" si="729"/>
        <v>0</v>
      </c>
      <c r="DX377" s="1363">
        <f t="shared" si="730"/>
        <v>0</v>
      </c>
      <c r="DY377" s="1363">
        <f t="shared" si="731"/>
        <v>0</v>
      </c>
      <c r="DZ377" s="1363">
        <f t="shared" si="732"/>
        <v>0</v>
      </c>
      <c r="EA377" s="1363">
        <f t="shared" si="733"/>
        <v>0</v>
      </c>
      <c r="EB377" s="1363">
        <f t="shared" si="734"/>
        <v>0</v>
      </c>
      <c r="EC377" s="1363">
        <f t="shared" si="735"/>
        <v>0</v>
      </c>
      <c r="ED377" s="1363">
        <f t="shared" si="751"/>
        <v>0</v>
      </c>
      <c r="EE377" s="1364">
        <f t="shared" si="752"/>
        <v>0</v>
      </c>
      <c r="EG377" s="16" t="str">
        <f t="shared" si="753"/>
        <v>362026</v>
      </c>
      <c r="EH377" s="16" t="str">
        <f t="shared" si="736"/>
        <v>Fiche infoA7</v>
      </c>
      <c r="EI377" s="16" t="str">
        <f t="shared" si="737"/>
        <v/>
      </c>
    </row>
    <row r="378" spans="1:139" x14ac:dyDescent="0.2">
      <c r="A378" s="24" t="str">
        <f>Septembre!BJ26</f>
        <v>Fiche infoA1</v>
      </c>
      <c r="B378" s="811">
        <f>Septembre!AB26</f>
        <v>46272</v>
      </c>
      <c r="C378" s="1371"/>
      <c r="D378" s="981">
        <f t="shared" si="693"/>
        <v>0</v>
      </c>
      <c r="E378" s="434">
        <f t="shared" si="694"/>
        <v>0</v>
      </c>
      <c r="F378" s="434">
        <f t="shared" si="695"/>
        <v>0</v>
      </c>
      <c r="G378" s="434">
        <f t="shared" si="696"/>
        <v>0</v>
      </c>
      <c r="H378" s="434">
        <f t="shared" si="697"/>
        <v>0</v>
      </c>
      <c r="I378" s="434">
        <f t="shared" si="698"/>
        <v>0</v>
      </c>
      <c r="J378" s="434">
        <f t="shared" si="699"/>
        <v>0</v>
      </c>
      <c r="K378" s="434">
        <f t="shared" si="700"/>
        <v>0</v>
      </c>
      <c r="L378" s="434">
        <f t="shared" si="738"/>
        <v>0</v>
      </c>
      <c r="M378" s="982">
        <f t="shared" si="739"/>
        <v>0</v>
      </c>
      <c r="O378" s="981">
        <f t="shared" si="701"/>
        <v>0</v>
      </c>
      <c r="P378" s="434">
        <f t="shared" si="702"/>
        <v>0</v>
      </c>
      <c r="Q378" s="434">
        <f t="shared" si="703"/>
        <v>0</v>
      </c>
      <c r="R378" s="434">
        <f t="shared" si="704"/>
        <v>0</v>
      </c>
      <c r="S378" s="434">
        <f t="shared" si="705"/>
        <v>0</v>
      </c>
      <c r="T378" s="434">
        <f t="shared" si="706"/>
        <v>0</v>
      </c>
      <c r="U378" s="434">
        <f t="shared" si="707"/>
        <v>0</v>
      </c>
      <c r="V378" s="434">
        <f t="shared" si="708"/>
        <v>0</v>
      </c>
      <c r="W378" s="434">
        <f t="shared" si="709"/>
        <v>0</v>
      </c>
      <c r="X378" s="982">
        <f t="shared" si="710"/>
        <v>0</v>
      </c>
      <c r="Y378" s="441"/>
      <c r="Z378" s="277">
        <f t="shared" si="711"/>
        <v>0</v>
      </c>
      <c r="AA378" s="277">
        <f t="shared" si="712"/>
        <v>0</v>
      </c>
      <c r="AB378" s="277">
        <f t="shared" si="713"/>
        <v>0</v>
      </c>
      <c r="AC378" s="277">
        <f t="shared" si="714"/>
        <v>0</v>
      </c>
      <c r="AD378" s="277">
        <f t="shared" si="715"/>
        <v>0</v>
      </c>
      <c r="AE378" s="277">
        <f t="shared" si="716"/>
        <v>0</v>
      </c>
      <c r="AF378" s="277">
        <f t="shared" si="717"/>
        <v>0</v>
      </c>
      <c r="AG378" s="277">
        <f t="shared" si="718"/>
        <v>0</v>
      </c>
      <c r="AI378" s="444">
        <f t="shared" si="719"/>
        <v>0</v>
      </c>
      <c r="AJ378" s="1090"/>
      <c r="AK378" s="489"/>
      <c r="AL378" s="811">
        <f t="shared" si="720"/>
        <v>46272</v>
      </c>
      <c r="AM378" s="666">
        <f>IFERROR(IF(AND(AT378="",AR378&lt;&gt;S.CAL!$BJ$3,AR378&lt;&gt;S.CAL!$BJ$4,$AR$365="NON"),M378-BD378,IF(AND(AT378="",AR378&lt;&gt;S.CAL!$BJ$3,AR378&lt;&gt;S.CAL!$BJ$4,$AR$365="OUI"),X378-AI378,IF(AT378&lt;&gt;0,AT378,IF(OR(AR378=S.CAL!$BJ$3,AR378=S.CAL!$BJ$4),AR378,"")))),"")</f>
        <v>0</v>
      </c>
      <c r="AN378" s="1093"/>
      <c r="AO378" s="1094"/>
      <c r="AP378" s="666">
        <f>+IF(AND(AU378="",BB378="OUI",BH378="non",BI378="OUI"),AM378,IF(AND(AU378="",BB378="OUI",BH378="oui",BI378="NON"),AM378,IF(AND(AU378="",BB378="NON",BH378="oui",BI378="NON"),M378,IF(AND(AU378="",BB378="NON",BH378="non",BI378="OUI"),M378,IF(AND(AU378="",BB378="OUI",BH378="non",BI378="NON"),"ERREUR",IF(AND(AU378="",BB378="NON",BH378="non",BI378="NON"),AM378,IF(AND(AU378="",BB378="OUI",BH378="",BI378=""),AM378,IF(AND(AU378="",BB378="NON",BH378="",BI378="",AZ378="NON"),M378,IF(AND(AU378="",BH378="",AZ378="OUI",AR378=""),AM378,IF(AND(AU378="",BH378="",AZ378="NON",AR378="",AT378=""),M378,IF(AND(OR(AR378=S.CAL!$BJ$3,AR378=S.CAL!$BJ$4),(VLOOKUP($AM$365,base_nbre_sem_mensu,2,FALSE)=52)),EE378,IF(AND(OR(AR378=S.CAL!$BJ$3,AR378=S.CAL!$BJ$4),(VLOOKUP($AM$365,base_nbre_sem_mensu,2,FALSE)&lt;52)),AM378,IF(AND(AT378&lt;&gt;"",AU378=""),AT378,AU378)))))))))))))</f>
        <v>0</v>
      </c>
      <c r="AQ378" s="498">
        <f t="shared" si="740"/>
        <v>0</v>
      </c>
      <c r="AR378" s="1098"/>
      <c r="AT378" s="1101"/>
      <c r="AU378" s="813"/>
      <c r="AV378" s="1370">
        <f t="shared" si="721"/>
        <v>46272</v>
      </c>
      <c r="AX378" s="511">
        <f t="shared" si="741"/>
        <v>46272</v>
      </c>
      <c r="AY378" s="523">
        <f t="shared" si="742"/>
        <v>0</v>
      </c>
      <c r="AZ378" s="520" t="s">
        <v>137</v>
      </c>
      <c r="BA378" s="516">
        <f t="shared" si="743"/>
        <v>0</v>
      </c>
      <c r="BB378" s="549" t="str">
        <f t="shared" si="722"/>
        <v/>
      </c>
      <c r="BC378" s="523">
        <f t="shared" si="744"/>
        <v>0</v>
      </c>
      <c r="BD378" s="523">
        <f t="shared" si="745"/>
        <v>0</v>
      </c>
      <c r="BE378" s="1104"/>
      <c r="BF378" s="514" t="str">
        <f t="shared" si="723"/>
        <v/>
      </c>
      <c r="BG378" s="514" t="str">
        <f t="shared" si="746"/>
        <v>oui</v>
      </c>
      <c r="BH378" s="377" t="str">
        <f t="shared" si="724"/>
        <v/>
      </c>
      <c r="BI378" s="24" t="str">
        <f t="shared" si="725"/>
        <v/>
      </c>
      <c r="BJ378" s="1381"/>
      <c r="BK378" s="1381"/>
      <c r="BL378" s="1381"/>
      <c r="BM378" s="1381"/>
      <c r="BN378" s="1381"/>
      <c r="BO378" s="1381"/>
      <c r="BP378" s="1381"/>
      <c r="BQ378" s="1381"/>
      <c r="BS378" s="1370">
        <f t="shared" si="692"/>
        <v>46272</v>
      </c>
      <c r="BT378" s="27">
        <f t="shared" si="754"/>
        <v>37</v>
      </c>
      <c r="BU378" s="1380"/>
      <c r="BV378" s="1380"/>
      <c r="BW378" s="1380"/>
      <c r="BX378" s="1380"/>
      <c r="BY378" s="1380"/>
      <c r="BZ378" s="1380"/>
      <c r="CA378" s="1380"/>
      <c r="CB378" s="1380"/>
      <c r="CD378" s="1386">
        <f t="shared" si="747"/>
        <v>0</v>
      </c>
      <c r="DC378" s="16" t="str">
        <f>Septembre!FC26</f>
        <v>non</v>
      </c>
      <c r="DG378" s="315">
        <f t="shared" si="748"/>
        <v>1</v>
      </c>
      <c r="DH378" s="129">
        <f t="shared" si="726"/>
        <v>10</v>
      </c>
      <c r="DI378" s="129">
        <f t="shared" si="749"/>
        <v>1</v>
      </c>
      <c r="DK378" s="16">
        <f>+IF(AND(Septembre!$DP$8&lt;&gt;52,AR378=S.CAL!$BJ$4),10,1)</f>
        <v>1</v>
      </c>
      <c r="DN378" s="16">
        <f t="shared" si="727"/>
        <v>1</v>
      </c>
      <c r="DU378" s="1274" t="str">
        <f t="shared" si="750"/>
        <v>Fiche infoA146272</v>
      </c>
      <c r="DV378" s="1362">
        <f t="shared" si="728"/>
        <v>0</v>
      </c>
      <c r="DW378" s="1363">
        <f t="shared" si="729"/>
        <v>0</v>
      </c>
      <c r="DX378" s="1363">
        <f t="shared" si="730"/>
        <v>0</v>
      </c>
      <c r="DY378" s="1363">
        <f t="shared" si="731"/>
        <v>0</v>
      </c>
      <c r="DZ378" s="1363">
        <f t="shared" si="732"/>
        <v>0</v>
      </c>
      <c r="EA378" s="1363">
        <f t="shared" si="733"/>
        <v>0</v>
      </c>
      <c r="EB378" s="1363">
        <f t="shared" si="734"/>
        <v>0</v>
      </c>
      <c r="EC378" s="1363">
        <f t="shared" si="735"/>
        <v>0</v>
      </c>
      <c r="ED378" s="1363">
        <f t="shared" si="751"/>
        <v>0</v>
      </c>
      <c r="EE378" s="1364">
        <f t="shared" si="752"/>
        <v>0</v>
      </c>
      <c r="EG378" s="16" t="str">
        <f t="shared" si="753"/>
        <v>372026</v>
      </c>
      <c r="EH378" s="16" t="str">
        <f t="shared" si="736"/>
        <v>Fiche infoA1</v>
      </c>
      <c r="EI378" s="16" t="str">
        <f t="shared" si="737"/>
        <v/>
      </c>
    </row>
    <row r="379" spans="1:139" x14ac:dyDescent="0.2">
      <c r="A379" s="1373" t="str">
        <f>Septembre!BJ27</f>
        <v>Fiche infoA2</v>
      </c>
      <c r="B379" s="811">
        <f>Septembre!AB27</f>
        <v>46273</v>
      </c>
      <c r="C379" s="1372"/>
      <c r="D379" s="981">
        <f t="shared" si="693"/>
        <v>0</v>
      </c>
      <c r="E379" s="434">
        <f t="shared" si="694"/>
        <v>0</v>
      </c>
      <c r="F379" s="434">
        <f t="shared" si="695"/>
        <v>0</v>
      </c>
      <c r="G379" s="434">
        <f t="shared" si="696"/>
        <v>0</v>
      </c>
      <c r="H379" s="434">
        <f t="shared" si="697"/>
        <v>0</v>
      </c>
      <c r="I379" s="434">
        <f t="shared" si="698"/>
        <v>0</v>
      </c>
      <c r="J379" s="434">
        <f t="shared" si="699"/>
        <v>0</v>
      </c>
      <c r="K379" s="434">
        <f t="shared" si="700"/>
        <v>0</v>
      </c>
      <c r="L379" s="434">
        <f t="shared" si="738"/>
        <v>0</v>
      </c>
      <c r="M379" s="982">
        <f t="shared" si="739"/>
        <v>0</v>
      </c>
      <c r="N379" s="1374"/>
      <c r="O379" s="981">
        <f t="shared" si="701"/>
        <v>0</v>
      </c>
      <c r="P379" s="434">
        <f t="shared" si="702"/>
        <v>0</v>
      </c>
      <c r="Q379" s="434">
        <f t="shared" si="703"/>
        <v>0</v>
      </c>
      <c r="R379" s="434">
        <f t="shared" si="704"/>
        <v>0</v>
      </c>
      <c r="S379" s="434">
        <f t="shared" si="705"/>
        <v>0</v>
      </c>
      <c r="T379" s="434">
        <f t="shared" si="706"/>
        <v>0</v>
      </c>
      <c r="U379" s="434">
        <f t="shared" si="707"/>
        <v>0</v>
      </c>
      <c r="V379" s="434">
        <f t="shared" si="708"/>
        <v>0</v>
      </c>
      <c r="W379" s="434">
        <f t="shared" si="709"/>
        <v>0</v>
      </c>
      <c r="X379" s="982">
        <f t="shared" si="710"/>
        <v>0</v>
      </c>
      <c r="Y379" s="1375"/>
      <c r="Z379" s="1376">
        <f t="shared" si="711"/>
        <v>0</v>
      </c>
      <c r="AA379" s="1376">
        <f t="shared" si="712"/>
        <v>0</v>
      </c>
      <c r="AB379" s="1376">
        <f t="shared" si="713"/>
        <v>0</v>
      </c>
      <c r="AC379" s="1376">
        <f t="shared" si="714"/>
        <v>0</v>
      </c>
      <c r="AD379" s="1376">
        <f t="shared" si="715"/>
        <v>0</v>
      </c>
      <c r="AE379" s="1376">
        <f t="shared" si="716"/>
        <v>0</v>
      </c>
      <c r="AF379" s="1376">
        <f t="shared" si="717"/>
        <v>0</v>
      </c>
      <c r="AG379" s="1376">
        <f t="shared" si="718"/>
        <v>0</v>
      </c>
      <c r="AH379" s="1374"/>
      <c r="AI379" s="444">
        <f t="shared" si="719"/>
        <v>0</v>
      </c>
      <c r="AJ379" s="1090"/>
      <c r="AK379" s="1377"/>
      <c r="AL379" s="811">
        <f t="shared" si="720"/>
        <v>46273</v>
      </c>
      <c r="AM379" s="666">
        <f>IFERROR(IF(AND(AT379="",AR379&lt;&gt;S.CAL!$BJ$3,AR379&lt;&gt;S.CAL!$BJ$4,$AR$365="NON"),M379-BD379,IF(AND(AT379="",AR379&lt;&gt;S.CAL!$BJ$3,AR379&lt;&gt;S.CAL!$BJ$4,$AR$365="OUI"),X379-AI379,IF(AT379&lt;&gt;0,AT379,IF(OR(AR379=S.CAL!$BJ$3,AR379=S.CAL!$BJ$4),AR379,"")))),"")</f>
        <v>0</v>
      </c>
      <c r="AN379" s="1093"/>
      <c r="AO379" s="1094"/>
      <c r="AP379" s="666">
        <f>+IF(AND(AU379="",BB379="OUI",BH379="non",BI379="OUI"),AM379,IF(AND(AU379="",BB379="OUI",BH379="oui",BI379="NON"),AM379,IF(AND(AU379="",BB379="NON",BH379="oui",BI379="NON"),M379,IF(AND(AU379="",BB379="NON",BH379="non",BI379="OUI"),M379,IF(AND(AU379="",BB379="OUI",BH379="non",BI379="NON"),"ERREUR",IF(AND(AU379="",BB379="NON",BH379="non",BI379="NON"),AM379,IF(AND(AU379="",BB379="OUI",BH379="",BI379=""),AM379,IF(AND(AU379="",BB379="NON",BH379="",BI379="",AZ379="NON"),M379,IF(AND(AU379="",BH379="",AZ379="OUI",AR379=""),AM379,IF(AND(AU379="",BH379="",AZ379="NON",AR379="",AT379=""),M379,IF(AND(OR(AR379=S.CAL!$BJ$3,AR379=S.CAL!$BJ$4),(VLOOKUP($AM$365,base_nbre_sem_mensu,2,FALSE)=52)),EE379,IF(AND(OR(AR379=S.CAL!$BJ$3,AR379=S.CAL!$BJ$4),(VLOOKUP($AM$365,base_nbre_sem_mensu,2,FALSE)&lt;52)),AM379,IF(AND(AT379&lt;&gt;"",AU379=""),AT379,AU379)))))))))))))</f>
        <v>0</v>
      </c>
      <c r="AQ379" s="1378">
        <f t="shared" si="740"/>
        <v>0</v>
      </c>
      <c r="AR379" s="1098"/>
      <c r="AS379" s="1374"/>
      <c r="AT379" s="1101"/>
      <c r="AU379" s="813"/>
      <c r="AV379" s="1370">
        <f t="shared" si="721"/>
        <v>46273</v>
      </c>
      <c r="AW379" s="1374"/>
      <c r="AX379" s="511">
        <f t="shared" si="741"/>
        <v>46273</v>
      </c>
      <c r="AY379" s="523">
        <f t="shared" si="742"/>
        <v>0</v>
      </c>
      <c r="AZ379" s="520" t="s">
        <v>137</v>
      </c>
      <c r="BA379" s="516">
        <f t="shared" si="743"/>
        <v>0</v>
      </c>
      <c r="BB379" s="549" t="str">
        <f t="shared" si="722"/>
        <v/>
      </c>
      <c r="BC379" s="523">
        <f t="shared" si="744"/>
        <v>0</v>
      </c>
      <c r="BD379" s="523">
        <f t="shared" si="745"/>
        <v>0</v>
      </c>
      <c r="BE379" s="1104"/>
      <c r="BF379" s="514" t="str">
        <f t="shared" si="723"/>
        <v/>
      </c>
      <c r="BG379" s="514" t="str">
        <f t="shared" si="746"/>
        <v>oui</v>
      </c>
      <c r="BH379" s="377" t="str">
        <f t="shared" si="724"/>
        <v/>
      </c>
      <c r="BI379" s="24" t="str">
        <f t="shared" si="725"/>
        <v/>
      </c>
      <c r="BJ379" s="1382"/>
      <c r="BK379" s="1382"/>
      <c r="BL379" s="1382"/>
      <c r="BM379" s="1382"/>
      <c r="BN379" s="1382"/>
      <c r="BO379" s="1382"/>
      <c r="BP379" s="1382"/>
      <c r="BQ379" s="1382"/>
      <c r="BR379" s="1383"/>
      <c r="BS379" s="1370">
        <f t="shared" si="692"/>
        <v>46273</v>
      </c>
      <c r="BT379" s="1384" t="str">
        <f t="shared" si="754"/>
        <v/>
      </c>
      <c r="BU379" s="1382"/>
      <c r="BV379" s="1382"/>
      <c r="BW379" s="1382"/>
      <c r="BX379" s="1382"/>
      <c r="BY379" s="1382"/>
      <c r="BZ379" s="1382"/>
      <c r="CA379" s="1382"/>
      <c r="CB379" s="1382"/>
      <c r="CD379" s="1386">
        <f t="shared" si="747"/>
        <v>0</v>
      </c>
      <c r="DC379" s="16" t="str">
        <f>Septembre!FC27</f>
        <v>non</v>
      </c>
      <c r="DG379" s="315">
        <f t="shared" si="748"/>
        <v>1</v>
      </c>
      <c r="DH379" s="129">
        <f t="shared" si="726"/>
        <v>10</v>
      </c>
      <c r="DI379" s="129">
        <f t="shared" si="749"/>
        <v>1</v>
      </c>
      <c r="DK379" s="16">
        <f>+IF(AND(Septembre!$DP$8&lt;&gt;52,AR379=S.CAL!$BJ$4),10,1)</f>
        <v>1</v>
      </c>
      <c r="DN379" s="16">
        <f t="shared" si="727"/>
        <v>1</v>
      </c>
      <c r="DU379" s="1274" t="str">
        <f t="shared" si="750"/>
        <v>Fiche infoA246273</v>
      </c>
      <c r="DV379" s="1362">
        <f t="shared" si="728"/>
        <v>0</v>
      </c>
      <c r="DW379" s="1363">
        <f t="shared" si="729"/>
        <v>0</v>
      </c>
      <c r="DX379" s="1363">
        <f t="shared" si="730"/>
        <v>0</v>
      </c>
      <c r="DY379" s="1363">
        <f t="shared" si="731"/>
        <v>0</v>
      </c>
      <c r="DZ379" s="1363">
        <f t="shared" si="732"/>
        <v>0</v>
      </c>
      <c r="EA379" s="1363">
        <f t="shared" si="733"/>
        <v>0</v>
      </c>
      <c r="EB379" s="1363">
        <f t="shared" si="734"/>
        <v>0</v>
      </c>
      <c r="EC379" s="1363">
        <f t="shared" si="735"/>
        <v>0</v>
      </c>
      <c r="ED379" s="1363">
        <f t="shared" si="751"/>
        <v>0</v>
      </c>
      <c r="EE379" s="1364">
        <f t="shared" si="752"/>
        <v>0</v>
      </c>
      <c r="EG379" s="16" t="str">
        <f t="shared" si="753"/>
        <v>372026</v>
      </c>
      <c r="EH379" s="16" t="str">
        <f t="shared" si="736"/>
        <v>Fiche infoA2</v>
      </c>
      <c r="EI379" s="16" t="str">
        <f t="shared" si="737"/>
        <v/>
      </c>
    </row>
    <row r="380" spans="1:139" x14ac:dyDescent="0.2">
      <c r="A380" s="24" t="str">
        <f>Septembre!BJ28</f>
        <v>Fiche infoA3</v>
      </c>
      <c r="B380" s="811">
        <f>Septembre!AB28</f>
        <v>46274</v>
      </c>
      <c r="C380" s="1371"/>
      <c r="D380" s="981">
        <f t="shared" si="693"/>
        <v>0</v>
      </c>
      <c r="E380" s="434">
        <f t="shared" si="694"/>
        <v>0</v>
      </c>
      <c r="F380" s="434">
        <f t="shared" si="695"/>
        <v>0</v>
      </c>
      <c r="G380" s="434">
        <f t="shared" si="696"/>
        <v>0</v>
      </c>
      <c r="H380" s="434">
        <f t="shared" si="697"/>
        <v>0</v>
      </c>
      <c r="I380" s="434">
        <f t="shared" si="698"/>
        <v>0</v>
      </c>
      <c r="J380" s="434">
        <f t="shared" si="699"/>
        <v>0</v>
      </c>
      <c r="K380" s="434">
        <f t="shared" si="700"/>
        <v>0</v>
      </c>
      <c r="L380" s="434">
        <f t="shared" si="738"/>
        <v>0</v>
      </c>
      <c r="M380" s="982">
        <f t="shared" si="739"/>
        <v>0</v>
      </c>
      <c r="O380" s="981">
        <f>IF(AR380&lt;&gt;"",0,IF(DC380="oui",0,IF(AND(ISTEXT(AT380)=TRUE,BJ380=""),0,IF(BJ380="",D380,BJ380))))</f>
        <v>0</v>
      </c>
      <c r="P380" s="434">
        <f>IF(AR380&lt;&gt;"",0,IF(DC380="oui",0,IF(AND(ISTEXT(AT380)=TRUE,BK380=""),0,IF(BK380="",E380,BK380))))</f>
        <v>0</v>
      </c>
      <c r="Q380" s="434">
        <f>IF(AR380&lt;&gt;"",0,IF(DC380="oui",0,IF(AND(ISTEXT(AT380)=TRUE,BL380=""),0,IF(BL380="",F380,BL380))))</f>
        <v>0</v>
      </c>
      <c r="R380" s="434">
        <f>IF(AR380&lt;&gt;"",0,IF(DC380="oui",0,IF(AND(ISTEXT(AT380)=TRUE,BM380=""),0,IF(BM380="",G380,BM380))))</f>
        <v>0</v>
      </c>
      <c r="S380" s="434">
        <f>IF(AR380&lt;&gt;"",0,IF(DC380="oui",0,IF(AND(ISTEXT(AT380)=TRUE,BN380=""),0,IF(BN380="",H380,BN380))))</f>
        <v>0</v>
      </c>
      <c r="T380" s="434">
        <f>IF(AR380&lt;&gt;"",0,IF(DC380="oui",0,IF(AND(ISTEXT(AT380)=TRUE,BO380=""),0,IF(BO380="",I380,BO380))))</f>
        <v>0</v>
      </c>
      <c r="U380" s="434">
        <f>IF(AR380&lt;&gt;"",0,IF(DC380="oui",0,IF(AND(ISTEXT(AT380)=TRUE,BP380=""),0,IF(BP380="",J380,BP380))))</f>
        <v>0</v>
      </c>
      <c r="V380" s="434">
        <f>IF(AR380&lt;&gt;"",0,IF(DC380="oui",0,IF(AND(ISTEXT(AT380)=TRUE,BQ380=""),0,IF(BQ380="",K380,BQ380))))</f>
        <v>0</v>
      </c>
      <c r="W380" s="434">
        <f t="shared" si="709"/>
        <v>0</v>
      </c>
      <c r="X380" s="982">
        <f t="shared" si="710"/>
        <v>0</v>
      </c>
      <c r="Y380" s="441"/>
      <c r="Z380" s="277">
        <f t="shared" si="711"/>
        <v>0</v>
      </c>
      <c r="AA380" s="277">
        <f t="shared" si="712"/>
        <v>0</v>
      </c>
      <c r="AB380" s="277">
        <f t="shared" si="713"/>
        <v>0</v>
      </c>
      <c r="AC380" s="277">
        <f t="shared" si="714"/>
        <v>0</v>
      </c>
      <c r="AD380" s="277">
        <f t="shared" si="715"/>
        <v>0</v>
      </c>
      <c r="AE380" s="277">
        <f t="shared" si="716"/>
        <v>0</v>
      </c>
      <c r="AF380" s="277">
        <f t="shared" si="717"/>
        <v>0</v>
      </c>
      <c r="AG380" s="277">
        <f t="shared" si="718"/>
        <v>0</v>
      </c>
      <c r="AI380" s="444">
        <f>IF(DC380="oui",0,IF(AND(ISTEXT(AT380)=TRUE,OR(X380=0,X380="")),0,ROUND(((((AA380-Z380)-(E380-D380))+((AC380-AB380)-(G380-F380))+((AE380-AD380)-(I380-H380))+(AG380-AF380)-(K380-J380))*24),2)))</f>
        <v>0</v>
      </c>
      <c r="AJ380" s="1090"/>
      <c r="AK380" s="489"/>
      <c r="AL380" s="811">
        <f t="shared" si="720"/>
        <v>46274</v>
      </c>
      <c r="AM380" s="666">
        <f>IFERROR(IF(AND(AT380="",AR380&lt;&gt;S.CAL!$BJ$3,AR380&lt;&gt;S.CAL!$BJ$4,$AR$365="NON"),M380-BD380,IF(AND(AT380="",AR380&lt;&gt;S.CAL!$BJ$3,AR380&lt;&gt;S.CAL!$BJ$4,$AR$365="OUI"),X380-AI380,IF(AT380&lt;&gt;0,AT380,IF(OR(AR380=S.CAL!$BJ$3,AR380=S.CAL!$BJ$4),AR380,"")))),"")</f>
        <v>0</v>
      </c>
      <c r="AN380" s="1093"/>
      <c r="AO380" s="1094"/>
      <c r="AP380" s="666">
        <f>+IF(AND(AU380="",BB380="OUI",BH380="non",BI380="OUI"),AM380,IF(AND(AU380="",BB380="OUI",BH380="oui",BI380="NON"),AM380,IF(AND(AU380="",BB380="NON",BH380="oui",BI380="NON"),M380,IF(AND(AU380="",BB380="NON",BH380="non",BI380="OUI"),M380,IF(AND(AU380="",BB380="OUI",BH380="non",BI380="NON"),"ERREUR",IF(AND(AU380="",BB380="NON",BH380="non",BI380="NON"),AM380,IF(AND(AU380="",BB380="OUI",BH380="",BI380=""),AM380,IF(AND(AU380="",BB380="NON",BH380="",BI380="",AZ380="NON"),M380,IF(AND(AU380="",BH380="",AZ380="OUI",AR380=""),AM380,IF(AND(AU380="",BH380="",AZ380="NON",AR380="",AT380=""),M380,IF(AND(OR(AR380=S.CAL!$BJ$3,AR380=S.CAL!$BJ$4),(VLOOKUP($AM$365,base_nbre_sem_mensu,2,FALSE)=52)),EE380,IF(AND(OR(AR380=S.CAL!$BJ$3,AR380=S.CAL!$BJ$4),(VLOOKUP($AM$365,base_nbre_sem_mensu,2,FALSE)&lt;52)),AM380,IF(AND(AT380&lt;&gt;"",AU380=""),AT380,AU380)))))))))))))</f>
        <v>0</v>
      </c>
      <c r="AQ380" s="498">
        <f t="shared" si="740"/>
        <v>0</v>
      </c>
      <c r="AR380" s="1098"/>
      <c r="AT380" s="1101"/>
      <c r="AU380" s="813"/>
      <c r="AV380" s="1370">
        <f t="shared" si="721"/>
        <v>46274</v>
      </c>
      <c r="AX380" s="511">
        <f t="shared" si="741"/>
        <v>46274</v>
      </c>
      <c r="AY380" s="523">
        <f t="shared" si="742"/>
        <v>0</v>
      </c>
      <c r="AZ380" s="520" t="s">
        <v>137</v>
      </c>
      <c r="BA380" s="516">
        <f t="shared" si="743"/>
        <v>0</v>
      </c>
      <c r="BB380" s="549" t="str">
        <f t="shared" si="722"/>
        <v/>
      </c>
      <c r="BC380" s="523">
        <f t="shared" si="744"/>
        <v>0</v>
      </c>
      <c r="BD380" s="523">
        <f t="shared" si="745"/>
        <v>0</v>
      </c>
      <c r="BE380" s="1104"/>
      <c r="BF380" s="514" t="str">
        <f t="shared" si="723"/>
        <v/>
      </c>
      <c r="BG380" s="514" t="str">
        <f t="shared" si="746"/>
        <v>oui</v>
      </c>
      <c r="BH380" s="377" t="str">
        <f t="shared" si="724"/>
        <v/>
      </c>
      <c r="BI380" s="24" t="str">
        <f t="shared" si="725"/>
        <v/>
      </c>
      <c r="BJ380" s="1381"/>
      <c r="BK380" s="1381"/>
      <c r="BL380" s="1381"/>
      <c r="BM380" s="1381"/>
      <c r="BN380" s="1381"/>
      <c r="BO380" s="1381"/>
      <c r="BP380" s="1381"/>
      <c r="BQ380" s="1381"/>
      <c r="BS380" s="1370">
        <f t="shared" si="692"/>
        <v>46274</v>
      </c>
      <c r="BT380" s="27" t="str">
        <f t="shared" si="754"/>
        <v/>
      </c>
      <c r="BU380" s="1380"/>
      <c r="BV380" s="1380"/>
      <c r="BW380" s="1380"/>
      <c r="BX380" s="1380"/>
      <c r="BY380" s="1380"/>
      <c r="BZ380" s="1380"/>
      <c r="CA380" s="1380"/>
      <c r="CB380" s="1380"/>
      <c r="CD380" s="1386">
        <f t="shared" si="747"/>
        <v>0</v>
      </c>
      <c r="DC380" s="16" t="str">
        <f>Septembre!FC28</f>
        <v>non</v>
      </c>
      <c r="DG380" s="315">
        <f t="shared" si="748"/>
        <v>1</v>
      </c>
      <c r="DH380" s="129">
        <f t="shared" si="726"/>
        <v>10</v>
      </c>
      <c r="DI380" s="129">
        <f t="shared" si="749"/>
        <v>1</v>
      </c>
      <c r="DK380" s="16">
        <f>+IF(AND(Septembre!$DP$8&lt;&gt;52,AR380=S.CAL!$BJ$4),10,1)</f>
        <v>1</v>
      </c>
      <c r="DN380" s="16">
        <f t="shared" si="727"/>
        <v>1</v>
      </c>
      <c r="DU380" s="1274" t="str">
        <f t="shared" si="750"/>
        <v>Fiche infoA346274</v>
      </c>
      <c r="DV380" s="1362">
        <f t="shared" si="728"/>
        <v>0</v>
      </c>
      <c r="DW380" s="1363">
        <f t="shared" si="729"/>
        <v>0</v>
      </c>
      <c r="DX380" s="1363">
        <f t="shared" si="730"/>
        <v>0</v>
      </c>
      <c r="DY380" s="1363">
        <f t="shared" si="731"/>
        <v>0</v>
      </c>
      <c r="DZ380" s="1363">
        <f t="shared" si="732"/>
        <v>0</v>
      </c>
      <c r="EA380" s="1363">
        <f t="shared" si="733"/>
        <v>0</v>
      </c>
      <c r="EB380" s="1363">
        <f t="shared" si="734"/>
        <v>0</v>
      </c>
      <c r="EC380" s="1363">
        <f t="shared" si="735"/>
        <v>0</v>
      </c>
      <c r="ED380" s="1363">
        <f t="shared" si="751"/>
        <v>0</v>
      </c>
      <c r="EE380" s="1364">
        <f t="shared" si="752"/>
        <v>0</v>
      </c>
      <c r="EG380" s="16" t="str">
        <f t="shared" si="753"/>
        <v>372026</v>
      </c>
      <c r="EH380" s="16" t="str">
        <f t="shared" si="736"/>
        <v>Fiche infoA3</v>
      </c>
      <c r="EI380" s="16" t="str">
        <f t="shared" si="737"/>
        <v/>
      </c>
    </row>
    <row r="381" spans="1:139" x14ac:dyDescent="0.2">
      <c r="A381" s="1373" t="str">
        <f>Septembre!BJ29</f>
        <v>Fiche infoA4</v>
      </c>
      <c r="B381" s="811">
        <f>Septembre!AB29</f>
        <v>46275</v>
      </c>
      <c r="C381" s="1372"/>
      <c r="D381" s="981">
        <f t="shared" si="693"/>
        <v>0</v>
      </c>
      <c r="E381" s="434">
        <f t="shared" si="694"/>
        <v>0</v>
      </c>
      <c r="F381" s="434">
        <f t="shared" si="695"/>
        <v>0</v>
      </c>
      <c r="G381" s="434">
        <f t="shared" si="696"/>
        <v>0</v>
      </c>
      <c r="H381" s="434">
        <f t="shared" si="697"/>
        <v>0</v>
      </c>
      <c r="I381" s="434">
        <f t="shared" si="698"/>
        <v>0</v>
      </c>
      <c r="J381" s="434">
        <f t="shared" si="699"/>
        <v>0</v>
      </c>
      <c r="K381" s="434">
        <f t="shared" si="700"/>
        <v>0</v>
      </c>
      <c r="L381" s="434">
        <f t="shared" si="738"/>
        <v>0</v>
      </c>
      <c r="M381" s="982">
        <f t="shared" si="739"/>
        <v>0</v>
      </c>
      <c r="N381" s="1374"/>
      <c r="O381" s="981">
        <f t="shared" ref="O381:O402" si="755">IF(AR381&lt;&gt;"",0,IF(DC381="oui",0,IF(AND(ISTEXT(AT381)=TRUE,BJ381=""),0,IF(BJ381="",D381,BJ381))))</f>
        <v>0</v>
      </c>
      <c r="P381" s="434">
        <f t="shared" ref="P381:P402" si="756">IF(AR381&lt;&gt;"",0,IF(DC381="oui",0,IF(AND(ISTEXT(AT381)=TRUE,BK381=""),0,IF(BK381="",E381,BK381))))</f>
        <v>0</v>
      </c>
      <c r="Q381" s="434">
        <f t="shared" ref="Q381:Q402" si="757">IF(AR381&lt;&gt;"",0,IF(DC381="oui",0,IF(AND(ISTEXT(AT381)=TRUE,BL381=""),0,IF(BL381="",F381,BL381))))</f>
        <v>0</v>
      </c>
      <c r="R381" s="434">
        <f t="shared" ref="R381:R402" si="758">IF(AR381&lt;&gt;"",0,IF(DC381="oui",0,IF(AND(ISTEXT(AT381)=TRUE,BM381=""),0,IF(BM381="",G381,BM381))))</f>
        <v>0</v>
      </c>
      <c r="S381" s="434">
        <f t="shared" ref="S381:S402" si="759">IF(AR381&lt;&gt;"",0,IF(DC381="oui",0,IF(AND(ISTEXT(AT381)=TRUE,BN381=""),0,IF(BN381="",H381,BN381))))</f>
        <v>0</v>
      </c>
      <c r="T381" s="434">
        <f t="shared" ref="T381:T402" si="760">IF(AR381&lt;&gt;"",0,IF(DC381="oui",0,IF(AND(ISTEXT(AT381)=TRUE,BO381=""),0,IF(BO381="",I381,BO381))))</f>
        <v>0</v>
      </c>
      <c r="U381" s="434">
        <f t="shared" ref="U381:U402" si="761">IF(AR381&lt;&gt;"",0,IF(DC381="oui",0,IF(AND(ISTEXT(AT381)=TRUE,BP381=""),0,IF(BP381="",J381,BP381))))</f>
        <v>0</v>
      </c>
      <c r="V381" s="434">
        <f t="shared" ref="V381:V402" si="762">IF(AR381&lt;&gt;"",0,IF(DC381="oui",0,IF(AND(ISTEXT(AT381)=TRUE,BQ381=""),0,IF(BQ381="",K381,BQ381))))</f>
        <v>0</v>
      </c>
      <c r="W381" s="434">
        <f t="shared" si="709"/>
        <v>0</v>
      </c>
      <c r="X381" s="982">
        <f t="shared" si="710"/>
        <v>0</v>
      </c>
      <c r="Y381" s="1375"/>
      <c r="Z381" s="1376">
        <f t="shared" si="711"/>
        <v>0</v>
      </c>
      <c r="AA381" s="1376">
        <f t="shared" si="712"/>
        <v>0</v>
      </c>
      <c r="AB381" s="1376">
        <f t="shared" si="713"/>
        <v>0</v>
      </c>
      <c r="AC381" s="1376">
        <f t="shared" si="714"/>
        <v>0</v>
      </c>
      <c r="AD381" s="1376">
        <f t="shared" si="715"/>
        <v>0</v>
      </c>
      <c r="AE381" s="1376">
        <f t="shared" si="716"/>
        <v>0</v>
      </c>
      <c r="AF381" s="1376">
        <f t="shared" si="717"/>
        <v>0</v>
      </c>
      <c r="AG381" s="1376">
        <f t="shared" si="718"/>
        <v>0</v>
      </c>
      <c r="AH381" s="1374"/>
      <c r="AI381" s="444">
        <f t="shared" ref="AI381:AI402" si="763">IF(DC381="oui",0,IF(AND(ISTEXT(AT381)=TRUE,OR(X381=0,X381="")),0,ROUND(((((AA381-Z381)-(E381-D381))+((AC381-AB381)-(G381-F381))+((AE381-AD381)-(I381-H381))+(AG381-AF381)-(K381-J381))*24),2)))</f>
        <v>0</v>
      </c>
      <c r="AJ381" s="1090"/>
      <c r="AK381" s="1377"/>
      <c r="AL381" s="811">
        <f t="shared" si="720"/>
        <v>46275</v>
      </c>
      <c r="AM381" s="666">
        <f>IFERROR(IF(AND(AT381="",AR381&lt;&gt;S.CAL!$BJ$3,AR381&lt;&gt;S.CAL!$BJ$4,$AR$365="NON"),M381-BD381,IF(AND(AT381="",AR381&lt;&gt;S.CAL!$BJ$3,AR381&lt;&gt;S.CAL!$BJ$4,$AR$365="OUI"),X381-AI381,IF(AT381&lt;&gt;0,AT381,IF(OR(AR381=S.CAL!$BJ$3,AR381=S.CAL!$BJ$4),AR381,"")))),"")</f>
        <v>0</v>
      </c>
      <c r="AN381" s="1093"/>
      <c r="AO381" s="1094"/>
      <c r="AP381" s="666">
        <f>+IF(AND(AU381="",BB381="OUI",BH381="non",BI381="OUI"),AM381,IF(AND(AU381="",BB381="OUI",BH381="oui",BI381="NON"),AM381,IF(AND(AU381="",BB381="NON",BH381="oui",BI381="NON"),M381,IF(AND(AU381="",BB381="NON",BH381="non",BI381="OUI"),M381,IF(AND(AU381="",BB381="OUI",BH381="non",BI381="NON"),"ERREUR",IF(AND(AU381="",BB381="NON",BH381="non",BI381="NON"),AM381,IF(AND(AU381="",BB381="OUI",BH381="",BI381=""),AM381,IF(AND(AU381="",BB381="NON",BH381="",BI381="",AZ381="NON"),M381,IF(AND(AU381="",BH381="",AZ381="OUI",AR381=""),AM381,IF(AND(AU381="",BH381="",AZ381="NON",AR381="",AT381=""),M381,IF(AND(OR(AR381=S.CAL!$BJ$3,AR381=S.CAL!$BJ$4),(VLOOKUP($AM$365,base_nbre_sem_mensu,2,FALSE)=52)),EE381,IF(AND(OR(AR381=S.CAL!$BJ$3,AR381=S.CAL!$BJ$4),(VLOOKUP($AM$365,base_nbre_sem_mensu,2,FALSE)&lt;52)),AM381,IF(AND(AT381&lt;&gt;"",AU381=""),AT381,AU381)))))))))))))</f>
        <v>0</v>
      </c>
      <c r="AQ381" s="1378">
        <f t="shared" si="740"/>
        <v>0</v>
      </c>
      <c r="AR381" s="1098"/>
      <c r="AS381" s="1374"/>
      <c r="AT381" s="1101"/>
      <c r="AU381" s="813"/>
      <c r="AV381" s="1370">
        <f t="shared" si="721"/>
        <v>46275</v>
      </c>
      <c r="AW381" s="1374"/>
      <c r="AX381" s="511">
        <f t="shared" si="741"/>
        <v>46275</v>
      </c>
      <c r="AY381" s="523">
        <f t="shared" si="742"/>
        <v>0</v>
      </c>
      <c r="AZ381" s="520" t="s">
        <v>137</v>
      </c>
      <c r="BA381" s="516">
        <f t="shared" si="743"/>
        <v>0</v>
      </c>
      <c r="BB381" s="549" t="str">
        <f t="shared" si="722"/>
        <v/>
      </c>
      <c r="BC381" s="523">
        <f t="shared" si="744"/>
        <v>0</v>
      </c>
      <c r="BD381" s="523">
        <f t="shared" si="745"/>
        <v>0</v>
      </c>
      <c r="BE381" s="1104"/>
      <c r="BF381" s="514" t="str">
        <f t="shared" si="723"/>
        <v/>
      </c>
      <c r="BG381" s="514" t="str">
        <f t="shared" si="746"/>
        <v>oui</v>
      </c>
      <c r="BH381" s="377" t="str">
        <f t="shared" si="724"/>
        <v/>
      </c>
      <c r="BI381" s="24" t="str">
        <f t="shared" si="725"/>
        <v/>
      </c>
      <c r="BJ381" s="1382"/>
      <c r="BK381" s="1382"/>
      <c r="BL381" s="1382"/>
      <c r="BM381" s="1382"/>
      <c r="BN381" s="1382"/>
      <c r="BO381" s="1382"/>
      <c r="BP381" s="1382"/>
      <c r="BQ381" s="1382"/>
      <c r="BR381" s="1383"/>
      <c r="BS381" s="1370">
        <f t="shared" si="692"/>
        <v>46275</v>
      </c>
      <c r="BT381" s="1384" t="str">
        <f t="shared" si="754"/>
        <v/>
      </c>
      <c r="BU381" s="1382"/>
      <c r="BV381" s="1382"/>
      <c r="BW381" s="1382"/>
      <c r="BX381" s="1382"/>
      <c r="BY381" s="1382"/>
      <c r="BZ381" s="1382"/>
      <c r="CA381" s="1382"/>
      <c r="CB381" s="1382"/>
      <c r="CD381" s="1386">
        <f t="shared" si="747"/>
        <v>0</v>
      </c>
      <c r="DC381" s="16" t="str">
        <f>Septembre!FC29</f>
        <v>non</v>
      </c>
      <c r="DG381" s="315">
        <f t="shared" si="748"/>
        <v>1</v>
      </c>
      <c r="DH381" s="129">
        <f t="shared" si="726"/>
        <v>10</v>
      </c>
      <c r="DI381" s="129">
        <f t="shared" si="749"/>
        <v>1</v>
      </c>
      <c r="DK381" s="16">
        <f>+IF(AND(Septembre!$DP$8&lt;&gt;52,AR381=S.CAL!$BJ$4),10,1)</f>
        <v>1</v>
      </c>
      <c r="DN381" s="16">
        <f t="shared" si="727"/>
        <v>1</v>
      </c>
      <c r="DU381" s="1274" t="str">
        <f t="shared" si="750"/>
        <v>Fiche infoA446275</v>
      </c>
      <c r="DV381" s="1362">
        <f t="shared" si="728"/>
        <v>0</v>
      </c>
      <c r="DW381" s="1363">
        <f t="shared" si="729"/>
        <v>0</v>
      </c>
      <c r="DX381" s="1363">
        <f t="shared" si="730"/>
        <v>0</v>
      </c>
      <c r="DY381" s="1363">
        <f t="shared" si="731"/>
        <v>0</v>
      </c>
      <c r="DZ381" s="1363">
        <f t="shared" si="732"/>
        <v>0</v>
      </c>
      <c r="EA381" s="1363">
        <f t="shared" si="733"/>
        <v>0</v>
      </c>
      <c r="EB381" s="1363">
        <f t="shared" si="734"/>
        <v>0</v>
      </c>
      <c r="EC381" s="1363">
        <f t="shared" si="735"/>
        <v>0</v>
      </c>
      <c r="ED381" s="1363">
        <f t="shared" si="751"/>
        <v>0</v>
      </c>
      <c r="EE381" s="1364">
        <f t="shared" si="752"/>
        <v>0</v>
      </c>
      <c r="EG381" s="16" t="str">
        <f t="shared" si="753"/>
        <v>372026</v>
      </c>
      <c r="EH381" s="16" t="str">
        <f t="shared" si="736"/>
        <v>Fiche infoA4</v>
      </c>
      <c r="EI381" s="16" t="str">
        <f t="shared" si="737"/>
        <v/>
      </c>
    </row>
    <row r="382" spans="1:139" x14ac:dyDescent="0.2">
      <c r="A382" s="24" t="str">
        <f>Septembre!BJ30</f>
        <v>Fiche infoA5</v>
      </c>
      <c r="B382" s="811">
        <f>Septembre!AB30</f>
        <v>46276</v>
      </c>
      <c r="C382" s="1371"/>
      <c r="D382" s="981">
        <f t="shared" si="693"/>
        <v>0</v>
      </c>
      <c r="E382" s="434">
        <f t="shared" si="694"/>
        <v>0</v>
      </c>
      <c r="F382" s="434">
        <f t="shared" si="695"/>
        <v>0</v>
      </c>
      <c r="G382" s="434">
        <f t="shared" si="696"/>
        <v>0</v>
      </c>
      <c r="H382" s="434">
        <f t="shared" si="697"/>
        <v>0</v>
      </c>
      <c r="I382" s="434">
        <f t="shared" si="698"/>
        <v>0</v>
      </c>
      <c r="J382" s="434">
        <f t="shared" si="699"/>
        <v>0</v>
      </c>
      <c r="K382" s="434">
        <f t="shared" si="700"/>
        <v>0</v>
      </c>
      <c r="L382" s="434">
        <f t="shared" si="738"/>
        <v>0</v>
      </c>
      <c r="M382" s="982">
        <f t="shared" si="739"/>
        <v>0</v>
      </c>
      <c r="O382" s="981">
        <f t="shared" si="755"/>
        <v>0</v>
      </c>
      <c r="P382" s="434">
        <f t="shared" si="756"/>
        <v>0</v>
      </c>
      <c r="Q382" s="434">
        <f t="shared" si="757"/>
        <v>0</v>
      </c>
      <c r="R382" s="434">
        <f t="shared" si="758"/>
        <v>0</v>
      </c>
      <c r="S382" s="434">
        <f t="shared" si="759"/>
        <v>0</v>
      </c>
      <c r="T382" s="434">
        <f t="shared" si="760"/>
        <v>0</v>
      </c>
      <c r="U382" s="434">
        <f t="shared" si="761"/>
        <v>0</v>
      </c>
      <c r="V382" s="434">
        <f t="shared" si="762"/>
        <v>0</v>
      </c>
      <c r="W382" s="434">
        <f t="shared" si="709"/>
        <v>0</v>
      </c>
      <c r="X382" s="982">
        <f t="shared" si="710"/>
        <v>0</v>
      </c>
      <c r="Y382" s="441"/>
      <c r="Z382" s="277">
        <f t="shared" si="711"/>
        <v>0</v>
      </c>
      <c r="AA382" s="277">
        <f t="shared" si="712"/>
        <v>0</v>
      </c>
      <c r="AB382" s="277">
        <f t="shared" si="713"/>
        <v>0</v>
      </c>
      <c r="AC382" s="277">
        <f t="shared" si="714"/>
        <v>0</v>
      </c>
      <c r="AD382" s="277">
        <f t="shared" si="715"/>
        <v>0</v>
      </c>
      <c r="AE382" s="277">
        <f t="shared" si="716"/>
        <v>0</v>
      </c>
      <c r="AF382" s="277">
        <f t="shared" si="717"/>
        <v>0</v>
      </c>
      <c r="AG382" s="277">
        <f t="shared" si="718"/>
        <v>0</v>
      </c>
      <c r="AI382" s="444">
        <f t="shared" si="763"/>
        <v>0</v>
      </c>
      <c r="AJ382" s="1090"/>
      <c r="AK382" s="489"/>
      <c r="AL382" s="811">
        <f t="shared" si="720"/>
        <v>46276</v>
      </c>
      <c r="AM382" s="666">
        <f>IFERROR(IF(AND(AT382="",AR382&lt;&gt;S.CAL!$BJ$3,AR382&lt;&gt;S.CAL!$BJ$4,$AR$365="NON"),M382-BD382,IF(AND(AT382="",AR382&lt;&gt;S.CAL!$BJ$3,AR382&lt;&gt;S.CAL!$BJ$4,$AR$365="OUI"),X382-AI382,IF(AT382&lt;&gt;0,AT382,IF(OR(AR382=S.CAL!$BJ$3,AR382=S.CAL!$BJ$4),AR382,"")))),"")</f>
        <v>0</v>
      </c>
      <c r="AN382" s="1093"/>
      <c r="AO382" s="1094"/>
      <c r="AP382" s="666">
        <f>+IF(AND(AU382="",BB382="OUI",BH382="non",BI382="OUI"),AM382,IF(AND(AU382="",BB382="OUI",BH382="oui",BI382="NON"),AM382,IF(AND(AU382="",BB382="NON",BH382="oui",BI382="NON"),M382,IF(AND(AU382="",BB382="NON",BH382="non",BI382="OUI"),M382,IF(AND(AU382="",BB382="OUI",BH382="non",BI382="NON"),"ERREUR",IF(AND(AU382="",BB382="NON",BH382="non",BI382="NON"),AM382,IF(AND(AU382="",BB382="OUI",BH382="",BI382=""),AM382,IF(AND(AU382="",BB382="NON",BH382="",BI382="",AZ382="NON"),M382,IF(AND(AU382="",BH382="",AZ382="OUI",AR382=""),AM382,IF(AND(AU382="",BH382="",AZ382="NON",AR382="",AT382=""),M382,IF(AND(OR(AR382=S.CAL!$BJ$3,AR382=S.CAL!$BJ$4),(VLOOKUP($AM$365,base_nbre_sem_mensu,2,FALSE)=52)),EE382,IF(AND(OR(AR382=S.CAL!$BJ$3,AR382=S.CAL!$BJ$4),(VLOOKUP($AM$365,base_nbre_sem_mensu,2,FALSE)&lt;52)),AM382,IF(AND(AT382&lt;&gt;"",AU382=""),AT382,AU382)))))))))))))</f>
        <v>0</v>
      </c>
      <c r="AQ382" s="498">
        <f t="shared" si="740"/>
        <v>0</v>
      </c>
      <c r="AR382" s="1098"/>
      <c r="AT382" s="1101"/>
      <c r="AU382" s="813"/>
      <c r="AV382" s="1370">
        <f t="shared" si="721"/>
        <v>46276</v>
      </c>
      <c r="AX382" s="511">
        <f t="shared" si="741"/>
        <v>46276</v>
      </c>
      <c r="AY382" s="523">
        <f t="shared" si="742"/>
        <v>0</v>
      </c>
      <c r="AZ382" s="520" t="s">
        <v>137</v>
      </c>
      <c r="BA382" s="516">
        <f t="shared" si="743"/>
        <v>0</v>
      </c>
      <c r="BB382" s="549" t="str">
        <f t="shared" si="722"/>
        <v/>
      </c>
      <c r="BC382" s="523">
        <f t="shared" si="744"/>
        <v>0</v>
      </c>
      <c r="BD382" s="523">
        <f t="shared" si="745"/>
        <v>0</v>
      </c>
      <c r="BE382" s="1104"/>
      <c r="BF382" s="514" t="str">
        <f t="shared" si="723"/>
        <v/>
      </c>
      <c r="BG382" s="514" t="str">
        <f t="shared" si="746"/>
        <v>oui</v>
      </c>
      <c r="BH382" s="377" t="str">
        <f t="shared" si="724"/>
        <v/>
      </c>
      <c r="BI382" s="24" t="str">
        <f t="shared" si="725"/>
        <v/>
      </c>
      <c r="BJ382" s="1381"/>
      <c r="BK382" s="1381"/>
      <c r="BL382" s="1381"/>
      <c r="BM382" s="1381"/>
      <c r="BN382" s="1381"/>
      <c r="BO382" s="1381"/>
      <c r="BP382" s="1381"/>
      <c r="BQ382" s="1381"/>
      <c r="BS382" s="1370">
        <f t="shared" si="692"/>
        <v>46276</v>
      </c>
      <c r="BT382" s="27" t="str">
        <f t="shared" si="754"/>
        <v/>
      </c>
      <c r="BU382" s="1380"/>
      <c r="BV382" s="1380"/>
      <c r="BW382" s="1380"/>
      <c r="BX382" s="1380"/>
      <c r="BY382" s="1380"/>
      <c r="BZ382" s="1380"/>
      <c r="CA382" s="1380"/>
      <c r="CB382" s="1380"/>
      <c r="CD382" s="1386">
        <f t="shared" si="747"/>
        <v>0</v>
      </c>
      <c r="DC382" s="16" t="str">
        <f>Septembre!FC30</f>
        <v>non</v>
      </c>
      <c r="DG382" s="315">
        <f t="shared" si="748"/>
        <v>1</v>
      </c>
      <c r="DH382" s="129">
        <f t="shared" si="726"/>
        <v>10</v>
      </c>
      <c r="DI382" s="129">
        <f t="shared" si="749"/>
        <v>1</v>
      </c>
      <c r="DK382" s="16">
        <f>+IF(AND(Septembre!$DP$8&lt;&gt;52,AR382=S.CAL!$BJ$4),10,1)</f>
        <v>1</v>
      </c>
      <c r="DN382" s="16">
        <f t="shared" si="727"/>
        <v>1</v>
      </c>
      <c r="DU382" s="1274" t="str">
        <f t="shared" si="750"/>
        <v>Fiche infoA546276</v>
      </c>
      <c r="DV382" s="1362">
        <f t="shared" si="728"/>
        <v>0</v>
      </c>
      <c r="DW382" s="1363">
        <f t="shared" si="729"/>
        <v>0</v>
      </c>
      <c r="DX382" s="1363">
        <f t="shared" si="730"/>
        <v>0</v>
      </c>
      <c r="DY382" s="1363">
        <f t="shared" si="731"/>
        <v>0</v>
      </c>
      <c r="DZ382" s="1363">
        <f t="shared" si="732"/>
        <v>0</v>
      </c>
      <c r="EA382" s="1363">
        <f t="shared" si="733"/>
        <v>0</v>
      </c>
      <c r="EB382" s="1363">
        <f t="shared" si="734"/>
        <v>0</v>
      </c>
      <c r="EC382" s="1363">
        <f t="shared" si="735"/>
        <v>0</v>
      </c>
      <c r="ED382" s="1363">
        <f t="shared" si="751"/>
        <v>0</v>
      </c>
      <c r="EE382" s="1364">
        <f t="shared" si="752"/>
        <v>0</v>
      </c>
      <c r="EG382" s="16" t="str">
        <f t="shared" si="753"/>
        <v>372026</v>
      </c>
      <c r="EH382" s="16" t="str">
        <f t="shared" si="736"/>
        <v>Fiche infoA5</v>
      </c>
      <c r="EI382" s="16" t="str">
        <f t="shared" si="737"/>
        <v/>
      </c>
    </row>
    <row r="383" spans="1:139" x14ac:dyDescent="0.2">
      <c r="A383" s="1373" t="str">
        <f>Septembre!BJ31</f>
        <v>Fiche infoA6</v>
      </c>
      <c r="B383" s="811">
        <f>Septembre!AB31</f>
        <v>46277</v>
      </c>
      <c r="C383" s="1372"/>
      <c r="D383" s="981">
        <f t="shared" si="693"/>
        <v>0</v>
      </c>
      <c r="E383" s="434">
        <f t="shared" si="694"/>
        <v>0</v>
      </c>
      <c r="F383" s="434">
        <f t="shared" si="695"/>
        <v>0</v>
      </c>
      <c r="G383" s="434">
        <f t="shared" si="696"/>
        <v>0</v>
      </c>
      <c r="H383" s="434">
        <f t="shared" si="697"/>
        <v>0</v>
      </c>
      <c r="I383" s="434">
        <f t="shared" si="698"/>
        <v>0</v>
      </c>
      <c r="J383" s="434">
        <f t="shared" si="699"/>
        <v>0</v>
      </c>
      <c r="K383" s="434">
        <f t="shared" si="700"/>
        <v>0</v>
      </c>
      <c r="L383" s="434">
        <f t="shared" si="738"/>
        <v>0</v>
      </c>
      <c r="M383" s="982">
        <f t="shared" si="739"/>
        <v>0</v>
      </c>
      <c r="N383" s="1374"/>
      <c r="O383" s="981">
        <f t="shared" si="755"/>
        <v>0</v>
      </c>
      <c r="P383" s="434">
        <f t="shared" si="756"/>
        <v>0</v>
      </c>
      <c r="Q383" s="434">
        <f t="shared" si="757"/>
        <v>0</v>
      </c>
      <c r="R383" s="434">
        <f t="shared" si="758"/>
        <v>0</v>
      </c>
      <c r="S383" s="434">
        <f t="shared" si="759"/>
        <v>0</v>
      </c>
      <c r="T383" s="434">
        <f t="shared" si="760"/>
        <v>0</v>
      </c>
      <c r="U383" s="434">
        <f t="shared" si="761"/>
        <v>0</v>
      </c>
      <c r="V383" s="434">
        <f t="shared" si="762"/>
        <v>0</v>
      </c>
      <c r="W383" s="434">
        <f t="shared" si="709"/>
        <v>0</v>
      </c>
      <c r="X383" s="982">
        <f t="shared" si="710"/>
        <v>0</v>
      </c>
      <c r="Y383" s="1375"/>
      <c r="Z383" s="1376">
        <f t="shared" si="711"/>
        <v>0</v>
      </c>
      <c r="AA383" s="1376">
        <f t="shared" si="712"/>
        <v>0</v>
      </c>
      <c r="AB383" s="1376">
        <f t="shared" si="713"/>
        <v>0</v>
      </c>
      <c r="AC383" s="1376">
        <f t="shared" si="714"/>
        <v>0</v>
      </c>
      <c r="AD383" s="1376">
        <f t="shared" si="715"/>
        <v>0</v>
      </c>
      <c r="AE383" s="1376">
        <f t="shared" si="716"/>
        <v>0</v>
      </c>
      <c r="AF383" s="1376">
        <f t="shared" si="717"/>
        <v>0</v>
      </c>
      <c r="AG383" s="1376">
        <f t="shared" si="718"/>
        <v>0</v>
      </c>
      <c r="AH383" s="1374"/>
      <c r="AI383" s="444">
        <f t="shared" si="763"/>
        <v>0</v>
      </c>
      <c r="AJ383" s="1090"/>
      <c r="AK383" s="1377"/>
      <c r="AL383" s="811">
        <f t="shared" si="720"/>
        <v>46277</v>
      </c>
      <c r="AM383" s="666">
        <f>IFERROR(IF(AND(AT383="",AR383&lt;&gt;S.CAL!$BJ$3,AR383&lt;&gt;S.CAL!$BJ$4,$AR$365="NON"),M383-BD383,IF(AND(AT383="",AR383&lt;&gt;S.CAL!$BJ$3,AR383&lt;&gt;S.CAL!$BJ$4,$AR$365="OUI"),X383-AI383,IF(AT383&lt;&gt;0,AT383,IF(OR(AR383=S.CAL!$BJ$3,AR383=S.CAL!$BJ$4),AR383,"")))),"")</f>
        <v>0</v>
      </c>
      <c r="AN383" s="1093"/>
      <c r="AO383" s="1094"/>
      <c r="AP383" s="666">
        <f>+IF(AND(AU383="",BB383="OUI",BH383="non",BI383="OUI"),AM383,IF(AND(AU383="",BB383="OUI",BH383="oui",BI383="NON"),AM383,IF(AND(AU383="",BB383="NON",BH383="oui",BI383="NON"),M383,IF(AND(AU383="",BB383="NON",BH383="non",BI383="OUI"),M383,IF(AND(AU383="",BB383="OUI",BH383="non",BI383="NON"),"ERREUR",IF(AND(AU383="",BB383="NON",BH383="non",BI383="NON"),AM383,IF(AND(AU383="",BB383="OUI",BH383="",BI383=""),AM383,IF(AND(AU383="",BB383="NON",BH383="",BI383="",AZ383="NON"),M383,IF(AND(AU383="",BH383="",AZ383="OUI",AR383=""),AM383,IF(AND(AU383="",BH383="",AZ383="NON",AR383="",AT383=""),M383,IF(AND(OR(AR383=S.CAL!$BJ$3,AR383=S.CAL!$BJ$4),(VLOOKUP($AM$365,base_nbre_sem_mensu,2,FALSE)=52)),EE383,IF(AND(OR(AR383=S.CAL!$BJ$3,AR383=S.CAL!$BJ$4),(VLOOKUP($AM$365,base_nbre_sem_mensu,2,FALSE)&lt;52)),AM383,IF(AND(AT383&lt;&gt;"",AU383=""),AT383,AU383)))))))))))))</f>
        <v>0</v>
      </c>
      <c r="AQ383" s="1378">
        <f t="shared" si="740"/>
        <v>0</v>
      </c>
      <c r="AR383" s="1098"/>
      <c r="AS383" s="1374"/>
      <c r="AT383" s="1101"/>
      <c r="AU383" s="813"/>
      <c r="AV383" s="1370">
        <f t="shared" si="721"/>
        <v>46277</v>
      </c>
      <c r="AW383" s="1374"/>
      <c r="AX383" s="511">
        <f t="shared" si="741"/>
        <v>46277</v>
      </c>
      <c r="AY383" s="523">
        <f t="shared" si="742"/>
        <v>0</v>
      </c>
      <c r="AZ383" s="520" t="s">
        <v>137</v>
      </c>
      <c r="BA383" s="516">
        <f t="shared" si="743"/>
        <v>0</v>
      </c>
      <c r="BB383" s="549" t="str">
        <f t="shared" si="722"/>
        <v/>
      </c>
      <c r="BC383" s="523">
        <f t="shared" si="744"/>
        <v>0</v>
      </c>
      <c r="BD383" s="523">
        <f t="shared" si="745"/>
        <v>0</v>
      </c>
      <c r="BE383" s="1104"/>
      <c r="BF383" s="514" t="str">
        <f t="shared" si="723"/>
        <v/>
      </c>
      <c r="BG383" s="514" t="str">
        <f t="shared" si="746"/>
        <v>oui</v>
      </c>
      <c r="BH383" s="377" t="str">
        <f t="shared" si="724"/>
        <v/>
      </c>
      <c r="BI383" s="24" t="str">
        <f t="shared" si="725"/>
        <v/>
      </c>
      <c r="BJ383" s="1382"/>
      <c r="BK383" s="1382"/>
      <c r="BL383" s="1382"/>
      <c r="BM383" s="1382"/>
      <c r="BN383" s="1382"/>
      <c r="BO383" s="1382"/>
      <c r="BP383" s="1382"/>
      <c r="BQ383" s="1382"/>
      <c r="BR383" s="1383"/>
      <c r="BS383" s="1370">
        <f t="shared" si="692"/>
        <v>46277</v>
      </c>
      <c r="BT383" s="1384" t="str">
        <f t="shared" si="754"/>
        <v/>
      </c>
      <c r="BU383" s="1382"/>
      <c r="BV383" s="1382"/>
      <c r="BW383" s="1382"/>
      <c r="BX383" s="1382"/>
      <c r="BY383" s="1382"/>
      <c r="BZ383" s="1382"/>
      <c r="CA383" s="1382"/>
      <c r="CB383" s="1382"/>
      <c r="CD383" s="1386">
        <f t="shared" si="747"/>
        <v>0</v>
      </c>
      <c r="DC383" s="16" t="str">
        <f>Septembre!FC31</f>
        <v>non</v>
      </c>
      <c r="DG383" s="315">
        <f t="shared" si="748"/>
        <v>1</v>
      </c>
      <c r="DH383" s="129">
        <f t="shared" si="726"/>
        <v>10</v>
      </c>
      <c r="DI383" s="129">
        <f t="shared" si="749"/>
        <v>1</v>
      </c>
      <c r="DK383" s="16">
        <f>+IF(AND(Septembre!$DP$8&lt;&gt;52,AR383=S.CAL!$BJ$4),10,1)</f>
        <v>1</v>
      </c>
      <c r="DN383" s="16">
        <f t="shared" si="727"/>
        <v>1</v>
      </c>
      <c r="DU383" s="1274" t="str">
        <f t="shared" si="750"/>
        <v>Fiche infoA646277</v>
      </c>
      <c r="DV383" s="1362">
        <f t="shared" si="728"/>
        <v>0</v>
      </c>
      <c r="DW383" s="1363">
        <f t="shared" si="729"/>
        <v>0</v>
      </c>
      <c r="DX383" s="1363">
        <f t="shared" si="730"/>
        <v>0</v>
      </c>
      <c r="DY383" s="1363">
        <f t="shared" si="731"/>
        <v>0</v>
      </c>
      <c r="DZ383" s="1363">
        <f t="shared" si="732"/>
        <v>0</v>
      </c>
      <c r="EA383" s="1363">
        <f t="shared" si="733"/>
        <v>0</v>
      </c>
      <c r="EB383" s="1363">
        <f t="shared" si="734"/>
        <v>0</v>
      </c>
      <c r="EC383" s="1363">
        <f t="shared" si="735"/>
        <v>0</v>
      </c>
      <c r="ED383" s="1363">
        <f t="shared" si="751"/>
        <v>0</v>
      </c>
      <c r="EE383" s="1364">
        <f t="shared" si="752"/>
        <v>0</v>
      </c>
      <c r="EG383" s="16" t="str">
        <f t="shared" si="753"/>
        <v>372026</v>
      </c>
      <c r="EH383" s="16" t="str">
        <f t="shared" si="736"/>
        <v>Fiche infoA6</v>
      </c>
      <c r="EI383" s="16" t="str">
        <f t="shared" si="737"/>
        <v/>
      </c>
    </row>
    <row r="384" spans="1:139" x14ac:dyDescent="0.2">
      <c r="A384" s="24" t="str">
        <f>Septembre!BJ32</f>
        <v>Fiche infoA7</v>
      </c>
      <c r="B384" s="811">
        <f>Septembre!AB32</f>
        <v>46278</v>
      </c>
      <c r="C384" s="1371"/>
      <c r="D384" s="981">
        <f t="shared" si="693"/>
        <v>0</v>
      </c>
      <c r="E384" s="434">
        <f t="shared" si="694"/>
        <v>0</v>
      </c>
      <c r="F384" s="434">
        <f t="shared" si="695"/>
        <v>0</v>
      </c>
      <c r="G384" s="434">
        <f t="shared" si="696"/>
        <v>0</v>
      </c>
      <c r="H384" s="434">
        <f t="shared" si="697"/>
        <v>0</v>
      </c>
      <c r="I384" s="434">
        <f t="shared" si="698"/>
        <v>0</v>
      </c>
      <c r="J384" s="434">
        <f t="shared" si="699"/>
        <v>0</v>
      </c>
      <c r="K384" s="434">
        <f t="shared" si="700"/>
        <v>0</v>
      </c>
      <c r="L384" s="434">
        <f t="shared" si="738"/>
        <v>0</v>
      </c>
      <c r="M384" s="982">
        <f t="shared" si="739"/>
        <v>0</v>
      </c>
      <c r="O384" s="981">
        <f t="shared" si="755"/>
        <v>0</v>
      </c>
      <c r="P384" s="434">
        <f t="shared" si="756"/>
        <v>0</v>
      </c>
      <c r="Q384" s="434">
        <f t="shared" si="757"/>
        <v>0</v>
      </c>
      <c r="R384" s="434">
        <f t="shared" si="758"/>
        <v>0</v>
      </c>
      <c r="S384" s="434">
        <f t="shared" si="759"/>
        <v>0</v>
      </c>
      <c r="T384" s="434">
        <f t="shared" si="760"/>
        <v>0</v>
      </c>
      <c r="U384" s="434">
        <f t="shared" si="761"/>
        <v>0</v>
      </c>
      <c r="V384" s="434">
        <f t="shared" si="762"/>
        <v>0</v>
      </c>
      <c r="W384" s="434">
        <f t="shared" si="709"/>
        <v>0</v>
      </c>
      <c r="X384" s="982">
        <f t="shared" si="710"/>
        <v>0</v>
      </c>
      <c r="Y384" s="441"/>
      <c r="Z384" s="277">
        <f t="shared" si="711"/>
        <v>0</v>
      </c>
      <c r="AA384" s="277">
        <f t="shared" si="712"/>
        <v>0</v>
      </c>
      <c r="AB384" s="277">
        <f t="shared" si="713"/>
        <v>0</v>
      </c>
      <c r="AC384" s="277">
        <f t="shared" si="714"/>
        <v>0</v>
      </c>
      <c r="AD384" s="277">
        <f t="shared" si="715"/>
        <v>0</v>
      </c>
      <c r="AE384" s="277">
        <f t="shared" si="716"/>
        <v>0</v>
      </c>
      <c r="AF384" s="277">
        <f t="shared" si="717"/>
        <v>0</v>
      </c>
      <c r="AG384" s="277">
        <f t="shared" si="718"/>
        <v>0</v>
      </c>
      <c r="AI384" s="444">
        <f t="shared" si="763"/>
        <v>0</v>
      </c>
      <c r="AJ384" s="1090"/>
      <c r="AK384" s="489"/>
      <c r="AL384" s="811">
        <f t="shared" si="720"/>
        <v>46278</v>
      </c>
      <c r="AM384" s="666">
        <f>IFERROR(IF(AND(AT384="",AR384&lt;&gt;S.CAL!$BJ$3,AR384&lt;&gt;S.CAL!$BJ$4,$AR$365="NON"),M384-BD384,IF(AND(AT384="",AR384&lt;&gt;S.CAL!$BJ$3,AR384&lt;&gt;S.CAL!$BJ$4,$AR$365="OUI"),X384-AI384,IF(AT384&lt;&gt;0,AT384,IF(OR(AR384=S.CAL!$BJ$3,AR384=S.CAL!$BJ$4),AR384,"")))),"")</f>
        <v>0</v>
      </c>
      <c r="AN384" s="1093"/>
      <c r="AO384" s="1094"/>
      <c r="AP384" s="666">
        <f>+IF(AND(AU384="",BB384="OUI",BH384="non",BI384="OUI"),AM384,IF(AND(AU384="",BB384="OUI",BH384="oui",BI384="NON"),AM384,IF(AND(AU384="",BB384="NON",BH384="oui",BI384="NON"),M384,IF(AND(AU384="",BB384="NON",BH384="non",BI384="OUI"),M384,IF(AND(AU384="",BB384="OUI",BH384="non",BI384="NON"),"ERREUR",IF(AND(AU384="",BB384="NON",BH384="non",BI384="NON"),AM384,IF(AND(AU384="",BB384="OUI",BH384="",BI384=""),AM384,IF(AND(AU384="",BB384="NON",BH384="",BI384="",AZ384="NON"),M384,IF(AND(AU384="",BH384="",AZ384="OUI",AR384=""),AM384,IF(AND(AU384="",BH384="",AZ384="NON",AR384="",AT384=""),M384,IF(AND(OR(AR384=S.CAL!$BJ$3,AR384=S.CAL!$BJ$4),(VLOOKUP($AM$365,base_nbre_sem_mensu,2,FALSE)=52)),EE384,IF(AND(OR(AR384=S.CAL!$BJ$3,AR384=S.CAL!$BJ$4),(VLOOKUP($AM$365,base_nbre_sem_mensu,2,FALSE)&lt;52)),AM384,IF(AND(AT384&lt;&gt;"",AU384=""),AT384,AU384)))))))))))))</f>
        <v>0</v>
      </c>
      <c r="AQ384" s="498">
        <f t="shared" si="740"/>
        <v>0</v>
      </c>
      <c r="AR384" s="1098"/>
      <c r="AT384" s="1101"/>
      <c r="AU384" s="813"/>
      <c r="AV384" s="1370">
        <f t="shared" si="721"/>
        <v>46278</v>
      </c>
      <c r="AX384" s="511">
        <f t="shared" si="741"/>
        <v>46278</v>
      </c>
      <c r="AY384" s="523">
        <f t="shared" si="742"/>
        <v>0</v>
      </c>
      <c r="AZ384" s="520" t="s">
        <v>137</v>
      </c>
      <c r="BA384" s="516">
        <f t="shared" si="743"/>
        <v>0</v>
      </c>
      <c r="BB384" s="549" t="str">
        <f t="shared" si="722"/>
        <v/>
      </c>
      <c r="BC384" s="523">
        <f t="shared" si="744"/>
        <v>0</v>
      </c>
      <c r="BD384" s="523">
        <f t="shared" si="745"/>
        <v>0</v>
      </c>
      <c r="BE384" s="1104"/>
      <c r="BF384" s="514" t="str">
        <f t="shared" si="723"/>
        <v/>
      </c>
      <c r="BG384" s="514" t="str">
        <f t="shared" si="746"/>
        <v>oui</v>
      </c>
      <c r="BH384" s="377" t="str">
        <f t="shared" si="724"/>
        <v/>
      </c>
      <c r="BI384" s="24" t="str">
        <f t="shared" si="725"/>
        <v/>
      </c>
      <c r="BJ384" s="1381"/>
      <c r="BK384" s="1381"/>
      <c r="BL384" s="1381"/>
      <c r="BM384" s="1381"/>
      <c r="BN384" s="1381"/>
      <c r="BO384" s="1381"/>
      <c r="BP384" s="1381"/>
      <c r="BQ384" s="1381"/>
      <c r="BS384" s="1370">
        <f t="shared" si="692"/>
        <v>46278</v>
      </c>
      <c r="BT384" s="27" t="str">
        <f t="shared" si="754"/>
        <v/>
      </c>
      <c r="BU384" s="1380"/>
      <c r="BV384" s="1380"/>
      <c r="BW384" s="1380"/>
      <c r="BX384" s="1380"/>
      <c r="BY384" s="1380"/>
      <c r="BZ384" s="1380"/>
      <c r="CA384" s="1380"/>
      <c r="CB384" s="1380"/>
      <c r="CD384" s="1386">
        <f t="shared" si="747"/>
        <v>0</v>
      </c>
      <c r="DC384" s="16" t="str">
        <f>Septembre!FC32</f>
        <v>non</v>
      </c>
      <c r="DG384" s="315">
        <f t="shared" si="748"/>
        <v>1</v>
      </c>
      <c r="DH384" s="129">
        <f t="shared" si="726"/>
        <v>10</v>
      </c>
      <c r="DI384" s="129">
        <f t="shared" si="749"/>
        <v>1</v>
      </c>
      <c r="DK384" s="16">
        <f>+IF(AND(Septembre!$DP$8&lt;&gt;52,AR384=S.CAL!$BJ$4),10,1)</f>
        <v>1</v>
      </c>
      <c r="DN384" s="16">
        <f t="shared" si="727"/>
        <v>1</v>
      </c>
      <c r="DU384" s="1274" t="str">
        <f t="shared" si="750"/>
        <v>Fiche infoA746278</v>
      </c>
      <c r="DV384" s="1362">
        <f t="shared" si="728"/>
        <v>0</v>
      </c>
      <c r="DW384" s="1363">
        <f t="shared" si="729"/>
        <v>0</v>
      </c>
      <c r="DX384" s="1363">
        <f t="shared" si="730"/>
        <v>0</v>
      </c>
      <c r="DY384" s="1363">
        <f t="shared" si="731"/>
        <v>0</v>
      </c>
      <c r="DZ384" s="1363">
        <f t="shared" si="732"/>
        <v>0</v>
      </c>
      <c r="EA384" s="1363">
        <f t="shared" si="733"/>
        <v>0</v>
      </c>
      <c r="EB384" s="1363">
        <f t="shared" si="734"/>
        <v>0</v>
      </c>
      <c r="EC384" s="1363">
        <f t="shared" si="735"/>
        <v>0</v>
      </c>
      <c r="ED384" s="1363">
        <f t="shared" si="751"/>
        <v>0</v>
      </c>
      <c r="EE384" s="1364">
        <f t="shared" si="752"/>
        <v>0</v>
      </c>
      <c r="EG384" s="16" t="str">
        <f t="shared" si="753"/>
        <v>372026</v>
      </c>
      <c r="EH384" s="16" t="str">
        <f t="shared" si="736"/>
        <v>Fiche infoA7</v>
      </c>
      <c r="EI384" s="16" t="str">
        <f t="shared" si="737"/>
        <v/>
      </c>
    </row>
    <row r="385" spans="1:139" x14ac:dyDescent="0.2">
      <c r="A385" s="1373" t="str">
        <f>Septembre!BJ33</f>
        <v>Fiche infoA1</v>
      </c>
      <c r="B385" s="811">
        <f>Septembre!AB33</f>
        <v>46279</v>
      </c>
      <c r="C385" s="1372"/>
      <c r="D385" s="981">
        <f t="shared" si="693"/>
        <v>0</v>
      </c>
      <c r="E385" s="434">
        <f t="shared" si="694"/>
        <v>0</v>
      </c>
      <c r="F385" s="434">
        <f t="shared" si="695"/>
        <v>0</v>
      </c>
      <c r="G385" s="434">
        <f t="shared" si="696"/>
        <v>0</v>
      </c>
      <c r="H385" s="434">
        <f t="shared" si="697"/>
        <v>0</v>
      </c>
      <c r="I385" s="434">
        <f t="shared" si="698"/>
        <v>0</v>
      </c>
      <c r="J385" s="434">
        <f t="shared" si="699"/>
        <v>0</v>
      </c>
      <c r="K385" s="434">
        <f t="shared" si="700"/>
        <v>0</v>
      </c>
      <c r="L385" s="434">
        <f t="shared" si="738"/>
        <v>0</v>
      </c>
      <c r="M385" s="982">
        <f t="shared" si="739"/>
        <v>0</v>
      </c>
      <c r="N385" s="1374"/>
      <c r="O385" s="981">
        <f t="shared" si="755"/>
        <v>0</v>
      </c>
      <c r="P385" s="434">
        <f t="shared" si="756"/>
        <v>0</v>
      </c>
      <c r="Q385" s="434">
        <f t="shared" si="757"/>
        <v>0</v>
      </c>
      <c r="R385" s="434">
        <f t="shared" si="758"/>
        <v>0</v>
      </c>
      <c r="S385" s="434">
        <f t="shared" si="759"/>
        <v>0</v>
      </c>
      <c r="T385" s="434">
        <f t="shared" si="760"/>
        <v>0</v>
      </c>
      <c r="U385" s="434">
        <f t="shared" si="761"/>
        <v>0</v>
      </c>
      <c r="V385" s="434">
        <f t="shared" si="762"/>
        <v>0</v>
      </c>
      <c r="W385" s="434">
        <f t="shared" si="709"/>
        <v>0</v>
      </c>
      <c r="X385" s="982">
        <f t="shared" si="710"/>
        <v>0</v>
      </c>
      <c r="Y385" s="1375"/>
      <c r="Z385" s="1376">
        <f t="shared" si="711"/>
        <v>0</v>
      </c>
      <c r="AA385" s="1376">
        <f t="shared" si="712"/>
        <v>0</v>
      </c>
      <c r="AB385" s="1376">
        <f t="shared" si="713"/>
        <v>0</v>
      </c>
      <c r="AC385" s="1376">
        <f t="shared" si="714"/>
        <v>0</v>
      </c>
      <c r="AD385" s="1376">
        <f t="shared" si="715"/>
        <v>0</v>
      </c>
      <c r="AE385" s="1376">
        <f t="shared" si="716"/>
        <v>0</v>
      </c>
      <c r="AF385" s="1376">
        <f t="shared" si="717"/>
        <v>0</v>
      </c>
      <c r="AG385" s="1376">
        <f t="shared" si="718"/>
        <v>0</v>
      </c>
      <c r="AH385" s="1374"/>
      <c r="AI385" s="444">
        <f t="shared" si="763"/>
        <v>0</v>
      </c>
      <c r="AJ385" s="1090"/>
      <c r="AK385" s="1377"/>
      <c r="AL385" s="811">
        <f t="shared" si="720"/>
        <v>46279</v>
      </c>
      <c r="AM385" s="666">
        <f>IFERROR(IF(AND(AT385="",AR385&lt;&gt;S.CAL!$BJ$3,AR385&lt;&gt;S.CAL!$BJ$4,$AR$365="NON"),M385-BD385,IF(AND(AT385="",AR385&lt;&gt;S.CAL!$BJ$3,AR385&lt;&gt;S.CAL!$BJ$4,$AR$365="OUI"),X385-AI385,IF(AT385&lt;&gt;0,AT385,IF(OR(AR385=S.CAL!$BJ$3,AR385=S.CAL!$BJ$4),AR385,"")))),"")</f>
        <v>0</v>
      </c>
      <c r="AN385" s="1093"/>
      <c r="AO385" s="1094"/>
      <c r="AP385" s="666">
        <f>+IF(AND(AU385="",BB385="OUI",BH385="non",BI385="OUI"),AM385,IF(AND(AU385="",BB385="OUI",BH385="oui",BI385="NON"),AM385,IF(AND(AU385="",BB385="NON",BH385="oui",BI385="NON"),M385,IF(AND(AU385="",BB385="NON",BH385="non",BI385="OUI"),M385,IF(AND(AU385="",BB385="OUI",BH385="non",BI385="NON"),"ERREUR",IF(AND(AU385="",BB385="NON",BH385="non",BI385="NON"),AM385,IF(AND(AU385="",BB385="OUI",BH385="",BI385=""),AM385,IF(AND(AU385="",BB385="NON",BH385="",BI385="",AZ385="NON"),M385,IF(AND(AU385="",BH385="",AZ385="OUI",AR385=""),AM385,IF(AND(AU385="",BH385="",AZ385="NON",AR385="",AT385=""),M385,IF(AND(OR(AR385=S.CAL!$BJ$3,AR385=S.CAL!$BJ$4),(VLOOKUP($AM$365,base_nbre_sem_mensu,2,FALSE)=52)),EE385,IF(AND(OR(AR385=S.CAL!$BJ$3,AR385=S.CAL!$BJ$4),(VLOOKUP($AM$365,base_nbre_sem_mensu,2,FALSE)&lt;52)),AM385,IF(AND(AT385&lt;&gt;"",AU385=""),AT385,AU385)))))))))))))</f>
        <v>0</v>
      </c>
      <c r="AQ385" s="1378">
        <f t="shared" si="740"/>
        <v>0</v>
      </c>
      <c r="AR385" s="1098"/>
      <c r="AS385" s="1374"/>
      <c r="AT385" s="1101"/>
      <c r="AU385" s="813"/>
      <c r="AV385" s="1370">
        <f t="shared" si="721"/>
        <v>46279</v>
      </c>
      <c r="AW385" s="1374"/>
      <c r="AX385" s="511">
        <f t="shared" si="741"/>
        <v>46279</v>
      </c>
      <c r="AY385" s="523">
        <f t="shared" si="742"/>
        <v>0</v>
      </c>
      <c r="AZ385" s="520" t="s">
        <v>137</v>
      </c>
      <c r="BA385" s="516">
        <f t="shared" si="743"/>
        <v>0</v>
      </c>
      <c r="BB385" s="549" t="str">
        <f t="shared" si="722"/>
        <v/>
      </c>
      <c r="BC385" s="523">
        <f t="shared" si="744"/>
        <v>0</v>
      </c>
      <c r="BD385" s="523">
        <f t="shared" si="745"/>
        <v>0</v>
      </c>
      <c r="BE385" s="1104"/>
      <c r="BF385" s="514" t="str">
        <f t="shared" si="723"/>
        <v/>
      </c>
      <c r="BG385" s="514" t="str">
        <f t="shared" si="746"/>
        <v>oui</v>
      </c>
      <c r="BH385" s="377" t="str">
        <f t="shared" si="724"/>
        <v/>
      </c>
      <c r="BI385" s="24" t="str">
        <f t="shared" si="725"/>
        <v/>
      </c>
      <c r="BJ385" s="1382"/>
      <c r="BK385" s="1382"/>
      <c r="BL385" s="1382"/>
      <c r="BM385" s="1382"/>
      <c r="BN385" s="1382"/>
      <c r="BO385" s="1382"/>
      <c r="BP385" s="1382"/>
      <c r="BQ385" s="1382"/>
      <c r="BR385" s="1383"/>
      <c r="BS385" s="1370">
        <f t="shared" si="692"/>
        <v>46279</v>
      </c>
      <c r="BT385" s="1384">
        <f t="shared" si="754"/>
        <v>38</v>
      </c>
      <c r="BU385" s="1382"/>
      <c r="BV385" s="1382"/>
      <c r="BW385" s="1382"/>
      <c r="BX385" s="1382"/>
      <c r="BY385" s="1382"/>
      <c r="BZ385" s="1382"/>
      <c r="CA385" s="1382"/>
      <c r="CB385" s="1382"/>
      <c r="CD385" s="1386">
        <f t="shared" si="747"/>
        <v>0</v>
      </c>
      <c r="DC385" s="16" t="str">
        <f>Septembre!FC33</f>
        <v>non</v>
      </c>
      <c r="DG385" s="315">
        <f t="shared" si="748"/>
        <v>1</v>
      </c>
      <c r="DH385" s="129">
        <f t="shared" si="726"/>
        <v>10</v>
      </c>
      <c r="DI385" s="129">
        <f t="shared" si="749"/>
        <v>1</v>
      </c>
      <c r="DK385" s="16">
        <f>+IF(AND(Septembre!$DP$8&lt;&gt;52,AR385=S.CAL!$BJ$4),10,1)</f>
        <v>1</v>
      </c>
      <c r="DN385" s="16">
        <f t="shared" si="727"/>
        <v>1</v>
      </c>
      <c r="DU385" s="1274" t="str">
        <f t="shared" si="750"/>
        <v>Fiche infoA146279</v>
      </c>
      <c r="DV385" s="1362">
        <f t="shared" si="728"/>
        <v>0</v>
      </c>
      <c r="DW385" s="1363">
        <f t="shared" si="729"/>
        <v>0</v>
      </c>
      <c r="DX385" s="1363">
        <f t="shared" si="730"/>
        <v>0</v>
      </c>
      <c r="DY385" s="1363">
        <f t="shared" si="731"/>
        <v>0</v>
      </c>
      <c r="DZ385" s="1363">
        <f t="shared" si="732"/>
        <v>0</v>
      </c>
      <c r="EA385" s="1363">
        <f t="shared" si="733"/>
        <v>0</v>
      </c>
      <c r="EB385" s="1363">
        <f t="shared" si="734"/>
        <v>0</v>
      </c>
      <c r="EC385" s="1363">
        <f t="shared" si="735"/>
        <v>0</v>
      </c>
      <c r="ED385" s="1363">
        <f t="shared" si="751"/>
        <v>0</v>
      </c>
      <c r="EE385" s="1364">
        <f t="shared" si="752"/>
        <v>0</v>
      </c>
      <c r="EG385" s="16" t="str">
        <f t="shared" si="753"/>
        <v>382026</v>
      </c>
      <c r="EH385" s="16" t="str">
        <f t="shared" si="736"/>
        <v>Fiche infoA1</v>
      </c>
      <c r="EI385" s="16" t="str">
        <f t="shared" si="737"/>
        <v/>
      </c>
    </row>
    <row r="386" spans="1:139" x14ac:dyDescent="0.2">
      <c r="A386" s="24" t="str">
        <f>Septembre!BJ34</f>
        <v>Fiche infoA2</v>
      </c>
      <c r="B386" s="811">
        <f>Septembre!AB34</f>
        <v>46280</v>
      </c>
      <c r="C386" s="1371"/>
      <c r="D386" s="981">
        <f t="shared" si="693"/>
        <v>0</v>
      </c>
      <c r="E386" s="434">
        <f t="shared" si="694"/>
        <v>0</v>
      </c>
      <c r="F386" s="434">
        <f t="shared" si="695"/>
        <v>0</v>
      </c>
      <c r="G386" s="434">
        <f t="shared" si="696"/>
        <v>0</v>
      </c>
      <c r="H386" s="434">
        <f t="shared" si="697"/>
        <v>0</v>
      </c>
      <c r="I386" s="434">
        <f t="shared" si="698"/>
        <v>0</v>
      </c>
      <c r="J386" s="434">
        <f t="shared" si="699"/>
        <v>0</v>
      </c>
      <c r="K386" s="434">
        <f t="shared" si="700"/>
        <v>0</v>
      </c>
      <c r="L386" s="434">
        <f t="shared" si="738"/>
        <v>0</v>
      </c>
      <c r="M386" s="982">
        <f t="shared" si="739"/>
        <v>0</v>
      </c>
      <c r="O386" s="981">
        <f t="shared" si="755"/>
        <v>0</v>
      </c>
      <c r="P386" s="434">
        <f t="shared" si="756"/>
        <v>0</v>
      </c>
      <c r="Q386" s="434">
        <f t="shared" si="757"/>
        <v>0</v>
      </c>
      <c r="R386" s="434">
        <f t="shared" si="758"/>
        <v>0</v>
      </c>
      <c r="S386" s="434">
        <f t="shared" si="759"/>
        <v>0</v>
      </c>
      <c r="T386" s="434">
        <f t="shared" si="760"/>
        <v>0</v>
      </c>
      <c r="U386" s="434">
        <f t="shared" si="761"/>
        <v>0</v>
      </c>
      <c r="V386" s="434">
        <f t="shared" si="762"/>
        <v>0</v>
      </c>
      <c r="W386" s="434">
        <f t="shared" si="709"/>
        <v>0</v>
      </c>
      <c r="X386" s="982">
        <f t="shared" si="710"/>
        <v>0</v>
      </c>
      <c r="Y386" s="441"/>
      <c r="Z386" s="277">
        <f t="shared" si="711"/>
        <v>0</v>
      </c>
      <c r="AA386" s="277">
        <f t="shared" si="712"/>
        <v>0</v>
      </c>
      <c r="AB386" s="277">
        <f t="shared" si="713"/>
        <v>0</v>
      </c>
      <c r="AC386" s="277">
        <f t="shared" si="714"/>
        <v>0</v>
      </c>
      <c r="AD386" s="277">
        <f t="shared" si="715"/>
        <v>0</v>
      </c>
      <c r="AE386" s="277">
        <f t="shared" si="716"/>
        <v>0</v>
      </c>
      <c r="AF386" s="277">
        <f t="shared" si="717"/>
        <v>0</v>
      </c>
      <c r="AG386" s="277">
        <f t="shared" si="718"/>
        <v>0</v>
      </c>
      <c r="AI386" s="444">
        <f t="shared" si="763"/>
        <v>0</v>
      </c>
      <c r="AJ386" s="1090"/>
      <c r="AK386" s="489"/>
      <c r="AL386" s="811">
        <f t="shared" si="720"/>
        <v>46280</v>
      </c>
      <c r="AM386" s="666">
        <f>IFERROR(IF(AND(AT386="",AR386&lt;&gt;S.CAL!$BJ$3,AR386&lt;&gt;S.CAL!$BJ$4,$AR$365="NON"),M386-BD386,IF(AND(AT386="",AR386&lt;&gt;S.CAL!$BJ$3,AR386&lt;&gt;S.CAL!$BJ$4,$AR$365="OUI"),X386-AI386,IF(AT386&lt;&gt;0,AT386,IF(OR(AR386=S.CAL!$BJ$3,AR386=S.CAL!$BJ$4),AR386,"")))),"")</f>
        <v>0</v>
      </c>
      <c r="AN386" s="1093"/>
      <c r="AO386" s="1094"/>
      <c r="AP386" s="666">
        <f>+IF(AND(AU386="",BB386="OUI",BH386="non",BI386="OUI"),AM386,IF(AND(AU386="",BB386="OUI",BH386="oui",BI386="NON"),AM386,IF(AND(AU386="",BB386="NON",BH386="oui",BI386="NON"),M386,IF(AND(AU386="",BB386="NON",BH386="non",BI386="OUI"),M386,IF(AND(AU386="",BB386="OUI",BH386="non",BI386="NON"),"ERREUR",IF(AND(AU386="",BB386="NON",BH386="non",BI386="NON"),AM386,IF(AND(AU386="",BB386="OUI",BH386="",BI386=""),AM386,IF(AND(AU386="",BB386="NON",BH386="",BI386="",AZ386="NON"),M386,IF(AND(AU386="",BH386="",AZ386="OUI",AR386=""),AM386,IF(AND(AU386="",BH386="",AZ386="NON",AR386="",AT386=""),M386,IF(AND(OR(AR386=S.CAL!$BJ$3,AR386=S.CAL!$BJ$4),(VLOOKUP($AM$365,base_nbre_sem_mensu,2,FALSE)=52)),EE386,IF(AND(OR(AR386=S.CAL!$BJ$3,AR386=S.CAL!$BJ$4),(VLOOKUP($AM$365,base_nbre_sem_mensu,2,FALSE)&lt;52)),AM386,IF(AND(AT386&lt;&gt;"",AU386=""),AT386,AU386)))))))))))))</f>
        <v>0</v>
      </c>
      <c r="AQ386" s="498">
        <f t="shared" si="740"/>
        <v>0</v>
      </c>
      <c r="AR386" s="1098"/>
      <c r="AT386" s="1101"/>
      <c r="AU386" s="813"/>
      <c r="AV386" s="1370">
        <f t="shared" si="721"/>
        <v>46280</v>
      </c>
      <c r="AX386" s="511">
        <f t="shared" si="741"/>
        <v>46280</v>
      </c>
      <c r="AY386" s="523">
        <f t="shared" si="742"/>
        <v>0</v>
      </c>
      <c r="AZ386" s="520" t="s">
        <v>137</v>
      </c>
      <c r="BA386" s="516">
        <f t="shared" si="743"/>
        <v>0</v>
      </c>
      <c r="BB386" s="549" t="str">
        <f t="shared" si="722"/>
        <v/>
      </c>
      <c r="BC386" s="523">
        <f t="shared" si="744"/>
        <v>0</v>
      </c>
      <c r="BD386" s="523">
        <f t="shared" si="745"/>
        <v>0</v>
      </c>
      <c r="BE386" s="1104"/>
      <c r="BF386" s="514" t="str">
        <f t="shared" si="723"/>
        <v/>
      </c>
      <c r="BG386" s="514" t="str">
        <f t="shared" si="746"/>
        <v>oui</v>
      </c>
      <c r="BH386" s="377" t="str">
        <f t="shared" si="724"/>
        <v/>
      </c>
      <c r="BI386" s="24" t="str">
        <f t="shared" si="725"/>
        <v/>
      </c>
      <c r="BJ386" s="1381"/>
      <c r="BK386" s="1381"/>
      <c r="BL386" s="1381"/>
      <c r="BM386" s="1381"/>
      <c r="BN386" s="1381"/>
      <c r="BO386" s="1381"/>
      <c r="BP386" s="1381"/>
      <c r="BQ386" s="1381"/>
      <c r="BS386" s="1370">
        <f t="shared" si="692"/>
        <v>46280</v>
      </c>
      <c r="BT386" s="27" t="str">
        <f t="shared" si="754"/>
        <v/>
      </c>
      <c r="BU386" s="1380"/>
      <c r="BV386" s="1380"/>
      <c r="BW386" s="1380"/>
      <c r="BX386" s="1380"/>
      <c r="BY386" s="1380"/>
      <c r="BZ386" s="1380"/>
      <c r="CA386" s="1380"/>
      <c r="CB386" s="1380"/>
      <c r="CD386" s="1386">
        <f t="shared" si="747"/>
        <v>0</v>
      </c>
      <c r="DC386" s="16" t="str">
        <f>Septembre!FC34</f>
        <v>non</v>
      </c>
      <c r="DG386" s="315">
        <f t="shared" si="748"/>
        <v>1</v>
      </c>
      <c r="DH386" s="129">
        <f t="shared" si="726"/>
        <v>10</v>
      </c>
      <c r="DI386" s="129">
        <f t="shared" si="749"/>
        <v>1</v>
      </c>
      <c r="DK386" s="16">
        <f>+IF(AND(Septembre!$DP$8&lt;&gt;52,AR386=S.CAL!$BJ$4),10,1)</f>
        <v>1</v>
      </c>
      <c r="DN386" s="16">
        <f t="shared" si="727"/>
        <v>1</v>
      </c>
      <c r="DU386" s="1274" t="str">
        <f t="shared" si="750"/>
        <v>Fiche infoA246280</v>
      </c>
      <c r="DV386" s="1362">
        <f t="shared" si="728"/>
        <v>0</v>
      </c>
      <c r="DW386" s="1363">
        <f t="shared" si="729"/>
        <v>0</v>
      </c>
      <c r="DX386" s="1363">
        <f t="shared" si="730"/>
        <v>0</v>
      </c>
      <c r="DY386" s="1363">
        <f t="shared" si="731"/>
        <v>0</v>
      </c>
      <c r="DZ386" s="1363">
        <f t="shared" si="732"/>
        <v>0</v>
      </c>
      <c r="EA386" s="1363">
        <f t="shared" si="733"/>
        <v>0</v>
      </c>
      <c r="EB386" s="1363">
        <f t="shared" si="734"/>
        <v>0</v>
      </c>
      <c r="EC386" s="1363">
        <f t="shared" si="735"/>
        <v>0</v>
      </c>
      <c r="ED386" s="1363">
        <f t="shared" si="751"/>
        <v>0</v>
      </c>
      <c r="EE386" s="1364">
        <f t="shared" si="752"/>
        <v>0</v>
      </c>
      <c r="EG386" s="16" t="str">
        <f t="shared" si="753"/>
        <v>382026</v>
      </c>
      <c r="EH386" s="16" t="str">
        <f t="shared" si="736"/>
        <v>Fiche infoA2</v>
      </c>
      <c r="EI386" s="16" t="str">
        <f t="shared" si="737"/>
        <v/>
      </c>
    </row>
    <row r="387" spans="1:139" x14ac:dyDescent="0.2">
      <c r="A387" s="1373" t="str">
        <f>Septembre!BJ35</f>
        <v>Fiche infoA3</v>
      </c>
      <c r="B387" s="811">
        <f>Septembre!AB35</f>
        <v>46281</v>
      </c>
      <c r="C387" s="1372"/>
      <c r="D387" s="981">
        <f t="shared" si="693"/>
        <v>0</v>
      </c>
      <c r="E387" s="434">
        <f t="shared" si="694"/>
        <v>0</v>
      </c>
      <c r="F387" s="434">
        <f t="shared" si="695"/>
        <v>0</v>
      </c>
      <c r="G387" s="434">
        <f t="shared" si="696"/>
        <v>0</v>
      </c>
      <c r="H387" s="434">
        <f t="shared" si="697"/>
        <v>0</v>
      </c>
      <c r="I387" s="434">
        <f t="shared" si="698"/>
        <v>0</v>
      </c>
      <c r="J387" s="434">
        <f t="shared" si="699"/>
        <v>0</v>
      </c>
      <c r="K387" s="434">
        <f t="shared" si="700"/>
        <v>0</v>
      </c>
      <c r="L387" s="434">
        <f t="shared" si="738"/>
        <v>0</v>
      </c>
      <c r="M387" s="982">
        <f t="shared" si="739"/>
        <v>0</v>
      </c>
      <c r="N387" s="1374"/>
      <c r="O387" s="981">
        <f t="shared" si="755"/>
        <v>0</v>
      </c>
      <c r="P387" s="434">
        <f t="shared" si="756"/>
        <v>0</v>
      </c>
      <c r="Q387" s="434">
        <f t="shared" si="757"/>
        <v>0</v>
      </c>
      <c r="R387" s="434">
        <f t="shared" si="758"/>
        <v>0</v>
      </c>
      <c r="S387" s="434">
        <f t="shared" si="759"/>
        <v>0</v>
      </c>
      <c r="T387" s="434">
        <f t="shared" si="760"/>
        <v>0</v>
      </c>
      <c r="U387" s="434">
        <f t="shared" si="761"/>
        <v>0</v>
      </c>
      <c r="V387" s="434">
        <f t="shared" si="762"/>
        <v>0</v>
      </c>
      <c r="W387" s="434">
        <f t="shared" si="709"/>
        <v>0</v>
      </c>
      <c r="X387" s="982">
        <f t="shared" si="710"/>
        <v>0</v>
      </c>
      <c r="Y387" s="1375"/>
      <c r="Z387" s="1376">
        <f t="shared" si="711"/>
        <v>0</v>
      </c>
      <c r="AA387" s="1376">
        <f t="shared" si="712"/>
        <v>0</v>
      </c>
      <c r="AB387" s="1376">
        <f t="shared" si="713"/>
        <v>0</v>
      </c>
      <c r="AC387" s="1376">
        <f t="shared" si="714"/>
        <v>0</v>
      </c>
      <c r="AD387" s="1376">
        <f t="shared" si="715"/>
        <v>0</v>
      </c>
      <c r="AE387" s="1376">
        <f t="shared" si="716"/>
        <v>0</v>
      </c>
      <c r="AF387" s="1376">
        <f t="shared" si="717"/>
        <v>0</v>
      </c>
      <c r="AG387" s="1376">
        <f t="shared" si="718"/>
        <v>0</v>
      </c>
      <c r="AH387" s="1374"/>
      <c r="AI387" s="444">
        <f t="shared" si="763"/>
        <v>0</v>
      </c>
      <c r="AJ387" s="1090"/>
      <c r="AK387" s="1377"/>
      <c r="AL387" s="811">
        <f t="shared" si="720"/>
        <v>46281</v>
      </c>
      <c r="AM387" s="666">
        <f>IFERROR(IF(AND(AT387="",AR387&lt;&gt;S.CAL!$BJ$3,AR387&lt;&gt;S.CAL!$BJ$4,$AR$365="NON"),M387-BD387,IF(AND(AT387="",AR387&lt;&gt;S.CAL!$BJ$3,AR387&lt;&gt;S.CAL!$BJ$4,$AR$365="OUI"),X387-AI387,IF(AT387&lt;&gt;0,AT387,IF(OR(AR387=S.CAL!$BJ$3,AR387=S.CAL!$BJ$4),AR387,"")))),"")</f>
        <v>0</v>
      </c>
      <c r="AN387" s="1093"/>
      <c r="AO387" s="1094"/>
      <c r="AP387" s="666">
        <f>+IF(AND(AU387="",BB387="OUI",BH387="non",BI387="OUI"),AM387,IF(AND(AU387="",BB387="OUI",BH387="oui",BI387="NON"),AM387,IF(AND(AU387="",BB387="NON",BH387="oui",BI387="NON"),M387,IF(AND(AU387="",BB387="NON",BH387="non",BI387="OUI"),M387,IF(AND(AU387="",BB387="OUI",BH387="non",BI387="NON"),"ERREUR",IF(AND(AU387="",BB387="NON",BH387="non",BI387="NON"),AM387,IF(AND(AU387="",BB387="OUI",BH387="",BI387=""),AM387,IF(AND(AU387="",BB387="NON",BH387="",BI387="",AZ387="NON"),M387,IF(AND(AU387="",BH387="",AZ387="OUI",AR387=""),AM387,IF(AND(AU387="",BH387="",AZ387="NON",AR387="",AT387=""),M387,IF(AND(OR(AR387=S.CAL!$BJ$3,AR387=S.CAL!$BJ$4),(VLOOKUP($AM$365,base_nbre_sem_mensu,2,FALSE)=52)),EE387,IF(AND(OR(AR387=S.CAL!$BJ$3,AR387=S.CAL!$BJ$4),(VLOOKUP($AM$365,base_nbre_sem_mensu,2,FALSE)&lt;52)),AM387,IF(AND(AT387&lt;&gt;"",AU387=""),AT387,AU387)))))))))))))</f>
        <v>0</v>
      </c>
      <c r="AQ387" s="1378">
        <f t="shared" si="740"/>
        <v>0</v>
      </c>
      <c r="AR387" s="1098"/>
      <c r="AS387" s="1374"/>
      <c r="AT387" s="1101"/>
      <c r="AU387" s="813"/>
      <c r="AV387" s="1370">
        <f t="shared" si="721"/>
        <v>46281</v>
      </c>
      <c r="AW387" s="1374"/>
      <c r="AX387" s="511">
        <f t="shared" si="741"/>
        <v>46281</v>
      </c>
      <c r="AY387" s="523">
        <f t="shared" si="742"/>
        <v>0</v>
      </c>
      <c r="AZ387" s="520" t="s">
        <v>137</v>
      </c>
      <c r="BA387" s="516">
        <f t="shared" si="743"/>
        <v>0</v>
      </c>
      <c r="BB387" s="549" t="str">
        <f t="shared" si="722"/>
        <v/>
      </c>
      <c r="BC387" s="523">
        <f t="shared" si="744"/>
        <v>0</v>
      </c>
      <c r="BD387" s="523">
        <f t="shared" si="745"/>
        <v>0</v>
      </c>
      <c r="BE387" s="1104"/>
      <c r="BF387" s="514" t="str">
        <f t="shared" si="723"/>
        <v/>
      </c>
      <c r="BG387" s="514" t="str">
        <f t="shared" si="746"/>
        <v>oui</v>
      </c>
      <c r="BH387" s="377" t="str">
        <f t="shared" si="724"/>
        <v/>
      </c>
      <c r="BI387" s="24" t="str">
        <f t="shared" si="725"/>
        <v/>
      </c>
      <c r="BJ387" s="1382"/>
      <c r="BK387" s="1382"/>
      <c r="BL387" s="1382"/>
      <c r="BM387" s="1382"/>
      <c r="BN387" s="1382"/>
      <c r="BO387" s="1382"/>
      <c r="BP387" s="1382"/>
      <c r="BQ387" s="1382"/>
      <c r="BR387" s="1383"/>
      <c r="BS387" s="1370">
        <f t="shared" si="692"/>
        <v>46281</v>
      </c>
      <c r="BT387" s="1384" t="str">
        <f t="shared" si="754"/>
        <v/>
      </c>
      <c r="BU387" s="1382"/>
      <c r="BV387" s="1382"/>
      <c r="BW387" s="1382"/>
      <c r="BX387" s="1382"/>
      <c r="BY387" s="1382"/>
      <c r="BZ387" s="1382"/>
      <c r="CA387" s="1382"/>
      <c r="CB387" s="1382"/>
      <c r="CD387" s="1386">
        <f t="shared" si="747"/>
        <v>0</v>
      </c>
      <c r="DC387" s="16" t="str">
        <f>Septembre!FC35</f>
        <v>non</v>
      </c>
      <c r="DG387" s="315">
        <f t="shared" si="748"/>
        <v>1</v>
      </c>
      <c r="DH387" s="129">
        <f t="shared" si="726"/>
        <v>10</v>
      </c>
      <c r="DI387" s="129">
        <f t="shared" si="749"/>
        <v>1</v>
      </c>
      <c r="DK387" s="16">
        <f>+IF(AND(Septembre!$DP$8&lt;&gt;52,AR387=S.CAL!$BJ$4),10,1)</f>
        <v>1</v>
      </c>
      <c r="DN387" s="16">
        <f t="shared" si="727"/>
        <v>1</v>
      </c>
      <c r="DU387" s="1274" t="str">
        <f t="shared" si="750"/>
        <v>Fiche infoA346281</v>
      </c>
      <c r="DV387" s="1362">
        <f t="shared" si="728"/>
        <v>0</v>
      </c>
      <c r="DW387" s="1363">
        <f t="shared" si="729"/>
        <v>0</v>
      </c>
      <c r="DX387" s="1363">
        <f t="shared" si="730"/>
        <v>0</v>
      </c>
      <c r="DY387" s="1363">
        <f t="shared" si="731"/>
        <v>0</v>
      </c>
      <c r="DZ387" s="1363">
        <f t="shared" si="732"/>
        <v>0</v>
      </c>
      <c r="EA387" s="1363">
        <f t="shared" si="733"/>
        <v>0</v>
      </c>
      <c r="EB387" s="1363">
        <f t="shared" si="734"/>
        <v>0</v>
      </c>
      <c r="EC387" s="1363">
        <f t="shared" si="735"/>
        <v>0</v>
      </c>
      <c r="ED387" s="1363">
        <f t="shared" si="751"/>
        <v>0</v>
      </c>
      <c r="EE387" s="1364">
        <f t="shared" si="752"/>
        <v>0</v>
      </c>
      <c r="EG387" s="16" t="str">
        <f t="shared" si="753"/>
        <v>382026</v>
      </c>
      <c r="EH387" s="16" t="str">
        <f t="shared" si="736"/>
        <v>Fiche infoA3</v>
      </c>
      <c r="EI387" s="16" t="str">
        <f t="shared" si="737"/>
        <v/>
      </c>
    </row>
    <row r="388" spans="1:139" x14ac:dyDescent="0.2">
      <c r="A388" s="24" t="str">
        <f>Septembre!BJ36</f>
        <v>Fiche infoA4</v>
      </c>
      <c r="B388" s="811">
        <f>Septembre!AB36</f>
        <v>46282</v>
      </c>
      <c r="C388" s="1371"/>
      <c r="D388" s="981">
        <f t="shared" si="693"/>
        <v>0</v>
      </c>
      <c r="E388" s="434">
        <f t="shared" si="694"/>
        <v>0</v>
      </c>
      <c r="F388" s="434">
        <f t="shared" si="695"/>
        <v>0</v>
      </c>
      <c r="G388" s="434">
        <f t="shared" si="696"/>
        <v>0</v>
      </c>
      <c r="H388" s="434">
        <f t="shared" si="697"/>
        <v>0</v>
      </c>
      <c r="I388" s="434">
        <f t="shared" si="698"/>
        <v>0</v>
      </c>
      <c r="J388" s="434">
        <f t="shared" si="699"/>
        <v>0</v>
      </c>
      <c r="K388" s="434">
        <f t="shared" si="700"/>
        <v>0</v>
      </c>
      <c r="L388" s="434">
        <f t="shared" si="738"/>
        <v>0</v>
      </c>
      <c r="M388" s="982">
        <f t="shared" si="739"/>
        <v>0</v>
      </c>
      <c r="O388" s="981">
        <f t="shared" si="755"/>
        <v>0</v>
      </c>
      <c r="P388" s="434">
        <f t="shared" si="756"/>
        <v>0</v>
      </c>
      <c r="Q388" s="434">
        <f t="shared" si="757"/>
        <v>0</v>
      </c>
      <c r="R388" s="434">
        <f t="shared" si="758"/>
        <v>0</v>
      </c>
      <c r="S388" s="434">
        <f t="shared" si="759"/>
        <v>0</v>
      </c>
      <c r="T388" s="434">
        <f t="shared" si="760"/>
        <v>0</v>
      </c>
      <c r="U388" s="434">
        <f t="shared" si="761"/>
        <v>0</v>
      </c>
      <c r="V388" s="434">
        <f t="shared" si="762"/>
        <v>0</v>
      </c>
      <c r="W388" s="434">
        <f t="shared" si="709"/>
        <v>0</v>
      </c>
      <c r="X388" s="982">
        <f t="shared" si="710"/>
        <v>0</v>
      </c>
      <c r="Y388" s="441"/>
      <c r="Z388" s="277">
        <f t="shared" si="711"/>
        <v>0</v>
      </c>
      <c r="AA388" s="277">
        <f t="shared" si="712"/>
        <v>0</v>
      </c>
      <c r="AB388" s="277">
        <f t="shared" si="713"/>
        <v>0</v>
      </c>
      <c r="AC388" s="277">
        <f t="shared" si="714"/>
        <v>0</v>
      </c>
      <c r="AD388" s="277">
        <f t="shared" si="715"/>
        <v>0</v>
      </c>
      <c r="AE388" s="277">
        <f t="shared" si="716"/>
        <v>0</v>
      </c>
      <c r="AF388" s="277">
        <f t="shared" si="717"/>
        <v>0</v>
      </c>
      <c r="AG388" s="277">
        <f t="shared" si="718"/>
        <v>0</v>
      </c>
      <c r="AI388" s="444">
        <f t="shared" si="763"/>
        <v>0</v>
      </c>
      <c r="AJ388" s="1090"/>
      <c r="AK388" s="489"/>
      <c r="AL388" s="811">
        <f t="shared" si="720"/>
        <v>46282</v>
      </c>
      <c r="AM388" s="666">
        <f>IFERROR(IF(AND(AT388="",AR388&lt;&gt;S.CAL!$BJ$3,AR388&lt;&gt;S.CAL!$BJ$4,$AR$365="NON"),M388-BD388,IF(AND(AT388="",AR388&lt;&gt;S.CAL!$BJ$3,AR388&lt;&gt;S.CAL!$BJ$4,$AR$365="OUI"),X388-AI388,IF(AT388&lt;&gt;0,AT388,IF(OR(AR388=S.CAL!$BJ$3,AR388=S.CAL!$BJ$4),AR388,"")))),"")</f>
        <v>0</v>
      </c>
      <c r="AN388" s="1093"/>
      <c r="AO388" s="1094"/>
      <c r="AP388" s="666">
        <f>+IF(AND(AU388="",BB388="OUI",BH388="non",BI388="OUI"),AM388,IF(AND(AU388="",BB388="OUI",BH388="oui",BI388="NON"),AM388,IF(AND(AU388="",BB388="NON",BH388="oui",BI388="NON"),M388,IF(AND(AU388="",BB388="NON",BH388="non",BI388="OUI"),M388,IF(AND(AU388="",BB388="OUI",BH388="non",BI388="NON"),"ERREUR",IF(AND(AU388="",BB388="NON",BH388="non",BI388="NON"),AM388,IF(AND(AU388="",BB388="OUI",BH388="",BI388=""),AM388,IF(AND(AU388="",BB388="NON",BH388="",BI388="",AZ388="NON"),M388,IF(AND(AU388="",BH388="",AZ388="OUI",AR388=""),AM388,IF(AND(AU388="",BH388="",AZ388="NON",AR388="",AT388=""),M388,IF(AND(OR(AR388=S.CAL!$BJ$3,AR388=S.CAL!$BJ$4),(VLOOKUP($AM$365,base_nbre_sem_mensu,2,FALSE)=52)),EE388,IF(AND(OR(AR388=S.CAL!$BJ$3,AR388=S.CAL!$BJ$4),(VLOOKUP($AM$365,base_nbre_sem_mensu,2,FALSE)&lt;52)),AM388,IF(AND(AT388&lt;&gt;"",AU388=""),AT388,AU388)))))))))))))</f>
        <v>0</v>
      </c>
      <c r="AQ388" s="498">
        <f t="shared" si="740"/>
        <v>0</v>
      </c>
      <c r="AR388" s="1098"/>
      <c r="AT388" s="1101"/>
      <c r="AU388" s="813"/>
      <c r="AV388" s="1370">
        <f t="shared" si="721"/>
        <v>46282</v>
      </c>
      <c r="AX388" s="511">
        <f t="shared" si="741"/>
        <v>46282</v>
      </c>
      <c r="AY388" s="523">
        <f t="shared" si="742"/>
        <v>0</v>
      </c>
      <c r="AZ388" s="520" t="s">
        <v>137</v>
      </c>
      <c r="BA388" s="516">
        <f t="shared" si="743"/>
        <v>0</v>
      </c>
      <c r="BB388" s="549" t="str">
        <f t="shared" si="722"/>
        <v/>
      </c>
      <c r="BC388" s="523">
        <f t="shared" si="744"/>
        <v>0</v>
      </c>
      <c r="BD388" s="523">
        <f t="shared" si="745"/>
        <v>0</v>
      </c>
      <c r="BE388" s="1104"/>
      <c r="BF388" s="514" t="str">
        <f t="shared" si="723"/>
        <v/>
      </c>
      <c r="BG388" s="514" t="str">
        <f t="shared" si="746"/>
        <v>oui</v>
      </c>
      <c r="BH388" s="377" t="str">
        <f t="shared" si="724"/>
        <v/>
      </c>
      <c r="BI388" s="24" t="str">
        <f t="shared" si="725"/>
        <v/>
      </c>
      <c r="BJ388" s="1381"/>
      <c r="BK388" s="1381"/>
      <c r="BL388" s="1381"/>
      <c r="BM388" s="1381"/>
      <c r="BN388" s="1381"/>
      <c r="BO388" s="1381"/>
      <c r="BP388" s="1381"/>
      <c r="BQ388" s="1381"/>
      <c r="BS388" s="1370">
        <f t="shared" si="692"/>
        <v>46282</v>
      </c>
      <c r="BT388" s="27" t="str">
        <f t="shared" si="754"/>
        <v/>
      </c>
      <c r="BU388" s="1380"/>
      <c r="BV388" s="1380"/>
      <c r="BW388" s="1380"/>
      <c r="BX388" s="1380"/>
      <c r="BY388" s="1380"/>
      <c r="BZ388" s="1380"/>
      <c r="CA388" s="1380"/>
      <c r="CB388" s="1380"/>
      <c r="CD388" s="1386">
        <f t="shared" si="747"/>
        <v>0</v>
      </c>
      <c r="DC388" s="16" t="str">
        <f>Septembre!FC36</f>
        <v>non</v>
      </c>
      <c r="DG388" s="315">
        <f t="shared" si="748"/>
        <v>1</v>
      </c>
      <c r="DH388" s="129">
        <f t="shared" si="726"/>
        <v>10</v>
      </c>
      <c r="DI388" s="129">
        <f t="shared" si="749"/>
        <v>1</v>
      </c>
      <c r="DK388" s="16">
        <f>+IF(AND(Septembre!$DP$8&lt;&gt;52,AR388=S.CAL!$BJ$4),10,1)</f>
        <v>1</v>
      </c>
      <c r="DN388" s="16">
        <f t="shared" si="727"/>
        <v>1</v>
      </c>
      <c r="DU388" s="1274" t="str">
        <f t="shared" si="750"/>
        <v>Fiche infoA446282</v>
      </c>
      <c r="DV388" s="1362">
        <f t="shared" si="728"/>
        <v>0</v>
      </c>
      <c r="DW388" s="1363">
        <f t="shared" si="729"/>
        <v>0</v>
      </c>
      <c r="DX388" s="1363">
        <f t="shared" si="730"/>
        <v>0</v>
      </c>
      <c r="DY388" s="1363">
        <f t="shared" si="731"/>
        <v>0</v>
      </c>
      <c r="DZ388" s="1363">
        <f t="shared" si="732"/>
        <v>0</v>
      </c>
      <c r="EA388" s="1363">
        <f t="shared" si="733"/>
        <v>0</v>
      </c>
      <c r="EB388" s="1363">
        <f t="shared" si="734"/>
        <v>0</v>
      </c>
      <c r="EC388" s="1363">
        <f t="shared" si="735"/>
        <v>0</v>
      </c>
      <c r="ED388" s="1363">
        <f t="shared" si="751"/>
        <v>0</v>
      </c>
      <c r="EE388" s="1364">
        <f t="shared" si="752"/>
        <v>0</v>
      </c>
      <c r="EG388" s="16" t="str">
        <f t="shared" si="753"/>
        <v>382026</v>
      </c>
      <c r="EH388" s="16" t="str">
        <f t="shared" si="736"/>
        <v>Fiche infoA4</v>
      </c>
      <c r="EI388" s="16" t="str">
        <f t="shared" si="737"/>
        <v/>
      </c>
    </row>
    <row r="389" spans="1:139" x14ac:dyDescent="0.2">
      <c r="A389" s="1373" t="str">
        <f>Septembre!BJ37</f>
        <v>Fiche infoA5</v>
      </c>
      <c r="B389" s="811">
        <f>Septembre!AB37</f>
        <v>46283</v>
      </c>
      <c r="C389" s="1372"/>
      <c r="D389" s="981">
        <f t="shared" si="693"/>
        <v>0</v>
      </c>
      <c r="E389" s="434">
        <f t="shared" si="694"/>
        <v>0</v>
      </c>
      <c r="F389" s="434">
        <f t="shared" si="695"/>
        <v>0</v>
      </c>
      <c r="G389" s="434">
        <f t="shared" si="696"/>
        <v>0</v>
      </c>
      <c r="H389" s="434">
        <f t="shared" si="697"/>
        <v>0</v>
      </c>
      <c r="I389" s="434">
        <f t="shared" si="698"/>
        <v>0</v>
      </c>
      <c r="J389" s="434">
        <f t="shared" si="699"/>
        <v>0</v>
      </c>
      <c r="K389" s="434">
        <f t="shared" si="700"/>
        <v>0</v>
      </c>
      <c r="L389" s="434">
        <f t="shared" si="738"/>
        <v>0</v>
      </c>
      <c r="M389" s="982">
        <f t="shared" si="739"/>
        <v>0</v>
      </c>
      <c r="N389" s="1374"/>
      <c r="O389" s="981">
        <f t="shared" si="755"/>
        <v>0</v>
      </c>
      <c r="P389" s="434">
        <f t="shared" si="756"/>
        <v>0</v>
      </c>
      <c r="Q389" s="434">
        <f t="shared" si="757"/>
        <v>0</v>
      </c>
      <c r="R389" s="434">
        <f t="shared" si="758"/>
        <v>0</v>
      </c>
      <c r="S389" s="434">
        <f t="shared" si="759"/>
        <v>0</v>
      </c>
      <c r="T389" s="434">
        <f t="shared" si="760"/>
        <v>0</v>
      </c>
      <c r="U389" s="434">
        <f t="shared" si="761"/>
        <v>0</v>
      </c>
      <c r="V389" s="434">
        <f t="shared" si="762"/>
        <v>0</v>
      </c>
      <c r="W389" s="434">
        <f t="shared" si="709"/>
        <v>0</v>
      </c>
      <c r="X389" s="982">
        <f t="shared" si="710"/>
        <v>0</v>
      </c>
      <c r="Y389" s="1375"/>
      <c r="Z389" s="1376">
        <f t="shared" si="711"/>
        <v>0</v>
      </c>
      <c r="AA389" s="1376">
        <f t="shared" si="712"/>
        <v>0</v>
      </c>
      <c r="AB389" s="1376">
        <f t="shared" si="713"/>
        <v>0</v>
      </c>
      <c r="AC389" s="1376">
        <f t="shared" si="714"/>
        <v>0</v>
      </c>
      <c r="AD389" s="1376">
        <f t="shared" si="715"/>
        <v>0</v>
      </c>
      <c r="AE389" s="1376">
        <f t="shared" si="716"/>
        <v>0</v>
      </c>
      <c r="AF389" s="1376">
        <f t="shared" si="717"/>
        <v>0</v>
      </c>
      <c r="AG389" s="1376">
        <f t="shared" si="718"/>
        <v>0</v>
      </c>
      <c r="AH389" s="1374"/>
      <c r="AI389" s="444">
        <f t="shared" si="763"/>
        <v>0</v>
      </c>
      <c r="AJ389" s="1090"/>
      <c r="AK389" s="1377"/>
      <c r="AL389" s="811">
        <f t="shared" si="720"/>
        <v>46283</v>
      </c>
      <c r="AM389" s="666">
        <f>IFERROR(IF(AND(AT389="",AR389&lt;&gt;S.CAL!$BJ$3,AR389&lt;&gt;S.CAL!$BJ$4,$AR$365="NON"),M389-BD389,IF(AND(AT389="",AR389&lt;&gt;S.CAL!$BJ$3,AR389&lt;&gt;S.CAL!$BJ$4,$AR$365="OUI"),X389-AI389,IF(AT389&lt;&gt;0,AT389,IF(OR(AR389=S.CAL!$BJ$3,AR389=S.CAL!$BJ$4),AR389,"")))),"")</f>
        <v>0</v>
      </c>
      <c r="AN389" s="1093"/>
      <c r="AO389" s="1094"/>
      <c r="AP389" s="666">
        <f>+IF(AND(AU389="",BB389="OUI",BH389="non",BI389="OUI"),AM389,IF(AND(AU389="",BB389="OUI",BH389="oui",BI389="NON"),AM389,IF(AND(AU389="",BB389="NON",BH389="oui",BI389="NON"),M389,IF(AND(AU389="",BB389="NON",BH389="non",BI389="OUI"),M389,IF(AND(AU389="",BB389="OUI",BH389="non",BI389="NON"),"ERREUR",IF(AND(AU389="",BB389="NON",BH389="non",BI389="NON"),AM389,IF(AND(AU389="",BB389="OUI",BH389="",BI389=""),AM389,IF(AND(AU389="",BB389="NON",BH389="",BI389="",AZ389="NON"),M389,IF(AND(AU389="",BH389="",AZ389="OUI",AR389=""),AM389,IF(AND(AU389="",BH389="",AZ389="NON",AR389="",AT389=""),M389,IF(AND(OR(AR389=S.CAL!$BJ$3,AR389=S.CAL!$BJ$4),(VLOOKUP($AM$365,base_nbre_sem_mensu,2,FALSE)=52)),EE389,IF(AND(OR(AR389=S.CAL!$BJ$3,AR389=S.CAL!$BJ$4),(VLOOKUP($AM$365,base_nbre_sem_mensu,2,FALSE)&lt;52)),AM389,IF(AND(AT389&lt;&gt;"",AU389=""),AT389,AU389)))))))))))))</f>
        <v>0</v>
      </c>
      <c r="AQ389" s="1378">
        <f t="shared" si="740"/>
        <v>0</v>
      </c>
      <c r="AR389" s="1098"/>
      <c r="AS389" s="1374"/>
      <c r="AT389" s="1101"/>
      <c r="AU389" s="813"/>
      <c r="AV389" s="1370">
        <f t="shared" si="721"/>
        <v>46283</v>
      </c>
      <c r="AW389" s="1374"/>
      <c r="AX389" s="511">
        <f t="shared" si="741"/>
        <v>46283</v>
      </c>
      <c r="AY389" s="523">
        <f t="shared" si="742"/>
        <v>0</v>
      </c>
      <c r="AZ389" s="520" t="s">
        <v>137</v>
      </c>
      <c r="BA389" s="516">
        <f t="shared" si="743"/>
        <v>0</v>
      </c>
      <c r="BB389" s="549" t="str">
        <f t="shared" si="722"/>
        <v/>
      </c>
      <c r="BC389" s="523">
        <f t="shared" si="744"/>
        <v>0</v>
      </c>
      <c r="BD389" s="523">
        <f t="shared" si="745"/>
        <v>0</v>
      </c>
      <c r="BE389" s="1104"/>
      <c r="BF389" s="514" t="str">
        <f t="shared" si="723"/>
        <v/>
      </c>
      <c r="BG389" s="514" t="str">
        <f t="shared" si="746"/>
        <v>oui</v>
      </c>
      <c r="BH389" s="377" t="str">
        <f t="shared" si="724"/>
        <v/>
      </c>
      <c r="BI389" s="24" t="str">
        <f t="shared" si="725"/>
        <v/>
      </c>
      <c r="BJ389" s="1382"/>
      <c r="BK389" s="1382"/>
      <c r="BL389" s="1382"/>
      <c r="BM389" s="1382"/>
      <c r="BN389" s="1382"/>
      <c r="BO389" s="1382"/>
      <c r="BP389" s="1382"/>
      <c r="BQ389" s="1382"/>
      <c r="BR389" s="1383"/>
      <c r="BS389" s="1370">
        <f t="shared" si="692"/>
        <v>46283</v>
      </c>
      <c r="BT389" s="1384" t="str">
        <f t="shared" si="754"/>
        <v/>
      </c>
      <c r="BU389" s="1382"/>
      <c r="BV389" s="1382"/>
      <c r="BW389" s="1382"/>
      <c r="BX389" s="1382"/>
      <c r="BY389" s="1382"/>
      <c r="BZ389" s="1382"/>
      <c r="CA389" s="1382"/>
      <c r="CB389" s="1382"/>
      <c r="CD389" s="1386">
        <f t="shared" si="747"/>
        <v>0</v>
      </c>
      <c r="DC389" s="16" t="str">
        <f>Septembre!FC37</f>
        <v>non</v>
      </c>
      <c r="DG389" s="315">
        <f t="shared" si="748"/>
        <v>1</v>
      </c>
      <c r="DH389" s="129">
        <f t="shared" si="726"/>
        <v>10</v>
      </c>
      <c r="DI389" s="129">
        <f t="shared" si="749"/>
        <v>1</v>
      </c>
      <c r="DK389" s="16">
        <f>+IF(AND(Septembre!$DP$8&lt;&gt;52,AR389=S.CAL!$BJ$4),10,1)</f>
        <v>1</v>
      </c>
      <c r="DN389" s="16">
        <f t="shared" si="727"/>
        <v>1</v>
      </c>
      <c r="DU389" s="1274" t="str">
        <f t="shared" si="750"/>
        <v>Fiche infoA546283</v>
      </c>
      <c r="DV389" s="1362">
        <f t="shared" si="728"/>
        <v>0</v>
      </c>
      <c r="DW389" s="1363">
        <f t="shared" si="729"/>
        <v>0</v>
      </c>
      <c r="DX389" s="1363">
        <f t="shared" si="730"/>
        <v>0</v>
      </c>
      <c r="DY389" s="1363">
        <f t="shared" si="731"/>
        <v>0</v>
      </c>
      <c r="DZ389" s="1363">
        <f t="shared" si="732"/>
        <v>0</v>
      </c>
      <c r="EA389" s="1363">
        <f t="shared" si="733"/>
        <v>0</v>
      </c>
      <c r="EB389" s="1363">
        <f t="shared" si="734"/>
        <v>0</v>
      </c>
      <c r="EC389" s="1363">
        <f t="shared" si="735"/>
        <v>0</v>
      </c>
      <c r="ED389" s="1363">
        <f t="shared" si="751"/>
        <v>0</v>
      </c>
      <c r="EE389" s="1364">
        <f t="shared" si="752"/>
        <v>0</v>
      </c>
      <c r="EG389" s="16" t="str">
        <f t="shared" si="753"/>
        <v>382026</v>
      </c>
      <c r="EH389" s="16" t="str">
        <f t="shared" si="736"/>
        <v>Fiche infoA5</v>
      </c>
      <c r="EI389" s="16" t="str">
        <f t="shared" si="737"/>
        <v/>
      </c>
    </row>
    <row r="390" spans="1:139" x14ac:dyDescent="0.2">
      <c r="A390" s="24" t="str">
        <f>Septembre!BJ38</f>
        <v>Fiche infoA6</v>
      </c>
      <c r="B390" s="811">
        <f>Septembre!AB38</f>
        <v>46284</v>
      </c>
      <c r="C390" s="1371"/>
      <c r="D390" s="981">
        <f t="shared" si="693"/>
        <v>0</v>
      </c>
      <c r="E390" s="434">
        <f t="shared" si="694"/>
        <v>0</v>
      </c>
      <c r="F390" s="434">
        <f t="shared" si="695"/>
        <v>0</v>
      </c>
      <c r="G390" s="434">
        <f t="shared" si="696"/>
        <v>0</v>
      </c>
      <c r="H390" s="434">
        <f t="shared" si="697"/>
        <v>0</v>
      </c>
      <c r="I390" s="434">
        <f t="shared" si="698"/>
        <v>0</v>
      </c>
      <c r="J390" s="434">
        <f t="shared" si="699"/>
        <v>0</v>
      </c>
      <c r="K390" s="434">
        <f t="shared" si="700"/>
        <v>0</v>
      </c>
      <c r="L390" s="434">
        <f t="shared" si="738"/>
        <v>0</v>
      </c>
      <c r="M390" s="982">
        <f t="shared" si="739"/>
        <v>0</v>
      </c>
      <c r="O390" s="981">
        <f t="shared" si="755"/>
        <v>0</v>
      </c>
      <c r="P390" s="434">
        <f t="shared" si="756"/>
        <v>0</v>
      </c>
      <c r="Q390" s="434">
        <f t="shared" si="757"/>
        <v>0</v>
      </c>
      <c r="R390" s="434">
        <f t="shared" si="758"/>
        <v>0</v>
      </c>
      <c r="S390" s="434">
        <f t="shared" si="759"/>
        <v>0</v>
      </c>
      <c r="T390" s="434">
        <f t="shared" si="760"/>
        <v>0</v>
      </c>
      <c r="U390" s="434">
        <f t="shared" si="761"/>
        <v>0</v>
      </c>
      <c r="V390" s="434">
        <f t="shared" si="762"/>
        <v>0</v>
      </c>
      <c r="W390" s="434">
        <f t="shared" si="709"/>
        <v>0</v>
      </c>
      <c r="X390" s="982">
        <f t="shared" si="710"/>
        <v>0</v>
      </c>
      <c r="Y390" s="441"/>
      <c r="Z390" s="277">
        <f t="shared" si="711"/>
        <v>0</v>
      </c>
      <c r="AA390" s="277">
        <f t="shared" si="712"/>
        <v>0</v>
      </c>
      <c r="AB390" s="277">
        <f t="shared" si="713"/>
        <v>0</v>
      </c>
      <c r="AC390" s="277">
        <f t="shared" si="714"/>
        <v>0</v>
      </c>
      <c r="AD390" s="277">
        <f t="shared" si="715"/>
        <v>0</v>
      </c>
      <c r="AE390" s="277">
        <f t="shared" si="716"/>
        <v>0</v>
      </c>
      <c r="AF390" s="277">
        <f t="shared" si="717"/>
        <v>0</v>
      </c>
      <c r="AG390" s="277">
        <f t="shared" si="718"/>
        <v>0</v>
      </c>
      <c r="AI390" s="444">
        <f t="shared" si="763"/>
        <v>0</v>
      </c>
      <c r="AJ390" s="1090"/>
      <c r="AK390" s="489"/>
      <c r="AL390" s="811">
        <f t="shared" si="720"/>
        <v>46284</v>
      </c>
      <c r="AM390" s="666">
        <f>IFERROR(IF(AND(AT390="",AR390&lt;&gt;S.CAL!$BJ$3,AR390&lt;&gt;S.CAL!$BJ$4,$AR$365="NON"),M390-BD390,IF(AND(AT390="",AR390&lt;&gt;S.CAL!$BJ$3,AR390&lt;&gt;S.CAL!$BJ$4,$AR$365="OUI"),X390-AI390,IF(AT390&lt;&gt;0,AT390,IF(OR(AR390=S.CAL!$BJ$3,AR390=S.CAL!$BJ$4),AR390,"")))),"")</f>
        <v>0</v>
      </c>
      <c r="AN390" s="1093"/>
      <c r="AO390" s="1094"/>
      <c r="AP390" s="666">
        <f>+IF(AND(AU390="",BB390="OUI",BH390="non",BI390="OUI"),AM390,IF(AND(AU390="",BB390="OUI",BH390="oui",BI390="NON"),AM390,IF(AND(AU390="",BB390="NON",BH390="oui",BI390="NON"),M390,IF(AND(AU390="",BB390="NON",BH390="non",BI390="OUI"),M390,IF(AND(AU390="",BB390="OUI",BH390="non",BI390="NON"),"ERREUR",IF(AND(AU390="",BB390="NON",BH390="non",BI390="NON"),AM390,IF(AND(AU390="",BB390="OUI",BH390="",BI390=""),AM390,IF(AND(AU390="",BB390="NON",BH390="",BI390="",AZ390="NON"),M390,IF(AND(AU390="",BH390="",AZ390="OUI",AR390=""),AM390,IF(AND(AU390="",BH390="",AZ390="NON",AR390="",AT390=""),M390,IF(AND(OR(AR390=S.CAL!$BJ$3,AR390=S.CAL!$BJ$4),(VLOOKUP($AM$365,base_nbre_sem_mensu,2,FALSE)=52)),EE390,IF(AND(OR(AR390=S.CAL!$BJ$3,AR390=S.CAL!$BJ$4),(VLOOKUP($AM$365,base_nbre_sem_mensu,2,FALSE)&lt;52)),AM390,IF(AND(AT390&lt;&gt;"",AU390=""),AT390,AU390)))))))))))))</f>
        <v>0</v>
      </c>
      <c r="AQ390" s="498">
        <f t="shared" si="740"/>
        <v>0</v>
      </c>
      <c r="AR390" s="1098"/>
      <c r="AT390" s="1101"/>
      <c r="AU390" s="813"/>
      <c r="AV390" s="1370">
        <f t="shared" si="721"/>
        <v>46284</v>
      </c>
      <c r="AX390" s="511">
        <f t="shared" si="741"/>
        <v>46284</v>
      </c>
      <c r="AY390" s="523">
        <f t="shared" si="742"/>
        <v>0</v>
      </c>
      <c r="AZ390" s="520" t="s">
        <v>137</v>
      </c>
      <c r="BA390" s="516">
        <f t="shared" si="743"/>
        <v>0</v>
      </c>
      <c r="BB390" s="549" t="str">
        <f t="shared" si="722"/>
        <v/>
      </c>
      <c r="BC390" s="523">
        <f t="shared" si="744"/>
        <v>0</v>
      </c>
      <c r="BD390" s="523">
        <f t="shared" si="745"/>
        <v>0</v>
      </c>
      <c r="BE390" s="1104"/>
      <c r="BF390" s="514" t="str">
        <f t="shared" si="723"/>
        <v/>
      </c>
      <c r="BG390" s="514" t="str">
        <f t="shared" si="746"/>
        <v>oui</v>
      </c>
      <c r="BH390" s="377" t="str">
        <f t="shared" si="724"/>
        <v/>
      </c>
      <c r="BI390" s="24" t="str">
        <f t="shared" si="725"/>
        <v/>
      </c>
      <c r="BJ390" s="1381"/>
      <c r="BK390" s="1381"/>
      <c r="BL390" s="1381"/>
      <c r="BM390" s="1381"/>
      <c r="BN390" s="1381"/>
      <c r="BO390" s="1381"/>
      <c r="BP390" s="1381"/>
      <c r="BQ390" s="1381"/>
      <c r="BS390" s="1370">
        <f t="shared" si="692"/>
        <v>46284</v>
      </c>
      <c r="BT390" s="27" t="str">
        <f t="shared" si="754"/>
        <v/>
      </c>
      <c r="BU390" s="1380"/>
      <c r="BV390" s="1380"/>
      <c r="BW390" s="1380"/>
      <c r="BX390" s="1380"/>
      <c r="BY390" s="1380"/>
      <c r="BZ390" s="1380"/>
      <c r="CA390" s="1380"/>
      <c r="CB390" s="1380"/>
      <c r="CD390" s="1386">
        <f t="shared" si="747"/>
        <v>0</v>
      </c>
      <c r="DC390" s="16" t="str">
        <f>Septembre!FC38</f>
        <v>non</v>
      </c>
      <c r="DG390" s="315">
        <f t="shared" si="748"/>
        <v>1</v>
      </c>
      <c r="DH390" s="129">
        <f t="shared" si="726"/>
        <v>10</v>
      </c>
      <c r="DI390" s="129">
        <f t="shared" si="749"/>
        <v>1</v>
      </c>
      <c r="DK390" s="16">
        <f>+IF(AND(Septembre!$DP$8&lt;&gt;52,AR390=S.CAL!$BJ$4),10,1)</f>
        <v>1</v>
      </c>
      <c r="DN390" s="16">
        <f t="shared" si="727"/>
        <v>1</v>
      </c>
      <c r="DU390" s="1274" t="str">
        <f t="shared" si="750"/>
        <v>Fiche infoA646284</v>
      </c>
      <c r="DV390" s="1362">
        <f t="shared" si="728"/>
        <v>0</v>
      </c>
      <c r="DW390" s="1363">
        <f t="shared" si="729"/>
        <v>0</v>
      </c>
      <c r="DX390" s="1363">
        <f t="shared" si="730"/>
        <v>0</v>
      </c>
      <c r="DY390" s="1363">
        <f t="shared" si="731"/>
        <v>0</v>
      </c>
      <c r="DZ390" s="1363">
        <f t="shared" si="732"/>
        <v>0</v>
      </c>
      <c r="EA390" s="1363">
        <f t="shared" si="733"/>
        <v>0</v>
      </c>
      <c r="EB390" s="1363">
        <f t="shared" si="734"/>
        <v>0</v>
      </c>
      <c r="EC390" s="1363">
        <f t="shared" si="735"/>
        <v>0</v>
      </c>
      <c r="ED390" s="1363">
        <f t="shared" si="751"/>
        <v>0</v>
      </c>
      <c r="EE390" s="1364">
        <f t="shared" si="752"/>
        <v>0</v>
      </c>
      <c r="EG390" s="16" t="str">
        <f t="shared" si="753"/>
        <v>382026</v>
      </c>
      <c r="EH390" s="16" t="str">
        <f t="shared" si="736"/>
        <v>Fiche infoA6</v>
      </c>
      <c r="EI390" s="16" t="str">
        <f t="shared" si="737"/>
        <v/>
      </c>
    </row>
    <row r="391" spans="1:139" x14ac:dyDescent="0.2">
      <c r="A391" s="1373" t="str">
        <f>Septembre!BJ39</f>
        <v>Fiche infoA7</v>
      </c>
      <c r="B391" s="811">
        <f>Septembre!AB39</f>
        <v>46285</v>
      </c>
      <c r="C391" s="1372"/>
      <c r="D391" s="981">
        <f t="shared" si="693"/>
        <v>0</v>
      </c>
      <c r="E391" s="434">
        <f t="shared" si="694"/>
        <v>0</v>
      </c>
      <c r="F391" s="434">
        <f t="shared" si="695"/>
        <v>0</v>
      </c>
      <c r="G391" s="434">
        <f t="shared" si="696"/>
        <v>0</v>
      </c>
      <c r="H391" s="434">
        <f t="shared" si="697"/>
        <v>0</v>
      </c>
      <c r="I391" s="434">
        <f t="shared" si="698"/>
        <v>0</v>
      </c>
      <c r="J391" s="434">
        <f t="shared" si="699"/>
        <v>0</v>
      </c>
      <c r="K391" s="434">
        <f t="shared" si="700"/>
        <v>0</v>
      </c>
      <c r="L391" s="434">
        <f t="shared" si="738"/>
        <v>0</v>
      </c>
      <c r="M391" s="982">
        <f t="shared" si="739"/>
        <v>0</v>
      </c>
      <c r="N391" s="1374"/>
      <c r="O391" s="981">
        <f t="shared" si="755"/>
        <v>0</v>
      </c>
      <c r="P391" s="434">
        <f t="shared" si="756"/>
        <v>0</v>
      </c>
      <c r="Q391" s="434">
        <f t="shared" si="757"/>
        <v>0</v>
      </c>
      <c r="R391" s="434">
        <f t="shared" si="758"/>
        <v>0</v>
      </c>
      <c r="S391" s="434">
        <f t="shared" si="759"/>
        <v>0</v>
      </c>
      <c r="T391" s="434">
        <f t="shared" si="760"/>
        <v>0</v>
      </c>
      <c r="U391" s="434">
        <f t="shared" si="761"/>
        <v>0</v>
      </c>
      <c r="V391" s="434">
        <f t="shared" si="762"/>
        <v>0</v>
      </c>
      <c r="W391" s="434">
        <f t="shared" si="709"/>
        <v>0</v>
      </c>
      <c r="X391" s="982">
        <f t="shared" si="710"/>
        <v>0</v>
      </c>
      <c r="Y391" s="1375"/>
      <c r="Z391" s="1376">
        <f t="shared" si="711"/>
        <v>0</v>
      </c>
      <c r="AA391" s="1376">
        <f t="shared" si="712"/>
        <v>0</v>
      </c>
      <c r="AB391" s="1376">
        <f t="shared" si="713"/>
        <v>0</v>
      </c>
      <c r="AC391" s="1376">
        <f t="shared" si="714"/>
        <v>0</v>
      </c>
      <c r="AD391" s="1376">
        <f t="shared" si="715"/>
        <v>0</v>
      </c>
      <c r="AE391" s="1376">
        <f t="shared" si="716"/>
        <v>0</v>
      </c>
      <c r="AF391" s="1376">
        <f t="shared" si="717"/>
        <v>0</v>
      </c>
      <c r="AG391" s="1376">
        <f t="shared" si="718"/>
        <v>0</v>
      </c>
      <c r="AH391" s="1374"/>
      <c r="AI391" s="444">
        <f t="shared" si="763"/>
        <v>0</v>
      </c>
      <c r="AJ391" s="1090"/>
      <c r="AK391" s="1377"/>
      <c r="AL391" s="811">
        <f t="shared" si="720"/>
        <v>46285</v>
      </c>
      <c r="AM391" s="666">
        <f>IFERROR(IF(AND(AT391="",AR391&lt;&gt;S.CAL!$BJ$3,AR391&lt;&gt;S.CAL!$BJ$4,$AR$365="NON"),M391-BD391,IF(AND(AT391="",AR391&lt;&gt;S.CAL!$BJ$3,AR391&lt;&gt;S.CAL!$BJ$4,$AR$365="OUI"),X391-AI391,IF(AT391&lt;&gt;0,AT391,IF(OR(AR391=S.CAL!$BJ$3,AR391=S.CAL!$BJ$4),AR391,"")))),"")</f>
        <v>0</v>
      </c>
      <c r="AN391" s="1093"/>
      <c r="AO391" s="1094"/>
      <c r="AP391" s="666">
        <f>+IF(AND(AU391="",BB391="OUI",BH391="non",BI391="OUI"),AM391,IF(AND(AU391="",BB391="OUI",BH391="oui",BI391="NON"),AM391,IF(AND(AU391="",BB391="NON",BH391="oui",BI391="NON"),M391,IF(AND(AU391="",BB391="NON",BH391="non",BI391="OUI"),M391,IF(AND(AU391="",BB391="OUI",BH391="non",BI391="NON"),"ERREUR",IF(AND(AU391="",BB391="NON",BH391="non",BI391="NON"),AM391,IF(AND(AU391="",BB391="OUI",BH391="",BI391=""),AM391,IF(AND(AU391="",BB391="NON",BH391="",BI391="",AZ391="NON"),M391,IF(AND(AU391="",BH391="",AZ391="OUI",AR391=""),AM391,IF(AND(AU391="",BH391="",AZ391="NON",AR391="",AT391=""),M391,IF(AND(OR(AR391=S.CAL!$BJ$3,AR391=S.CAL!$BJ$4),(VLOOKUP($AM$365,base_nbre_sem_mensu,2,FALSE)=52)),EE391,IF(AND(OR(AR391=S.CAL!$BJ$3,AR391=S.CAL!$BJ$4),(VLOOKUP($AM$365,base_nbre_sem_mensu,2,FALSE)&lt;52)),AM391,IF(AND(AT391&lt;&gt;"",AU391=""),AT391,AU391)))))))))))))</f>
        <v>0</v>
      </c>
      <c r="AQ391" s="1378">
        <f t="shared" si="740"/>
        <v>0</v>
      </c>
      <c r="AR391" s="1098"/>
      <c r="AS391" s="1374"/>
      <c r="AT391" s="1101"/>
      <c r="AU391" s="813"/>
      <c r="AV391" s="1370">
        <f t="shared" si="721"/>
        <v>46285</v>
      </c>
      <c r="AW391" s="1374"/>
      <c r="AX391" s="511">
        <f t="shared" si="741"/>
        <v>46285</v>
      </c>
      <c r="AY391" s="523">
        <f t="shared" si="742"/>
        <v>0</v>
      </c>
      <c r="AZ391" s="520" t="s">
        <v>137</v>
      </c>
      <c r="BA391" s="516">
        <f t="shared" si="743"/>
        <v>0</v>
      </c>
      <c r="BB391" s="549" t="str">
        <f t="shared" si="722"/>
        <v/>
      </c>
      <c r="BC391" s="523">
        <f t="shared" si="744"/>
        <v>0</v>
      </c>
      <c r="BD391" s="523">
        <f t="shared" si="745"/>
        <v>0</v>
      </c>
      <c r="BE391" s="1104"/>
      <c r="BF391" s="514" t="str">
        <f t="shared" si="723"/>
        <v/>
      </c>
      <c r="BG391" s="514" t="str">
        <f t="shared" si="746"/>
        <v>oui</v>
      </c>
      <c r="BH391" s="377" t="str">
        <f t="shared" si="724"/>
        <v/>
      </c>
      <c r="BI391" s="24" t="str">
        <f t="shared" si="725"/>
        <v/>
      </c>
      <c r="BJ391" s="1382"/>
      <c r="BK391" s="1382"/>
      <c r="BL391" s="1382"/>
      <c r="BM391" s="1382"/>
      <c r="BN391" s="1382"/>
      <c r="BO391" s="1382"/>
      <c r="BP391" s="1382"/>
      <c r="BQ391" s="1382"/>
      <c r="BR391" s="1383"/>
      <c r="BS391" s="1370">
        <f t="shared" si="692"/>
        <v>46285</v>
      </c>
      <c r="BT391" s="1384" t="str">
        <f t="shared" si="754"/>
        <v/>
      </c>
      <c r="BU391" s="1382"/>
      <c r="BV391" s="1382"/>
      <c r="BW391" s="1382"/>
      <c r="BX391" s="1382"/>
      <c r="BY391" s="1382"/>
      <c r="BZ391" s="1382"/>
      <c r="CA391" s="1382"/>
      <c r="CB391" s="1382"/>
      <c r="CD391" s="1386">
        <f t="shared" si="747"/>
        <v>0</v>
      </c>
      <c r="DC391" s="16" t="str">
        <f>Septembre!FC39</f>
        <v>non</v>
      </c>
      <c r="DG391" s="315">
        <f t="shared" si="748"/>
        <v>1</v>
      </c>
      <c r="DH391" s="129">
        <f t="shared" si="726"/>
        <v>10</v>
      </c>
      <c r="DI391" s="129">
        <f t="shared" si="749"/>
        <v>1</v>
      </c>
      <c r="DK391" s="16">
        <f>+IF(AND(Septembre!$DP$8&lt;&gt;52,AR391=S.CAL!$BJ$4),10,1)</f>
        <v>1</v>
      </c>
      <c r="DN391" s="16">
        <f t="shared" si="727"/>
        <v>1</v>
      </c>
      <c r="DU391" s="1274" t="str">
        <f t="shared" si="750"/>
        <v>Fiche infoA746285</v>
      </c>
      <c r="DV391" s="1362">
        <f t="shared" si="728"/>
        <v>0</v>
      </c>
      <c r="DW391" s="1363">
        <f t="shared" si="729"/>
        <v>0</v>
      </c>
      <c r="DX391" s="1363">
        <f t="shared" si="730"/>
        <v>0</v>
      </c>
      <c r="DY391" s="1363">
        <f t="shared" si="731"/>
        <v>0</v>
      </c>
      <c r="DZ391" s="1363">
        <f t="shared" si="732"/>
        <v>0</v>
      </c>
      <c r="EA391" s="1363">
        <f t="shared" si="733"/>
        <v>0</v>
      </c>
      <c r="EB391" s="1363">
        <f t="shared" si="734"/>
        <v>0</v>
      </c>
      <c r="EC391" s="1363">
        <f t="shared" si="735"/>
        <v>0</v>
      </c>
      <c r="ED391" s="1363">
        <f t="shared" si="751"/>
        <v>0</v>
      </c>
      <c r="EE391" s="1364">
        <f t="shared" si="752"/>
        <v>0</v>
      </c>
      <c r="EG391" s="16" t="str">
        <f t="shared" si="753"/>
        <v>382026</v>
      </c>
      <c r="EH391" s="16" t="str">
        <f t="shared" si="736"/>
        <v>Fiche infoA7</v>
      </c>
      <c r="EI391" s="16" t="str">
        <f t="shared" si="737"/>
        <v/>
      </c>
    </row>
    <row r="392" spans="1:139" x14ac:dyDescent="0.2">
      <c r="A392" s="24" t="str">
        <f>Septembre!BJ40</f>
        <v>Fiche infoA1</v>
      </c>
      <c r="B392" s="811">
        <f>Septembre!AB40</f>
        <v>46286</v>
      </c>
      <c r="C392" s="1371"/>
      <c r="D392" s="981">
        <f t="shared" si="693"/>
        <v>0</v>
      </c>
      <c r="E392" s="434">
        <f t="shared" si="694"/>
        <v>0</v>
      </c>
      <c r="F392" s="434">
        <f t="shared" si="695"/>
        <v>0</v>
      </c>
      <c r="G392" s="434">
        <f t="shared" si="696"/>
        <v>0</v>
      </c>
      <c r="H392" s="434">
        <f t="shared" si="697"/>
        <v>0</v>
      </c>
      <c r="I392" s="434">
        <f t="shared" si="698"/>
        <v>0</v>
      </c>
      <c r="J392" s="434">
        <f t="shared" si="699"/>
        <v>0</v>
      </c>
      <c r="K392" s="434">
        <f t="shared" si="700"/>
        <v>0</v>
      </c>
      <c r="L392" s="434">
        <f t="shared" si="738"/>
        <v>0</v>
      </c>
      <c r="M392" s="982">
        <f t="shared" si="739"/>
        <v>0</v>
      </c>
      <c r="O392" s="981">
        <f t="shared" si="755"/>
        <v>0</v>
      </c>
      <c r="P392" s="434">
        <f t="shared" si="756"/>
        <v>0</v>
      </c>
      <c r="Q392" s="434">
        <f t="shared" si="757"/>
        <v>0</v>
      </c>
      <c r="R392" s="434">
        <f t="shared" si="758"/>
        <v>0</v>
      </c>
      <c r="S392" s="434">
        <f t="shared" si="759"/>
        <v>0</v>
      </c>
      <c r="T392" s="434">
        <f t="shared" si="760"/>
        <v>0</v>
      </c>
      <c r="U392" s="434">
        <f t="shared" si="761"/>
        <v>0</v>
      </c>
      <c r="V392" s="434">
        <f t="shared" si="762"/>
        <v>0</v>
      </c>
      <c r="W392" s="434">
        <f t="shared" si="709"/>
        <v>0</v>
      </c>
      <c r="X392" s="982">
        <f t="shared" si="710"/>
        <v>0</v>
      </c>
      <c r="Y392" s="441"/>
      <c r="Z392" s="277">
        <f t="shared" si="711"/>
        <v>0</v>
      </c>
      <c r="AA392" s="277">
        <f t="shared" si="712"/>
        <v>0</v>
      </c>
      <c r="AB392" s="277">
        <f t="shared" si="713"/>
        <v>0</v>
      </c>
      <c r="AC392" s="277">
        <f t="shared" si="714"/>
        <v>0</v>
      </c>
      <c r="AD392" s="277">
        <f t="shared" si="715"/>
        <v>0</v>
      </c>
      <c r="AE392" s="277">
        <f t="shared" si="716"/>
        <v>0</v>
      </c>
      <c r="AF392" s="277">
        <f t="shared" si="717"/>
        <v>0</v>
      </c>
      <c r="AG392" s="277">
        <f t="shared" si="718"/>
        <v>0</v>
      </c>
      <c r="AI392" s="444">
        <f t="shared" si="763"/>
        <v>0</v>
      </c>
      <c r="AJ392" s="1090"/>
      <c r="AK392" s="489"/>
      <c r="AL392" s="811">
        <f t="shared" si="720"/>
        <v>46286</v>
      </c>
      <c r="AM392" s="666">
        <f>IFERROR(IF(AND(AT392="",AR392&lt;&gt;S.CAL!$BJ$3,AR392&lt;&gt;S.CAL!$BJ$4,$AR$365="NON"),M392-BD392,IF(AND(AT392="",AR392&lt;&gt;S.CAL!$BJ$3,AR392&lt;&gt;S.CAL!$BJ$4,$AR$365="OUI"),X392-AI392,IF(AT392&lt;&gt;0,AT392,IF(OR(AR392=S.CAL!$BJ$3,AR392=S.CAL!$BJ$4),AR392,"")))),"")</f>
        <v>0</v>
      </c>
      <c r="AN392" s="1093"/>
      <c r="AO392" s="1094"/>
      <c r="AP392" s="666">
        <f>+IF(AND(AU392="",BB392="OUI",BH392="non",BI392="OUI"),AM392,IF(AND(AU392="",BB392="OUI",BH392="oui",BI392="NON"),AM392,IF(AND(AU392="",BB392="NON",BH392="oui",BI392="NON"),M392,IF(AND(AU392="",BB392="NON",BH392="non",BI392="OUI"),M392,IF(AND(AU392="",BB392="OUI",BH392="non",BI392="NON"),"ERREUR",IF(AND(AU392="",BB392="NON",BH392="non",BI392="NON"),AM392,IF(AND(AU392="",BB392="OUI",BH392="",BI392=""),AM392,IF(AND(AU392="",BB392="NON",BH392="",BI392="",AZ392="NON"),M392,IF(AND(AU392="",BH392="",AZ392="OUI",AR392=""),AM392,IF(AND(AU392="",BH392="",AZ392="NON",AR392="",AT392=""),M392,IF(AND(OR(AR392=S.CAL!$BJ$3,AR392=S.CAL!$BJ$4),(VLOOKUP($AM$365,base_nbre_sem_mensu,2,FALSE)=52)),EE392,IF(AND(OR(AR392=S.CAL!$BJ$3,AR392=S.CAL!$BJ$4),(VLOOKUP($AM$365,base_nbre_sem_mensu,2,FALSE)&lt;52)),AM392,IF(AND(AT392&lt;&gt;"",AU392=""),AT392,AU392)))))))))))))</f>
        <v>0</v>
      </c>
      <c r="AQ392" s="498">
        <f t="shared" si="740"/>
        <v>0</v>
      </c>
      <c r="AR392" s="1098"/>
      <c r="AT392" s="1101"/>
      <c r="AU392" s="813"/>
      <c r="AV392" s="1370">
        <f t="shared" si="721"/>
        <v>46286</v>
      </c>
      <c r="AX392" s="511">
        <f t="shared" si="741"/>
        <v>46286</v>
      </c>
      <c r="AY392" s="523">
        <f t="shared" si="742"/>
        <v>0</v>
      </c>
      <c r="AZ392" s="520" t="s">
        <v>137</v>
      </c>
      <c r="BA392" s="516">
        <f t="shared" si="743"/>
        <v>0</v>
      </c>
      <c r="BB392" s="549" t="str">
        <f t="shared" si="722"/>
        <v/>
      </c>
      <c r="BC392" s="523">
        <f t="shared" si="744"/>
        <v>0</v>
      </c>
      <c r="BD392" s="523">
        <f t="shared" si="745"/>
        <v>0</v>
      </c>
      <c r="BE392" s="1104"/>
      <c r="BF392" s="514" t="str">
        <f t="shared" si="723"/>
        <v/>
      </c>
      <c r="BG392" s="514" t="str">
        <f t="shared" si="746"/>
        <v>oui</v>
      </c>
      <c r="BH392" s="377" t="str">
        <f t="shared" si="724"/>
        <v/>
      </c>
      <c r="BI392" s="24" t="str">
        <f t="shared" si="725"/>
        <v/>
      </c>
      <c r="BJ392" s="1381"/>
      <c r="BK392" s="1381"/>
      <c r="BL392" s="1381"/>
      <c r="BM392" s="1381"/>
      <c r="BN392" s="1381"/>
      <c r="BO392" s="1381"/>
      <c r="BP392" s="1381"/>
      <c r="BQ392" s="1381"/>
      <c r="BS392" s="1370">
        <f t="shared" si="692"/>
        <v>46286</v>
      </c>
      <c r="BT392" s="27">
        <f t="shared" si="754"/>
        <v>39</v>
      </c>
      <c r="BU392" s="1380"/>
      <c r="BV392" s="1380"/>
      <c r="BW392" s="1380"/>
      <c r="BX392" s="1380"/>
      <c r="BY392" s="1380"/>
      <c r="BZ392" s="1380"/>
      <c r="CA392" s="1380"/>
      <c r="CB392" s="1380"/>
      <c r="CD392" s="1386">
        <f t="shared" si="747"/>
        <v>0</v>
      </c>
      <c r="DC392" s="16" t="str">
        <f>Septembre!FC40</f>
        <v>non</v>
      </c>
      <c r="DG392" s="315">
        <f t="shared" si="748"/>
        <v>1</v>
      </c>
      <c r="DH392" s="129">
        <f t="shared" si="726"/>
        <v>10</v>
      </c>
      <c r="DI392" s="129">
        <f t="shared" si="749"/>
        <v>1</v>
      </c>
      <c r="DK392" s="16">
        <f>+IF(AND(Septembre!$DP$8&lt;&gt;52,AR392=S.CAL!$BJ$4),10,1)</f>
        <v>1</v>
      </c>
      <c r="DN392" s="16">
        <f t="shared" si="727"/>
        <v>1</v>
      </c>
      <c r="DU392" s="1274" t="str">
        <f t="shared" si="750"/>
        <v>Fiche infoA146286</v>
      </c>
      <c r="DV392" s="1362">
        <f t="shared" si="728"/>
        <v>0</v>
      </c>
      <c r="DW392" s="1363">
        <f t="shared" si="729"/>
        <v>0</v>
      </c>
      <c r="DX392" s="1363">
        <f t="shared" si="730"/>
        <v>0</v>
      </c>
      <c r="DY392" s="1363">
        <f t="shared" si="731"/>
        <v>0</v>
      </c>
      <c r="DZ392" s="1363">
        <f t="shared" si="732"/>
        <v>0</v>
      </c>
      <c r="EA392" s="1363">
        <f t="shared" si="733"/>
        <v>0</v>
      </c>
      <c r="EB392" s="1363">
        <f t="shared" si="734"/>
        <v>0</v>
      </c>
      <c r="EC392" s="1363">
        <f t="shared" si="735"/>
        <v>0</v>
      </c>
      <c r="ED392" s="1363">
        <f t="shared" si="751"/>
        <v>0</v>
      </c>
      <c r="EE392" s="1364">
        <f t="shared" si="752"/>
        <v>0</v>
      </c>
      <c r="EG392" s="16" t="str">
        <f t="shared" si="753"/>
        <v>392026</v>
      </c>
      <c r="EH392" s="16" t="str">
        <f t="shared" si="736"/>
        <v>Fiche infoA1</v>
      </c>
      <c r="EI392" s="16" t="str">
        <f t="shared" si="737"/>
        <v/>
      </c>
    </row>
    <row r="393" spans="1:139" x14ac:dyDescent="0.2">
      <c r="A393" s="1373" t="str">
        <f>Septembre!BJ41</f>
        <v>Fiche infoA2</v>
      </c>
      <c r="B393" s="811">
        <f>Septembre!AB41</f>
        <v>46287</v>
      </c>
      <c r="C393" s="1372"/>
      <c r="D393" s="981">
        <f t="shared" si="693"/>
        <v>0</v>
      </c>
      <c r="E393" s="434">
        <f t="shared" si="694"/>
        <v>0</v>
      </c>
      <c r="F393" s="434">
        <f t="shared" si="695"/>
        <v>0</v>
      </c>
      <c r="G393" s="434">
        <f t="shared" si="696"/>
        <v>0</v>
      </c>
      <c r="H393" s="434">
        <f t="shared" si="697"/>
        <v>0</v>
      </c>
      <c r="I393" s="434">
        <f t="shared" si="698"/>
        <v>0</v>
      </c>
      <c r="J393" s="434">
        <f t="shared" si="699"/>
        <v>0</v>
      </c>
      <c r="K393" s="434">
        <f t="shared" si="700"/>
        <v>0</v>
      </c>
      <c r="L393" s="434">
        <f t="shared" si="738"/>
        <v>0</v>
      </c>
      <c r="M393" s="982">
        <f t="shared" si="739"/>
        <v>0</v>
      </c>
      <c r="N393" s="1374"/>
      <c r="O393" s="981">
        <f t="shared" si="755"/>
        <v>0</v>
      </c>
      <c r="P393" s="434">
        <f t="shared" si="756"/>
        <v>0</v>
      </c>
      <c r="Q393" s="434">
        <f t="shared" si="757"/>
        <v>0</v>
      </c>
      <c r="R393" s="434">
        <f t="shared" si="758"/>
        <v>0</v>
      </c>
      <c r="S393" s="434">
        <f t="shared" si="759"/>
        <v>0</v>
      </c>
      <c r="T393" s="434">
        <f t="shared" si="760"/>
        <v>0</v>
      </c>
      <c r="U393" s="434">
        <f t="shared" si="761"/>
        <v>0</v>
      </c>
      <c r="V393" s="434">
        <f t="shared" si="762"/>
        <v>0</v>
      </c>
      <c r="W393" s="434">
        <f t="shared" si="709"/>
        <v>0</v>
      </c>
      <c r="X393" s="982">
        <f t="shared" si="710"/>
        <v>0</v>
      </c>
      <c r="Y393" s="1375"/>
      <c r="Z393" s="1376">
        <f t="shared" si="711"/>
        <v>0</v>
      </c>
      <c r="AA393" s="1376">
        <f t="shared" si="712"/>
        <v>0</v>
      </c>
      <c r="AB393" s="1376">
        <f t="shared" si="713"/>
        <v>0</v>
      </c>
      <c r="AC393" s="1376">
        <f t="shared" si="714"/>
        <v>0</v>
      </c>
      <c r="AD393" s="1376">
        <f t="shared" si="715"/>
        <v>0</v>
      </c>
      <c r="AE393" s="1376">
        <f t="shared" si="716"/>
        <v>0</v>
      </c>
      <c r="AF393" s="1376">
        <f t="shared" si="717"/>
        <v>0</v>
      </c>
      <c r="AG393" s="1376">
        <f t="shared" si="718"/>
        <v>0</v>
      </c>
      <c r="AH393" s="1374"/>
      <c r="AI393" s="444">
        <f t="shared" si="763"/>
        <v>0</v>
      </c>
      <c r="AJ393" s="1090"/>
      <c r="AK393" s="1377"/>
      <c r="AL393" s="811">
        <f t="shared" si="720"/>
        <v>46287</v>
      </c>
      <c r="AM393" s="666">
        <f>IFERROR(IF(AND(AT393="",AR393&lt;&gt;S.CAL!$BJ$3,AR393&lt;&gt;S.CAL!$BJ$4,$AR$365="NON"),M393-BD393,IF(AND(AT393="",AR393&lt;&gt;S.CAL!$BJ$3,AR393&lt;&gt;S.CAL!$BJ$4,$AR$365="OUI"),X393-AI393,IF(AT393&lt;&gt;0,AT393,IF(OR(AR393=S.CAL!$BJ$3,AR393=S.CAL!$BJ$4),AR393,"")))),"")</f>
        <v>0</v>
      </c>
      <c r="AN393" s="1093"/>
      <c r="AO393" s="1094"/>
      <c r="AP393" s="666">
        <f>+IF(AND(AU393="",BB393="OUI",BH393="non",BI393="OUI"),AM393,IF(AND(AU393="",BB393="OUI",BH393="oui",BI393="NON"),AM393,IF(AND(AU393="",BB393="NON",BH393="oui",BI393="NON"),M393,IF(AND(AU393="",BB393="NON",BH393="non",BI393="OUI"),M393,IF(AND(AU393="",BB393="OUI",BH393="non",BI393="NON"),"ERREUR",IF(AND(AU393="",BB393="NON",BH393="non",BI393="NON"),AM393,IF(AND(AU393="",BB393="OUI",BH393="",BI393=""),AM393,IF(AND(AU393="",BB393="NON",BH393="",BI393="",AZ393="NON"),M393,IF(AND(AU393="",BH393="",AZ393="OUI",AR393=""),AM393,IF(AND(AU393="",BH393="",AZ393="NON",AR393="",AT393=""),M393,IF(AND(OR(AR393=S.CAL!$BJ$3,AR393=S.CAL!$BJ$4),(VLOOKUP($AM$365,base_nbre_sem_mensu,2,FALSE)=52)),EE393,IF(AND(OR(AR393=S.CAL!$BJ$3,AR393=S.CAL!$BJ$4),(VLOOKUP($AM$365,base_nbre_sem_mensu,2,FALSE)&lt;52)),AM393,IF(AND(AT393&lt;&gt;"",AU393=""),AT393,AU393)))))))))))))</f>
        <v>0</v>
      </c>
      <c r="AQ393" s="1378">
        <f t="shared" si="740"/>
        <v>0</v>
      </c>
      <c r="AR393" s="1098"/>
      <c r="AS393" s="1374"/>
      <c r="AT393" s="1101"/>
      <c r="AU393" s="813"/>
      <c r="AV393" s="1370">
        <f t="shared" si="721"/>
        <v>46287</v>
      </c>
      <c r="AW393" s="1374"/>
      <c r="AX393" s="511">
        <f t="shared" si="741"/>
        <v>46287</v>
      </c>
      <c r="AY393" s="523">
        <f t="shared" si="742"/>
        <v>0</v>
      </c>
      <c r="AZ393" s="520" t="s">
        <v>137</v>
      </c>
      <c r="BA393" s="516">
        <f t="shared" si="743"/>
        <v>0</v>
      </c>
      <c r="BB393" s="549" t="str">
        <f t="shared" si="722"/>
        <v/>
      </c>
      <c r="BC393" s="523">
        <f t="shared" si="744"/>
        <v>0</v>
      </c>
      <c r="BD393" s="523">
        <f t="shared" si="745"/>
        <v>0</v>
      </c>
      <c r="BE393" s="1104"/>
      <c r="BF393" s="514" t="str">
        <f t="shared" si="723"/>
        <v/>
      </c>
      <c r="BG393" s="514" t="str">
        <f t="shared" si="746"/>
        <v>oui</v>
      </c>
      <c r="BH393" s="377" t="str">
        <f t="shared" si="724"/>
        <v/>
      </c>
      <c r="BI393" s="24" t="str">
        <f t="shared" si="725"/>
        <v/>
      </c>
      <c r="BJ393" s="1382"/>
      <c r="BK393" s="1382"/>
      <c r="BL393" s="1382"/>
      <c r="BM393" s="1382"/>
      <c r="BN393" s="1382"/>
      <c r="BO393" s="1382"/>
      <c r="BP393" s="1382"/>
      <c r="BQ393" s="1382"/>
      <c r="BR393" s="1383"/>
      <c r="BS393" s="1370">
        <f t="shared" si="692"/>
        <v>46287</v>
      </c>
      <c r="BT393" s="1384" t="str">
        <f t="shared" si="754"/>
        <v/>
      </c>
      <c r="BU393" s="1382"/>
      <c r="BV393" s="1382"/>
      <c r="BW393" s="1382"/>
      <c r="BX393" s="1382"/>
      <c r="BY393" s="1382"/>
      <c r="BZ393" s="1382"/>
      <c r="CA393" s="1382"/>
      <c r="CB393" s="1382"/>
      <c r="CD393" s="1386">
        <f t="shared" si="747"/>
        <v>0</v>
      </c>
      <c r="DC393" s="16" t="str">
        <f>Septembre!FC41</f>
        <v>non</v>
      </c>
      <c r="DG393" s="315">
        <f t="shared" si="748"/>
        <v>1</v>
      </c>
      <c r="DH393" s="129">
        <f t="shared" si="726"/>
        <v>10</v>
      </c>
      <c r="DI393" s="129">
        <f t="shared" si="749"/>
        <v>1</v>
      </c>
      <c r="DK393" s="16">
        <f>+IF(AND(Septembre!$DP$8&lt;&gt;52,AR393=S.CAL!$BJ$4),10,1)</f>
        <v>1</v>
      </c>
      <c r="DN393" s="16">
        <f t="shared" si="727"/>
        <v>1</v>
      </c>
      <c r="DU393" s="1274" t="str">
        <f t="shared" si="750"/>
        <v>Fiche infoA246287</v>
      </c>
      <c r="DV393" s="1362">
        <f t="shared" si="728"/>
        <v>0</v>
      </c>
      <c r="DW393" s="1363">
        <f t="shared" si="729"/>
        <v>0</v>
      </c>
      <c r="DX393" s="1363">
        <f t="shared" si="730"/>
        <v>0</v>
      </c>
      <c r="DY393" s="1363">
        <f t="shared" si="731"/>
        <v>0</v>
      </c>
      <c r="DZ393" s="1363">
        <f t="shared" si="732"/>
        <v>0</v>
      </c>
      <c r="EA393" s="1363">
        <f t="shared" si="733"/>
        <v>0</v>
      </c>
      <c r="EB393" s="1363">
        <f t="shared" si="734"/>
        <v>0</v>
      </c>
      <c r="EC393" s="1363">
        <f t="shared" si="735"/>
        <v>0</v>
      </c>
      <c r="ED393" s="1363">
        <f t="shared" si="751"/>
        <v>0</v>
      </c>
      <c r="EE393" s="1364">
        <f t="shared" si="752"/>
        <v>0</v>
      </c>
      <c r="EG393" s="16" t="str">
        <f t="shared" si="753"/>
        <v>392026</v>
      </c>
      <c r="EH393" s="16" t="str">
        <f t="shared" si="736"/>
        <v>Fiche infoA2</v>
      </c>
      <c r="EI393" s="16" t="str">
        <f t="shared" si="737"/>
        <v/>
      </c>
    </row>
    <row r="394" spans="1:139" x14ac:dyDescent="0.2">
      <c r="A394" s="24" t="str">
        <f>Septembre!BJ42</f>
        <v>Fiche infoA3</v>
      </c>
      <c r="B394" s="811">
        <f>Septembre!AB42</f>
        <v>46288</v>
      </c>
      <c r="C394" s="1371"/>
      <c r="D394" s="981">
        <f t="shared" si="693"/>
        <v>0</v>
      </c>
      <c r="E394" s="434">
        <f t="shared" si="694"/>
        <v>0</v>
      </c>
      <c r="F394" s="434">
        <f t="shared" si="695"/>
        <v>0</v>
      </c>
      <c r="G394" s="434">
        <f t="shared" si="696"/>
        <v>0</v>
      </c>
      <c r="H394" s="434">
        <f t="shared" si="697"/>
        <v>0</v>
      </c>
      <c r="I394" s="434">
        <f t="shared" si="698"/>
        <v>0</v>
      </c>
      <c r="J394" s="434">
        <f t="shared" si="699"/>
        <v>0</v>
      </c>
      <c r="K394" s="434">
        <f t="shared" si="700"/>
        <v>0</v>
      </c>
      <c r="L394" s="434">
        <f t="shared" si="738"/>
        <v>0</v>
      </c>
      <c r="M394" s="982">
        <f t="shared" si="739"/>
        <v>0</v>
      </c>
      <c r="O394" s="981">
        <f t="shared" si="755"/>
        <v>0</v>
      </c>
      <c r="P394" s="434">
        <f t="shared" si="756"/>
        <v>0</v>
      </c>
      <c r="Q394" s="434">
        <f t="shared" si="757"/>
        <v>0</v>
      </c>
      <c r="R394" s="434">
        <f t="shared" si="758"/>
        <v>0</v>
      </c>
      <c r="S394" s="434">
        <f t="shared" si="759"/>
        <v>0</v>
      </c>
      <c r="T394" s="434">
        <f t="shared" si="760"/>
        <v>0</v>
      </c>
      <c r="U394" s="434">
        <f t="shared" si="761"/>
        <v>0</v>
      </c>
      <c r="V394" s="434">
        <f t="shared" si="762"/>
        <v>0</v>
      </c>
      <c r="W394" s="434">
        <f t="shared" si="709"/>
        <v>0</v>
      </c>
      <c r="X394" s="982">
        <f t="shared" si="710"/>
        <v>0</v>
      </c>
      <c r="Y394" s="441"/>
      <c r="Z394" s="277">
        <f t="shared" si="711"/>
        <v>0</v>
      </c>
      <c r="AA394" s="277">
        <f t="shared" si="712"/>
        <v>0</v>
      </c>
      <c r="AB394" s="277">
        <f t="shared" si="713"/>
        <v>0</v>
      </c>
      <c r="AC394" s="277">
        <f t="shared" si="714"/>
        <v>0</v>
      </c>
      <c r="AD394" s="277">
        <f t="shared" si="715"/>
        <v>0</v>
      </c>
      <c r="AE394" s="277">
        <f t="shared" si="716"/>
        <v>0</v>
      </c>
      <c r="AF394" s="277">
        <f t="shared" si="717"/>
        <v>0</v>
      </c>
      <c r="AG394" s="277">
        <f t="shared" si="718"/>
        <v>0</v>
      </c>
      <c r="AI394" s="444">
        <f t="shared" si="763"/>
        <v>0</v>
      </c>
      <c r="AJ394" s="1090"/>
      <c r="AK394" s="489"/>
      <c r="AL394" s="811">
        <f t="shared" si="720"/>
        <v>46288</v>
      </c>
      <c r="AM394" s="666">
        <f>IFERROR(IF(AND(AT394="",AR394&lt;&gt;S.CAL!$BJ$3,AR394&lt;&gt;S.CAL!$BJ$4,$AR$365="NON"),M394-BD394,IF(AND(AT394="",AR394&lt;&gt;S.CAL!$BJ$3,AR394&lt;&gt;S.CAL!$BJ$4,$AR$365="OUI"),X394-AI394,IF(AT394&lt;&gt;0,AT394,IF(OR(AR394=S.CAL!$BJ$3,AR394=S.CAL!$BJ$4),AR394,"")))),"")</f>
        <v>0</v>
      </c>
      <c r="AN394" s="1093"/>
      <c r="AO394" s="1094"/>
      <c r="AP394" s="666">
        <f>+IF(AND(AU394="",BB394="OUI",BH394="non",BI394="OUI"),AM394,IF(AND(AU394="",BB394="OUI",BH394="oui",BI394="NON"),AM394,IF(AND(AU394="",BB394="NON",BH394="oui",BI394="NON"),M394,IF(AND(AU394="",BB394="NON",BH394="non",BI394="OUI"),M394,IF(AND(AU394="",BB394="OUI",BH394="non",BI394="NON"),"ERREUR",IF(AND(AU394="",BB394="NON",BH394="non",BI394="NON"),AM394,IF(AND(AU394="",BB394="OUI",BH394="",BI394=""),AM394,IF(AND(AU394="",BB394="NON",BH394="",BI394="",AZ394="NON"),M394,IF(AND(AU394="",BH394="",AZ394="OUI",AR394=""),AM394,IF(AND(AU394="",BH394="",AZ394="NON",AR394="",AT394=""),M394,IF(AND(OR(AR394=S.CAL!$BJ$3,AR394=S.CAL!$BJ$4),(VLOOKUP($AM$365,base_nbre_sem_mensu,2,FALSE)=52)),EE394,IF(AND(OR(AR394=S.CAL!$BJ$3,AR394=S.CAL!$BJ$4),(VLOOKUP($AM$365,base_nbre_sem_mensu,2,FALSE)&lt;52)),AM394,IF(AND(AT394&lt;&gt;"",AU394=""),AT394,AU394)))))))))))))</f>
        <v>0</v>
      </c>
      <c r="AQ394" s="498">
        <f t="shared" si="740"/>
        <v>0</v>
      </c>
      <c r="AR394" s="1098"/>
      <c r="AT394" s="1101"/>
      <c r="AU394" s="813"/>
      <c r="AV394" s="1370">
        <f t="shared" si="721"/>
        <v>46288</v>
      </c>
      <c r="AX394" s="511">
        <f t="shared" si="741"/>
        <v>46288</v>
      </c>
      <c r="AY394" s="523">
        <f t="shared" si="742"/>
        <v>0</v>
      </c>
      <c r="AZ394" s="520" t="s">
        <v>137</v>
      </c>
      <c r="BA394" s="516">
        <f t="shared" si="743"/>
        <v>0</v>
      </c>
      <c r="BB394" s="549" t="str">
        <f t="shared" si="722"/>
        <v/>
      </c>
      <c r="BC394" s="523">
        <f t="shared" si="744"/>
        <v>0</v>
      </c>
      <c r="BD394" s="523">
        <f t="shared" si="745"/>
        <v>0</v>
      </c>
      <c r="BE394" s="1104"/>
      <c r="BF394" s="514" t="str">
        <f t="shared" si="723"/>
        <v/>
      </c>
      <c r="BG394" s="514" t="str">
        <f t="shared" si="746"/>
        <v>oui</v>
      </c>
      <c r="BH394" s="377" t="str">
        <f t="shared" si="724"/>
        <v/>
      </c>
      <c r="BI394" s="24" t="str">
        <f t="shared" si="725"/>
        <v/>
      </c>
      <c r="BJ394" s="1381"/>
      <c r="BK394" s="1381"/>
      <c r="BL394" s="1381"/>
      <c r="BM394" s="1381"/>
      <c r="BN394" s="1381"/>
      <c r="BO394" s="1381"/>
      <c r="BP394" s="1381"/>
      <c r="BQ394" s="1381"/>
      <c r="BS394" s="1370">
        <f t="shared" si="692"/>
        <v>46288</v>
      </c>
      <c r="BT394" s="27" t="str">
        <f t="shared" si="754"/>
        <v/>
      </c>
      <c r="BU394" s="1380"/>
      <c r="BV394" s="1380"/>
      <c r="BW394" s="1380"/>
      <c r="BX394" s="1380"/>
      <c r="BY394" s="1380"/>
      <c r="BZ394" s="1380"/>
      <c r="CA394" s="1380"/>
      <c r="CB394" s="1380"/>
      <c r="CD394" s="1386">
        <f t="shared" si="747"/>
        <v>0</v>
      </c>
      <c r="DC394" s="16" t="str">
        <f>Septembre!FC42</f>
        <v>non</v>
      </c>
      <c r="DG394" s="315">
        <f t="shared" si="748"/>
        <v>1</v>
      </c>
      <c r="DH394" s="129">
        <f t="shared" si="726"/>
        <v>10</v>
      </c>
      <c r="DI394" s="129">
        <f t="shared" si="749"/>
        <v>1</v>
      </c>
      <c r="DK394" s="16">
        <f>+IF(AND(Septembre!$DP$8&lt;&gt;52,AR394=S.CAL!$BJ$4),10,1)</f>
        <v>1</v>
      </c>
      <c r="DN394" s="16">
        <f t="shared" si="727"/>
        <v>1</v>
      </c>
      <c r="DU394" s="1274" t="str">
        <f t="shared" si="750"/>
        <v>Fiche infoA346288</v>
      </c>
      <c r="DV394" s="1362">
        <f t="shared" si="728"/>
        <v>0</v>
      </c>
      <c r="DW394" s="1363">
        <f t="shared" si="729"/>
        <v>0</v>
      </c>
      <c r="DX394" s="1363">
        <f t="shared" si="730"/>
        <v>0</v>
      </c>
      <c r="DY394" s="1363">
        <f t="shared" si="731"/>
        <v>0</v>
      </c>
      <c r="DZ394" s="1363">
        <f t="shared" si="732"/>
        <v>0</v>
      </c>
      <c r="EA394" s="1363">
        <f t="shared" si="733"/>
        <v>0</v>
      </c>
      <c r="EB394" s="1363">
        <f t="shared" si="734"/>
        <v>0</v>
      </c>
      <c r="EC394" s="1363">
        <f t="shared" si="735"/>
        <v>0</v>
      </c>
      <c r="ED394" s="1363">
        <f t="shared" si="751"/>
        <v>0</v>
      </c>
      <c r="EE394" s="1364">
        <f t="shared" si="752"/>
        <v>0</v>
      </c>
      <c r="EG394" s="16" t="str">
        <f t="shared" si="753"/>
        <v>392026</v>
      </c>
      <c r="EH394" s="16" t="str">
        <f t="shared" si="736"/>
        <v>Fiche infoA3</v>
      </c>
      <c r="EI394" s="16" t="str">
        <f t="shared" si="737"/>
        <v/>
      </c>
    </row>
    <row r="395" spans="1:139" x14ac:dyDescent="0.2">
      <c r="A395" s="1373" t="str">
        <f>Septembre!BJ43</f>
        <v>Fiche infoA4</v>
      </c>
      <c r="B395" s="811">
        <f>Septembre!AB43</f>
        <v>46289</v>
      </c>
      <c r="C395" s="1372"/>
      <c r="D395" s="981">
        <f t="shared" si="693"/>
        <v>0</v>
      </c>
      <c r="E395" s="434">
        <f t="shared" si="694"/>
        <v>0</v>
      </c>
      <c r="F395" s="434">
        <f t="shared" si="695"/>
        <v>0</v>
      </c>
      <c r="G395" s="434">
        <f t="shared" si="696"/>
        <v>0</v>
      </c>
      <c r="H395" s="434">
        <f t="shared" si="697"/>
        <v>0</v>
      </c>
      <c r="I395" s="434">
        <f t="shared" si="698"/>
        <v>0</v>
      </c>
      <c r="J395" s="434">
        <f t="shared" si="699"/>
        <v>0</v>
      </c>
      <c r="K395" s="434">
        <f t="shared" si="700"/>
        <v>0</v>
      </c>
      <c r="L395" s="434">
        <f t="shared" si="738"/>
        <v>0</v>
      </c>
      <c r="M395" s="982">
        <f t="shared" si="739"/>
        <v>0</v>
      </c>
      <c r="N395" s="1374"/>
      <c r="O395" s="981">
        <f t="shared" si="755"/>
        <v>0</v>
      </c>
      <c r="P395" s="434">
        <f t="shared" si="756"/>
        <v>0</v>
      </c>
      <c r="Q395" s="434">
        <f t="shared" si="757"/>
        <v>0</v>
      </c>
      <c r="R395" s="434">
        <f t="shared" si="758"/>
        <v>0</v>
      </c>
      <c r="S395" s="434">
        <f t="shared" si="759"/>
        <v>0</v>
      </c>
      <c r="T395" s="434">
        <f t="shared" si="760"/>
        <v>0</v>
      </c>
      <c r="U395" s="434">
        <f t="shared" si="761"/>
        <v>0</v>
      </c>
      <c r="V395" s="434">
        <f t="shared" si="762"/>
        <v>0</v>
      </c>
      <c r="W395" s="434">
        <f t="shared" si="709"/>
        <v>0</v>
      </c>
      <c r="X395" s="982">
        <f t="shared" si="710"/>
        <v>0</v>
      </c>
      <c r="Y395" s="1375"/>
      <c r="Z395" s="1376">
        <f t="shared" si="711"/>
        <v>0</v>
      </c>
      <c r="AA395" s="1376">
        <f t="shared" si="712"/>
        <v>0</v>
      </c>
      <c r="AB395" s="1376">
        <f t="shared" si="713"/>
        <v>0</v>
      </c>
      <c r="AC395" s="1376">
        <f t="shared" si="714"/>
        <v>0</v>
      </c>
      <c r="AD395" s="1376">
        <f t="shared" si="715"/>
        <v>0</v>
      </c>
      <c r="AE395" s="1376">
        <f t="shared" si="716"/>
        <v>0</v>
      </c>
      <c r="AF395" s="1376">
        <f t="shared" si="717"/>
        <v>0</v>
      </c>
      <c r="AG395" s="1376">
        <f t="shared" si="718"/>
        <v>0</v>
      </c>
      <c r="AH395" s="1374"/>
      <c r="AI395" s="444">
        <f t="shared" si="763"/>
        <v>0</v>
      </c>
      <c r="AJ395" s="1090"/>
      <c r="AK395" s="1377"/>
      <c r="AL395" s="811">
        <f t="shared" si="720"/>
        <v>46289</v>
      </c>
      <c r="AM395" s="666">
        <f>IFERROR(IF(AND(AT395="",AR395&lt;&gt;S.CAL!$BJ$3,AR395&lt;&gt;S.CAL!$BJ$4,$AR$365="NON"),M395-BD395,IF(AND(AT395="",AR395&lt;&gt;S.CAL!$BJ$3,AR395&lt;&gt;S.CAL!$BJ$4,$AR$365="OUI"),X395-AI395,IF(AT395&lt;&gt;0,AT395,IF(OR(AR395=S.CAL!$BJ$3,AR395=S.CAL!$BJ$4),AR395,"")))),"")</f>
        <v>0</v>
      </c>
      <c r="AN395" s="1093"/>
      <c r="AO395" s="1094"/>
      <c r="AP395" s="666">
        <f>+IF(AND(AU395="",BB395="OUI",BH395="non",BI395="OUI"),AM395,IF(AND(AU395="",BB395="OUI",BH395="oui",BI395="NON"),AM395,IF(AND(AU395="",BB395="NON",BH395="oui",BI395="NON"),M395,IF(AND(AU395="",BB395="NON",BH395="non",BI395="OUI"),M395,IF(AND(AU395="",BB395="OUI",BH395="non",BI395="NON"),"ERREUR",IF(AND(AU395="",BB395="NON",BH395="non",BI395="NON"),AM395,IF(AND(AU395="",BB395="OUI",BH395="",BI395=""),AM395,IF(AND(AU395="",BB395="NON",BH395="",BI395="",AZ395="NON"),M395,IF(AND(AU395="",BH395="",AZ395="OUI",AR395=""),AM395,IF(AND(AU395="",BH395="",AZ395="NON",AR395="",AT395=""),M395,IF(AND(OR(AR395=S.CAL!$BJ$3,AR395=S.CAL!$BJ$4),(VLOOKUP($AM$365,base_nbre_sem_mensu,2,FALSE)=52)),EE395,IF(AND(OR(AR395=S.CAL!$BJ$3,AR395=S.CAL!$BJ$4),(VLOOKUP($AM$365,base_nbre_sem_mensu,2,FALSE)&lt;52)),AM395,IF(AND(AT395&lt;&gt;"",AU395=""),AT395,AU395)))))))))))))</f>
        <v>0</v>
      </c>
      <c r="AQ395" s="1378">
        <f t="shared" si="740"/>
        <v>0</v>
      </c>
      <c r="AR395" s="1098"/>
      <c r="AS395" s="1374"/>
      <c r="AT395" s="1101"/>
      <c r="AU395" s="813"/>
      <c r="AV395" s="1370">
        <f t="shared" si="721"/>
        <v>46289</v>
      </c>
      <c r="AW395" s="1374"/>
      <c r="AX395" s="511">
        <f t="shared" si="741"/>
        <v>46289</v>
      </c>
      <c r="AY395" s="523">
        <f t="shared" si="742"/>
        <v>0</v>
      </c>
      <c r="AZ395" s="520" t="s">
        <v>137</v>
      </c>
      <c r="BA395" s="516">
        <f t="shared" si="743"/>
        <v>0</v>
      </c>
      <c r="BB395" s="549" t="str">
        <f t="shared" si="722"/>
        <v/>
      </c>
      <c r="BC395" s="523">
        <f t="shared" si="744"/>
        <v>0</v>
      </c>
      <c r="BD395" s="523">
        <f t="shared" si="745"/>
        <v>0</v>
      </c>
      <c r="BE395" s="1104"/>
      <c r="BF395" s="514" t="str">
        <f t="shared" si="723"/>
        <v/>
      </c>
      <c r="BG395" s="514" t="str">
        <f t="shared" si="746"/>
        <v>oui</v>
      </c>
      <c r="BH395" s="377" t="str">
        <f t="shared" si="724"/>
        <v/>
      </c>
      <c r="BI395" s="24" t="str">
        <f t="shared" si="725"/>
        <v/>
      </c>
      <c r="BJ395" s="1382"/>
      <c r="BK395" s="1382"/>
      <c r="BL395" s="1382"/>
      <c r="BM395" s="1382"/>
      <c r="BN395" s="1382"/>
      <c r="BO395" s="1382"/>
      <c r="BP395" s="1382"/>
      <c r="BQ395" s="1382"/>
      <c r="BR395" s="1383"/>
      <c r="BS395" s="1370">
        <f t="shared" si="692"/>
        <v>46289</v>
      </c>
      <c r="BT395" s="1384" t="str">
        <f t="shared" si="754"/>
        <v/>
      </c>
      <c r="BU395" s="1382"/>
      <c r="BV395" s="1382"/>
      <c r="BW395" s="1382"/>
      <c r="BX395" s="1382"/>
      <c r="BY395" s="1382"/>
      <c r="BZ395" s="1382"/>
      <c r="CA395" s="1382"/>
      <c r="CB395" s="1382"/>
      <c r="CD395" s="1386">
        <f t="shared" si="747"/>
        <v>0</v>
      </c>
      <c r="DC395" s="16" t="str">
        <f>Septembre!FC43</f>
        <v>non</v>
      </c>
      <c r="DG395" s="315">
        <f t="shared" si="748"/>
        <v>1</v>
      </c>
      <c r="DH395" s="129">
        <f t="shared" si="726"/>
        <v>10</v>
      </c>
      <c r="DI395" s="129">
        <f t="shared" si="749"/>
        <v>1</v>
      </c>
      <c r="DK395" s="16">
        <f>+IF(AND(Septembre!$DP$8&lt;&gt;52,AR395=S.CAL!$BJ$4),10,1)</f>
        <v>1</v>
      </c>
      <c r="DN395" s="16">
        <f t="shared" si="727"/>
        <v>1</v>
      </c>
      <c r="DU395" s="1274" t="str">
        <f t="shared" si="750"/>
        <v>Fiche infoA446289</v>
      </c>
      <c r="DV395" s="1362">
        <f t="shared" si="728"/>
        <v>0</v>
      </c>
      <c r="DW395" s="1363">
        <f t="shared" si="729"/>
        <v>0</v>
      </c>
      <c r="DX395" s="1363">
        <f t="shared" si="730"/>
        <v>0</v>
      </c>
      <c r="DY395" s="1363">
        <f t="shared" si="731"/>
        <v>0</v>
      </c>
      <c r="DZ395" s="1363">
        <f t="shared" si="732"/>
        <v>0</v>
      </c>
      <c r="EA395" s="1363">
        <f t="shared" si="733"/>
        <v>0</v>
      </c>
      <c r="EB395" s="1363">
        <f t="shared" si="734"/>
        <v>0</v>
      </c>
      <c r="EC395" s="1363">
        <f t="shared" si="735"/>
        <v>0</v>
      </c>
      <c r="ED395" s="1363">
        <f t="shared" si="751"/>
        <v>0</v>
      </c>
      <c r="EE395" s="1364">
        <f t="shared" si="752"/>
        <v>0</v>
      </c>
      <c r="EG395" s="16" t="str">
        <f t="shared" si="753"/>
        <v>392026</v>
      </c>
      <c r="EH395" s="16" t="str">
        <f t="shared" si="736"/>
        <v>Fiche infoA4</v>
      </c>
      <c r="EI395" s="16" t="str">
        <f t="shared" si="737"/>
        <v/>
      </c>
    </row>
    <row r="396" spans="1:139" x14ac:dyDescent="0.2">
      <c r="A396" s="24" t="str">
        <f>Septembre!BJ44</f>
        <v>Fiche infoA5</v>
      </c>
      <c r="B396" s="811">
        <f>Septembre!AB44</f>
        <v>46290</v>
      </c>
      <c r="C396" s="1371"/>
      <c r="D396" s="981">
        <f t="shared" si="693"/>
        <v>0</v>
      </c>
      <c r="E396" s="434">
        <f t="shared" si="694"/>
        <v>0</v>
      </c>
      <c r="F396" s="434">
        <f t="shared" si="695"/>
        <v>0</v>
      </c>
      <c r="G396" s="434">
        <f t="shared" si="696"/>
        <v>0</v>
      </c>
      <c r="H396" s="434">
        <f t="shared" si="697"/>
        <v>0</v>
      </c>
      <c r="I396" s="434">
        <f t="shared" si="698"/>
        <v>0</v>
      </c>
      <c r="J396" s="434">
        <f t="shared" si="699"/>
        <v>0</v>
      </c>
      <c r="K396" s="434">
        <f t="shared" si="700"/>
        <v>0</v>
      </c>
      <c r="L396" s="434">
        <f t="shared" si="738"/>
        <v>0</v>
      </c>
      <c r="M396" s="982">
        <f t="shared" si="739"/>
        <v>0</v>
      </c>
      <c r="O396" s="981">
        <f t="shared" si="755"/>
        <v>0</v>
      </c>
      <c r="P396" s="434">
        <f t="shared" si="756"/>
        <v>0</v>
      </c>
      <c r="Q396" s="434">
        <f t="shared" si="757"/>
        <v>0</v>
      </c>
      <c r="R396" s="434">
        <f t="shared" si="758"/>
        <v>0</v>
      </c>
      <c r="S396" s="434">
        <f t="shared" si="759"/>
        <v>0</v>
      </c>
      <c r="T396" s="434">
        <f t="shared" si="760"/>
        <v>0</v>
      </c>
      <c r="U396" s="434">
        <f t="shared" si="761"/>
        <v>0</v>
      </c>
      <c r="V396" s="434">
        <f t="shared" si="762"/>
        <v>0</v>
      </c>
      <c r="W396" s="434">
        <f t="shared" si="709"/>
        <v>0</v>
      </c>
      <c r="X396" s="982">
        <f t="shared" si="710"/>
        <v>0</v>
      </c>
      <c r="Y396" s="441"/>
      <c r="Z396" s="277">
        <f t="shared" si="711"/>
        <v>0</v>
      </c>
      <c r="AA396" s="277">
        <f t="shared" si="712"/>
        <v>0</v>
      </c>
      <c r="AB396" s="277">
        <f t="shared" si="713"/>
        <v>0</v>
      </c>
      <c r="AC396" s="277">
        <f t="shared" si="714"/>
        <v>0</v>
      </c>
      <c r="AD396" s="277">
        <f t="shared" si="715"/>
        <v>0</v>
      </c>
      <c r="AE396" s="277">
        <f t="shared" si="716"/>
        <v>0</v>
      </c>
      <c r="AF396" s="277">
        <f t="shared" si="717"/>
        <v>0</v>
      </c>
      <c r="AG396" s="277">
        <f t="shared" si="718"/>
        <v>0</v>
      </c>
      <c r="AI396" s="444">
        <f t="shared" si="763"/>
        <v>0</v>
      </c>
      <c r="AJ396" s="1090"/>
      <c r="AK396" s="489"/>
      <c r="AL396" s="811">
        <f t="shared" si="720"/>
        <v>46290</v>
      </c>
      <c r="AM396" s="666">
        <f>IFERROR(IF(AND(AT396="",AR396&lt;&gt;S.CAL!$BJ$3,AR396&lt;&gt;S.CAL!$BJ$4,$AR$365="NON"),M396-BD396,IF(AND(AT396="",AR396&lt;&gt;S.CAL!$BJ$3,AR396&lt;&gt;S.CAL!$BJ$4,$AR$365="OUI"),X396-AI396,IF(AT396&lt;&gt;0,AT396,IF(OR(AR396=S.CAL!$BJ$3,AR396=S.CAL!$BJ$4),AR396,"")))),"")</f>
        <v>0</v>
      </c>
      <c r="AN396" s="1093"/>
      <c r="AO396" s="1094"/>
      <c r="AP396" s="666">
        <f>+IF(AND(AU396="",BB396="OUI",BH396="non",BI396="OUI"),AM396,IF(AND(AU396="",BB396="OUI",BH396="oui",BI396="NON"),AM396,IF(AND(AU396="",BB396="NON",BH396="oui",BI396="NON"),M396,IF(AND(AU396="",BB396="NON",BH396="non",BI396="OUI"),M396,IF(AND(AU396="",BB396="OUI",BH396="non",BI396="NON"),"ERREUR",IF(AND(AU396="",BB396="NON",BH396="non",BI396="NON"),AM396,IF(AND(AU396="",BB396="OUI",BH396="",BI396=""),AM396,IF(AND(AU396="",BB396="NON",BH396="",BI396="",AZ396="NON"),M396,IF(AND(AU396="",BH396="",AZ396="OUI",AR396=""),AM396,IF(AND(AU396="",BH396="",AZ396="NON",AR396="",AT396=""),M396,IF(AND(OR(AR396=S.CAL!$BJ$3,AR396=S.CAL!$BJ$4),(VLOOKUP($AM$365,base_nbre_sem_mensu,2,FALSE)=52)),EE396,IF(AND(OR(AR396=S.CAL!$BJ$3,AR396=S.CAL!$BJ$4),(VLOOKUP($AM$365,base_nbre_sem_mensu,2,FALSE)&lt;52)),AM396,IF(AND(AT396&lt;&gt;"",AU396=""),AT396,AU396)))))))))))))</f>
        <v>0</v>
      </c>
      <c r="AQ396" s="498">
        <f t="shared" si="740"/>
        <v>0</v>
      </c>
      <c r="AR396" s="1098"/>
      <c r="AT396" s="1101"/>
      <c r="AU396" s="813"/>
      <c r="AV396" s="1370">
        <f t="shared" si="721"/>
        <v>46290</v>
      </c>
      <c r="AX396" s="511">
        <f t="shared" si="741"/>
        <v>46290</v>
      </c>
      <c r="AY396" s="523">
        <f t="shared" si="742"/>
        <v>0</v>
      </c>
      <c r="AZ396" s="520" t="s">
        <v>137</v>
      </c>
      <c r="BA396" s="516">
        <f t="shared" si="743"/>
        <v>0</v>
      </c>
      <c r="BB396" s="549" t="str">
        <f t="shared" si="722"/>
        <v/>
      </c>
      <c r="BC396" s="523">
        <f t="shared" si="744"/>
        <v>0</v>
      </c>
      <c r="BD396" s="523">
        <f t="shared" si="745"/>
        <v>0</v>
      </c>
      <c r="BE396" s="1104"/>
      <c r="BF396" s="514" t="str">
        <f t="shared" si="723"/>
        <v/>
      </c>
      <c r="BG396" s="514" t="str">
        <f t="shared" si="746"/>
        <v>oui</v>
      </c>
      <c r="BH396" s="377" t="str">
        <f t="shared" si="724"/>
        <v/>
      </c>
      <c r="BI396" s="24" t="str">
        <f t="shared" si="725"/>
        <v/>
      </c>
      <c r="BJ396" s="1381"/>
      <c r="BK396" s="1381"/>
      <c r="BL396" s="1381"/>
      <c r="BM396" s="1381"/>
      <c r="BN396" s="1381"/>
      <c r="BO396" s="1381"/>
      <c r="BP396" s="1381"/>
      <c r="BQ396" s="1381"/>
      <c r="BS396" s="1370">
        <f t="shared" si="692"/>
        <v>46290</v>
      </c>
      <c r="BT396" s="27" t="str">
        <f t="shared" si="754"/>
        <v/>
      </c>
      <c r="BU396" s="1380"/>
      <c r="BV396" s="1380"/>
      <c r="BW396" s="1380"/>
      <c r="BX396" s="1380"/>
      <c r="BY396" s="1380"/>
      <c r="BZ396" s="1380"/>
      <c r="CA396" s="1380"/>
      <c r="CB396" s="1380"/>
      <c r="CD396" s="1386">
        <f t="shared" si="747"/>
        <v>0</v>
      </c>
      <c r="DC396" s="16" t="str">
        <f>Septembre!FC44</f>
        <v>non</v>
      </c>
      <c r="DG396" s="315">
        <f t="shared" si="748"/>
        <v>1</v>
      </c>
      <c r="DH396" s="129">
        <f t="shared" si="726"/>
        <v>10</v>
      </c>
      <c r="DI396" s="129">
        <f t="shared" si="749"/>
        <v>1</v>
      </c>
      <c r="DK396" s="16">
        <f>+IF(AND(Septembre!$DP$8&lt;&gt;52,AR396=S.CAL!$BJ$4),10,1)</f>
        <v>1</v>
      </c>
      <c r="DN396" s="16">
        <f t="shared" si="727"/>
        <v>1</v>
      </c>
      <c r="DU396" s="1274" t="str">
        <f t="shared" si="750"/>
        <v>Fiche infoA546290</v>
      </c>
      <c r="DV396" s="1362">
        <f t="shared" si="728"/>
        <v>0</v>
      </c>
      <c r="DW396" s="1363">
        <f t="shared" si="729"/>
        <v>0</v>
      </c>
      <c r="DX396" s="1363">
        <f t="shared" si="730"/>
        <v>0</v>
      </c>
      <c r="DY396" s="1363">
        <f t="shared" si="731"/>
        <v>0</v>
      </c>
      <c r="DZ396" s="1363">
        <f t="shared" si="732"/>
        <v>0</v>
      </c>
      <c r="EA396" s="1363">
        <f t="shared" si="733"/>
        <v>0</v>
      </c>
      <c r="EB396" s="1363">
        <f t="shared" si="734"/>
        <v>0</v>
      </c>
      <c r="EC396" s="1363">
        <f t="shared" si="735"/>
        <v>0</v>
      </c>
      <c r="ED396" s="1363">
        <f t="shared" si="751"/>
        <v>0</v>
      </c>
      <c r="EE396" s="1364">
        <f t="shared" si="752"/>
        <v>0</v>
      </c>
      <c r="EG396" s="16" t="str">
        <f t="shared" si="753"/>
        <v>392026</v>
      </c>
      <c r="EH396" s="16" t="str">
        <f t="shared" si="736"/>
        <v>Fiche infoA5</v>
      </c>
      <c r="EI396" s="16" t="str">
        <f t="shared" si="737"/>
        <v/>
      </c>
    </row>
    <row r="397" spans="1:139" x14ac:dyDescent="0.2">
      <c r="A397" s="1373" t="str">
        <f>Septembre!BJ45</f>
        <v>Fiche infoA6</v>
      </c>
      <c r="B397" s="811">
        <f>Septembre!AB45</f>
        <v>46291</v>
      </c>
      <c r="C397" s="1372"/>
      <c r="D397" s="981">
        <f t="shared" si="693"/>
        <v>0</v>
      </c>
      <c r="E397" s="434">
        <f t="shared" si="694"/>
        <v>0</v>
      </c>
      <c r="F397" s="434">
        <f t="shared" si="695"/>
        <v>0</v>
      </c>
      <c r="G397" s="434">
        <f t="shared" si="696"/>
        <v>0</v>
      </c>
      <c r="H397" s="434">
        <f t="shared" si="697"/>
        <v>0</v>
      </c>
      <c r="I397" s="434">
        <f t="shared" si="698"/>
        <v>0</v>
      </c>
      <c r="J397" s="434">
        <f t="shared" si="699"/>
        <v>0</v>
      </c>
      <c r="K397" s="434">
        <f t="shared" si="700"/>
        <v>0</v>
      </c>
      <c r="L397" s="434">
        <f t="shared" si="738"/>
        <v>0</v>
      </c>
      <c r="M397" s="982">
        <f t="shared" si="739"/>
        <v>0</v>
      </c>
      <c r="N397" s="1374"/>
      <c r="O397" s="981">
        <f t="shared" si="755"/>
        <v>0</v>
      </c>
      <c r="P397" s="434">
        <f t="shared" si="756"/>
        <v>0</v>
      </c>
      <c r="Q397" s="434">
        <f t="shared" si="757"/>
        <v>0</v>
      </c>
      <c r="R397" s="434">
        <f t="shared" si="758"/>
        <v>0</v>
      </c>
      <c r="S397" s="434">
        <f t="shared" si="759"/>
        <v>0</v>
      </c>
      <c r="T397" s="434">
        <f t="shared" si="760"/>
        <v>0</v>
      </c>
      <c r="U397" s="434">
        <f t="shared" si="761"/>
        <v>0</v>
      </c>
      <c r="V397" s="434">
        <f t="shared" si="762"/>
        <v>0</v>
      </c>
      <c r="W397" s="434">
        <f t="shared" si="709"/>
        <v>0</v>
      </c>
      <c r="X397" s="982">
        <f t="shared" si="710"/>
        <v>0</v>
      </c>
      <c r="Y397" s="1375"/>
      <c r="Z397" s="1376">
        <f t="shared" si="711"/>
        <v>0</v>
      </c>
      <c r="AA397" s="1376">
        <f t="shared" si="712"/>
        <v>0</v>
      </c>
      <c r="AB397" s="1376">
        <f t="shared" si="713"/>
        <v>0</v>
      </c>
      <c r="AC397" s="1376">
        <f t="shared" si="714"/>
        <v>0</v>
      </c>
      <c r="AD397" s="1376">
        <f t="shared" si="715"/>
        <v>0</v>
      </c>
      <c r="AE397" s="1376">
        <f t="shared" si="716"/>
        <v>0</v>
      </c>
      <c r="AF397" s="1376">
        <f t="shared" si="717"/>
        <v>0</v>
      </c>
      <c r="AG397" s="1376">
        <f t="shared" si="718"/>
        <v>0</v>
      </c>
      <c r="AH397" s="1374"/>
      <c r="AI397" s="444">
        <f t="shared" si="763"/>
        <v>0</v>
      </c>
      <c r="AJ397" s="1090"/>
      <c r="AK397" s="1377"/>
      <c r="AL397" s="811">
        <f t="shared" si="720"/>
        <v>46291</v>
      </c>
      <c r="AM397" s="666">
        <f>IFERROR(IF(AND(AT397="",AR397&lt;&gt;S.CAL!$BJ$3,AR397&lt;&gt;S.CAL!$BJ$4,$AR$365="NON"),M397-BD397,IF(AND(AT397="",AR397&lt;&gt;S.CAL!$BJ$3,AR397&lt;&gt;S.CAL!$BJ$4,$AR$365="OUI"),X397-AI397,IF(AT397&lt;&gt;0,AT397,IF(OR(AR397=S.CAL!$BJ$3,AR397=S.CAL!$BJ$4),AR397,"")))),"")</f>
        <v>0</v>
      </c>
      <c r="AN397" s="1093"/>
      <c r="AO397" s="1094"/>
      <c r="AP397" s="666">
        <f>+IF(AND(AU397="",BB397="OUI",BH397="non",BI397="OUI"),AM397,IF(AND(AU397="",BB397="OUI",BH397="oui",BI397="NON"),AM397,IF(AND(AU397="",BB397="NON",BH397="oui",BI397="NON"),M397,IF(AND(AU397="",BB397="NON",BH397="non",BI397="OUI"),M397,IF(AND(AU397="",BB397="OUI",BH397="non",BI397="NON"),"ERREUR",IF(AND(AU397="",BB397="NON",BH397="non",BI397="NON"),AM397,IF(AND(AU397="",BB397="OUI",BH397="",BI397=""),AM397,IF(AND(AU397="",BB397="NON",BH397="",BI397="",AZ397="NON"),M397,IF(AND(AU397="",BH397="",AZ397="OUI",AR397=""),AM397,IF(AND(AU397="",BH397="",AZ397="NON",AR397="",AT397=""),M397,IF(AND(OR(AR397=S.CAL!$BJ$3,AR397=S.CAL!$BJ$4),(VLOOKUP($AM$365,base_nbre_sem_mensu,2,FALSE)=52)),EE397,IF(AND(OR(AR397=S.CAL!$BJ$3,AR397=S.CAL!$BJ$4),(VLOOKUP($AM$365,base_nbre_sem_mensu,2,FALSE)&lt;52)),AM397,IF(AND(AT397&lt;&gt;"",AU397=""),AT397,AU397)))))))))))))</f>
        <v>0</v>
      </c>
      <c r="AQ397" s="1378">
        <f t="shared" si="740"/>
        <v>0</v>
      </c>
      <c r="AR397" s="1098"/>
      <c r="AS397" s="1374"/>
      <c r="AT397" s="1101"/>
      <c r="AU397" s="813"/>
      <c r="AV397" s="1370">
        <f t="shared" si="721"/>
        <v>46291</v>
      </c>
      <c r="AW397" s="1374"/>
      <c r="AX397" s="511">
        <f t="shared" si="741"/>
        <v>46291</v>
      </c>
      <c r="AY397" s="523">
        <f t="shared" si="742"/>
        <v>0</v>
      </c>
      <c r="AZ397" s="520" t="s">
        <v>137</v>
      </c>
      <c r="BA397" s="516">
        <f t="shared" si="743"/>
        <v>0</v>
      </c>
      <c r="BB397" s="549" t="str">
        <f t="shared" si="722"/>
        <v/>
      </c>
      <c r="BC397" s="523">
        <f t="shared" si="744"/>
        <v>0</v>
      </c>
      <c r="BD397" s="523">
        <f t="shared" si="745"/>
        <v>0</v>
      </c>
      <c r="BE397" s="1104"/>
      <c r="BF397" s="514" t="str">
        <f t="shared" si="723"/>
        <v/>
      </c>
      <c r="BG397" s="514" t="str">
        <f t="shared" si="746"/>
        <v>oui</v>
      </c>
      <c r="BH397" s="377" t="str">
        <f t="shared" si="724"/>
        <v/>
      </c>
      <c r="BI397" s="24" t="str">
        <f t="shared" si="725"/>
        <v/>
      </c>
      <c r="BJ397" s="1382"/>
      <c r="BK397" s="1382"/>
      <c r="BL397" s="1382"/>
      <c r="BM397" s="1382"/>
      <c r="BN397" s="1382"/>
      <c r="BO397" s="1382"/>
      <c r="BP397" s="1382"/>
      <c r="BQ397" s="1382"/>
      <c r="BR397" s="1383"/>
      <c r="BS397" s="1370">
        <f t="shared" si="692"/>
        <v>46291</v>
      </c>
      <c r="BT397" s="1384" t="str">
        <f t="shared" si="754"/>
        <v/>
      </c>
      <c r="BU397" s="1382"/>
      <c r="BV397" s="1382"/>
      <c r="BW397" s="1382"/>
      <c r="BX397" s="1382"/>
      <c r="BY397" s="1382"/>
      <c r="BZ397" s="1382"/>
      <c r="CA397" s="1382"/>
      <c r="CB397" s="1382"/>
      <c r="CD397" s="1386">
        <f t="shared" si="747"/>
        <v>0</v>
      </c>
      <c r="DC397" s="16" t="str">
        <f>Septembre!FC45</f>
        <v>non</v>
      </c>
      <c r="DG397" s="315">
        <f t="shared" si="748"/>
        <v>1</v>
      </c>
      <c r="DH397" s="129">
        <f t="shared" si="726"/>
        <v>10</v>
      </c>
      <c r="DI397" s="129">
        <f t="shared" si="749"/>
        <v>1</v>
      </c>
      <c r="DK397" s="16">
        <f>+IF(AND(Septembre!$DP$8&lt;&gt;52,AR397=S.CAL!$BJ$4),10,1)</f>
        <v>1</v>
      </c>
      <c r="DN397" s="16">
        <f t="shared" si="727"/>
        <v>1</v>
      </c>
      <c r="DU397" s="1274" t="str">
        <f t="shared" si="750"/>
        <v>Fiche infoA646291</v>
      </c>
      <c r="DV397" s="1362">
        <f t="shared" si="728"/>
        <v>0</v>
      </c>
      <c r="DW397" s="1363">
        <f t="shared" si="729"/>
        <v>0</v>
      </c>
      <c r="DX397" s="1363">
        <f t="shared" si="730"/>
        <v>0</v>
      </c>
      <c r="DY397" s="1363">
        <f t="shared" si="731"/>
        <v>0</v>
      </c>
      <c r="DZ397" s="1363">
        <f t="shared" si="732"/>
        <v>0</v>
      </c>
      <c r="EA397" s="1363">
        <f t="shared" si="733"/>
        <v>0</v>
      </c>
      <c r="EB397" s="1363">
        <f t="shared" si="734"/>
        <v>0</v>
      </c>
      <c r="EC397" s="1363">
        <f t="shared" si="735"/>
        <v>0</v>
      </c>
      <c r="ED397" s="1363">
        <f t="shared" si="751"/>
        <v>0</v>
      </c>
      <c r="EE397" s="1364">
        <f t="shared" si="752"/>
        <v>0</v>
      </c>
      <c r="EG397" s="16" t="str">
        <f t="shared" si="753"/>
        <v>392026</v>
      </c>
      <c r="EH397" s="16" t="str">
        <f t="shared" si="736"/>
        <v>Fiche infoA6</v>
      </c>
      <c r="EI397" s="16" t="str">
        <f t="shared" si="737"/>
        <v/>
      </c>
    </row>
    <row r="398" spans="1:139" x14ac:dyDescent="0.2">
      <c r="A398" s="24" t="str">
        <f>Septembre!BJ46</f>
        <v>Fiche infoA7</v>
      </c>
      <c r="B398" s="811">
        <f>Septembre!AB46</f>
        <v>46292</v>
      </c>
      <c r="C398" s="1371"/>
      <c r="D398" s="981">
        <f t="shared" si="693"/>
        <v>0</v>
      </c>
      <c r="E398" s="434">
        <f t="shared" si="694"/>
        <v>0</v>
      </c>
      <c r="F398" s="434">
        <f t="shared" si="695"/>
        <v>0</v>
      </c>
      <c r="G398" s="434">
        <f t="shared" si="696"/>
        <v>0</v>
      </c>
      <c r="H398" s="434">
        <f t="shared" si="697"/>
        <v>0</v>
      </c>
      <c r="I398" s="434">
        <f t="shared" si="698"/>
        <v>0</v>
      </c>
      <c r="J398" s="434">
        <f t="shared" si="699"/>
        <v>0</v>
      </c>
      <c r="K398" s="434">
        <f t="shared" si="700"/>
        <v>0</v>
      </c>
      <c r="L398" s="434">
        <f t="shared" si="738"/>
        <v>0</v>
      </c>
      <c r="M398" s="982">
        <f t="shared" si="739"/>
        <v>0</v>
      </c>
      <c r="O398" s="981">
        <f t="shared" si="755"/>
        <v>0</v>
      </c>
      <c r="P398" s="434">
        <f t="shared" si="756"/>
        <v>0</v>
      </c>
      <c r="Q398" s="434">
        <f t="shared" si="757"/>
        <v>0</v>
      </c>
      <c r="R398" s="434">
        <f t="shared" si="758"/>
        <v>0</v>
      </c>
      <c r="S398" s="434">
        <f t="shared" si="759"/>
        <v>0</v>
      </c>
      <c r="T398" s="434">
        <f t="shared" si="760"/>
        <v>0</v>
      </c>
      <c r="U398" s="434">
        <f t="shared" si="761"/>
        <v>0</v>
      </c>
      <c r="V398" s="434">
        <f t="shared" si="762"/>
        <v>0</v>
      </c>
      <c r="W398" s="434">
        <f t="shared" si="709"/>
        <v>0</v>
      </c>
      <c r="X398" s="982">
        <f t="shared" si="710"/>
        <v>0</v>
      </c>
      <c r="Y398" s="441"/>
      <c r="Z398" s="277">
        <f t="shared" si="711"/>
        <v>0</v>
      </c>
      <c r="AA398" s="277">
        <f t="shared" si="712"/>
        <v>0</v>
      </c>
      <c r="AB398" s="277">
        <f t="shared" si="713"/>
        <v>0</v>
      </c>
      <c r="AC398" s="277">
        <f t="shared" si="714"/>
        <v>0</v>
      </c>
      <c r="AD398" s="277">
        <f t="shared" si="715"/>
        <v>0</v>
      </c>
      <c r="AE398" s="277">
        <f t="shared" si="716"/>
        <v>0</v>
      </c>
      <c r="AF398" s="277">
        <f t="shared" si="717"/>
        <v>0</v>
      </c>
      <c r="AG398" s="277">
        <f t="shared" si="718"/>
        <v>0</v>
      </c>
      <c r="AI398" s="444">
        <f t="shared" si="763"/>
        <v>0</v>
      </c>
      <c r="AJ398" s="1090"/>
      <c r="AK398" s="489"/>
      <c r="AL398" s="811">
        <f t="shared" si="720"/>
        <v>46292</v>
      </c>
      <c r="AM398" s="666">
        <f>IFERROR(IF(AND(AT398="",AR398&lt;&gt;S.CAL!$BJ$3,AR398&lt;&gt;S.CAL!$BJ$4,$AR$365="NON"),M398-BD398,IF(AND(AT398="",AR398&lt;&gt;S.CAL!$BJ$3,AR398&lt;&gt;S.CAL!$BJ$4,$AR$365="OUI"),X398-AI398,IF(AT398&lt;&gt;0,AT398,IF(OR(AR398=S.CAL!$BJ$3,AR398=S.CAL!$BJ$4),AR398,"")))),"")</f>
        <v>0</v>
      </c>
      <c r="AN398" s="1093"/>
      <c r="AO398" s="1094"/>
      <c r="AP398" s="666">
        <f>+IF(AND(AU398="",BB398="OUI",BH398="non",BI398="OUI"),AM398,IF(AND(AU398="",BB398="OUI",BH398="oui",BI398="NON"),AM398,IF(AND(AU398="",BB398="NON",BH398="oui",BI398="NON"),M398,IF(AND(AU398="",BB398="NON",BH398="non",BI398="OUI"),M398,IF(AND(AU398="",BB398="OUI",BH398="non",BI398="NON"),"ERREUR",IF(AND(AU398="",BB398="NON",BH398="non",BI398="NON"),AM398,IF(AND(AU398="",BB398="OUI",BH398="",BI398=""),AM398,IF(AND(AU398="",BB398="NON",BH398="",BI398="",AZ398="NON"),M398,IF(AND(AU398="",BH398="",AZ398="OUI",AR398=""),AM398,IF(AND(AU398="",BH398="",AZ398="NON",AR398="",AT398=""),M398,IF(AND(OR(AR398=S.CAL!$BJ$3,AR398=S.CAL!$BJ$4),(VLOOKUP($AM$365,base_nbre_sem_mensu,2,FALSE)=52)),EE398,IF(AND(OR(AR398=S.CAL!$BJ$3,AR398=S.CAL!$BJ$4),(VLOOKUP($AM$365,base_nbre_sem_mensu,2,FALSE)&lt;52)),AM398,IF(AND(AT398&lt;&gt;"",AU398=""),AT398,AU398)))))))))))))</f>
        <v>0</v>
      </c>
      <c r="AQ398" s="498">
        <f t="shared" si="740"/>
        <v>0</v>
      </c>
      <c r="AR398" s="1098"/>
      <c r="AT398" s="1101"/>
      <c r="AU398" s="813"/>
      <c r="AV398" s="1370">
        <f t="shared" si="721"/>
        <v>46292</v>
      </c>
      <c r="AX398" s="511">
        <f t="shared" si="741"/>
        <v>46292</v>
      </c>
      <c r="AY398" s="523">
        <f t="shared" si="742"/>
        <v>0</v>
      </c>
      <c r="AZ398" s="520" t="s">
        <v>137</v>
      </c>
      <c r="BA398" s="516">
        <f t="shared" si="743"/>
        <v>0</v>
      </c>
      <c r="BB398" s="549" t="str">
        <f t="shared" si="722"/>
        <v/>
      </c>
      <c r="BC398" s="523">
        <f t="shared" si="744"/>
        <v>0</v>
      </c>
      <c r="BD398" s="523">
        <f t="shared" si="745"/>
        <v>0</v>
      </c>
      <c r="BE398" s="1104"/>
      <c r="BF398" s="514" t="str">
        <f t="shared" si="723"/>
        <v/>
      </c>
      <c r="BG398" s="514" t="str">
        <f t="shared" si="746"/>
        <v>oui</v>
      </c>
      <c r="BH398" s="377" t="str">
        <f t="shared" si="724"/>
        <v/>
      </c>
      <c r="BI398" s="24" t="str">
        <f t="shared" si="725"/>
        <v/>
      </c>
      <c r="BJ398" s="1381"/>
      <c r="BK398" s="1381"/>
      <c r="BL398" s="1381"/>
      <c r="BM398" s="1381"/>
      <c r="BN398" s="1381"/>
      <c r="BO398" s="1381"/>
      <c r="BP398" s="1381"/>
      <c r="BQ398" s="1381"/>
      <c r="BS398" s="1370">
        <f t="shared" si="692"/>
        <v>46292</v>
      </c>
      <c r="BT398" s="27" t="str">
        <f t="shared" si="754"/>
        <v/>
      </c>
      <c r="BU398" s="1380"/>
      <c r="BV398" s="1380"/>
      <c r="BW398" s="1380"/>
      <c r="BX398" s="1380"/>
      <c r="BY398" s="1380"/>
      <c r="BZ398" s="1380"/>
      <c r="CA398" s="1380"/>
      <c r="CB398" s="1380"/>
      <c r="CD398" s="1386">
        <f t="shared" si="747"/>
        <v>0</v>
      </c>
      <c r="DC398" s="16" t="str">
        <f>Septembre!FC46</f>
        <v>non</v>
      </c>
      <c r="DG398" s="315">
        <f t="shared" si="748"/>
        <v>1</v>
      </c>
      <c r="DH398" s="129">
        <f t="shared" si="726"/>
        <v>10</v>
      </c>
      <c r="DI398" s="129">
        <f t="shared" si="749"/>
        <v>1</v>
      </c>
      <c r="DK398" s="16">
        <f>+IF(AND(Septembre!$DP$8&lt;&gt;52,AR398=S.CAL!$BJ$4),10,1)</f>
        <v>1</v>
      </c>
      <c r="DN398" s="16">
        <f t="shared" si="727"/>
        <v>1</v>
      </c>
      <c r="DU398" s="1274" t="str">
        <f t="shared" si="750"/>
        <v>Fiche infoA746292</v>
      </c>
      <c r="DV398" s="1362">
        <f t="shared" si="728"/>
        <v>0</v>
      </c>
      <c r="DW398" s="1363">
        <f t="shared" si="729"/>
        <v>0</v>
      </c>
      <c r="DX398" s="1363">
        <f t="shared" si="730"/>
        <v>0</v>
      </c>
      <c r="DY398" s="1363">
        <f t="shared" si="731"/>
        <v>0</v>
      </c>
      <c r="DZ398" s="1363">
        <f t="shared" si="732"/>
        <v>0</v>
      </c>
      <c r="EA398" s="1363">
        <f t="shared" si="733"/>
        <v>0</v>
      </c>
      <c r="EB398" s="1363">
        <f t="shared" si="734"/>
        <v>0</v>
      </c>
      <c r="EC398" s="1363">
        <f t="shared" si="735"/>
        <v>0</v>
      </c>
      <c r="ED398" s="1363">
        <f t="shared" si="751"/>
        <v>0</v>
      </c>
      <c r="EE398" s="1364">
        <f t="shared" si="752"/>
        <v>0</v>
      </c>
      <c r="EG398" s="16" t="str">
        <f t="shared" si="753"/>
        <v>392026</v>
      </c>
      <c r="EH398" s="16" t="str">
        <f t="shared" si="736"/>
        <v>Fiche infoA7</v>
      </c>
      <c r="EI398" s="16" t="str">
        <f t="shared" si="737"/>
        <v/>
      </c>
    </row>
    <row r="399" spans="1:139" x14ac:dyDescent="0.2">
      <c r="A399" s="1373" t="str">
        <f>Septembre!BJ47</f>
        <v>Fiche infoA1</v>
      </c>
      <c r="B399" s="811">
        <f>Septembre!AB47</f>
        <v>46293</v>
      </c>
      <c r="C399" s="1372"/>
      <c r="D399" s="981">
        <f t="shared" si="693"/>
        <v>0</v>
      </c>
      <c r="E399" s="434">
        <f t="shared" si="694"/>
        <v>0</v>
      </c>
      <c r="F399" s="434">
        <f t="shared" si="695"/>
        <v>0</v>
      </c>
      <c r="G399" s="434">
        <f t="shared" si="696"/>
        <v>0</v>
      </c>
      <c r="H399" s="434">
        <f t="shared" si="697"/>
        <v>0</v>
      </c>
      <c r="I399" s="434">
        <f t="shared" si="698"/>
        <v>0</v>
      </c>
      <c r="J399" s="434">
        <f t="shared" si="699"/>
        <v>0</v>
      </c>
      <c r="K399" s="434">
        <f t="shared" si="700"/>
        <v>0</v>
      </c>
      <c r="L399" s="434">
        <f t="shared" si="738"/>
        <v>0</v>
      </c>
      <c r="M399" s="982">
        <f t="shared" si="739"/>
        <v>0</v>
      </c>
      <c r="N399" s="1374"/>
      <c r="O399" s="981">
        <f t="shared" si="755"/>
        <v>0</v>
      </c>
      <c r="P399" s="434">
        <f t="shared" si="756"/>
        <v>0</v>
      </c>
      <c r="Q399" s="434">
        <f t="shared" si="757"/>
        <v>0</v>
      </c>
      <c r="R399" s="434">
        <f t="shared" si="758"/>
        <v>0</v>
      </c>
      <c r="S399" s="434">
        <f t="shared" si="759"/>
        <v>0</v>
      </c>
      <c r="T399" s="434">
        <f t="shared" si="760"/>
        <v>0</v>
      </c>
      <c r="U399" s="434">
        <f t="shared" si="761"/>
        <v>0</v>
      </c>
      <c r="V399" s="434">
        <f t="shared" si="762"/>
        <v>0</v>
      </c>
      <c r="W399" s="434">
        <f t="shared" si="709"/>
        <v>0</v>
      </c>
      <c r="X399" s="982">
        <f t="shared" si="710"/>
        <v>0</v>
      </c>
      <c r="Y399" s="1375"/>
      <c r="Z399" s="1376">
        <f t="shared" si="711"/>
        <v>0</v>
      </c>
      <c r="AA399" s="1376">
        <f t="shared" si="712"/>
        <v>0</v>
      </c>
      <c r="AB399" s="1376">
        <f t="shared" si="713"/>
        <v>0</v>
      </c>
      <c r="AC399" s="1376">
        <f t="shared" si="714"/>
        <v>0</v>
      </c>
      <c r="AD399" s="1376">
        <f t="shared" si="715"/>
        <v>0</v>
      </c>
      <c r="AE399" s="1376">
        <f t="shared" si="716"/>
        <v>0</v>
      </c>
      <c r="AF399" s="1376">
        <f t="shared" si="717"/>
        <v>0</v>
      </c>
      <c r="AG399" s="1376">
        <f t="shared" si="718"/>
        <v>0</v>
      </c>
      <c r="AH399" s="1374"/>
      <c r="AI399" s="444">
        <f t="shared" si="763"/>
        <v>0</v>
      </c>
      <c r="AJ399" s="1090"/>
      <c r="AK399" s="1377"/>
      <c r="AL399" s="811">
        <f t="shared" si="720"/>
        <v>46293</v>
      </c>
      <c r="AM399" s="666">
        <f>IFERROR(IF(AND(AT399="",AR399&lt;&gt;S.CAL!$BJ$3,AR399&lt;&gt;S.CAL!$BJ$4,$AR$365="NON"),M399-BD399,IF(AND(AT399="",AR399&lt;&gt;S.CAL!$BJ$3,AR399&lt;&gt;S.CAL!$BJ$4,$AR$365="OUI"),X399-AI399,IF(AT399&lt;&gt;0,AT399,IF(OR(AR399=S.CAL!$BJ$3,AR399=S.CAL!$BJ$4),AR399,"")))),"")</f>
        <v>0</v>
      </c>
      <c r="AN399" s="1093"/>
      <c r="AO399" s="1094"/>
      <c r="AP399" s="666">
        <f>+IF(AND(AU399="",BB399="OUI",BH399="non",BI399="OUI"),AM399,IF(AND(AU399="",BB399="OUI",BH399="oui",BI399="NON"),AM399,IF(AND(AU399="",BB399="NON",BH399="oui",BI399="NON"),M399,IF(AND(AU399="",BB399="NON",BH399="non",BI399="OUI"),M399,IF(AND(AU399="",BB399="OUI",BH399="non",BI399="NON"),"ERREUR",IF(AND(AU399="",BB399="NON",BH399="non",BI399="NON"),AM399,IF(AND(AU399="",BB399="OUI",BH399="",BI399=""),AM399,IF(AND(AU399="",BB399="NON",BH399="",BI399="",AZ399="NON"),M399,IF(AND(AU399="",BH399="",AZ399="OUI",AR399=""),AM399,IF(AND(AU399="",BH399="",AZ399="NON",AR399="",AT399=""),M399,IF(AND(OR(AR399=S.CAL!$BJ$3,AR399=S.CAL!$BJ$4),(VLOOKUP($AM$365,base_nbre_sem_mensu,2,FALSE)=52)),EE399,IF(AND(OR(AR399=S.CAL!$BJ$3,AR399=S.CAL!$BJ$4),(VLOOKUP($AM$365,base_nbre_sem_mensu,2,FALSE)&lt;52)),AM399,IF(AND(AT399&lt;&gt;"",AU399=""),AT399,AU399)))))))))))))</f>
        <v>0</v>
      </c>
      <c r="AQ399" s="1378">
        <f t="shared" si="740"/>
        <v>0</v>
      </c>
      <c r="AR399" s="1098"/>
      <c r="AS399" s="1374"/>
      <c r="AT399" s="1101"/>
      <c r="AU399" s="813"/>
      <c r="AV399" s="1370">
        <f t="shared" si="721"/>
        <v>46293</v>
      </c>
      <c r="AW399" s="1374"/>
      <c r="AX399" s="511">
        <f t="shared" si="741"/>
        <v>46293</v>
      </c>
      <c r="AY399" s="523">
        <f t="shared" si="742"/>
        <v>0</v>
      </c>
      <c r="AZ399" s="520" t="s">
        <v>137</v>
      </c>
      <c r="BA399" s="516">
        <f t="shared" si="743"/>
        <v>0</v>
      </c>
      <c r="BB399" s="549" t="str">
        <f t="shared" si="722"/>
        <v/>
      </c>
      <c r="BC399" s="523">
        <f t="shared" si="744"/>
        <v>0</v>
      </c>
      <c r="BD399" s="523">
        <f t="shared" si="745"/>
        <v>0</v>
      </c>
      <c r="BE399" s="1104"/>
      <c r="BF399" s="514" t="str">
        <f t="shared" si="723"/>
        <v/>
      </c>
      <c r="BG399" s="514" t="str">
        <f t="shared" si="746"/>
        <v>oui</v>
      </c>
      <c r="BH399" s="377" t="str">
        <f t="shared" si="724"/>
        <v/>
      </c>
      <c r="BI399" s="24" t="str">
        <f t="shared" si="725"/>
        <v/>
      </c>
      <c r="BJ399" s="1382"/>
      <c r="BK399" s="1382"/>
      <c r="BL399" s="1382"/>
      <c r="BM399" s="1382"/>
      <c r="BN399" s="1382"/>
      <c r="BO399" s="1382"/>
      <c r="BP399" s="1382"/>
      <c r="BQ399" s="1382"/>
      <c r="BR399" s="1383"/>
      <c r="BS399" s="1370">
        <f t="shared" si="692"/>
        <v>46293</v>
      </c>
      <c r="BT399" s="1384">
        <f t="shared" si="754"/>
        <v>40</v>
      </c>
      <c r="BU399" s="1382"/>
      <c r="BV399" s="1382"/>
      <c r="BW399" s="1382"/>
      <c r="BX399" s="1382"/>
      <c r="BY399" s="1382"/>
      <c r="BZ399" s="1382"/>
      <c r="CA399" s="1382"/>
      <c r="CB399" s="1382"/>
      <c r="CD399" s="1386">
        <f t="shared" si="747"/>
        <v>0</v>
      </c>
      <c r="DC399" s="16" t="str">
        <f>Septembre!FC47</f>
        <v>non</v>
      </c>
      <c r="DG399" s="315">
        <f t="shared" si="748"/>
        <v>1</v>
      </c>
      <c r="DH399" s="129">
        <f t="shared" si="726"/>
        <v>10</v>
      </c>
      <c r="DI399" s="129">
        <f t="shared" si="749"/>
        <v>1</v>
      </c>
      <c r="DK399" s="16">
        <f>+IF(AND(Septembre!$DP$8&lt;&gt;52,AR399=S.CAL!$BJ$4),10,1)</f>
        <v>1</v>
      </c>
      <c r="DN399" s="16">
        <f t="shared" si="727"/>
        <v>1</v>
      </c>
      <c r="DU399" s="1274" t="str">
        <f t="shared" si="750"/>
        <v>Fiche infoA146293</v>
      </c>
      <c r="DV399" s="1362">
        <f t="shared" si="728"/>
        <v>0</v>
      </c>
      <c r="DW399" s="1363">
        <f t="shared" si="729"/>
        <v>0</v>
      </c>
      <c r="DX399" s="1363">
        <f t="shared" si="730"/>
        <v>0</v>
      </c>
      <c r="DY399" s="1363">
        <f t="shared" si="731"/>
        <v>0</v>
      </c>
      <c r="DZ399" s="1363">
        <f t="shared" si="732"/>
        <v>0</v>
      </c>
      <c r="EA399" s="1363">
        <f t="shared" si="733"/>
        <v>0</v>
      </c>
      <c r="EB399" s="1363">
        <f t="shared" si="734"/>
        <v>0</v>
      </c>
      <c r="EC399" s="1363">
        <f t="shared" si="735"/>
        <v>0</v>
      </c>
      <c r="ED399" s="1363">
        <f t="shared" si="751"/>
        <v>0</v>
      </c>
      <c r="EE399" s="1364">
        <f t="shared" si="752"/>
        <v>0</v>
      </c>
      <c r="EG399" s="16" t="str">
        <f t="shared" si="753"/>
        <v>402026</v>
      </c>
      <c r="EH399" s="16" t="str">
        <f t="shared" si="736"/>
        <v>Fiche infoA1</v>
      </c>
      <c r="EI399" s="16" t="str">
        <f t="shared" si="737"/>
        <v/>
      </c>
    </row>
    <row r="400" spans="1:139" x14ac:dyDescent="0.2">
      <c r="A400" s="24" t="str">
        <f>Septembre!BJ48</f>
        <v>Fiche infoA2</v>
      </c>
      <c r="B400" s="811">
        <f>Septembre!AB48</f>
        <v>46294</v>
      </c>
      <c r="C400" s="1371"/>
      <c r="D400" s="981">
        <f t="shared" si="693"/>
        <v>0</v>
      </c>
      <c r="E400" s="434">
        <f t="shared" si="694"/>
        <v>0</v>
      </c>
      <c r="F400" s="434">
        <f t="shared" si="695"/>
        <v>0</v>
      </c>
      <c r="G400" s="434">
        <f t="shared" si="696"/>
        <v>0</v>
      </c>
      <c r="H400" s="434">
        <f t="shared" si="697"/>
        <v>0</v>
      </c>
      <c r="I400" s="434">
        <f t="shared" si="698"/>
        <v>0</v>
      </c>
      <c r="J400" s="434">
        <f t="shared" si="699"/>
        <v>0</v>
      </c>
      <c r="K400" s="434">
        <f t="shared" si="700"/>
        <v>0</v>
      </c>
      <c r="L400" s="434">
        <f t="shared" si="738"/>
        <v>0</v>
      </c>
      <c r="M400" s="982">
        <f t="shared" si="739"/>
        <v>0</v>
      </c>
      <c r="O400" s="981">
        <f t="shared" si="755"/>
        <v>0</v>
      </c>
      <c r="P400" s="434">
        <f t="shared" si="756"/>
        <v>0</v>
      </c>
      <c r="Q400" s="434">
        <f t="shared" si="757"/>
        <v>0</v>
      </c>
      <c r="R400" s="434">
        <f t="shared" si="758"/>
        <v>0</v>
      </c>
      <c r="S400" s="434">
        <f t="shared" si="759"/>
        <v>0</v>
      </c>
      <c r="T400" s="434">
        <f t="shared" si="760"/>
        <v>0</v>
      </c>
      <c r="U400" s="434">
        <f t="shared" si="761"/>
        <v>0</v>
      </c>
      <c r="V400" s="434">
        <f t="shared" si="762"/>
        <v>0</v>
      </c>
      <c r="W400" s="434">
        <f t="shared" si="709"/>
        <v>0</v>
      </c>
      <c r="X400" s="982">
        <f t="shared" si="710"/>
        <v>0</v>
      </c>
      <c r="Y400" s="441"/>
      <c r="Z400" s="277">
        <f t="shared" si="711"/>
        <v>0</v>
      </c>
      <c r="AA400" s="277">
        <f t="shared" si="712"/>
        <v>0</v>
      </c>
      <c r="AB400" s="277">
        <f t="shared" si="713"/>
        <v>0</v>
      </c>
      <c r="AC400" s="277">
        <f t="shared" si="714"/>
        <v>0</v>
      </c>
      <c r="AD400" s="277">
        <f t="shared" si="715"/>
        <v>0</v>
      </c>
      <c r="AE400" s="277">
        <f t="shared" si="716"/>
        <v>0</v>
      </c>
      <c r="AF400" s="277">
        <f t="shared" si="717"/>
        <v>0</v>
      </c>
      <c r="AG400" s="277">
        <f t="shared" si="718"/>
        <v>0</v>
      </c>
      <c r="AI400" s="444">
        <f t="shared" si="763"/>
        <v>0</v>
      </c>
      <c r="AJ400" s="1090"/>
      <c r="AK400" s="489"/>
      <c r="AL400" s="811">
        <f t="shared" si="720"/>
        <v>46294</v>
      </c>
      <c r="AM400" s="666">
        <f>IFERROR(IF(AND(AT400="",AR400&lt;&gt;S.CAL!$BJ$3,AR400&lt;&gt;S.CAL!$BJ$4,$AR$365="NON"),M400-BD400,IF(AND(AT400="",AR400&lt;&gt;S.CAL!$BJ$3,AR400&lt;&gt;S.CAL!$BJ$4,$AR$365="OUI"),X400-AI400,IF(AT400&lt;&gt;0,AT400,IF(OR(AR400=S.CAL!$BJ$3,AR400=S.CAL!$BJ$4),AR400,"")))),"")</f>
        <v>0</v>
      </c>
      <c r="AN400" s="1093"/>
      <c r="AO400" s="1094"/>
      <c r="AP400" s="666">
        <f>+IF(AND(AU400="",BB400="OUI",BH400="non",BI400="OUI"),AM400,IF(AND(AU400="",BB400="OUI",BH400="oui",BI400="NON"),AM400,IF(AND(AU400="",BB400="NON",BH400="oui",BI400="NON"),M400,IF(AND(AU400="",BB400="NON",BH400="non",BI400="OUI"),M400,IF(AND(AU400="",BB400="OUI",BH400="non",BI400="NON"),"ERREUR",IF(AND(AU400="",BB400="NON",BH400="non",BI400="NON"),AM400,IF(AND(AU400="",BB400="OUI",BH400="",BI400=""),AM400,IF(AND(AU400="",BB400="NON",BH400="",BI400="",AZ400="NON"),M400,IF(AND(AU400="",BH400="",AZ400="OUI",AR400=""),AM400,IF(AND(AU400="",BH400="",AZ400="NON",AR400="",AT400=""),M400,IF(AND(OR(AR400=S.CAL!$BJ$3,AR400=S.CAL!$BJ$4),(VLOOKUP($AM$365,base_nbre_sem_mensu,2,FALSE)=52)),EE400,IF(AND(OR(AR400=S.CAL!$BJ$3,AR400=S.CAL!$BJ$4),(VLOOKUP($AM$365,base_nbre_sem_mensu,2,FALSE)&lt;52)),AM400,IF(AND(AT400&lt;&gt;"",AU400=""),AT400,AU400)))))))))))))</f>
        <v>0</v>
      </c>
      <c r="AQ400" s="498">
        <f t="shared" si="740"/>
        <v>0</v>
      </c>
      <c r="AR400" s="1098"/>
      <c r="AT400" s="1101"/>
      <c r="AU400" s="813"/>
      <c r="AV400" s="1370">
        <f t="shared" si="721"/>
        <v>46294</v>
      </c>
      <c r="AX400" s="511">
        <f t="shared" si="741"/>
        <v>46294</v>
      </c>
      <c r="AY400" s="523">
        <f t="shared" si="742"/>
        <v>0</v>
      </c>
      <c r="AZ400" s="520" t="s">
        <v>137</v>
      </c>
      <c r="BA400" s="516">
        <f t="shared" si="743"/>
        <v>0</v>
      </c>
      <c r="BB400" s="549" t="str">
        <f t="shared" si="722"/>
        <v/>
      </c>
      <c r="BC400" s="523">
        <f t="shared" si="744"/>
        <v>0</v>
      </c>
      <c r="BD400" s="523">
        <f t="shared" si="745"/>
        <v>0</v>
      </c>
      <c r="BE400" s="1104"/>
      <c r="BF400" s="514" t="str">
        <f t="shared" si="723"/>
        <v/>
      </c>
      <c r="BG400" s="514" t="str">
        <f t="shared" si="746"/>
        <v>oui</v>
      </c>
      <c r="BH400" s="377" t="str">
        <f t="shared" si="724"/>
        <v/>
      </c>
      <c r="BI400" s="24" t="str">
        <f t="shared" si="725"/>
        <v/>
      </c>
      <c r="BJ400" s="1381"/>
      <c r="BK400" s="1381"/>
      <c r="BL400" s="1381"/>
      <c r="BM400" s="1381"/>
      <c r="BN400" s="1381"/>
      <c r="BO400" s="1381"/>
      <c r="BP400" s="1381"/>
      <c r="BQ400" s="1381"/>
      <c r="BS400" s="1370">
        <f t="shared" si="692"/>
        <v>46294</v>
      </c>
      <c r="BT400" s="27" t="str">
        <f t="shared" si="754"/>
        <v/>
      </c>
      <c r="BU400" s="1380"/>
      <c r="BV400" s="1380"/>
      <c r="BW400" s="1380"/>
      <c r="BX400" s="1380"/>
      <c r="BY400" s="1380"/>
      <c r="BZ400" s="1380"/>
      <c r="CA400" s="1380"/>
      <c r="CB400" s="1380"/>
      <c r="CD400" s="1386">
        <f t="shared" si="747"/>
        <v>0</v>
      </c>
      <c r="DC400" s="16" t="str">
        <f>Septembre!FC48</f>
        <v>non</v>
      </c>
      <c r="DG400" s="315">
        <f t="shared" si="748"/>
        <v>1</v>
      </c>
      <c r="DH400" s="129">
        <f t="shared" si="726"/>
        <v>10</v>
      </c>
      <c r="DI400" s="129">
        <f t="shared" si="749"/>
        <v>1</v>
      </c>
      <c r="DK400" s="16">
        <f>+IF(AND(Septembre!$DP$8&lt;&gt;52,AR400=S.CAL!$BJ$4),10,1)</f>
        <v>1</v>
      </c>
      <c r="DN400" s="16">
        <f t="shared" si="727"/>
        <v>1</v>
      </c>
      <c r="DU400" s="1274" t="str">
        <f t="shared" si="750"/>
        <v>Fiche infoA246294</v>
      </c>
      <c r="DV400" s="1362">
        <f t="shared" si="728"/>
        <v>0</v>
      </c>
      <c r="DW400" s="1363">
        <f t="shared" si="729"/>
        <v>0</v>
      </c>
      <c r="DX400" s="1363">
        <f t="shared" si="730"/>
        <v>0</v>
      </c>
      <c r="DY400" s="1363">
        <f t="shared" si="731"/>
        <v>0</v>
      </c>
      <c r="DZ400" s="1363">
        <f t="shared" si="732"/>
        <v>0</v>
      </c>
      <c r="EA400" s="1363">
        <f t="shared" si="733"/>
        <v>0</v>
      </c>
      <c r="EB400" s="1363">
        <f t="shared" si="734"/>
        <v>0</v>
      </c>
      <c r="EC400" s="1363">
        <f t="shared" si="735"/>
        <v>0</v>
      </c>
      <c r="ED400" s="1363">
        <f t="shared" si="751"/>
        <v>0</v>
      </c>
      <c r="EE400" s="1364">
        <f t="shared" si="752"/>
        <v>0</v>
      </c>
      <c r="EG400" s="16" t="str">
        <f t="shared" si="753"/>
        <v>402026</v>
      </c>
      <c r="EH400" s="16" t="str">
        <f t="shared" si="736"/>
        <v>Fiche infoA2</v>
      </c>
      <c r="EI400" s="16" t="str">
        <f t="shared" si="737"/>
        <v/>
      </c>
    </row>
    <row r="401" spans="1:145" x14ac:dyDescent="0.2">
      <c r="A401" s="1373" t="str">
        <f>Septembre!BJ49</f>
        <v>Fiche infoA3</v>
      </c>
      <c r="B401" s="811">
        <f>Septembre!AB49</f>
        <v>46295</v>
      </c>
      <c r="C401" s="1372"/>
      <c r="D401" s="981">
        <f t="shared" si="693"/>
        <v>0</v>
      </c>
      <c r="E401" s="434">
        <f t="shared" si="694"/>
        <v>0</v>
      </c>
      <c r="F401" s="434">
        <f t="shared" si="695"/>
        <v>0</v>
      </c>
      <c r="G401" s="434">
        <f t="shared" si="696"/>
        <v>0</v>
      </c>
      <c r="H401" s="434">
        <f t="shared" si="697"/>
        <v>0</v>
      </c>
      <c r="I401" s="434">
        <f t="shared" si="698"/>
        <v>0</v>
      </c>
      <c r="J401" s="434">
        <f t="shared" si="699"/>
        <v>0</v>
      </c>
      <c r="K401" s="434">
        <f t="shared" si="700"/>
        <v>0</v>
      </c>
      <c r="L401" s="434">
        <f t="shared" si="738"/>
        <v>0</v>
      </c>
      <c r="M401" s="982">
        <f t="shared" si="739"/>
        <v>0</v>
      </c>
      <c r="N401" s="1374"/>
      <c r="O401" s="981">
        <f t="shared" si="755"/>
        <v>0</v>
      </c>
      <c r="P401" s="434">
        <f t="shared" si="756"/>
        <v>0</v>
      </c>
      <c r="Q401" s="434">
        <f t="shared" si="757"/>
        <v>0</v>
      </c>
      <c r="R401" s="434">
        <f t="shared" si="758"/>
        <v>0</v>
      </c>
      <c r="S401" s="434">
        <f t="shared" si="759"/>
        <v>0</v>
      </c>
      <c r="T401" s="434">
        <f t="shared" si="760"/>
        <v>0</v>
      </c>
      <c r="U401" s="434">
        <f t="shared" si="761"/>
        <v>0</v>
      </c>
      <c r="V401" s="434">
        <f t="shared" si="762"/>
        <v>0</v>
      </c>
      <c r="W401" s="434">
        <f t="shared" si="709"/>
        <v>0</v>
      </c>
      <c r="X401" s="982">
        <f t="shared" si="710"/>
        <v>0</v>
      </c>
      <c r="Y401" s="1375"/>
      <c r="Z401" s="1376">
        <f t="shared" si="711"/>
        <v>0</v>
      </c>
      <c r="AA401" s="1376">
        <f t="shared" si="712"/>
        <v>0</v>
      </c>
      <c r="AB401" s="1376">
        <f t="shared" si="713"/>
        <v>0</v>
      </c>
      <c r="AC401" s="1376">
        <f t="shared" si="714"/>
        <v>0</v>
      </c>
      <c r="AD401" s="1376">
        <f t="shared" si="715"/>
        <v>0</v>
      </c>
      <c r="AE401" s="1376">
        <f t="shared" si="716"/>
        <v>0</v>
      </c>
      <c r="AF401" s="1376">
        <f t="shared" si="717"/>
        <v>0</v>
      </c>
      <c r="AG401" s="1376">
        <f t="shared" si="718"/>
        <v>0</v>
      </c>
      <c r="AH401" s="1374"/>
      <c r="AI401" s="444">
        <f t="shared" si="763"/>
        <v>0</v>
      </c>
      <c r="AJ401" s="1090"/>
      <c r="AK401" s="1377"/>
      <c r="AL401" s="811">
        <f t="shared" si="720"/>
        <v>46295</v>
      </c>
      <c r="AM401" s="666">
        <f>IFERROR(IF(AND(AT401="",AR401&lt;&gt;S.CAL!$BJ$3,AR401&lt;&gt;S.CAL!$BJ$4,$AR$365="NON"),M401-BD401,IF(AND(AT401="",AR401&lt;&gt;S.CAL!$BJ$3,AR401&lt;&gt;S.CAL!$BJ$4,$AR$365="OUI"),X401-AI401,IF(AT401&lt;&gt;0,AT401,IF(OR(AR401=S.CAL!$BJ$3,AR401=S.CAL!$BJ$4),AR401,"")))),"")</f>
        <v>0</v>
      </c>
      <c r="AN401" s="1093"/>
      <c r="AO401" s="1094"/>
      <c r="AP401" s="666">
        <f>+IF(AND(AU401="",BB401="OUI",BH401="non",BI401="OUI"),AM401,IF(AND(AU401="",BB401="OUI",BH401="oui",BI401="NON"),AM401,IF(AND(AU401="",BB401="NON",BH401="oui",BI401="NON"),M401,IF(AND(AU401="",BB401="NON",BH401="non",BI401="OUI"),M401,IF(AND(AU401="",BB401="OUI",BH401="non",BI401="NON"),"ERREUR",IF(AND(AU401="",BB401="NON",BH401="non",BI401="NON"),AM401,IF(AND(AU401="",BB401="OUI",BH401="",BI401=""),AM401,IF(AND(AU401="",BB401="NON",BH401="",BI401="",AZ401="NON"),M401,IF(AND(AU401="",BH401="",AZ401="OUI",AR401=""),AM401,IF(AND(AU401="",BH401="",AZ401="NON",AR401="",AT401=""),M401,IF(AND(OR(AR401=S.CAL!$BJ$3,AR401=S.CAL!$BJ$4),(VLOOKUP($AM$365,base_nbre_sem_mensu,2,FALSE)=52)),EE401,IF(AND(OR(AR401=S.CAL!$BJ$3,AR401=S.CAL!$BJ$4),(VLOOKUP($AM$365,base_nbre_sem_mensu,2,FALSE)&lt;52)),AM401,IF(AND(AT401&lt;&gt;"",AU401=""),AT401,AU401)))))))))))))</f>
        <v>0</v>
      </c>
      <c r="AQ401" s="1378">
        <f t="shared" si="740"/>
        <v>0</v>
      </c>
      <c r="AR401" s="1098"/>
      <c r="AS401" s="1374"/>
      <c r="AT401" s="1101"/>
      <c r="AU401" s="813"/>
      <c r="AV401" s="1370">
        <f t="shared" si="721"/>
        <v>46295</v>
      </c>
      <c r="AW401" s="1374"/>
      <c r="AX401" s="511">
        <f t="shared" si="741"/>
        <v>46295</v>
      </c>
      <c r="AY401" s="523">
        <f t="shared" si="742"/>
        <v>0</v>
      </c>
      <c r="AZ401" s="520" t="s">
        <v>137</v>
      </c>
      <c r="BA401" s="516">
        <f t="shared" si="743"/>
        <v>0</v>
      </c>
      <c r="BB401" s="549" t="str">
        <f t="shared" si="722"/>
        <v/>
      </c>
      <c r="BC401" s="523">
        <f t="shared" si="744"/>
        <v>0</v>
      </c>
      <c r="BD401" s="523">
        <f t="shared" si="745"/>
        <v>0</v>
      </c>
      <c r="BE401" s="1104"/>
      <c r="BF401" s="514" t="str">
        <f t="shared" si="723"/>
        <v/>
      </c>
      <c r="BG401" s="514" t="str">
        <f t="shared" si="746"/>
        <v>oui</v>
      </c>
      <c r="BH401" s="377" t="str">
        <f t="shared" si="724"/>
        <v/>
      </c>
      <c r="BI401" s="24" t="str">
        <f t="shared" si="725"/>
        <v/>
      </c>
      <c r="BJ401" s="1382"/>
      <c r="BK401" s="1382"/>
      <c r="BL401" s="1382"/>
      <c r="BM401" s="1382"/>
      <c r="BN401" s="1382"/>
      <c r="BO401" s="1382"/>
      <c r="BP401" s="1382"/>
      <c r="BQ401" s="1382"/>
      <c r="BR401" s="1383"/>
      <c r="BS401" s="1370">
        <f t="shared" si="692"/>
        <v>46295</v>
      </c>
      <c r="BT401" s="1384" t="str">
        <f t="shared" si="754"/>
        <v/>
      </c>
      <c r="BU401" s="1382"/>
      <c r="BV401" s="1382"/>
      <c r="BW401" s="1382"/>
      <c r="BX401" s="1382"/>
      <c r="BY401" s="1382"/>
      <c r="BZ401" s="1382"/>
      <c r="CA401" s="1382"/>
      <c r="CB401" s="1382"/>
      <c r="CD401" s="1386">
        <f t="shared" si="747"/>
        <v>0</v>
      </c>
      <c r="DC401" s="16" t="str">
        <f>Septembre!FC49</f>
        <v>non</v>
      </c>
      <c r="DG401" s="315">
        <f t="shared" si="748"/>
        <v>1</v>
      </c>
      <c r="DH401" s="129">
        <f t="shared" si="726"/>
        <v>10</v>
      </c>
      <c r="DI401" s="129">
        <f t="shared" si="749"/>
        <v>1</v>
      </c>
      <c r="DK401" s="16">
        <f>+IF(AND(Septembre!$DP$8&lt;&gt;52,AR401=S.CAL!$BJ$4),10,1)</f>
        <v>1</v>
      </c>
      <c r="DN401" s="16">
        <f t="shared" si="727"/>
        <v>1</v>
      </c>
      <c r="DU401" s="1274" t="str">
        <f t="shared" si="750"/>
        <v>Fiche infoA346295</v>
      </c>
      <c r="DV401" s="1362">
        <f t="shared" si="728"/>
        <v>0</v>
      </c>
      <c r="DW401" s="1363">
        <f t="shared" si="729"/>
        <v>0</v>
      </c>
      <c r="DX401" s="1363">
        <f t="shared" si="730"/>
        <v>0</v>
      </c>
      <c r="DY401" s="1363">
        <f t="shared" si="731"/>
        <v>0</v>
      </c>
      <c r="DZ401" s="1363">
        <f t="shared" si="732"/>
        <v>0</v>
      </c>
      <c r="EA401" s="1363">
        <f t="shared" si="733"/>
        <v>0</v>
      </c>
      <c r="EB401" s="1363">
        <f t="shared" si="734"/>
        <v>0</v>
      </c>
      <c r="EC401" s="1363">
        <f t="shared" si="735"/>
        <v>0</v>
      </c>
      <c r="ED401" s="1363">
        <f t="shared" si="751"/>
        <v>0</v>
      </c>
      <c r="EE401" s="1364">
        <f t="shared" si="752"/>
        <v>0</v>
      </c>
      <c r="EG401" s="16" t="str">
        <f t="shared" si="753"/>
        <v>402026</v>
      </c>
      <c r="EH401" s="16" t="str">
        <f t="shared" si="736"/>
        <v>Fiche infoA3</v>
      </c>
      <c r="EI401" s="16" t="str">
        <f t="shared" si="737"/>
        <v/>
      </c>
    </row>
    <row r="402" spans="1:145" x14ac:dyDescent="0.2">
      <c r="A402" s="24" t="str">
        <f>Septembre!BJ50</f>
        <v>Fiche infoA0</v>
      </c>
      <c r="B402" s="812" t="str">
        <f>Septembre!AB50</f>
        <v/>
      </c>
      <c r="C402" s="1371"/>
      <c r="D402" s="983">
        <f t="shared" si="693"/>
        <v>0</v>
      </c>
      <c r="E402" s="984">
        <f t="shared" si="694"/>
        <v>0</v>
      </c>
      <c r="F402" s="984">
        <f t="shared" si="695"/>
        <v>0</v>
      </c>
      <c r="G402" s="984">
        <f t="shared" si="696"/>
        <v>0</v>
      </c>
      <c r="H402" s="984">
        <f t="shared" si="697"/>
        <v>0</v>
      </c>
      <c r="I402" s="984">
        <f t="shared" si="698"/>
        <v>0</v>
      </c>
      <c r="J402" s="984">
        <f t="shared" si="699"/>
        <v>0</v>
      </c>
      <c r="K402" s="984">
        <f t="shared" si="700"/>
        <v>0</v>
      </c>
      <c r="L402" s="984">
        <f t="shared" si="738"/>
        <v>0</v>
      </c>
      <c r="M402" s="985">
        <f t="shared" si="739"/>
        <v>0</v>
      </c>
      <c r="O402" s="983">
        <f t="shared" si="755"/>
        <v>0</v>
      </c>
      <c r="P402" s="984">
        <f t="shared" si="756"/>
        <v>0</v>
      </c>
      <c r="Q402" s="984">
        <f t="shared" si="757"/>
        <v>0</v>
      </c>
      <c r="R402" s="984">
        <f t="shared" si="758"/>
        <v>0</v>
      </c>
      <c r="S402" s="984">
        <f t="shared" si="759"/>
        <v>0</v>
      </c>
      <c r="T402" s="984">
        <f t="shared" si="760"/>
        <v>0</v>
      </c>
      <c r="U402" s="984">
        <f t="shared" si="761"/>
        <v>0</v>
      </c>
      <c r="V402" s="984">
        <f t="shared" si="762"/>
        <v>0</v>
      </c>
      <c r="W402" s="984">
        <f t="shared" si="709"/>
        <v>0</v>
      </c>
      <c r="X402" s="985">
        <f t="shared" si="710"/>
        <v>0</v>
      </c>
      <c r="Y402" s="441"/>
      <c r="Z402" s="277">
        <f t="shared" si="711"/>
        <v>0</v>
      </c>
      <c r="AA402" s="277">
        <f t="shared" si="712"/>
        <v>0</v>
      </c>
      <c r="AB402" s="277">
        <f t="shared" si="713"/>
        <v>0</v>
      </c>
      <c r="AC402" s="277">
        <f t="shared" si="714"/>
        <v>0</v>
      </c>
      <c r="AD402" s="277">
        <f t="shared" si="715"/>
        <v>0</v>
      </c>
      <c r="AE402" s="277">
        <f t="shared" si="716"/>
        <v>0</v>
      </c>
      <c r="AF402" s="277">
        <f t="shared" si="717"/>
        <v>0</v>
      </c>
      <c r="AG402" s="277">
        <f t="shared" si="718"/>
        <v>0</v>
      </c>
      <c r="AI402" s="444">
        <f t="shared" si="763"/>
        <v>0</v>
      </c>
      <c r="AJ402" s="1090"/>
      <c r="AK402" s="489"/>
      <c r="AL402" s="812" t="str">
        <f t="shared" si="720"/>
        <v/>
      </c>
      <c r="AM402" s="499">
        <f>IFERROR(IF(AND(AT402="",AR402&lt;&gt;S.CAL!$BJ$3,AR402&lt;&gt;S.CAL!$BJ$4,$AR$365="NON"),M402-BD402,IF(AND(AT402="",AR402&lt;&gt;S.CAL!$BJ$3,AR402&lt;&gt;S.CAL!$BJ$4,$AR$365="OUI"),X402-AI402,IF(AT402&lt;&gt;0,AT402,IF(OR(AR402=S.CAL!$BJ$3,AR402=S.CAL!$BJ$4),AR402,"")))),"")</f>
        <v>0</v>
      </c>
      <c r="AN402" s="1095"/>
      <c r="AO402" s="1096"/>
      <c r="AP402" s="499">
        <f>+IF(AND(AU402="",BB402="OUI",BH402="non",BI402="OUI"),AM402,IF(AND(AU402="",BB402="OUI",BH402="oui",BI402="NON"),AM402,IF(AND(AU402="",BB402="NON",BH402="oui",BI402="NON"),M402,IF(AND(AU402="",BB402="NON",BH402="non",BI402="OUI"),M402,IF(AND(AU402="",BB402="OUI",BH402="non",BI402="NON"),"ERREUR",IF(AND(AU402="",BB402="NON",BH402="non",BI402="NON"),AM402,IF(AND(AU402="",BB402="OUI",BH402="",BI402=""),AM402,IF(AND(AU402="",BB402="NON",BH402="",BI402="",AZ402="NON"),M402,IF(AND(AU402="",BH402="",AZ402="OUI",AR402=""),AM402,IF(AND(AU402="",BH402="",AZ402="NON",AR402="",AT402=""),M402,IF(AND(OR(AR402=S.CAL!$BJ$3,AR402=S.CAL!$BJ$4),(VLOOKUP($AM$365,base_nbre_sem_mensu,2,FALSE)=52)),EE402,IF(AND(OR(AR402=S.CAL!$BJ$3,AR402=S.CAL!$BJ$4),(VLOOKUP($AM$365,base_nbre_sem_mensu,2,FALSE)&lt;52)),AM402,IF(AND(AT402&lt;&gt;"",AU402=""),AT402,AU402)))))))))))))</f>
        <v>0</v>
      </c>
      <c r="AQ402" s="498">
        <f t="shared" si="740"/>
        <v>0</v>
      </c>
      <c r="AR402" s="1107"/>
      <c r="AT402" s="977"/>
      <c r="AU402" s="814"/>
      <c r="AV402" s="812" t="str">
        <f t="shared" si="721"/>
        <v/>
      </c>
      <c r="AX402" s="511" t="str">
        <f t="shared" si="741"/>
        <v/>
      </c>
      <c r="AY402" s="524">
        <f t="shared" si="742"/>
        <v>0</v>
      </c>
      <c r="AZ402" s="521" t="s">
        <v>137</v>
      </c>
      <c r="BA402" s="534">
        <f t="shared" si="743"/>
        <v>0</v>
      </c>
      <c r="BB402" s="522" t="str">
        <f t="shared" si="722"/>
        <v/>
      </c>
      <c r="BC402" s="524">
        <f t="shared" si="744"/>
        <v>0</v>
      </c>
      <c r="BD402" s="524">
        <f t="shared" si="745"/>
        <v>0</v>
      </c>
      <c r="BE402" s="491"/>
      <c r="BF402" s="514" t="str">
        <f t="shared" si="723"/>
        <v/>
      </c>
      <c r="BG402" s="514" t="str">
        <f t="shared" si="746"/>
        <v>oui</v>
      </c>
      <c r="BH402" s="377" t="str">
        <f t="shared" si="724"/>
        <v/>
      </c>
      <c r="BI402" s="24" t="str">
        <f t="shared" si="725"/>
        <v/>
      </c>
      <c r="BJ402" s="1381"/>
      <c r="BK402" s="1381"/>
      <c r="BL402" s="1381"/>
      <c r="BM402" s="1381"/>
      <c r="BN402" s="1381"/>
      <c r="BO402" s="1381"/>
      <c r="BP402" s="1381"/>
      <c r="BQ402" s="1381"/>
      <c r="BS402" s="812" t="str">
        <f t="shared" si="692"/>
        <v/>
      </c>
      <c r="BT402" s="27" t="str">
        <f t="shared" si="754"/>
        <v/>
      </c>
      <c r="BU402" s="1380"/>
      <c r="BV402" s="1380"/>
      <c r="BW402" s="1380"/>
      <c r="BX402" s="1380"/>
      <c r="BY402" s="1380"/>
      <c r="BZ402" s="1380"/>
      <c r="CA402" s="1380"/>
      <c r="CB402" s="1380"/>
      <c r="CD402" s="1387">
        <f t="shared" si="747"/>
        <v>0</v>
      </c>
      <c r="DC402" s="16" t="str">
        <f>Septembre!FC50</f>
        <v/>
      </c>
      <c r="DG402" s="315">
        <f t="shared" si="748"/>
        <v>1</v>
      </c>
      <c r="DH402" s="129">
        <f t="shared" si="726"/>
        <v>10</v>
      </c>
      <c r="DI402" s="129">
        <f t="shared" si="749"/>
        <v>1</v>
      </c>
      <c r="DK402" s="16">
        <f>+IF(AND(Septembre!$DP$8&lt;&gt;52,AR402=S.CAL!$BJ$4),10,1)</f>
        <v>1</v>
      </c>
      <c r="DN402" s="16">
        <f t="shared" si="727"/>
        <v>1</v>
      </c>
      <c r="DU402" s="1274" t="str">
        <f t="shared" si="750"/>
        <v>Fiche infoA0</v>
      </c>
      <c r="DV402" s="1362">
        <f t="shared" si="728"/>
        <v>0</v>
      </c>
      <c r="DW402" s="1363">
        <f t="shared" si="729"/>
        <v>0</v>
      </c>
      <c r="DX402" s="1363">
        <f t="shared" si="730"/>
        <v>0</v>
      </c>
      <c r="DY402" s="1363">
        <f t="shared" si="731"/>
        <v>0</v>
      </c>
      <c r="DZ402" s="1363">
        <f t="shared" si="732"/>
        <v>0</v>
      </c>
      <c r="EA402" s="1363">
        <f t="shared" si="733"/>
        <v>0</v>
      </c>
      <c r="EB402" s="1363">
        <f t="shared" si="734"/>
        <v>0</v>
      </c>
      <c r="EC402" s="1363">
        <f t="shared" si="735"/>
        <v>0</v>
      </c>
      <c r="ED402" s="1363">
        <f t="shared" si="751"/>
        <v>0</v>
      </c>
      <c r="EE402" s="1364">
        <f t="shared" si="752"/>
        <v>0</v>
      </c>
      <c r="EG402" s="16" t="e">
        <f t="shared" si="753"/>
        <v>#VALUE!</v>
      </c>
      <c r="EH402" s="16" t="str">
        <f t="shared" si="736"/>
        <v>Fiche infoA0</v>
      </c>
      <c r="EI402" s="16" t="e">
        <f t="shared" si="737"/>
        <v>#N/A</v>
      </c>
    </row>
    <row r="403" spans="1:145" x14ac:dyDescent="0.2">
      <c r="AM403" s="536">
        <f>SUM(AM372:AM402)</f>
        <v>0</v>
      </c>
      <c r="AN403" s="500">
        <f>SUM(AN372:AN402)</f>
        <v>0</v>
      </c>
      <c r="AO403" s="500">
        <f>SUM(AO372:AO402)</f>
        <v>0</v>
      </c>
      <c r="AP403" s="501">
        <f>SUM(AP372:AP402)</f>
        <v>0</v>
      </c>
      <c r="BD403" s="537">
        <f>SUM(BD372:BD402)</f>
        <v>0</v>
      </c>
      <c r="EE403" s="1364"/>
    </row>
    <row r="404" spans="1:145" x14ac:dyDescent="0.2">
      <c r="X404" s="29" t="s">
        <v>441</v>
      </c>
      <c r="Y404" s="29"/>
      <c r="Z404" s="29"/>
      <c r="AA404" s="29"/>
      <c r="AB404" s="29"/>
      <c r="AC404" s="29"/>
      <c r="AD404" s="29"/>
      <c r="AE404" s="29"/>
      <c r="AF404" s="29"/>
      <c r="AG404" s="29"/>
      <c r="AI404" s="445">
        <f>SUM(AI372:AI402)</f>
        <v>0</v>
      </c>
      <c r="AJ404" s="19"/>
      <c r="AK404" s="19"/>
      <c r="AL404" s="19"/>
      <c r="AM404" s="19"/>
      <c r="AN404" s="19"/>
      <c r="AO404" s="19"/>
      <c r="AP404" s="19"/>
      <c r="AQ404" s="494"/>
    </row>
    <row r="406" spans="1:145" ht="23.25" x14ac:dyDescent="0.35">
      <c r="B406" s="435" t="s">
        <v>794</v>
      </c>
      <c r="C406" s="435"/>
      <c r="D406" s="435"/>
      <c r="BS406" s="19" t="s">
        <v>1524</v>
      </c>
      <c r="EK406" s="16" t="str">
        <f>+EG416</f>
        <v>numero sem</v>
      </c>
      <c r="EL406" s="27" t="s">
        <v>1518</v>
      </c>
      <c r="EM406" s="27" t="s">
        <v>1519</v>
      </c>
      <c r="EN406" s="16" t="s">
        <v>1520</v>
      </c>
    </row>
    <row r="407" spans="1:145" ht="13.5" thickBot="1" x14ac:dyDescent="0.25">
      <c r="AR407" s="1717" t="s">
        <v>989</v>
      </c>
      <c r="AS407" s="1718"/>
      <c r="AT407" s="1719"/>
      <c r="BT407" s="29" t="s">
        <v>1527</v>
      </c>
      <c r="BU407" s="27" t="str">
        <f>+IFERROR(EJ407,"")</f>
        <v>40</v>
      </c>
      <c r="BV407" s="53" t="str">
        <f>IF(BU407="","",+EN407)</f>
        <v>non</v>
      </c>
      <c r="BW407" s="1729" t="str">
        <f>+IF(BV407="oui", "Ecart "&amp;EO407&amp;" hrs","")</f>
        <v/>
      </c>
      <c r="BX407" s="1729"/>
      <c r="EJ407" s="16" t="str">
        <f>LEFT(EK407,LEN(EK407)-4)</f>
        <v>40</v>
      </c>
      <c r="EK407" s="16" t="str" cm="1">
        <f t="array" ref="EK407">IFERROR(INDEX(EG417:EG447,MATCH(0,INDEX(COUNTIF(EK406:EK406,EG417:EG447),0,0),0)),"")</f>
        <v>402026</v>
      </c>
      <c r="EL407" s="27">
        <f>+SUMIFS($EE$12:$EE$537,$EG$12:$EG$537,EK407)</f>
        <v>0</v>
      </c>
      <c r="EM407" s="27">
        <f>+SUMIFS($EI$12:$EI$537,$EG$12:$EG$537,EK407)</f>
        <v>0</v>
      </c>
      <c r="EN407" s="16" t="str">
        <f t="shared" ref="EN407:EN412" si="764">+IF(AND(EL407&lt;&gt;EM407,EK407&lt;&gt;""),"oui","non")</f>
        <v>non</v>
      </c>
      <c r="EO407" s="16">
        <f>+EL407-EM407</f>
        <v>0</v>
      </c>
    </row>
    <row r="408" spans="1:145" ht="13.5" thickTop="1" x14ac:dyDescent="0.2">
      <c r="C408" s="39" t="s">
        <v>793</v>
      </c>
      <c r="D408" s="1713">
        <f>+Identification!$B$7</f>
        <v>0</v>
      </c>
      <c r="E408" s="1713"/>
      <c r="F408" s="1713"/>
      <c r="G408" s="1713"/>
      <c r="O408" s="436" t="s">
        <v>76</v>
      </c>
      <c r="P408" s="32"/>
      <c r="Q408" s="33"/>
      <c r="R408" s="436" t="s">
        <v>140</v>
      </c>
      <c r="S408" s="32"/>
      <c r="T408" s="32"/>
      <c r="U408" s="32"/>
      <c r="V408" s="32"/>
      <c r="W408" s="32"/>
      <c r="X408" s="33"/>
      <c r="AR408" s="1720"/>
      <c r="AS408" s="1721"/>
      <c r="AT408" s="1722"/>
      <c r="BU408" s="27" t="str">
        <f t="shared" ref="BU408:BU412" si="765">+IFERROR(EJ408,"")</f>
        <v>41</v>
      </c>
      <c r="BV408" s="53" t="str">
        <f t="shared" ref="BV408:BV412" si="766">IF(BU408="","",+EN408)</f>
        <v>non</v>
      </c>
      <c r="BW408" s="1729" t="str">
        <f t="shared" ref="BW408:BW412" si="767">+IF(BV408="oui", "Ecart "&amp;EO408&amp;" hrs","")</f>
        <v/>
      </c>
      <c r="BX408" s="1729"/>
      <c r="EJ408" s="16" t="str">
        <f t="shared" ref="EJ408:EJ413" si="768">LEFT(EK408,LEN(EK408)-4)</f>
        <v>41</v>
      </c>
      <c r="EK408" s="16" t="str" cm="1">
        <f t="array" ref="EK408">IFERROR(INDEX(EG417:EG447,MATCH(0,INDEX(COUNTIF(EK406:EK407,EG417:EG447),0,0),0)),"")</f>
        <v>412026</v>
      </c>
      <c r="EL408" s="27">
        <f t="shared" ref="EL408:EL412" si="769">+SUMIFS($EE$12:$EE$537,$EG$12:$EG$537,EK408)</f>
        <v>0</v>
      </c>
      <c r="EM408" s="27">
        <f t="shared" ref="EM408:EM413" si="770">+SUMIFS($EI$12:$EI$537,$EG$12:$EG$537,EK408)</f>
        <v>0</v>
      </c>
      <c r="EN408" s="16" t="str">
        <f t="shared" si="764"/>
        <v>non</v>
      </c>
      <c r="EO408" s="16">
        <f t="shared" ref="EO408:EO413" si="771">+EL408-EM408</f>
        <v>0</v>
      </c>
    </row>
    <row r="409" spans="1:145" x14ac:dyDescent="0.2">
      <c r="O409" s="35"/>
      <c r="Q409" s="36"/>
      <c r="R409" s="1723"/>
      <c r="S409" s="1724"/>
      <c r="T409" s="1724"/>
      <c r="U409" s="1724"/>
      <c r="V409" s="1724"/>
      <c r="W409" s="1724"/>
      <c r="X409" s="1725"/>
      <c r="Y409" s="442"/>
      <c r="Z409" s="442"/>
      <c r="AA409" s="442"/>
      <c r="AB409" s="442"/>
      <c r="AC409" s="442"/>
      <c r="AD409" s="442"/>
      <c r="AE409" s="442"/>
      <c r="AF409" s="442"/>
      <c r="AG409" s="442"/>
      <c r="AR409" s="1720"/>
      <c r="AS409" s="1721"/>
      <c r="AT409" s="1722"/>
      <c r="BU409" s="27" t="str">
        <f t="shared" si="765"/>
        <v>42</v>
      </c>
      <c r="BV409" s="53" t="str">
        <f t="shared" si="766"/>
        <v>non</v>
      </c>
      <c r="BW409" s="1729" t="str">
        <f t="shared" si="767"/>
        <v/>
      </c>
      <c r="BX409" s="1729"/>
      <c r="EJ409" s="16" t="str">
        <f t="shared" si="768"/>
        <v>42</v>
      </c>
      <c r="EK409" s="16" t="str">
        <f t="array" ref="EK409">IFERROR(INDEX(EG417:EG447,MATCH(0,INDEX(COUNTIF(EK406:EK408,EG417:EG447),0,0),0)),"")</f>
        <v>422026</v>
      </c>
      <c r="EL409" s="27">
        <f t="shared" si="769"/>
        <v>0</v>
      </c>
      <c r="EM409" s="27">
        <f t="shared" si="770"/>
        <v>0</v>
      </c>
      <c r="EN409" s="16" t="str">
        <f t="shared" si="764"/>
        <v>non</v>
      </c>
      <c r="EO409" s="16">
        <f t="shared" si="771"/>
        <v>0</v>
      </c>
    </row>
    <row r="410" spans="1:145" x14ac:dyDescent="0.2">
      <c r="C410" s="39" t="s">
        <v>25</v>
      </c>
      <c r="D410" s="1713">
        <f>+Identification!$B$25</f>
        <v>0</v>
      </c>
      <c r="E410" s="1713"/>
      <c r="O410" s="35"/>
      <c r="Q410" s="36"/>
      <c r="R410" s="1723"/>
      <c r="S410" s="1724"/>
      <c r="T410" s="1724"/>
      <c r="U410" s="1724"/>
      <c r="V410" s="1724"/>
      <c r="W410" s="1724"/>
      <c r="X410" s="1725"/>
      <c r="Y410" s="442"/>
      <c r="Z410" s="442"/>
      <c r="AA410" s="442"/>
      <c r="AB410" s="442"/>
      <c r="AC410" s="442"/>
      <c r="AD410" s="442"/>
      <c r="AE410" s="442"/>
      <c r="AF410" s="442"/>
      <c r="AG410" s="442"/>
      <c r="AL410" s="16" t="str">
        <f t="shared" ref="AL410" si="772">C413</f>
        <v>Mois :</v>
      </c>
      <c r="AM410" s="1716">
        <f t="shared" ref="AM410" si="773">D413</f>
        <v>46296</v>
      </c>
      <c r="AN410" s="1716">
        <f t="shared" ref="AN410" si="774">E413</f>
        <v>0</v>
      </c>
      <c r="AR410" s="539" t="str">
        <f>IF(AT410="",AR365,AT410)</f>
        <v>NON</v>
      </c>
      <c r="AS410" s="538" t="s">
        <v>492</v>
      </c>
      <c r="AT410" s="1083"/>
      <c r="BJ410" s="16" t="str">
        <f t="shared" ref="BJ410" si="775">AL410</f>
        <v>Mois :</v>
      </c>
      <c r="BK410" s="1716">
        <f t="shared" ref="BK410" si="776">AM410</f>
        <v>46296</v>
      </c>
      <c r="BL410" s="1716"/>
      <c r="BU410" s="27" t="str">
        <f t="shared" si="765"/>
        <v>43</v>
      </c>
      <c r="BV410" s="53" t="str">
        <f t="shared" si="766"/>
        <v>non</v>
      </c>
      <c r="BW410" s="1729" t="str">
        <f t="shared" si="767"/>
        <v/>
      </c>
      <c r="BX410" s="1729"/>
      <c r="EJ410" s="16" t="str">
        <f t="shared" si="768"/>
        <v>43</v>
      </c>
      <c r="EK410" s="16" t="str">
        <f t="array" ref="EK410">IFERROR(INDEX(EG417:EG447,MATCH(0,INDEX(COUNTIF(EK406:EK409,EG417:EG447),0,0),0)),"")</f>
        <v>432026</v>
      </c>
      <c r="EL410" s="27">
        <f t="shared" si="769"/>
        <v>0</v>
      </c>
      <c r="EM410" s="27">
        <f t="shared" si="770"/>
        <v>0</v>
      </c>
      <c r="EN410" s="16" t="str">
        <f t="shared" si="764"/>
        <v>non</v>
      </c>
      <c r="EO410" s="16">
        <f t="shared" si="771"/>
        <v>0</v>
      </c>
    </row>
    <row r="411" spans="1:145" ht="13.5" thickBot="1" x14ac:dyDescent="0.25">
      <c r="O411" s="42"/>
      <c r="P411" s="43"/>
      <c r="Q411" s="44"/>
      <c r="R411" s="1726"/>
      <c r="S411" s="1727"/>
      <c r="T411" s="1727"/>
      <c r="U411" s="1727"/>
      <c r="V411" s="1727"/>
      <c r="W411" s="1727"/>
      <c r="X411" s="1728"/>
      <c r="Y411" s="442"/>
      <c r="Z411" s="442"/>
      <c r="AA411" s="442"/>
      <c r="AB411" s="442"/>
      <c r="AC411" s="442"/>
      <c r="AD411" s="442"/>
      <c r="AE411" s="442"/>
      <c r="AF411" s="442"/>
      <c r="AG411" s="442"/>
      <c r="BU411" s="27" t="str">
        <f t="shared" si="765"/>
        <v>44</v>
      </c>
      <c r="BV411" s="53" t="str">
        <f t="shared" si="766"/>
        <v>non</v>
      </c>
      <c r="BW411" s="1729" t="str">
        <f t="shared" si="767"/>
        <v/>
      </c>
      <c r="BX411" s="1729"/>
      <c r="EJ411" s="16" t="str">
        <f t="shared" si="768"/>
        <v>44</v>
      </c>
      <c r="EK411" s="16" t="str">
        <f t="array" ref="EK411">IFERROR(INDEX(EG417:EG447,MATCH(0,INDEX(COUNTIF(EK406:EK410,EG417:EG447),0,0),0)),"")</f>
        <v>442026</v>
      </c>
      <c r="EL411" s="27">
        <f t="shared" si="769"/>
        <v>0</v>
      </c>
      <c r="EM411" s="27">
        <f t="shared" si="770"/>
        <v>0</v>
      </c>
      <c r="EN411" s="16" t="str">
        <f t="shared" si="764"/>
        <v>non</v>
      </c>
      <c r="EO411" s="16">
        <f t="shared" si="771"/>
        <v>0</v>
      </c>
    </row>
    <row r="412" spans="1:145" ht="13.5" thickTop="1" x14ac:dyDescent="0.2">
      <c r="AI412" s="535" t="s">
        <v>986</v>
      </c>
      <c r="BU412" s="27" t="str">
        <f t="shared" si="765"/>
        <v/>
      </c>
      <c r="BV412" s="53" t="str">
        <f t="shared" si="766"/>
        <v/>
      </c>
      <c r="BW412" s="1729" t="str">
        <f t="shared" si="767"/>
        <v/>
      </c>
      <c r="BX412" s="1729"/>
      <c r="EJ412" s="16" t="e">
        <f t="shared" si="768"/>
        <v>#VALUE!</v>
      </c>
      <c r="EK412" s="16" t="str">
        <f t="array" ref="EK412">IFERROR(INDEX(EG417:EG447,MATCH(0,INDEX(COUNTIF(EK406:EK411,EG417:EG447),0,0),0)),"")</f>
        <v/>
      </c>
      <c r="EL412" s="27">
        <f t="shared" si="769"/>
        <v>0</v>
      </c>
      <c r="EM412" s="27">
        <f t="shared" si="770"/>
        <v>0</v>
      </c>
      <c r="EN412" s="16" t="str">
        <f t="shared" si="764"/>
        <v>non</v>
      </c>
      <c r="EO412" s="16">
        <f t="shared" si="771"/>
        <v>0</v>
      </c>
    </row>
    <row r="413" spans="1:145" x14ac:dyDescent="0.2">
      <c r="C413" s="39" t="s">
        <v>28</v>
      </c>
      <c r="D413" s="1716">
        <f>+Octobre!X3</f>
        <v>46296</v>
      </c>
      <c r="E413" s="1716"/>
      <c r="F413" s="39" t="s">
        <v>12</v>
      </c>
      <c r="G413" s="63">
        <f>+Octobre!X4</f>
        <v>2026</v>
      </c>
      <c r="EJ413" s="16" t="e">
        <f t="shared" si="768"/>
        <v>#VALUE!</v>
      </c>
      <c r="EK413" s="16" t="str">
        <f t="array" ref="EK413">IFERROR(INDEX($EG$12:$EG$42,MATCH(0,INDEX(COUNTIF($EK$1:EK412,$EG$12:$EG$42),0,0),0)),"")</f>
        <v/>
      </c>
      <c r="EL413" s="27">
        <f>+SUMIFS($EE$12:$EE$537,$EG$12:$EG$537,EK413)</f>
        <v>0</v>
      </c>
      <c r="EM413" s="27">
        <f t="shared" si="770"/>
        <v>0</v>
      </c>
      <c r="EN413" s="16" t="str">
        <f>+IF(AND(EL413&lt;&gt;EM413,EK413&lt;&gt;""),"oui","non")</f>
        <v>non</v>
      </c>
      <c r="EO413" s="16">
        <f t="shared" si="771"/>
        <v>0</v>
      </c>
    </row>
    <row r="414" spans="1:145" x14ac:dyDescent="0.2">
      <c r="AL414" s="1714" t="s">
        <v>960</v>
      </c>
      <c r="AM414" s="1714"/>
      <c r="AN414" s="1714"/>
      <c r="AO414" s="1714"/>
      <c r="AP414" s="1714"/>
      <c r="AQ414" s="492"/>
      <c r="AT414" s="1715" t="s">
        <v>749</v>
      </c>
      <c r="AU414" s="1715"/>
      <c r="AV414" s="1715"/>
      <c r="AW414" s="63"/>
      <c r="AX414" s="63"/>
      <c r="AY414" s="517" t="s">
        <v>975</v>
      </c>
      <c r="AZ414" s="518"/>
      <c r="BA414" s="518"/>
      <c r="BB414" s="518"/>
      <c r="BC414" s="519"/>
      <c r="BD414" s="519"/>
      <c r="BE414" s="519"/>
      <c r="BF414" s="512"/>
      <c r="BG414" s="512"/>
      <c r="BJ414" s="437"/>
      <c r="BK414" s="437"/>
      <c r="BL414" s="437"/>
      <c r="BM414" s="437"/>
      <c r="BN414" s="437"/>
      <c r="BO414" s="437"/>
      <c r="BP414" s="437"/>
      <c r="BQ414" s="437"/>
      <c r="BU414" s="438"/>
      <c r="BV414" s="438"/>
      <c r="BW414" s="438"/>
      <c r="BX414" s="438"/>
      <c r="BY414" s="438"/>
      <c r="BZ414" s="438"/>
      <c r="CA414" s="438"/>
      <c r="CB414" s="438"/>
    </row>
    <row r="415" spans="1:145" ht="15" customHeight="1" x14ac:dyDescent="0.2">
      <c r="D415" s="439" t="s">
        <v>791</v>
      </c>
      <c r="E415" s="438"/>
      <c r="F415" s="438"/>
      <c r="G415" s="438"/>
      <c r="H415" s="438"/>
      <c r="I415" s="438"/>
      <c r="J415" s="438"/>
      <c r="K415" s="438"/>
      <c r="L415" s="438"/>
      <c r="M415" s="438"/>
      <c r="O415" s="440" t="s">
        <v>790</v>
      </c>
      <c r="P415" s="437"/>
      <c r="Q415" s="437"/>
      <c r="R415" s="437"/>
      <c r="S415" s="437"/>
      <c r="T415" s="437"/>
      <c r="U415" s="437"/>
      <c r="V415" s="437"/>
      <c r="W415" s="437"/>
      <c r="X415" s="437"/>
      <c r="BJ415" s="1087" t="s">
        <v>792</v>
      </c>
      <c r="BK415" s="1088"/>
      <c r="BL415" s="1088"/>
      <c r="BM415" s="1088"/>
      <c r="BN415" s="1088"/>
      <c r="BO415" s="1088"/>
      <c r="BP415" s="1088"/>
      <c r="BQ415" s="1088"/>
      <c r="BU415" s="1087" t="s">
        <v>1369</v>
      </c>
      <c r="BV415" s="1088"/>
      <c r="BW415" s="1088"/>
      <c r="BX415" s="1088"/>
      <c r="BY415" s="1088"/>
      <c r="BZ415" s="1088"/>
      <c r="CA415" s="1088"/>
      <c r="CB415" s="1088"/>
      <c r="DG415" s="315" t="s">
        <v>1326</v>
      </c>
      <c r="DH415" s="129"/>
      <c r="DI415" s="129"/>
      <c r="DK415" s="129" t="s">
        <v>1331</v>
      </c>
      <c r="DN415" s="16" t="s">
        <v>1334</v>
      </c>
      <c r="DV415" s="825" t="s">
        <v>1521</v>
      </c>
      <c r="DW415" s="825"/>
      <c r="DX415" s="825"/>
      <c r="DY415" s="825"/>
      <c r="DZ415" s="825"/>
      <c r="EA415" s="825"/>
      <c r="EB415" s="825"/>
      <c r="EC415" s="825"/>
      <c r="ED415" s="825"/>
      <c r="EE415" s="825"/>
    </row>
    <row r="416" spans="1:145" ht="56.25" customHeight="1" x14ac:dyDescent="0.2">
      <c r="A416" s="24" t="s">
        <v>789</v>
      </c>
      <c r="B416" s="432" t="s">
        <v>16</v>
      </c>
      <c r="C416" s="433"/>
      <c r="D416" s="432" t="s">
        <v>219</v>
      </c>
      <c r="E416" s="432" t="s">
        <v>220</v>
      </c>
      <c r="F416" s="432" t="s">
        <v>221</v>
      </c>
      <c r="G416" s="432" t="s">
        <v>222</v>
      </c>
      <c r="H416" s="432" t="s">
        <v>522</v>
      </c>
      <c r="I416" s="432" t="s">
        <v>523</v>
      </c>
      <c r="J416" s="432" t="s">
        <v>524</v>
      </c>
      <c r="K416" s="432" t="s">
        <v>525</v>
      </c>
      <c r="L416" s="432" t="s">
        <v>182</v>
      </c>
      <c r="M416" s="432" t="s">
        <v>183</v>
      </c>
      <c r="N416" s="433"/>
      <c r="O416" s="432" t="s">
        <v>219</v>
      </c>
      <c r="P416" s="432" t="s">
        <v>220</v>
      </c>
      <c r="Q416" s="432" t="s">
        <v>221</v>
      </c>
      <c r="R416" s="432" t="s">
        <v>222</v>
      </c>
      <c r="S416" s="432" t="s">
        <v>522</v>
      </c>
      <c r="T416" s="432" t="s">
        <v>523</v>
      </c>
      <c r="U416" s="432" t="s">
        <v>524</v>
      </c>
      <c r="V416" s="432" t="s">
        <v>525</v>
      </c>
      <c r="W416" s="432" t="s">
        <v>182</v>
      </c>
      <c r="X416" s="432" t="s">
        <v>183</v>
      </c>
      <c r="Y416" s="433"/>
      <c r="Z416" s="432" t="s">
        <v>796</v>
      </c>
      <c r="AA416" s="432" t="s">
        <v>797</v>
      </c>
      <c r="AB416" s="432" t="s">
        <v>798</v>
      </c>
      <c r="AC416" s="432" t="s">
        <v>799</v>
      </c>
      <c r="AD416" s="432" t="s">
        <v>800</v>
      </c>
      <c r="AE416" s="432" t="s">
        <v>801</v>
      </c>
      <c r="AF416" s="432" t="s">
        <v>802</v>
      </c>
      <c r="AG416" s="432" t="s">
        <v>803</v>
      </c>
      <c r="AI416" s="432" t="s">
        <v>804</v>
      </c>
      <c r="AJ416" s="432" t="s">
        <v>795</v>
      </c>
      <c r="AK416" s="433"/>
      <c r="AL416" s="495" t="s">
        <v>16</v>
      </c>
      <c r="AM416" s="530" t="s">
        <v>1003</v>
      </c>
      <c r="AN416" s="1084" t="s">
        <v>958</v>
      </c>
      <c r="AO416" s="1085" t="s">
        <v>959</v>
      </c>
      <c r="AP416" s="496" t="s">
        <v>1707</v>
      </c>
      <c r="AQ416" s="493"/>
      <c r="AR416" s="1086" t="s">
        <v>684</v>
      </c>
      <c r="AT416" s="1086" t="s">
        <v>1333</v>
      </c>
      <c r="AU416" s="1085" t="s">
        <v>1707</v>
      </c>
      <c r="AV416" s="432" t="s">
        <v>16</v>
      </c>
      <c r="AW416" s="433"/>
      <c r="AX416" s="433"/>
      <c r="AY416" s="529" t="s">
        <v>972</v>
      </c>
      <c r="AZ416" s="530" t="s">
        <v>978</v>
      </c>
      <c r="BA416" s="513" t="s">
        <v>976</v>
      </c>
      <c r="BB416" s="550" t="s">
        <v>977</v>
      </c>
      <c r="BC416" s="551" t="s">
        <v>1005</v>
      </c>
      <c r="BD416" s="550" t="s">
        <v>979</v>
      </c>
      <c r="BE416" s="552" t="s">
        <v>1004</v>
      </c>
      <c r="BF416" s="513" t="s">
        <v>980</v>
      </c>
      <c r="BG416" s="513" t="s">
        <v>985</v>
      </c>
      <c r="BI416" s="24" t="s">
        <v>1011</v>
      </c>
      <c r="BJ416" s="432" t="s">
        <v>219</v>
      </c>
      <c r="BK416" s="432" t="s">
        <v>220</v>
      </c>
      <c r="BL416" s="432" t="s">
        <v>221</v>
      </c>
      <c r="BM416" s="432" t="s">
        <v>222</v>
      </c>
      <c r="BN416" s="432" t="s">
        <v>522</v>
      </c>
      <c r="BO416" s="432" t="s">
        <v>523</v>
      </c>
      <c r="BP416" s="432" t="s">
        <v>524</v>
      </c>
      <c r="BQ416" s="432" t="s">
        <v>525</v>
      </c>
      <c r="BS416" s="1361" t="str">
        <f t="shared" ref="BS416:BS447" si="777">AV416</f>
        <v>Jours</v>
      </c>
      <c r="BU416" s="432" t="s">
        <v>219</v>
      </c>
      <c r="BV416" s="432" t="s">
        <v>220</v>
      </c>
      <c r="BW416" s="432" t="s">
        <v>221</v>
      </c>
      <c r="BX416" s="432" t="s">
        <v>222</v>
      </c>
      <c r="BY416" s="432" t="s">
        <v>522</v>
      </c>
      <c r="BZ416" s="432" t="s">
        <v>523</v>
      </c>
      <c r="CA416" s="432" t="s">
        <v>524</v>
      </c>
      <c r="CB416" s="432" t="s">
        <v>525</v>
      </c>
      <c r="CD416" s="1361" t="s">
        <v>1526</v>
      </c>
      <c r="CS416" s="488"/>
      <c r="CT416" s="488"/>
      <c r="CU416" s="488"/>
      <c r="CV416" s="488"/>
      <c r="DG416" s="315" t="s">
        <v>1327</v>
      </c>
      <c r="DH416" s="129" t="s">
        <v>1328</v>
      </c>
      <c r="DI416" s="129" t="s">
        <v>1330</v>
      </c>
      <c r="DK416" s="129" t="s">
        <v>1332</v>
      </c>
      <c r="DU416" s="1361" t="s">
        <v>238</v>
      </c>
      <c r="DV416" s="1361" t="s">
        <v>219</v>
      </c>
      <c r="DW416" s="1361" t="s">
        <v>220</v>
      </c>
      <c r="DX416" s="1361" t="s">
        <v>221</v>
      </c>
      <c r="DY416" s="1361" t="s">
        <v>222</v>
      </c>
      <c r="DZ416" s="1361" t="s">
        <v>522</v>
      </c>
      <c r="EA416" s="1361" t="s">
        <v>523</v>
      </c>
      <c r="EB416" s="1361" t="s">
        <v>524</v>
      </c>
      <c r="EC416" s="1361" t="s">
        <v>525</v>
      </c>
      <c r="ED416" s="1361" t="s">
        <v>182</v>
      </c>
      <c r="EE416" s="1361" t="s">
        <v>183</v>
      </c>
      <c r="EG416" s="1361" t="s">
        <v>1224</v>
      </c>
      <c r="EH416" s="1361" t="s">
        <v>1522</v>
      </c>
      <c r="EI416" s="1361" t="s">
        <v>1523</v>
      </c>
    </row>
    <row r="417" spans="1:139" x14ac:dyDescent="0.2">
      <c r="A417" s="24" t="str">
        <f>Octobre!BJ20</f>
        <v>Fiche infoA4</v>
      </c>
      <c r="B417" s="810">
        <f>Octobre!AB20</f>
        <v>46296</v>
      </c>
      <c r="C417" s="1371"/>
      <c r="D417" s="978">
        <f t="shared" ref="D417:D447" si="778">IF(AR417&lt;&gt;"",0,IF(DN417=10,0,IFERROR(+IF(BU417="",VLOOKUP(A417,base_horaire,2,FALSE),BU417),0)))</f>
        <v>0</v>
      </c>
      <c r="E417" s="979">
        <f t="shared" ref="E417:E447" si="779">IF(AR417&lt;&gt;"",0,IF(DN417=10,0,IFERROR(+IF(BV417="",VLOOKUP(A417,base_horaire,3,FALSE),BV417),0)))</f>
        <v>0</v>
      </c>
      <c r="F417" s="979">
        <f t="shared" ref="F417:F447" si="780">IF(AR417&lt;&gt;"",0,IF(DN417=10,0,IFERROR(+IF(BW417="",VLOOKUP(A417,base_horaire,4,FALSE),BW417),0)))</f>
        <v>0</v>
      </c>
      <c r="G417" s="979">
        <f t="shared" ref="G417:G447" si="781">IF(AR417&lt;&gt;"",0,IF(DN417=10,0,IFERROR(+IF(BX417="",VLOOKUP(A417,base_horaire,5,FALSE),BX417),0)))</f>
        <v>0</v>
      </c>
      <c r="H417" s="979">
        <f t="shared" ref="H417:H447" si="782">IF(AR417&lt;&gt;"",0,IF(DN417=10,0,IFERROR(+IF(BY417="",VLOOKUP(A417,base_horaire,6,FALSE),BY417),0)))</f>
        <v>0</v>
      </c>
      <c r="I417" s="979">
        <f t="shared" ref="I417:I447" si="783">IF(AR417&lt;&gt;"",0,IF(DN417=10,0,IFERROR(+IF(BZ417="",VLOOKUP(A417,base_horaire,7,FALSE),BZ417),0)))</f>
        <v>0</v>
      </c>
      <c r="J417" s="979">
        <f t="shared" ref="J417:J447" si="784">IF(AR417&lt;&gt;"",0,IF(DN417=10,0,IFERROR(+IF(CA417="",VLOOKUP(A417,base_horaire,8,FALSE),CA417),0)))</f>
        <v>0</v>
      </c>
      <c r="K417" s="979">
        <f t="shared" ref="K417:K447" si="785">IF(AR417&lt;&gt;"",0,IF(DN417=10,0,IFERROR(+IF(CB417="",VLOOKUP(A417,base_horaire,9,FALSE),CB417),0)))</f>
        <v>0</v>
      </c>
      <c r="L417" s="979">
        <f>+E417-D417+G417-F417+I417-H417+K417-J417</f>
        <v>0</v>
      </c>
      <c r="M417" s="980">
        <f>ROUND(+L417*24,2)</f>
        <v>0</v>
      </c>
      <c r="O417" s="978">
        <f t="shared" ref="O417:O424" si="786">IF(AR417&lt;&gt;"",0,IF(DC417="oui",0,IF(AND(ISTEXT(AT417)=TRUE,BJ417=""),0,IF(BJ417="",D417,BJ417))))</f>
        <v>0</v>
      </c>
      <c r="P417" s="979">
        <f t="shared" ref="P417:P424" si="787">IF(AR417&lt;&gt;"",0,IF(DC417="oui",0,IF(AND(ISTEXT(AT417)=TRUE,BK417=""),0,IF(BK417="",E417,BK417))))</f>
        <v>0</v>
      </c>
      <c r="Q417" s="979">
        <f t="shared" ref="Q417:Q424" si="788">IF(AR417&lt;&gt;"",0,IF(DC417="oui",0,IF(AND(ISTEXT(AT417)=TRUE,BL417=""),0,IF(BL417="",F417,BL417))))</f>
        <v>0</v>
      </c>
      <c r="R417" s="979">
        <f t="shared" ref="R417:R424" si="789">IF(AR417&lt;&gt;"",0,IF(DC417="oui",0,IF(AND(ISTEXT(AT417)=TRUE,BM417=""),0,IF(BM417="",G417,BM417))))</f>
        <v>0</v>
      </c>
      <c r="S417" s="979">
        <f t="shared" ref="S417:S424" si="790">IF(AR417&lt;&gt;"",0,IF(DC417="oui",0,IF(AND(ISTEXT(AT417)=TRUE,BN417=""),0,IF(BN417="",H417,BN417))))</f>
        <v>0</v>
      </c>
      <c r="T417" s="979">
        <f t="shared" ref="T417:T424" si="791">IF(AR417&lt;&gt;"",0,IF(DC417="oui",0,IF(AND(ISTEXT(AT417)=TRUE,BO417=""),0,IF(BO417="",I417,BO417))))</f>
        <v>0</v>
      </c>
      <c r="U417" s="979">
        <f t="shared" ref="U417:U424" si="792">IF(AR417&lt;&gt;"",0,IF(DC417="oui",0,IF(AND(ISTEXT(AT417)=TRUE,BP417=""),0,IF(BP417="",J417,BP417))))</f>
        <v>0</v>
      </c>
      <c r="V417" s="979">
        <f t="shared" ref="V417:V424" si="793">IF(AR417&lt;&gt;"",0,IF(DC417="oui",0,IF(AND(ISTEXT(AT417)=TRUE,BQ417=""),0,IF(BQ417="",K417,BQ417))))</f>
        <v>0</v>
      </c>
      <c r="W417" s="979">
        <f t="shared" ref="W417:W447" si="794">+P417-O417+R417-Q417+T417-S417+V417-U417</f>
        <v>0</v>
      </c>
      <c r="X417" s="980">
        <f t="shared" ref="X417:X447" si="795">ROUND(+W417*24,2)</f>
        <v>0</v>
      </c>
      <c r="Y417" s="441"/>
      <c r="Z417" s="277">
        <f t="shared" ref="Z417:Z447" si="796">+IF(AND(O417&gt;D417,D417&gt;0),D417,O417)</f>
        <v>0</v>
      </c>
      <c r="AA417" s="277">
        <f t="shared" ref="AA417:AA447" si="797">+IF(P417&gt;E417,P417,E417)</f>
        <v>0</v>
      </c>
      <c r="AB417" s="277">
        <f t="shared" ref="AB417:AB447" si="798">+IF(AND(Q417&gt;F417,F417&gt;0),F417,Q417)</f>
        <v>0</v>
      </c>
      <c r="AC417" s="277">
        <f t="shared" ref="AC417:AC447" si="799">+IF(R417&gt;G417,R417,G417)</f>
        <v>0</v>
      </c>
      <c r="AD417" s="277">
        <f t="shared" ref="AD417:AD447" si="800">+IF(AND(S417&gt;H417,H417&gt;0),H417,S417)</f>
        <v>0</v>
      </c>
      <c r="AE417" s="277">
        <f t="shared" ref="AE417:AE447" si="801">+IF(T417&gt;I417,T417,I417)</f>
        <v>0</v>
      </c>
      <c r="AF417" s="277">
        <f t="shared" ref="AF417:AF447" si="802">+IF(AND(U417&gt;J417,J417&gt;0),J417,U417)</f>
        <v>0</v>
      </c>
      <c r="AG417" s="277">
        <f t="shared" ref="AG417:AG447" si="803">+IF(V417&gt;K417,V417,K417)</f>
        <v>0</v>
      </c>
      <c r="AI417" s="443">
        <f t="shared" ref="AI417:AI424" si="804">IF(DC417="oui",0,IF(AND(ISTEXT(AT417)=TRUE,OR(X417=0,X417="")),0,ROUND(((((AA417-Z417)-(E417-D417))+((AC417-AB417)-(G417-F417))+((AE417-AD417)-(I417-H417))+(AG417-AF417)-(K417-J417))*24),2)))</f>
        <v>0</v>
      </c>
      <c r="AJ417" s="1089"/>
      <c r="AK417" s="489"/>
      <c r="AL417" s="810">
        <f t="shared" ref="AL417:AL447" si="805">B417</f>
        <v>46296</v>
      </c>
      <c r="AM417" s="497">
        <f>IFERROR(IF(AND(AT417="",AR417&lt;&gt;S.CAL!$BJ$3,AR417&lt;&gt;S.CAL!$BJ$4,$AR$410="NON"),M417-BD417,IF(AND(AT417="",AR417&lt;&gt;S.CAL!$BJ$3,AR417&lt;&gt;S.CAL!$BJ$4,$AR$410="OUI"),X417-AI417,IF(AT417&lt;&gt;0,AT417,IF(OR(AR417=S.CAL!$BJ$3,AR417=S.CAL!$BJ$4),AR417,"")))),"")</f>
        <v>0</v>
      </c>
      <c r="AN417" s="1091"/>
      <c r="AO417" s="1092"/>
      <c r="AP417" s="497">
        <f>+IF(AND(AU417="",BB417="OUI",BH417="non",BI417="OUI"),AM417,IF(AND(AU417="",BB417="OUI",BH417="oui",BI417="NON"),AM417,IF(AND(AU417="",BB417="NON",BH417="oui",BI417="NON"),M417,IF(AND(AU417="",BB417="NON",BH417="non",BI417="OUI"),M417,IF(AND(AU417="",BB417="OUI",BH417="non",BI417="NON"),"ERREUR",IF(AND(AU417="",BB417="NON",BH417="non",BI417="NON"),AM417,IF(AND(AU417="",BB417="OUI",BH417="",BI417=""),AM417,IF(AND(AU417="",BB417="NON",BH417="",BI417="",AZ417="NON"),M417,IF(AND(AU417="",BH417="",AZ417="OUI",AR417=""),AM417,IF(AND(AU417="",BH417="",AZ417="NON",AR417="",AT417=""),M417,IF(AND(OR(AR417=S.CAL!$BJ$3,AR417=S.CAL!$BJ$4),(VLOOKUP($AM$410,base_nbre_sem_mensu,2,FALSE)=52)),EE417,IF(AND(OR(AR417=S.CAL!$BJ$3,AR417=S.CAL!$BJ$4),(VLOOKUP($AM$410,base_nbre_sem_mensu,2,FALSE)&lt;52)),AM417,IF(AND(AT417&lt;&gt;"",AU417=""),AT417,AU417)))))))))))))</f>
        <v>0</v>
      </c>
      <c r="AQ417" s="498">
        <f>AI417-SUM(AN417:AO417)</f>
        <v>0</v>
      </c>
      <c r="AR417" s="1097"/>
      <c r="AT417" s="1100"/>
      <c r="AU417" s="813"/>
      <c r="AV417" s="1369">
        <f t="shared" ref="AV417:AV447" si="806">B417</f>
        <v>46296</v>
      </c>
      <c r="AX417" s="511">
        <f>+AV417</f>
        <v>46296</v>
      </c>
      <c r="AY417" s="528">
        <f>+IF(M417-X417&lt;0,0,M417-X417)</f>
        <v>0</v>
      </c>
      <c r="AZ417" s="531" t="s">
        <v>137</v>
      </c>
      <c r="BA417" s="532">
        <f>+IF(AZ417="OUI",AY417,0)</f>
        <v>0</v>
      </c>
      <c r="BB417" s="533" t="str">
        <f t="shared" ref="BB417:BB447" si="807">IF(AND(BE417="",+IFERROR(VLOOKUP(AT417,Liste_motif_formule,5,FALSE),0)="OUI"),"OUI",IF(AND(BE417="",IFERROR(VLOOKUP(AT417,Liste_motif_formule,5,FALSE),0)="NON"),"NON",IF(AND(BE417="",IFERROR(M417-AT417&gt;=0,0),AT417&lt;&gt;""),"OUI",IF(AND(BE417="",DC417="oui"),"OUI",IF(BE417&lt;&gt;"",BE417,"")))))</f>
        <v/>
      </c>
      <c r="BC417" s="528">
        <f>+IF(BB417="OUI",IFERROR(M417-AT417,M417),0)</f>
        <v>0</v>
      </c>
      <c r="BD417" s="528">
        <f>+BC417+BA417</f>
        <v>0</v>
      </c>
      <c r="BE417" s="490"/>
      <c r="BF417" s="514" t="str">
        <f t="shared" ref="BF417:BF447" si="808">+IF(AND(AZ417="OUI",BB417="OUI"),"ERREUR","")</f>
        <v/>
      </c>
      <c r="BG417" s="514" t="str">
        <f>+IF(AND(M417=0,AT417=""),"oui","non")</f>
        <v>oui</v>
      </c>
      <c r="BH417" s="377" t="str">
        <f t="shared" ref="BH417:BH447" si="809">IFERROR(+VLOOKUP(AT417,Liste_motif_formule,4,FALSE),"")</f>
        <v/>
      </c>
      <c r="BI417" s="24" t="str">
        <f t="shared" ref="BI417:BI447" si="810">IFERROR(+VLOOKUP(AT417,Liste_motif_formule,5,FALSE),"")</f>
        <v/>
      </c>
      <c r="BJ417" s="1381"/>
      <c r="BK417" s="1381"/>
      <c r="BL417" s="1381"/>
      <c r="BM417" s="1381"/>
      <c r="BN417" s="1381"/>
      <c r="BO417" s="1381"/>
      <c r="BP417" s="1381"/>
      <c r="BQ417" s="1381"/>
      <c r="BS417" s="1369">
        <f t="shared" si="777"/>
        <v>46296</v>
      </c>
      <c r="BT417" s="27">
        <f>IFERROR(WEEKNUM(BS417,21),"")</f>
        <v>40</v>
      </c>
      <c r="BU417" s="1379"/>
      <c r="BV417" s="1379"/>
      <c r="BW417" s="1379"/>
      <c r="BX417" s="1379"/>
      <c r="BY417" s="1379"/>
      <c r="BZ417" s="1379"/>
      <c r="CA417" s="1379"/>
      <c r="CB417" s="1379"/>
      <c r="CD417" s="1385">
        <f>+M417</f>
        <v>0</v>
      </c>
      <c r="DC417" s="16" t="str">
        <f>Octobre!FC20</f>
        <v>non</v>
      </c>
      <c r="DG417" s="315">
        <f>IF(OR(AT417=0,AT417=""),1,10)</f>
        <v>1</v>
      </c>
      <c r="DH417" s="129">
        <f t="shared" ref="DH417:DH447" si="811">IFERROR(+VLOOKUP(AT417,Liste_motif_formule,9,FALSE),10)</f>
        <v>10</v>
      </c>
      <c r="DI417" s="129">
        <f>+IF(OR(DG417=1,DH417=1),1,10)</f>
        <v>1</v>
      </c>
      <c r="DK417" s="16">
        <f>+IF(AND(Octobre!$DP$8&lt;&gt;52,AR417=S.CAL!$BJ$4),10,1)</f>
        <v>1</v>
      </c>
      <c r="DN417" s="16">
        <f t="shared" ref="DN417:DN447" si="812">+IF(AND(DC417="non",ISTEXT(AT417)=TRUE,IFERROR(VLOOKUP(AT417,Liste_motif_formule,4,FALSE)="non",0),IFERROR(VLOOKUP(AT417,Liste_motif_formule,5,FALSE)="non",0)),10,1)</f>
        <v>1</v>
      </c>
      <c r="DU417" s="1274" t="str">
        <f>+A417&amp;B417</f>
        <v>Fiche infoA446296</v>
      </c>
      <c r="DV417" s="1362">
        <f t="shared" ref="DV417:DV447" si="813">+IFERROR(+IF(BU417="",VLOOKUP(A417,base_horaire,2,FALSE),BU417),0)</f>
        <v>0</v>
      </c>
      <c r="DW417" s="1363">
        <f t="shared" ref="DW417:DW447" si="814">+IFERROR(+IF(BV417="",VLOOKUP(A417,base_horaire,3,FALSE),BV417),0)</f>
        <v>0</v>
      </c>
      <c r="DX417" s="1363">
        <f t="shared" ref="DX417:DX447" si="815">+IFERROR(+IF(BW417="",VLOOKUP(A417,base_horaire,4,FALSE),BW417),0)</f>
        <v>0</v>
      </c>
      <c r="DY417" s="1363">
        <f t="shared" ref="DY417:DY447" si="816">+IFERROR(+IF(BX417="",VLOOKUP(A417,base_horaire,5,FALSE),BX417),0)</f>
        <v>0</v>
      </c>
      <c r="DZ417" s="1363">
        <f t="shared" ref="DZ417:DZ447" si="817">+IFERROR(+IF(BY417="",VLOOKUP(A417,base_horaire,6,FALSE),BY417),0)</f>
        <v>0</v>
      </c>
      <c r="EA417" s="1363">
        <f t="shared" ref="EA417:EA447" si="818">IFERROR(+IF(BZ417="",VLOOKUP(A417,base_horaire,7,FALSE),BZ417),0)</f>
        <v>0</v>
      </c>
      <c r="EB417" s="1363">
        <f t="shared" ref="EB417:EB447" si="819">IFERROR(+IF(CA417="",VLOOKUP(A417,base_horaire,8,FALSE),CA417),0)</f>
        <v>0</v>
      </c>
      <c r="EC417" s="1363">
        <f t="shared" ref="EC417:EC447" si="820">IFERROR(+IF(CB417="",VLOOKUP(A417,base_horaire,9,FALSE),CB417),0)</f>
        <v>0</v>
      </c>
      <c r="ED417" s="1363">
        <f>+DW417-DV417+DY417-DX417+EA417-DZ417+EC417-EB417</f>
        <v>0</v>
      </c>
      <c r="EE417" s="1364">
        <f>ROUND(+ED417*24,2)</f>
        <v>0</v>
      </c>
      <c r="EG417" s="16" t="str">
        <f>+WEEKNUM(B417,21)&amp;YEAR(B417)</f>
        <v>402026</v>
      </c>
      <c r="EH417" s="16" t="str">
        <f t="shared" ref="EH417:EH447" si="821">+A417</f>
        <v>Fiche infoA4</v>
      </c>
      <c r="EI417" s="16" t="str">
        <f t="shared" ref="EI417:EI447" si="822">+VLOOKUP(EH417,Base_heures,6,FALSE)</f>
        <v/>
      </c>
    </row>
    <row r="418" spans="1:139" x14ac:dyDescent="0.2">
      <c r="A418" s="1373" t="str">
        <f>Octobre!BJ21</f>
        <v>Fiche infoA5</v>
      </c>
      <c r="B418" s="811">
        <f>Octobre!AB21</f>
        <v>46297</v>
      </c>
      <c r="C418" s="1372"/>
      <c r="D418" s="981">
        <f t="shared" si="778"/>
        <v>0</v>
      </c>
      <c r="E418" s="434">
        <f t="shared" si="779"/>
        <v>0</v>
      </c>
      <c r="F418" s="434">
        <f t="shared" si="780"/>
        <v>0</v>
      </c>
      <c r="G418" s="434">
        <f t="shared" si="781"/>
        <v>0</v>
      </c>
      <c r="H418" s="434">
        <f t="shared" si="782"/>
        <v>0</v>
      </c>
      <c r="I418" s="434">
        <f t="shared" si="783"/>
        <v>0</v>
      </c>
      <c r="J418" s="434">
        <f t="shared" si="784"/>
        <v>0</v>
      </c>
      <c r="K418" s="434">
        <f t="shared" si="785"/>
        <v>0</v>
      </c>
      <c r="L418" s="434">
        <f t="shared" ref="L418:L447" si="823">+E418-D418+G418-F418+I418-H418+K418-J418</f>
        <v>0</v>
      </c>
      <c r="M418" s="982">
        <f t="shared" ref="M418:M447" si="824">ROUND(+L418*24,2)</f>
        <v>0</v>
      </c>
      <c r="N418" s="1374"/>
      <c r="O418" s="981">
        <f t="shared" si="786"/>
        <v>0</v>
      </c>
      <c r="P418" s="434">
        <f t="shared" si="787"/>
        <v>0</v>
      </c>
      <c r="Q418" s="434">
        <f t="shared" si="788"/>
        <v>0</v>
      </c>
      <c r="R418" s="434">
        <f t="shared" si="789"/>
        <v>0</v>
      </c>
      <c r="S418" s="434">
        <f t="shared" si="790"/>
        <v>0</v>
      </c>
      <c r="T418" s="434">
        <f t="shared" si="791"/>
        <v>0</v>
      </c>
      <c r="U418" s="434">
        <f t="shared" si="792"/>
        <v>0</v>
      </c>
      <c r="V418" s="434">
        <f t="shared" si="793"/>
        <v>0</v>
      </c>
      <c r="W418" s="434">
        <f t="shared" si="794"/>
        <v>0</v>
      </c>
      <c r="X418" s="982">
        <f t="shared" si="795"/>
        <v>0</v>
      </c>
      <c r="Y418" s="1375"/>
      <c r="Z418" s="1376">
        <f t="shared" si="796"/>
        <v>0</v>
      </c>
      <c r="AA418" s="1376">
        <f t="shared" si="797"/>
        <v>0</v>
      </c>
      <c r="AB418" s="1376">
        <f t="shared" si="798"/>
        <v>0</v>
      </c>
      <c r="AC418" s="1376">
        <f t="shared" si="799"/>
        <v>0</v>
      </c>
      <c r="AD418" s="1376">
        <f t="shared" si="800"/>
        <v>0</v>
      </c>
      <c r="AE418" s="1376">
        <f t="shared" si="801"/>
        <v>0</v>
      </c>
      <c r="AF418" s="1376">
        <f t="shared" si="802"/>
        <v>0</v>
      </c>
      <c r="AG418" s="1376">
        <f t="shared" si="803"/>
        <v>0</v>
      </c>
      <c r="AH418" s="1374"/>
      <c r="AI418" s="444">
        <f t="shared" si="804"/>
        <v>0</v>
      </c>
      <c r="AJ418" s="1090"/>
      <c r="AK418" s="1377"/>
      <c r="AL418" s="811">
        <f t="shared" si="805"/>
        <v>46297</v>
      </c>
      <c r="AM418" s="666">
        <f>IFERROR(IF(AND(AT418="",AR418&lt;&gt;S.CAL!$BJ$3,AR418&lt;&gt;S.CAL!$BJ$4,$AR$410="NON"),M418-BD418,IF(AND(AT418="",AR418&lt;&gt;S.CAL!$BJ$3,AR418&lt;&gt;S.CAL!$BJ$4,$AR$410="OUI"),X418-AI418,IF(AT418&lt;&gt;0,AT418,IF(OR(AR418=S.CAL!$BJ$3,AR418=S.CAL!$BJ$4),AR418,"")))),"")</f>
        <v>0</v>
      </c>
      <c r="AN418" s="1093"/>
      <c r="AO418" s="1094"/>
      <c r="AP418" s="666">
        <f>+IF(AND(AU418="",BB418="OUI",BH418="non",BI418="OUI"),AM418,IF(AND(AU418="",BB418="OUI",BH418="oui",BI418="NON"),AM418,IF(AND(AU418="",BB418="NON",BH418="oui",BI418="NON"),M418,IF(AND(AU418="",BB418="NON",BH418="non",BI418="OUI"),M418,IF(AND(AU418="",BB418="OUI",BH418="non",BI418="NON"),"ERREUR",IF(AND(AU418="",BB418="NON",BH418="non",BI418="NON"),AM418,IF(AND(AU418="",BB418="OUI",BH418="",BI418=""),AM418,IF(AND(AU418="",BB418="NON",BH418="",BI418="",AZ418="NON"),M418,IF(AND(AU418="",BH418="",AZ418="OUI",AR418=""),AM418,IF(AND(AU418="",BH418="",AZ418="NON",AR418="",AT418=""),M418,IF(AND(OR(AR418=S.CAL!$BJ$3,AR418=S.CAL!$BJ$4),(VLOOKUP($AM$410,base_nbre_sem_mensu,2,FALSE)=52)),EE418,IF(AND(OR(AR418=S.CAL!$BJ$3,AR418=S.CAL!$BJ$4),(VLOOKUP($AM$410,base_nbre_sem_mensu,2,FALSE)&lt;52)),AM418,IF(AND(AT418&lt;&gt;"",AU418=""),AT418,AU418)))))))))))))</f>
        <v>0</v>
      </c>
      <c r="AQ418" s="1378">
        <f t="shared" ref="AQ418:AQ447" si="825">AI418-SUM(AN418:AO418)</f>
        <v>0</v>
      </c>
      <c r="AR418" s="1098"/>
      <c r="AS418" s="1374"/>
      <c r="AT418" s="1101"/>
      <c r="AU418" s="813"/>
      <c r="AV418" s="1370">
        <f t="shared" si="806"/>
        <v>46297</v>
      </c>
      <c r="AW418" s="1374"/>
      <c r="AX418" s="511">
        <f t="shared" ref="AX418:AX447" si="826">+AV418</f>
        <v>46297</v>
      </c>
      <c r="AY418" s="523">
        <f t="shared" ref="AY418:AY447" si="827">+IF(M418-X418&lt;0,0,M418-X418)</f>
        <v>0</v>
      </c>
      <c r="AZ418" s="520" t="s">
        <v>137</v>
      </c>
      <c r="BA418" s="516">
        <f t="shared" ref="BA418:BA447" si="828">+IF(AZ418="OUI",AY418,0)</f>
        <v>0</v>
      </c>
      <c r="BB418" s="549" t="str">
        <f t="shared" si="807"/>
        <v/>
      </c>
      <c r="BC418" s="523">
        <f t="shared" ref="BC418:BC447" si="829">+IF(BB418="OUI",IFERROR(M418-AT418,M418),0)</f>
        <v>0</v>
      </c>
      <c r="BD418" s="523">
        <f t="shared" ref="BD418:BD447" si="830">+BC418+BA418</f>
        <v>0</v>
      </c>
      <c r="BE418" s="732"/>
      <c r="BF418" s="514" t="str">
        <f t="shared" si="808"/>
        <v/>
      </c>
      <c r="BG418" s="514" t="str">
        <f t="shared" ref="BG418:BG447" si="831">+IF(AND(M418=0,AT418=""),"oui","non")</f>
        <v>oui</v>
      </c>
      <c r="BH418" s="377" t="str">
        <f t="shared" si="809"/>
        <v/>
      </c>
      <c r="BI418" s="24" t="str">
        <f t="shared" si="810"/>
        <v/>
      </c>
      <c r="BJ418" s="1382"/>
      <c r="BK418" s="1382"/>
      <c r="BL418" s="1382"/>
      <c r="BM418" s="1382"/>
      <c r="BN418" s="1382"/>
      <c r="BO418" s="1382"/>
      <c r="BP418" s="1382"/>
      <c r="BQ418" s="1382"/>
      <c r="BR418" s="1383"/>
      <c r="BS418" s="1370">
        <f t="shared" si="777"/>
        <v>46297</v>
      </c>
      <c r="BT418" s="1384" t="str">
        <f>IFERROR(IF(WEEKDAY(BS418,11)=1,WEEKNUM(BS418,21),""),"")</f>
        <v/>
      </c>
      <c r="BU418" s="1382"/>
      <c r="BV418" s="1382"/>
      <c r="BW418" s="1382"/>
      <c r="BX418" s="1382"/>
      <c r="BY418" s="1382"/>
      <c r="BZ418" s="1382"/>
      <c r="CA418" s="1382"/>
      <c r="CB418" s="1382"/>
      <c r="CD418" s="1386">
        <f t="shared" ref="CD418:CD447" si="832">+M418</f>
        <v>0</v>
      </c>
      <c r="DC418" s="16" t="str">
        <f>Octobre!FC21</f>
        <v>non</v>
      </c>
      <c r="DG418" s="315">
        <f t="shared" ref="DG418:DG447" si="833">IF(OR(AT418=0,AT418=""),1,10)</f>
        <v>1</v>
      </c>
      <c r="DH418" s="129">
        <f t="shared" si="811"/>
        <v>10</v>
      </c>
      <c r="DI418" s="129">
        <f t="shared" ref="DI418:DI447" si="834">+IF(OR(DG418=1,DH418=1),1,10)</f>
        <v>1</v>
      </c>
      <c r="DK418" s="16">
        <f>+IF(AND(Octobre!$DP$8&lt;&gt;52,AR418=S.CAL!$BJ$4),10,1)</f>
        <v>1</v>
      </c>
      <c r="DN418" s="16">
        <f t="shared" si="812"/>
        <v>1</v>
      </c>
      <c r="DU418" s="1274" t="str">
        <f t="shared" ref="DU418:DU447" si="835">+A418&amp;B418</f>
        <v>Fiche infoA546297</v>
      </c>
      <c r="DV418" s="1362">
        <f t="shared" si="813"/>
        <v>0</v>
      </c>
      <c r="DW418" s="1363">
        <f t="shared" si="814"/>
        <v>0</v>
      </c>
      <c r="DX418" s="1363">
        <f t="shared" si="815"/>
        <v>0</v>
      </c>
      <c r="DY418" s="1363">
        <f t="shared" si="816"/>
        <v>0</v>
      </c>
      <c r="DZ418" s="1363">
        <f t="shared" si="817"/>
        <v>0</v>
      </c>
      <c r="EA418" s="1363">
        <f t="shared" si="818"/>
        <v>0</v>
      </c>
      <c r="EB418" s="1363">
        <f t="shared" si="819"/>
        <v>0</v>
      </c>
      <c r="EC418" s="1363">
        <f t="shared" si="820"/>
        <v>0</v>
      </c>
      <c r="ED418" s="1363">
        <f t="shared" ref="ED418:ED447" si="836">+DW418-DV418+DY418-DX418+EA418-DZ418+EC418-EB418</f>
        <v>0</v>
      </c>
      <c r="EE418" s="1364">
        <f t="shared" ref="EE418:EE447" si="837">ROUND(+ED418*24,2)</f>
        <v>0</v>
      </c>
      <c r="EG418" s="16" t="str">
        <f t="shared" ref="EG418:EG447" si="838">+WEEKNUM(B418,21)&amp;YEAR(B418)</f>
        <v>402026</v>
      </c>
      <c r="EH418" s="16" t="str">
        <f t="shared" si="821"/>
        <v>Fiche infoA5</v>
      </c>
      <c r="EI418" s="16" t="str">
        <f t="shared" si="822"/>
        <v/>
      </c>
    </row>
    <row r="419" spans="1:139" x14ac:dyDescent="0.2">
      <c r="A419" s="24" t="str">
        <f>Octobre!BJ22</f>
        <v>Fiche infoA6</v>
      </c>
      <c r="B419" s="811">
        <f>Octobre!AB22</f>
        <v>46298</v>
      </c>
      <c r="C419" s="1371"/>
      <c r="D419" s="981">
        <f t="shared" si="778"/>
        <v>0</v>
      </c>
      <c r="E419" s="434">
        <f t="shared" si="779"/>
        <v>0</v>
      </c>
      <c r="F419" s="434">
        <f t="shared" si="780"/>
        <v>0</v>
      </c>
      <c r="G419" s="434">
        <f t="shared" si="781"/>
        <v>0</v>
      </c>
      <c r="H419" s="434">
        <f t="shared" si="782"/>
        <v>0</v>
      </c>
      <c r="I419" s="434">
        <f t="shared" si="783"/>
        <v>0</v>
      </c>
      <c r="J419" s="434">
        <f t="shared" si="784"/>
        <v>0</v>
      </c>
      <c r="K419" s="434">
        <f t="shared" si="785"/>
        <v>0</v>
      </c>
      <c r="L419" s="434">
        <f t="shared" si="823"/>
        <v>0</v>
      </c>
      <c r="M419" s="982">
        <f t="shared" si="824"/>
        <v>0</v>
      </c>
      <c r="O419" s="981">
        <f t="shared" si="786"/>
        <v>0</v>
      </c>
      <c r="P419" s="434">
        <f t="shared" si="787"/>
        <v>0</v>
      </c>
      <c r="Q419" s="434">
        <f t="shared" si="788"/>
        <v>0</v>
      </c>
      <c r="R419" s="434">
        <f t="shared" si="789"/>
        <v>0</v>
      </c>
      <c r="S419" s="434">
        <f t="shared" si="790"/>
        <v>0</v>
      </c>
      <c r="T419" s="434">
        <f t="shared" si="791"/>
        <v>0</v>
      </c>
      <c r="U419" s="434">
        <f t="shared" si="792"/>
        <v>0</v>
      </c>
      <c r="V419" s="434">
        <f t="shared" si="793"/>
        <v>0</v>
      </c>
      <c r="W419" s="434">
        <f t="shared" si="794"/>
        <v>0</v>
      </c>
      <c r="X419" s="982">
        <f t="shared" si="795"/>
        <v>0</v>
      </c>
      <c r="Y419" s="441"/>
      <c r="Z419" s="277">
        <f t="shared" si="796"/>
        <v>0</v>
      </c>
      <c r="AA419" s="277">
        <f t="shared" si="797"/>
        <v>0</v>
      </c>
      <c r="AB419" s="277">
        <f t="shared" si="798"/>
        <v>0</v>
      </c>
      <c r="AC419" s="277">
        <f t="shared" si="799"/>
        <v>0</v>
      </c>
      <c r="AD419" s="277">
        <f t="shared" si="800"/>
        <v>0</v>
      </c>
      <c r="AE419" s="277">
        <f t="shared" si="801"/>
        <v>0</v>
      </c>
      <c r="AF419" s="277">
        <f t="shared" si="802"/>
        <v>0</v>
      </c>
      <c r="AG419" s="277">
        <f t="shared" si="803"/>
        <v>0</v>
      </c>
      <c r="AI419" s="444">
        <f t="shared" si="804"/>
        <v>0</v>
      </c>
      <c r="AJ419" s="1090"/>
      <c r="AK419" s="489"/>
      <c r="AL419" s="811">
        <f t="shared" si="805"/>
        <v>46298</v>
      </c>
      <c r="AM419" s="666">
        <f>IFERROR(IF(AND(AT419="",AR419&lt;&gt;S.CAL!$BJ$3,AR419&lt;&gt;S.CAL!$BJ$4,$AR$410="NON"),M419-BD419,IF(AND(AT419="",AR419&lt;&gt;S.CAL!$BJ$3,AR419&lt;&gt;S.CAL!$BJ$4,$AR$410="OUI"),X419-AI419,IF(AT419&lt;&gt;0,AT419,IF(OR(AR419=S.CAL!$BJ$3,AR419=S.CAL!$BJ$4),AR419,"")))),"")</f>
        <v>0</v>
      </c>
      <c r="AN419" s="1093"/>
      <c r="AO419" s="1094"/>
      <c r="AP419" s="666">
        <f>+IF(AND(AU419="",BB419="OUI",BH419="non",BI419="OUI"),AM419,IF(AND(AU419="",BB419="OUI",BH419="oui",BI419="NON"),AM419,IF(AND(AU419="",BB419="NON",BH419="oui",BI419="NON"),M419,IF(AND(AU419="",BB419="NON",BH419="non",BI419="OUI"),M419,IF(AND(AU419="",BB419="OUI",BH419="non",BI419="NON"),"ERREUR",IF(AND(AU419="",BB419="NON",BH419="non",BI419="NON"),AM419,IF(AND(AU419="",BB419="OUI",BH419="",BI419=""),AM419,IF(AND(AU419="",BB419="NON",BH419="",BI419="",AZ419="NON"),M419,IF(AND(AU419="",BH419="",AZ419="OUI",AR419=""),AM419,IF(AND(AU419="",BH419="",AZ419="NON",AR419="",AT419=""),M419,IF(AND(OR(AR419=S.CAL!$BJ$3,AR419=S.CAL!$BJ$4),(VLOOKUP($AM$410,base_nbre_sem_mensu,2,FALSE)=52)),EE419,IF(AND(OR(AR419=S.CAL!$BJ$3,AR419=S.CAL!$BJ$4),(VLOOKUP($AM$410,base_nbre_sem_mensu,2,FALSE)&lt;52)),AM419,IF(AND(AT419&lt;&gt;"",AU419=""),AT419,AU419)))))))))))))</f>
        <v>0</v>
      </c>
      <c r="AQ419" s="498">
        <f t="shared" si="825"/>
        <v>0</v>
      </c>
      <c r="AR419" s="1098"/>
      <c r="AT419" s="1101"/>
      <c r="AU419" s="813"/>
      <c r="AV419" s="1370">
        <f t="shared" si="806"/>
        <v>46298</v>
      </c>
      <c r="AX419" s="511">
        <f t="shared" si="826"/>
        <v>46298</v>
      </c>
      <c r="AY419" s="523">
        <f t="shared" si="827"/>
        <v>0</v>
      </c>
      <c r="AZ419" s="520" t="s">
        <v>137</v>
      </c>
      <c r="BA419" s="516">
        <f t="shared" si="828"/>
        <v>0</v>
      </c>
      <c r="BB419" s="549" t="str">
        <f t="shared" si="807"/>
        <v/>
      </c>
      <c r="BC419" s="523">
        <f t="shared" si="829"/>
        <v>0</v>
      </c>
      <c r="BD419" s="523">
        <f t="shared" si="830"/>
        <v>0</v>
      </c>
      <c r="BE419" s="732"/>
      <c r="BF419" s="514" t="str">
        <f t="shared" si="808"/>
        <v/>
      </c>
      <c r="BG419" s="514" t="str">
        <f t="shared" si="831"/>
        <v>oui</v>
      </c>
      <c r="BH419" s="377" t="str">
        <f t="shared" si="809"/>
        <v/>
      </c>
      <c r="BI419" s="24" t="str">
        <f t="shared" si="810"/>
        <v/>
      </c>
      <c r="BJ419" s="1381"/>
      <c r="BK419" s="1381"/>
      <c r="BL419" s="1381"/>
      <c r="BM419" s="1381"/>
      <c r="BN419" s="1381"/>
      <c r="BO419" s="1381"/>
      <c r="BP419" s="1381"/>
      <c r="BQ419" s="1381"/>
      <c r="BS419" s="1370">
        <f t="shared" si="777"/>
        <v>46298</v>
      </c>
      <c r="BT419" s="27" t="str">
        <f t="shared" ref="BT419:BT447" si="839">IFERROR(IF(WEEKDAY(BS419,11)=1,WEEKNUM(BS419,21),""),"")</f>
        <v/>
      </c>
      <c r="BU419" s="1380"/>
      <c r="BV419" s="1380"/>
      <c r="BW419" s="1380"/>
      <c r="BX419" s="1380"/>
      <c r="BY419" s="1380"/>
      <c r="BZ419" s="1380"/>
      <c r="CA419" s="1380"/>
      <c r="CB419" s="1380"/>
      <c r="CD419" s="1386">
        <f t="shared" si="832"/>
        <v>0</v>
      </c>
      <c r="DC419" s="16" t="str">
        <f>Octobre!FC22</f>
        <v>non</v>
      </c>
      <c r="DG419" s="315">
        <f t="shared" si="833"/>
        <v>1</v>
      </c>
      <c r="DH419" s="129">
        <f t="shared" si="811"/>
        <v>10</v>
      </c>
      <c r="DI419" s="129">
        <f t="shared" si="834"/>
        <v>1</v>
      </c>
      <c r="DK419" s="16">
        <f>+IF(AND(Octobre!$DP$8&lt;&gt;52,AR419=S.CAL!$BJ$4),10,1)</f>
        <v>1</v>
      </c>
      <c r="DN419" s="16">
        <f t="shared" si="812"/>
        <v>1</v>
      </c>
      <c r="DU419" s="1274" t="str">
        <f t="shared" si="835"/>
        <v>Fiche infoA646298</v>
      </c>
      <c r="DV419" s="1362">
        <f t="shared" si="813"/>
        <v>0</v>
      </c>
      <c r="DW419" s="1363">
        <f t="shared" si="814"/>
        <v>0</v>
      </c>
      <c r="DX419" s="1363">
        <f t="shared" si="815"/>
        <v>0</v>
      </c>
      <c r="DY419" s="1363">
        <f t="shared" si="816"/>
        <v>0</v>
      </c>
      <c r="DZ419" s="1363">
        <f t="shared" si="817"/>
        <v>0</v>
      </c>
      <c r="EA419" s="1363">
        <f t="shared" si="818"/>
        <v>0</v>
      </c>
      <c r="EB419" s="1363">
        <f t="shared" si="819"/>
        <v>0</v>
      </c>
      <c r="EC419" s="1363">
        <f t="shared" si="820"/>
        <v>0</v>
      </c>
      <c r="ED419" s="1363">
        <f t="shared" si="836"/>
        <v>0</v>
      </c>
      <c r="EE419" s="1364">
        <f t="shared" si="837"/>
        <v>0</v>
      </c>
      <c r="EG419" s="16" t="str">
        <f t="shared" si="838"/>
        <v>402026</v>
      </c>
      <c r="EH419" s="16" t="str">
        <f t="shared" si="821"/>
        <v>Fiche infoA6</v>
      </c>
      <c r="EI419" s="16" t="str">
        <f t="shared" si="822"/>
        <v/>
      </c>
    </row>
    <row r="420" spans="1:139" x14ac:dyDescent="0.2">
      <c r="A420" s="1373" t="str">
        <f>Octobre!BJ23</f>
        <v>Fiche infoA7</v>
      </c>
      <c r="B420" s="811">
        <f>Octobre!AB23</f>
        <v>46299</v>
      </c>
      <c r="C420" s="1372"/>
      <c r="D420" s="981">
        <f t="shared" si="778"/>
        <v>0</v>
      </c>
      <c r="E420" s="434">
        <f t="shared" si="779"/>
        <v>0</v>
      </c>
      <c r="F420" s="434">
        <f t="shared" si="780"/>
        <v>0</v>
      </c>
      <c r="G420" s="434">
        <f t="shared" si="781"/>
        <v>0</v>
      </c>
      <c r="H420" s="434">
        <f t="shared" si="782"/>
        <v>0</v>
      </c>
      <c r="I420" s="434">
        <f t="shared" si="783"/>
        <v>0</v>
      </c>
      <c r="J420" s="434">
        <f t="shared" si="784"/>
        <v>0</v>
      </c>
      <c r="K420" s="434">
        <f t="shared" si="785"/>
        <v>0</v>
      </c>
      <c r="L420" s="434">
        <f t="shared" si="823"/>
        <v>0</v>
      </c>
      <c r="M420" s="982">
        <f t="shared" si="824"/>
        <v>0</v>
      </c>
      <c r="N420" s="1374"/>
      <c r="O420" s="981">
        <f t="shared" si="786"/>
        <v>0</v>
      </c>
      <c r="P420" s="434">
        <f t="shared" si="787"/>
        <v>0</v>
      </c>
      <c r="Q420" s="434">
        <f t="shared" si="788"/>
        <v>0</v>
      </c>
      <c r="R420" s="434">
        <f t="shared" si="789"/>
        <v>0</v>
      </c>
      <c r="S420" s="434">
        <f t="shared" si="790"/>
        <v>0</v>
      </c>
      <c r="T420" s="434">
        <f t="shared" si="791"/>
        <v>0</v>
      </c>
      <c r="U420" s="434">
        <f t="shared" si="792"/>
        <v>0</v>
      </c>
      <c r="V420" s="434">
        <f t="shared" si="793"/>
        <v>0</v>
      </c>
      <c r="W420" s="434">
        <f t="shared" si="794"/>
        <v>0</v>
      </c>
      <c r="X420" s="982">
        <f t="shared" si="795"/>
        <v>0</v>
      </c>
      <c r="Y420" s="1375"/>
      <c r="Z420" s="1376">
        <f t="shared" si="796"/>
        <v>0</v>
      </c>
      <c r="AA420" s="1376">
        <f t="shared" si="797"/>
        <v>0</v>
      </c>
      <c r="AB420" s="1376">
        <f t="shared" si="798"/>
        <v>0</v>
      </c>
      <c r="AC420" s="1376">
        <f t="shared" si="799"/>
        <v>0</v>
      </c>
      <c r="AD420" s="1376">
        <f t="shared" si="800"/>
        <v>0</v>
      </c>
      <c r="AE420" s="1376">
        <f t="shared" si="801"/>
        <v>0</v>
      </c>
      <c r="AF420" s="1376">
        <f t="shared" si="802"/>
        <v>0</v>
      </c>
      <c r="AG420" s="1376">
        <f t="shared" si="803"/>
        <v>0</v>
      </c>
      <c r="AH420" s="1374"/>
      <c r="AI420" s="444">
        <f t="shared" si="804"/>
        <v>0</v>
      </c>
      <c r="AJ420" s="1090"/>
      <c r="AK420" s="1377"/>
      <c r="AL420" s="811">
        <f t="shared" si="805"/>
        <v>46299</v>
      </c>
      <c r="AM420" s="666">
        <f>IFERROR(IF(AND(AT420="",AR420&lt;&gt;S.CAL!$BJ$3,AR420&lt;&gt;S.CAL!$BJ$4,$AR$410="NON"),M420-BD420,IF(AND(AT420="",AR420&lt;&gt;S.CAL!$BJ$3,AR420&lt;&gt;S.CAL!$BJ$4,$AR$410="OUI"),X420-AI420,IF(AT420&lt;&gt;0,AT420,IF(OR(AR420=S.CAL!$BJ$3,AR420=S.CAL!$BJ$4),AR420,"")))),"")</f>
        <v>0</v>
      </c>
      <c r="AN420" s="1093"/>
      <c r="AO420" s="1094"/>
      <c r="AP420" s="666">
        <f>+IF(AND(AU420="",BB420="OUI",BH420="non",BI420="OUI"),AM420,IF(AND(AU420="",BB420="OUI",BH420="oui",BI420="NON"),AM420,IF(AND(AU420="",BB420="NON",BH420="oui",BI420="NON"),M420,IF(AND(AU420="",BB420="NON",BH420="non",BI420="OUI"),M420,IF(AND(AU420="",BB420="OUI",BH420="non",BI420="NON"),"ERREUR",IF(AND(AU420="",BB420="NON",BH420="non",BI420="NON"),AM420,IF(AND(AU420="",BB420="OUI",BH420="",BI420=""),AM420,IF(AND(AU420="",BB420="NON",BH420="",BI420="",AZ420="NON"),M420,IF(AND(AU420="",BH420="",AZ420="OUI",AR420=""),AM420,IF(AND(AU420="",BH420="",AZ420="NON",AR420="",AT420=""),M420,IF(AND(OR(AR420=S.CAL!$BJ$3,AR420=S.CAL!$BJ$4),(VLOOKUP($AM$410,base_nbre_sem_mensu,2,FALSE)=52)),EE420,IF(AND(OR(AR420=S.CAL!$BJ$3,AR420=S.CAL!$BJ$4),(VLOOKUP($AM$410,base_nbre_sem_mensu,2,FALSE)&lt;52)),AM420,IF(AND(AT420&lt;&gt;"",AU420=""),AT420,AU420)))))))))))))</f>
        <v>0</v>
      </c>
      <c r="AQ420" s="1378">
        <f t="shared" si="825"/>
        <v>0</v>
      </c>
      <c r="AR420" s="1098"/>
      <c r="AS420" s="1374"/>
      <c r="AT420" s="1101"/>
      <c r="AU420" s="813"/>
      <c r="AV420" s="1370">
        <f t="shared" si="806"/>
        <v>46299</v>
      </c>
      <c r="AW420" s="1374"/>
      <c r="AX420" s="511">
        <f t="shared" si="826"/>
        <v>46299</v>
      </c>
      <c r="AY420" s="523">
        <f t="shared" si="827"/>
        <v>0</v>
      </c>
      <c r="AZ420" s="520" t="s">
        <v>137</v>
      </c>
      <c r="BA420" s="516">
        <f t="shared" si="828"/>
        <v>0</v>
      </c>
      <c r="BB420" s="549" t="str">
        <f t="shared" si="807"/>
        <v/>
      </c>
      <c r="BC420" s="523">
        <f t="shared" si="829"/>
        <v>0</v>
      </c>
      <c r="BD420" s="523">
        <f t="shared" si="830"/>
        <v>0</v>
      </c>
      <c r="BE420" s="732"/>
      <c r="BF420" s="514" t="str">
        <f t="shared" si="808"/>
        <v/>
      </c>
      <c r="BG420" s="514" t="str">
        <f t="shared" si="831"/>
        <v>oui</v>
      </c>
      <c r="BH420" s="377" t="str">
        <f t="shared" si="809"/>
        <v/>
      </c>
      <c r="BI420" s="24" t="str">
        <f t="shared" si="810"/>
        <v/>
      </c>
      <c r="BJ420" s="1382"/>
      <c r="BK420" s="1382"/>
      <c r="BL420" s="1382"/>
      <c r="BM420" s="1382"/>
      <c r="BN420" s="1382"/>
      <c r="BO420" s="1382"/>
      <c r="BP420" s="1382"/>
      <c r="BQ420" s="1382"/>
      <c r="BR420" s="1383"/>
      <c r="BS420" s="1370">
        <f t="shared" si="777"/>
        <v>46299</v>
      </c>
      <c r="BT420" s="1384" t="str">
        <f t="shared" si="839"/>
        <v/>
      </c>
      <c r="BU420" s="1382"/>
      <c r="BV420" s="1382"/>
      <c r="BW420" s="1382"/>
      <c r="BX420" s="1382"/>
      <c r="BY420" s="1382"/>
      <c r="BZ420" s="1382"/>
      <c r="CA420" s="1382"/>
      <c r="CB420" s="1382"/>
      <c r="CD420" s="1386">
        <f t="shared" si="832"/>
        <v>0</v>
      </c>
      <c r="DC420" s="16" t="str">
        <f>Octobre!FC23</f>
        <v>non</v>
      </c>
      <c r="DG420" s="315">
        <f t="shared" si="833"/>
        <v>1</v>
      </c>
      <c r="DH420" s="129">
        <f t="shared" si="811"/>
        <v>10</v>
      </c>
      <c r="DI420" s="129">
        <f t="shared" si="834"/>
        <v>1</v>
      </c>
      <c r="DK420" s="16">
        <f>+IF(AND(Octobre!$DP$8&lt;&gt;52,AR420=S.CAL!$BJ$4),10,1)</f>
        <v>1</v>
      </c>
      <c r="DN420" s="16">
        <f t="shared" si="812"/>
        <v>1</v>
      </c>
      <c r="DU420" s="1274" t="str">
        <f t="shared" si="835"/>
        <v>Fiche infoA746299</v>
      </c>
      <c r="DV420" s="1362">
        <f t="shared" si="813"/>
        <v>0</v>
      </c>
      <c r="DW420" s="1363">
        <f t="shared" si="814"/>
        <v>0</v>
      </c>
      <c r="DX420" s="1363">
        <f t="shared" si="815"/>
        <v>0</v>
      </c>
      <c r="DY420" s="1363">
        <f t="shared" si="816"/>
        <v>0</v>
      </c>
      <c r="DZ420" s="1363">
        <f t="shared" si="817"/>
        <v>0</v>
      </c>
      <c r="EA420" s="1363">
        <f t="shared" si="818"/>
        <v>0</v>
      </c>
      <c r="EB420" s="1363">
        <f t="shared" si="819"/>
        <v>0</v>
      </c>
      <c r="EC420" s="1363">
        <f t="shared" si="820"/>
        <v>0</v>
      </c>
      <c r="ED420" s="1363">
        <f t="shared" si="836"/>
        <v>0</v>
      </c>
      <c r="EE420" s="1364">
        <f t="shared" si="837"/>
        <v>0</v>
      </c>
      <c r="EG420" s="16" t="str">
        <f t="shared" si="838"/>
        <v>402026</v>
      </c>
      <c r="EH420" s="16" t="str">
        <f t="shared" si="821"/>
        <v>Fiche infoA7</v>
      </c>
      <c r="EI420" s="16" t="str">
        <f t="shared" si="822"/>
        <v/>
      </c>
    </row>
    <row r="421" spans="1:139" x14ac:dyDescent="0.2">
      <c r="A421" s="24" t="str">
        <f>Octobre!BJ24</f>
        <v>Fiche infoA1</v>
      </c>
      <c r="B421" s="811">
        <f>Octobre!AB24</f>
        <v>46300</v>
      </c>
      <c r="C421" s="1371"/>
      <c r="D421" s="981">
        <f t="shared" si="778"/>
        <v>0</v>
      </c>
      <c r="E421" s="434">
        <f t="shared" si="779"/>
        <v>0</v>
      </c>
      <c r="F421" s="434">
        <f t="shared" si="780"/>
        <v>0</v>
      </c>
      <c r="G421" s="434">
        <f t="shared" si="781"/>
        <v>0</v>
      </c>
      <c r="H421" s="434">
        <f t="shared" si="782"/>
        <v>0</v>
      </c>
      <c r="I421" s="434">
        <f t="shared" si="783"/>
        <v>0</v>
      </c>
      <c r="J421" s="434">
        <f t="shared" si="784"/>
        <v>0</v>
      </c>
      <c r="K421" s="434">
        <f t="shared" si="785"/>
        <v>0</v>
      </c>
      <c r="L421" s="434">
        <f t="shared" si="823"/>
        <v>0</v>
      </c>
      <c r="M421" s="982">
        <f t="shared" si="824"/>
        <v>0</v>
      </c>
      <c r="O421" s="981">
        <f t="shared" si="786"/>
        <v>0</v>
      </c>
      <c r="P421" s="434">
        <f t="shared" si="787"/>
        <v>0</v>
      </c>
      <c r="Q421" s="434">
        <f t="shared" si="788"/>
        <v>0</v>
      </c>
      <c r="R421" s="434">
        <f t="shared" si="789"/>
        <v>0</v>
      </c>
      <c r="S421" s="434">
        <f t="shared" si="790"/>
        <v>0</v>
      </c>
      <c r="T421" s="434">
        <f t="shared" si="791"/>
        <v>0</v>
      </c>
      <c r="U421" s="434">
        <f t="shared" si="792"/>
        <v>0</v>
      </c>
      <c r="V421" s="434">
        <f t="shared" si="793"/>
        <v>0</v>
      </c>
      <c r="W421" s="434">
        <f t="shared" si="794"/>
        <v>0</v>
      </c>
      <c r="X421" s="982">
        <f t="shared" si="795"/>
        <v>0</v>
      </c>
      <c r="Y421" s="441"/>
      <c r="Z421" s="277">
        <f t="shared" si="796"/>
        <v>0</v>
      </c>
      <c r="AA421" s="277">
        <f t="shared" si="797"/>
        <v>0</v>
      </c>
      <c r="AB421" s="277">
        <f t="shared" si="798"/>
        <v>0</v>
      </c>
      <c r="AC421" s="277">
        <f t="shared" si="799"/>
        <v>0</v>
      </c>
      <c r="AD421" s="277">
        <f t="shared" si="800"/>
        <v>0</v>
      </c>
      <c r="AE421" s="277">
        <f t="shared" si="801"/>
        <v>0</v>
      </c>
      <c r="AF421" s="277">
        <f t="shared" si="802"/>
        <v>0</v>
      </c>
      <c r="AG421" s="277">
        <f t="shared" si="803"/>
        <v>0</v>
      </c>
      <c r="AI421" s="444">
        <f t="shared" si="804"/>
        <v>0</v>
      </c>
      <c r="AJ421" s="1090"/>
      <c r="AK421" s="489"/>
      <c r="AL421" s="811">
        <f t="shared" si="805"/>
        <v>46300</v>
      </c>
      <c r="AM421" s="666">
        <f>IFERROR(IF(AND(AT421="",AR421&lt;&gt;S.CAL!$BJ$3,AR421&lt;&gt;S.CAL!$BJ$4,$AR$410="NON"),M421-BD421,IF(AND(AT421="",AR421&lt;&gt;S.CAL!$BJ$3,AR421&lt;&gt;S.CAL!$BJ$4,$AR$410="OUI"),X421-AI421,IF(AT421&lt;&gt;0,AT421,IF(OR(AR421=S.CAL!$BJ$3,AR421=S.CAL!$BJ$4),AR421,"")))),"")</f>
        <v>0</v>
      </c>
      <c r="AN421" s="1093"/>
      <c r="AO421" s="1094"/>
      <c r="AP421" s="666">
        <f>+IF(AND(AU421="",BB421="OUI",BH421="non",BI421="OUI"),AM421,IF(AND(AU421="",BB421="OUI",BH421="oui",BI421="NON"),AM421,IF(AND(AU421="",BB421="NON",BH421="oui",BI421="NON"),M421,IF(AND(AU421="",BB421="NON",BH421="non",BI421="OUI"),M421,IF(AND(AU421="",BB421="OUI",BH421="non",BI421="NON"),"ERREUR",IF(AND(AU421="",BB421="NON",BH421="non",BI421="NON"),AM421,IF(AND(AU421="",BB421="OUI",BH421="",BI421=""),AM421,IF(AND(AU421="",BB421="NON",BH421="",BI421="",AZ421="NON"),M421,IF(AND(AU421="",BH421="",AZ421="OUI",AR421=""),AM421,IF(AND(AU421="",BH421="",AZ421="NON",AR421="",AT421=""),M421,IF(AND(OR(AR421=S.CAL!$BJ$3,AR421=S.CAL!$BJ$4),(VLOOKUP($AM$410,base_nbre_sem_mensu,2,FALSE)=52)),EE421,IF(AND(OR(AR421=S.CAL!$BJ$3,AR421=S.CAL!$BJ$4),(VLOOKUP($AM$410,base_nbre_sem_mensu,2,FALSE)&lt;52)),AM421,IF(AND(AT421&lt;&gt;"",AU421=""),AT421,AU421)))))))))))))</f>
        <v>0</v>
      </c>
      <c r="AQ421" s="498">
        <f t="shared" si="825"/>
        <v>0</v>
      </c>
      <c r="AR421" s="1098"/>
      <c r="AT421" s="1101"/>
      <c r="AU421" s="813"/>
      <c r="AV421" s="1370">
        <f t="shared" si="806"/>
        <v>46300</v>
      </c>
      <c r="AX421" s="511">
        <f t="shared" si="826"/>
        <v>46300</v>
      </c>
      <c r="AY421" s="523">
        <f t="shared" si="827"/>
        <v>0</v>
      </c>
      <c r="AZ421" s="520" t="s">
        <v>137</v>
      </c>
      <c r="BA421" s="516">
        <f t="shared" si="828"/>
        <v>0</v>
      </c>
      <c r="BB421" s="549" t="str">
        <f t="shared" si="807"/>
        <v/>
      </c>
      <c r="BC421" s="523">
        <f t="shared" si="829"/>
        <v>0</v>
      </c>
      <c r="BD421" s="523">
        <f t="shared" si="830"/>
        <v>0</v>
      </c>
      <c r="BE421" s="732"/>
      <c r="BF421" s="514" t="str">
        <f t="shared" si="808"/>
        <v/>
      </c>
      <c r="BG421" s="514" t="str">
        <f t="shared" si="831"/>
        <v>oui</v>
      </c>
      <c r="BH421" s="377" t="str">
        <f t="shared" si="809"/>
        <v/>
      </c>
      <c r="BI421" s="24" t="str">
        <f t="shared" si="810"/>
        <v/>
      </c>
      <c r="BJ421" s="1381"/>
      <c r="BK421" s="1381"/>
      <c r="BL421" s="1381"/>
      <c r="BM421" s="1381"/>
      <c r="BN421" s="1381"/>
      <c r="BO421" s="1381"/>
      <c r="BP421" s="1381"/>
      <c r="BQ421" s="1381"/>
      <c r="BS421" s="1370">
        <f t="shared" si="777"/>
        <v>46300</v>
      </c>
      <c r="BT421" s="27">
        <f t="shared" si="839"/>
        <v>41</v>
      </c>
      <c r="BU421" s="1380"/>
      <c r="BV421" s="1380"/>
      <c r="BW421" s="1380"/>
      <c r="BX421" s="1380"/>
      <c r="BY421" s="1380"/>
      <c r="BZ421" s="1380"/>
      <c r="CA421" s="1380"/>
      <c r="CB421" s="1380"/>
      <c r="CD421" s="1386">
        <f t="shared" si="832"/>
        <v>0</v>
      </c>
      <c r="DC421" s="16" t="str">
        <f>Octobre!FC24</f>
        <v>non</v>
      </c>
      <c r="DG421" s="315">
        <f t="shared" si="833"/>
        <v>1</v>
      </c>
      <c r="DH421" s="129">
        <f t="shared" si="811"/>
        <v>10</v>
      </c>
      <c r="DI421" s="129">
        <f t="shared" si="834"/>
        <v>1</v>
      </c>
      <c r="DK421" s="16">
        <f>+IF(AND(Octobre!$DP$8&lt;&gt;52,AR421=S.CAL!$BJ$4),10,1)</f>
        <v>1</v>
      </c>
      <c r="DN421" s="16">
        <f t="shared" si="812"/>
        <v>1</v>
      </c>
      <c r="DU421" s="1274" t="str">
        <f t="shared" si="835"/>
        <v>Fiche infoA146300</v>
      </c>
      <c r="DV421" s="1362">
        <f t="shared" si="813"/>
        <v>0</v>
      </c>
      <c r="DW421" s="1363">
        <f t="shared" si="814"/>
        <v>0</v>
      </c>
      <c r="DX421" s="1363">
        <f t="shared" si="815"/>
        <v>0</v>
      </c>
      <c r="DY421" s="1363">
        <f t="shared" si="816"/>
        <v>0</v>
      </c>
      <c r="DZ421" s="1363">
        <f t="shared" si="817"/>
        <v>0</v>
      </c>
      <c r="EA421" s="1363">
        <f t="shared" si="818"/>
        <v>0</v>
      </c>
      <c r="EB421" s="1363">
        <f t="shared" si="819"/>
        <v>0</v>
      </c>
      <c r="EC421" s="1363">
        <f t="shared" si="820"/>
        <v>0</v>
      </c>
      <c r="ED421" s="1363">
        <f t="shared" si="836"/>
        <v>0</v>
      </c>
      <c r="EE421" s="1364">
        <f t="shared" si="837"/>
        <v>0</v>
      </c>
      <c r="EG421" s="16" t="str">
        <f t="shared" si="838"/>
        <v>412026</v>
      </c>
      <c r="EH421" s="16" t="str">
        <f t="shared" si="821"/>
        <v>Fiche infoA1</v>
      </c>
      <c r="EI421" s="16" t="str">
        <f t="shared" si="822"/>
        <v/>
      </c>
    </row>
    <row r="422" spans="1:139" x14ac:dyDescent="0.2">
      <c r="A422" s="1373" t="str">
        <f>Octobre!BJ25</f>
        <v>Fiche infoA2</v>
      </c>
      <c r="B422" s="811">
        <f>Octobre!AB25</f>
        <v>46301</v>
      </c>
      <c r="C422" s="1372"/>
      <c r="D422" s="981">
        <f t="shared" si="778"/>
        <v>0</v>
      </c>
      <c r="E422" s="434">
        <f t="shared" si="779"/>
        <v>0</v>
      </c>
      <c r="F422" s="434">
        <f t="shared" si="780"/>
        <v>0</v>
      </c>
      <c r="G422" s="434">
        <f t="shared" si="781"/>
        <v>0</v>
      </c>
      <c r="H422" s="434">
        <f t="shared" si="782"/>
        <v>0</v>
      </c>
      <c r="I422" s="434">
        <f t="shared" si="783"/>
        <v>0</v>
      </c>
      <c r="J422" s="434">
        <f t="shared" si="784"/>
        <v>0</v>
      </c>
      <c r="K422" s="434">
        <f t="shared" si="785"/>
        <v>0</v>
      </c>
      <c r="L422" s="434">
        <f t="shared" si="823"/>
        <v>0</v>
      </c>
      <c r="M422" s="982">
        <f t="shared" si="824"/>
        <v>0</v>
      </c>
      <c r="N422" s="1374"/>
      <c r="O422" s="981">
        <f t="shared" si="786"/>
        <v>0</v>
      </c>
      <c r="P422" s="434">
        <f t="shared" si="787"/>
        <v>0</v>
      </c>
      <c r="Q422" s="434">
        <f t="shared" si="788"/>
        <v>0</v>
      </c>
      <c r="R422" s="434">
        <f t="shared" si="789"/>
        <v>0</v>
      </c>
      <c r="S422" s="434">
        <f t="shared" si="790"/>
        <v>0</v>
      </c>
      <c r="T422" s="434">
        <f t="shared" si="791"/>
        <v>0</v>
      </c>
      <c r="U422" s="434">
        <f t="shared" si="792"/>
        <v>0</v>
      </c>
      <c r="V422" s="434">
        <f t="shared" si="793"/>
        <v>0</v>
      </c>
      <c r="W422" s="434">
        <f t="shared" si="794"/>
        <v>0</v>
      </c>
      <c r="X422" s="982">
        <f t="shared" si="795"/>
        <v>0</v>
      </c>
      <c r="Y422" s="1375"/>
      <c r="Z422" s="1376">
        <f t="shared" si="796"/>
        <v>0</v>
      </c>
      <c r="AA422" s="1376">
        <f t="shared" si="797"/>
        <v>0</v>
      </c>
      <c r="AB422" s="1376">
        <f t="shared" si="798"/>
        <v>0</v>
      </c>
      <c r="AC422" s="1376">
        <f t="shared" si="799"/>
        <v>0</v>
      </c>
      <c r="AD422" s="1376">
        <f t="shared" si="800"/>
        <v>0</v>
      </c>
      <c r="AE422" s="1376">
        <f t="shared" si="801"/>
        <v>0</v>
      </c>
      <c r="AF422" s="1376">
        <f t="shared" si="802"/>
        <v>0</v>
      </c>
      <c r="AG422" s="1376">
        <f t="shared" si="803"/>
        <v>0</v>
      </c>
      <c r="AH422" s="1374"/>
      <c r="AI422" s="444">
        <f t="shared" si="804"/>
        <v>0</v>
      </c>
      <c r="AJ422" s="1090"/>
      <c r="AK422" s="1377"/>
      <c r="AL422" s="811">
        <f t="shared" si="805"/>
        <v>46301</v>
      </c>
      <c r="AM422" s="666">
        <f>IFERROR(IF(AND(AT422="",AR422&lt;&gt;S.CAL!$BJ$3,AR422&lt;&gt;S.CAL!$BJ$4,$AR$410="NON"),M422-BD422,IF(AND(AT422="",AR422&lt;&gt;S.CAL!$BJ$3,AR422&lt;&gt;S.CAL!$BJ$4,$AR$410="OUI"),X422-AI422,IF(AT422&lt;&gt;0,AT422,IF(OR(AR422=S.CAL!$BJ$3,AR422=S.CAL!$BJ$4),AR422,"")))),"")</f>
        <v>0</v>
      </c>
      <c r="AN422" s="1093"/>
      <c r="AO422" s="1094"/>
      <c r="AP422" s="666">
        <f>+IF(AND(AU422="",BB422="OUI",BH422="non",BI422="OUI"),AM422,IF(AND(AU422="",BB422="OUI",BH422="oui",BI422="NON"),AM422,IF(AND(AU422="",BB422="NON",BH422="oui",BI422="NON"),M422,IF(AND(AU422="",BB422="NON",BH422="non",BI422="OUI"),M422,IF(AND(AU422="",BB422="OUI",BH422="non",BI422="NON"),"ERREUR",IF(AND(AU422="",BB422="NON",BH422="non",BI422="NON"),AM422,IF(AND(AU422="",BB422="OUI",BH422="",BI422=""),AM422,IF(AND(AU422="",BB422="NON",BH422="",BI422="",AZ422="NON"),M422,IF(AND(AU422="",BH422="",AZ422="OUI",AR422=""),AM422,IF(AND(AU422="",BH422="",AZ422="NON",AR422="",AT422=""),M422,IF(AND(OR(AR422=S.CAL!$BJ$3,AR422=S.CAL!$BJ$4),(VLOOKUP($AM$410,base_nbre_sem_mensu,2,FALSE)=52)),EE422,IF(AND(OR(AR422=S.CAL!$BJ$3,AR422=S.CAL!$BJ$4),(VLOOKUP($AM$410,base_nbre_sem_mensu,2,FALSE)&lt;52)),AM422,IF(AND(AT422&lt;&gt;"",AU422=""),AT422,AU422)))))))))))))</f>
        <v>0</v>
      </c>
      <c r="AQ422" s="1378">
        <f t="shared" si="825"/>
        <v>0</v>
      </c>
      <c r="AR422" s="1098"/>
      <c r="AS422" s="1374"/>
      <c r="AT422" s="1101"/>
      <c r="AU422" s="813"/>
      <c r="AV422" s="1370">
        <f t="shared" si="806"/>
        <v>46301</v>
      </c>
      <c r="AW422" s="1374"/>
      <c r="AX422" s="511">
        <f t="shared" si="826"/>
        <v>46301</v>
      </c>
      <c r="AY422" s="523">
        <f t="shared" si="827"/>
        <v>0</v>
      </c>
      <c r="AZ422" s="520" t="s">
        <v>137</v>
      </c>
      <c r="BA422" s="516">
        <f t="shared" si="828"/>
        <v>0</v>
      </c>
      <c r="BB422" s="549" t="str">
        <f t="shared" si="807"/>
        <v/>
      </c>
      <c r="BC422" s="523">
        <f t="shared" si="829"/>
        <v>0</v>
      </c>
      <c r="BD422" s="523">
        <f t="shared" si="830"/>
        <v>0</v>
      </c>
      <c r="BE422" s="732"/>
      <c r="BF422" s="514" t="str">
        <f t="shared" si="808"/>
        <v/>
      </c>
      <c r="BG422" s="514" t="str">
        <f t="shared" si="831"/>
        <v>oui</v>
      </c>
      <c r="BH422" s="377" t="str">
        <f t="shared" si="809"/>
        <v/>
      </c>
      <c r="BI422" s="24" t="str">
        <f t="shared" si="810"/>
        <v/>
      </c>
      <c r="BJ422" s="1382"/>
      <c r="BK422" s="1382"/>
      <c r="BL422" s="1382"/>
      <c r="BM422" s="1382"/>
      <c r="BN422" s="1382"/>
      <c r="BO422" s="1382"/>
      <c r="BP422" s="1382"/>
      <c r="BQ422" s="1382"/>
      <c r="BR422" s="1383"/>
      <c r="BS422" s="1370">
        <f t="shared" si="777"/>
        <v>46301</v>
      </c>
      <c r="BT422" s="1384" t="str">
        <f t="shared" si="839"/>
        <v/>
      </c>
      <c r="BU422" s="1382"/>
      <c r="BV422" s="1382"/>
      <c r="BW422" s="1382"/>
      <c r="BX422" s="1382"/>
      <c r="BY422" s="1382"/>
      <c r="BZ422" s="1382"/>
      <c r="CA422" s="1382"/>
      <c r="CB422" s="1382"/>
      <c r="CD422" s="1386">
        <f t="shared" si="832"/>
        <v>0</v>
      </c>
      <c r="DC422" s="16" t="str">
        <f>Octobre!FC25</f>
        <v>non</v>
      </c>
      <c r="DG422" s="315">
        <f t="shared" si="833"/>
        <v>1</v>
      </c>
      <c r="DH422" s="129">
        <f t="shared" si="811"/>
        <v>10</v>
      </c>
      <c r="DI422" s="129">
        <f t="shared" si="834"/>
        <v>1</v>
      </c>
      <c r="DK422" s="16">
        <f>+IF(AND(Octobre!$DP$8&lt;&gt;52,AR422=S.CAL!$BJ$4),10,1)</f>
        <v>1</v>
      </c>
      <c r="DN422" s="16">
        <f t="shared" si="812"/>
        <v>1</v>
      </c>
      <c r="DU422" s="1274" t="str">
        <f t="shared" si="835"/>
        <v>Fiche infoA246301</v>
      </c>
      <c r="DV422" s="1362">
        <f t="shared" si="813"/>
        <v>0</v>
      </c>
      <c r="DW422" s="1363">
        <f t="shared" si="814"/>
        <v>0</v>
      </c>
      <c r="DX422" s="1363">
        <f t="shared" si="815"/>
        <v>0</v>
      </c>
      <c r="DY422" s="1363">
        <f t="shared" si="816"/>
        <v>0</v>
      </c>
      <c r="DZ422" s="1363">
        <f t="shared" si="817"/>
        <v>0</v>
      </c>
      <c r="EA422" s="1363">
        <f t="shared" si="818"/>
        <v>0</v>
      </c>
      <c r="EB422" s="1363">
        <f t="shared" si="819"/>
        <v>0</v>
      </c>
      <c r="EC422" s="1363">
        <f t="shared" si="820"/>
        <v>0</v>
      </c>
      <c r="ED422" s="1363">
        <f t="shared" si="836"/>
        <v>0</v>
      </c>
      <c r="EE422" s="1364">
        <f t="shared" si="837"/>
        <v>0</v>
      </c>
      <c r="EG422" s="16" t="str">
        <f t="shared" si="838"/>
        <v>412026</v>
      </c>
      <c r="EH422" s="16" t="str">
        <f t="shared" si="821"/>
        <v>Fiche infoA2</v>
      </c>
      <c r="EI422" s="16" t="str">
        <f t="shared" si="822"/>
        <v/>
      </c>
    </row>
    <row r="423" spans="1:139" x14ac:dyDescent="0.2">
      <c r="A423" s="24" t="str">
        <f>Octobre!BJ26</f>
        <v>Fiche infoA3</v>
      </c>
      <c r="B423" s="811">
        <f>Octobre!AB26</f>
        <v>46302</v>
      </c>
      <c r="C423" s="1371"/>
      <c r="D423" s="981">
        <f t="shared" si="778"/>
        <v>0</v>
      </c>
      <c r="E423" s="434">
        <f t="shared" si="779"/>
        <v>0</v>
      </c>
      <c r="F423" s="434">
        <f t="shared" si="780"/>
        <v>0</v>
      </c>
      <c r="G423" s="434">
        <f t="shared" si="781"/>
        <v>0</v>
      </c>
      <c r="H423" s="434">
        <f t="shared" si="782"/>
        <v>0</v>
      </c>
      <c r="I423" s="434">
        <f t="shared" si="783"/>
        <v>0</v>
      </c>
      <c r="J423" s="434">
        <f t="shared" si="784"/>
        <v>0</v>
      </c>
      <c r="K423" s="434">
        <f t="shared" si="785"/>
        <v>0</v>
      </c>
      <c r="L423" s="434">
        <f t="shared" si="823"/>
        <v>0</v>
      </c>
      <c r="M423" s="982">
        <f t="shared" si="824"/>
        <v>0</v>
      </c>
      <c r="O423" s="981">
        <f t="shared" si="786"/>
        <v>0</v>
      </c>
      <c r="P423" s="434">
        <f t="shared" si="787"/>
        <v>0</v>
      </c>
      <c r="Q423" s="434">
        <f t="shared" si="788"/>
        <v>0</v>
      </c>
      <c r="R423" s="434">
        <f t="shared" si="789"/>
        <v>0</v>
      </c>
      <c r="S423" s="434">
        <f t="shared" si="790"/>
        <v>0</v>
      </c>
      <c r="T423" s="434">
        <f t="shared" si="791"/>
        <v>0</v>
      </c>
      <c r="U423" s="434">
        <f t="shared" si="792"/>
        <v>0</v>
      </c>
      <c r="V423" s="434">
        <f t="shared" si="793"/>
        <v>0</v>
      </c>
      <c r="W423" s="434">
        <f t="shared" si="794"/>
        <v>0</v>
      </c>
      <c r="X423" s="982">
        <f t="shared" si="795"/>
        <v>0</v>
      </c>
      <c r="Y423" s="441"/>
      <c r="Z423" s="277">
        <f t="shared" si="796"/>
        <v>0</v>
      </c>
      <c r="AA423" s="277">
        <f t="shared" si="797"/>
        <v>0</v>
      </c>
      <c r="AB423" s="277">
        <f t="shared" si="798"/>
        <v>0</v>
      </c>
      <c r="AC423" s="277">
        <f t="shared" si="799"/>
        <v>0</v>
      </c>
      <c r="AD423" s="277">
        <f t="shared" si="800"/>
        <v>0</v>
      </c>
      <c r="AE423" s="277">
        <f t="shared" si="801"/>
        <v>0</v>
      </c>
      <c r="AF423" s="277">
        <f t="shared" si="802"/>
        <v>0</v>
      </c>
      <c r="AG423" s="277">
        <f t="shared" si="803"/>
        <v>0</v>
      </c>
      <c r="AI423" s="444">
        <f t="shared" si="804"/>
        <v>0</v>
      </c>
      <c r="AJ423" s="1090"/>
      <c r="AK423" s="489"/>
      <c r="AL423" s="811">
        <f t="shared" si="805"/>
        <v>46302</v>
      </c>
      <c r="AM423" s="666">
        <f>IFERROR(IF(AND(AT423="",AR423&lt;&gt;S.CAL!$BJ$3,AR423&lt;&gt;S.CAL!$BJ$4,$AR$410="NON"),M423-BD423,IF(AND(AT423="",AR423&lt;&gt;S.CAL!$BJ$3,AR423&lt;&gt;S.CAL!$BJ$4,$AR$410="OUI"),X423-AI423,IF(AT423&lt;&gt;0,AT423,IF(OR(AR423=S.CAL!$BJ$3,AR423=S.CAL!$BJ$4),AR423,"")))),"")</f>
        <v>0</v>
      </c>
      <c r="AN423" s="1093"/>
      <c r="AO423" s="1094"/>
      <c r="AP423" s="666">
        <f>+IF(AND(AU423="",BB423="OUI",BH423="non",BI423="OUI"),AM423,IF(AND(AU423="",BB423="OUI",BH423="oui",BI423="NON"),AM423,IF(AND(AU423="",BB423="NON",BH423="oui",BI423="NON"),M423,IF(AND(AU423="",BB423="NON",BH423="non",BI423="OUI"),M423,IF(AND(AU423="",BB423="OUI",BH423="non",BI423="NON"),"ERREUR",IF(AND(AU423="",BB423="NON",BH423="non",BI423="NON"),AM423,IF(AND(AU423="",BB423="OUI",BH423="",BI423=""),AM423,IF(AND(AU423="",BB423="NON",BH423="",BI423="",AZ423="NON"),M423,IF(AND(AU423="",BH423="",AZ423="OUI",AR423=""),AM423,IF(AND(AU423="",BH423="",AZ423="NON",AR423="",AT423=""),M423,IF(AND(OR(AR423=S.CAL!$BJ$3,AR423=S.CAL!$BJ$4),(VLOOKUP($AM$410,base_nbre_sem_mensu,2,FALSE)=52)),EE423,IF(AND(OR(AR423=S.CAL!$BJ$3,AR423=S.CAL!$BJ$4),(VLOOKUP($AM$410,base_nbre_sem_mensu,2,FALSE)&lt;52)),AM423,IF(AND(AT423&lt;&gt;"",AU423=""),AT423,AU423)))))))))))))</f>
        <v>0</v>
      </c>
      <c r="AQ423" s="498">
        <f t="shared" si="825"/>
        <v>0</v>
      </c>
      <c r="AR423" s="1098"/>
      <c r="AT423" s="1101"/>
      <c r="AU423" s="813"/>
      <c r="AV423" s="1370">
        <f t="shared" si="806"/>
        <v>46302</v>
      </c>
      <c r="AX423" s="511">
        <f t="shared" si="826"/>
        <v>46302</v>
      </c>
      <c r="AY423" s="523">
        <f t="shared" si="827"/>
        <v>0</v>
      </c>
      <c r="AZ423" s="520" t="s">
        <v>137</v>
      </c>
      <c r="BA423" s="516">
        <f t="shared" si="828"/>
        <v>0</v>
      </c>
      <c r="BB423" s="549" t="str">
        <f t="shared" si="807"/>
        <v/>
      </c>
      <c r="BC423" s="523">
        <f t="shared" si="829"/>
        <v>0</v>
      </c>
      <c r="BD423" s="523">
        <f t="shared" si="830"/>
        <v>0</v>
      </c>
      <c r="BE423" s="732"/>
      <c r="BF423" s="514" t="str">
        <f t="shared" si="808"/>
        <v/>
      </c>
      <c r="BG423" s="514" t="str">
        <f t="shared" si="831"/>
        <v>oui</v>
      </c>
      <c r="BH423" s="377" t="str">
        <f t="shared" si="809"/>
        <v/>
      </c>
      <c r="BI423" s="24" t="str">
        <f t="shared" si="810"/>
        <v/>
      </c>
      <c r="BJ423" s="1381"/>
      <c r="BK423" s="1381"/>
      <c r="BL423" s="1381"/>
      <c r="BM423" s="1381"/>
      <c r="BN423" s="1381"/>
      <c r="BO423" s="1381"/>
      <c r="BP423" s="1381"/>
      <c r="BQ423" s="1381"/>
      <c r="BS423" s="1370">
        <f t="shared" si="777"/>
        <v>46302</v>
      </c>
      <c r="BT423" s="27" t="str">
        <f t="shared" si="839"/>
        <v/>
      </c>
      <c r="BU423" s="1380"/>
      <c r="BV423" s="1380"/>
      <c r="BW423" s="1380"/>
      <c r="BX423" s="1380"/>
      <c r="BY423" s="1380"/>
      <c r="BZ423" s="1380"/>
      <c r="CA423" s="1380"/>
      <c r="CB423" s="1380"/>
      <c r="CD423" s="1386">
        <f t="shared" si="832"/>
        <v>0</v>
      </c>
      <c r="DC423" s="16" t="str">
        <f>Octobre!FC26</f>
        <v>non</v>
      </c>
      <c r="DG423" s="315">
        <f t="shared" si="833"/>
        <v>1</v>
      </c>
      <c r="DH423" s="129">
        <f t="shared" si="811"/>
        <v>10</v>
      </c>
      <c r="DI423" s="129">
        <f t="shared" si="834"/>
        <v>1</v>
      </c>
      <c r="DK423" s="16">
        <f>+IF(AND(Octobre!$DP$8&lt;&gt;52,AR423=S.CAL!$BJ$4),10,1)</f>
        <v>1</v>
      </c>
      <c r="DN423" s="16">
        <f t="shared" si="812"/>
        <v>1</v>
      </c>
      <c r="DU423" s="1274" t="str">
        <f t="shared" si="835"/>
        <v>Fiche infoA346302</v>
      </c>
      <c r="DV423" s="1362">
        <f t="shared" si="813"/>
        <v>0</v>
      </c>
      <c r="DW423" s="1363">
        <f t="shared" si="814"/>
        <v>0</v>
      </c>
      <c r="DX423" s="1363">
        <f t="shared" si="815"/>
        <v>0</v>
      </c>
      <c r="DY423" s="1363">
        <f t="shared" si="816"/>
        <v>0</v>
      </c>
      <c r="DZ423" s="1363">
        <f t="shared" si="817"/>
        <v>0</v>
      </c>
      <c r="EA423" s="1363">
        <f t="shared" si="818"/>
        <v>0</v>
      </c>
      <c r="EB423" s="1363">
        <f t="shared" si="819"/>
        <v>0</v>
      </c>
      <c r="EC423" s="1363">
        <f t="shared" si="820"/>
        <v>0</v>
      </c>
      <c r="ED423" s="1363">
        <f t="shared" si="836"/>
        <v>0</v>
      </c>
      <c r="EE423" s="1364">
        <f t="shared" si="837"/>
        <v>0</v>
      </c>
      <c r="EG423" s="16" t="str">
        <f t="shared" si="838"/>
        <v>412026</v>
      </c>
      <c r="EH423" s="16" t="str">
        <f t="shared" si="821"/>
        <v>Fiche infoA3</v>
      </c>
      <c r="EI423" s="16" t="str">
        <f t="shared" si="822"/>
        <v/>
      </c>
    </row>
    <row r="424" spans="1:139" x14ac:dyDescent="0.2">
      <c r="A424" s="1373" t="str">
        <f>Octobre!BJ27</f>
        <v>Fiche infoA4</v>
      </c>
      <c r="B424" s="811">
        <f>Octobre!AB27</f>
        <v>46303</v>
      </c>
      <c r="C424" s="1372"/>
      <c r="D424" s="981">
        <f t="shared" si="778"/>
        <v>0</v>
      </c>
      <c r="E424" s="434">
        <f t="shared" si="779"/>
        <v>0</v>
      </c>
      <c r="F424" s="434">
        <f t="shared" si="780"/>
        <v>0</v>
      </c>
      <c r="G424" s="434">
        <f t="shared" si="781"/>
        <v>0</v>
      </c>
      <c r="H424" s="434">
        <f t="shared" si="782"/>
        <v>0</v>
      </c>
      <c r="I424" s="434">
        <f t="shared" si="783"/>
        <v>0</v>
      </c>
      <c r="J424" s="434">
        <f t="shared" si="784"/>
        <v>0</v>
      </c>
      <c r="K424" s="434">
        <f t="shared" si="785"/>
        <v>0</v>
      </c>
      <c r="L424" s="434">
        <f t="shared" si="823"/>
        <v>0</v>
      </c>
      <c r="M424" s="982">
        <f t="shared" si="824"/>
        <v>0</v>
      </c>
      <c r="N424" s="1374"/>
      <c r="O424" s="981">
        <f t="shared" si="786"/>
        <v>0</v>
      </c>
      <c r="P424" s="434">
        <f t="shared" si="787"/>
        <v>0</v>
      </c>
      <c r="Q424" s="434">
        <f t="shared" si="788"/>
        <v>0</v>
      </c>
      <c r="R424" s="434">
        <f t="shared" si="789"/>
        <v>0</v>
      </c>
      <c r="S424" s="434">
        <f t="shared" si="790"/>
        <v>0</v>
      </c>
      <c r="T424" s="434">
        <f t="shared" si="791"/>
        <v>0</v>
      </c>
      <c r="U424" s="434">
        <f t="shared" si="792"/>
        <v>0</v>
      </c>
      <c r="V424" s="434">
        <f t="shared" si="793"/>
        <v>0</v>
      </c>
      <c r="W424" s="434">
        <f t="shared" si="794"/>
        <v>0</v>
      </c>
      <c r="X424" s="982">
        <f t="shared" si="795"/>
        <v>0</v>
      </c>
      <c r="Y424" s="1375"/>
      <c r="Z424" s="1376">
        <f t="shared" si="796"/>
        <v>0</v>
      </c>
      <c r="AA424" s="1376">
        <f t="shared" si="797"/>
        <v>0</v>
      </c>
      <c r="AB424" s="1376">
        <f t="shared" si="798"/>
        <v>0</v>
      </c>
      <c r="AC424" s="1376">
        <f t="shared" si="799"/>
        <v>0</v>
      </c>
      <c r="AD424" s="1376">
        <f t="shared" si="800"/>
        <v>0</v>
      </c>
      <c r="AE424" s="1376">
        <f t="shared" si="801"/>
        <v>0</v>
      </c>
      <c r="AF424" s="1376">
        <f t="shared" si="802"/>
        <v>0</v>
      </c>
      <c r="AG424" s="1376">
        <f t="shared" si="803"/>
        <v>0</v>
      </c>
      <c r="AH424" s="1374"/>
      <c r="AI424" s="444">
        <f t="shared" si="804"/>
        <v>0</v>
      </c>
      <c r="AJ424" s="1090"/>
      <c r="AK424" s="1377"/>
      <c r="AL424" s="811">
        <f t="shared" si="805"/>
        <v>46303</v>
      </c>
      <c r="AM424" s="666">
        <f>IFERROR(IF(AND(AT424="",AR424&lt;&gt;S.CAL!$BJ$3,AR424&lt;&gt;S.CAL!$BJ$4,$AR$410="NON"),M424-BD424,IF(AND(AT424="",AR424&lt;&gt;S.CAL!$BJ$3,AR424&lt;&gt;S.CAL!$BJ$4,$AR$410="OUI"),X424-AI424,IF(AT424&lt;&gt;0,AT424,IF(OR(AR424=S.CAL!$BJ$3,AR424=S.CAL!$BJ$4),AR424,"")))),"")</f>
        <v>0</v>
      </c>
      <c r="AN424" s="1093"/>
      <c r="AO424" s="1094"/>
      <c r="AP424" s="666">
        <f>+IF(AND(AU424="",BB424="OUI",BH424="non",BI424="OUI"),AM424,IF(AND(AU424="",BB424="OUI",BH424="oui",BI424="NON"),AM424,IF(AND(AU424="",BB424="NON",BH424="oui",BI424="NON"),M424,IF(AND(AU424="",BB424="NON",BH424="non",BI424="OUI"),M424,IF(AND(AU424="",BB424="OUI",BH424="non",BI424="NON"),"ERREUR",IF(AND(AU424="",BB424="NON",BH424="non",BI424="NON"),AM424,IF(AND(AU424="",BB424="OUI",BH424="",BI424=""),AM424,IF(AND(AU424="",BB424="NON",BH424="",BI424="",AZ424="NON"),M424,IF(AND(AU424="",BH424="",AZ424="OUI",AR424=""),AM424,IF(AND(AU424="",BH424="",AZ424="NON",AR424="",AT424=""),M424,IF(AND(OR(AR424=S.CAL!$BJ$3,AR424=S.CAL!$BJ$4),(VLOOKUP($AM$410,base_nbre_sem_mensu,2,FALSE)=52)),EE424,IF(AND(OR(AR424=S.CAL!$BJ$3,AR424=S.CAL!$BJ$4),(VLOOKUP($AM$410,base_nbre_sem_mensu,2,FALSE)&lt;52)),AM424,IF(AND(AT424&lt;&gt;"",AU424=""),AT424,AU424)))))))))))))</f>
        <v>0</v>
      </c>
      <c r="AQ424" s="1378">
        <f t="shared" si="825"/>
        <v>0</v>
      </c>
      <c r="AR424" s="1098"/>
      <c r="AS424" s="1374"/>
      <c r="AT424" s="1101"/>
      <c r="AU424" s="813"/>
      <c r="AV424" s="1370">
        <f t="shared" si="806"/>
        <v>46303</v>
      </c>
      <c r="AW424" s="1374"/>
      <c r="AX424" s="511">
        <f t="shared" si="826"/>
        <v>46303</v>
      </c>
      <c r="AY424" s="523">
        <f t="shared" si="827"/>
        <v>0</v>
      </c>
      <c r="AZ424" s="520" t="s">
        <v>137</v>
      </c>
      <c r="BA424" s="516">
        <f t="shared" si="828"/>
        <v>0</v>
      </c>
      <c r="BB424" s="549" t="str">
        <f t="shared" si="807"/>
        <v/>
      </c>
      <c r="BC424" s="523">
        <f t="shared" si="829"/>
        <v>0</v>
      </c>
      <c r="BD424" s="523">
        <f t="shared" si="830"/>
        <v>0</v>
      </c>
      <c r="BE424" s="732"/>
      <c r="BF424" s="514" t="str">
        <f t="shared" si="808"/>
        <v/>
      </c>
      <c r="BG424" s="514" t="str">
        <f t="shared" si="831"/>
        <v>oui</v>
      </c>
      <c r="BH424" s="377" t="str">
        <f t="shared" si="809"/>
        <v/>
      </c>
      <c r="BI424" s="24" t="str">
        <f t="shared" si="810"/>
        <v/>
      </c>
      <c r="BJ424" s="1382"/>
      <c r="BK424" s="1382"/>
      <c r="BL424" s="1382"/>
      <c r="BM424" s="1382"/>
      <c r="BN424" s="1382"/>
      <c r="BO424" s="1382"/>
      <c r="BP424" s="1382"/>
      <c r="BQ424" s="1382"/>
      <c r="BR424" s="1383"/>
      <c r="BS424" s="1370">
        <f t="shared" si="777"/>
        <v>46303</v>
      </c>
      <c r="BT424" s="1384" t="str">
        <f t="shared" si="839"/>
        <v/>
      </c>
      <c r="BU424" s="1382"/>
      <c r="BV424" s="1382"/>
      <c r="BW424" s="1382"/>
      <c r="BX424" s="1382"/>
      <c r="BY424" s="1382"/>
      <c r="BZ424" s="1382"/>
      <c r="CA424" s="1382"/>
      <c r="CB424" s="1382"/>
      <c r="CD424" s="1386">
        <f t="shared" si="832"/>
        <v>0</v>
      </c>
      <c r="DC424" s="16" t="str">
        <f>Octobre!FC27</f>
        <v>non</v>
      </c>
      <c r="DG424" s="315">
        <f t="shared" si="833"/>
        <v>1</v>
      </c>
      <c r="DH424" s="129">
        <f t="shared" si="811"/>
        <v>10</v>
      </c>
      <c r="DI424" s="129">
        <f t="shared" si="834"/>
        <v>1</v>
      </c>
      <c r="DK424" s="16">
        <f>+IF(AND(Octobre!$DP$8&lt;&gt;52,AR424=S.CAL!$BJ$4),10,1)</f>
        <v>1</v>
      </c>
      <c r="DN424" s="16">
        <f t="shared" si="812"/>
        <v>1</v>
      </c>
      <c r="DU424" s="1274" t="str">
        <f t="shared" si="835"/>
        <v>Fiche infoA446303</v>
      </c>
      <c r="DV424" s="1362">
        <f t="shared" si="813"/>
        <v>0</v>
      </c>
      <c r="DW424" s="1363">
        <f t="shared" si="814"/>
        <v>0</v>
      </c>
      <c r="DX424" s="1363">
        <f t="shared" si="815"/>
        <v>0</v>
      </c>
      <c r="DY424" s="1363">
        <f t="shared" si="816"/>
        <v>0</v>
      </c>
      <c r="DZ424" s="1363">
        <f t="shared" si="817"/>
        <v>0</v>
      </c>
      <c r="EA424" s="1363">
        <f t="shared" si="818"/>
        <v>0</v>
      </c>
      <c r="EB424" s="1363">
        <f t="shared" si="819"/>
        <v>0</v>
      </c>
      <c r="EC424" s="1363">
        <f t="shared" si="820"/>
        <v>0</v>
      </c>
      <c r="ED424" s="1363">
        <f t="shared" si="836"/>
        <v>0</v>
      </c>
      <c r="EE424" s="1364">
        <f t="shared" si="837"/>
        <v>0</v>
      </c>
      <c r="EG424" s="16" t="str">
        <f t="shared" si="838"/>
        <v>412026</v>
      </c>
      <c r="EH424" s="16" t="str">
        <f t="shared" si="821"/>
        <v>Fiche infoA4</v>
      </c>
      <c r="EI424" s="16" t="str">
        <f t="shared" si="822"/>
        <v/>
      </c>
    </row>
    <row r="425" spans="1:139" x14ac:dyDescent="0.2">
      <c r="A425" s="24" t="str">
        <f>Octobre!BJ28</f>
        <v>Fiche infoA5</v>
      </c>
      <c r="B425" s="811">
        <f>Octobre!AB28</f>
        <v>46304</v>
      </c>
      <c r="C425" s="1371"/>
      <c r="D425" s="981">
        <f t="shared" si="778"/>
        <v>0</v>
      </c>
      <c r="E425" s="434">
        <f t="shared" si="779"/>
        <v>0</v>
      </c>
      <c r="F425" s="434">
        <f t="shared" si="780"/>
        <v>0</v>
      </c>
      <c r="G425" s="434">
        <f t="shared" si="781"/>
        <v>0</v>
      </c>
      <c r="H425" s="434">
        <f t="shared" si="782"/>
        <v>0</v>
      </c>
      <c r="I425" s="434">
        <f t="shared" si="783"/>
        <v>0</v>
      </c>
      <c r="J425" s="434">
        <f t="shared" si="784"/>
        <v>0</v>
      </c>
      <c r="K425" s="434">
        <f t="shared" si="785"/>
        <v>0</v>
      </c>
      <c r="L425" s="434">
        <f t="shared" si="823"/>
        <v>0</v>
      </c>
      <c r="M425" s="982">
        <f t="shared" si="824"/>
        <v>0</v>
      </c>
      <c r="O425" s="981">
        <f>IF(AR425&lt;&gt;"",0,IF(DC425="oui",0,IF(AND(ISTEXT(AT425)=TRUE,BJ425=""),0,IF(BJ425="",D425,BJ425))))</f>
        <v>0</v>
      </c>
      <c r="P425" s="434">
        <f>IF(AR425&lt;&gt;"",0,IF(DC425="oui",0,IF(AND(ISTEXT(AT425)=TRUE,BK425=""),0,IF(BK425="",E425,BK425))))</f>
        <v>0</v>
      </c>
      <c r="Q425" s="434">
        <f>IF(AR425&lt;&gt;"",0,IF(DC425="oui",0,IF(AND(ISTEXT(AT425)=TRUE,BL425=""),0,IF(BL425="",F425,BL425))))</f>
        <v>0</v>
      </c>
      <c r="R425" s="434">
        <f>IF(AR425&lt;&gt;"",0,IF(DC425="oui",0,IF(AND(ISTEXT(AT425)=TRUE,BM425=""),0,IF(BM425="",G425,BM425))))</f>
        <v>0</v>
      </c>
      <c r="S425" s="434">
        <f>IF(AR425&lt;&gt;"",0,IF(DC425="oui",0,IF(AND(ISTEXT(AT425)=TRUE,BN425=""),0,IF(BN425="",H425,BN425))))</f>
        <v>0</v>
      </c>
      <c r="T425" s="434">
        <f>IF(AR425&lt;&gt;"",0,IF(DC425="oui",0,IF(AND(ISTEXT(AT425)=TRUE,BO425=""),0,IF(BO425="",I425,BO425))))</f>
        <v>0</v>
      </c>
      <c r="U425" s="434">
        <f>IF(AR425&lt;&gt;"",0,IF(DC425="oui",0,IF(AND(ISTEXT(AT425)=TRUE,BP425=""),0,IF(BP425="",J425,BP425))))</f>
        <v>0</v>
      </c>
      <c r="V425" s="434">
        <f>IF(AR425&lt;&gt;"",0,IF(DC425="oui",0,IF(AND(ISTEXT(AT425)=TRUE,BQ425=""),0,IF(BQ425="",K425,BQ425))))</f>
        <v>0</v>
      </c>
      <c r="W425" s="434">
        <f t="shared" si="794"/>
        <v>0</v>
      </c>
      <c r="X425" s="982">
        <f t="shared" si="795"/>
        <v>0</v>
      </c>
      <c r="Y425" s="441"/>
      <c r="Z425" s="277">
        <f t="shared" si="796"/>
        <v>0</v>
      </c>
      <c r="AA425" s="277">
        <f t="shared" si="797"/>
        <v>0</v>
      </c>
      <c r="AB425" s="277">
        <f t="shared" si="798"/>
        <v>0</v>
      </c>
      <c r="AC425" s="277">
        <f t="shared" si="799"/>
        <v>0</v>
      </c>
      <c r="AD425" s="277">
        <f t="shared" si="800"/>
        <v>0</v>
      </c>
      <c r="AE425" s="277">
        <f t="shared" si="801"/>
        <v>0</v>
      </c>
      <c r="AF425" s="277">
        <f t="shared" si="802"/>
        <v>0</v>
      </c>
      <c r="AG425" s="277">
        <f t="shared" si="803"/>
        <v>0</v>
      </c>
      <c r="AI425" s="444">
        <f>IF(DC425="oui",0,IF(AND(ISTEXT(AT425)=TRUE,OR(X425=0,X425="")),0,ROUND(((((AA425-Z425)-(E425-D425))+((AC425-AB425)-(G425-F425))+((AE425-AD425)-(I425-H425))+(AG425-AF425)-(K425-J425))*24),2)))</f>
        <v>0</v>
      </c>
      <c r="AJ425" s="1090"/>
      <c r="AK425" s="489"/>
      <c r="AL425" s="811">
        <f t="shared" si="805"/>
        <v>46304</v>
      </c>
      <c r="AM425" s="666">
        <f>IFERROR(IF(AND(AT425="",AR425&lt;&gt;S.CAL!$BJ$3,AR425&lt;&gt;S.CAL!$BJ$4,$AR$410="NON"),M425-BD425,IF(AND(AT425="",AR425&lt;&gt;S.CAL!$BJ$3,AR425&lt;&gt;S.CAL!$BJ$4,$AR$410="OUI"),X425-AI425,IF(AT425&lt;&gt;0,AT425,IF(OR(AR425=S.CAL!$BJ$3,AR425=S.CAL!$BJ$4),AR425,"")))),"")</f>
        <v>0</v>
      </c>
      <c r="AN425" s="1093"/>
      <c r="AO425" s="1094"/>
      <c r="AP425" s="666">
        <f>+IF(AND(AU425="",BB425="OUI",BH425="non",BI425="OUI"),AM425,IF(AND(AU425="",BB425="OUI",BH425="oui",BI425="NON"),AM425,IF(AND(AU425="",BB425="NON",BH425="oui",BI425="NON"),M425,IF(AND(AU425="",BB425="NON",BH425="non",BI425="OUI"),M425,IF(AND(AU425="",BB425="OUI",BH425="non",BI425="NON"),"ERREUR",IF(AND(AU425="",BB425="NON",BH425="non",BI425="NON"),AM425,IF(AND(AU425="",BB425="OUI",BH425="",BI425=""),AM425,IF(AND(AU425="",BB425="NON",BH425="",BI425="",AZ425="NON"),M425,IF(AND(AU425="",BH425="",AZ425="OUI",AR425=""),AM425,IF(AND(AU425="",BH425="",AZ425="NON",AR425="",AT425=""),M425,IF(AND(OR(AR425=S.CAL!$BJ$3,AR425=S.CAL!$BJ$4),(VLOOKUP($AM$410,base_nbre_sem_mensu,2,FALSE)=52)),EE425,IF(AND(OR(AR425=S.CAL!$BJ$3,AR425=S.CAL!$BJ$4),(VLOOKUP($AM$410,base_nbre_sem_mensu,2,FALSE)&lt;52)),AM425,IF(AND(AT425&lt;&gt;"",AU425=""),AT425,AU425)))))))))))))</f>
        <v>0</v>
      </c>
      <c r="AQ425" s="498">
        <f t="shared" si="825"/>
        <v>0</v>
      </c>
      <c r="AR425" s="1098"/>
      <c r="AT425" s="1101"/>
      <c r="AU425" s="813"/>
      <c r="AV425" s="1370">
        <f t="shared" si="806"/>
        <v>46304</v>
      </c>
      <c r="AX425" s="511">
        <f t="shared" si="826"/>
        <v>46304</v>
      </c>
      <c r="AY425" s="523">
        <f t="shared" si="827"/>
        <v>0</v>
      </c>
      <c r="AZ425" s="520" t="s">
        <v>137</v>
      </c>
      <c r="BA425" s="516">
        <f t="shared" si="828"/>
        <v>0</v>
      </c>
      <c r="BB425" s="549" t="str">
        <f t="shared" si="807"/>
        <v/>
      </c>
      <c r="BC425" s="523">
        <f t="shared" si="829"/>
        <v>0</v>
      </c>
      <c r="BD425" s="523">
        <f t="shared" si="830"/>
        <v>0</v>
      </c>
      <c r="BE425" s="732"/>
      <c r="BF425" s="514" t="str">
        <f t="shared" si="808"/>
        <v/>
      </c>
      <c r="BG425" s="514" t="str">
        <f t="shared" si="831"/>
        <v>oui</v>
      </c>
      <c r="BH425" s="377" t="str">
        <f t="shared" si="809"/>
        <v/>
      </c>
      <c r="BI425" s="24" t="str">
        <f t="shared" si="810"/>
        <v/>
      </c>
      <c r="BJ425" s="1381"/>
      <c r="BK425" s="1381"/>
      <c r="BL425" s="1381"/>
      <c r="BM425" s="1381"/>
      <c r="BN425" s="1381"/>
      <c r="BO425" s="1381"/>
      <c r="BP425" s="1381"/>
      <c r="BQ425" s="1381"/>
      <c r="BS425" s="1370">
        <f t="shared" si="777"/>
        <v>46304</v>
      </c>
      <c r="BT425" s="27" t="str">
        <f t="shared" si="839"/>
        <v/>
      </c>
      <c r="BU425" s="1380"/>
      <c r="BV425" s="1380"/>
      <c r="BW425" s="1380"/>
      <c r="BX425" s="1380"/>
      <c r="BY425" s="1380"/>
      <c r="BZ425" s="1380"/>
      <c r="CA425" s="1380"/>
      <c r="CB425" s="1380"/>
      <c r="CD425" s="1386">
        <f t="shared" si="832"/>
        <v>0</v>
      </c>
      <c r="DC425" s="16" t="str">
        <f>Octobre!FC28</f>
        <v>non</v>
      </c>
      <c r="DG425" s="315">
        <f t="shared" si="833"/>
        <v>1</v>
      </c>
      <c r="DH425" s="129">
        <f t="shared" si="811"/>
        <v>10</v>
      </c>
      <c r="DI425" s="129">
        <f t="shared" si="834"/>
        <v>1</v>
      </c>
      <c r="DK425" s="16">
        <f>+IF(AND(Octobre!$DP$8&lt;&gt;52,AR425=S.CAL!$BJ$4),10,1)</f>
        <v>1</v>
      </c>
      <c r="DN425" s="16">
        <f t="shared" si="812"/>
        <v>1</v>
      </c>
      <c r="DU425" s="1274" t="str">
        <f t="shared" si="835"/>
        <v>Fiche infoA546304</v>
      </c>
      <c r="DV425" s="1362">
        <f t="shared" si="813"/>
        <v>0</v>
      </c>
      <c r="DW425" s="1363">
        <f t="shared" si="814"/>
        <v>0</v>
      </c>
      <c r="DX425" s="1363">
        <f t="shared" si="815"/>
        <v>0</v>
      </c>
      <c r="DY425" s="1363">
        <f t="shared" si="816"/>
        <v>0</v>
      </c>
      <c r="DZ425" s="1363">
        <f t="shared" si="817"/>
        <v>0</v>
      </c>
      <c r="EA425" s="1363">
        <f t="shared" si="818"/>
        <v>0</v>
      </c>
      <c r="EB425" s="1363">
        <f t="shared" si="819"/>
        <v>0</v>
      </c>
      <c r="EC425" s="1363">
        <f t="shared" si="820"/>
        <v>0</v>
      </c>
      <c r="ED425" s="1363">
        <f t="shared" si="836"/>
        <v>0</v>
      </c>
      <c r="EE425" s="1364">
        <f t="shared" si="837"/>
        <v>0</v>
      </c>
      <c r="EG425" s="16" t="str">
        <f t="shared" si="838"/>
        <v>412026</v>
      </c>
      <c r="EH425" s="16" t="str">
        <f t="shared" si="821"/>
        <v>Fiche infoA5</v>
      </c>
      <c r="EI425" s="16" t="str">
        <f t="shared" si="822"/>
        <v/>
      </c>
    </row>
    <row r="426" spans="1:139" x14ac:dyDescent="0.2">
      <c r="A426" s="1373" t="str">
        <f>Octobre!BJ29</f>
        <v>Fiche infoA6</v>
      </c>
      <c r="B426" s="811">
        <f>Octobre!AB29</f>
        <v>46305</v>
      </c>
      <c r="C426" s="1372"/>
      <c r="D426" s="981">
        <f t="shared" si="778"/>
        <v>0</v>
      </c>
      <c r="E426" s="434">
        <f t="shared" si="779"/>
        <v>0</v>
      </c>
      <c r="F426" s="434">
        <f t="shared" si="780"/>
        <v>0</v>
      </c>
      <c r="G426" s="434">
        <f t="shared" si="781"/>
        <v>0</v>
      </c>
      <c r="H426" s="434">
        <f t="shared" si="782"/>
        <v>0</v>
      </c>
      <c r="I426" s="434">
        <f t="shared" si="783"/>
        <v>0</v>
      </c>
      <c r="J426" s="434">
        <f t="shared" si="784"/>
        <v>0</v>
      </c>
      <c r="K426" s="434">
        <f t="shared" si="785"/>
        <v>0</v>
      </c>
      <c r="L426" s="434">
        <f t="shared" si="823"/>
        <v>0</v>
      </c>
      <c r="M426" s="982">
        <f t="shared" si="824"/>
        <v>0</v>
      </c>
      <c r="N426" s="1374"/>
      <c r="O426" s="981">
        <f t="shared" ref="O426:O447" si="840">IF(AR426&lt;&gt;"",0,IF(DC426="oui",0,IF(AND(ISTEXT(AT426)=TRUE,BJ426=""),0,IF(BJ426="",D426,BJ426))))</f>
        <v>0</v>
      </c>
      <c r="P426" s="434">
        <f t="shared" ref="P426:P447" si="841">IF(AR426&lt;&gt;"",0,IF(DC426="oui",0,IF(AND(ISTEXT(AT426)=TRUE,BK426=""),0,IF(BK426="",E426,BK426))))</f>
        <v>0</v>
      </c>
      <c r="Q426" s="434">
        <f t="shared" ref="Q426:Q447" si="842">IF(AR426&lt;&gt;"",0,IF(DC426="oui",0,IF(AND(ISTEXT(AT426)=TRUE,BL426=""),0,IF(BL426="",F426,BL426))))</f>
        <v>0</v>
      </c>
      <c r="R426" s="434">
        <f t="shared" ref="R426:R447" si="843">IF(AR426&lt;&gt;"",0,IF(DC426="oui",0,IF(AND(ISTEXT(AT426)=TRUE,BM426=""),0,IF(BM426="",G426,BM426))))</f>
        <v>0</v>
      </c>
      <c r="S426" s="434">
        <f t="shared" ref="S426:S447" si="844">IF(AR426&lt;&gt;"",0,IF(DC426="oui",0,IF(AND(ISTEXT(AT426)=TRUE,BN426=""),0,IF(BN426="",H426,BN426))))</f>
        <v>0</v>
      </c>
      <c r="T426" s="434">
        <f t="shared" ref="T426:T447" si="845">IF(AR426&lt;&gt;"",0,IF(DC426="oui",0,IF(AND(ISTEXT(AT426)=TRUE,BO426=""),0,IF(BO426="",I426,BO426))))</f>
        <v>0</v>
      </c>
      <c r="U426" s="434">
        <f t="shared" ref="U426:U447" si="846">IF(AR426&lt;&gt;"",0,IF(DC426="oui",0,IF(AND(ISTEXT(AT426)=TRUE,BP426=""),0,IF(BP426="",J426,BP426))))</f>
        <v>0</v>
      </c>
      <c r="V426" s="434">
        <f t="shared" ref="V426:V447" si="847">IF(AR426&lt;&gt;"",0,IF(DC426="oui",0,IF(AND(ISTEXT(AT426)=TRUE,BQ426=""),0,IF(BQ426="",K426,BQ426))))</f>
        <v>0</v>
      </c>
      <c r="W426" s="434">
        <f t="shared" si="794"/>
        <v>0</v>
      </c>
      <c r="X426" s="982">
        <f t="shared" si="795"/>
        <v>0</v>
      </c>
      <c r="Y426" s="1375"/>
      <c r="Z426" s="1376">
        <f t="shared" si="796"/>
        <v>0</v>
      </c>
      <c r="AA426" s="1376">
        <f t="shared" si="797"/>
        <v>0</v>
      </c>
      <c r="AB426" s="1376">
        <f t="shared" si="798"/>
        <v>0</v>
      </c>
      <c r="AC426" s="1376">
        <f t="shared" si="799"/>
        <v>0</v>
      </c>
      <c r="AD426" s="1376">
        <f t="shared" si="800"/>
        <v>0</v>
      </c>
      <c r="AE426" s="1376">
        <f t="shared" si="801"/>
        <v>0</v>
      </c>
      <c r="AF426" s="1376">
        <f t="shared" si="802"/>
        <v>0</v>
      </c>
      <c r="AG426" s="1376">
        <f t="shared" si="803"/>
        <v>0</v>
      </c>
      <c r="AH426" s="1374"/>
      <c r="AI426" s="444">
        <f t="shared" ref="AI426:AI447" si="848">IF(DC426="oui",0,IF(AND(ISTEXT(AT426)=TRUE,OR(X426=0,X426="")),0,ROUND(((((AA426-Z426)-(E426-D426))+((AC426-AB426)-(G426-F426))+((AE426-AD426)-(I426-H426))+(AG426-AF426)-(K426-J426))*24),2)))</f>
        <v>0</v>
      </c>
      <c r="AJ426" s="1090"/>
      <c r="AK426" s="1377"/>
      <c r="AL426" s="811">
        <f t="shared" si="805"/>
        <v>46305</v>
      </c>
      <c r="AM426" s="666">
        <f>IFERROR(IF(AND(AT426="",AR426&lt;&gt;S.CAL!$BJ$3,AR426&lt;&gt;S.CAL!$BJ$4,$AR$410="NON"),M426-BD426,IF(AND(AT426="",AR426&lt;&gt;S.CAL!$BJ$3,AR426&lt;&gt;S.CAL!$BJ$4,$AR$410="OUI"),X426-AI426,IF(AT426&lt;&gt;0,AT426,IF(OR(AR426=S.CAL!$BJ$3,AR426=S.CAL!$BJ$4),AR426,"")))),"")</f>
        <v>0</v>
      </c>
      <c r="AN426" s="1093"/>
      <c r="AO426" s="1094"/>
      <c r="AP426" s="666">
        <f>+IF(AND(AU426="",BB426="OUI",BH426="non",BI426="OUI"),AM426,IF(AND(AU426="",BB426="OUI",BH426="oui",BI426="NON"),AM426,IF(AND(AU426="",BB426="NON",BH426="oui",BI426="NON"),M426,IF(AND(AU426="",BB426="NON",BH426="non",BI426="OUI"),M426,IF(AND(AU426="",BB426="OUI",BH426="non",BI426="NON"),"ERREUR",IF(AND(AU426="",BB426="NON",BH426="non",BI426="NON"),AM426,IF(AND(AU426="",BB426="OUI",BH426="",BI426=""),AM426,IF(AND(AU426="",BB426="NON",BH426="",BI426="",AZ426="NON"),M426,IF(AND(AU426="",BH426="",AZ426="OUI",AR426=""),AM426,IF(AND(AU426="",BH426="",AZ426="NON",AR426="",AT426=""),M426,IF(AND(OR(AR426=S.CAL!$BJ$3,AR426=S.CAL!$BJ$4),(VLOOKUP($AM$410,base_nbre_sem_mensu,2,FALSE)=52)),EE426,IF(AND(OR(AR426=S.CAL!$BJ$3,AR426=S.CAL!$BJ$4),(VLOOKUP($AM$410,base_nbre_sem_mensu,2,FALSE)&lt;52)),AM426,IF(AND(AT426&lt;&gt;"",AU426=""),AT426,AU426)))))))))))))</f>
        <v>0</v>
      </c>
      <c r="AQ426" s="1378">
        <f t="shared" si="825"/>
        <v>0</v>
      </c>
      <c r="AR426" s="1098"/>
      <c r="AS426" s="1374"/>
      <c r="AT426" s="1101"/>
      <c r="AU426" s="813"/>
      <c r="AV426" s="1370">
        <f t="shared" si="806"/>
        <v>46305</v>
      </c>
      <c r="AW426" s="1374"/>
      <c r="AX426" s="511">
        <f t="shared" si="826"/>
        <v>46305</v>
      </c>
      <c r="AY426" s="523">
        <f t="shared" si="827"/>
        <v>0</v>
      </c>
      <c r="AZ426" s="520" t="s">
        <v>137</v>
      </c>
      <c r="BA426" s="516">
        <f t="shared" si="828"/>
        <v>0</v>
      </c>
      <c r="BB426" s="549" t="str">
        <f t="shared" si="807"/>
        <v/>
      </c>
      <c r="BC426" s="523">
        <f t="shared" si="829"/>
        <v>0</v>
      </c>
      <c r="BD426" s="523">
        <f t="shared" si="830"/>
        <v>0</v>
      </c>
      <c r="BE426" s="732"/>
      <c r="BF426" s="514" t="str">
        <f t="shared" si="808"/>
        <v/>
      </c>
      <c r="BG426" s="514" t="str">
        <f t="shared" si="831"/>
        <v>oui</v>
      </c>
      <c r="BH426" s="377" t="str">
        <f t="shared" si="809"/>
        <v/>
      </c>
      <c r="BI426" s="24" t="str">
        <f t="shared" si="810"/>
        <v/>
      </c>
      <c r="BJ426" s="1382"/>
      <c r="BK426" s="1382"/>
      <c r="BL426" s="1382"/>
      <c r="BM426" s="1382"/>
      <c r="BN426" s="1382"/>
      <c r="BO426" s="1382"/>
      <c r="BP426" s="1382"/>
      <c r="BQ426" s="1382"/>
      <c r="BR426" s="1383"/>
      <c r="BS426" s="1370">
        <f t="shared" si="777"/>
        <v>46305</v>
      </c>
      <c r="BT426" s="1384" t="str">
        <f t="shared" si="839"/>
        <v/>
      </c>
      <c r="BU426" s="1382"/>
      <c r="BV426" s="1382"/>
      <c r="BW426" s="1382"/>
      <c r="BX426" s="1382"/>
      <c r="BY426" s="1382"/>
      <c r="BZ426" s="1382"/>
      <c r="CA426" s="1382"/>
      <c r="CB426" s="1382"/>
      <c r="CD426" s="1386">
        <f t="shared" si="832"/>
        <v>0</v>
      </c>
      <c r="DC426" s="16" t="str">
        <f>Octobre!FC29</f>
        <v>non</v>
      </c>
      <c r="DG426" s="315">
        <f t="shared" si="833"/>
        <v>1</v>
      </c>
      <c r="DH426" s="129">
        <f t="shared" si="811"/>
        <v>10</v>
      </c>
      <c r="DI426" s="129">
        <f t="shared" si="834"/>
        <v>1</v>
      </c>
      <c r="DK426" s="16">
        <f>+IF(AND(Octobre!$DP$8&lt;&gt;52,AR426=S.CAL!$BJ$4),10,1)</f>
        <v>1</v>
      </c>
      <c r="DN426" s="16">
        <f t="shared" si="812"/>
        <v>1</v>
      </c>
      <c r="DU426" s="1274" t="str">
        <f t="shared" si="835"/>
        <v>Fiche infoA646305</v>
      </c>
      <c r="DV426" s="1362">
        <f t="shared" si="813"/>
        <v>0</v>
      </c>
      <c r="DW426" s="1363">
        <f t="shared" si="814"/>
        <v>0</v>
      </c>
      <c r="DX426" s="1363">
        <f t="shared" si="815"/>
        <v>0</v>
      </c>
      <c r="DY426" s="1363">
        <f t="shared" si="816"/>
        <v>0</v>
      </c>
      <c r="DZ426" s="1363">
        <f t="shared" si="817"/>
        <v>0</v>
      </c>
      <c r="EA426" s="1363">
        <f t="shared" si="818"/>
        <v>0</v>
      </c>
      <c r="EB426" s="1363">
        <f t="shared" si="819"/>
        <v>0</v>
      </c>
      <c r="EC426" s="1363">
        <f t="shared" si="820"/>
        <v>0</v>
      </c>
      <c r="ED426" s="1363">
        <f t="shared" si="836"/>
        <v>0</v>
      </c>
      <c r="EE426" s="1364">
        <f t="shared" si="837"/>
        <v>0</v>
      </c>
      <c r="EG426" s="16" t="str">
        <f t="shared" si="838"/>
        <v>412026</v>
      </c>
      <c r="EH426" s="16" t="str">
        <f t="shared" si="821"/>
        <v>Fiche infoA6</v>
      </c>
      <c r="EI426" s="16" t="str">
        <f t="shared" si="822"/>
        <v/>
      </c>
    </row>
    <row r="427" spans="1:139" x14ac:dyDescent="0.2">
      <c r="A427" s="24" t="str">
        <f>Octobre!BJ30</f>
        <v>Fiche infoA7</v>
      </c>
      <c r="B427" s="811">
        <f>Octobre!AB30</f>
        <v>46306</v>
      </c>
      <c r="C427" s="1371"/>
      <c r="D427" s="981">
        <f t="shared" si="778"/>
        <v>0</v>
      </c>
      <c r="E427" s="434">
        <f t="shared" si="779"/>
        <v>0</v>
      </c>
      <c r="F427" s="434">
        <f t="shared" si="780"/>
        <v>0</v>
      </c>
      <c r="G427" s="434">
        <f t="shared" si="781"/>
        <v>0</v>
      </c>
      <c r="H427" s="434">
        <f t="shared" si="782"/>
        <v>0</v>
      </c>
      <c r="I427" s="434">
        <f t="shared" si="783"/>
        <v>0</v>
      </c>
      <c r="J427" s="434">
        <f t="shared" si="784"/>
        <v>0</v>
      </c>
      <c r="K427" s="434">
        <f t="shared" si="785"/>
        <v>0</v>
      </c>
      <c r="L427" s="434">
        <f t="shared" si="823"/>
        <v>0</v>
      </c>
      <c r="M427" s="982">
        <f t="shared" si="824"/>
        <v>0</v>
      </c>
      <c r="O427" s="981">
        <f t="shared" si="840"/>
        <v>0</v>
      </c>
      <c r="P427" s="434">
        <f t="shared" si="841"/>
        <v>0</v>
      </c>
      <c r="Q427" s="434">
        <f t="shared" si="842"/>
        <v>0</v>
      </c>
      <c r="R427" s="434">
        <f t="shared" si="843"/>
        <v>0</v>
      </c>
      <c r="S427" s="434">
        <f t="shared" si="844"/>
        <v>0</v>
      </c>
      <c r="T427" s="434">
        <f t="shared" si="845"/>
        <v>0</v>
      </c>
      <c r="U427" s="434">
        <f t="shared" si="846"/>
        <v>0</v>
      </c>
      <c r="V427" s="434">
        <f t="shared" si="847"/>
        <v>0</v>
      </c>
      <c r="W427" s="434">
        <f t="shared" si="794"/>
        <v>0</v>
      </c>
      <c r="X427" s="982">
        <f t="shared" si="795"/>
        <v>0</v>
      </c>
      <c r="Y427" s="441"/>
      <c r="Z427" s="277">
        <f t="shared" si="796"/>
        <v>0</v>
      </c>
      <c r="AA427" s="277">
        <f t="shared" si="797"/>
        <v>0</v>
      </c>
      <c r="AB427" s="277">
        <f t="shared" si="798"/>
        <v>0</v>
      </c>
      <c r="AC427" s="277">
        <f t="shared" si="799"/>
        <v>0</v>
      </c>
      <c r="AD427" s="277">
        <f t="shared" si="800"/>
        <v>0</v>
      </c>
      <c r="AE427" s="277">
        <f t="shared" si="801"/>
        <v>0</v>
      </c>
      <c r="AF427" s="277">
        <f t="shared" si="802"/>
        <v>0</v>
      </c>
      <c r="AG427" s="277">
        <f t="shared" si="803"/>
        <v>0</v>
      </c>
      <c r="AI427" s="444">
        <f t="shared" si="848"/>
        <v>0</v>
      </c>
      <c r="AJ427" s="1090"/>
      <c r="AK427" s="489"/>
      <c r="AL427" s="811">
        <f t="shared" si="805"/>
        <v>46306</v>
      </c>
      <c r="AM427" s="666">
        <f>IFERROR(IF(AND(AT427="",AR427&lt;&gt;S.CAL!$BJ$3,AR427&lt;&gt;S.CAL!$BJ$4,$AR$410="NON"),M427-BD427,IF(AND(AT427="",AR427&lt;&gt;S.CAL!$BJ$3,AR427&lt;&gt;S.CAL!$BJ$4,$AR$410="OUI"),X427-AI427,IF(AT427&lt;&gt;0,AT427,IF(OR(AR427=S.CAL!$BJ$3,AR427=S.CAL!$BJ$4),AR427,"")))),"")</f>
        <v>0</v>
      </c>
      <c r="AN427" s="1093"/>
      <c r="AO427" s="1094"/>
      <c r="AP427" s="666">
        <f>+IF(AND(AU427="",BB427="OUI",BH427="non",BI427="OUI"),AM427,IF(AND(AU427="",BB427="OUI",BH427="oui",BI427="NON"),AM427,IF(AND(AU427="",BB427="NON",BH427="oui",BI427="NON"),M427,IF(AND(AU427="",BB427="NON",BH427="non",BI427="OUI"),M427,IF(AND(AU427="",BB427="OUI",BH427="non",BI427="NON"),"ERREUR",IF(AND(AU427="",BB427="NON",BH427="non",BI427="NON"),AM427,IF(AND(AU427="",BB427="OUI",BH427="",BI427=""),AM427,IF(AND(AU427="",BB427="NON",BH427="",BI427="",AZ427="NON"),M427,IF(AND(AU427="",BH427="",AZ427="OUI",AR427=""),AM427,IF(AND(AU427="",BH427="",AZ427="NON",AR427="",AT427=""),M427,IF(AND(OR(AR427=S.CAL!$BJ$3,AR427=S.CAL!$BJ$4),(VLOOKUP($AM$410,base_nbre_sem_mensu,2,FALSE)=52)),EE427,IF(AND(OR(AR427=S.CAL!$BJ$3,AR427=S.CAL!$BJ$4),(VLOOKUP($AM$410,base_nbre_sem_mensu,2,FALSE)&lt;52)),AM427,IF(AND(AT427&lt;&gt;"",AU427=""),AT427,AU427)))))))))))))</f>
        <v>0</v>
      </c>
      <c r="AQ427" s="498">
        <f t="shared" si="825"/>
        <v>0</v>
      </c>
      <c r="AR427" s="1098"/>
      <c r="AT427" s="1101"/>
      <c r="AU427" s="813"/>
      <c r="AV427" s="1370">
        <f t="shared" si="806"/>
        <v>46306</v>
      </c>
      <c r="AX427" s="511">
        <f t="shared" si="826"/>
        <v>46306</v>
      </c>
      <c r="AY427" s="523">
        <f t="shared" si="827"/>
        <v>0</v>
      </c>
      <c r="AZ427" s="520" t="s">
        <v>137</v>
      </c>
      <c r="BA427" s="516">
        <f t="shared" si="828"/>
        <v>0</v>
      </c>
      <c r="BB427" s="549" t="str">
        <f t="shared" si="807"/>
        <v/>
      </c>
      <c r="BC427" s="523">
        <f t="shared" si="829"/>
        <v>0</v>
      </c>
      <c r="BD427" s="523">
        <f t="shared" si="830"/>
        <v>0</v>
      </c>
      <c r="BE427" s="732"/>
      <c r="BF427" s="514" t="str">
        <f t="shared" si="808"/>
        <v/>
      </c>
      <c r="BG427" s="514" t="str">
        <f t="shared" si="831"/>
        <v>oui</v>
      </c>
      <c r="BH427" s="377" t="str">
        <f t="shared" si="809"/>
        <v/>
      </c>
      <c r="BI427" s="24" t="str">
        <f t="shared" si="810"/>
        <v/>
      </c>
      <c r="BJ427" s="1381"/>
      <c r="BK427" s="1381"/>
      <c r="BL427" s="1381"/>
      <c r="BM427" s="1381"/>
      <c r="BN427" s="1381"/>
      <c r="BO427" s="1381"/>
      <c r="BP427" s="1381"/>
      <c r="BQ427" s="1381"/>
      <c r="BS427" s="1370">
        <f t="shared" si="777"/>
        <v>46306</v>
      </c>
      <c r="BT427" s="27" t="str">
        <f t="shared" si="839"/>
        <v/>
      </c>
      <c r="BU427" s="1380"/>
      <c r="BV427" s="1380"/>
      <c r="BW427" s="1380"/>
      <c r="BX427" s="1380"/>
      <c r="BY427" s="1380"/>
      <c r="BZ427" s="1380"/>
      <c r="CA427" s="1380"/>
      <c r="CB427" s="1380"/>
      <c r="CD427" s="1386">
        <f t="shared" si="832"/>
        <v>0</v>
      </c>
      <c r="DC427" s="16" t="str">
        <f>Octobre!FC30</f>
        <v>non</v>
      </c>
      <c r="DG427" s="315">
        <f t="shared" si="833"/>
        <v>1</v>
      </c>
      <c r="DH427" s="129">
        <f t="shared" si="811"/>
        <v>10</v>
      </c>
      <c r="DI427" s="129">
        <f t="shared" si="834"/>
        <v>1</v>
      </c>
      <c r="DK427" s="16">
        <f>+IF(AND(Octobre!$DP$8&lt;&gt;52,AR427=S.CAL!$BJ$4),10,1)</f>
        <v>1</v>
      </c>
      <c r="DN427" s="16">
        <f t="shared" si="812"/>
        <v>1</v>
      </c>
      <c r="DU427" s="1274" t="str">
        <f t="shared" si="835"/>
        <v>Fiche infoA746306</v>
      </c>
      <c r="DV427" s="1362">
        <f t="shared" si="813"/>
        <v>0</v>
      </c>
      <c r="DW427" s="1363">
        <f t="shared" si="814"/>
        <v>0</v>
      </c>
      <c r="DX427" s="1363">
        <f t="shared" si="815"/>
        <v>0</v>
      </c>
      <c r="DY427" s="1363">
        <f t="shared" si="816"/>
        <v>0</v>
      </c>
      <c r="DZ427" s="1363">
        <f t="shared" si="817"/>
        <v>0</v>
      </c>
      <c r="EA427" s="1363">
        <f t="shared" si="818"/>
        <v>0</v>
      </c>
      <c r="EB427" s="1363">
        <f t="shared" si="819"/>
        <v>0</v>
      </c>
      <c r="EC427" s="1363">
        <f t="shared" si="820"/>
        <v>0</v>
      </c>
      <c r="ED427" s="1363">
        <f t="shared" si="836"/>
        <v>0</v>
      </c>
      <c r="EE427" s="1364">
        <f t="shared" si="837"/>
        <v>0</v>
      </c>
      <c r="EG427" s="16" t="str">
        <f t="shared" si="838"/>
        <v>412026</v>
      </c>
      <c r="EH427" s="16" t="str">
        <f t="shared" si="821"/>
        <v>Fiche infoA7</v>
      </c>
      <c r="EI427" s="16" t="str">
        <f t="shared" si="822"/>
        <v/>
      </c>
    </row>
    <row r="428" spans="1:139" x14ac:dyDescent="0.2">
      <c r="A428" s="1373" t="str">
        <f>Octobre!BJ31</f>
        <v>Fiche infoA1</v>
      </c>
      <c r="B428" s="811">
        <f>Octobre!AB31</f>
        <v>46307</v>
      </c>
      <c r="C428" s="1372"/>
      <c r="D428" s="981">
        <f t="shared" si="778"/>
        <v>0</v>
      </c>
      <c r="E428" s="434">
        <f t="shared" si="779"/>
        <v>0</v>
      </c>
      <c r="F428" s="434">
        <f t="shared" si="780"/>
        <v>0</v>
      </c>
      <c r="G428" s="434">
        <f t="shared" si="781"/>
        <v>0</v>
      </c>
      <c r="H428" s="434">
        <f t="shared" si="782"/>
        <v>0</v>
      </c>
      <c r="I428" s="434">
        <f t="shared" si="783"/>
        <v>0</v>
      </c>
      <c r="J428" s="434">
        <f t="shared" si="784"/>
        <v>0</v>
      </c>
      <c r="K428" s="434">
        <f t="shared" si="785"/>
        <v>0</v>
      </c>
      <c r="L428" s="434">
        <f t="shared" si="823"/>
        <v>0</v>
      </c>
      <c r="M428" s="982">
        <f t="shared" si="824"/>
        <v>0</v>
      </c>
      <c r="N428" s="1374"/>
      <c r="O428" s="981">
        <f t="shared" si="840"/>
        <v>0</v>
      </c>
      <c r="P428" s="434">
        <f t="shared" si="841"/>
        <v>0</v>
      </c>
      <c r="Q428" s="434">
        <f t="shared" si="842"/>
        <v>0</v>
      </c>
      <c r="R428" s="434">
        <f t="shared" si="843"/>
        <v>0</v>
      </c>
      <c r="S428" s="434">
        <f t="shared" si="844"/>
        <v>0</v>
      </c>
      <c r="T428" s="434">
        <f t="shared" si="845"/>
        <v>0</v>
      </c>
      <c r="U428" s="434">
        <f t="shared" si="846"/>
        <v>0</v>
      </c>
      <c r="V428" s="434">
        <f t="shared" si="847"/>
        <v>0</v>
      </c>
      <c r="W428" s="434">
        <f t="shared" si="794"/>
        <v>0</v>
      </c>
      <c r="X428" s="982">
        <f t="shared" si="795"/>
        <v>0</v>
      </c>
      <c r="Y428" s="1375"/>
      <c r="Z428" s="1376">
        <f t="shared" si="796"/>
        <v>0</v>
      </c>
      <c r="AA428" s="1376">
        <f t="shared" si="797"/>
        <v>0</v>
      </c>
      <c r="AB428" s="1376">
        <f t="shared" si="798"/>
        <v>0</v>
      </c>
      <c r="AC428" s="1376">
        <f t="shared" si="799"/>
        <v>0</v>
      </c>
      <c r="AD428" s="1376">
        <f t="shared" si="800"/>
        <v>0</v>
      </c>
      <c r="AE428" s="1376">
        <f t="shared" si="801"/>
        <v>0</v>
      </c>
      <c r="AF428" s="1376">
        <f t="shared" si="802"/>
        <v>0</v>
      </c>
      <c r="AG428" s="1376">
        <f t="shared" si="803"/>
        <v>0</v>
      </c>
      <c r="AH428" s="1374"/>
      <c r="AI428" s="444">
        <f t="shared" si="848"/>
        <v>0</v>
      </c>
      <c r="AJ428" s="1090"/>
      <c r="AK428" s="1377"/>
      <c r="AL428" s="811">
        <f t="shared" si="805"/>
        <v>46307</v>
      </c>
      <c r="AM428" s="666">
        <f>IFERROR(IF(AND(AT428="",AR428&lt;&gt;S.CAL!$BJ$3,AR428&lt;&gt;S.CAL!$BJ$4,$AR$410="NON"),M428-BD428,IF(AND(AT428="",AR428&lt;&gt;S.CAL!$BJ$3,AR428&lt;&gt;S.CAL!$BJ$4,$AR$410="OUI"),X428-AI428,IF(AT428&lt;&gt;0,AT428,IF(OR(AR428=S.CAL!$BJ$3,AR428=S.CAL!$BJ$4),AR428,"")))),"")</f>
        <v>0</v>
      </c>
      <c r="AN428" s="1093"/>
      <c r="AO428" s="1094"/>
      <c r="AP428" s="666">
        <f>+IF(AND(AU428="",BB428="OUI",BH428="non",BI428="OUI"),AM428,IF(AND(AU428="",BB428="OUI",BH428="oui",BI428="NON"),AM428,IF(AND(AU428="",BB428="NON",BH428="oui",BI428="NON"),M428,IF(AND(AU428="",BB428="NON",BH428="non",BI428="OUI"),M428,IF(AND(AU428="",BB428="OUI",BH428="non",BI428="NON"),"ERREUR",IF(AND(AU428="",BB428="NON",BH428="non",BI428="NON"),AM428,IF(AND(AU428="",BB428="OUI",BH428="",BI428=""),AM428,IF(AND(AU428="",BB428="NON",BH428="",BI428="",AZ428="NON"),M428,IF(AND(AU428="",BH428="",AZ428="OUI",AR428=""),AM428,IF(AND(AU428="",BH428="",AZ428="NON",AR428="",AT428=""),M428,IF(AND(OR(AR428=S.CAL!$BJ$3,AR428=S.CAL!$BJ$4),(VLOOKUP($AM$410,base_nbre_sem_mensu,2,FALSE)=52)),EE428,IF(AND(OR(AR428=S.CAL!$BJ$3,AR428=S.CAL!$BJ$4),(VLOOKUP($AM$410,base_nbre_sem_mensu,2,FALSE)&lt;52)),AM428,IF(AND(AT428&lt;&gt;"",AU428=""),AT428,AU428)))))))))))))</f>
        <v>0</v>
      </c>
      <c r="AQ428" s="1378">
        <f t="shared" si="825"/>
        <v>0</v>
      </c>
      <c r="AR428" s="1098"/>
      <c r="AS428" s="1374"/>
      <c r="AT428" s="1101"/>
      <c r="AU428" s="813"/>
      <c r="AV428" s="1370">
        <f t="shared" si="806"/>
        <v>46307</v>
      </c>
      <c r="AW428" s="1374"/>
      <c r="AX428" s="511">
        <f t="shared" si="826"/>
        <v>46307</v>
      </c>
      <c r="AY428" s="523">
        <f t="shared" si="827"/>
        <v>0</v>
      </c>
      <c r="AZ428" s="520" t="s">
        <v>137</v>
      </c>
      <c r="BA428" s="516">
        <f t="shared" si="828"/>
        <v>0</v>
      </c>
      <c r="BB428" s="549" t="str">
        <f t="shared" si="807"/>
        <v/>
      </c>
      <c r="BC428" s="523">
        <f t="shared" si="829"/>
        <v>0</v>
      </c>
      <c r="BD428" s="523">
        <f t="shared" si="830"/>
        <v>0</v>
      </c>
      <c r="BE428" s="732"/>
      <c r="BF428" s="514" t="str">
        <f t="shared" si="808"/>
        <v/>
      </c>
      <c r="BG428" s="514" t="str">
        <f t="shared" si="831"/>
        <v>oui</v>
      </c>
      <c r="BH428" s="377" t="str">
        <f t="shared" si="809"/>
        <v/>
      </c>
      <c r="BI428" s="24" t="str">
        <f t="shared" si="810"/>
        <v/>
      </c>
      <c r="BJ428" s="1382"/>
      <c r="BK428" s="1382"/>
      <c r="BL428" s="1382"/>
      <c r="BM428" s="1382"/>
      <c r="BN428" s="1382"/>
      <c r="BO428" s="1382"/>
      <c r="BP428" s="1382"/>
      <c r="BQ428" s="1382"/>
      <c r="BR428" s="1383"/>
      <c r="BS428" s="1370">
        <f t="shared" si="777"/>
        <v>46307</v>
      </c>
      <c r="BT428" s="1384">
        <f t="shared" si="839"/>
        <v>42</v>
      </c>
      <c r="BU428" s="1382"/>
      <c r="BV428" s="1382"/>
      <c r="BW428" s="1382"/>
      <c r="BX428" s="1382"/>
      <c r="BY428" s="1382"/>
      <c r="BZ428" s="1382"/>
      <c r="CA428" s="1382"/>
      <c r="CB428" s="1382"/>
      <c r="CD428" s="1386">
        <f t="shared" si="832"/>
        <v>0</v>
      </c>
      <c r="DC428" s="16" t="str">
        <f>Octobre!FC31</f>
        <v>non</v>
      </c>
      <c r="DG428" s="315">
        <f t="shared" si="833"/>
        <v>1</v>
      </c>
      <c r="DH428" s="129">
        <f t="shared" si="811"/>
        <v>10</v>
      </c>
      <c r="DI428" s="129">
        <f t="shared" si="834"/>
        <v>1</v>
      </c>
      <c r="DK428" s="16">
        <f>+IF(AND(Octobre!$DP$8&lt;&gt;52,AR428=S.CAL!$BJ$4),10,1)</f>
        <v>1</v>
      </c>
      <c r="DN428" s="16">
        <f t="shared" si="812"/>
        <v>1</v>
      </c>
      <c r="DU428" s="1274" t="str">
        <f t="shared" si="835"/>
        <v>Fiche infoA146307</v>
      </c>
      <c r="DV428" s="1362">
        <f t="shared" si="813"/>
        <v>0</v>
      </c>
      <c r="DW428" s="1363">
        <f t="shared" si="814"/>
        <v>0</v>
      </c>
      <c r="DX428" s="1363">
        <f t="shared" si="815"/>
        <v>0</v>
      </c>
      <c r="DY428" s="1363">
        <f t="shared" si="816"/>
        <v>0</v>
      </c>
      <c r="DZ428" s="1363">
        <f t="shared" si="817"/>
        <v>0</v>
      </c>
      <c r="EA428" s="1363">
        <f t="shared" si="818"/>
        <v>0</v>
      </c>
      <c r="EB428" s="1363">
        <f t="shared" si="819"/>
        <v>0</v>
      </c>
      <c r="EC428" s="1363">
        <f t="shared" si="820"/>
        <v>0</v>
      </c>
      <c r="ED428" s="1363">
        <f t="shared" si="836"/>
        <v>0</v>
      </c>
      <c r="EE428" s="1364">
        <f t="shared" si="837"/>
        <v>0</v>
      </c>
      <c r="EG428" s="16" t="str">
        <f t="shared" si="838"/>
        <v>422026</v>
      </c>
      <c r="EH428" s="16" t="str">
        <f t="shared" si="821"/>
        <v>Fiche infoA1</v>
      </c>
      <c r="EI428" s="16" t="str">
        <f t="shared" si="822"/>
        <v/>
      </c>
    </row>
    <row r="429" spans="1:139" x14ac:dyDescent="0.2">
      <c r="A429" s="24" t="str">
        <f>Octobre!BJ32</f>
        <v>Fiche infoA2</v>
      </c>
      <c r="B429" s="811">
        <f>Octobre!AB32</f>
        <v>46308</v>
      </c>
      <c r="C429" s="1371"/>
      <c r="D429" s="981">
        <f t="shared" si="778"/>
        <v>0</v>
      </c>
      <c r="E429" s="434">
        <f t="shared" si="779"/>
        <v>0</v>
      </c>
      <c r="F429" s="434">
        <f t="shared" si="780"/>
        <v>0</v>
      </c>
      <c r="G429" s="434">
        <f t="shared" si="781"/>
        <v>0</v>
      </c>
      <c r="H429" s="434">
        <f t="shared" si="782"/>
        <v>0</v>
      </c>
      <c r="I429" s="434">
        <f t="shared" si="783"/>
        <v>0</v>
      </c>
      <c r="J429" s="434">
        <f t="shared" si="784"/>
        <v>0</v>
      </c>
      <c r="K429" s="434">
        <f t="shared" si="785"/>
        <v>0</v>
      </c>
      <c r="L429" s="434">
        <f t="shared" si="823"/>
        <v>0</v>
      </c>
      <c r="M429" s="982">
        <f t="shared" si="824"/>
        <v>0</v>
      </c>
      <c r="O429" s="981">
        <f t="shared" si="840"/>
        <v>0</v>
      </c>
      <c r="P429" s="434">
        <f t="shared" si="841"/>
        <v>0</v>
      </c>
      <c r="Q429" s="434">
        <f t="shared" si="842"/>
        <v>0</v>
      </c>
      <c r="R429" s="434">
        <f t="shared" si="843"/>
        <v>0</v>
      </c>
      <c r="S429" s="434">
        <f t="shared" si="844"/>
        <v>0</v>
      </c>
      <c r="T429" s="434">
        <f t="shared" si="845"/>
        <v>0</v>
      </c>
      <c r="U429" s="434">
        <f t="shared" si="846"/>
        <v>0</v>
      </c>
      <c r="V429" s="434">
        <f t="shared" si="847"/>
        <v>0</v>
      </c>
      <c r="W429" s="434">
        <f t="shared" si="794"/>
        <v>0</v>
      </c>
      <c r="X429" s="982">
        <f t="shared" si="795"/>
        <v>0</v>
      </c>
      <c r="Y429" s="441"/>
      <c r="Z429" s="277">
        <f t="shared" si="796"/>
        <v>0</v>
      </c>
      <c r="AA429" s="277">
        <f t="shared" si="797"/>
        <v>0</v>
      </c>
      <c r="AB429" s="277">
        <f t="shared" si="798"/>
        <v>0</v>
      </c>
      <c r="AC429" s="277">
        <f t="shared" si="799"/>
        <v>0</v>
      </c>
      <c r="AD429" s="277">
        <f t="shared" si="800"/>
        <v>0</v>
      </c>
      <c r="AE429" s="277">
        <f t="shared" si="801"/>
        <v>0</v>
      </c>
      <c r="AF429" s="277">
        <f t="shared" si="802"/>
        <v>0</v>
      </c>
      <c r="AG429" s="277">
        <f t="shared" si="803"/>
        <v>0</v>
      </c>
      <c r="AI429" s="444">
        <f t="shared" si="848"/>
        <v>0</v>
      </c>
      <c r="AJ429" s="1090"/>
      <c r="AK429" s="489"/>
      <c r="AL429" s="811">
        <f t="shared" si="805"/>
        <v>46308</v>
      </c>
      <c r="AM429" s="666">
        <f>IFERROR(IF(AND(AT429="",AR429&lt;&gt;S.CAL!$BJ$3,AR429&lt;&gt;S.CAL!$BJ$4,$AR$410="NON"),M429-BD429,IF(AND(AT429="",AR429&lt;&gt;S.CAL!$BJ$3,AR429&lt;&gt;S.CAL!$BJ$4,$AR$410="OUI"),X429-AI429,IF(AT429&lt;&gt;0,AT429,IF(OR(AR429=S.CAL!$BJ$3,AR429=S.CAL!$BJ$4),AR429,"")))),"")</f>
        <v>0</v>
      </c>
      <c r="AN429" s="1093"/>
      <c r="AO429" s="1094"/>
      <c r="AP429" s="666">
        <f>+IF(AND(AU429="",BB429="OUI",BH429="non",BI429="OUI"),AM429,IF(AND(AU429="",BB429="OUI",BH429="oui",BI429="NON"),AM429,IF(AND(AU429="",BB429="NON",BH429="oui",BI429="NON"),M429,IF(AND(AU429="",BB429="NON",BH429="non",BI429="OUI"),M429,IF(AND(AU429="",BB429="OUI",BH429="non",BI429="NON"),"ERREUR",IF(AND(AU429="",BB429="NON",BH429="non",BI429="NON"),AM429,IF(AND(AU429="",BB429="OUI",BH429="",BI429=""),AM429,IF(AND(AU429="",BB429="NON",BH429="",BI429="",AZ429="NON"),M429,IF(AND(AU429="",BH429="",AZ429="OUI",AR429=""),AM429,IF(AND(AU429="",BH429="",AZ429="NON",AR429="",AT429=""),M429,IF(AND(OR(AR429=S.CAL!$BJ$3,AR429=S.CAL!$BJ$4),(VLOOKUP($AM$410,base_nbre_sem_mensu,2,FALSE)=52)),EE429,IF(AND(OR(AR429=S.CAL!$BJ$3,AR429=S.CAL!$BJ$4),(VLOOKUP($AM$410,base_nbre_sem_mensu,2,FALSE)&lt;52)),AM429,IF(AND(AT429&lt;&gt;"",AU429=""),AT429,AU429)))))))))))))</f>
        <v>0</v>
      </c>
      <c r="AQ429" s="498">
        <f t="shared" si="825"/>
        <v>0</v>
      </c>
      <c r="AR429" s="1098"/>
      <c r="AT429" s="1101"/>
      <c r="AU429" s="813"/>
      <c r="AV429" s="1370">
        <f t="shared" si="806"/>
        <v>46308</v>
      </c>
      <c r="AX429" s="511">
        <f t="shared" si="826"/>
        <v>46308</v>
      </c>
      <c r="AY429" s="523">
        <f t="shared" si="827"/>
        <v>0</v>
      </c>
      <c r="AZ429" s="520" t="s">
        <v>137</v>
      </c>
      <c r="BA429" s="516">
        <f t="shared" si="828"/>
        <v>0</v>
      </c>
      <c r="BB429" s="549" t="str">
        <f t="shared" si="807"/>
        <v/>
      </c>
      <c r="BC429" s="523">
        <f t="shared" si="829"/>
        <v>0</v>
      </c>
      <c r="BD429" s="523">
        <f t="shared" si="830"/>
        <v>0</v>
      </c>
      <c r="BE429" s="732"/>
      <c r="BF429" s="514" t="str">
        <f t="shared" si="808"/>
        <v/>
      </c>
      <c r="BG429" s="514" t="str">
        <f t="shared" si="831"/>
        <v>oui</v>
      </c>
      <c r="BH429" s="377" t="str">
        <f t="shared" si="809"/>
        <v/>
      </c>
      <c r="BI429" s="24" t="str">
        <f t="shared" si="810"/>
        <v/>
      </c>
      <c r="BJ429" s="1381"/>
      <c r="BK429" s="1381"/>
      <c r="BL429" s="1381"/>
      <c r="BM429" s="1381"/>
      <c r="BN429" s="1381"/>
      <c r="BO429" s="1381"/>
      <c r="BP429" s="1381"/>
      <c r="BQ429" s="1381"/>
      <c r="BS429" s="1370">
        <f t="shared" si="777"/>
        <v>46308</v>
      </c>
      <c r="BT429" s="27" t="str">
        <f t="shared" si="839"/>
        <v/>
      </c>
      <c r="BU429" s="1380"/>
      <c r="BV429" s="1380"/>
      <c r="BW429" s="1380"/>
      <c r="BX429" s="1380"/>
      <c r="BY429" s="1380"/>
      <c r="BZ429" s="1380"/>
      <c r="CA429" s="1380"/>
      <c r="CB429" s="1380"/>
      <c r="CD429" s="1386">
        <f t="shared" si="832"/>
        <v>0</v>
      </c>
      <c r="DC429" s="16" t="str">
        <f>Octobre!FC32</f>
        <v>non</v>
      </c>
      <c r="DG429" s="315">
        <f t="shared" si="833"/>
        <v>1</v>
      </c>
      <c r="DH429" s="129">
        <f t="shared" si="811"/>
        <v>10</v>
      </c>
      <c r="DI429" s="129">
        <f t="shared" si="834"/>
        <v>1</v>
      </c>
      <c r="DK429" s="16">
        <f>+IF(AND(Octobre!$DP$8&lt;&gt;52,AR429=S.CAL!$BJ$4),10,1)</f>
        <v>1</v>
      </c>
      <c r="DN429" s="16">
        <f t="shared" si="812"/>
        <v>1</v>
      </c>
      <c r="DU429" s="1274" t="str">
        <f t="shared" si="835"/>
        <v>Fiche infoA246308</v>
      </c>
      <c r="DV429" s="1362">
        <f t="shared" si="813"/>
        <v>0</v>
      </c>
      <c r="DW429" s="1363">
        <f t="shared" si="814"/>
        <v>0</v>
      </c>
      <c r="DX429" s="1363">
        <f t="shared" si="815"/>
        <v>0</v>
      </c>
      <c r="DY429" s="1363">
        <f t="shared" si="816"/>
        <v>0</v>
      </c>
      <c r="DZ429" s="1363">
        <f t="shared" si="817"/>
        <v>0</v>
      </c>
      <c r="EA429" s="1363">
        <f t="shared" si="818"/>
        <v>0</v>
      </c>
      <c r="EB429" s="1363">
        <f t="shared" si="819"/>
        <v>0</v>
      </c>
      <c r="EC429" s="1363">
        <f t="shared" si="820"/>
        <v>0</v>
      </c>
      <c r="ED429" s="1363">
        <f t="shared" si="836"/>
        <v>0</v>
      </c>
      <c r="EE429" s="1364">
        <f t="shared" si="837"/>
        <v>0</v>
      </c>
      <c r="EG429" s="16" t="str">
        <f t="shared" si="838"/>
        <v>422026</v>
      </c>
      <c r="EH429" s="16" t="str">
        <f t="shared" si="821"/>
        <v>Fiche infoA2</v>
      </c>
      <c r="EI429" s="16" t="str">
        <f t="shared" si="822"/>
        <v/>
      </c>
    </row>
    <row r="430" spans="1:139" x14ac:dyDescent="0.2">
      <c r="A430" s="1373" t="str">
        <f>Octobre!BJ33</f>
        <v>Fiche infoA3</v>
      </c>
      <c r="B430" s="811">
        <f>Octobre!AB33</f>
        <v>46309</v>
      </c>
      <c r="C430" s="1372"/>
      <c r="D430" s="981">
        <f t="shared" si="778"/>
        <v>0</v>
      </c>
      <c r="E430" s="434">
        <f t="shared" si="779"/>
        <v>0</v>
      </c>
      <c r="F430" s="434">
        <f t="shared" si="780"/>
        <v>0</v>
      </c>
      <c r="G430" s="434">
        <f t="shared" si="781"/>
        <v>0</v>
      </c>
      <c r="H430" s="434">
        <f t="shared" si="782"/>
        <v>0</v>
      </c>
      <c r="I430" s="434">
        <f t="shared" si="783"/>
        <v>0</v>
      </c>
      <c r="J430" s="434">
        <f t="shared" si="784"/>
        <v>0</v>
      </c>
      <c r="K430" s="434">
        <f t="shared" si="785"/>
        <v>0</v>
      </c>
      <c r="L430" s="434">
        <f t="shared" si="823"/>
        <v>0</v>
      </c>
      <c r="M430" s="982">
        <f t="shared" si="824"/>
        <v>0</v>
      </c>
      <c r="N430" s="1374"/>
      <c r="O430" s="981">
        <f t="shared" si="840"/>
        <v>0</v>
      </c>
      <c r="P430" s="434">
        <f t="shared" si="841"/>
        <v>0</v>
      </c>
      <c r="Q430" s="434">
        <f t="shared" si="842"/>
        <v>0</v>
      </c>
      <c r="R430" s="434">
        <f t="shared" si="843"/>
        <v>0</v>
      </c>
      <c r="S430" s="434">
        <f t="shared" si="844"/>
        <v>0</v>
      </c>
      <c r="T430" s="434">
        <f t="shared" si="845"/>
        <v>0</v>
      </c>
      <c r="U430" s="434">
        <f t="shared" si="846"/>
        <v>0</v>
      </c>
      <c r="V430" s="434">
        <f t="shared" si="847"/>
        <v>0</v>
      </c>
      <c r="W430" s="434">
        <f t="shared" si="794"/>
        <v>0</v>
      </c>
      <c r="X430" s="982">
        <f t="shared" si="795"/>
        <v>0</v>
      </c>
      <c r="Y430" s="1375"/>
      <c r="Z430" s="1376">
        <f t="shared" si="796"/>
        <v>0</v>
      </c>
      <c r="AA430" s="1376">
        <f t="shared" si="797"/>
        <v>0</v>
      </c>
      <c r="AB430" s="1376">
        <f t="shared" si="798"/>
        <v>0</v>
      </c>
      <c r="AC430" s="1376">
        <f t="shared" si="799"/>
        <v>0</v>
      </c>
      <c r="AD430" s="1376">
        <f t="shared" si="800"/>
        <v>0</v>
      </c>
      <c r="AE430" s="1376">
        <f t="shared" si="801"/>
        <v>0</v>
      </c>
      <c r="AF430" s="1376">
        <f t="shared" si="802"/>
        <v>0</v>
      </c>
      <c r="AG430" s="1376">
        <f t="shared" si="803"/>
        <v>0</v>
      </c>
      <c r="AH430" s="1374"/>
      <c r="AI430" s="444">
        <f t="shared" si="848"/>
        <v>0</v>
      </c>
      <c r="AJ430" s="1090"/>
      <c r="AK430" s="1377"/>
      <c r="AL430" s="811">
        <f t="shared" si="805"/>
        <v>46309</v>
      </c>
      <c r="AM430" s="666">
        <f>IFERROR(IF(AND(AT430="",AR430&lt;&gt;S.CAL!$BJ$3,AR430&lt;&gt;S.CAL!$BJ$4,$AR$410="NON"),M430-BD430,IF(AND(AT430="",AR430&lt;&gt;S.CAL!$BJ$3,AR430&lt;&gt;S.CAL!$BJ$4,$AR$410="OUI"),X430-AI430,IF(AT430&lt;&gt;0,AT430,IF(OR(AR430=S.CAL!$BJ$3,AR430=S.CAL!$BJ$4),AR430,"")))),"")</f>
        <v>0</v>
      </c>
      <c r="AN430" s="1093"/>
      <c r="AO430" s="1094"/>
      <c r="AP430" s="666">
        <f>+IF(AND(AU430="",BB430="OUI",BH430="non",BI430="OUI"),AM430,IF(AND(AU430="",BB430="OUI",BH430="oui",BI430="NON"),AM430,IF(AND(AU430="",BB430="NON",BH430="oui",BI430="NON"),M430,IF(AND(AU430="",BB430="NON",BH430="non",BI430="OUI"),M430,IF(AND(AU430="",BB430="OUI",BH430="non",BI430="NON"),"ERREUR",IF(AND(AU430="",BB430="NON",BH430="non",BI430="NON"),AM430,IF(AND(AU430="",BB430="OUI",BH430="",BI430=""),AM430,IF(AND(AU430="",BB430="NON",BH430="",BI430="",AZ430="NON"),M430,IF(AND(AU430="",BH430="",AZ430="OUI",AR430=""),AM430,IF(AND(AU430="",BH430="",AZ430="NON",AR430="",AT430=""),M430,IF(AND(OR(AR430=S.CAL!$BJ$3,AR430=S.CAL!$BJ$4),(VLOOKUP($AM$410,base_nbre_sem_mensu,2,FALSE)=52)),EE430,IF(AND(OR(AR430=S.CAL!$BJ$3,AR430=S.CAL!$BJ$4),(VLOOKUP($AM$410,base_nbre_sem_mensu,2,FALSE)&lt;52)),AM430,IF(AND(AT430&lt;&gt;"",AU430=""),AT430,AU430)))))))))))))</f>
        <v>0</v>
      </c>
      <c r="AQ430" s="1378">
        <f t="shared" si="825"/>
        <v>0</v>
      </c>
      <c r="AR430" s="1098"/>
      <c r="AS430" s="1374"/>
      <c r="AT430" s="1101"/>
      <c r="AU430" s="813"/>
      <c r="AV430" s="1370">
        <f t="shared" si="806"/>
        <v>46309</v>
      </c>
      <c r="AW430" s="1374"/>
      <c r="AX430" s="511">
        <f t="shared" si="826"/>
        <v>46309</v>
      </c>
      <c r="AY430" s="523">
        <f t="shared" si="827"/>
        <v>0</v>
      </c>
      <c r="AZ430" s="520" t="s">
        <v>137</v>
      </c>
      <c r="BA430" s="516">
        <f t="shared" si="828"/>
        <v>0</v>
      </c>
      <c r="BB430" s="549" t="str">
        <f t="shared" si="807"/>
        <v/>
      </c>
      <c r="BC430" s="523">
        <f t="shared" si="829"/>
        <v>0</v>
      </c>
      <c r="BD430" s="523">
        <f t="shared" si="830"/>
        <v>0</v>
      </c>
      <c r="BE430" s="732"/>
      <c r="BF430" s="514" t="str">
        <f t="shared" si="808"/>
        <v/>
      </c>
      <c r="BG430" s="514" t="str">
        <f t="shared" si="831"/>
        <v>oui</v>
      </c>
      <c r="BH430" s="377" t="str">
        <f t="shared" si="809"/>
        <v/>
      </c>
      <c r="BI430" s="24" t="str">
        <f t="shared" si="810"/>
        <v/>
      </c>
      <c r="BJ430" s="1382"/>
      <c r="BK430" s="1382"/>
      <c r="BL430" s="1382"/>
      <c r="BM430" s="1382"/>
      <c r="BN430" s="1382"/>
      <c r="BO430" s="1382"/>
      <c r="BP430" s="1382"/>
      <c r="BQ430" s="1382"/>
      <c r="BR430" s="1383"/>
      <c r="BS430" s="1370">
        <f t="shared" si="777"/>
        <v>46309</v>
      </c>
      <c r="BT430" s="1384" t="str">
        <f t="shared" si="839"/>
        <v/>
      </c>
      <c r="BU430" s="1382"/>
      <c r="BV430" s="1382"/>
      <c r="BW430" s="1382"/>
      <c r="BX430" s="1382"/>
      <c r="BY430" s="1382"/>
      <c r="BZ430" s="1382"/>
      <c r="CA430" s="1382"/>
      <c r="CB430" s="1382"/>
      <c r="CD430" s="1386">
        <f t="shared" si="832"/>
        <v>0</v>
      </c>
      <c r="DC430" s="16" t="str">
        <f>Octobre!FC33</f>
        <v>non</v>
      </c>
      <c r="DG430" s="315">
        <f t="shared" si="833"/>
        <v>1</v>
      </c>
      <c r="DH430" s="129">
        <f t="shared" si="811"/>
        <v>10</v>
      </c>
      <c r="DI430" s="129">
        <f t="shared" si="834"/>
        <v>1</v>
      </c>
      <c r="DK430" s="16">
        <f>+IF(AND(Octobre!$DP$8&lt;&gt;52,AR430=S.CAL!$BJ$4),10,1)</f>
        <v>1</v>
      </c>
      <c r="DN430" s="16">
        <f t="shared" si="812"/>
        <v>1</v>
      </c>
      <c r="DU430" s="1274" t="str">
        <f t="shared" si="835"/>
        <v>Fiche infoA346309</v>
      </c>
      <c r="DV430" s="1362">
        <f t="shared" si="813"/>
        <v>0</v>
      </c>
      <c r="DW430" s="1363">
        <f t="shared" si="814"/>
        <v>0</v>
      </c>
      <c r="DX430" s="1363">
        <f t="shared" si="815"/>
        <v>0</v>
      </c>
      <c r="DY430" s="1363">
        <f t="shared" si="816"/>
        <v>0</v>
      </c>
      <c r="DZ430" s="1363">
        <f t="shared" si="817"/>
        <v>0</v>
      </c>
      <c r="EA430" s="1363">
        <f t="shared" si="818"/>
        <v>0</v>
      </c>
      <c r="EB430" s="1363">
        <f t="shared" si="819"/>
        <v>0</v>
      </c>
      <c r="EC430" s="1363">
        <f t="shared" si="820"/>
        <v>0</v>
      </c>
      <c r="ED430" s="1363">
        <f t="shared" si="836"/>
        <v>0</v>
      </c>
      <c r="EE430" s="1364">
        <f t="shared" si="837"/>
        <v>0</v>
      </c>
      <c r="EG430" s="16" t="str">
        <f t="shared" si="838"/>
        <v>422026</v>
      </c>
      <c r="EH430" s="16" t="str">
        <f t="shared" si="821"/>
        <v>Fiche infoA3</v>
      </c>
      <c r="EI430" s="16" t="str">
        <f t="shared" si="822"/>
        <v/>
      </c>
    </row>
    <row r="431" spans="1:139" x14ac:dyDescent="0.2">
      <c r="A431" s="24" t="str">
        <f>Octobre!BJ34</f>
        <v>Fiche infoA4</v>
      </c>
      <c r="B431" s="811">
        <f>Octobre!AB34</f>
        <v>46310</v>
      </c>
      <c r="C431" s="1371"/>
      <c r="D431" s="981">
        <f t="shared" si="778"/>
        <v>0</v>
      </c>
      <c r="E431" s="434">
        <f t="shared" si="779"/>
        <v>0</v>
      </c>
      <c r="F431" s="434">
        <f t="shared" si="780"/>
        <v>0</v>
      </c>
      <c r="G431" s="434">
        <f t="shared" si="781"/>
        <v>0</v>
      </c>
      <c r="H431" s="434">
        <f t="shared" si="782"/>
        <v>0</v>
      </c>
      <c r="I431" s="434">
        <f t="shared" si="783"/>
        <v>0</v>
      </c>
      <c r="J431" s="434">
        <f t="shared" si="784"/>
        <v>0</v>
      </c>
      <c r="K431" s="434">
        <f t="shared" si="785"/>
        <v>0</v>
      </c>
      <c r="L431" s="434">
        <f t="shared" si="823"/>
        <v>0</v>
      </c>
      <c r="M431" s="982">
        <f t="shared" si="824"/>
        <v>0</v>
      </c>
      <c r="O431" s="981">
        <f t="shared" si="840"/>
        <v>0</v>
      </c>
      <c r="P431" s="434">
        <f t="shared" si="841"/>
        <v>0</v>
      </c>
      <c r="Q431" s="434">
        <f t="shared" si="842"/>
        <v>0</v>
      </c>
      <c r="R431" s="434">
        <f t="shared" si="843"/>
        <v>0</v>
      </c>
      <c r="S431" s="434">
        <f t="shared" si="844"/>
        <v>0</v>
      </c>
      <c r="T431" s="434">
        <f t="shared" si="845"/>
        <v>0</v>
      </c>
      <c r="U431" s="434">
        <f t="shared" si="846"/>
        <v>0</v>
      </c>
      <c r="V431" s="434">
        <f t="shared" si="847"/>
        <v>0</v>
      </c>
      <c r="W431" s="434">
        <f t="shared" si="794"/>
        <v>0</v>
      </c>
      <c r="X431" s="982">
        <f t="shared" si="795"/>
        <v>0</v>
      </c>
      <c r="Y431" s="441"/>
      <c r="Z431" s="277">
        <f t="shared" si="796"/>
        <v>0</v>
      </c>
      <c r="AA431" s="277">
        <f t="shared" si="797"/>
        <v>0</v>
      </c>
      <c r="AB431" s="277">
        <f t="shared" si="798"/>
        <v>0</v>
      </c>
      <c r="AC431" s="277">
        <f t="shared" si="799"/>
        <v>0</v>
      </c>
      <c r="AD431" s="277">
        <f t="shared" si="800"/>
        <v>0</v>
      </c>
      <c r="AE431" s="277">
        <f t="shared" si="801"/>
        <v>0</v>
      </c>
      <c r="AF431" s="277">
        <f t="shared" si="802"/>
        <v>0</v>
      </c>
      <c r="AG431" s="277">
        <f t="shared" si="803"/>
        <v>0</v>
      </c>
      <c r="AI431" s="444">
        <f t="shared" si="848"/>
        <v>0</v>
      </c>
      <c r="AJ431" s="1090"/>
      <c r="AK431" s="489"/>
      <c r="AL431" s="811">
        <f t="shared" si="805"/>
        <v>46310</v>
      </c>
      <c r="AM431" s="666">
        <f>IFERROR(IF(AND(AT431="",AR431&lt;&gt;S.CAL!$BJ$3,AR431&lt;&gt;S.CAL!$BJ$4,$AR$410="NON"),M431-BD431,IF(AND(AT431="",AR431&lt;&gt;S.CAL!$BJ$3,AR431&lt;&gt;S.CAL!$BJ$4,$AR$410="OUI"),X431-AI431,IF(AT431&lt;&gt;0,AT431,IF(OR(AR431=S.CAL!$BJ$3,AR431=S.CAL!$BJ$4),AR431,"")))),"")</f>
        <v>0</v>
      </c>
      <c r="AN431" s="1093"/>
      <c r="AO431" s="1094"/>
      <c r="AP431" s="666">
        <f>+IF(AND(AU431="",BB431="OUI",BH431="non",BI431="OUI"),AM431,IF(AND(AU431="",BB431="OUI",BH431="oui",BI431="NON"),AM431,IF(AND(AU431="",BB431="NON",BH431="oui",BI431="NON"),M431,IF(AND(AU431="",BB431="NON",BH431="non",BI431="OUI"),M431,IF(AND(AU431="",BB431="OUI",BH431="non",BI431="NON"),"ERREUR",IF(AND(AU431="",BB431="NON",BH431="non",BI431="NON"),AM431,IF(AND(AU431="",BB431="OUI",BH431="",BI431=""),AM431,IF(AND(AU431="",BB431="NON",BH431="",BI431="",AZ431="NON"),M431,IF(AND(AU431="",BH431="",AZ431="OUI",AR431=""),AM431,IF(AND(AU431="",BH431="",AZ431="NON",AR431="",AT431=""),M431,IF(AND(OR(AR431=S.CAL!$BJ$3,AR431=S.CAL!$BJ$4),(VLOOKUP($AM$410,base_nbre_sem_mensu,2,FALSE)=52)),EE431,IF(AND(OR(AR431=S.CAL!$BJ$3,AR431=S.CAL!$BJ$4),(VLOOKUP($AM$410,base_nbre_sem_mensu,2,FALSE)&lt;52)),AM431,IF(AND(AT431&lt;&gt;"",AU431=""),AT431,AU431)))))))))))))</f>
        <v>0</v>
      </c>
      <c r="AQ431" s="498">
        <f t="shared" si="825"/>
        <v>0</v>
      </c>
      <c r="AR431" s="1098"/>
      <c r="AT431" s="1101"/>
      <c r="AU431" s="813"/>
      <c r="AV431" s="1370">
        <f t="shared" si="806"/>
        <v>46310</v>
      </c>
      <c r="AX431" s="511">
        <f t="shared" si="826"/>
        <v>46310</v>
      </c>
      <c r="AY431" s="523">
        <f t="shared" si="827"/>
        <v>0</v>
      </c>
      <c r="AZ431" s="520" t="s">
        <v>137</v>
      </c>
      <c r="BA431" s="516">
        <f t="shared" si="828"/>
        <v>0</v>
      </c>
      <c r="BB431" s="549" t="str">
        <f t="shared" si="807"/>
        <v/>
      </c>
      <c r="BC431" s="523">
        <f t="shared" si="829"/>
        <v>0</v>
      </c>
      <c r="BD431" s="523">
        <f t="shared" si="830"/>
        <v>0</v>
      </c>
      <c r="BE431" s="732"/>
      <c r="BF431" s="514" t="str">
        <f t="shared" si="808"/>
        <v/>
      </c>
      <c r="BG431" s="514" t="str">
        <f t="shared" si="831"/>
        <v>oui</v>
      </c>
      <c r="BH431" s="377" t="str">
        <f t="shared" si="809"/>
        <v/>
      </c>
      <c r="BI431" s="24" t="str">
        <f t="shared" si="810"/>
        <v/>
      </c>
      <c r="BJ431" s="1381"/>
      <c r="BK431" s="1381"/>
      <c r="BL431" s="1381"/>
      <c r="BM431" s="1381"/>
      <c r="BN431" s="1381"/>
      <c r="BO431" s="1381"/>
      <c r="BP431" s="1381"/>
      <c r="BQ431" s="1381"/>
      <c r="BS431" s="1370">
        <f t="shared" si="777"/>
        <v>46310</v>
      </c>
      <c r="BT431" s="27" t="str">
        <f t="shared" si="839"/>
        <v/>
      </c>
      <c r="BU431" s="1380"/>
      <c r="BV431" s="1380"/>
      <c r="BW431" s="1380"/>
      <c r="BX431" s="1380"/>
      <c r="BY431" s="1380"/>
      <c r="BZ431" s="1380"/>
      <c r="CA431" s="1380"/>
      <c r="CB431" s="1380"/>
      <c r="CD431" s="1386">
        <f t="shared" si="832"/>
        <v>0</v>
      </c>
      <c r="DC431" s="16" t="str">
        <f>Octobre!FC34</f>
        <v>non</v>
      </c>
      <c r="DG431" s="315">
        <f t="shared" si="833"/>
        <v>1</v>
      </c>
      <c r="DH431" s="129">
        <f t="shared" si="811"/>
        <v>10</v>
      </c>
      <c r="DI431" s="129">
        <f t="shared" si="834"/>
        <v>1</v>
      </c>
      <c r="DK431" s="16">
        <f>+IF(AND(Octobre!$DP$8&lt;&gt;52,AR431=S.CAL!$BJ$4),10,1)</f>
        <v>1</v>
      </c>
      <c r="DN431" s="16">
        <f t="shared" si="812"/>
        <v>1</v>
      </c>
      <c r="DU431" s="1274" t="str">
        <f t="shared" si="835"/>
        <v>Fiche infoA446310</v>
      </c>
      <c r="DV431" s="1362">
        <f t="shared" si="813"/>
        <v>0</v>
      </c>
      <c r="DW431" s="1363">
        <f t="shared" si="814"/>
        <v>0</v>
      </c>
      <c r="DX431" s="1363">
        <f t="shared" si="815"/>
        <v>0</v>
      </c>
      <c r="DY431" s="1363">
        <f t="shared" si="816"/>
        <v>0</v>
      </c>
      <c r="DZ431" s="1363">
        <f t="shared" si="817"/>
        <v>0</v>
      </c>
      <c r="EA431" s="1363">
        <f t="shared" si="818"/>
        <v>0</v>
      </c>
      <c r="EB431" s="1363">
        <f t="shared" si="819"/>
        <v>0</v>
      </c>
      <c r="EC431" s="1363">
        <f t="shared" si="820"/>
        <v>0</v>
      </c>
      <c r="ED431" s="1363">
        <f t="shared" si="836"/>
        <v>0</v>
      </c>
      <c r="EE431" s="1364">
        <f t="shared" si="837"/>
        <v>0</v>
      </c>
      <c r="EG431" s="16" t="str">
        <f t="shared" si="838"/>
        <v>422026</v>
      </c>
      <c r="EH431" s="16" t="str">
        <f t="shared" si="821"/>
        <v>Fiche infoA4</v>
      </c>
      <c r="EI431" s="16" t="str">
        <f t="shared" si="822"/>
        <v/>
      </c>
    </row>
    <row r="432" spans="1:139" x14ac:dyDescent="0.2">
      <c r="A432" s="1373" t="str">
        <f>Octobre!BJ35</f>
        <v>Fiche infoA5</v>
      </c>
      <c r="B432" s="811">
        <f>Octobre!AB35</f>
        <v>46311</v>
      </c>
      <c r="C432" s="1372"/>
      <c r="D432" s="981">
        <f t="shared" si="778"/>
        <v>0</v>
      </c>
      <c r="E432" s="434">
        <f t="shared" si="779"/>
        <v>0</v>
      </c>
      <c r="F432" s="434">
        <f t="shared" si="780"/>
        <v>0</v>
      </c>
      <c r="G432" s="434">
        <f t="shared" si="781"/>
        <v>0</v>
      </c>
      <c r="H432" s="434">
        <f t="shared" si="782"/>
        <v>0</v>
      </c>
      <c r="I432" s="434">
        <f t="shared" si="783"/>
        <v>0</v>
      </c>
      <c r="J432" s="434">
        <f t="shared" si="784"/>
        <v>0</v>
      </c>
      <c r="K432" s="434">
        <f t="shared" si="785"/>
        <v>0</v>
      </c>
      <c r="L432" s="434">
        <f t="shared" si="823"/>
        <v>0</v>
      </c>
      <c r="M432" s="982">
        <f t="shared" si="824"/>
        <v>0</v>
      </c>
      <c r="N432" s="1374"/>
      <c r="O432" s="981">
        <f t="shared" si="840"/>
        <v>0</v>
      </c>
      <c r="P432" s="434">
        <f t="shared" si="841"/>
        <v>0</v>
      </c>
      <c r="Q432" s="434">
        <f t="shared" si="842"/>
        <v>0</v>
      </c>
      <c r="R432" s="434">
        <f t="shared" si="843"/>
        <v>0</v>
      </c>
      <c r="S432" s="434">
        <f t="shared" si="844"/>
        <v>0</v>
      </c>
      <c r="T432" s="434">
        <f t="shared" si="845"/>
        <v>0</v>
      </c>
      <c r="U432" s="434">
        <f t="shared" si="846"/>
        <v>0</v>
      </c>
      <c r="V432" s="434">
        <f t="shared" si="847"/>
        <v>0</v>
      </c>
      <c r="W432" s="434">
        <f t="shared" si="794"/>
        <v>0</v>
      </c>
      <c r="X432" s="982">
        <f t="shared" si="795"/>
        <v>0</v>
      </c>
      <c r="Y432" s="1375"/>
      <c r="Z432" s="1376">
        <f t="shared" si="796"/>
        <v>0</v>
      </c>
      <c r="AA432" s="1376">
        <f t="shared" si="797"/>
        <v>0</v>
      </c>
      <c r="AB432" s="1376">
        <f t="shared" si="798"/>
        <v>0</v>
      </c>
      <c r="AC432" s="1376">
        <f t="shared" si="799"/>
        <v>0</v>
      </c>
      <c r="AD432" s="1376">
        <f t="shared" si="800"/>
        <v>0</v>
      </c>
      <c r="AE432" s="1376">
        <f t="shared" si="801"/>
        <v>0</v>
      </c>
      <c r="AF432" s="1376">
        <f t="shared" si="802"/>
        <v>0</v>
      </c>
      <c r="AG432" s="1376">
        <f t="shared" si="803"/>
        <v>0</v>
      </c>
      <c r="AH432" s="1374"/>
      <c r="AI432" s="444">
        <f t="shared" si="848"/>
        <v>0</v>
      </c>
      <c r="AJ432" s="1090"/>
      <c r="AK432" s="1377"/>
      <c r="AL432" s="811">
        <f t="shared" si="805"/>
        <v>46311</v>
      </c>
      <c r="AM432" s="666">
        <f>IFERROR(IF(AND(AT432="",AR432&lt;&gt;S.CAL!$BJ$3,AR432&lt;&gt;S.CAL!$BJ$4,$AR$410="NON"),M432-BD432,IF(AND(AT432="",AR432&lt;&gt;S.CAL!$BJ$3,AR432&lt;&gt;S.CAL!$BJ$4,$AR$410="OUI"),X432-AI432,IF(AT432&lt;&gt;0,AT432,IF(OR(AR432=S.CAL!$BJ$3,AR432=S.CAL!$BJ$4),AR432,"")))),"")</f>
        <v>0</v>
      </c>
      <c r="AN432" s="1093"/>
      <c r="AO432" s="1094"/>
      <c r="AP432" s="666">
        <f>+IF(AND(AU432="",BB432="OUI",BH432="non",BI432="OUI"),AM432,IF(AND(AU432="",BB432="OUI",BH432="oui",BI432="NON"),AM432,IF(AND(AU432="",BB432="NON",BH432="oui",BI432="NON"),M432,IF(AND(AU432="",BB432="NON",BH432="non",BI432="OUI"),M432,IF(AND(AU432="",BB432="OUI",BH432="non",BI432="NON"),"ERREUR",IF(AND(AU432="",BB432="NON",BH432="non",BI432="NON"),AM432,IF(AND(AU432="",BB432="OUI",BH432="",BI432=""),AM432,IF(AND(AU432="",BB432="NON",BH432="",BI432="",AZ432="NON"),M432,IF(AND(AU432="",BH432="",AZ432="OUI",AR432=""),AM432,IF(AND(AU432="",BH432="",AZ432="NON",AR432="",AT432=""),M432,IF(AND(OR(AR432=S.CAL!$BJ$3,AR432=S.CAL!$BJ$4),(VLOOKUP($AM$410,base_nbre_sem_mensu,2,FALSE)=52)),EE432,IF(AND(OR(AR432=S.CAL!$BJ$3,AR432=S.CAL!$BJ$4),(VLOOKUP($AM$410,base_nbre_sem_mensu,2,FALSE)&lt;52)),AM432,IF(AND(AT432&lt;&gt;"",AU432=""),AT432,AU432)))))))))))))</f>
        <v>0</v>
      </c>
      <c r="AQ432" s="1378">
        <f t="shared" si="825"/>
        <v>0</v>
      </c>
      <c r="AR432" s="1098"/>
      <c r="AS432" s="1374"/>
      <c r="AT432" s="1101"/>
      <c r="AU432" s="813"/>
      <c r="AV432" s="1370">
        <f t="shared" si="806"/>
        <v>46311</v>
      </c>
      <c r="AW432" s="1374"/>
      <c r="AX432" s="511">
        <f t="shared" si="826"/>
        <v>46311</v>
      </c>
      <c r="AY432" s="523">
        <f t="shared" si="827"/>
        <v>0</v>
      </c>
      <c r="AZ432" s="520" t="s">
        <v>137</v>
      </c>
      <c r="BA432" s="516">
        <f t="shared" si="828"/>
        <v>0</v>
      </c>
      <c r="BB432" s="549" t="str">
        <f t="shared" si="807"/>
        <v/>
      </c>
      <c r="BC432" s="523">
        <f t="shared" si="829"/>
        <v>0</v>
      </c>
      <c r="BD432" s="523">
        <f t="shared" si="830"/>
        <v>0</v>
      </c>
      <c r="BE432" s="732"/>
      <c r="BF432" s="514" t="str">
        <f t="shared" si="808"/>
        <v/>
      </c>
      <c r="BG432" s="514" t="str">
        <f t="shared" si="831"/>
        <v>oui</v>
      </c>
      <c r="BH432" s="377" t="str">
        <f t="shared" si="809"/>
        <v/>
      </c>
      <c r="BI432" s="24" t="str">
        <f t="shared" si="810"/>
        <v/>
      </c>
      <c r="BJ432" s="1382"/>
      <c r="BK432" s="1382"/>
      <c r="BL432" s="1382"/>
      <c r="BM432" s="1382"/>
      <c r="BN432" s="1382"/>
      <c r="BO432" s="1382"/>
      <c r="BP432" s="1382"/>
      <c r="BQ432" s="1382"/>
      <c r="BR432" s="1383"/>
      <c r="BS432" s="1370">
        <f t="shared" si="777"/>
        <v>46311</v>
      </c>
      <c r="BT432" s="1384" t="str">
        <f t="shared" si="839"/>
        <v/>
      </c>
      <c r="BU432" s="1382"/>
      <c r="BV432" s="1382"/>
      <c r="BW432" s="1382"/>
      <c r="BX432" s="1382"/>
      <c r="BY432" s="1382"/>
      <c r="BZ432" s="1382"/>
      <c r="CA432" s="1382"/>
      <c r="CB432" s="1382"/>
      <c r="CD432" s="1386">
        <f t="shared" si="832"/>
        <v>0</v>
      </c>
      <c r="DC432" s="16" t="str">
        <f>Octobre!FC35</f>
        <v>non</v>
      </c>
      <c r="DG432" s="315">
        <f t="shared" si="833"/>
        <v>1</v>
      </c>
      <c r="DH432" s="129">
        <f t="shared" si="811"/>
        <v>10</v>
      </c>
      <c r="DI432" s="129">
        <f t="shared" si="834"/>
        <v>1</v>
      </c>
      <c r="DK432" s="16">
        <f>+IF(AND(Octobre!$DP$8&lt;&gt;52,AR432=S.CAL!$BJ$4),10,1)</f>
        <v>1</v>
      </c>
      <c r="DN432" s="16">
        <f t="shared" si="812"/>
        <v>1</v>
      </c>
      <c r="DU432" s="1274" t="str">
        <f t="shared" si="835"/>
        <v>Fiche infoA546311</v>
      </c>
      <c r="DV432" s="1362">
        <f t="shared" si="813"/>
        <v>0</v>
      </c>
      <c r="DW432" s="1363">
        <f t="shared" si="814"/>
        <v>0</v>
      </c>
      <c r="DX432" s="1363">
        <f t="shared" si="815"/>
        <v>0</v>
      </c>
      <c r="DY432" s="1363">
        <f t="shared" si="816"/>
        <v>0</v>
      </c>
      <c r="DZ432" s="1363">
        <f t="shared" si="817"/>
        <v>0</v>
      </c>
      <c r="EA432" s="1363">
        <f t="shared" si="818"/>
        <v>0</v>
      </c>
      <c r="EB432" s="1363">
        <f t="shared" si="819"/>
        <v>0</v>
      </c>
      <c r="EC432" s="1363">
        <f t="shared" si="820"/>
        <v>0</v>
      </c>
      <c r="ED432" s="1363">
        <f t="shared" si="836"/>
        <v>0</v>
      </c>
      <c r="EE432" s="1364">
        <f t="shared" si="837"/>
        <v>0</v>
      </c>
      <c r="EG432" s="16" t="str">
        <f t="shared" si="838"/>
        <v>422026</v>
      </c>
      <c r="EH432" s="16" t="str">
        <f t="shared" si="821"/>
        <v>Fiche infoA5</v>
      </c>
      <c r="EI432" s="16" t="str">
        <f t="shared" si="822"/>
        <v/>
      </c>
    </row>
    <row r="433" spans="1:139" x14ac:dyDescent="0.2">
      <c r="A433" s="24" t="str">
        <f>Octobre!BJ36</f>
        <v>Fiche infoA6</v>
      </c>
      <c r="B433" s="811">
        <f>Octobre!AB36</f>
        <v>46312</v>
      </c>
      <c r="C433" s="1371"/>
      <c r="D433" s="981">
        <f t="shared" si="778"/>
        <v>0</v>
      </c>
      <c r="E433" s="434">
        <f t="shared" si="779"/>
        <v>0</v>
      </c>
      <c r="F433" s="434">
        <f t="shared" si="780"/>
        <v>0</v>
      </c>
      <c r="G433" s="434">
        <f t="shared" si="781"/>
        <v>0</v>
      </c>
      <c r="H433" s="434">
        <f t="shared" si="782"/>
        <v>0</v>
      </c>
      <c r="I433" s="434">
        <f t="shared" si="783"/>
        <v>0</v>
      </c>
      <c r="J433" s="434">
        <f t="shared" si="784"/>
        <v>0</v>
      </c>
      <c r="K433" s="434">
        <f t="shared" si="785"/>
        <v>0</v>
      </c>
      <c r="L433" s="434">
        <f t="shared" si="823"/>
        <v>0</v>
      </c>
      <c r="M433" s="982">
        <f t="shared" si="824"/>
        <v>0</v>
      </c>
      <c r="O433" s="981">
        <f t="shared" si="840"/>
        <v>0</v>
      </c>
      <c r="P433" s="434">
        <f t="shared" si="841"/>
        <v>0</v>
      </c>
      <c r="Q433" s="434">
        <f t="shared" si="842"/>
        <v>0</v>
      </c>
      <c r="R433" s="434">
        <f t="shared" si="843"/>
        <v>0</v>
      </c>
      <c r="S433" s="434">
        <f t="shared" si="844"/>
        <v>0</v>
      </c>
      <c r="T433" s="434">
        <f t="shared" si="845"/>
        <v>0</v>
      </c>
      <c r="U433" s="434">
        <f t="shared" si="846"/>
        <v>0</v>
      </c>
      <c r="V433" s="434">
        <f t="shared" si="847"/>
        <v>0</v>
      </c>
      <c r="W433" s="434">
        <f t="shared" si="794"/>
        <v>0</v>
      </c>
      <c r="X433" s="982">
        <f t="shared" si="795"/>
        <v>0</v>
      </c>
      <c r="Y433" s="441"/>
      <c r="Z433" s="277">
        <f t="shared" si="796"/>
        <v>0</v>
      </c>
      <c r="AA433" s="277">
        <f t="shared" si="797"/>
        <v>0</v>
      </c>
      <c r="AB433" s="277">
        <f t="shared" si="798"/>
        <v>0</v>
      </c>
      <c r="AC433" s="277">
        <f t="shared" si="799"/>
        <v>0</v>
      </c>
      <c r="AD433" s="277">
        <f t="shared" si="800"/>
        <v>0</v>
      </c>
      <c r="AE433" s="277">
        <f t="shared" si="801"/>
        <v>0</v>
      </c>
      <c r="AF433" s="277">
        <f t="shared" si="802"/>
        <v>0</v>
      </c>
      <c r="AG433" s="277">
        <f t="shared" si="803"/>
        <v>0</v>
      </c>
      <c r="AI433" s="444">
        <f t="shared" si="848"/>
        <v>0</v>
      </c>
      <c r="AJ433" s="1090"/>
      <c r="AK433" s="489"/>
      <c r="AL433" s="811">
        <f t="shared" si="805"/>
        <v>46312</v>
      </c>
      <c r="AM433" s="666">
        <f>IFERROR(IF(AND(AT433="",AR433&lt;&gt;S.CAL!$BJ$3,AR433&lt;&gt;S.CAL!$BJ$4,$AR$410="NON"),M433-BD433,IF(AND(AT433="",AR433&lt;&gt;S.CAL!$BJ$3,AR433&lt;&gt;S.CAL!$BJ$4,$AR$410="OUI"),X433-AI433,IF(AT433&lt;&gt;0,AT433,IF(OR(AR433=S.CAL!$BJ$3,AR433=S.CAL!$BJ$4),AR433,"")))),"")</f>
        <v>0</v>
      </c>
      <c r="AN433" s="1093"/>
      <c r="AO433" s="1094"/>
      <c r="AP433" s="666">
        <f>+IF(AND(AU433="",BB433="OUI",BH433="non",BI433="OUI"),AM433,IF(AND(AU433="",BB433="OUI",BH433="oui",BI433="NON"),AM433,IF(AND(AU433="",BB433="NON",BH433="oui",BI433="NON"),M433,IF(AND(AU433="",BB433="NON",BH433="non",BI433="OUI"),M433,IF(AND(AU433="",BB433="OUI",BH433="non",BI433="NON"),"ERREUR",IF(AND(AU433="",BB433="NON",BH433="non",BI433="NON"),AM433,IF(AND(AU433="",BB433="OUI",BH433="",BI433=""),AM433,IF(AND(AU433="",BB433="NON",BH433="",BI433="",AZ433="NON"),M433,IF(AND(AU433="",BH433="",AZ433="OUI",AR433=""),AM433,IF(AND(AU433="",BH433="",AZ433="NON",AR433="",AT433=""),M433,IF(AND(OR(AR433=S.CAL!$BJ$3,AR433=S.CAL!$BJ$4),(VLOOKUP($AM$410,base_nbre_sem_mensu,2,FALSE)=52)),EE433,IF(AND(OR(AR433=S.CAL!$BJ$3,AR433=S.CAL!$BJ$4),(VLOOKUP($AM$410,base_nbre_sem_mensu,2,FALSE)&lt;52)),AM433,IF(AND(AT433&lt;&gt;"",AU433=""),AT433,AU433)))))))))))))</f>
        <v>0</v>
      </c>
      <c r="AQ433" s="498">
        <f t="shared" si="825"/>
        <v>0</v>
      </c>
      <c r="AR433" s="1098"/>
      <c r="AT433" s="1101"/>
      <c r="AU433" s="813"/>
      <c r="AV433" s="1370">
        <f t="shared" si="806"/>
        <v>46312</v>
      </c>
      <c r="AX433" s="511">
        <f t="shared" si="826"/>
        <v>46312</v>
      </c>
      <c r="AY433" s="523">
        <f t="shared" si="827"/>
        <v>0</v>
      </c>
      <c r="AZ433" s="520" t="s">
        <v>137</v>
      </c>
      <c r="BA433" s="516">
        <f t="shared" si="828"/>
        <v>0</v>
      </c>
      <c r="BB433" s="549" t="str">
        <f t="shared" si="807"/>
        <v/>
      </c>
      <c r="BC433" s="523">
        <f t="shared" si="829"/>
        <v>0</v>
      </c>
      <c r="BD433" s="523">
        <f t="shared" si="830"/>
        <v>0</v>
      </c>
      <c r="BE433" s="732"/>
      <c r="BF433" s="514" t="str">
        <f t="shared" si="808"/>
        <v/>
      </c>
      <c r="BG433" s="514" t="str">
        <f t="shared" si="831"/>
        <v>oui</v>
      </c>
      <c r="BH433" s="377" t="str">
        <f t="shared" si="809"/>
        <v/>
      </c>
      <c r="BI433" s="24" t="str">
        <f t="shared" si="810"/>
        <v/>
      </c>
      <c r="BJ433" s="1381"/>
      <c r="BK433" s="1381"/>
      <c r="BL433" s="1381"/>
      <c r="BM433" s="1381"/>
      <c r="BN433" s="1381"/>
      <c r="BO433" s="1381"/>
      <c r="BP433" s="1381"/>
      <c r="BQ433" s="1381"/>
      <c r="BS433" s="1370">
        <f t="shared" si="777"/>
        <v>46312</v>
      </c>
      <c r="BT433" s="27" t="str">
        <f t="shared" si="839"/>
        <v/>
      </c>
      <c r="BU433" s="1380"/>
      <c r="BV433" s="1380"/>
      <c r="BW433" s="1380"/>
      <c r="BX433" s="1380"/>
      <c r="BY433" s="1380"/>
      <c r="BZ433" s="1380"/>
      <c r="CA433" s="1380"/>
      <c r="CB433" s="1380"/>
      <c r="CD433" s="1386">
        <f t="shared" si="832"/>
        <v>0</v>
      </c>
      <c r="DC433" s="16" t="str">
        <f>Octobre!FC36</f>
        <v>non</v>
      </c>
      <c r="DG433" s="315">
        <f t="shared" si="833"/>
        <v>1</v>
      </c>
      <c r="DH433" s="129">
        <f t="shared" si="811"/>
        <v>10</v>
      </c>
      <c r="DI433" s="129">
        <f t="shared" si="834"/>
        <v>1</v>
      </c>
      <c r="DK433" s="16">
        <f>+IF(AND(Octobre!$DP$8&lt;&gt;52,AR433=S.CAL!$BJ$4),10,1)</f>
        <v>1</v>
      </c>
      <c r="DN433" s="16">
        <f t="shared" si="812"/>
        <v>1</v>
      </c>
      <c r="DU433" s="1274" t="str">
        <f t="shared" si="835"/>
        <v>Fiche infoA646312</v>
      </c>
      <c r="DV433" s="1362">
        <f t="shared" si="813"/>
        <v>0</v>
      </c>
      <c r="DW433" s="1363">
        <f t="shared" si="814"/>
        <v>0</v>
      </c>
      <c r="DX433" s="1363">
        <f t="shared" si="815"/>
        <v>0</v>
      </c>
      <c r="DY433" s="1363">
        <f t="shared" si="816"/>
        <v>0</v>
      </c>
      <c r="DZ433" s="1363">
        <f t="shared" si="817"/>
        <v>0</v>
      </c>
      <c r="EA433" s="1363">
        <f t="shared" si="818"/>
        <v>0</v>
      </c>
      <c r="EB433" s="1363">
        <f t="shared" si="819"/>
        <v>0</v>
      </c>
      <c r="EC433" s="1363">
        <f t="shared" si="820"/>
        <v>0</v>
      </c>
      <c r="ED433" s="1363">
        <f t="shared" si="836"/>
        <v>0</v>
      </c>
      <c r="EE433" s="1364">
        <f t="shared" si="837"/>
        <v>0</v>
      </c>
      <c r="EG433" s="16" t="str">
        <f t="shared" si="838"/>
        <v>422026</v>
      </c>
      <c r="EH433" s="16" t="str">
        <f t="shared" si="821"/>
        <v>Fiche infoA6</v>
      </c>
      <c r="EI433" s="16" t="str">
        <f t="shared" si="822"/>
        <v/>
      </c>
    </row>
    <row r="434" spans="1:139" x14ac:dyDescent="0.2">
      <c r="A434" s="1373" t="str">
        <f>Octobre!BJ37</f>
        <v>Fiche infoA7</v>
      </c>
      <c r="B434" s="811">
        <f>Octobre!AB37</f>
        <v>46313</v>
      </c>
      <c r="C434" s="1372"/>
      <c r="D434" s="981">
        <f t="shared" si="778"/>
        <v>0</v>
      </c>
      <c r="E434" s="434">
        <f t="shared" si="779"/>
        <v>0</v>
      </c>
      <c r="F434" s="434">
        <f t="shared" si="780"/>
        <v>0</v>
      </c>
      <c r="G434" s="434">
        <f t="shared" si="781"/>
        <v>0</v>
      </c>
      <c r="H434" s="434">
        <f t="shared" si="782"/>
        <v>0</v>
      </c>
      <c r="I434" s="434">
        <f t="shared" si="783"/>
        <v>0</v>
      </c>
      <c r="J434" s="434">
        <f t="shared" si="784"/>
        <v>0</v>
      </c>
      <c r="K434" s="434">
        <f t="shared" si="785"/>
        <v>0</v>
      </c>
      <c r="L434" s="434">
        <f t="shared" si="823"/>
        <v>0</v>
      </c>
      <c r="M434" s="982">
        <f t="shared" si="824"/>
        <v>0</v>
      </c>
      <c r="N434" s="1374"/>
      <c r="O434" s="981">
        <f t="shared" si="840"/>
        <v>0</v>
      </c>
      <c r="P434" s="434">
        <f t="shared" si="841"/>
        <v>0</v>
      </c>
      <c r="Q434" s="434">
        <f t="shared" si="842"/>
        <v>0</v>
      </c>
      <c r="R434" s="434">
        <f t="shared" si="843"/>
        <v>0</v>
      </c>
      <c r="S434" s="434">
        <f t="shared" si="844"/>
        <v>0</v>
      </c>
      <c r="T434" s="434">
        <f t="shared" si="845"/>
        <v>0</v>
      </c>
      <c r="U434" s="434">
        <f t="shared" si="846"/>
        <v>0</v>
      </c>
      <c r="V434" s="434">
        <f t="shared" si="847"/>
        <v>0</v>
      </c>
      <c r="W434" s="434">
        <f t="shared" si="794"/>
        <v>0</v>
      </c>
      <c r="X434" s="982">
        <f t="shared" si="795"/>
        <v>0</v>
      </c>
      <c r="Y434" s="1375"/>
      <c r="Z434" s="1376">
        <f t="shared" si="796"/>
        <v>0</v>
      </c>
      <c r="AA434" s="1376">
        <f t="shared" si="797"/>
        <v>0</v>
      </c>
      <c r="AB434" s="1376">
        <f t="shared" si="798"/>
        <v>0</v>
      </c>
      <c r="AC434" s="1376">
        <f t="shared" si="799"/>
        <v>0</v>
      </c>
      <c r="AD434" s="1376">
        <f t="shared" si="800"/>
        <v>0</v>
      </c>
      <c r="AE434" s="1376">
        <f t="shared" si="801"/>
        <v>0</v>
      </c>
      <c r="AF434" s="1376">
        <f t="shared" si="802"/>
        <v>0</v>
      </c>
      <c r="AG434" s="1376">
        <f t="shared" si="803"/>
        <v>0</v>
      </c>
      <c r="AH434" s="1374"/>
      <c r="AI434" s="444">
        <f t="shared" si="848"/>
        <v>0</v>
      </c>
      <c r="AJ434" s="1090"/>
      <c r="AK434" s="1377"/>
      <c r="AL434" s="811">
        <f t="shared" si="805"/>
        <v>46313</v>
      </c>
      <c r="AM434" s="666">
        <f>IFERROR(IF(AND(AT434="",AR434&lt;&gt;S.CAL!$BJ$3,AR434&lt;&gt;S.CAL!$BJ$4,$AR$410="NON"),M434-BD434,IF(AND(AT434="",AR434&lt;&gt;S.CAL!$BJ$3,AR434&lt;&gt;S.CAL!$BJ$4,$AR$410="OUI"),X434-AI434,IF(AT434&lt;&gt;0,AT434,IF(OR(AR434=S.CAL!$BJ$3,AR434=S.CAL!$BJ$4),AR434,"")))),"")</f>
        <v>0</v>
      </c>
      <c r="AN434" s="1093"/>
      <c r="AO434" s="1094"/>
      <c r="AP434" s="666">
        <f>+IF(AND(AU434="",BB434="OUI",BH434="non",BI434="OUI"),AM434,IF(AND(AU434="",BB434="OUI",BH434="oui",BI434="NON"),AM434,IF(AND(AU434="",BB434="NON",BH434="oui",BI434="NON"),M434,IF(AND(AU434="",BB434="NON",BH434="non",BI434="OUI"),M434,IF(AND(AU434="",BB434="OUI",BH434="non",BI434="NON"),"ERREUR",IF(AND(AU434="",BB434="NON",BH434="non",BI434="NON"),AM434,IF(AND(AU434="",BB434="OUI",BH434="",BI434=""),AM434,IF(AND(AU434="",BB434="NON",BH434="",BI434="",AZ434="NON"),M434,IF(AND(AU434="",BH434="",AZ434="OUI",AR434=""),AM434,IF(AND(AU434="",BH434="",AZ434="NON",AR434="",AT434=""),M434,IF(AND(OR(AR434=S.CAL!$BJ$3,AR434=S.CAL!$BJ$4),(VLOOKUP($AM$410,base_nbre_sem_mensu,2,FALSE)=52)),EE434,IF(AND(OR(AR434=S.CAL!$BJ$3,AR434=S.CAL!$BJ$4),(VLOOKUP($AM$410,base_nbre_sem_mensu,2,FALSE)&lt;52)),AM434,IF(AND(AT434&lt;&gt;"",AU434=""),AT434,AU434)))))))))))))</f>
        <v>0</v>
      </c>
      <c r="AQ434" s="1378">
        <f t="shared" si="825"/>
        <v>0</v>
      </c>
      <c r="AR434" s="1098"/>
      <c r="AS434" s="1374"/>
      <c r="AT434" s="1101"/>
      <c r="AU434" s="813"/>
      <c r="AV434" s="1370">
        <f t="shared" si="806"/>
        <v>46313</v>
      </c>
      <c r="AW434" s="1374"/>
      <c r="AX434" s="511">
        <f t="shared" si="826"/>
        <v>46313</v>
      </c>
      <c r="AY434" s="523">
        <f t="shared" si="827"/>
        <v>0</v>
      </c>
      <c r="AZ434" s="520" t="s">
        <v>137</v>
      </c>
      <c r="BA434" s="516">
        <f t="shared" si="828"/>
        <v>0</v>
      </c>
      <c r="BB434" s="549" t="str">
        <f t="shared" si="807"/>
        <v/>
      </c>
      <c r="BC434" s="523">
        <f t="shared" si="829"/>
        <v>0</v>
      </c>
      <c r="BD434" s="523">
        <f t="shared" si="830"/>
        <v>0</v>
      </c>
      <c r="BE434" s="732"/>
      <c r="BF434" s="514" t="str">
        <f t="shared" si="808"/>
        <v/>
      </c>
      <c r="BG434" s="514" t="str">
        <f t="shared" si="831"/>
        <v>oui</v>
      </c>
      <c r="BH434" s="377" t="str">
        <f t="shared" si="809"/>
        <v/>
      </c>
      <c r="BI434" s="24" t="str">
        <f t="shared" si="810"/>
        <v/>
      </c>
      <c r="BJ434" s="1382"/>
      <c r="BK434" s="1382"/>
      <c r="BL434" s="1382"/>
      <c r="BM434" s="1382"/>
      <c r="BN434" s="1382"/>
      <c r="BO434" s="1382"/>
      <c r="BP434" s="1382"/>
      <c r="BQ434" s="1382"/>
      <c r="BR434" s="1383"/>
      <c r="BS434" s="1370">
        <f t="shared" si="777"/>
        <v>46313</v>
      </c>
      <c r="BT434" s="1384" t="str">
        <f t="shared" si="839"/>
        <v/>
      </c>
      <c r="BU434" s="1382"/>
      <c r="BV434" s="1382"/>
      <c r="BW434" s="1382"/>
      <c r="BX434" s="1382"/>
      <c r="BY434" s="1382"/>
      <c r="BZ434" s="1382"/>
      <c r="CA434" s="1382"/>
      <c r="CB434" s="1382"/>
      <c r="CD434" s="1386">
        <f t="shared" si="832"/>
        <v>0</v>
      </c>
      <c r="DC434" s="16" t="str">
        <f>Octobre!FC37</f>
        <v>non</v>
      </c>
      <c r="DG434" s="315">
        <f t="shared" si="833"/>
        <v>1</v>
      </c>
      <c r="DH434" s="129">
        <f t="shared" si="811"/>
        <v>10</v>
      </c>
      <c r="DI434" s="129">
        <f t="shared" si="834"/>
        <v>1</v>
      </c>
      <c r="DK434" s="16">
        <f>+IF(AND(Octobre!$DP$8&lt;&gt;52,AR434=S.CAL!$BJ$4),10,1)</f>
        <v>1</v>
      </c>
      <c r="DN434" s="16">
        <f t="shared" si="812"/>
        <v>1</v>
      </c>
      <c r="DU434" s="1274" t="str">
        <f t="shared" si="835"/>
        <v>Fiche infoA746313</v>
      </c>
      <c r="DV434" s="1362">
        <f t="shared" si="813"/>
        <v>0</v>
      </c>
      <c r="DW434" s="1363">
        <f t="shared" si="814"/>
        <v>0</v>
      </c>
      <c r="DX434" s="1363">
        <f t="shared" si="815"/>
        <v>0</v>
      </c>
      <c r="DY434" s="1363">
        <f t="shared" si="816"/>
        <v>0</v>
      </c>
      <c r="DZ434" s="1363">
        <f t="shared" si="817"/>
        <v>0</v>
      </c>
      <c r="EA434" s="1363">
        <f t="shared" si="818"/>
        <v>0</v>
      </c>
      <c r="EB434" s="1363">
        <f t="shared" si="819"/>
        <v>0</v>
      </c>
      <c r="EC434" s="1363">
        <f t="shared" si="820"/>
        <v>0</v>
      </c>
      <c r="ED434" s="1363">
        <f t="shared" si="836"/>
        <v>0</v>
      </c>
      <c r="EE434" s="1364">
        <f t="shared" si="837"/>
        <v>0</v>
      </c>
      <c r="EG434" s="16" t="str">
        <f t="shared" si="838"/>
        <v>422026</v>
      </c>
      <c r="EH434" s="16" t="str">
        <f t="shared" si="821"/>
        <v>Fiche infoA7</v>
      </c>
      <c r="EI434" s="16" t="str">
        <f t="shared" si="822"/>
        <v/>
      </c>
    </row>
    <row r="435" spans="1:139" x14ac:dyDescent="0.2">
      <c r="A435" s="24" t="str">
        <f>Octobre!BJ38</f>
        <v>Fiche infoA1</v>
      </c>
      <c r="B435" s="811">
        <f>Octobre!AB38</f>
        <v>46314</v>
      </c>
      <c r="C435" s="1371"/>
      <c r="D435" s="981">
        <f t="shared" si="778"/>
        <v>0</v>
      </c>
      <c r="E435" s="434">
        <f t="shared" si="779"/>
        <v>0</v>
      </c>
      <c r="F435" s="434">
        <f t="shared" si="780"/>
        <v>0</v>
      </c>
      <c r="G435" s="434">
        <f t="shared" si="781"/>
        <v>0</v>
      </c>
      <c r="H435" s="434">
        <f t="shared" si="782"/>
        <v>0</v>
      </c>
      <c r="I435" s="434">
        <f t="shared" si="783"/>
        <v>0</v>
      </c>
      <c r="J435" s="434">
        <f t="shared" si="784"/>
        <v>0</v>
      </c>
      <c r="K435" s="434">
        <f t="shared" si="785"/>
        <v>0</v>
      </c>
      <c r="L435" s="434">
        <f t="shared" si="823"/>
        <v>0</v>
      </c>
      <c r="M435" s="982">
        <f t="shared" si="824"/>
        <v>0</v>
      </c>
      <c r="O435" s="981">
        <f t="shared" si="840"/>
        <v>0</v>
      </c>
      <c r="P435" s="434">
        <f t="shared" si="841"/>
        <v>0</v>
      </c>
      <c r="Q435" s="434">
        <f t="shared" si="842"/>
        <v>0</v>
      </c>
      <c r="R435" s="434">
        <f t="shared" si="843"/>
        <v>0</v>
      </c>
      <c r="S435" s="434">
        <f t="shared" si="844"/>
        <v>0</v>
      </c>
      <c r="T435" s="434">
        <f t="shared" si="845"/>
        <v>0</v>
      </c>
      <c r="U435" s="434">
        <f t="shared" si="846"/>
        <v>0</v>
      </c>
      <c r="V435" s="434">
        <f t="shared" si="847"/>
        <v>0</v>
      </c>
      <c r="W435" s="434">
        <f t="shared" si="794"/>
        <v>0</v>
      </c>
      <c r="X435" s="982">
        <f t="shared" si="795"/>
        <v>0</v>
      </c>
      <c r="Y435" s="441"/>
      <c r="Z435" s="277">
        <f t="shared" si="796"/>
        <v>0</v>
      </c>
      <c r="AA435" s="277">
        <f t="shared" si="797"/>
        <v>0</v>
      </c>
      <c r="AB435" s="277">
        <f t="shared" si="798"/>
        <v>0</v>
      </c>
      <c r="AC435" s="277">
        <f t="shared" si="799"/>
        <v>0</v>
      </c>
      <c r="AD435" s="277">
        <f t="shared" si="800"/>
        <v>0</v>
      </c>
      <c r="AE435" s="277">
        <f t="shared" si="801"/>
        <v>0</v>
      </c>
      <c r="AF435" s="277">
        <f t="shared" si="802"/>
        <v>0</v>
      </c>
      <c r="AG435" s="277">
        <f t="shared" si="803"/>
        <v>0</v>
      </c>
      <c r="AI435" s="444">
        <f t="shared" si="848"/>
        <v>0</v>
      </c>
      <c r="AJ435" s="1090"/>
      <c r="AK435" s="489"/>
      <c r="AL435" s="811">
        <f t="shared" si="805"/>
        <v>46314</v>
      </c>
      <c r="AM435" s="666">
        <f>IFERROR(IF(AND(AT435="",AR435&lt;&gt;S.CAL!$BJ$3,AR435&lt;&gt;S.CAL!$BJ$4,$AR$410="NON"),M435-BD435,IF(AND(AT435="",AR435&lt;&gt;S.CAL!$BJ$3,AR435&lt;&gt;S.CAL!$BJ$4,$AR$410="OUI"),X435-AI435,IF(AT435&lt;&gt;0,AT435,IF(OR(AR435=S.CAL!$BJ$3,AR435=S.CAL!$BJ$4),AR435,"")))),"")</f>
        <v>0</v>
      </c>
      <c r="AN435" s="1093"/>
      <c r="AO435" s="1094"/>
      <c r="AP435" s="666">
        <f>+IF(AND(AU435="",BB435="OUI",BH435="non",BI435="OUI"),AM435,IF(AND(AU435="",BB435="OUI",BH435="oui",BI435="NON"),AM435,IF(AND(AU435="",BB435="NON",BH435="oui",BI435="NON"),M435,IF(AND(AU435="",BB435="NON",BH435="non",BI435="OUI"),M435,IF(AND(AU435="",BB435="OUI",BH435="non",BI435="NON"),"ERREUR",IF(AND(AU435="",BB435="NON",BH435="non",BI435="NON"),AM435,IF(AND(AU435="",BB435="OUI",BH435="",BI435=""),AM435,IF(AND(AU435="",BB435="NON",BH435="",BI435="",AZ435="NON"),M435,IF(AND(AU435="",BH435="",AZ435="OUI",AR435=""),AM435,IF(AND(AU435="",BH435="",AZ435="NON",AR435="",AT435=""),M435,IF(AND(OR(AR435=S.CAL!$BJ$3,AR435=S.CAL!$BJ$4),(VLOOKUP($AM$410,base_nbre_sem_mensu,2,FALSE)=52)),EE435,IF(AND(OR(AR435=S.CAL!$BJ$3,AR435=S.CAL!$BJ$4),(VLOOKUP($AM$410,base_nbre_sem_mensu,2,FALSE)&lt;52)),AM435,IF(AND(AT435&lt;&gt;"",AU435=""),AT435,AU435)))))))))))))</f>
        <v>0</v>
      </c>
      <c r="AQ435" s="498">
        <f t="shared" si="825"/>
        <v>0</v>
      </c>
      <c r="AR435" s="1098"/>
      <c r="AT435" s="1101"/>
      <c r="AU435" s="813"/>
      <c r="AV435" s="1370">
        <f t="shared" si="806"/>
        <v>46314</v>
      </c>
      <c r="AX435" s="511">
        <f t="shared" si="826"/>
        <v>46314</v>
      </c>
      <c r="AY435" s="523">
        <f t="shared" si="827"/>
        <v>0</v>
      </c>
      <c r="AZ435" s="520" t="s">
        <v>137</v>
      </c>
      <c r="BA435" s="516">
        <f t="shared" si="828"/>
        <v>0</v>
      </c>
      <c r="BB435" s="549" t="str">
        <f t="shared" si="807"/>
        <v/>
      </c>
      <c r="BC435" s="523">
        <f t="shared" si="829"/>
        <v>0</v>
      </c>
      <c r="BD435" s="523">
        <f t="shared" si="830"/>
        <v>0</v>
      </c>
      <c r="BE435" s="732"/>
      <c r="BF435" s="514" t="str">
        <f t="shared" si="808"/>
        <v/>
      </c>
      <c r="BG435" s="514" t="str">
        <f t="shared" si="831"/>
        <v>oui</v>
      </c>
      <c r="BH435" s="377" t="str">
        <f t="shared" si="809"/>
        <v/>
      </c>
      <c r="BI435" s="24" t="str">
        <f t="shared" si="810"/>
        <v/>
      </c>
      <c r="BJ435" s="1381"/>
      <c r="BK435" s="1381"/>
      <c r="BL435" s="1381"/>
      <c r="BM435" s="1381"/>
      <c r="BN435" s="1381"/>
      <c r="BO435" s="1381"/>
      <c r="BP435" s="1381"/>
      <c r="BQ435" s="1381"/>
      <c r="BS435" s="1370">
        <f t="shared" si="777"/>
        <v>46314</v>
      </c>
      <c r="BT435" s="27">
        <f t="shared" si="839"/>
        <v>43</v>
      </c>
      <c r="BU435" s="1380"/>
      <c r="BV435" s="1380"/>
      <c r="BW435" s="1380"/>
      <c r="BX435" s="1380"/>
      <c r="BY435" s="1380"/>
      <c r="BZ435" s="1380"/>
      <c r="CA435" s="1380"/>
      <c r="CB435" s="1380"/>
      <c r="CD435" s="1386">
        <f t="shared" si="832"/>
        <v>0</v>
      </c>
      <c r="DC435" s="16" t="str">
        <f>Octobre!FC38</f>
        <v>non</v>
      </c>
      <c r="DG435" s="315">
        <f t="shared" si="833"/>
        <v>1</v>
      </c>
      <c r="DH435" s="129">
        <f t="shared" si="811"/>
        <v>10</v>
      </c>
      <c r="DI435" s="129">
        <f t="shared" si="834"/>
        <v>1</v>
      </c>
      <c r="DK435" s="16">
        <f>+IF(AND(Octobre!$DP$8&lt;&gt;52,AR435=S.CAL!$BJ$4),10,1)</f>
        <v>1</v>
      </c>
      <c r="DN435" s="16">
        <f t="shared" si="812"/>
        <v>1</v>
      </c>
      <c r="DU435" s="1274" t="str">
        <f t="shared" si="835"/>
        <v>Fiche infoA146314</v>
      </c>
      <c r="DV435" s="1362">
        <f t="shared" si="813"/>
        <v>0</v>
      </c>
      <c r="DW435" s="1363">
        <f t="shared" si="814"/>
        <v>0</v>
      </c>
      <c r="DX435" s="1363">
        <f t="shared" si="815"/>
        <v>0</v>
      </c>
      <c r="DY435" s="1363">
        <f t="shared" si="816"/>
        <v>0</v>
      </c>
      <c r="DZ435" s="1363">
        <f t="shared" si="817"/>
        <v>0</v>
      </c>
      <c r="EA435" s="1363">
        <f t="shared" si="818"/>
        <v>0</v>
      </c>
      <c r="EB435" s="1363">
        <f t="shared" si="819"/>
        <v>0</v>
      </c>
      <c r="EC435" s="1363">
        <f t="shared" si="820"/>
        <v>0</v>
      </c>
      <c r="ED435" s="1363">
        <f t="shared" si="836"/>
        <v>0</v>
      </c>
      <c r="EE435" s="1364">
        <f t="shared" si="837"/>
        <v>0</v>
      </c>
      <c r="EG435" s="16" t="str">
        <f t="shared" si="838"/>
        <v>432026</v>
      </c>
      <c r="EH435" s="16" t="str">
        <f t="shared" si="821"/>
        <v>Fiche infoA1</v>
      </c>
      <c r="EI435" s="16" t="str">
        <f t="shared" si="822"/>
        <v/>
      </c>
    </row>
    <row r="436" spans="1:139" x14ac:dyDescent="0.2">
      <c r="A436" s="1373" t="str">
        <f>Octobre!BJ39</f>
        <v>Fiche infoA2</v>
      </c>
      <c r="B436" s="811">
        <f>Octobre!AB39</f>
        <v>46315</v>
      </c>
      <c r="C436" s="1372"/>
      <c r="D436" s="981">
        <f t="shared" si="778"/>
        <v>0</v>
      </c>
      <c r="E436" s="434">
        <f t="shared" si="779"/>
        <v>0</v>
      </c>
      <c r="F436" s="434">
        <f t="shared" si="780"/>
        <v>0</v>
      </c>
      <c r="G436" s="434">
        <f t="shared" si="781"/>
        <v>0</v>
      </c>
      <c r="H436" s="434">
        <f t="shared" si="782"/>
        <v>0</v>
      </c>
      <c r="I436" s="434">
        <f t="shared" si="783"/>
        <v>0</v>
      </c>
      <c r="J436" s="434">
        <f t="shared" si="784"/>
        <v>0</v>
      </c>
      <c r="K436" s="434">
        <f t="shared" si="785"/>
        <v>0</v>
      </c>
      <c r="L436" s="434">
        <f t="shared" si="823"/>
        <v>0</v>
      </c>
      <c r="M436" s="982">
        <f t="shared" si="824"/>
        <v>0</v>
      </c>
      <c r="N436" s="1374"/>
      <c r="O436" s="981">
        <f t="shared" si="840"/>
        <v>0</v>
      </c>
      <c r="P436" s="434">
        <f t="shared" si="841"/>
        <v>0</v>
      </c>
      <c r="Q436" s="434">
        <f t="shared" si="842"/>
        <v>0</v>
      </c>
      <c r="R436" s="434">
        <f t="shared" si="843"/>
        <v>0</v>
      </c>
      <c r="S436" s="434">
        <f t="shared" si="844"/>
        <v>0</v>
      </c>
      <c r="T436" s="434">
        <f t="shared" si="845"/>
        <v>0</v>
      </c>
      <c r="U436" s="434">
        <f t="shared" si="846"/>
        <v>0</v>
      </c>
      <c r="V436" s="434">
        <f t="shared" si="847"/>
        <v>0</v>
      </c>
      <c r="W436" s="434">
        <f t="shared" si="794"/>
        <v>0</v>
      </c>
      <c r="X436" s="982">
        <f t="shared" si="795"/>
        <v>0</v>
      </c>
      <c r="Y436" s="1375"/>
      <c r="Z436" s="1376">
        <f t="shared" si="796"/>
        <v>0</v>
      </c>
      <c r="AA436" s="1376">
        <f t="shared" si="797"/>
        <v>0</v>
      </c>
      <c r="AB436" s="1376">
        <f t="shared" si="798"/>
        <v>0</v>
      </c>
      <c r="AC436" s="1376">
        <f t="shared" si="799"/>
        <v>0</v>
      </c>
      <c r="AD436" s="1376">
        <f t="shared" si="800"/>
        <v>0</v>
      </c>
      <c r="AE436" s="1376">
        <f t="shared" si="801"/>
        <v>0</v>
      </c>
      <c r="AF436" s="1376">
        <f t="shared" si="802"/>
        <v>0</v>
      </c>
      <c r="AG436" s="1376">
        <f t="shared" si="803"/>
        <v>0</v>
      </c>
      <c r="AH436" s="1374"/>
      <c r="AI436" s="444">
        <f t="shared" si="848"/>
        <v>0</v>
      </c>
      <c r="AJ436" s="1090"/>
      <c r="AK436" s="1377"/>
      <c r="AL436" s="811">
        <f t="shared" si="805"/>
        <v>46315</v>
      </c>
      <c r="AM436" s="666">
        <f>IFERROR(IF(AND(AT436="",AR436&lt;&gt;S.CAL!$BJ$3,AR436&lt;&gt;S.CAL!$BJ$4,$AR$410="NON"),M436-BD436,IF(AND(AT436="",AR436&lt;&gt;S.CAL!$BJ$3,AR436&lt;&gt;S.CAL!$BJ$4,$AR$410="OUI"),X436-AI436,IF(AT436&lt;&gt;0,AT436,IF(OR(AR436=S.CAL!$BJ$3,AR436=S.CAL!$BJ$4),AR436,"")))),"")</f>
        <v>0</v>
      </c>
      <c r="AN436" s="1093"/>
      <c r="AO436" s="1094"/>
      <c r="AP436" s="666">
        <f>+IF(AND(AU436="",BB436="OUI",BH436="non",BI436="OUI"),AM436,IF(AND(AU436="",BB436="OUI",BH436="oui",BI436="NON"),AM436,IF(AND(AU436="",BB436="NON",BH436="oui",BI436="NON"),M436,IF(AND(AU436="",BB436="NON",BH436="non",BI436="OUI"),M436,IF(AND(AU436="",BB436="OUI",BH436="non",BI436="NON"),"ERREUR",IF(AND(AU436="",BB436="NON",BH436="non",BI436="NON"),AM436,IF(AND(AU436="",BB436="OUI",BH436="",BI436=""),AM436,IF(AND(AU436="",BB436="NON",BH436="",BI436="",AZ436="NON"),M436,IF(AND(AU436="",BH436="",AZ436="OUI",AR436=""),AM436,IF(AND(AU436="",BH436="",AZ436="NON",AR436="",AT436=""),M436,IF(AND(OR(AR436=S.CAL!$BJ$3,AR436=S.CAL!$BJ$4),(VLOOKUP($AM$410,base_nbre_sem_mensu,2,FALSE)=52)),EE436,IF(AND(OR(AR436=S.CAL!$BJ$3,AR436=S.CAL!$BJ$4),(VLOOKUP($AM$410,base_nbre_sem_mensu,2,FALSE)&lt;52)),AM436,IF(AND(AT436&lt;&gt;"",AU436=""),AT436,AU436)))))))))))))</f>
        <v>0</v>
      </c>
      <c r="AQ436" s="1378">
        <f t="shared" si="825"/>
        <v>0</v>
      </c>
      <c r="AR436" s="1098"/>
      <c r="AS436" s="1374"/>
      <c r="AT436" s="1101"/>
      <c r="AU436" s="813"/>
      <c r="AV436" s="1370">
        <f t="shared" si="806"/>
        <v>46315</v>
      </c>
      <c r="AW436" s="1374"/>
      <c r="AX436" s="511">
        <f t="shared" si="826"/>
        <v>46315</v>
      </c>
      <c r="AY436" s="523">
        <f t="shared" si="827"/>
        <v>0</v>
      </c>
      <c r="AZ436" s="520" t="s">
        <v>137</v>
      </c>
      <c r="BA436" s="516">
        <f t="shared" si="828"/>
        <v>0</v>
      </c>
      <c r="BB436" s="549" t="str">
        <f t="shared" si="807"/>
        <v/>
      </c>
      <c r="BC436" s="523">
        <f t="shared" si="829"/>
        <v>0</v>
      </c>
      <c r="BD436" s="523">
        <f t="shared" si="830"/>
        <v>0</v>
      </c>
      <c r="BE436" s="732"/>
      <c r="BF436" s="514" t="str">
        <f t="shared" si="808"/>
        <v/>
      </c>
      <c r="BG436" s="514" t="str">
        <f t="shared" si="831"/>
        <v>oui</v>
      </c>
      <c r="BH436" s="377" t="str">
        <f t="shared" si="809"/>
        <v/>
      </c>
      <c r="BI436" s="24" t="str">
        <f t="shared" si="810"/>
        <v/>
      </c>
      <c r="BJ436" s="1382"/>
      <c r="BK436" s="1382"/>
      <c r="BL436" s="1382"/>
      <c r="BM436" s="1382"/>
      <c r="BN436" s="1382"/>
      <c r="BO436" s="1382"/>
      <c r="BP436" s="1382"/>
      <c r="BQ436" s="1382"/>
      <c r="BR436" s="1383"/>
      <c r="BS436" s="1370">
        <f t="shared" si="777"/>
        <v>46315</v>
      </c>
      <c r="BT436" s="1384" t="str">
        <f t="shared" si="839"/>
        <v/>
      </c>
      <c r="BU436" s="1382"/>
      <c r="BV436" s="1382"/>
      <c r="BW436" s="1382"/>
      <c r="BX436" s="1382"/>
      <c r="BY436" s="1382"/>
      <c r="BZ436" s="1382"/>
      <c r="CA436" s="1382"/>
      <c r="CB436" s="1382"/>
      <c r="CD436" s="1386">
        <f t="shared" si="832"/>
        <v>0</v>
      </c>
      <c r="DC436" s="16" t="str">
        <f>Octobre!FC39</f>
        <v>non</v>
      </c>
      <c r="DG436" s="315">
        <f t="shared" si="833"/>
        <v>1</v>
      </c>
      <c r="DH436" s="129">
        <f t="shared" si="811"/>
        <v>10</v>
      </c>
      <c r="DI436" s="129">
        <f t="shared" si="834"/>
        <v>1</v>
      </c>
      <c r="DK436" s="16">
        <f>+IF(AND(Octobre!$DP$8&lt;&gt;52,AR436=S.CAL!$BJ$4),10,1)</f>
        <v>1</v>
      </c>
      <c r="DN436" s="16">
        <f t="shared" si="812"/>
        <v>1</v>
      </c>
      <c r="DU436" s="1274" t="str">
        <f t="shared" si="835"/>
        <v>Fiche infoA246315</v>
      </c>
      <c r="DV436" s="1362">
        <f t="shared" si="813"/>
        <v>0</v>
      </c>
      <c r="DW436" s="1363">
        <f t="shared" si="814"/>
        <v>0</v>
      </c>
      <c r="DX436" s="1363">
        <f t="shared" si="815"/>
        <v>0</v>
      </c>
      <c r="DY436" s="1363">
        <f t="shared" si="816"/>
        <v>0</v>
      </c>
      <c r="DZ436" s="1363">
        <f t="shared" si="817"/>
        <v>0</v>
      </c>
      <c r="EA436" s="1363">
        <f t="shared" si="818"/>
        <v>0</v>
      </c>
      <c r="EB436" s="1363">
        <f t="shared" si="819"/>
        <v>0</v>
      </c>
      <c r="EC436" s="1363">
        <f t="shared" si="820"/>
        <v>0</v>
      </c>
      <c r="ED436" s="1363">
        <f t="shared" si="836"/>
        <v>0</v>
      </c>
      <c r="EE436" s="1364">
        <f t="shared" si="837"/>
        <v>0</v>
      </c>
      <c r="EG436" s="16" t="str">
        <f t="shared" si="838"/>
        <v>432026</v>
      </c>
      <c r="EH436" s="16" t="str">
        <f t="shared" si="821"/>
        <v>Fiche infoA2</v>
      </c>
      <c r="EI436" s="16" t="str">
        <f t="shared" si="822"/>
        <v/>
      </c>
    </row>
    <row r="437" spans="1:139" x14ac:dyDescent="0.2">
      <c r="A437" s="24" t="str">
        <f>Octobre!BJ40</f>
        <v>Fiche infoA3</v>
      </c>
      <c r="B437" s="811">
        <f>Octobre!AB40</f>
        <v>46316</v>
      </c>
      <c r="C437" s="1371"/>
      <c r="D437" s="981">
        <f t="shared" si="778"/>
        <v>0</v>
      </c>
      <c r="E437" s="434">
        <f t="shared" si="779"/>
        <v>0</v>
      </c>
      <c r="F437" s="434">
        <f t="shared" si="780"/>
        <v>0</v>
      </c>
      <c r="G437" s="434">
        <f t="shared" si="781"/>
        <v>0</v>
      </c>
      <c r="H437" s="434">
        <f t="shared" si="782"/>
        <v>0</v>
      </c>
      <c r="I437" s="434">
        <f t="shared" si="783"/>
        <v>0</v>
      </c>
      <c r="J437" s="434">
        <f t="shared" si="784"/>
        <v>0</v>
      </c>
      <c r="K437" s="434">
        <f t="shared" si="785"/>
        <v>0</v>
      </c>
      <c r="L437" s="434">
        <f t="shared" si="823"/>
        <v>0</v>
      </c>
      <c r="M437" s="982">
        <f t="shared" si="824"/>
        <v>0</v>
      </c>
      <c r="O437" s="981">
        <f t="shared" si="840"/>
        <v>0</v>
      </c>
      <c r="P437" s="434">
        <f t="shared" si="841"/>
        <v>0</v>
      </c>
      <c r="Q437" s="434">
        <f t="shared" si="842"/>
        <v>0</v>
      </c>
      <c r="R437" s="434">
        <f t="shared" si="843"/>
        <v>0</v>
      </c>
      <c r="S437" s="434">
        <f t="shared" si="844"/>
        <v>0</v>
      </c>
      <c r="T437" s="434">
        <f t="shared" si="845"/>
        <v>0</v>
      </c>
      <c r="U437" s="434">
        <f t="shared" si="846"/>
        <v>0</v>
      </c>
      <c r="V437" s="434">
        <f t="shared" si="847"/>
        <v>0</v>
      </c>
      <c r="W437" s="434">
        <f t="shared" si="794"/>
        <v>0</v>
      </c>
      <c r="X437" s="982">
        <f t="shared" si="795"/>
        <v>0</v>
      </c>
      <c r="Y437" s="441"/>
      <c r="Z437" s="277">
        <f t="shared" si="796"/>
        <v>0</v>
      </c>
      <c r="AA437" s="277">
        <f t="shared" si="797"/>
        <v>0</v>
      </c>
      <c r="AB437" s="277">
        <f t="shared" si="798"/>
        <v>0</v>
      </c>
      <c r="AC437" s="277">
        <f t="shared" si="799"/>
        <v>0</v>
      </c>
      <c r="AD437" s="277">
        <f t="shared" si="800"/>
        <v>0</v>
      </c>
      <c r="AE437" s="277">
        <f t="shared" si="801"/>
        <v>0</v>
      </c>
      <c r="AF437" s="277">
        <f t="shared" si="802"/>
        <v>0</v>
      </c>
      <c r="AG437" s="277">
        <f t="shared" si="803"/>
        <v>0</v>
      </c>
      <c r="AI437" s="444">
        <f t="shared" si="848"/>
        <v>0</v>
      </c>
      <c r="AJ437" s="1090"/>
      <c r="AK437" s="489"/>
      <c r="AL437" s="811">
        <f t="shared" si="805"/>
        <v>46316</v>
      </c>
      <c r="AM437" s="666">
        <f>IFERROR(IF(AND(AT437="",AR437&lt;&gt;S.CAL!$BJ$3,AR437&lt;&gt;S.CAL!$BJ$4,$AR$410="NON"),M437-BD437,IF(AND(AT437="",AR437&lt;&gt;S.CAL!$BJ$3,AR437&lt;&gt;S.CAL!$BJ$4,$AR$410="OUI"),X437-AI437,IF(AT437&lt;&gt;0,AT437,IF(OR(AR437=S.CAL!$BJ$3,AR437=S.CAL!$BJ$4),AR437,"")))),"")</f>
        <v>0</v>
      </c>
      <c r="AN437" s="1093"/>
      <c r="AO437" s="1094"/>
      <c r="AP437" s="666">
        <f>+IF(AND(AU437="",BB437="OUI",BH437="non",BI437="OUI"),AM437,IF(AND(AU437="",BB437="OUI",BH437="oui",BI437="NON"),AM437,IF(AND(AU437="",BB437="NON",BH437="oui",BI437="NON"),M437,IF(AND(AU437="",BB437="NON",BH437="non",BI437="OUI"),M437,IF(AND(AU437="",BB437="OUI",BH437="non",BI437="NON"),"ERREUR",IF(AND(AU437="",BB437="NON",BH437="non",BI437="NON"),AM437,IF(AND(AU437="",BB437="OUI",BH437="",BI437=""),AM437,IF(AND(AU437="",BB437="NON",BH437="",BI437="",AZ437="NON"),M437,IF(AND(AU437="",BH437="",AZ437="OUI",AR437=""),AM437,IF(AND(AU437="",BH437="",AZ437="NON",AR437="",AT437=""),M437,IF(AND(OR(AR437=S.CAL!$BJ$3,AR437=S.CAL!$BJ$4),(VLOOKUP($AM$410,base_nbre_sem_mensu,2,FALSE)=52)),EE437,IF(AND(OR(AR437=S.CAL!$BJ$3,AR437=S.CAL!$BJ$4),(VLOOKUP($AM$410,base_nbre_sem_mensu,2,FALSE)&lt;52)),AM437,IF(AND(AT437&lt;&gt;"",AU437=""),AT437,AU437)))))))))))))</f>
        <v>0</v>
      </c>
      <c r="AQ437" s="498">
        <f t="shared" si="825"/>
        <v>0</v>
      </c>
      <c r="AR437" s="1098"/>
      <c r="AT437" s="1101"/>
      <c r="AU437" s="813"/>
      <c r="AV437" s="1370">
        <f t="shared" si="806"/>
        <v>46316</v>
      </c>
      <c r="AX437" s="511">
        <f t="shared" si="826"/>
        <v>46316</v>
      </c>
      <c r="AY437" s="523">
        <f t="shared" si="827"/>
        <v>0</v>
      </c>
      <c r="AZ437" s="520" t="s">
        <v>137</v>
      </c>
      <c r="BA437" s="516">
        <f t="shared" si="828"/>
        <v>0</v>
      </c>
      <c r="BB437" s="549" t="str">
        <f t="shared" si="807"/>
        <v/>
      </c>
      <c r="BC437" s="523">
        <f t="shared" si="829"/>
        <v>0</v>
      </c>
      <c r="BD437" s="523">
        <f t="shared" si="830"/>
        <v>0</v>
      </c>
      <c r="BE437" s="732"/>
      <c r="BF437" s="514" t="str">
        <f t="shared" si="808"/>
        <v/>
      </c>
      <c r="BG437" s="514" t="str">
        <f t="shared" si="831"/>
        <v>oui</v>
      </c>
      <c r="BH437" s="377" t="str">
        <f t="shared" si="809"/>
        <v/>
      </c>
      <c r="BI437" s="24" t="str">
        <f t="shared" si="810"/>
        <v/>
      </c>
      <c r="BJ437" s="1381"/>
      <c r="BK437" s="1381"/>
      <c r="BL437" s="1381"/>
      <c r="BM437" s="1381"/>
      <c r="BN437" s="1381"/>
      <c r="BO437" s="1381"/>
      <c r="BP437" s="1381"/>
      <c r="BQ437" s="1381"/>
      <c r="BS437" s="1370">
        <f t="shared" si="777"/>
        <v>46316</v>
      </c>
      <c r="BT437" s="27" t="str">
        <f t="shared" si="839"/>
        <v/>
      </c>
      <c r="BU437" s="1380"/>
      <c r="BV437" s="1380"/>
      <c r="BW437" s="1380"/>
      <c r="BX437" s="1380"/>
      <c r="BY437" s="1380"/>
      <c r="BZ437" s="1380"/>
      <c r="CA437" s="1380"/>
      <c r="CB437" s="1380"/>
      <c r="CD437" s="1386">
        <f t="shared" si="832"/>
        <v>0</v>
      </c>
      <c r="DC437" s="16" t="str">
        <f>Octobre!FC40</f>
        <v>non</v>
      </c>
      <c r="DG437" s="315">
        <f t="shared" si="833"/>
        <v>1</v>
      </c>
      <c r="DH437" s="129">
        <f t="shared" si="811"/>
        <v>10</v>
      </c>
      <c r="DI437" s="129">
        <f t="shared" si="834"/>
        <v>1</v>
      </c>
      <c r="DK437" s="16">
        <f>+IF(AND(Octobre!$DP$8&lt;&gt;52,AR437=S.CAL!$BJ$4),10,1)</f>
        <v>1</v>
      </c>
      <c r="DN437" s="16">
        <f t="shared" si="812"/>
        <v>1</v>
      </c>
      <c r="DU437" s="1274" t="str">
        <f t="shared" si="835"/>
        <v>Fiche infoA346316</v>
      </c>
      <c r="DV437" s="1362">
        <f t="shared" si="813"/>
        <v>0</v>
      </c>
      <c r="DW437" s="1363">
        <f t="shared" si="814"/>
        <v>0</v>
      </c>
      <c r="DX437" s="1363">
        <f t="shared" si="815"/>
        <v>0</v>
      </c>
      <c r="DY437" s="1363">
        <f t="shared" si="816"/>
        <v>0</v>
      </c>
      <c r="DZ437" s="1363">
        <f t="shared" si="817"/>
        <v>0</v>
      </c>
      <c r="EA437" s="1363">
        <f t="shared" si="818"/>
        <v>0</v>
      </c>
      <c r="EB437" s="1363">
        <f t="shared" si="819"/>
        <v>0</v>
      </c>
      <c r="EC437" s="1363">
        <f t="shared" si="820"/>
        <v>0</v>
      </c>
      <c r="ED437" s="1363">
        <f t="shared" si="836"/>
        <v>0</v>
      </c>
      <c r="EE437" s="1364">
        <f t="shared" si="837"/>
        <v>0</v>
      </c>
      <c r="EG437" s="16" t="str">
        <f t="shared" si="838"/>
        <v>432026</v>
      </c>
      <c r="EH437" s="16" t="str">
        <f t="shared" si="821"/>
        <v>Fiche infoA3</v>
      </c>
      <c r="EI437" s="16" t="str">
        <f t="shared" si="822"/>
        <v/>
      </c>
    </row>
    <row r="438" spans="1:139" x14ac:dyDescent="0.2">
      <c r="A438" s="1373" t="str">
        <f>Octobre!BJ41</f>
        <v>Fiche infoA4</v>
      </c>
      <c r="B438" s="811">
        <f>Octobre!AB41</f>
        <v>46317</v>
      </c>
      <c r="C438" s="1372"/>
      <c r="D438" s="981">
        <f t="shared" si="778"/>
        <v>0</v>
      </c>
      <c r="E438" s="434">
        <f t="shared" si="779"/>
        <v>0</v>
      </c>
      <c r="F438" s="434">
        <f t="shared" si="780"/>
        <v>0</v>
      </c>
      <c r="G438" s="434">
        <f t="shared" si="781"/>
        <v>0</v>
      </c>
      <c r="H438" s="434">
        <f t="shared" si="782"/>
        <v>0</v>
      </c>
      <c r="I438" s="434">
        <f t="shared" si="783"/>
        <v>0</v>
      </c>
      <c r="J438" s="434">
        <f t="shared" si="784"/>
        <v>0</v>
      </c>
      <c r="K438" s="434">
        <f t="shared" si="785"/>
        <v>0</v>
      </c>
      <c r="L438" s="434">
        <f t="shared" si="823"/>
        <v>0</v>
      </c>
      <c r="M438" s="982">
        <f t="shared" si="824"/>
        <v>0</v>
      </c>
      <c r="N438" s="1374"/>
      <c r="O438" s="981">
        <f t="shared" si="840"/>
        <v>0</v>
      </c>
      <c r="P438" s="434">
        <f t="shared" si="841"/>
        <v>0</v>
      </c>
      <c r="Q438" s="434">
        <f t="shared" si="842"/>
        <v>0</v>
      </c>
      <c r="R438" s="434">
        <f t="shared" si="843"/>
        <v>0</v>
      </c>
      <c r="S438" s="434">
        <f t="shared" si="844"/>
        <v>0</v>
      </c>
      <c r="T438" s="434">
        <f t="shared" si="845"/>
        <v>0</v>
      </c>
      <c r="U438" s="434">
        <f t="shared" si="846"/>
        <v>0</v>
      </c>
      <c r="V438" s="434">
        <f t="shared" si="847"/>
        <v>0</v>
      </c>
      <c r="W438" s="434">
        <f t="shared" si="794"/>
        <v>0</v>
      </c>
      <c r="X438" s="982">
        <f t="shared" si="795"/>
        <v>0</v>
      </c>
      <c r="Y438" s="1375"/>
      <c r="Z438" s="1376">
        <f t="shared" si="796"/>
        <v>0</v>
      </c>
      <c r="AA438" s="1376">
        <f t="shared" si="797"/>
        <v>0</v>
      </c>
      <c r="AB438" s="1376">
        <f t="shared" si="798"/>
        <v>0</v>
      </c>
      <c r="AC438" s="1376">
        <f t="shared" si="799"/>
        <v>0</v>
      </c>
      <c r="AD438" s="1376">
        <f t="shared" si="800"/>
        <v>0</v>
      </c>
      <c r="AE438" s="1376">
        <f t="shared" si="801"/>
        <v>0</v>
      </c>
      <c r="AF438" s="1376">
        <f t="shared" si="802"/>
        <v>0</v>
      </c>
      <c r="AG438" s="1376">
        <f t="shared" si="803"/>
        <v>0</v>
      </c>
      <c r="AH438" s="1374"/>
      <c r="AI438" s="444">
        <f t="shared" si="848"/>
        <v>0</v>
      </c>
      <c r="AJ438" s="1090"/>
      <c r="AK438" s="1377"/>
      <c r="AL438" s="811">
        <f t="shared" si="805"/>
        <v>46317</v>
      </c>
      <c r="AM438" s="666">
        <f>IFERROR(IF(AND(AT438="",AR438&lt;&gt;S.CAL!$BJ$3,AR438&lt;&gt;S.CAL!$BJ$4,$AR$410="NON"),M438-BD438,IF(AND(AT438="",AR438&lt;&gt;S.CAL!$BJ$3,AR438&lt;&gt;S.CAL!$BJ$4,$AR$410="OUI"),X438-AI438,IF(AT438&lt;&gt;0,AT438,IF(OR(AR438=S.CAL!$BJ$3,AR438=S.CAL!$BJ$4),AR438,"")))),"")</f>
        <v>0</v>
      </c>
      <c r="AN438" s="1093"/>
      <c r="AO438" s="1094"/>
      <c r="AP438" s="666">
        <f>+IF(AND(AU438="",BB438="OUI",BH438="non",BI438="OUI"),AM438,IF(AND(AU438="",BB438="OUI",BH438="oui",BI438="NON"),AM438,IF(AND(AU438="",BB438="NON",BH438="oui",BI438="NON"),M438,IF(AND(AU438="",BB438="NON",BH438="non",BI438="OUI"),M438,IF(AND(AU438="",BB438="OUI",BH438="non",BI438="NON"),"ERREUR",IF(AND(AU438="",BB438="NON",BH438="non",BI438="NON"),AM438,IF(AND(AU438="",BB438="OUI",BH438="",BI438=""),AM438,IF(AND(AU438="",BB438="NON",BH438="",BI438="",AZ438="NON"),M438,IF(AND(AU438="",BH438="",AZ438="OUI",AR438=""),AM438,IF(AND(AU438="",BH438="",AZ438="NON",AR438="",AT438=""),M438,IF(AND(OR(AR438=S.CAL!$BJ$3,AR438=S.CAL!$BJ$4),(VLOOKUP($AM$410,base_nbre_sem_mensu,2,FALSE)=52)),EE438,IF(AND(OR(AR438=S.CAL!$BJ$3,AR438=S.CAL!$BJ$4),(VLOOKUP($AM$410,base_nbre_sem_mensu,2,FALSE)&lt;52)),AM438,IF(AND(AT438&lt;&gt;"",AU438=""),AT438,AU438)))))))))))))</f>
        <v>0</v>
      </c>
      <c r="AQ438" s="1378">
        <f t="shared" si="825"/>
        <v>0</v>
      </c>
      <c r="AR438" s="1098"/>
      <c r="AS438" s="1374"/>
      <c r="AT438" s="1101"/>
      <c r="AU438" s="813"/>
      <c r="AV438" s="1370">
        <f t="shared" si="806"/>
        <v>46317</v>
      </c>
      <c r="AW438" s="1374"/>
      <c r="AX438" s="511">
        <f t="shared" si="826"/>
        <v>46317</v>
      </c>
      <c r="AY438" s="523">
        <f t="shared" si="827"/>
        <v>0</v>
      </c>
      <c r="AZ438" s="520" t="s">
        <v>137</v>
      </c>
      <c r="BA438" s="516">
        <f t="shared" si="828"/>
        <v>0</v>
      </c>
      <c r="BB438" s="549" t="str">
        <f t="shared" si="807"/>
        <v/>
      </c>
      <c r="BC438" s="523">
        <f t="shared" si="829"/>
        <v>0</v>
      </c>
      <c r="BD438" s="523">
        <f t="shared" si="830"/>
        <v>0</v>
      </c>
      <c r="BE438" s="732"/>
      <c r="BF438" s="514" t="str">
        <f t="shared" si="808"/>
        <v/>
      </c>
      <c r="BG438" s="514" t="str">
        <f t="shared" si="831"/>
        <v>oui</v>
      </c>
      <c r="BH438" s="377" t="str">
        <f t="shared" si="809"/>
        <v/>
      </c>
      <c r="BI438" s="24" t="str">
        <f t="shared" si="810"/>
        <v/>
      </c>
      <c r="BJ438" s="1382"/>
      <c r="BK438" s="1382"/>
      <c r="BL438" s="1382"/>
      <c r="BM438" s="1382"/>
      <c r="BN438" s="1382"/>
      <c r="BO438" s="1382"/>
      <c r="BP438" s="1382"/>
      <c r="BQ438" s="1382"/>
      <c r="BR438" s="1383"/>
      <c r="BS438" s="1370">
        <f t="shared" si="777"/>
        <v>46317</v>
      </c>
      <c r="BT438" s="1384" t="str">
        <f t="shared" si="839"/>
        <v/>
      </c>
      <c r="BU438" s="1382"/>
      <c r="BV438" s="1382"/>
      <c r="BW438" s="1382"/>
      <c r="BX438" s="1382"/>
      <c r="BY438" s="1382"/>
      <c r="BZ438" s="1382"/>
      <c r="CA438" s="1382"/>
      <c r="CB438" s="1382"/>
      <c r="CD438" s="1386">
        <f t="shared" si="832"/>
        <v>0</v>
      </c>
      <c r="DC438" s="16" t="str">
        <f>Octobre!FC41</f>
        <v>non</v>
      </c>
      <c r="DG438" s="315">
        <f t="shared" si="833"/>
        <v>1</v>
      </c>
      <c r="DH438" s="129">
        <f t="shared" si="811"/>
        <v>10</v>
      </c>
      <c r="DI438" s="129">
        <f t="shared" si="834"/>
        <v>1</v>
      </c>
      <c r="DK438" s="16">
        <f>+IF(AND(Octobre!$DP$8&lt;&gt;52,AR438=S.CAL!$BJ$4),10,1)</f>
        <v>1</v>
      </c>
      <c r="DN438" s="16">
        <f t="shared" si="812"/>
        <v>1</v>
      </c>
      <c r="DU438" s="1274" t="str">
        <f t="shared" si="835"/>
        <v>Fiche infoA446317</v>
      </c>
      <c r="DV438" s="1362">
        <f t="shared" si="813"/>
        <v>0</v>
      </c>
      <c r="DW438" s="1363">
        <f t="shared" si="814"/>
        <v>0</v>
      </c>
      <c r="DX438" s="1363">
        <f t="shared" si="815"/>
        <v>0</v>
      </c>
      <c r="DY438" s="1363">
        <f t="shared" si="816"/>
        <v>0</v>
      </c>
      <c r="DZ438" s="1363">
        <f t="shared" si="817"/>
        <v>0</v>
      </c>
      <c r="EA438" s="1363">
        <f t="shared" si="818"/>
        <v>0</v>
      </c>
      <c r="EB438" s="1363">
        <f t="shared" si="819"/>
        <v>0</v>
      </c>
      <c r="EC438" s="1363">
        <f t="shared" si="820"/>
        <v>0</v>
      </c>
      <c r="ED438" s="1363">
        <f t="shared" si="836"/>
        <v>0</v>
      </c>
      <c r="EE438" s="1364">
        <f t="shared" si="837"/>
        <v>0</v>
      </c>
      <c r="EG438" s="16" t="str">
        <f t="shared" si="838"/>
        <v>432026</v>
      </c>
      <c r="EH438" s="16" t="str">
        <f t="shared" si="821"/>
        <v>Fiche infoA4</v>
      </c>
      <c r="EI438" s="16" t="str">
        <f t="shared" si="822"/>
        <v/>
      </c>
    </row>
    <row r="439" spans="1:139" x14ac:dyDescent="0.2">
      <c r="A439" s="24" t="str">
        <f>Octobre!BJ42</f>
        <v>Fiche infoA5</v>
      </c>
      <c r="B439" s="811">
        <f>Octobre!AB42</f>
        <v>46318</v>
      </c>
      <c r="C439" s="1371"/>
      <c r="D439" s="981">
        <f t="shared" si="778"/>
        <v>0</v>
      </c>
      <c r="E439" s="434">
        <f t="shared" si="779"/>
        <v>0</v>
      </c>
      <c r="F439" s="434">
        <f t="shared" si="780"/>
        <v>0</v>
      </c>
      <c r="G439" s="434">
        <f t="shared" si="781"/>
        <v>0</v>
      </c>
      <c r="H439" s="434">
        <f t="shared" si="782"/>
        <v>0</v>
      </c>
      <c r="I439" s="434">
        <f t="shared" si="783"/>
        <v>0</v>
      </c>
      <c r="J439" s="434">
        <f t="shared" si="784"/>
        <v>0</v>
      </c>
      <c r="K439" s="434">
        <f t="shared" si="785"/>
        <v>0</v>
      </c>
      <c r="L439" s="434">
        <f t="shared" si="823"/>
        <v>0</v>
      </c>
      <c r="M439" s="982">
        <f t="shared" si="824"/>
        <v>0</v>
      </c>
      <c r="O439" s="981">
        <f t="shared" si="840"/>
        <v>0</v>
      </c>
      <c r="P439" s="434">
        <f t="shared" si="841"/>
        <v>0</v>
      </c>
      <c r="Q439" s="434">
        <f t="shared" si="842"/>
        <v>0</v>
      </c>
      <c r="R439" s="434">
        <f t="shared" si="843"/>
        <v>0</v>
      </c>
      <c r="S439" s="434">
        <f t="shared" si="844"/>
        <v>0</v>
      </c>
      <c r="T439" s="434">
        <f t="shared" si="845"/>
        <v>0</v>
      </c>
      <c r="U439" s="434">
        <f t="shared" si="846"/>
        <v>0</v>
      </c>
      <c r="V439" s="434">
        <f t="shared" si="847"/>
        <v>0</v>
      </c>
      <c r="W439" s="434">
        <f t="shared" si="794"/>
        <v>0</v>
      </c>
      <c r="X439" s="982">
        <f t="shared" si="795"/>
        <v>0</v>
      </c>
      <c r="Y439" s="441"/>
      <c r="Z439" s="277">
        <f t="shared" si="796"/>
        <v>0</v>
      </c>
      <c r="AA439" s="277">
        <f t="shared" si="797"/>
        <v>0</v>
      </c>
      <c r="AB439" s="277">
        <f t="shared" si="798"/>
        <v>0</v>
      </c>
      <c r="AC439" s="277">
        <f t="shared" si="799"/>
        <v>0</v>
      </c>
      <c r="AD439" s="277">
        <f t="shared" si="800"/>
        <v>0</v>
      </c>
      <c r="AE439" s="277">
        <f t="shared" si="801"/>
        <v>0</v>
      </c>
      <c r="AF439" s="277">
        <f t="shared" si="802"/>
        <v>0</v>
      </c>
      <c r="AG439" s="277">
        <f t="shared" si="803"/>
        <v>0</v>
      </c>
      <c r="AI439" s="444">
        <f t="shared" si="848"/>
        <v>0</v>
      </c>
      <c r="AJ439" s="1090"/>
      <c r="AK439" s="489"/>
      <c r="AL439" s="811">
        <f t="shared" si="805"/>
        <v>46318</v>
      </c>
      <c r="AM439" s="666">
        <f>IFERROR(IF(AND(AT439="",AR439&lt;&gt;S.CAL!$BJ$3,AR439&lt;&gt;S.CAL!$BJ$4,$AR$410="NON"),M439-BD439,IF(AND(AT439="",AR439&lt;&gt;S.CAL!$BJ$3,AR439&lt;&gt;S.CAL!$BJ$4,$AR$410="OUI"),X439-AI439,IF(AT439&lt;&gt;0,AT439,IF(OR(AR439=S.CAL!$BJ$3,AR439=S.CAL!$BJ$4),AR439,"")))),"")</f>
        <v>0</v>
      </c>
      <c r="AN439" s="1093"/>
      <c r="AO439" s="1094"/>
      <c r="AP439" s="666">
        <f>+IF(AND(AU439="",BB439="OUI",BH439="non",BI439="OUI"),AM439,IF(AND(AU439="",BB439="OUI",BH439="oui",BI439="NON"),AM439,IF(AND(AU439="",BB439="NON",BH439="oui",BI439="NON"),M439,IF(AND(AU439="",BB439="NON",BH439="non",BI439="OUI"),M439,IF(AND(AU439="",BB439="OUI",BH439="non",BI439="NON"),"ERREUR",IF(AND(AU439="",BB439="NON",BH439="non",BI439="NON"),AM439,IF(AND(AU439="",BB439="OUI",BH439="",BI439=""),AM439,IF(AND(AU439="",BB439="NON",BH439="",BI439="",AZ439="NON"),M439,IF(AND(AU439="",BH439="",AZ439="OUI",AR439=""),AM439,IF(AND(AU439="",BH439="",AZ439="NON",AR439="",AT439=""),M439,IF(AND(OR(AR439=S.CAL!$BJ$3,AR439=S.CAL!$BJ$4),(VLOOKUP($AM$410,base_nbre_sem_mensu,2,FALSE)=52)),EE439,IF(AND(OR(AR439=S.CAL!$BJ$3,AR439=S.CAL!$BJ$4),(VLOOKUP($AM$410,base_nbre_sem_mensu,2,FALSE)&lt;52)),AM439,IF(AND(AT439&lt;&gt;"",AU439=""),AT439,AU439)))))))))))))</f>
        <v>0</v>
      </c>
      <c r="AQ439" s="498">
        <f t="shared" si="825"/>
        <v>0</v>
      </c>
      <c r="AR439" s="1098"/>
      <c r="AT439" s="1101"/>
      <c r="AU439" s="813"/>
      <c r="AV439" s="1370">
        <f t="shared" si="806"/>
        <v>46318</v>
      </c>
      <c r="AX439" s="511">
        <f t="shared" si="826"/>
        <v>46318</v>
      </c>
      <c r="AY439" s="523">
        <f t="shared" si="827"/>
        <v>0</v>
      </c>
      <c r="AZ439" s="520" t="s">
        <v>137</v>
      </c>
      <c r="BA439" s="516">
        <f t="shared" si="828"/>
        <v>0</v>
      </c>
      <c r="BB439" s="549" t="str">
        <f t="shared" si="807"/>
        <v/>
      </c>
      <c r="BC439" s="523">
        <f t="shared" si="829"/>
        <v>0</v>
      </c>
      <c r="BD439" s="523">
        <f t="shared" si="830"/>
        <v>0</v>
      </c>
      <c r="BE439" s="732"/>
      <c r="BF439" s="514" t="str">
        <f t="shared" si="808"/>
        <v/>
      </c>
      <c r="BG439" s="514" t="str">
        <f t="shared" si="831"/>
        <v>oui</v>
      </c>
      <c r="BH439" s="377" t="str">
        <f t="shared" si="809"/>
        <v/>
      </c>
      <c r="BI439" s="24" t="str">
        <f t="shared" si="810"/>
        <v/>
      </c>
      <c r="BJ439" s="1381"/>
      <c r="BK439" s="1381"/>
      <c r="BL439" s="1381"/>
      <c r="BM439" s="1381"/>
      <c r="BN439" s="1381"/>
      <c r="BO439" s="1381"/>
      <c r="BP439" s="1381"/>
      <c r="BQ439" s="1381"/>
      <c r="BS439" s="1370">
        <f t="shared" si="777"/>
        <v>46318</v>
      </c>
      <c r="BT439" s="27" t="str">
        <f t="shared" si="839"/>
        <v/>
      </c>
      <c r="BU439" s="1380"/>
      <c r="BV439" s="1380"/>
      <c r="BW439" s="1380"/>
      <c r="BX439" s="1380"/>
      <c r="BY439" s="1380"/>
      <c r="BZ439" s="1380"/>
      <c r="CA439" s="1380"/>
      <c r="CB439" s="1380"/>
      <c r="CD439" s="1386">
        <f t="shared" si="832"/>
        <v>0</v>
      </c>
      <c r="DC439" s="16" t="str">
        <f>Octobre!FC42</f>
        <v>non</v>
      </c>
      <c r="DG439" s="315">
        <f t="shared" si="833"/>
        <v>1</v>
      </c>
      <c r="DH439" s="129">
        <f t="shared" si="811"/>
        <v>10</v>
      </c>
      <c r="DI439" s="129">
        <f t="shared" si="834"/>
        <v>1</v>
      </c>
      <c r="DK439" s="16">
        <f>+IF(AND(Octobre!$DP$8&lt;&gt;52,AR439=S.CAL!$BJ$4),10,1)</f>
        <v>1</v>
      </c>
      <c r="DN439" s="16">
        <f t="shared" si="812"/>
        <v>1</v>
      </c>
      <c r="DU439" s="1274" t="str">
        <f t="shared" si="835"/>
        <v>Fiche infoA546318</v>
      </c>
      <c r="DV439" s="1362">
        <f t="shared" si="813"/>
        <v>0</v>
      </c>
      <c r="DW439" s="1363">
        <f t="shared" si="814"/>
        <v>0</v>
      </c>
      <c r="DX439" s="1363">
        <f t="shared" si="815"/>
        <v>0</v>
      </c>
      <c r="DY439" s="1363">
        <f t="shared" si="816"/>
        <v>0</v>
      </c>
      <c r="DZ439" s="1363">
        <f t="shared" si="817"/>
        <v>0</v>
      </c>
      <c r="EA439" s="1363">
        <f t="shared" si="818"/>
        <v>0</v>
      </c>
      <c r="EB439" s="1363">
        <f t="shared" si="819"/>
        <v>0</v>
      </c>
      <c r="EC439" s="1363">
        <f t="shared" si="820"/>
        <v>0</v>
      </c>
      <c r="ED439" s="1363">
        <f t="shared" si="836"/>
        <v>0</v>
      </c>
      <c r="EE439" s="1364">
        <f t="shared" si="837"/>
        <v>0</v>
      </c>
      <c r="EG439" s="16" t="str">
        <f t="shared" si="838"/>
        <v>432026</v>
      </c>
      <c r="EH439" s="16" t="str">
        <f t="shared" si="821"/>
        <v>Fiche infoA5</v>
      </c>
      <c r="EI439" s="16" t="str">
        <f t="shared" si="822"/>
        <v/>
      </c>
    </row>
    <row r="440" spans="1:139" x14ac:dyDescent="0.2">
      <c r="A440" s="1373" t="str">
        <f>Octobre!BJ43</f>
        <v>Fiche infoA6</v>
      </c>
      <c r="B440" s="811">
        <f>Octobre!AB43</f>
        <v>46319</v>
      </c>
      <c r="C440" s="1372"/>
      <c r="D440" s="981">
        <f t="shared" si="778"/>
        <v>0</v>
      </c>
      <c r="E440" s="434">
        <f t="shared" si="779"/>
        <v>0</v>
      </c>
      <c r="F440" s="434">
        <f t="shared" si="780"/>
        <v>0</v>
      </c>
      <c r="G440" s="434">
        <f t="shared" si="781"/>
        <v>0</v>
      </c>
      <c r="H440" s="434">
        <f t="shared" si="782"/>
        <v>0</v>
      </c>
      <c r="I440" s="434">
        <f t="shared" si="783"/>
        <v>0</v>
      </c>
      <c r="J440" s="434">
        <f t="shared" si="784"/>
        <v>0</v>
      </c>
      <c r="K440" s="434">
        <f t="shared" si="785"/>
        <v>0</v>
      </c>
      <c r="L440" s="434">
        <f t="shared" si="823"/>
        <v>0</v>
      </c>
      <c r="M440" s="982">
        <f t="shared" si="824"/>
        <v>0</v>
      </c>
      <c r="N440" s="1374"/>
      <c r="O440" s="981">
        <f t="shared" si="840"/>
        <v>0</v>
      </c>
      <c r="P440" s="434">
        <f t="shared" si="841"/>
        <v>0</v>
      </c>
      <c r="Q440" s="434">
        <f t="shared" si="842"/>
        <v>0</v>
      </c>
      <c r="R440" s="434">
        <f t="shared" si="843"/>
        <v>0</v>
      </c>
      <c r="S440" s="434">
        <f t="shared" si="844"/>
        <v>0</v>
      </c>
      <c r="T440" s="434">
        <f t="shared" si="845"/>
        <v>0</v>
      </c>
      <c r="U440" s="434">
        <f t="shared" si="846"/>
        <v>0</v>
      </c>
      <c r="V440" s="434">
        <f t="shared" si="847"/>
        <v>0</v>
      </c>
      <c r="W440" s="434">
        <f t="shared" si="794"/>
        <v>0</v>
      </c>
      <c r="X440" s="982">
        <f t="shared" si="795"/>
        <v>0</v>
      </c>
      <c r="Y440" s="1375"/>
      <c r="Z440" s="1376">
        <f t="shared" si="796"/>
        <v>0</v>
      </c>
      <c r="AA440" s="1376">
        <f t="shared" si="797"/>
        <v>0</v>
      </c>
      <c r="AB440" s="1376">
        <f t="shared" si="798"/>
        <v>0</v>
      </c>
      <c r="AC440" s="1376">
        <f t="shared" si="799"/>
        <v>0</v>
      </c>
      <c r="AD440" s="1376">
        <f t="shared" si="800"/>
        <v>0</v>
      </c>
      <c r="AE440" s="1376">
        <f t="shared" si="801"/>
        <v>0</v>
      </c>
      <c r="AF440" s="1376">
        <f t="shared" si="802"/>
        <v>0</v>
      </c>
      <c r="AG440" s="1376">
        <f t="shared" si="803"/>
        <v>0</v>
      </c>
      <c r="AH440" s="1374"/>
      <c r="AI440" s="444">
        <f t="shared" si="848"/>
        <v>0</v>
      </c>
      <c r="AJ440" s="1090"/>
      <c r="AK440" s="1377"/>
      <c r="AL440" s="811">
        <f t="shared" si="805"/>
        <v>46319</v>
      </c>
      <c r="AM440" s="666">
        <f>IFERROR(IF(AND(AT440="",AR440&lt;&gt;S.CAL!$BJ$3,AR440&lt;&gt;S.CAL!$BJ$4,$AR$410="NON"),M440-BD440,IF(AND(AT440="",AR440&lt;&gt;S.CAL!$BJ$3,AR440&lt;&gt;S.CAL!$BJ$4,$AR$410="OUI"),X440-AI440,IF(AT440&lt;&gt;0,AT440,IF(OR(AR440=S.CAL!$BJ$3,AR440=S.CAL!$BJ$4),AR440,"")))),"")</f>
        <v>0</v>
      </c>
      <c r="AN440" s="1093"/>
      <c r="AO440" s="1094"/>
      <c r="AP440" s="666">
        <f>+IF(AND(AU440="",BB440="OUI",BH440="non",BI440="OUI"),AM440,IF(AND(AU440="",BB440="OUI",BH440="oui",BI440="NON"),AM440,IF(AND(AU440="",BB440="NON",BH440="oui",BI440="NON"),M440,IF(AND(AU440="",BB440="NON",BH440="non",BI440="OUI"),M440,IF(AND(AU440="",BB440="OUI",BH440="non",BI440="NON"),"ERREUR",IF(AND(AU440="",BB440="NON",BH440="non",BI440="NON"),AM440,IF(AND(AU440="",BB440="OUI",BH440="",BI440=""),AM440,IF(AND(AU440="",BB440="NON",BH440="",BI440="",AZ440="NON"),M440,IF(AND(AU440="",BH440="",AZ440="OUI",AR440=""),AM440,IF(AND(AU440="",BH440="",AZ440="NON",AR440="",AT440=""),M440,IF(AND(OR(AR440=S.CAL!$BJ$3,AR440=S.CAL!$BJ$4),(VLOOKUP($AM$410,base_nbre_sem_mensu,2,FALSE)=52)),EE440,IF(AND(OR(AR440=S.CAL!$BJ$3,AR440=S.CAL!$BJ$4),(VLOOKUP($AM$410,base_nbre_sem_mensu,2,FALSE)&lt;52)),AM440,IF(AND(AT440&lt;&gt;"",AU440=""),AT440,AU440)))))))))))))</f>
        <v>0</v>
      </c>
      <c r="AQ440" s="1378">
        <f t="shared" si="825"/>
        <v>0</v>
      </c>
      <c r="AR440" s="1098"/>
      <c r="AS440" s="1374"/>
      <c r="AT440" s="1101"/>
      <c r="AU440" s="813"/>
      <c r="AV440" s="1370">
        <f t="shared" si="806"/>
        <v>46319</v>
      </c>
      <c r="AW440" s="1374"/>
      <c r="AX440" s="511">
        <f t="shared" si="826"/>
        <v>46319</v>
      </c>
      <c r="AY440" s="523">
        <f t="shared" si="827"/>
        <v>0</v>
      </c>
      <c r="AZ440" s="520" t="s">
        <v>137</v>
      </c>
      <c r="BA440" s="516">
        <f t="shared" si="828"/>
        <v>0</v>
      </c>
      <c r="BB440" s="549" t="str">
        <f t="shared" si="807"/>
        <v/>
      </c>
      <c r="BC440" s="523">
        <f t="shared" si="829"/>
        <v>0</v>
      </c>
      <c r="BD440" s="523">
        <f t="shared" si="830"/>
        <v>0</v>
      </c>
      <c r="BE440" s="732"/>
      <c r="BF440" s="514" t="str">
        <f t="shared" si="808"/>
        <v/>
      </c>
      <c r="BG440" s="514" t="str">
        <f t="shared" si="831"/>
        <v>oui</v>
      </c>
      <c r="BH440" s="377" t="str">
        <f t="shared" si="809"/>
        <v/>
      </c>
      <c r="BI440" s="24" t="str">
        <f t="shared" si="810"/>
        <v/>
      </c>
      <c r="BJ440" s="1382"/>
      <c r="BK440" s="1382"/>
      <c r="BL440" s="1382"/>
      <c r="BM440" s="1382"/>
      <c r="BN440" s="1382"/>
      <c r="BO440" s="1382"/>
      <c r="BP440" s="1382"/>
      <c r="BQ440" s="1382"/>
      <c r="BR440" s="1383"/>
      <c r="BS440" s="1370">
        <f t="shared" si="777"/>
        <v>46319</v>
      </c>
      <c r="BT440" s="1384" t="str">
        <f t="shared" si="839"/>
        <v/>
      </c>
      <c r="BU440" s="1382"/>
      <c r="BV440" s="1382"/>
      <c r="BW440" s="1382"/>
      <c r="BX440" s="1382"/>
      <c r="BY440" s="1382"/>
      <c r="BZ440" s="1382"/>
      <c r="CA440" s="1382"/>
      <c r="CB440" s="1382"/>
      <c r="CD440" s="1386">
        <f t="shared" si="832"/>
        <v>0</v>
      </c>
      <c r="DC440" s="16" t="str">
        <f>Octobre!FC43</f>
        <v>non</v>
      </c>
      <c r="DG440" s="315">
        <f t="shared" si="833"/>
        <v>1</v>
      </c>
      <c r="DH440" s="129">
        <f t="shared" si="811"/>
        <v>10</v>
      </c>
      <c r="DI440" s="129">
        <f t="shared" si="834"/>
        <v>1</v>
      </c>
      <c r="DK440" s="16">
        <f>+IF(AND(Octobre!$DP$8&lt;&gt;52,AR440=S.CAL!$BJ$4),10,1)</f>
        <v>1</v>
      </c>
      <c r="DN440" s="16">
        <f t="shared" si="812"/>
        <v>1</v>
      </c>
      <c r="DU440" s="1274" t="str">
        <f t="shared" si="835"/>
        <v>Fiche infoA646319</v>
      </c>
      <c r="DV440" s="1362">
        <f t="shared" si="813"/>
        <v>0</v>
      </c>
      <c r="DW440" s="1363">
        <f t="shared" si="814"/>
        <v>0</v>
      </c>
      <c r="DX440" s="1363">
        <f t="shared" si="815"/>
        <v>0</v>
      </c>
      <c r="DY440" s="1363">
        <f t="shared" si="816"/>
        <v>0</v>
      </c>
      <c r="DZ440" s="1363">
        <f t="shared" si="817"/>
        <v>0</v>
      </c>
      <c r="EA440" s="1363">
        <f t="shared" si="818"/>
        <v>0</v>
      </c>
      <c r="EB440" s="1363">
        <f t="shared" si="819"/>
        <v>0</v>
      </c>
      <c r="EC440" s="1363">
        <f t="shared" si="820"/>
        <v>0</v>
      </c>
      <c r="ED440" s="1363">
        <f t="shared" si="836"/>
        <v>0</v>
      </c>
      <c r="EE440" s="1364">
        <f t="shared" si="837"/>
        <v>0</v>
      </c>
      <c r="EG440" s="16" t="str">
        <f t="shared" si="838"/>
        <v>432026</v>
      </c>
      <c r="EH440" s="16" t="str">
        <f t="shared" si="821"/>
        <v>Fiche infoA6</v>
      </c>
      <c r="EI440" s="16" t="str">
        <f t="shared" si="822"/>
        <v/>
      </c>
    </row>
    <row r="441" spans="1:139" x14ac:dyDescent="0.2">
      <c r="A441" s="24" t="str">
        <f>Octobre!BJ44</f>
        <v>Fiche infoA7</v>
      </c>
      <c r="B441" s="811">
        <f>Octobre!AB44</f>
        <v>46320</v>
      </c>
      <c r="C441" s="1371"/>
      <c r="D441" s="981">
        <f t="shared" si="778"/>
        <v>0</v>
      </c>
      <c r="E441" s="434">
        <f t="shared" si="779"/>
        <v>0</v>
      </c>
      <c r="F441" s="434">
        <f t="shared" si="780"/>
        <v>0</v>
      </c>
      <c r="G441" s="434">
        <f t="shared" si="781"/>
        <v>0</v>
      </c>
      <c r="H441" s="434">
        <f t="shared" si="782"/>
        <v>0</v>
      </c>
      <c r="I441" s="434">
        <f t="shared" si="783"/>
        <v>0</v>
      </c>
      <c r="J441" s="434">
        <f t="shared" si="784"/>
        <v>0</v>
      </c>
      <c r="K441" s="434">
        <f t="shared" si="785"/>
        <v>0</v>
      </c>
      <c r="L441" s="434">
        <f t="shared" si="823"/>
        <v>0</v>
      </c>
      <c r="M441" s="982">
        <f t="shared" si="824"/>
        <v>0</v>
      </c>
      <c r="O441" s="981">
        <f t="shared" si="840"/>
        <v>0</v>
      </c>
      <c r="P441" s="434">
        <f t="shared" si="841"/>
        <v>0</v>
      </c>
      <c r="Q441" s="434">
        <f t="shared" si="842"/>
        <v>0</v>
      </c>
      <c r="R441" s="434">
        <f t="shared" si="843"/>
        <v>0</v>
      </c>
      <c r="S441" s="434">
        <f t="shared" si="844"/>
        <v>0</v>
      </c>
      <c r="T441" s="434">
        <f t="shared" si="845"/>
        <v>0</v>
      </c>
      <c r="U441" s="434">
        <f t="shared" si="846"/>
        <v>0</v>
      </c>
      <c r="V441" s="434">
        <f t="shared" si="847"/>
        <v>0</v>
      </c>
      <c r="W441" s="434">
        <f t="shared" si="794"/>
        <v>0</v>
      </c>
      <c r="X441" s="982">
        <f t="shared" si="795"/>
        <v>0</v>
      </c>
      <c r="Y441" s="441"/>
      <c r="Z441" s="277">
        <f t="shared" si="796"/>
        <v>0</v>
      </c>
      <c r="AA441" s="277">
        <f t="shared" si="797"/>
        <v>0</v>
      </c>
      <c r="AB441" s="277">
        <f t="shared" si="798"/>
        <v>0</v>
      </c>
      <c r="AC441" s="277">
        <f t="shared" si="799"/>
        <v>0</v>
      </c>
      <c r="AD441" s="277">
        <f t="shared" si="800"/>
        <v>0</v>
      </c>
      <c r="AE441" s="277">
        <f t="shared" si="801"/>
        <v>0</v>
      </c>
      <c r="AF441" s="277">
        <f t="shared" si="802"/>
        <v>0</v>
      </c>
      <c r="AG441" s="277">
        <f t="shared" si="803"/>
        <v>0</v>
      </c>
      <c r="AI441" s="444">
        <f t="shared" si="848"/>
        <v>0</v>
      </c>
      <c r="AJ441" s="1090"/>
      <c r="AK441" s="489"/>
      <c r="AL441" s="811">
        <f t="shared" si="805"/>
        <v>46320</v>
      </c>
      <c r="AM441" s="666">
        <f>IFERROR(IF(AND(AT441="",AR441&lt;&gt;S.CAL!$BJ$3,AR441&lt;&gt;S.CAL!$BJ$4,$AR$410="NON"),M441-BD441,IF(AND(AT441="",AR441&lt;&gt;S.CAL!$BJ$3,AR441&lt;&gt;S.CAL!$BJ$4,$AR$410="OUI"),X441-AI441,IF(AT441&lt;&gt;0,AT441,IF(OR(AR441=S.CAL!$BJ$3,AR441=S.CAL!$BJ$4),AR441,"")))),"")</f>
        <v>0</v>
      </c>
      <c r="AN441" s="1093"/>
      <c r="AO441" s="1094"/>
      <c r="AP441" s="666">
        <f>+IF(AND(AU441="",BB441="OUI",BH441="non",BI441="OUI"),AM441,IF(AND(AU441="",BB441="OUI",BH441="oui",BI441="NON"),AM441,IF(AND(AU441="",BB441="NON",BH441="oui",BI441="NON"),M441,IF(AND(AU441="",BB441="NON",BH441="non",BI441="OUI"),M441,IF(AND(AU441="",BB441="OUI",BH441="non",BI441="NON"),"ERREUR",IF(AND(AU441="",BB441="NON",BH441="non",BI441="NON"),AM441,IF(AND(AU441="",BB441="OUI",BH441="",BI441=""),AM441,IF(AND(AU441="",BB441="NON",BH441="",BI441="",AZ441="NON"),M441,IF(AND(AU441="",BH441="",AZ441="OUI",AR441=""),AM441,IF(AND(AU441="",BH441="",AZ441="NON",AR441="",AT441=""),M441,IF(AND(OR(AR441=S.CAL!$BJ$3,AR441=S.CAL!$BJ$4),(VLOOKUP($AM$410,base_nbre_sem_mensu,2,FALSE)=52)),EE441,IF(AND(OR(AR441=S.CAL!$BJ$3,AR441=S.CAL!$BJ$4),(VLOOKUP($AM$410,base_nbre_sem_mensu,2,FALSE)&lt;52)),AM441,IF(AND(AT441&lt;&gt;"",AU441=""),AT441,AU441)))))))))))))</f>
        <v>0</v>
      </c>
      <c r="AQ441" s="498">
        <f t="shared" si="825"/>
        <v>0</v>
      </c>
      <c r="AR441" s="1098"/>
      <c r="AT441" s="1101"/>
      <c r="AU441" s="813"/>
      <c r="AV441" s="1370">
        <f t="shared" si="806"/>
        <v>46320</v>
      </c>
      <c r="AX441" s="511">
        <f t="shared" si="826"/>
        <v>46320</v>
      </c>
      <c r="AY441" s="523">
        <f t="shared" si="827"/>
        <v>0</v>
      </c>
      <c r="AZ441" s="520" t="s">
        <v>137</v>
      </c>
      <c r="BA441" s="516">
        <f t="shared" si="828"/>
        <v>0</v>
      </c>
      <c r="BB441" s="549" t="str">
        <f t="shared" si="807"/>
        <v/>
      </c>
      <c r="BC441" s="523">
        <f t="shared" si="829"/>
        <v>0</v>
      </c>
      <c r="BD441" s="523">
        <f t="shared" si="830"/>
        <v>0</v>
      </c>
      <c r="BE441" s="732"/>
      <c r="BF441" s="514" t="str">
        <f t="shared" si="808"/>
        <v/>
      </c>
      <c r="BG441" s="514" t="str">
        <f t="shared" si="831"/>
        <v>oui</v>
      </c>
      <c r="BH441" s="377" t="str">
        <f t="shared" si="809"/>
        <v/>
      </c>
      <c r="BI441" s="24" t="str">
        <f t="shared" si="810"/>
        <v/>
      </c>
      <c r="BJ441" s="1381"/>
      <c r="BK441" s="1381"/>
      <c r="BL441" s="1381"/>
      <c r="BM441" s="1381"/>
      <c r="BN441" s="1381"/>
      <c r="BO441" s="1381"/>
      <c r="BP441" s="1381"/>
      <c r="BQ441" s="1381"/>
      <c r="BS441" s="1370">
        <f t="shared" si="777"/>
        <v>46320</v>
      </c>
      <c r="BT441" s="27" t="str">
        <f t="shared" si="839"/>
        <v/>
      </c>
      <c r="BU441" s="1380"/>
      <c r="BV441" s="1380"/>
      <c r="BW441" s="1380"/>
      <c r="BX441" s="1380"/>
      <c r="BY441" s="1380"/>
      <c r="BZ441" s="1380"/>
      <c r="CA441" s="1380"/>
      <c r="CB441" s="1380"/>
      <c r="CD441" s="1386">
        <f t="shared" si="832"/>
        <v>0</v>
      </c>
      <c r="DC441" s="16" t="str">
        <f>Octobre!FC44</f>
        <v>non</v>
      </c>
      <c r="DG441" s="315">
        <f t="shared" si="833"/>
        <v>1</v>
      </c>
      <c r="DH441" s="129">
        <f t="shared" si="811"/>
        <v>10</v>
      </c>
      <c r="DI441" s="129">
        <f t="shared" si="834"/>
        <v>1</v>
      </c>
      <c r="DK441" s="16">
        <f>+IF(AND(Octobre!$DP$8&lt;&gt;52,AR441=S.CAL!$BJ$4),10,1)</f>
        <v>1</v>
      </c>
      <c r="DN441" s="16">
        <f t="shared" si="812"/>
        <v>1</v>
      </c>
      <c r="DU441" s="1274" t="str">
        <f t="shared" si="835"/>
        <v>Fiche infoA746320</v>
      </c>
      <c r="DV441" s="1362">
        <f t="shared" si="813"/>
        <v>0</v>
      </c>
      <c r="DW441" s="1363">
        <f t="shared" si="814"/>
        <v>0</v>
      </c>
      <c r="DX441" s="1363">
        <f t="shared" si="815"/>
        <v>0</v>
      </c>
      <c r="DY441" s="1363">
        <f t="shared" si="816"/>
        <v>0</v>
      </c>
      <c r="DZ441" s="1363">
        <f t="shared" si="817"/>
        <v>0</v>
      </c>
      <c r="EA441" s="1363">
        <f t="shared" si="818"/>
        <v>0</v>
      </c>
      <c r="EB441" s="1363">
        <f t="shared" si="819"/>
        <v>0</v>
      </c>
      <c r="EC441" s="1363">
        <f t="shared" si="820"/>
        <v>0</v>
      </c>
      <c r="ED441" s="1363">
        <f t="shared" si="836"/>
        <v>0</v>
      </c>
      <c r="EE441" s="1364">
        <f t="shared" si="837"/>
        <v>0</v>
      </c>
      <c r="EG441" s="16" t="str">
        <f t="shared" si="838"/>
        <v>432026</v>
      </c>
      <c r="EH441" s="16" t="str">
        <f t="shared" si="821"/>
        <v>Fiche infoA7</v>
      </c>
      <c r="EI441" s="16" t="str">
        <f t="shared" si="822"/>
        <v/>
      </c>
    </row>
    <row r="442" spans="1:139" x14ac:dyDescent="0.2">
      <c r="A442" s="1373" t="str">
        <f>Octobre!BJ45</f>
        <v>Fiche infoA1</v>
      </c>
      <c r="B442" s="811">
        <f>Octobre!AB45</f>
        <v>46321</v>
      </c>
      <c r="C442" s="1372"/>
      <c r="D442" s="981">
        <f t="shared" si="778"/>
        <v>0</v>
      </c>
      <c r="E442" s="434">
        <f t="shared" si="779"/>
        <v>0</v>
      </c>
      <c r="F442" s="434">
        <f t="shared" si="780"/>
        <v>0</v>
      </c>
      <c r="G442" s="434">
        <f t="shared" si="781"/>
        <v>0</v>
      </c>
      <c r="H442" s="434">
        <f t="shared" si="782"/>
        <v>0</v>
      </c>
      <c r="I442" s="434">
        <f t="shared" si="783"/>
        <v>0</v>
      </c>
      <c r="J442" s="434">
        <f t="shared" si="784"/>
        <v>0</v>
      </c>
      <c r="K442" s="434">
        <f t="shared" si="785"/>
        <v>0</v>
      </c>
      <c r="L442" s="434">
        <f t="shared" si="823"/>
        <v>0</v>
      </c>
      <c r="M442" s="982">
        <f t="shared" si="824"/>
        <v>0</v>
      </c>
      <c r="N442" s="1374"/>
      <c r="O442" s="981">
        <f t="shared" si="840"/>
        <v>0</v>
      </c>
      <c r="P442" s="434">
        <f t="shared" si="841"/>
        <v>0</v>
      </c>
      <c r="Q442" s="434">
        <f t="shared" si="842"/>
        <v>0</v>
      </c>
      <c r="R442" s="434">
        <f t="shared" si="843"/>
        <v>0</v>
      </c>
      <c r="S442" s="434">
        <f t="shared" si="844"/>
        <v>0</v>
      </c>
      <c r="T442" s="434">
        <f t="shared" si="845"/>
        <v>0</v>
      </c>
      <c r="U442" s="434">
        <f t="shared" si="846"/>
        <v>0</v>
      </c>
      <c r="V442" s="434">
        <f t="shared" si="847"/>
        <v>0</v>
      </c>
      <c r="W442" s="434">
        <f t="shared" si="794"/>
        <v>0</v>
      </c>
      <c r="X442" s="982">
        <f t="shared" si="795"/>
        <v>0</v>
      </c>
      <c r="Y442" s="1375"/>
      <c r="Z442" s="1376">
        <f t="shared" si="796"/>
        <v>0</v>
      </c>
      <c r="AA442" s="1376">
        <f t="shared" si="797"/>
        <v>0</v>
      </c>
      <c r="AB442" s="1376">
        <f t="shared" si="798"/>
        <v>0</v>
      </c>
      <c r="AC442" s="1376">
        <f t="shared" si="799"/>
        <v>0</v>
      </c>
      <c r="AD442" s="1376">
        <f t="shared" si="800"/>
        <v>0</v>
      </c>
      <c r="AE442" s="1376">
        <f t="shared" si="801"/>
        <v>0</v>
      </c>
      <c r="AF442" s="1376">
        <f t="shared" si="802"/>
        <v>0</v>
      </c>
      <c r="AG442" s="1376">
        <f t="shared" si="803"/>
        <v>0</v>
      </c>
      <c r="AH442" s="1374"/>
      <c r="AI442" s="444">
        <f t="shared" si="848"/>
        <v>0</v>
      </c>
      <c r="AJ442" s="1090"/>
      <c r="AK442" s="1377"/>
      <c r="AL442" s="811">
        <f t="shared" si="805"/>
        <v>46321</v>
      </c>
      <c r="AM442" s="666">
        <f>IFERROR(IF(AND(AT442="",AR442&lt;&gt;S.CAL!$BJ$3,AR442&lt;&gt;S.CAL!$BJ$4,$AR$410="NON"),M442-BD442,IF(AND(AT442="",AR442&lt;&gt;S.CAL!$BJ$3,AR442&lt;&gt;S.CAL!$BJ$4,$AR$410="OUI"),X442-AI442,IF(AT442&lt;&gt;0,AT442,IF(OR(AR442=S.CAL!$BJ$3,AR442=S.CAL!$BJ$4),AR442,"")))),"")</f>
        <v>0</v>
      </c>
      <c r="AN442" s="1093"/>
      <c r="AO442" s="1094"/>
      <c r="AP442" s="666">
        <f>+IF(AND(AU442="",BB442="OUI",BH442="non",BI442="OUI"),AM442,IF(AND(AU442="",BB442="OUI",BH442="oui",BI442="NON"),AM442,IF(AND(AU442="",BB442="NON",BH442="oui",BI442="NON"),M442,IF(AND(AU442="",BB442="NON",BH442="non",BI442="OUI"),M442,IF(AND(AU442="",BB442="OUI",BH442="non",BI442="NON"),"ERREUR",IF(AND(AU442="",BB442="NON",BH442="non",BI442="NON"),AM442,IF(AND(AU442="",BB442="OUI",BH442="",BI442=""),AM442,IF(AND(AU442="",BB442="NON",BH442="",BI442="",AZ442="NON"),M442,IF(AND(AU442="",BH442="",AZ442="OUI",AR442=""),AM442,IF(AND(AU442="",BH442="",AZ442="NON",AR442="",AT442=""),M442,IF(AND(OR(AR442=S.CAL!$BJ$3,AR442=S.CAL!$BJ$4),(VLOOKUP($AM$410,base_nbre_sem_mensu,2,FALSE)=52)),EE442,IF(AND(OR(AR442=S.CAL!$BJ$3,AR442=S.CAL!$BJ$4),(VLOOKUP($AM$410,base_nbre_sem_mensu,2,FALSE)&lt;52)),AM442,IF(AND(AT442&lt;&gt;"",AU442=""),AT442,AU442)))))))))))))</f>
        <v>0</v>
      </c>
      <c r="AQ442" s="1378">
        <f t="shared" si="825"/>
        <v>0</v>
      </c>
      <c r="AR442" s="1098"/>
      <c r="AS442" s="1374"/>
      <c r="AT442" s="1101"/>
      <c r="AU442" s="813"/>
      <c r="AV442" s="1370">
        <f t="shared" si="806"/>
        <v>46321</v>
      </c>
      <c r="AW442" s="1374"/>
      <c r="AX442" s="511">
        <f t="shared" si="826"/>
        <v>46321</v>
      </c>
      <c r="AY442" s="523">
        <f t="shared" si="827"/>
        <v>0</v>
      </c>
      <c r="AZ442" s="520" t="s">
        <v>137</v>
      </c>
      <c r="BA442" s="516">
        <f t="shared" si="828"/>
        <v>0</v>
      </c>
      <c r="BB442" s="549" t="str">
        <f t="shared" si="807"/>
        <v/>
      </c>
      <c r="BC442" s="523">
        <f t="shared" si="829"/>
        <v>0</v>
      </c>
      <c r="BD442" s="523">
        <f t="shared" si="830"/>
        <v>0</v>
      </c>
      <c r="BE442" s="732"/>
      <c r="BF442" s="514" t="str">
        <f t="shared" si="808"/>
        <v/>
      </c>
      <c r="BG442" s="514" t="str">
        <f t="shared" si="831"/>
        <v>oui</v>
      </c>
      <c r="BH442" s="377" t="str">
        <f t="shared" si="809"/>
        <v/>
      </c>
      <c r="BI442" s="24" t="str">
        <f t="shared" si="810"/>
        <v/>
      </c>
      <c r="BJ442" s="1382"/>
      <c r="BK442" s="1382"/>
      <c r="BL442" s="1382"/>
      <c r="BM442" s="1382"/>
      <c r="BN442" s="1382"/>
      <c r="BO442" s="1382"/>
      <c r="BP442" s="1382"/>
      <c r="BQ442" s="1382"/>
      <c r="BR442" s="1383"/>
      <c r="BS442" s="1370">
        <f t="shared" si="777"/>
        <v>46321</v>
      </c>
      <c r="BT442" s="1384">
        <f t="shared" si="839"/>
        <v>44</v>
      </c>
      <c r="BU442" s="1382"/>
      <c r="BV442" s="1382"/>
      <c r="BW442" s="1382"/>
      <c r="BX442" s="1382"/>
      <c r="BY442" s="1382"/>
      <c r="BZ442" s="1382"/>
      <c r="CA442" s="1382"/>
      <c r="CB442" s="1382"/>
      <c r="CD442" s="1386">
        <f t="shared" si="832"/>
        <v>0</v>
      </c>
      <c r="DC442" s="16" t="str">
        <f>Octobre!FC45</f>
        <v>non</v>
      </c>
      <c r="DG442" s="315">
        <f t="shared" si="833"/>
        <v>1</v>
      </c>
      <c r="DH442" s="129">
        <f t="shared" si="811"/>
        <v>10</v>
      </c>
      <c r="DI442" s="129">
        <f t="shared" si="834"/>
        <v>1</v>
      </c>
      <c r="DK442" s="16">
        <f>+IF(AND(Octobre!$DP$8&lt;&gt;52,AR442=S.CAL!$BJ$4),10,1)</f>
        <v>1</v>
      </c>
      <c r="DN442" s="16">
        <f t="shared" si="812"/>
        <v>1</v>
      </c>
      <c r="DU442" s="1274" t="str">
        <f t="shared" si="835"/>
        <v>Fiche infoA146321</v>
      </c>
      <c r="DV442" s="1362">
        <f t="shared" si="813"/>
        <v>0</v>
      </c>
      <c r="DW442" s="1363">
        <f t="shared" si="814"/>
        <v>0</v>
      </c>
      <c r="DX442" s="1363">
        <f t="shared" si="815"/>
        <v>0</v>
      </c>
      <c r="DY442" s="1363">
        <f t="shared" si="816"/>
        <v>0</v>
      </c>
      <c r="DZ442" s="1363">
        <f t="shared" si="817"/>
        <v>0</v>
      </c>
      <c r="EA442" s="1363">
        <f t="shared" si="818"/>
        <v>0</v>
      </c>
      <c r="EB442" s="1363">
        <f t="shared" si="819"/>
        <v>0</v>
      </c>
      <c r="EC442" s="1363">
        <f t="shared" si="820"/>
        <v>0</v>
      </c>
      <c r="ED442" s="1363">
        <f t="shared" si="836"/>
        <v>0</v>
      </c>
      <c r="EE442" s="1364">
        <f t="shared" si="837"/>
        <v>0</v>
      </c>
      <c r="EG442" s="16" t="str">
        <f t="shared" si="838"/>
        <v>442026</v>
      </c>
      <c r="EH442" s="16" t="str">
        <f t="shared" si="821"/>
        <v>Fiche infoA1</v>
      </c>
      <c r="EI442" s="16" t="str">
        <f t="shared" si="822"/>
        <v/>
      </c>
    </row>
    <row r="443" spans="1:139" x14ac:dyDescent="0.2">
      <c r="A443" s="24" t="str">
        <f>Octobre!BJ46</f>
        <v>Fiche infoA2</v>
      </c>
      <c r="B443" s="811">
        <f>Octobre!AB46</f>
        <v>46322</v>
      </c>
      <c r="C443" s="1371"/>
      <c r="D443" s="981">
        <f t="shared" si="778"/>
        <v>0</v>
      </c>
      <c r="E443" s="434">
        <f t="shared" si="779"/>
        <v>0</v>
      </c>
      <c r="F443" s="434">
        <f t="shared" si="780"/>
        <v>0</v>
      </c>
      <c r="G443" s="434">
        <f t="shared" si="781"/>
        <v>0</v>
      </c>
      <c r="H443" s="434">
        <f t="shared" si="782"/>
        <v>0</v>
      </c>
      <c r="I443" s="434">
        <f t="shared" si="783"/>
        <v>0</v>
      </c>
      <c r="J443" s="434">
        <f t="shared" si="784"/>
        <v>0</v>
      </c>
      <c r="K443" s="434">
        <f t="shared" si="785"/>
        <v>0</v>
      </c>
      <c r="L443" s="434">
        <f t="shared" si="823"/>
        <v>0</v>
      </c>
      <c r="M443" s="982">
        <f t="shared" si="824"/>
        <v>0</v>
      </c>
      <c r="O443" s="981">
        <f t="shared" si="840"/>
        <v>0</v>
      </c>
      <c r="P443" s="434">
        <f t="shared" si="841"/>
        <v>0</v>
      </c>
      <c r="Q443" s="434">
        <f t="shared" si="842"/>
        <v>0</v>
      </c>
      <c r="R443" s="434">
        <f t="shared" si="843"/>
        <v>0</v>
      </c>
      <c r="S443" s="434">
        <f t="shared" si="844"/>
        <v>0</v>
      </c>
      <c r="T443" s="434">
        <f t="shared" si="845"/>
        <v>0</v>
      </c>
      <c r="U443" s="434">
        <f t="shared" si="846"/>
        <v>0</v>
      </c>
      <c r="V443" s="434">
        <f t="shared" si="847"/>
        <v>0</v>
      </c>
      <c r="W443" s="434">
        <f t="shared" si="794"/>
        <v>0</v>
      </c>
      <c r="X443" s="982">
        <f t="shared" si="795"/>
        <v>0</v>
      </c>
      <c r="Y443" s="441"/>
      <c r="Z443" s="277">
        <f t="shared" si="796"/>
        <v>0</v>
      </c>
      <c r="AA443" s="277">
        <f t="shared" si="797"/>
        <v>0</v>
      </c>
      <c r="AB443" s="277">
        <f t="shared" si="798"/>
        <v>0</v>
      </c>
      <c r="AC443" s="277">
        <f t="shared" si="799"/>
        <v>0</v>
      </c>
      <c r="AD443" s="277">
        <f t="shared" si="800"/>
        <v>0</v>
      </c>
      <c r="AE443" s="277">
        <f t="shared" si="801"/>
        <v>0</v>
      </c>
      <c r="AF443" s="277">
        <f t="shared" si="802"/>
        <v>0</v>
      </c>
      <c r="AG443" s="277">
        <f t="shared" si="803"/>
        <v>0</v>
      </c>
      <c r="AI443" s="444">
        <f t="shared" si="848"/>
        <v>0</v>
      </c>
      <c r="AJ443" s="1090"/>
      <c r="AK443" s="489"/>
      <c r="AL443" s="811">
        <f t="shared" si="805"/>
        <v>46322</v>
      </c>
      <c r="AM443" s="666">
        <f>IFERROR(IF(AND(AT443="",AR443&lt;&gt;S.CAL!$BJ$3,AR443&lt;&gt;S.CAL!$BJ$4,$AR$410="NON"),M443-BD443,IF(AND(AT443="",AR443&lt;&gt;S.CAL!$BJ$3,AR443&lt;&gt;S.CAL!$BJ$4,$AR$410="OUI"),X443-AI443,IF(AT443&lt;&gt;0,AT443,IF(OR(AR443=S.CAL!$BJ$3,AR443=S.CAL!$BJ$4),AR443,"")))),"")</f>
        <v>0</v>
      </c>
      <c r="AN443" s="1093"/>
      <c r="AO443" s="1094"/>
      <c r="AP443" s="666">
        <f>+IF(AND(AU443="",BB443="OUI",BH443="non",BI443="OUI"),AM443,IF(AND(AU443="",BB443="OUI",BH443="oui",BI443="NON"),AM443,IF(AND(AU443="",BB443="NON",BH443="oui",BI443="NON"),M443,IF(AND(AU443="",BB443="NON",BH443="non",BI443="OUI"),M443,IF(AND(AU443="",BB443="OUI",BH443="non",BI443="NON"),"ERREUR",IF(AND(AU443="",BB443="NON",BH443="non",BI443="NON"),AM443,IF(AND(AU443="",BB443="OUI",BH443="",BI443=""),AM443,IF(AND(AU443="",BB443="NON",BH443="",BI443="",AZ443="NON"),M443,IF(AND(AU443="",BH443="",AZ443="OUI",AR443=""),AM443,IF(AND(AU443="",BH443="",AZ443="NON",AR443="",AT443=""),M443,IF(AND(OR(AR443=S.CAL!$BJ$3,AR443=S.CAL!$BJ$4),(VLOOKUP($AM$410,base_nbre_sem_mensu,2,FALSE)=52)),EE443,IF(AND(OR(AR443=S.CAL!$BJ$3,AR443=S.CAL!$BJ$4),(VLOOKUP($AM$410,base_nbre_sem_mensu,2,FALSE)&lt;52)),AM443,IF(AND(AT443&lt;&gt;"",AU443=""),AT443,AU443)))))))))))))</f>
        <v>0</v>
      </c>
      <c r="AQ443" s="498">
        <f t="shared" si="825"/>
        <v>0</v>
      </c>
      <c r="AR443" s="1098"/>
      <c r="AT443" s="1101"/>
      <c r="AU443" s="813"/>
      <c r="AV443" s="1370">
        <f t="shared" si="806"/>
        <v>46322</v>
      </c>
      <c r="AX443" s="511">
        <f t="shared" si="826"/>
        <v>46322</v>
      </c>
      <c r="AY443" s="523">
        <f t="shared" si="827"/>
        <v>0</v>
      </c>
      <c r="AZ443" s="520" t="s">
        <v>137</v>
      </c>
      <c r="BA443" s="516">
        <f t="shared" si="828"/>
        <v>0</v>
      </c>
      <c r="BB443" s="549" t="str">
        <f t="shared" si="807"/>
        <v/>
      </c>
      <c r="BC443" s="523">
        <f t="shared" si="829"/>
        <v>0</v>
      </c>
      <c r="BD443" s="523">
        <f t="shared" si="830"/>
        <v>0</v>
      </c>
      <c r="BE443" s="732"/>
      <c r="BF443" s="514" t="str">
        <f t="shared" si="808"/>
        <v/>
      </c>
      <c r="BG443" s="514" t="str">
        <f t="shared" si="831"/>
        <v>oui</v>
      </c>
      <c r="BH443" s="377" t="str">
        <f t="shared" si="809"/>
        <v/>
      </c>
      <c r="BI443" s="24" t="str">
        <f t="shared" si="810"/>
        <v/>
      </c>
      <c r="BJ443" s="1381"/>
      <c r="BK443" s="1381"/>
      <c r="BL443" s="1381"/>
      <c r="BM443" s="1381"/>
      <c r="BN443" s="1381"/>
      <c r="BO443" s="1381"/>
      <c r="BP443" s="1381"/>
      <c r="BQ443" s="1381"/>
      <c r="BS443" s="1370">
        <f t="shared" si="777"/>
        <v>46322</v>
      </c>
      <c r="BT443" s="27" t="str">
        <f t="shared" si="839"/>
        <v/>
      </c>
      <c r="BU443" s="1380"/>
      <c r="BV443" s="1380"/>
      <c r="BW443" s="1380"/>
      <c r="BX443" s="1380"/>
      <c r="BY443" s="1380"/>
      <c r="BZ443" s="1380"/>
      <c r="CA443" s="1380"/>
      <c r="CB443" s="1380"/>
      <c r="CD443" s="1386">
        <f t="shared" si="832"/>
        <v>0</v>
      </c>
      <c r="DC443" s="16" t="str">
        <f>Octobre!FC46</f>
        <v>non</v>
      </c>
      <c r="DG443" s="315">
        <f t="shared" si="833"/>
        <v>1</v>
      </c>
      <c r="DH443" s="129">
        <f t="shared" si="811"/>
        <v>10</v>
      </c>
      <c r="DI443" s="129">
        <f t="shared" si="834"/>
        <v>1</v>
      </c>
      <c r="DK443" s="16">
        <f>+IF(AND(Octobre!$DP$8&lt;&gt;52,AR443=S.CAL!$BJ$4),10,1)</f>
        <v>1</v>
      </c>
      <c r="DN443" s="16">
        <f t="shared" si="812"/>
        <v>1</v>
      </c>
      <c r="DU443" s="1274" t="str">
        <f t="shared" si="835"/>
        <v>Fiche infoA246322</v>
      </c>
      <c r="DV443" s="1362">
        <f t="shared" si="813"/>
        <v>0</v>
      </c>
      <c r="DW443" s="1363">
        <f t="shared" si="814"/>
        <v>0</v>
      </c>
      <c r="DX443" s="1363">
        <f t="shared" si="815"/>
        <v>0</v>
      </c>
      <c r="DY443" s="1363">
        <f t="shared" si="816"/>
        <v>0</v>
      </c>
      <c r="DZ443" s="1363">
        <f t="shared" si="817"/>
        <v>0</v>
      </c>
      <c r="EA443" s="1363">
        <f t="shared" si="818"/>
        <v>0</v>
      </c>
      <c r="EB443" s="1363">
        <f t="shared" si="819"/>
        <v>0</v>
      </c>
      <c r="EC443" s="1363">
        <f t="shared" si="820"/>
        <v>0</v>
      </c>
      <c r="ED443" s="1363">
        <f t="shared" si="836"/>
        <v>0</v>
      </c>
      <c r="EE443" s="1364">
        <f t="shared" si="837"/>
        <v>0</v>
      </c>
      <c r="EG443" s="16" t="str">
        <f t="shared" si="838"/>
        <v>442026</v>
      </c>
      <c r="EH443" s="16" t="str">
        <f t="shared" si="821"/>
        <v>Fiche infoA2</v>
      </c>
      <c r="EI443" s="16" t="str">
        <f t="shared" si="822"/>
        <v/>
      </c>
    </row>
    <row r="444" spans="1:139" x14ac:dyDescent="0.2">
      <c r="A444" s="1373" t="str">
        <f>Octobre!BJ47</f>
        <v>Fiche infoA3</v>
      </c>
      <c r="B444" s="811">
        <f>Octobre!AB47</f>
        <v>46323</v>
      </c>
      <c r="C444" s="1372"/>
      <c r="D444" s="981">
        <f t="shared" si="778"/>
        <v>0</v>
      </c>
      <c r="E444" s="434">
        <f t="shared" si="779"/>
        <v>0</v>
      </c>
      <c r="F444" s="434">
        <f t="shared" si="780"/>
        <v>0</v>
      </c>
      <c r="G444" s="434">
        <f t="shared" si="781"/>
        <v>0</v>
      </c>
      <c r="H444" s="434">
        <f t="shared" si="782"/>
        <v>0</v>
      </c>
      <c r="I444" s="434">
        <f t="shared" si="783"/>
        <v>0</v>
      </c>
      <c r="J444" s="434">
        <f t="shared" si="784"/>
        <v>0</v>
      </c>
      <c r="K444" s="434">
        <f t="shared" si="785"/>
        <v>0</v>
      </c>
      <c r="L444" s="434">
        <f t="shared" si="823"/>
        <v>0</v>
      </c>
      <c r="M444" s="982">
        <f t="shared" si="824"/>
        <v>0</v>
      </c>
      <c r="N444" s="1374"/>
      <c r="O444" s="981">
        <f t="shared" si="840"/>
        <v>0</v>
      </c>
      <c r="P444" s="434">
        <f t="shared" si="841"/>
        <v>0</v>
      </c>
      <c r="Q444" s="434">
        <f t="shared" si="842"/>
        <v>0</v>
      </c>
      <c r="R444" s="434">
        <f t="shared" si="843"/>
        <v>0</v>
      </c>
      <c r="S444" s="434">
        <f t="shared" si="844"/>
        <v>0</v>
      </c>
      <c r="T444" s="434">
        <f t="shared" si="845"/>
        <v>0</v>
      </c>
      <c r="U444" s="434">
        <f t="shared" si="846"/>
        <v>0</v>
      </c>
      <c r="V444" s="434">
        <f t="shared" si="847"/>
        <v>0</v>
      </c>
      <c r="W444" s="434">
        <f t="shared" si="794"/>
        <v>0</v>
      </c>
      <c r="X444" s="982">
        <f t="shared" si="795"/>
        <v>0</v>
      </c>
      <c r="Y444" s="1375"/>
      <c r="Z444" s="1376">
        <f t="shared" si="796"/>
        <v>0</v>
      </c>
      <c r="AA444" s="1376">
        <f t="shared" si="797"/>
        <v>0</v>
      </c>
      <c r="AB444" s="1376">
        <f t="shared" si="798"/>
        <v>0</v>
      </c>
      <c r="AC444" s="1376">
        <f t="shared" si="799"/>
        <v>0</v>
      </c>
      <c r="AD444" s="1376">
        <f t="shared" si="800"/>
        <v>0</v>
      </c>
      <c r="AE444" s="1376">
        <f t="shared" si="801"/>
        <v>0</v>
      </c>
      <c r="AF444" s="1376">
        <f t="shared" si="802"/>
        <v>0</v>
      </c>
      <c r="AG444" s="1376">
        <f t="shared" si="803"/>
        <v>0</v>
      </c>
      <c r="AH444" s="1374"/>
      <c r="AI444" s="444">
        <f t="shared" si="848"/>
        <v>0</v>
      </c>
      <c r="AJ444" s="1090"/>
      <c r="AK444" s="1377"/>
      <c r="AL444" s="811">
        <f t="shared" si="805"/>
        <v>46323</v>
      </c>
      <c r="AM444" s="666">
        <f>IFERROR(IF(AND(AT444="",AR444&lt;&gt;S.CAL!$BJ$3,AR444&lt;&gt;S.CAL!$BJ$4,$AR$410="NON"),M444-BD444,IF(AND(AT444="",AR444&lt;&gt;S.CAL!$BJ$3,AR444&lt;&gt;S.CAL!$BJ$4,$AR$410="OUI"),X444-AI444,IF(AT444&lt;&gt;0,AT444,IF(OR(AR444=S.CAL!$BJ$3,AR444=S.CAL!$BJ$4),AR444,"")))),"")</f>
        <v>0</v>
      </c>
      <c r="AN444" s="1093"/>
      <c r="AO444" s="1094"/>
      <c r="AP444" s="666">
        <f>+IF(AND(AU444="",BB444="OUI",BH444="non",BI444="OUI"),AM444,IF(AND(AU444="",BB444="OUI",BH444="oui",BI444="NON"),AM444,IF(AND(AU444="",BB444="NON",BH444="oui",BI444="NON"),M444,IF(AND(AU444="",BB444="NON",BH444="non",BI444="OUI"),M444,IF(AND(AU444="",BB444="OUI",BH444="non",BI444="NON"),"ERREUR",IF(AND(AU444="",BB444="NON",BH444="non",BI444="NON"),AM444,IF(AND(AU444="",BB444="OUI",BH444="",BI444=""),AM444,IF(AND(AU444="",BB444="NON",BH444="",BI444="",AZ444="NON"),M444,IF(AND(AU444="",BH444="",AZ444="OUI",AR444=""),AM444,IF(AND(AU444="",BH444="",AZ444="NON",AR444="",AT444=""),M444,IF(AND(OR(AR444=S.CAL!$BJ$3,AR444=S.CAL!$BJ$4),(VLOOKUP($AM$410,base_nbre_sem_mensu,2,FALSE)=52)),EE444,IF(AND(OR(AR444=S.CAL!$BJ$3,AR444=S.CAL!$BJ$4),(VLOOKUP($AM$410,base_nbre_sem_mensu,2,FALSE)&lt;52)),AM444,IF(AND(AT444&lt;&gt;"",AU444=""),AT444,AU444)))))))))))))</f>
        <v>0</v>
      </c>
      <c r="AQ444" s="1378">
        <f t="shared" si="825"/>
        <v>0</v>
      </c>
      <c r="AR444" s="1098"/>
      <c r="AS444" s="1374"/>
      <c r="AT444" s="1101"/>
      <c r="AU444" s="813"/>
      <c r="AV444" s="1370">
        <f t="shared" si="806"/>
        <v>46323</v>
      </c>
      <c r="AW444" s="1374"/>
      <c r="AX444" s="511">
        <f t="shared" si="826"/>
        <v>46323</v>
      </c>
      <c r="AY444" s="523">
        <f t="shared" si="827"/>
        <v>0</v>
      </c>
      <c r="AZ444" s="520" t="s">
        <v>137</v>
      </c>
      <c r="BA444" s="516">
        <f t="shared" si="828"/>
        <v>0</v>
      </c>
      <c r="BB444" s="549" t="str">
        <f t="shared" si="807"/>
        <v/>
      </c>
      <c r="BC444" s="523">
        <f t="shared" si="829"/>
        <v>0</v>
      </c>
      <c r="BD444" s="523">
        <f t="shared" si="830"/>
        <v>0</v>
      </c>
      <c r="BE444" s="732"/>
      <c r="BF444" s="514" t="str">
        <f t="shared" si="808"/>
        <v/>
      </c>
      <c r="BG444" s="514" t="str">
        <f t="shared" si="831"/>
        <v>oui</v>
      </c>
      <c r="BH444" s="377" t="str">
        <f t="shared" si="809"/>
        <v/>
      </c>
      <c r="BI444" s="24" t="str">
        <f t="shared" si="810"/>
        <v/>
      </c>
      <c r="BJ444" s="1382"/>
      <c r="BK444" s="1382"/>
      <c r="BL444" s="1382"/>
      <c r="BM444" s="1382"/>
      <c r="BN444" s="1382"/>
      <c r="BO444" s="1382"/>
      <c r="BP444" s="1382"/>
      <c r="BQ444" s="1382"/>
      <c r="BR444" s="1383"/>
      <c r="BS444" s="1370">
        <f t="shared" si="777"/>
        <v>46323</v>
      </c>
      <c r="BT444" s="1384" t="str">
        <f t="shared" si="839"/>
        <v/>
      </c>
      <c r="BU444" s="1382"/>
      <c r="BV444" s="1382"/>
      <c r="BW444" s="1382"/>
      <c r="BX444" s="1382"/>
      <c r="BY444" s="1382"/>
      <c r="BZ444" s="1382"/>
      <c r="CA444" s="1382"/>
      <c r="CB444" s="1382"/>
      <c r="CD444" s="1386">
        <f t="shared" si="832"/>
        <v>0</v>
      </c>
      <c r="DC444" s="16" t="str">
        <f>Octobre!FC47</f>
        <v>non</v>
      </c>
      <c r="DG444" s="315">
        <f t="shared" si="833"/>
        <v>1</v>
      </c>
      <c r="DH444" s="129">
        <f t="shared" si="811"/>
        <v>10</v>
      </c>
      <c r="DI444" s="129">
        <f t="shared" si="834"/>
        <v>1</v>
      </c>
      <c r="DK444" s="16">
        <f>+IF(AND(Octobre!$DP$8&lt;&gt;52,AR444=S.CAL!$BJ$4),10,1)</f>
        <v>1</v>
      </c>
      <c r="DN444" s="16">
        <f t="shared" si="812"/>
        <v>1</v>
      </c>
      <c r="DU444" s="1274" t="str">
        <f t="shared" si="835"/>
        <v>Fiche infoA346323</v>
      </c>
      <c r="DV444" s="1362">
        <f t="shared" si="813"/>
        <v>0</v>
      </c>
      <c r="DW444" s="1363">
        <f t="shared" si="814"/>
        <v>0</v>
      </c>
      <c r="DX444" s="1363">
        <f t="shared" si="815"/>
        <v>0</v>
      </c>
      <c r="DY444" s="1363">
        <f t="shared" si="816"/>
        <v>0</v>
      </c>
      <c r="DZ444" s="1363">
        <f t="shared" si="817"/>
        <v>0</v>
      </c>
      <c r="EA444" s="1363">
        <f t="shared" si="818"/>
        <v>0</v>
      </c>
      <c r="EB444" s="1363">
        <f t="shared" si="819"/>
        <v>0</v>
      </c>
      <c r="EC444" s="1363">
        <f t="shared" si="820"/>
        <v>0</v>
      </c>
      <c r="ED444" s="1363">
        <f t="shared" si="836"/>
        <v>0</v>
      </c>
      <c r="EE444" s="1364">
        <f t="shared" si="837"/>
        <v>0</v>
      </c>
      <c r="EG444" s="16" t="str">
        <f t="shared" si="838"/>
        <v>442026</v>
      </c>
      <c r="EH444" s="16" t="str">
        <f t="shared" si="821"/>
        <v>Fiche infoA3</v>
      </c>
      <c r="EI444" s="16" t="str">
        <f t="shared" si="822"/>
        <v/>
      </c>
    </row>
    <row r="445" spans="1:139" x14ac:dyDescent="0.2">
      <c r="A445" s="24" t="str">
        <f>Octobre!BJ48</f>
        <v>Fiche infoA4</v>
      </c>
      <c r="B445" s="811">
        <f>Octobre!AB48</f>
        <v>46324</v>
      </c>
      <c r="C445" s="1371"/>
      <c r="D445" s="981">
        <f t="shared" si="778"/>
        <v>0</v>
      </c>
      <c r="E445" s="434">
        <f t="shared" si="779"/>
        <v>0</v>
      </c>
      <c r="F445" s="434">
        <f t="shared" si="780"/>
        <v>0</v>
      </c>
      <c r="G445" s="434">
        <f t="shared" si="781"/>
        <v>0</v>
      </c>
      <c r="H445" s="434">
        <f t="shared" si="782"/>
        <v>0</v>
      </c>
      <c r="I445" s="434">
        <f t="shared" si="783"/>
        <v>0</v>
      </c>
      <c r="J445" s="434">
        <f t="shared" si="784"/>
        <v>0</v>
      </c>
      <c r="K445" s="434">
        <f t="shared" si="785"/>
        <v>0</v>
      </c>
      <c r="L445" s="434">
        <f t="shared" si="823"/>
        <v>0</v>
      </c>
      <c r="M445" s="982">
        <f t="shared" si="824"/>
        <v>0</v>
      </c>
      <c r="O445" s="981">
        <f t="shared" si="840"/>
        <v>0</v>
      </c>
      <c r="P445" s="434">
        <f t="shared" si="841"/>
        <v>0</v>
      </c>
      <c r="Q445" s="434">
        <f t="shared" si="842"/>
        <v>0</v>
      </c>
      <c r="R445" s="434">
        <f t="shared" si="843"/>
        <v>0</v>
      </c>
      <c r="S445" s="434">
        <f t="shared" si="844"/>
        <v>0</v>
      </c>
      <c r="T445" s="434">
        <f t="shared" si="845"/>
        <v>0</v>
      </c>
      <c r="U445" s="434">
        <f t="shared" si="846"/>
        <v>0</v>
      </c>
      <c r="V445" s="434">
        <f t="shared" si="847"/>
        <v>0</v>
      </c>
      <c r="W445" s="434">
        <f t="shared" si="794"/>
        <v>0</v>
      </c>
      <c r="X445" s="982">
        <f t="shared" si="795"/>
        <v>0</v>
      </c>
      <c r="Y445" s="441"/>
      <c r="Z445" s="277">
        <f t="shared" si="796"/>
        <v>0</v>
      </c>
      <c r="AA445" s="277">
        <f t="shared" si="797"/>
        <v>0</v>
      </c>
      <c r="AB445" s="277">
        <f t="shared" si="798"/>
        <v>0</v>
      </c>
      <c r="AC445" s="277">
        <f t="shared" si="799"/>
        <v>0</v>
      </c>
      <c r="AD445" s="277">
        <f t="shared" si="800"/>
        <v>0</v>
      </c>
      <c r="AE445" s="277">
        <f t="shared" si="801"/>
        <v>0</v>
      </c>
      <c r="AF445" s="277">
        <f t="shared" si="802"/>
        <v>0</v>
      </c>
      <c r="AG445" s="277">
        <f t="shared" si="803"/>
        <v>0</v>
      </c>
      <c r="AI445" s="444">
        <f t="shared" si="848"/>
        <v>0</v>
      </c>
      <c r="AJ445" s="1090"/>
      <c r="AK445" s="489"/>
      <c r="AL445" s="811">
        <f t="shared" si="805"/>
        <v>46324</v>
      </c>
      <c r="AM445" s="666">
        <f>IFERROR(IF(AND(AT445="",AR445&lt;&gt;S.CAL!$BJ$3,AR445&lt;&gt;S.CAL!$BJ$4,$AR$410="NON"),M445-BD445,IF(AND(AT445="",AR445&lt;&gt;S.CAL!$BJ$3,AR445&lt;&gt;S.CAL!$BJ$4,$AR$410="OUI"),X445-AI445,IF(AT445&lt;&gt;0,AT445,IF(OR(AR445=S.CAL!$BJ$3,AR445=S.CAL!$BJ$4),AR445,"")))),"")</f>
        <v>0</v>
      </c>
      <c r="AN445" s="1093"/>
      <c r="AO445" s="1094"/>
      <c r="AP445" s="666">
        <f>+IF(AND(AU445="",BB445="OUI",BH445="non",BI445="OUI"),AM445,IF(AND(AU445="",BB445="OUI",BH445="oui",BI445="NON"),AM445,IF(AND(AU445="",BB445="NON",BH445="oui",BI445="NON"),M445,IF(AND(AU445="",BB445="NON",BH445="non",BI445="OUI"),M445,IF(AND(AU445="",BB445="OUI",BH445="non",BI445="NON"),"ERREUR",IF(AND(AU445="",BB445="NON",BH445="non",BI445="NON"),AM445,IF(AND(AU445="",BB445="OUI",BH445="",BI445=""),AM445,IF(AND(AU445="",BB445="NON",BH445="",BI445="",AZ445="NON"),M445,IF(AND(AU445="",BH445="",AZ445="OUI",AR445=""),AM445,IF(AND(AU445="",BH445="",AZ445="NON",AR445="",AT445=""),M445,IF(AND(OR(AR445=S.CAL!$BJ$3,AR445=S.CAL!$BJ$4),(VLOOKUP($AM$410,base_nbre_sem_mensu,2,FALSE)=52)),EE445,IF(AND(OR(AR445=S.CAL!$BJ$3,AR445=S.CAL!$BJ$4),(VLOOKUP($AM$410,base_nbre_sem_mensu,2,FALSE)&lt;52)),AM445,IF(AND(AT445&lt;&gt;"",AU445=""),AT445,AU445)))))))))))))</f>
        <v>0</v>
      </c>
      <c r="AQ445" s="498">
        <f t="shared" si="825"/>
        <v>0</v>
      </c>
      <c r="AR445" s="1098"/>
      <c r="AT445" s="1101"/>
      <c r="AU445" s="813"/>
      <c r="AV445" s="1370">
        <f t="shared" si="806"/>
        <v>46324</v>
      </c>
      <c r="AX445" s="511">
        <f t="shared" si="826"/>
        <v>46324</v>
      </c>
      <c r="AY445" s="523">
        <f t="shared" si="827"/>
        <v>0</v>
      </c>
      <c r="AZ445" s="520" t="s">
        <v>137</v>
      </c>
      <c r="BA445" s="516">
        <f t="shared" si="828"/>
        <v>0</v>
      </c>
      <c r="BB445" s="549" t="str">
        <f t="shared" si="807"/>
        <v/>
      </c>
      <c r="BC445" s="523">
        <f t="shared" si="829"/>
        <v>0</v>
      </c>
      <c r="BD445" s="523">
        <f t="shared" si="830"/>
        <v>0</v>
      </c>
      <c r="BE445" s="732"/>
      <c r="BF445" s="514" t="str">
        <f t="shared" si="808"/>
        <v/>
      </c>
      <c r="BG445" s="514" t="str">
        <f t="shared" si="831"/>
        <v>oui</v>
      </c>
      <c r="BH445" s="377" t="str">
        <f t="shared" si="809"/>
        <v/>
      </c>
      <c r="BI445" s="24" t="str">
        <f t="shared" si="810"/>
        <v/>
      </c>
      <c r="BJ445" s="1381"/>
      <c r="BK445" s="1381"/>
      <c r="BL445" s="1381"/>
      <c r="BM445" s="1381"/>
      <c r="BN445" s="1381"/>
      <c r="BO445" s="1381"/>
      <c r="BP445" s="1381"/>
      <c r="BQ445" s="1381"/>
      <c r="BS445" s="1370">
        <f t="shared" si="777"/>
        <v>46324</v>
      </c>
      <c r="BT445" s="27" t="str">
        <f t="shared" si="839"/>
        <v/>
      </c>
      <c r="BU445" s="1380"/>
      <c r="BV445" s="1380"/>
      <c r="BW445" s="1380"/>
      <c r="BX445" s="1380"/>
      <c r="BY445" s="1380"/>
      <c r="BZ445" s="1380"/>
      <c r="CA445" s="1380"/>
      <c r="CB445" s="1380"/>
      <c r="CD445" s="1386">
        <f t="shared" si="832"/>
        <v>0</v>
      </c>
      <c r="DC445" s="16" t="str">
        <f>Octobre!FC48</f>
        <v>non</v>
      </c>
      <c r="DG445" s="315">
        <f t="shared" si="833"/>
        <v>1</v>
      </c>
      <c r="DH445" s="129">
        <f t="shared" si="811"/>
        <v>10</v>
      </c>
      <c r="DI445" s="129">
        <f t="shared" si="834"/>
        <v>1</v>
      </c>
      <c r="DK445" s="16">
        <f>+IF(AND(Octobre!$DP$8&lt;&gt;52,AR445=S.CAL!$BJ$4),10,1)</f>
        <v>1</v>
      </c>
      <c r="DN445" s="16">
        <f t="shared" si="812"/>
        <v>1</v>
      </c>
      <c r="DU445" s="1274" t="str">
        <f t="shared" si="835"/>
        <v>Fiche infoA446324</v>
      </c>
      <c r="DV445" s="1362">
        <f t="shared" si="813"/>
        <v>0</v>
      </c>
      <c r="DW445" s="1363">
        <f t="shared" si="814"/>
        <v>0</v>
      </c>
      <c r="DX445" s="1363">
        <f t="shared" si="815"/>
        <v>0</v>
      </c>
      <c r="DY445" s="1363">
        <f t="shared" si="816"/>
        <v>0</v>
      </c>
      <c r="DZ445" s="1363">
        <f t="shared" si="817"/>
        <v>0</v>
      </c>
      <c r="EA445" s="1363">
        <f t="shared" si="818"/>
        <v>0</v>
      </c>
      <c r="EB445" s="1363">
        <f t="shared" si="819"/>
        <v>0</v>
      </c>
      <c r="EC445" s="1363">
        <f t="shared" si="820"/>
        <v>0</v>
      </c>
      <c r="ED445" s="1363">
        <f t="shared" si="836"/>
        <v>0</v>
      </c>
      <c r="EE445" s="1364">
        <f t="shared" si="837"/>
        <v>0</v>
      </c>
      <c r="EG445" s="16" t="str">
        <f t="shared" si="838"/>
        <v>442026</v>
      </c>
      <c r="EH445" s="16" t="str">
        <f t="shared" si="821"/>
        <v>Fiche infoA4</v>
      </c>
      <c r="EI445" s="16" t="str">
        <f t="shared" si="822"/>
        <v/>
      </c>
    </row>
    <row r="446" spans="1:139" x14ac:dyDescent="0.2">
      <c r="A446" s="1373" t="str">
        <f>Octobre!BJ49</f>
        <v>Fiche infoA5</v>
      </c>
      <c r="B446" s="811">
        <f>Octobre!AB49</f>
        <v>46325</v>
      </c>
      <c r="C446" s="1372"/>
      <c r="D446" s="981">
        <f t="shared" si="778"/>
        <v>0</v>
      </c>
      <c r="E446" s="434">
        <f t="shared" si="779"/>
        <v>0</v>
      </c>
      <c r="F446" s="434">
        <f t="shared" si="780"/>
        <v>0</v>
      </c>
      <c r="G446" s="434">
        <f t="shared" si="781"/>
        <v>0</v>
      </c>
      <c r="H446" s="434">
        <f t="shared" si="782"/>
        <v>0</v>
      </c>
      <c r="I446" s="434">
        <f t="shared" si="783"/>
        <v>0</v>
      </c>
      <c r="J446" s="434">
        <f t="shared" si="784"/>
        <v>0</v>
      </c>
      <c r="K446" s="434">
        <f t="shared" si="785"/>
        <v>0</v>
      </c>
      <c r="L446" s="434">
        <f t="shared" si="823"/>
        <v>0</v>
      </c>
      <c r="M446" s="982">
        <f t="shared" si="824"/>
        <v>0</v>
      </c>
      <c r="N446" s="1374"/>
      <c r="O446" s="981">
        <f t="shared" si="840"/>
        <v>0</v>
      </c>
      <c r="P446" s="434">
        <f t="shared" si="841"/>
        <v>0</v>
      </c>
      <c r="Q446" s="434">
        <f t="shared" si="842"/>
        <v>0</v>
      </c>
      <c r="R446" s="434">
        <f t="shared" si="843"/>
        <v>0</v>
      </c>
      <c r="S446" s="434">
        <f t="shared" si="844"/>
        <v>0</v>
      </c>
      <c r="T446" s="434">
        <f t="shared" si="845"/>
        <v>0</v>
      </c>
      <c r="U446" s="434">
        <f t="shared" si="846"/>
        <v>0</v>
      </c>
      <c r="V446" s="434">
        <f t="shared" si="847"/>
        <v>0</v>
      </c>
      <c r="W446" s="434">
        <f t="shared" si="794"/>
        <v>0</v>
      </c>
      <c r="X446" s="982">
        <f t="shared" si="795"/>
        <v>0</v>
      </c>
      <c r="Y446" s="1375"/>
      <c r="Z446" s="1376">
        <f t="shared" si="796"/>
        <v>0</v>
      </c>
      <c r="AA446" s="1376">
        <f t="shared" si="797"/>
        <v>0</v>
      </c>
      <c r="AB446" s="1376">
        <f t="shared" si="798"/>
        <v>0</v>
      </c>
      <c r="AC446" s="1376">
        <f t="shared" si="799"/>
        <v>0</v>
      </c>
      <c r="AD446" s="1376">
        <f t="shared" si="800"/>
        <v>0</v>
      </c>
      <c r="AE446" s="1376">
        <f t="shared" si="801"/>
        <v>0</v>
      </c>
      <c r="AF446" s="1376">
        <f t="shared" si="802"/>
        <v>0</v>
      </c>
      <c r="AG446" s="1376">
        <f t="shared" si="803"/>
        <v>0</v>
      </c>
      <c r="AH446" s="1374"/>
      <c r="AI446" s="444">
        <f t="shared" si="848"/>
        <v>0</v>
      </c>
      <c r="AJ446" s="1090"/>
      <c r="AK446" s="1377"/>
      <c r="AL446" s="811">
        <f t="shared" si="805"/>
        <v>46325</v>
      </c>
      <c r="AM446" s="666">
        <f>IFERROR(IF(AND(AT446="",AR446&lt;&gt;S.CAL!$BJ$3,AR446&lt;&gt;S.CAL!$BJ$4,$AR$410="NON"),M446-BD446,IF(AND(AT446="",AR446&lt;&gt;S.CAL!$BJ$3,AR446&lt;&gt;S.CAL!$BJ$4,$AR$410="OUI"),X446-AI446,IF(AT446&lt;&gt;0,AT446,IF(OR(AR446=S.CAL!$BJ$3,AR446=S.CAL!$BJ$4),AR446,"")))),"")</f>
        <v>0</v>
      </c>
      <c r="AN446" s="1093"/>
      <c r="AO446" s="1094"/>
      <c r="AP446" s="666">
        <f>+IF(AND(AU446="",BB446="OUI",BH446="non",BI446="OUI"),AM446,IF(AND(AU446="",BB446="OUI",BH446="oui",BI446="NON"),AM446,IF(AND(AU446="",BB446="NON",BH446="oui",BI446="NON"),M446,IF(AND(AU446="",BB446="NON",BH446="non",BI446="OUI"),M446,IF(AND(AU446="",BB446="OUI",BH446="non",BI446="NON"),"ERREUR",IF(AND(AU446="",BB446="NON",BH446="non",BI446="NON"),AM446,IF(AND(AU446="",BB446="OUI",BH446="",BI446=""),AM446,IF(AND(AU446="",BB446="NON",BH446="",BI446="",AZ446="NON"),M446,IF(AND(AU446="",BH446="",AZ446="OUI",AR446=""),AM446,IF(AND(AU446="",BH446="",AZ446="NON",AR446="",AT446=""),M446,IF(AND(OR(AR446=S.CAL!$BJ$3,AR446=S.CAL!$BJ$4),(VLOOKUP($AM$410,base_nbre_sem_mensu,2,FALSE)=52)),EE446,IF(AND(OR(AR446=S.CAL!$BJ$3,AR446=S.CAL!$BJ$4),(VLOOKUP($AM$410,base_nbre_sem_mensu,2,FALSE)&lt;52)),AM446,IF(AND(AT446&lt;&gt;"",AU446=""),AT446,AU446)))))))))))))</f>
        <v>0</v>
      </c>
      <c r="AQ446" s="1378">
        <f t="shared" si="825"/>
        <v>0</v>
      </c>
      <c r="AR446" s="1098"/>
      <c r="AS446" s="1374"/>
      <c r="AT446" s="1101"/>
      <c r="AU446" s="813"/>
      <c r="AV446" s="1370">
        <f t="shared" si="806"/>
        <v>46325</v>
      </c>
      <c r="AW446" s="1374"/>
      <c r="AX446" s="511">
        <f t="shared" si="826"/>
        <v>46325</v>
      </c>
      <c r="AY446" s="523">
        <f t="shared" si="827"/>
        <v>0</v>
      </c>
      <c r="AZ446" s="520" t="s">
        <v>137</v>
      </c>
      <c r="BA446" s="516">
        <f t="shared" si="828"/>
        <v>0</v>
      </c>
      <c r="BB446" s="549" t="str">
        <f t="shared" si="807"/>
        <v/>
      </c>
      <c r="BC446" s="523">
        <f t="shared" si="829"/>
        <v>0</v>
      </c>
      <c r="BD446" s="523">
        <f t="shared" si="830"/>
        <v>0</v>
      </c>
      <c r="BE446" s="732"/>
      <c r="BF446" s="514" t="str">
        <f t="shared" si="808"/>
        <v/>
      </c>
      <c r="BG446" s="514" t="str">
        <f t="shared" si="831"/>
        <v>oui</v>
      </c>
      <c r="BH446" s="377" t="str">
        <f t="shared" si="809"/>
        <v/>
      </c>
      <c r="BI446" s="24" t="str">
        <f t="shared" si="810"/>
        <v/>
      </c>
      <c r="BJ446" s="1382"/>
      <c r="BK446" s="1382"/>
      <c r="BL446" s="1382"/>
      <c r="BM446" s="1382"/>
      <c r="BN446" s="1382"/>
      <c r="BO446" s="1382"/>
      <c r="BP446" s="1382"/>
      <c r="BQ446" s="1382"/>
      <c r="BR446" s="1383"/>
      <c r="BS446" s="1370">
        <f t="shared" si="777"/>
        <v>46325</v>
      </c>
      <c r="BT446" s="1384" t="str">
        <f t="shared" si="839"/>
        <v/>
      </c>
      <c r="BU446" s="1382"/>
      <c r="BV446" s="1382"/>
      <c r="BW446" s="1382"/>
      <c r="BX446" s="1382"/>
      <c r="BY446" s="1382"/>
      <c r="BZ446" s="1382"/>
      <c r="CA446" s="1382"/>
      <c r="CB446" s="1382"/>
      <c r="CD446" s="1386">
        <f t="shared" si="832"/>
        <v>0</v>
      </c>
      <c r="DC446" s="16" t="str">
        <f>Octobre!FC49</f>
        <v>non</v>
      </c>
      <c r="DG446" s="315">
        <f t="shared" si="833"/>
        <v>1</v>
      </c>
      <c r="DH446" s="129">
        <f t="shared" si="811"/>
        <v>10</v>
      </c>
      <c r="DI446" s="129">
        <f t="shared" si="834"/>
        <v>1</v>
      </c>
      <c r="DK446" s="16">
        <f>+IF(AND(Octobre!$DP$8&lt;&gt;52,AR446=S.CAL!$BJ$4),10,1)</f>
        <v>1</v>
      </c>
      <c r="DN446" s="16">
        <f t="shared" si="812"/>
        <v>1</v>
      </c>
      <c r="DU446" s="1274" t="str">
        <f t="shared" si="835"/>
        <v>Fiche infoA546325</v>
      </c>
      <c r="DV446" s="1362">
        <f t="shared" si="813"/>
        <v>0</v>
      </c>
      <c r="DW446" s="1363">
        <f t="shared" si="814"/>
        <v>0</v>
      </c>
      <c r="DX446" s="1363">
        <f t="shared" si="815"/>
        <v>0</v>
      </c>
      <c r="DY446" s="1363">
        <f t="shared" si="816"/>
        <v>0</v>
      </c>
      <c r="DZ446" s="1363">
        <f t="shared" si="817"/>
        <v>0</v>
      </c>
      <c r="EA446" s="1363">
        <f t="shared" si="818"/>
        <v>0</v>
      </c>
      <c r="EB446" s="1363">
        <f t="shared" si="819"/>
        <v>0</v>
      </c>
      <c r="EC446" s="1363">
        <f t="shared" si="820"/>
        <v>0</v>
      </c>
      <c r="ED446" s="1363">
        <f t="shared" si="836"/>
        <v>0</v>
      </c>
      <c r="EE446" s="1364">
        <f t="shared" si="837"/>
        <v>0</v>
      </c>
      <c r="EG446" s="16" t="str">
        <f t="shared" si="838"/>
        <v>442026</v>
      </c>
      <c r="EH446" s="16" t="str">
        <f t="shared" si="821"/>
        <v>Fiche infoA5</v>
      </c>
      <c r="EI446" s="16" t="str">
        <f t="shared" si="822"/>
        <v/>
      </c>
    </row>
    <row r="447" spans="1:139" x14ac:dyDescent="0.2">
      <c r="A447" s="24" t="str">
        <f>Octobre!BJ50</f>
        <v>Fiche infoA6</v>
      </c>
      <c r="B447" s="812">
        <f>Octobre!AB50</f>
        <v>46326</v>
      </c>
      <c r="C447" s="1371"/>
      <c r="D447" s="983">
        <f t="shared" si="778"/>
        <v>0</v>
      </c>
      <c r="E447" s="984">
        <f t="shared" si="779"/>
        <v>0</v>
      </c>
      <c r="F447" s="984">
        <f t="shared" si="780"/>
        <v>0</v>
      </c>
      <c r="G447" s="984">
        <f t="shared" si="781"/>
        <v>0</v>
      </c>
      <c r="H447" s="984">
        <f t="shared" si="782"/>
        <v>0</v>
      </c>
      <c r="I447" s="984">
        <f t="shared" si="783"/>
        <v>0</v>
      </c>
      <c r="J447" s="984">
        <f t="shared" si="784"/>
        <v>0</v>
      </c>
      <c r="K447" s="984">
        <f t="shared" si="785"/>
        <v>0</v>
      </c>
      <c r="L447" s="984">
        <f t="shared" si="823"/>
        <v>0</v>
      </c>
      <c r="M447" s="985">
        <f t="shared" si="824"/>
        <v>0</v>
      </c>
      <c r="O447" s="983">
        <f t="shared" si="840"/>
        <v>0</v>
      </c>
      <c r="P447" s="984">
        <f t="shared" si="841"/>
        <v>0</v>
      </c>
      <c r="Q447" s="984">
        <f t="shared" si="842"/>
        <v>0</v>
      </c>
      <c r="R447" s="984">
        <f t="shared" si="843"/>
        <v>0</v>
      </c>
      <c r="S447" s="984">
        <f t="shared" si="844"/>
        <v>0</v>
      </c>
      <c r="T447" s="984">
        <f t="shared" si="845"/>
        <v>0</v>
      </c>
      <c r="U447" s="984">
        <f t="shared" si="846"/>
        <v>0</v>
      </c>
      <c r="V447" s="984">
        <f t="shared" si="847"/>
        <v>0</v>
      </c>
      <c r="W447" s="984">
        <f t="shared" si="794"/>
        <v>0</v>
      </c>
      <c r="X447" s="985">
        <f t="shared" si="795"/>
        <v>0</v>
      </c>
      <c r="Y447" s="441"/>
      <c r="Z447" s="277">
        <f t="shared" si="796"/>
        <v>0</v>
      </c>
      <c r="AA447" s="277">
        <f t="shared" si="797"/>
        <v>0</v>
      </c>
      <c r="AB447" s="277">
        <f t="shared" si="798"/>
        <v>0</v>
      </c>
      <c r="AC447" s="277">
        <f t="shared" si="799"/>
        <v>0</v>
      </c>
      <c r="AD447" s="277">
        <f t="shared" si="800"/>
        <v>0</v>
      </c>
      <c r="AE447" s="277">
        <f t="shared" si="801"/>
        <v>0</v>
      </c>
      <c r="AF447" s="277">
        <f t="shared" si="802"/>
        <v>0</v>
      </c>
      <c r="AG447" s="277">
        <f t="shared" si="803"/>
        <v>0</v>
      </c>
      <c r="AI447" s="444">
        <f t="shared" si="848"/>
        <v>0</v>
      </c>
      <c r="AJ447" s="1090"/>
      <c r="AK447" s="489"/>
      <c r="AL447" s="812">
        <f t="shared" si="805"/>
        <v>46326</v>
      </c>
      <c r="AM447" s="499">
        <f>IFERROR(IF(AND(AT447="",AR447&lt;&gt;S.CAL!$BJ$3,AR447&lt;&gt;S.CAL!$BJ$4,$AR$410="NON"),M447-BD447,IF(AND(AT447="",AR447&lt;&gt;S.CAL!$BJ$3,AR447&lt;&gt;S.CAL!$BJ$4,$AR$410="OUI"),X447-AI447,IF(AT447&lt;&gt;0,AT447,IF(OR(AR447=S.CAL!$BJ$3,AR447=S.CAL!$BJ$4),AR447,"")))),"")</f>
        <v>0</v>
      </c>
      <c r="AN447" s="1095"/>
      <c r="AO447" s="1096"/>
      <c r="AP447" s="499">
        <f>+IF(AND(AU447="",BB447="OUI",BH447="non",BI447="OUI"),AM447,IF(AND(AU447="",BB447="OUI",BH447="oui",BI447="NON"),AM447,IF(AND(AU447="",BB447="NON",BH447="oui",BI447="NON"),M447,IF(AND(AU447="",BB447="NON",BH447="non",BI447="OUI"),M447,IF(AND(AU447="",BB447="OUI",BH447="non",BI447="NON"),"ERREUR",IF(AND(AU447="",BB447="NON",BH447="non",BI447="NON"),AM447,IF(AND(AU447="",BB447="OUI",BH447="",BI447=""),AM447,IF(AND(AU447="",BB447="NON",BH447="",BI447="",AZ447="NON"),M447,IF(AND(AU447="",BH447="",AZ447="OUI",AR447=""),AM447,IF(AND(AU447="",BH447="",AZ447="NON",AR447="",AT447=""),M447,IF(AND(OR(AR447=S.CAL!$BJ$3,AR447=S.CAL!$BJ$4),(VLOOKUP($AM$410,base_nbre_sem_mensu,2,FALSE)=52)),EE447,IF(AND(OR(AR447=S.CAL!$BJ$3,AR447=S.CAL!$BJ$4),(VLOOKUP($AM$410,base_nbre_sem_mensu,2,FALSE)&lt;52)),AM447,IF(AND(AT447&lt;&gt;"",AU447=""),AT447,AU447)))))))))))))</f>
        <v>0</v>
      </c>
      <c r="AQ447" s="498">
        <f t="shared" si="825"/>
        <v>0</v>
      </c>
      <c r="AR447" s="1099"/>
      <c r="AT447" s="1102"/>
      <c r="AU447" s="814"/>
      <c r="AV447" s="812">
        <f t="shared" si="806"/>
        <v>46326</v>
      </c>
      <c r="AX447" s="511">
        <f t="shared" si="826"/>
        <v>46326</v>
      </c>
      <c r="AY447" s="524">
        <f t="shared" si="827"/>
        <v>0</v>
      </c>
      <c r="AZ447" s="521" t="s">
        <v>137</v>
      </c>
      <c r="BA447" s="534">
        <f t="shared" si="828"/>
        <v>0</v>
      </c>
      <c r="BB447" s="522" t="str">
        <f t="shared" si="807"/>
        <v/>
      </c>
      <c r="BC447" s="524">
        <f t="shared" si="829"/>
        <v>0</v>
      </c>
      <c r="BD447" s="524">
        <f t="shared" si="830"/>
        <v>0</v>
      </c>
      <c r="BE447" s="491"/>
      <c r="BF447" s="514" t="str">
        <f t="shared" si="808"/>
        <v/>
      </c>
      <c r="BG447" s="514" t="str">
        <f t="shared" si="831"/>
        <v>oui</v>
      </c>
      <c r="BH447" s="377" t="str">
        <f t="shared" si="809"/>
        <v/>
      </c>
      <c r="BI447" s="24" t="str">
        <f t="shared" si="810"/>
        <v/>
      </c>
      <c r="BJ447" s="1381"/>
      <c r="BK447" s="1381"/>
      <c r="BL447" s="1381"/>
      <c r="BM447" s="1381"/>
      <c r="BN447" s="1381"/>
      <c r="BO447" s="1381"/>
      <c r="BP447" s="1381"/>
      <c r="BQ447" s="1381"/>
      <c r="BS447" s="812">
        <f t="shared" si="777"/>
        <v>46326</v>
      </c>
      <c r="BT447" s="27" t="str">
        <f t="shared" si="839"/>
        <v/>
      </c>
      <c r="BU447" s="1380"/>
      <c r="BV447" s="1380"/>
      <c r="BW447" s="1380"/>
      <c r="BX447" s="1380"/>
      <c r="BY447" s="1380"/>
      <c r="BZ447" s="1380"/>
      <c r="CA447" s="1380"/>
      <c r="CB447" s="1380"/>
      <c r="CD447" s="1387">
        <f t="shared" si="832"/>
        <v>0</v>
      </c>
      <c r="DC447" s="16" t="str">
        <f>Octobre!FC50</f>
        <v>non</v>
      </c>
      <c r="DG447" s="315">
        <f t="shared" si="833"/>
        <v>1</v>
      </c>
      <c r="DH447" s="129">
        <f t="shared" si="811"/>
        <v>10</v>
      </c>
      <c r="DI447" s="129">
        <f t="shared" si="834"/>
        <v>1</v>
      </c>
      <c r="DK447" s="16">
        <f>+IF(AND(Octobre!$DP$8&lt;&gt;52,AR447=S.CAL!$BJ$4),10,1)</f>
        <v>1</v>
      </c>
      <c r="DN447" s="16">
        <f t="shared" si="812"/>
        <v>1</v>
      </c>
      <c r="DU447" s="1274" t="str">
        <f t="shared" si="835"/>
        <v>Fiche infoA646326</v>
      </c>
      <c r="DV447" s="1362">
        <f t="shared" si="813"/>
        <v>0</v>
      </c>
      <c r="DW447" s="1363">
        <f t="shared" si="814"/>
        <v>0</v>
      </c>
      <c r="DX447" s="1363">
        <f t="shared" si="815"/>
        <v>0</v>
      </c>
      <c r="DY447" s="1363">
        <f t="shared" si="816"/>
        <v>0</v>
      </c>
      <c r="DZ447" s="1363">
        <f t="shared" si="817"/>
        <v>0</v>
      </c>
      <c r="EA447" s="1363">
        <f t="shared" si="818"/>
        <v>0</v>
      </c>
      <c r="EB447" s="1363">
        <f t="shared" si="819"/>
        <v>0</v>
      </c>
      <c r="EC447" s="1363">
        <f t="shared" si="820"/>
        <v>0</v>
      </c>
      <c r="ED447" s="1363">
        <f t="shared" si="836"/>
        <v>0</v>
      </c>
      <c r="EE447" s="1364">
        <f t="shared" si="837"/>
        <v>0</v>
      </c>
      <c r="EG447" s="16" t="str">
        <f t="shared" si="838"/>
        <v>442026</v>
      </c>
      <c r="EH447" s="16" t="str">
        <f t="shared" si="821"/>
        <v>Fiche infoA6</v>
      </c>
      <c r="EI447" s="16" t="str">
        <f t="shared" si="822"/>
        <v/>
      </c>
    </row>
    <row r="448" spans="1:139" x14ac:dyDescent="0.2">
      <c r="AM448" s="536">
        <f>SUM(AM417:AM447)</f>
        <v>0</v>
      </c>
      <c r="AN448" s="500">
        <f>SUM(AN417:AN447)</f>
        <v>0</v>
      </c>
      <c r="AO448" s="500">
        <f>SUM(AO417:AO447)</f>
        <v>0</v>
      </c>
      <c r="AP448" s="501">
        <f>SUM(AP417:AP447)</f>
        <v>0</v>
      </c>
      <c r="BD448" s="537">
        <f>SUM(BD417:BD447)</f>
        <v>0</v>
      </c>
      <c r="EE448" s="1364"/>
    </row>
    <row r="449" spans="1:145" x14ac:dyDescent="0.2">
      <c r="X449" s="29" t="s">
        <v>441</v>
      </c>
      <c r="Y449" s="29"/>
      <c r="Z449" s="29"/>
      <c r="AA449" s="29"/>
      <c r="AB449" s="29"/>
      <c r="AC449" s="29"/>
      <c r="AD449" s="29"/>
      <c r="AE449" s="29"/>
      <c r="AF449" s="29"/>
      <c r="AG449" s="29"/>
      <c r="AI449" s="445">
        <f>SUM(AI417:AI447)</f>
        <v>0</v>
      </c>
      <c r="AJ449" s="19"/>
      <c r="AK449" s="19"/>
      <c r="AL449" s="19"/>
      <c r="AM449" s="19"/>
      <c r="AN449" s="19"/>
      <c r="AO449" s="19"/>
      <c r="AP449" s="19"/>
      <c r="AQ449" s="494"/>
    </row>
    <row r="451" spans="1:145" ht="23.25" x14ac:dyDescent="0.35">
      <c r="B451" s="435" t="s">
        <v>794</v>
      </c>
      <c r="C451" s="435"/>
      <c r="D451" s="435"/>
      <c r="BS451" s="19" t="s">
        <v>1524</v>
      </c>
      <c r="EK451" s="16" t="str">
        <f>+EG461</f>
        <v>numero sem</v>
      </c>
      <c r="EL451" s="27" t="s">
        <v>1518</v>
      </c>
      <c r="EM451" s="27" t="s">
        <v>1519</v>
      </c>
      <c r="EN451" s="16" t="s">
        <v>1520</v>
      </c>
    </row>
    <row r="452" spans="1:145" ht="13.5" thickBot="1" x14ac:dyDescent="0.25">
      <c r="AR452" s="1717" t="s">
        <v>989</v>
      </c>
      <c r="AS452" s="1718"/>
      <c r="AT452" s="1719"/>
      <c r="BT452" s="29" t="s">
        <v>1527</v>
      </c>
      <c r="BU452" s="27" t="str">
        <f>+IFERROR(EJ452,"")</f>
        <v>44</v>
      </c>
      <c r="BV452" s="53" t="str">
        <f>IF(BU452="","",+EN452)</f>
        <v>non</v>
      </c>
      <c r="BW452" s="1729" t="str">
        <f>+IF(BV452="oui", "Ecart "&amp;EO452&amp;" hrs","")</f>
        <v/>
      </c>
      <c r="BX452" s="1729"/>
      <c r="EJ452" s="16" t="str">
        <f>LEFT(EK452,LEN(EK452)-4)</f>
        <v>44</v>
      </c>
      <c r="EK452" s="16" t="str" cm="1">
        <f t="array" ref="EK452">IFERROR(INDEX(EG462:EG492,MATCH(0,INDEX(COUNTIF(EK451:EK451,EG462:EG492),0,0),0)),"")</f>
        <v>442026</v>
      </c>
      <c r="EL452" s="27">
        <f>+SUMIFS($EE$12:$EE$537,$EG$12:$EG$537,EK452)</f>
        <v>0</v>
      </c>
      <c r="EM452" s="27">
        <f>+SUMIFS($EI$12:$EI$537,$EG$12:$EG$537,EK452)</f>
        <v>0</v>
      </c>
      <c r="EN452" s="16" t="str">
        <f t="shared" ref="EN452:EN457" si="849">+IF(AND(EL452&lt;&gt;EM452,EK452&lt;&gt;""),"oui","non")</f>
        <v>non</v>
      </c>
      <c r="EO452" s="16">
        <f>+EL452-EM452</f>
        <v>0</v>
      </c>
    </row>
    <row r="453" spans="1:145" ht="13.5" thickTop="1" x14ac:dyDescent="0.2">
      <c r="C453" s="39" t="s">
        <v>793</v>
      </c>
      <c r="D453" s="1713">
        <f>+Identification!$B$7</f>
        <v>0</v>
      </c>
      <c r="E453" s="1713"/>
      <c r="F453" s="1713"/>
      <c r="G453" s="1713"/>
      <c r="O453" s="436" t="s">
        <v>76</v>
      </c>
      <c r="P453" s="32"/>
      <c r="Q453" s="33"/>
      <c r="R453" s="436" t="s">
        <v>140</v>
      </c>
      <c r="S453" s="32"/>
      <c r="T453" s="32"/>
      <c r="U453" s="32"/>
      <c r="V453" s="32"/>
      <c r="W453" s="32"/>
      <c r="X453" s="33"/>
      <c r="AR453" s="1720"/>
      <c r="AS453" s="1721"/>
      <c r="AT453" s="1722"/>
      <c r="BU453" s="27" t="str">
        <f t="shared" ref="BU453:BU457" si="850">+IFERROR(EJ453,"")</f>
        <v>45</v>
      </c>
      <c r="BV453" s="53" t="str">
        <f t="shared" ref="BV453:BV457" si="851">IF(BU453="","",+EN453)</f>
        <v>non</v>
      </c>
      <c r="BW453" s="1729" t="str">
        <f t="shared" ref="BW453:BW457" si="852">+IF(BV453="oui", "Ecart "&amp;EO453&amp;" hrs","")</f>
        <v/>
      </c>
      <c r="BX453" s="1729"/>
      <c r="EJ453" s="16" t="str">
        <f t="shared" ref="EJ453:EJ458" si="853">LEFT(EK453,LEN(EK453)-4)</f>
        <v>45</v>
      </c>
      <c r="EK453" s="16" t="str" cm="1">
        <f t="array" ref="EK453">IFERROR(INDEX(EG462:EG492,MATCH(0,INDEX(COUNTIF(EK451:EK452,EG462:EG492),0,0),0)),"")</f>
        <v>452026</v>
      </c>
      <c r="EL453" s="27">
        <f t="shared" ref="EL453:EL457" si="854">+SUMIFS($EE$12:$EE$537,$EG$12:$EG$537,EK453)</f>
        <v>0</v>
      </c>
      <c r="EM453" s="27">
        <f t="shared" ref="EM453:EM458" si="855">+SUMIFS($EI$12:$EI$537,$EG$12:$EG$537,EK453)</f>
        <v>0</v>
      </c>
      <c r="EN453" s="16" t="str">
        <f t="shared" si="849"/>
        <v>non</v>
      </c>
      <c r="EO453" s="16">
        <f t="shared" ref="EO453:EO458" si="856">+EL453-EM453</f>
        <v>0</v>
      </c>
    </row>
    <row r="454" spans="1:145" x14ac:dyDescent="0.2">
      <c r="O454" s="35"/>
      <c r="Q454" s="36"/>
      <c r="R454" s="1723"/>
      <c r="S454" s="1724"/>
      <c r="T454" s="1724"/>
      <c r="U454" s="1724"/>
      <c r="V454" s="1724"/>
      <c r="W454" s="1724"/>
      <c r="X454" s="1725"/>
      <c r="Y454" s="442"/>
      <c r="Z454" s="442"/>
      <c r="AA454" s="442"/>
      <c r="AB454" s="442"/>
      <c r="AC454" s="442"/>
      <c r="AD454" s="442"/>
      <c r="AE454" s="442"/>
      <c r="AF454" s="442"/>
      <c r="AG454" s="442"/>
      <c r="AR454" s="1720"/>
      <c r="AS454" s="1721"/>
      <c r="AT454" s="1722"/>
      <c r="BU454" s="27" t="str">
        <f t="shared" si="850"/>
        <v>46</v>
      </c>
      <c r="BV454" s="53" t="str">
        <f t="shared" si="851"/>
        <v>non</v>
      </c>
      <c r="BW454" s="1729" t="str">
        <f t="shared" si="852"/>
        <v/>
      </c>
      <c r="BX454" s="1729"/>
      <c r="EJ454" s="16" t="str">
        <f t="shared" si="853"/>
        <v>46</v>
      </c>
      <c r="EK454" s="16" t="str">
        <f t="array" ref="EK454">IFERROR(INDEX(EG462:EG492,MATCH(0,INDEX(COUNTIF(EK451:EK453,EG462:EG492),0,0),0)),"")</f>
        <v>462026</v>
      </c>
      <c r="EL454" s="27">
        <f t="shared" si="854"/>
        <v>0</v>
      </c>
      <c r="EM454" s="27">
        <f t="shared" si="855"/>
        <v>0</v>
      </c>
      <c r="EN454" s="16" t="str">
        <f t="shared" si="849"/>
        <v>non</v>
      </c>
      <c r="EO454" s="16">
        <f t="shared" si="856"/>
        <v>0</v>
      </c>
    </row>
    <row r="455" spans="1:145" x14ac:dyDescent="0.2">
      <c r="C455" s="39" t="s">
        <v>25</v>
      </c>
      <c r="D455" s="1713">
        <f>+Identification!$B$25</f>
        <v>0</v>
      </c>
      <c r="E455" s="1713"/>
      <c r="O455" s="35"/>
      <c r="Q455" s="36"/>
      <c r="R455" s="1723"/>
      <c r="S455" s="1724"/>
      <c r="T455" s="1724"/>
      <c r="U455" s="1724"/>
      <c r="V455" s="1724"/>
      <c r="W455" s="1724"/>
      <c r="X455" s="1725"/>
      <c r="Y455" s="442"/>
      <c r="Z455" s="442"/>
      <c r="AA455" s="442"/>
      <c r="AB455" s="442"/>
      <c r="AC455" s="442"/>
      <c r="AD455" s="442"/>
      <c r="AE455" s="442"/>
      <c r="AF455" s="442"/>
      <c r="AG455" s="442"/>
      <c r="AL455" s="16" t="str">
        <f t="shared" ref="AL455" si="857">C458</f>
        <v>Mois :</v>
      </c>
      <c r="AM455" s="1716">
        <f t="shared" ref="AM455" si="858">D458</f>
        <v>46327</v>
      </c>
      <c r="AN455" s="1716">
        <f t="shared" ref="AN455" si="859">E458</f>
        <v>0</v>
      </c>
      <c r="AR455" s="539" t="str">
        <f>IF(AT455="",AR410,AT455)</f>
        <v>NON</v>
      </c>
      <c r="AS455" s="538" t="s">
        <v>492</v>
      </c>
      <c r="AT455" s="1083"/>
      <c r="BJ455" s="16" t="str">
        <f t="shared" ref="BJ455" si="860">AL455</f>
        <v>Mois :</v>
      </c>
      <c r="BK455" s="1716">
        <f t="shared" ref="BK455" si="861">AM455</f>
        <v>46327</v>
      </c>
      <c r="BL455" s="1716"/>
      <c r="BU455" s="27" t="str">
        <f t="shared" si="850"/>
        <v>47</v>
      </c>
      <c r="BV455" s="53" t="str">
        <f t="shared" si="851"/>
        <v>non</v>
      </c>
      <c r="BW455" s="1729" t="str">
        <f t="shared" si="852"/>
        <v/>
      </c>
      <c r="BX455" s="1729"/>
      <c r="EJ455" s="16" t="str">
        <f t="shared" si="853"/>
        <v>47</v>
      </c>
      <c r="EK455" s="16" t="str">
        <f t="array" ref="EK455">IFERROR(INDEX(EG462:EG492,MATCH(0,INDEX(COUNTIF(EK451:EK454,EG462:EG492),0,0),0)),"")</f>
        <v>472026</v>
      </c>
      <c r="EL455" s="27">
        <f t="shared" si="854"/>
        <v>0</v>
      </c>
      <c r="EM455" s="27">
        <f t="shared" si="855"/>
        <v>0</v>
      </c>
      <c r="EN455" s="16" t="str">
        <f t="shared" si="849"/>
        <v>non</v>
      </c>
      <c r="EO455" s="16">
        <f t="shared" si="856"/>
        <v>0</v>
      </c>
    </row>
    <row r="456" spans="1:145" ht="13.5" thickBot="1" x14ac:dyDescent="0.25">
      <c r="O456" s="42"/>
      <c r="P456" s="43"/>
      <c r="Q456" s="44"/>
      <c r="R456" s="1726"/>
      <c r="S456" s="1727"/>
      <c r="T456" s="1727"/>
      <c r="U456" s="1727"/>
      <c r="V456" s="1727"/>
      <c r="W456" s="1727"/>
      <c r="X456" s="1728"/>
      <c r="Y456" s="442"/>
      <c r="Z456" s="442"/>
      <c r="AA456" s="442"/>
      <c r="AB456" s="442"/>
      <c r="AC456" s="442"/>
      <c r="AD456" s="442"/>
      <c r="AE456" s="442"/>
      <c r="AF456" s="442"/>
      <c r="AG456" s="442"/>
      <c r="BU456" s="27" t="str">
        <f t="shared" si="850"/>
        <v>48</v>
      </c>
      <c r="BV456" s="53" t="str">
        <f t="shared" si="851"/>
        <v>non</v>
      </c>
      <c r="BW456" s="1729" t="str">
        <f t="shared" si="852"/>
        <v/>
      </c>
      <c r="BX456" s="1729"/>
      <c r="EJ456" s="16" t="str">
        <f t="shared" si="853"/>
        <v>48</v>
      </c>
      <c r="EK456" s="16" t="str">
        <f t="array" ref="EK456">IFERROR(INDEX(EG462:EG492,MATCH(0,INDEX(COUNTIF(EK451:EK455,EG462:EG492),0,0),0)),"")</f>
        <v>482026</v>
      </c>
      <c r="EL456" s="27">
        <f t="shared" si="854"/>
        <v>0</v>
      </c>
      <c r="EM456" s="27">
        <f t="shared" si="855"/>
        <v>0</v>
      </c>
      <c r="EN456" s="16" t="str">
        <f t="shared" si="849"/>
        <v>non</v>
      </c>
      <c r="EO456" s="16">
        <f t="shared" si="856"/>
        <v>0</v>
      </c>
    </row>
    <row r="457" spans="1:145" ht="13.5" thickTop="1" x14ac:dyDescent="0.2">
      <c r="AI457" s="535" t="s">
        <v>986</v>
      </c>
      <c r="BU457" s="27" t="str">
        <f t="shared" si="850"/>
        <v>49</v>
      </c>
      <c r="BV457" s="53" t="str">
        <f t="shared" si="851"/>
        <v>non</v>
      </c>
      <c r="BW457" s="1729" t="str">
        <f t="shared" si="852"/>
        <v/>
      </c>
      <c r="BX457" s="1729"/>
      <c r="EJ457" s="16" t="str">
        <f t="shared" si="853"/>
        <v>49</v>
      </c>
      <c r="EK457" s="16" t="str">
        <f t="array" ref="EK457">IFERROR(INDEX(EG462:EG492,MATCH(0,INDEX(COUNTIF(EK451:EK456,EG462:EG492),0,0),0)),"")</f>
        <v>492026</v>
      </c>
      <c r="EL457" s="27">
        <f t="shared" si="854"/>
        <v>0</v>
      </c>
      <c r="EM457" s="27">
        <f t="shared" si="855"/>
        <v>0</v>
      </c>
      <c r="EN457" s="16" t="str">
        <f t="shared" si="849"/>
        <v>non</v>
      </c>
      <c r="EO457" s="16">
        <f t="shared" si="856"/>
        <v>0</v>
      </c>
    </row>
    <row r="458" spans="1:145" x14ac:dyDescent="0.2">
      <c r="C458" s="39" t="s">
        <v>28</v>
      </c>
      <c r="D458" s="1716">
        <f>+Novembre!X3</f>
        <v>46327</v>
      </c>
      <c r="E458" s="1716"/>
      <c r="F458" s="39" t="s">
        <v>12</v>
      </c>
      <c r="G458" s="63">
        <f>+Novembre!X4</f>
        <v>2026</v>
      </c>
      <c r="EJ458" s="16" t="e">
        <f t="shared" si="853"/>
        <v>#VALUE!</v>
      </c>
      <c r="EK458" s="16" t="str">
        <f t="array" ref="EK458">IFERROR(INDEX($EG$12:$EG$42,MATCH(0,INDEX(COUNTIF($EK$1:EK457,$EG$12:$EG$42),0,0),0)),"")</f>
        <v/>
      </c>
      <c r="EL458" s="27">
        <f>+SUMIFS($EE$12:$EE$537,$EG$12:$EG$537,EK458)</f>
        <v>0</v>
      </c>
      <c r="EM458" s="27">
        <f t="shared" si="855"/>
        <v>0</v>
      </c>
      <c r="EN458" s="16" t="str">
        <f>+IF(AND(EL458&lt;&gt;EM458,EK458&lt;&gt;""),"oui","non")</f>
        <v>non</v>
      </c>
      <c r="EO458" s="16">
        <f t="shared" si="856"/>
        <v>0</v>
      </c>
    </row>
    <row r="459" spans="1:145" x14ac:dyDescent="0.2">
      <c r="AL459" s="1714" t="s">
        <v>960</v>
      </c>
      <c r="AM459" s="1714"/>
      <c r="AN459" s="1714"/>
      <c r="AO459" s="1714"/>
      <c r="AP459" s="1714"/>
      <c r="AQ459" s="492"/>
      <c r="AT459" s="1715" t="s">
        <v>749</v>
      </c>
      <c r="AU459" s="1715"/>
      <c r="AV459" s="1715"/>
      <c r="AW459" s="63"/>
      <c r="AX459" s="63"/>
      <c r="AY459" s="517" t="s">
        <v>975</v>
      </c>
      <c r="AZ459" s="518"/>
      <c r="BA459" s="518"/>
      <c r="BB459" s="518"/>
      <c r="BC459" s="519"/>
      <c r="BD459" s="519"/>
      <c r="BE459" s="519"/>
      <c r="BF459" s="512"/>
      <c r="BG459" s="512"/>
      <c r="BJ459" s="437"/>
      <c r="BK459" s="437"/>
      <c r="BL459" s="437"/>
      <c r="BM459" s="437"/>
      <c r="BN459" s="437"/>
      <c r="BO459" s="437"/>
      <c r="BP459" s="437"/>
      <c r="BQ459" s="437"/>
      <c r="BU459" s="438"/>
      <c r="BV459" s="438"/>
      <c r="BW459" s="438"/>
      <c r="BX459" s="438"/>
      <c r="BY459" s="438"/>
      <c r="BZ459" s="438"/>
      <c r="CA459" s="438"/>
      <c r="CB459" s="438"/>
    </row>
    <row r="460" spans="1:145" ht="15" customHeight="1" x14ac:dyDescent="0.2">
      <c r="D460" s="439" t="s">
        <v>791</v>
      </c>
      <c r="E460" s="438"/>
      <c r="F460" s="438"/>
      <c r="G460" s="438"/>
      <c r="H460" s="438"/>
      <c r="I460" s="438"/>
      <c r="J460" s="438"/>
      <c r="K460" s="438"/>
      <c r="L460" s="438"/>
      <c r="M460" s="438"/>
      <c r="O460" s="440" t="s">
        <v>790</v>
      </c>
      <c r="P460" s="437"/>
      <c r="Q460" s="437"/>
      <c r="R460" s="437"/>
      <c r="S460" s="437"/>
      <c r="T460" s="437"/>
      <c r="U460" s="437"/>
      <c r="V460" s="437"/>
      <c r="W460" s="437"/>
      <c r="X460" s="437"/>
      <c r="BJ460" s="1087" t="s">
        <v>792</v>
      </c>
      <c r="BK460" s="1088"/>
      <c r="BL460" s="1088"/>
      <c r="BM460" s="1088"/>
      <c r="BN460" s="1088"/>
      <c r="BO460" s="1088"/>
      <c r="BP460" s="1088"/>
      <c r="BQ460" s="1088"/>
      <c r="BU460" s="1087" t="s">
        <v>1369</v>
      </c>
      <c r="BV460" s="1088"/>
      <c r="BW460" s="1088"/>
      <c r="BX460" s="1088"/>
      <c r="BY460" s="1088"/>
      <c r="BZ460" s="1088"/>
      <c r="CA460" s="1088"/>
      <c r="CB460" s="1088"/>
      <c r="DG460" s="315" t="s">
        <v>1326</v>
      </c>
      <c r="DH460" s="129"/>
      <c r="DI460" s="129"/>
      <c r="DK460" s="129" t="s">
        <v>1331</v>
      </c>
      <c r="DN460" s="16" t="s">
        <v>1334</v>
      </c>
      <c r="DV460" s="825" t="s">
        <v>1521</v>
      </c>
      <c r="DW460" s="825"/>
      <c r="DX460" s="825"/>
      <c r="DY460" s="825"/>
      <c r="DZ460" s="825"/>
      <c r="EA460" s="825"/>
      <c r="EB460" s="825"/>
      <c r="EC460" s="825"/>
      <c r="ED460" s="825"/>
      <c r="EE460" s="825"/>
    </row>
    <row r="461" spans="1:145" ht="56.25" customHeight="1" x14ac:dyDescent="0.2">
      <c r="A461" s="24" t="s">
        <v>789</v>
      </c>
      <c r="B461" s="432" t="s">
        <v>16</v>
      </c>
      <c r="C461" s="433"/>
      <c r="D461" s="432" t="s">
        <v>219</v>
      </c>
      <c r="E461" s="432" t="s">
        <v>220</v>
      </c>
      <c r="F461" s="432" t="s">
        <v>221</v>
      </c>
      <c r="G461" s="432" t="s">
        <v>222</v>
      </c>
      <c r="H461" s="432" t="s">
        <v>522</v>
      </c>
      <c r="I461" s="432" t="s">
        <v>523</v>
      </c>
      <c r="J461" s="432" t="s">
        <v>524</v>
      </c>
      <c r="K461" s="432" t="s">
        <v>525</v>
      </c>
      <c r="L461" s="432" t="s">
        <v>182</v>
      </c>
      <c r="M461" s="432" t="s">
        <v>183</v>
      </c>
      <c r="N461" s="433"/>
      <c r="O461" s="432" t="s">
        <v>219</v>
      </c>
      <c r="P461" s="432" t="s">
        <v>220</v>
      </c>
      <c r="Q461" s="432" t="s">
        <v>221</v>
      </c>
      <c r="R461" s="432" t="s">
        <v>222</v>
      </c>
      <c r="S461" s="432" t="s">
        <v>522</v>
      </c>
      <c r="T461" s="432" t="s">
        <v>523</v>
      </c>
      <c r="U461" s="432" t="s">
        <v>524</v>
      </c>
      <c r="V461" s="432" t="s">
        <v>525</v>
      </c>
      <c r="W461" s="432" t="s">
        <v>182</v>
      </c>
      <c r="X461" s="432" t="s">
        <v>183</v>
      </c>
      <c r="Y461" s="433"/>
      <c r="Z461" s="432" t="s">
        <v>796</v>
      </c>
      <c r="AA461" s="432" t="s">
        <v>797</v>
      </c>
      <c r="AB461" s="432" t="s">
        <v>798</v>
      </c>
      <c r="AC461" s="432" t="s">
        <v>799</v>
      </c>
      <c r="AD461" s="432" t="s">
        <v>800</v>
      </c>
      <c r="AE461" s="432" t="s">
        <v>801</v>
      </c>
      <c r="AF461" s="432" t="s">
        <v>802</v>
      </c>
      <c r="AG461" s="432" t="s">
        <v>803</v>
      </c>
      <c r="AI461" s="432" t="s">
        <v>804</v>
      </c>
      <c r="AJ461" s="432" t="s">
        <v>795</v>
      </c>
      <c r="AK461" s="433"/>
      <c r="AL461" s="495" t="s">
        <v>16</v>
      </c>
      <c r="AM461" s="530" t="s">
        <v>1003</v>
      </c>
      <c r="AN461" s="1084" t="s">
        <v>958</v>
      </c>
      <c r="AO461" s="1085" t="s">
        <v>959</v>
      </c>
      <c r="AP461" s="496" t="s">
        <v>1707</v>
      </c>
      <c r="AQ461" s="493"/>
      <c r="AR461" s="1086" t="s">
        <v>684</v>
      </c>
      <c r="AT461" s="1086" t="s">
        <v>1333</v>
      </c>
      <c r="AU461" s="1085" t="s">
        <v>1707</v>
      </c>
      <c r="AV461" s="432" t="s">
        <v>16</v>
      </c>
      <c r="AW461" s="433"/>
      <c r="AX461" s="433"/>
      <c r="AY461" s="529" t="s">
        <v>972</v>
      </c>
      <c r="AZ461" s="530" t="s">
        <v>978</v>
      </c>
      <c r="BA461" s="513" t="s">
        <v>976</v>
      </c>
      <c r="BB461" s="550" t="s">
        <v>977</v>
      </c>
      <c r="BC461" s="551" t="s">
        <v>1005</v>
      </c>
      <c r="BD461" s="550" t="s">
        <v>979</v>
      </c>
      <c r="BE461" s="552" t="s">
        <v>1004</v>
      </c>
      <c r="BF461" s="513" t="s">
        <v>980</v>
      </c>
      <c r="BG461" s="513" t="s">
        <v>985</v>
      </c>
      <c r="BI461" s="24" t="s">
        <v>1011</v>
      </c>
      <c r="BJ461" s="432" t="s">
        <v>219</v>
      </c>
      <c r="BK461" s="432" t="s">
        <v>220</v>
      </c>
      <c r="BL461" s="432" t="s">
        <v>221</v>
      </c>
      <c r="BM461" s="432" t="s">
        <v>222</v>
      </c>
      <c r="BN461" s="432" t="s">
        <v>522</v>
      </c>
      <c r="BO461" s="432" t="s">
        <v>523</v>
      </c>
      <c r="BP461" s="432" t="s">
        <v>524</v>
      </c>
      <c r="BQ461" s="432" t="s">
        <v>525</v>
      </c>
      <c r="BS461" s="1361" t="str">
        <f t="shared" ref="BS461:BS492" si="862">AV461</f>
        <v>Jours</v>
      </c>
      <c r="BU461" s="432" t="s">
        <v>219</v>
      </c>
      <c r="BV461" s="432" t="s">
        <v>220</v>
      </c>
      <c r="BW461" s="432" t="s">
        <v>221</v>
      </c>
      <c r="BX461" s="432" t="s">
        <v>222</v>
      </c>
      <c r="BY461" s="432" t="s">
        <v>522</v>
      </c>
      <c r="BZ461" s="432" t="s">
        <v>523</v>
      </c>
      <c r="CA461" s="432" t="s">
        <v>524</v>
      </c>
      <c r="CB461" s="432" t="s">
        <v>525</v>
      </c>
      <c r="CD461" s="1361" t="s">
        <v>1526</v>
      </c>
      <c r="CS461" s="488"/>
      <c r="CT461" s="488"/>
      <c r="CU461" s="488"/>
      <c r="CV461" s="488"/>
      <c r="DG461" s="315" t="s">
        <v>1327</v>
      </c>
      <c r="DH461" s="129" t="s">
        <v>1328</v>
      </c>
      <c r="DI461" s="129" t="s">
        <v>1330</v>
      </c>
      <c r="DK461" s="129" t="s">
        <v>1332</v>
      </c>
      <c r="DU461" s="1361" t="s">
        <v>238</v>
      </c>
      <c r="DV461" s="1361" t="s">
        <v>219</v>
      </c>
      <c r="DW461" s="1361" t="s">
        <v>220</v>
      </c>
      <c r="DX461" s="1361" t="s">
        <v>221</v>
      </c>
      <c r="DY461" s="1361" t="s">
        <v>222</v>
      </c>
      <c r="DZ461" s="1361" t="s">
        <v>522</v>
      </c>
      <c r="EA461" s="1361" t="s">
        <v>523</v>
      </c>
      <c r="EB461" s="1361" t="s">
        <v>524</v>
      </c>
      <c r="EC461" s="1361" t="s">
        <v>525</v>
      </c>
      <c r="ED461" s="1361" t="s">
        <v>182</v>
      </c>
      <c r="EE461" s="1361" t="s">
        <v>183</v>
      </c>
      <c r="EG461" s="1361" t="s">
        <v>1224</v>
      </c>
      <c r="EH461" s="1361" t="s">
        <v>1522</v>
      </c>
      <c r="EI461" s="1361" t="s">
        <v>1523</v>
      </c>
    </row>
    <row r="462" spans="1:145" x14ac:dyDescent="0.2">
      <c r="A462" s="24" t="str">
        <f>Novembre!BJ20</f>
        <v>Fiche infoA7</v>
      </c>
      <c r="B462" s="810">
        <f>Novembre!AB20</f>
        <v>46327</v>
      </c>
      <c r="C462" s="1371"/>
      <c r="D462" s="978">
        <f t="shared" ref="D462:D492" si="863">IF(AR462&lt;&gt;"",0,IF(DN462=10,0,IFERROR(+IF(BU462="",VLOOKUP(A462,base_horaire,2,FALSE),BU462),0)))</f>
        <v>0</v>
      </c>
      <c r="E462" s="979">
        <f t="shared" ref="E462:E492" si="864">IF(AR462&lt;&gt;"",0,IF(DN462=10,0,IFERROR(+IF(BV462="",VLOOKUP(A462,base_horaire,3,FALSE),BV462),0)))</f>
        <v>0</v>
      </c>
      <c r="F462" s="979">
        <f t="shared" ref="F462:F492" si="865">IF(AR462&lt;&gt;"",0,IF(DN462=10,0,IFERROR(+IF(BW462="",VLOOKUP(A462,base_horaire,4,FALSE),BW462),0)))</f>
        <v>0</v>
      </c>
      <c r="G462" s="979">
        <f t="shared" ref="G462:G492" si="866">IF(AR462&lt;&gt;"",0,IF(DN462=10,0,IFERROR(+IF(BX462="",VLOOKUP(A462,base_horaire,5,FALSE),BX462),0)))</f>
        <v>0</v>
      </c>
      <c r="H462" s="979">
        <f t="shared" ref="H462:H492" si="867">IF(AR462&lt;&gt;"",0,IF(DN462=10,0,IFERROR(+IF(BY462="",VLOOKUP(A462,base_horaire,6,FALSE),BY462),0)))</f>
        <v>0</v>
      </c>
      <c r="I462" s="979">
        <f t="shared" ref="I462:I492" si="868">IF(AR462&lt;&gt;"",0,IF(DN462=10,0,IFERROR(+IF(BZ462="",VLOOKUP(A462,base_horaire,7,FALSE),BZ462),0)))</f>
        <v>0</v>
      </c>
      <c r="J462" s="979">
        <f t="shared" ref="J462:J492" si="869">IF(AR462&lt;&gt;"",0,IF(DN462=10,0,IFERROR(+IF(CA462="",VLOOKUP(A462,base_horaire,8,FALSE),CA462),0)))</f>
        <v>0</v>
      </c>
      <c r="K462" s="979">
        <f t="shared" ref="K462:K492" si="870">IF(AR462&lt;&gt;"",0,IF(DN462=10,0,IFERROR(+IF(CB462="",VLOOKUP(A462,base_horaire,9,FALSE),CB462),0)))</f>
        <v>0</v>
      </c>
      <c r="L462" s="979">
        <f>+E462-D462+G462-F462+I462-H462+K462-J462</f>
        <v>0</v>
      </c>
      <c r="M462" s="980">
        <f>ROUND(+L462*24,2)</f>
        <v>0</v>
      </c>
      <c r="O462" s="978">
        <f t="shared" ref="O462:O469" si="871">IF(AR462&lt;&gt;"",0,IF(DC462="oui",0,IF(AND(ISTEXT(AT462)=TRUE,BJ462=""),0,IF(BJ462="",D462,BJ462))))</f>
        <v>0</v>
      </c>
      <c r="P462" s="979">
        <f t="shared" ref="P462:P469" si="872">IF(AR462&lt;&gt;"",0,IF(DC462="oui",0,IF(AND(ISTEXT(AT462)=TRUE,BK462=""),0,IF(BK462="",E462,BK462))))</f>
        <v>0</v>
      </c>
      <c r="Q462" s="979">
        <f t="shared" ref="Q462:Q469" si="873">IF(AR462&lt;&gt;"",0,IF(DC462="oui",0,IF(AND(ISTEXT(AT462)=TRUE,BL462=""),0,IF(BL462="",F462,BL462))))</f>
        <v>0</v>
      </c>
      <c r="R462" s="979">
        <f t="shared" ref="R462:R469" si="874">IF(AR462&lt;&gt;"",0,IF(DC462="oui",0,IF(AND(ISTEXT(AT462)=TRUE,BM462=""),0,IF(BM462="",G462,BM462))))</f>
        <v>0</v>
      </c>
      <c r="S462" s="979">
        <f t="shared" ref="S462:S469" si="875">IF(AR462&lt;&gt;"",0,IF(DC462="oui",0,IF(AND(ISTEXT(AT462)=TRUE,BN462=""),0,IF(BN462="",H462,BN462))))</f>
        <v>0</v>
      </c>
      <c r="T462" s="979">
        <f t="shared" ref="T462:T469" si="876">IF(AR462&lt;&gt;"",0,IF(DC462="oui",0,IF(AND(ISTEXT(AT462)=TRUE,BO462=""),0,IF(BO462="",I462,BO462))))</f>
        <v>0</v>
      </c>
      <c r="U462" s="979">
        <f t="shared" ref="U462:U469" si="877">IF(AR462&lt;&gt;"",0,IF(DC462="oui",0,IF(AND(ISTEXT(AT462)=TRUE,BP462=""),0,IF(BP462="",J462,BP462))))</f>
        <v>0</v>
      </c>
      <c r="V462" s="979">
        <f t="shared" ref="V462:V469" si="878">IF(AR462&lt;&gt;"",0,IF(DC462="oui",0,IF(AND(ISTEXT(AT462)=TRUE,BQ462=""),0,IF(BQ462="",K462,BQ462))))</f>
        <v>0</v>
      </c>
      <c r="W462" s="979">
        <f t="shared" ref="W462:W492" si="879">+P462-O462+R462-Q462+T462-S462+V462-U462</f>
        <v>0</v>
      </c>
      <c r="X462" s="980">
        <f t="shared" ref="X462:X492" si="880">ROUND(+W462*24,2)</f>
        <v>0</v>
      </c>
      <c r="Y462" s="441"/>
      <c r="Z462" s="277">
        <f t="shared" ref="Z462:Z492" si="881">+IF(AND(O462&gt;D462,D462&gt;0),D462,O462)</f>
        <v>0</v>
      </c>
      <c r="AA462" s="277">
        <f t="shared" ref="AA462:AA492" si="882">+IF(P462&gt;E462,P462,E462)</f>
        <v>0</v>
      </c>
      <c r="AB462" s="277">
        <f t="shared" ref="AB462:AB492" si="883">+IF(AND(Q462&gt;F462,F462&gt;0),F462,Q462)</f>
        <v>0</v>
      </c>
      <c r="AC462" s="277">
        <f t="shared" ref="AC462:AC492" si="884">+IF(R462&gt;G462,R462,G462)</f>
        <v>0</v>
      </c>
      <c r="AD462" s="277">
        <f t="shared" ref="AD462:AD492" si="885">+IF(AND(S462&gt;H462,H462&gt;0),H462,S462)</f>
        <v>0</v>
      </c>
      <c r="AE462" s="277">
        <f t="shared" ref="AE462:AE492" si="886">+IF(T462&gt;I462,T462,I462)</f>
        <v>0</v>
      </c>
      <c r="AF462" s="277">
        <f t="shared" ref="AF462:AF492" si="887">+IF(AND(U462&gt;J462,J462&gt;0),J462,U462)</f>
        <v>0</v>
      </c>
      <c r="AG462" s="277">
        <f t="shared" ref="AG462:AG492" si="888">+IF(V462&gt;K462,V462,K462)</f>
        <v>0</v>
      </c>
      <c r="AI462" s="443">
        <f t="shared" ref="AI462:AI469" si="889">IF(DC462="oui",0,IF(AND(ISTEXT(AT462)=TRUE,OR(X462=0,X462="")),0,ROUND(((((AA462-Z462)-(E462-D462))+((AC462-AB462)-(G462-F462))+((AE462-AD462)-(I462-H462))+(AG462-AF462)-(K462-J462))*24),2)))</f>
        <v>0</v>
      </c>
      <c r="AJ462" s="1089"/>
      <c r="AK462" s="489"/>
      <c r="AL462" s="810">
        <f t="shared" ref="AL462:AL492" si="890">B462</f>
        <v>46327</v>
      </c>
      <c r="AM462" s="497">
        <f>IFERROR(IF(AND(AT462="",AR462&lt;&gt;S.CAL!$BJ$3,AR462&lt;&gt;S.CAL!$BJ$4,$AR$455="NON"),M462-BD462,IF(AND(AT462="",AR462&lt;&gt;S.CAL!$BJ$3,AR462&lt;&gt;S.CAL!$BJ$4,$AR$455="OUI"),X462-AI462,IF(AT462&lt;&gt;0,AT462,IF(OR(AR462=S.CAL!$BJ$3,AR462=S.CAL!$BJ$4),AR462,"")))),"")</f>
        <v>0</v>
      </c>
      <c r="AN462" s="1091"/>
      <c r="AO462" s="1092"/>
      <c r="AP462" s="497">
        <f>+IF(AND(AU462="",BB462="OUI",BH462="non",BI462="OUI"),AM462,IF(AND(AU462="",BB462="OUI",BH462="oui",BI462="NON"),AM462,IF(AND(AU462="",BB462="NON",BH462="oui",BI462="NON"),M462,IF(AND(AU462="",BB462="NON",BH462="non",BI462="OUI"),M462,IF(AND(AU462="",BB462="OUI",BH462="non",BI462="NON"),"ERREUR",IF(AND(AU462="",BB462="NON",BH462="non",BI462="NON"),AM462,IF(AND(AU462="",BB462="OUI",BH462="",BI462=""),AM462,IF(AND(AU462="",BB462="NON",BH462="",BI462="",AZ462="NON"),M462,IF(AND(AU462="",BH462="",AZ462="OUI",AR462=""),AM462,IF(AND(AU462="",BH462="",AZ462="NON",AR462="",AT462=""),M462,IF(AND(OR(AR462=S.CAL!$BJ$3,AR462=S.CAL!$BJ$4),(VLOOKUP($AM$455,base_nbre_sem_mensu,2,FALSE)=52)),EE462,IF(AND(OR(AR462=S.CAL!$BJ$3,AR462=S.CAL!$BJ$4),(VLOOKUP($AM$455,base_nbre_sem_mensu,2,FALSE)&lt;52)),AM462,IF(AND(AT462&lt;&gt;"",AU462=""),AT462,AU462)))))))))))))</f>
        <v>0</v>
      </c>
      <c r="AQ462" s="498">
        <f>AI462-SUM(AN462:AO462)</f>
        <v>0</v>
      </c>
      <c r="AR462" s="1097"/>
      <c r="AT462" s="1100"/>
      <c r="AU462" s="813"/>
      <c r="AV462" s="1369">
        <f t="shared" ref="AV462:AV492" si="891">B462</f>
        <v>46327</v>
      </c>
      <c r="AX462" s="511">
        <f>+AV462</f>
        <v>46327</v>
      </c>
      <c r="AY462" s="528">
        <f>+IF(M462-X462&lt;0,0,M462-X462)</f>
        <v>0</v>
      </c>
      <c r="AZ462" s="531" t="s">
        <v>137</v>
      </c>
      <c r="BA462" s="532">
        <f>+IF(AZ462="OUI",AY462,0)</f>
        <v>0</v>
      </c>
      <c r="BB462" s="533" t="str">
        <f t="shared" ref="BB462:BB492" si="892">IF(AND(BE462="",+IFERROR(VLOOKUP(AT462,Liste_motif_formule,5,FALSE),0)="OUI"),"OUI",IF(AND(BE462="",IFERROR(VLOOKUP(AT462,Liste_motif_formule,5,FALSE),0)="NON"),"NON",IF(AND(BE462="",IFERROR(M462-AT462&gt;=0,0),AT462&lt;&gt;""),"OUI",IF(AND(BE462="",DC462="oui"),"OUI",IF(BE462&lt;&gt;"",BE462,"")))))</f>
        <v/>
      </c>
      <c r="BC462" s="528">
        <f>+IF(BB462="OUI",IFERROR(M462-AT462,M462),0)</f>
        <v>0</v>
      </c>
      <c r="BD462" s="528">
        <f>+BC462+BA462</f>
        <v>0</v>
      </c>
      <c r="BE462" s="1103"/>
      <c r="BF462" s="514" t="str">
        <f t="shared" ref="BF462:BF492" si="893">+IF(AND(AZ462="OUI",BB462="OUI"),"ERREUR","")</f>
        <v/>
      </c>
      <c r="BG462" s="514" t="str">
        <f>+IF(AND(M462=0,AT462=""),"oui","non")</f>
        <v>oui</v>
      </c>
      <c r="BH462" s="377" t="str">
        <f t="shared" ref="BH462:BH492" si="894">IFERROR(+VLOOKUP(AT462,Liste_motif_formule,4,FALSE),"")</f>
        <v/>
      </c>
      <c r="BI462" s="24" t="str">
        <f t="shared" ref="BI462:BI492" si="895">IFERROR(+VLOOKUP(AT462,Liste_motif_formule,5,FALSE),"")</f>
        <v/>
      </c>
      <c r="BJ462" s="1381"/>
      <c r="BK462" s="1381"/>
      <c r="BL462" s="1381"/>
      <c r="BM462" s="1381"/>
      <c r="BN462" s="1381"/>
      <c r="BO462" s="1381"/>
      <c r="BP462" s="1381"/>
      <c r="BQ462" s="1381"/>
      <c r="BS462" s="1369">
        <f t="shared" si="862"/>
        <v>46327</v>
      </c>
      <c r="BT462" s="27">
        <f>IFERROR(WEEKNUM(BS462,21),"")</f>
        <v>44</v>
      </c>
      <c r="BU462" s="1379"/>
      <c r="BV462" s="1379"/>
      <c r="BW462" s="1379"/>
      <c r="BX462" s="1379"/>
      <c r="BY462" s="1379"/>
      <c r="BZ462" s="1379"/>
      <c r="CA462" s="1379"/>
      <c r="CB462" s="1379"/>
      <c r="CD462" s="1385">
        <f>+M462</f>
        <v>0</v>
      </c>
      <c r="DC462" s="16" t="str">
        <f>Novembre!FC20</f>
        <v>non</v>
      </c>
      <c r="DG462" s="315">
        <f>IF(OR(AT462=0,AT462=""),1,10)</f>
        <v>1</v>
      </c>
      <c r="DH462" s="129">
        <f t="shared" ref="DH462:DH492" si="896">IFERROR(+VLOOKUP(AT462,Liste_motif_formule,9,FALSE),10)</f>
        <v>10</v>
      </c>
      <c r="DI462" s="129">
        <f>+IF(OR(DG462=1,DH462=1),1,10)</f>
        <v>1</v>
      </c>
      <c r="DK462" s="16">
        <f>+IF(AND(Novembre!$DP$8&lt;&gt;52,AR462=S.CAL!$BJ$4),10,1)</f>
        <v>1</v>
      </c>
      <c r="DN462" s="16">
        <f t="shared" ref="DN462:DN492" si="897">+IF(AND(DC462="non",ISTEXT(AT462)=TRUE,IFERROR(VLOOKUP(AT462,Liste_motif_formule,4,FALSE)="non",0),IFERROR(VLOOKUP(AT462,Liste_motif_formule,5,FALSE)="non",0)),10,1)</f>
        <v>1</v>
      </c>
      <c r="DU462" s="1274" t="str">
        <f>+A462&amp;B462</f>
        <v>Fiche infoA746327</v>
      </c>
      <c r="DV462" s="1362">
        <f t="shared" ref="DV462:DV492" si="898">+IFERROR(+IF(BU462="",VLOOKUP(A462,base_horaire,2,FALSE),BU462),0)</f>
        <v>0</v>
      </c>
      <c r="DW462" s="1363">
        <f t="shared" ref="DW462:DW492" si="899">+IFERROR(+IF(BV462="",VLOOKUP(A462,base_horaire,3,FALSE),BV462),0)</f>
        <v>0</v>
      </c>
      <c r="DX462" s="1363">
        <f t="shared" ref="DX462:DX492" si="900">+IFERROR(+IF(BW462="",VLOOKUP(A462,base_horaire,4,FALSE),BW462),0)</f>
        <v>0</v>
      </c>
      <c r="DY462" s="1363">
        <f t="shared" ref="DY462:DY492" si="901">+IFERROR(+IF(BX462="",VLOOKUP(A462,base_horaire,5,FALSE),BX462),0)</f>
        <v>0</v>
      </c>
      <c r="DZ462" s="1363">
        <f t="shared" ref="DZ462:DZ492" si="902">+IFERROR(+IF(BY462="",VLOOKUP(A462,base_horaire,6,FALSE),BY462),0)</f>
        <v>0</v>
      </c>
      <c r="EA462" s="1363">
        <f t="shared" ref="EA462:EA492" si="903">IFERROR(+IF(BZ462="",VLOOKUP(A462,base_horaire,7,FALSE),BZ462),0)</f>
        <v>0</v>
      </c>
      <c r="EB462" s="1363">
        <f t="shared" ref="EB462:EB492" si="904">IFERROR(+IF(CA462="",VLOOKUP(A462,base_horaire,8,FALSE),CA462),0)</f>
        <v>0</v>
      </c>
      <c r="EC462" s="1363">
        <f t="shared" ref="EC462:EC492" si="905">IFERROR(+IF(CB462="",VLOOKUP(A462,base_horaire,9,FALSE),CB462),0)</f>
        <v>0</v>
      </c>
      <c r="ED462" s="1363">
        <f>+DW462-DV462+DY462-DX462+EA462-DZ462+EC462-EB462</f>
        <v>0</v>
      </c>
      <c r="EE462" s="1364">
        <f>ROUND(+ED462*24,2)</f>
        <v>0</v>
      </c>
      <c r="EG462" s="16" t="str">
        <f>+WEEKNUM(B462,21)&amp;YEAR(B462)</f>
        <v>442026</v>
      </c>
      <c r="EH462" s="16" t="str">
        <f t="shared" ref="EH462:EH492" si="906">+A462</f>
        <v>Fiche infoA7</v>
      </c>
      <c r="EI462" s="16" t="str">
        <f t="shared" ref="EI462:EI492" si="907">+VLOOKUP(EH462,Base_heures,6,FALSE)</f>
        <v/>
      </c>
    </row>
    <row r="463" spans="1:145" x14ac:dyDescent="0.2">
      <c r="A463" s="1373" t="str">
        <f>Novembre!BJ21</f>
        <v>Fiche infoA1</v>
      </c>
      <c r="B463" s="811">
        <f>Novembre!AB21</f>
        <v>46328</v>
      </c>
      <c r="C463" s="1372"/>
      <c r="D463" s="981">
        <f t="shared" si="863"/>
        <v>0</v>
      </c>
      <c r="E463" s="434">
        <f t="shared" si="864"/>
        <v>0</v>
      </c>
      <c r="F463" s="434">
        <f t="shared" si="865"/>
        <v>0</v>
      </c>
      <c r="G463" s="434">
        <f t="shared" si="866"/>
        <v>0</v>
      </c>
      <c r="H463" s="434">
        <f t="shared" si="867"/>
        <v>0</v>
      </c>
      <c r="I463" s="434">
        <f t="shared" si="868"/>
        <v>0</v>
      </c>
      <c r="J463" s="434">
        <f t="shared" si="869"/>
        <v>0</v>
      </c>
      <c r="K463" s="434">
        <f t="shared" si="870"/>
        <v>0</v>
      </c>
      <c r="L463" s="434">
        <f t="shared" ref="L463:L492" si="908">+E463-D463+G463-F463+I463-H463+K463-J463</f>
        <v>0</v>
      </c>
      <c r="M463" s="982">
        <f t="shared" ref="M463:M492" si="909">ROUND(+L463*24,2)</f>
        <v>0</v>
      </c>
      <c r="N463" s="1374"/>
      <c r="O463" s="981">
        <f t="shared" si="871"/>
        <v>0</v>
      </c>
      <c r="P463" s="434">
        <f t="shared" si="872"/>
        <v>0</v>
      </c>
      <c r="Q463" s="434">
        <f t="shared" si="873"/>
        <v>0</v>
      </c>
      <c r="R463" s="434">
        <f t="shared" si="874"/>
        <v>0</v>
      </c>
      <c r="S463" s="434">
        <f t="shared" si="875"/>
        <v>0</v>
      </c>
      <c r="T463" s="434">
        <f t="shared" si="876"/>
        <v>0</v>
      </c>
      <c r="U463" s="434">
        <f t="shared" si="877"/>
        <v>0</v>
      </c>
      <c r="V463" s="434">
        <f t="shared" si="878"/>
        <v>0</v>
      </c>
      <c r="W463" s="434">
        <f t="shared" si="879"/>
        <v>0</v>
      </c>
      <c r="X463" s="982">
        <f t="shared" si="880"/>
        <v>0</v>
      </c>
      <c r="Y463" s="1375"/>
      <c r="Z463" s="1376">
        <f t="shared" si="881"/>
        <v>0</v>
      </c>
      <c r="AA463" s="1376">
        <f t="shared" si="882"/>
        <v>0</v>
      </c>
      <c r="AB463" s="1376">
        <f t="shared" si="883"/>
        <v>0</v>
      </c>
      <c r="AC463" s="1376">
        <f t="shared" si="884"/>
        <v>0</v>
      </c>
      <c r="AD463" s="1376">
        <f t="shared" si="885"/>
        <v>0</v>
      </c>
      <c r="AE463" s="1376">
        <f t="shared" si="886"/>
        <v>0</v>
      </c>
      <c r="AF463" s="1376">
        <f t="shared" si="887"/>
        <v>0</v>
      </c>
      <c r="AG463" s="1376">
        <f t="shared" si="888"/>
        <v>0</v>
      </c>
      <c r="AH463" s="1374"/>
      <c r="AI463" s="444">
        <f t="shared" si="889"/>
        <v>0</v>
      </c>
      <c r="AJ463" s="1090"/>
      <c r="AK463" s="1377"/>
      <c r="AL463" s="811">
        <f t="shared" si="890"/>
        <v>46328</v>
      </c>
      <c r="AM463" s="666">
        <f>IFERROR(IF(AND(AT463="",AR463&lt;&gt;S.CAL!$BJ$3,AR463&lt;&gt;S.CAL!$BJ$4,$AR$455="NON"),M463-BD463,IF(AND(AT463="",AR463&lt;&gt;S.CAL!$BJ$3,AR463&lt;&gt;S.CAL!$BJ$4,$AR$455="OUI"),X463-AI463,IF(AT463&lt;&gt;0,AT463,IF(OR(AR463=S.CAL!$BJ$3,AR463=S.CAL!$BJ$4),AR463,"")))),"")</f>
        <v>0</v>
      </c>
      <c r="AN463" s="1093"/>
      <c r="AO463" s="1094"/>
      <c r="AP463" s="666">
        <f>+IF(AND(AU463="",BB463="OUI",BH463="non",BI463="OUI"),AM463,IF(AND(AU463="",BB463="OUI",BH463="oui",BI463="NON"),AM463,IF(AND(AU463="",BB463="NON",BH463="oui",BI463="NON"),M463,IF(AND(AU463="",BB463="NON",BH463="non",BI463="OUI"),M463,IF(AND(AU463="",BB463="OUI",BH463="non",BI463="NON"),"ERREUR",IF(AND(AU463="",BB463="NON",BH463="non",BI463="NON"),AM463,IF(AND(AU463="",BB463="OUI",BH463="",BI463=""),AM463,IF(AND(AU463="",BB463="NON",BH463="",BI463="",AZ463="NON"),M463,IF(AND(AU463="",BH463="",AZ463="OUI",AR463=""),AM463,IF(AND(AU463="",BH463="",AZ463="NON",AR463="",AT463=""),M463,IF(AND(OR(AR463=S.CAL!$BJ$3,AR463=S.CAL!$BJ$4),(VLOOKUP($AM$455,base_nbre_sem_mensu,2,FALSE)=52)),EE463,IF(AND(OR(AR463=S.CAL!$BJ$3,AR463=S.CAL!$BJ$4),(VLOOKUP($AM$455,base_nbre_sem_mensu,2,FALSE)&lt;52)),AM463,IF(AND(AT463&lt;&gt;"",AU463=""),AT463,AU463)))))))))))))</f>
        <v>0</v>
      </c>
      <c r="AQ463" s="1378">
        <f t="shared" ref="AQ463:AQ492" si="910">AI463-SUM(AN463:AO463)</f>
        <v>0</v>
      </c>
      <c r="AR463" s="1098"/>
      <c r="AS463" s="1374"/>
      <c r="AT463" s="1101"/>
      <c r="AU463" s="813"/>
      <c r="AV463" s="1370">
        <f t="shared" si="891"/>
        <v>46328</v>
      </c>
      <c r="AW463" s="1374"/>
      <c r="AX463" s="511">
        <f t="shared" ref="AX463:AX492" si="911">+AV463</f>
        <v>46328</v>
      </c>
      <c r="AY463" s="523">
        <f t="shared" ref="AY463:AY492" si="912">+IF(M463-X463&lt;0,0,M463-X463)</f>
        <v>0</v>
      </c>
      <c r="AZ463" s="520" t="s">
        <v>137</v>
      </c>
      <c r="BA463" s="516">
        <f t="shared" ref="BA463:BA492" si="913">+IF(AZ463="OUI",AY463,0)</f>
        <v>0</v>
      </c>
      <c r="BB463" s="549" t="str">
        <f t="shared" si="892"/>
        <v/>
      </c>
      <c r="BC463" s="523">
        <f t="shared" ref="BC463:BC492" si="914">+IF(BB463="OUI",IFERROR(M463-AT463,M463),0)</f>
        <v>0</v>
      </c>
      <c r="BD463" s="523">
        <f t="shared" ref="BD463:BD492" si="915">+BC463+BA463</f>
        <v>0</v>
      </c>
      <c r="BE463" s="1104"/>
      <c r="BF463" s="514" t="str">
        <f t="shared" si="893"/>
        <v/>
      </c>
      <c r="BG463" s="514" t="str">
        <f t="shared" ref="BG463:BG492" si="916">+IF(AND(M463=0,AT463=""),"oui","non")</f>
        <v>oui</v>
      </c>
      <c r="BH463" s="377" t="str">
        <f t="shared" si="894"/>
        <v/>
      </c>
      <c r="BI463" s="24" t="str">
        <f t="shared" si="895"/>
        <v/>
      </c>
      <c r="BJ463" s="1382"/>
      <c r="BK463" s="1382"/>
      <c r="BL463" s="1382"/>
      <c r="BM463" s="1382"/>
      <c r="BN463" s="1382"/>
      <c r="BO463" s="1382"/>
      <c r="BP463" s="1382"/>
      <c r="BQ463" s="1382"/>
      <c r="BR463" s="1383"/>
      <c r="BS463" s="1370">
        <f t="shared" si="862"/>
        <v>46328</v>
      </c>
      <c r="BT463" s="1384">
        <f>IFERROR(IF(WEEKDAY(BS463,11)=1,WEEKNUM(BS463,21),""),"")</f>
        <v>45</v>
      </c>
      <c r="BU463" s="1382"/>
      <c r="BV463" s="1382"/>
      <c r="BW463" s="1382"/>
      <c r="BX463" s="1382"/>
      <c r="BY463" s="1382"/>
      <c r="BZ463" s="1382"/>
      <c r="CA463" s="1382"/>
      <c r="CB463" s="1382"/>
      <c r="CD463" s="1386">
        <f t="shared" ref="CD463:CD492" si="917">+M463</f>
        <v>0</v>
      </c>
      <c r="DC463" s="16" t="str">
        <f>Novembre!FC21</f>
        <v>non</v>
      </c>
      <c r="DG463" s="315">
        <f t="shared" ref="DG463:DG492" si="918">IF(OR(AT463=0,AT463=""),1,10)</f>
        <v>1</v>
      </c>
      <c r="DH463" s="129">
        <f t="shared" si="896"/>
        <v>10</v>
      </c>
      <c r="DI463" s="129">
        <f t="shared" ref="DI463:DI492" si="919">+IF(OR(DG463=1,DH463=1),1,10)</f>
        <v>1</v>
      </c>
      <c r="DK463" s="16">
        <f>+IF(AND(Novembre!$DP$8&lt;&gt;52,AR463=S.CAL!$BJ$4),10,1)</f>
        <v>1</v>
      </c>
      <c r="DN463" s="16">
        <f t="shared" si="897"/>
        <v>1</v>
      </c>
      <c r="DU463" s="1274" t="str">
        <f t="shared" ref="DU463:DU492" si="920">+A463&amp;B463</f>
        <v>Fiche infoA146328</v>
      </c>
      <c r="DV463" s="1362">
        <f t="shared" si="898"/>
        <v>0</v>
      </c>
      <c r="DW463" s="1363">
        <f t="shared" si="899"/>
        <v>0</v>
      </c>
      <c r="DX463" s="1363">
        <f t="shared" si="900"/>
        <v>0</v>
      </c>
      <c r="DY463" s="1363">
        <f t="shared" si="901"/>
        <v>0</v>
      </c>
      <c r="DZ463" s="1363">
        <f t="shared" si="902"/>
        <v>0</v>
      </c>
      <c r="EA463" s="1363">
        <f t="shared" si="903"/>
        <v>0</v>
      </c>
      <c r="EB463" s="1363">
        <f t="shared" si="904"/>
        <v>0</v>
      </c>
      <c r="EC463" s="1363">
        <f t="shared" si="905"/>
        <v>0</v>
      </c>
      <c r="ED463" s="1363">
        <f t="shared" ref="ED463:ED492" si="921">+DW463-DV463+DY463-DX463+EA463-DZ463+EC463-EB463</f>
        <v>0</v>
      </c>
      <c r="EE463" s="1364">
        <f t="shared" ref="EE463:EE492" si="922">ROUND(+ED463*24,2)</f>
        <v>0</v>
      </c>
      <c r="EG463" s="16" t="str">
        <f t="shared" ref="EG463:EG492" si="923">+WEEKNUM(B463,21)&amp;YEAR(B463)</f>
        <v>452026</v>
      </c>
      <c r="EH463" s="16" t="str">
        <f t="shared" si="906"/>
        <v>Fiche infoA1</v>
      </c>
      <c r="EI463" s="16" t="str">
        <f t="shared" si="907"/>
        <v/>
      </c>
    </row>
    <row r="464" spans="1:145" x14ac:dyDescent="0.2">
      <c r="A464" s="24" t="str">
        <f>Novembre!BJ22</f>
        <v>Fiche infoA2</v>
      </c>
      <c r="B464" s="811">
        <f>Novembre!AB22</f>
        <v>46329</v>
      </c>
      <c r="C464" s="1371"/>
      <c r="D464" s="981">
        <f t="shared" si="863"/>
        <v>0</v>
      </c>
      <c r="E464" s="434">
        <f t="shared" si="864"/>
        <v>0</v>
      </c>
      <c r="F464" s="434">
        <f t="shared" si="865"/>
        <v>0</v>
      </c>
      <c r="G464" s="434">
        <f t="shared" si="866"/>
        <v>0</v>
      </c>
      <c r="H464" s="434">
        <f t="shared" si="867"/>
        <v>0</v>
      </c>
      <c r="I464" s="434">
        <f t="shared" si="868"/>
        <v>0</v>
      </c>
      <c r="J464" s="434">
        <f t="shared" si="869"/>
        <v>0</v>
      </c>
      <c r="K464" s="434">
        <f t="shared" si="870"/>
        <v>0</v>
      </c>
      <c r="L464" s="434">
        <f t="shared" si="908"/>
        <v>0</v>
      </c>
      <c r="M464" s="982">
        <f t="shared" si="909"/>
        <v>0</v>
      </c>
      <c r="O464" s="981">
        <f t="shared" si="871"/>
        <v>0</v>
      </c>
      <c r="P464" s="434">
        <f t="shared" si="872"/>
        <v>0</v>
      </c>
      <c r="Q464" s="434">
        <f t="shared" si="873"/>
        <v>0</v>
      </c>
      <c r="R464" s="434">
        <f t="shared" si="874"/>
        <v>0</v>
      </c>
      <c r="S464" s="434">
        <f t="shared" si="875"/>
        <v>0</v>
      </c>
      <c r="T464" s="434">
        <f t="shared" si="876"/>
        <v>0</v>
      </c>
      <c r="U464" s="434">
        <f t="shared" si="877"/>
        <v>0</v>
      </c>
      <c r="V464" s="434">
        <f t="shared" si="878"/>
        <v>0</v>
      </c>
      <c r="W464" s="434">
        <f t="shared" si="879"/>
        <v>0</v>
      </c>
      <c r="X464" s="982">
        <f t="shared" si="880"/>
        <v>0</v>
      </c>
      <c r="Y464" s="441"/>
      <c r="Z464" s="277">
        <f t="shared" si="881"/>
        <v>0</v>
      </c>
      <c r="AA464" s="277">
        <f t="shared" si="882"/>
        <v>0</v>
      </c>
      <c r="AB464" s="277">
        <f t="shared" si="883"/>
        <v>0</v>
      </c>
      <c r="AC464" s="277">
        <f t="shared" si="884"/>
        <v>0</v>
      </c>
      <c r="AD464" s="277">
        <f t="shared" si="885"/>
        <v>0</v>
      </c>
      <c r="AE464" s="277">
        <f t="shared" si="886"/>
        <v>0</v>
      </c>
      <c r="AF464" s="277">
        <f t="shared" si="887"/>
        <v>0</v>
      </c>
      <c r="AG464" s="277">
        <f t="shared" si="888"/>
        <v>0</v>
      </c>
      <c r="AI464" s="444">
        <f t="shared" si="889"/>
        <v>0</v>
      </c>
      <c r="AJ464" s="1090"/>
      <c r="AK464" s="489"/>
      <c r="AL464" s="811">
        <f t="shared" si="890"/>
        <v>46329</v>
      </c>
      <c r="AM464" s="666">
        <f>IFERROR(IF(AND(AT464="",AR464&lt;&gt;S.CAL!$BJ$3,AR464&lt;&gt;S.CAL!$BJ$4,$AR$455="NON"),M464-BD464,IF(AND(AT464="",AR464&lt;&gt;S.CAL!$BJ$3,AR464&lt;&gt;S.CAL!$BJ$4,$AR$455="OUI"),X464-AI464,IF(AT464&lt;&gt;0,AT464,IF(OR(AR464=S.CAL!$BJ$3,AR464=S.CAL!$BJ$4),AR464,"")))),"")</f>
        <v>0</v>
      </c>
      <c r="AN464" s="1093"/>
      <c r="AO464" s="1094"/>
      <c r="AP464" s="666">
        <f>+IF(AND(AU464="",BB464="OUI",BH464="non",BI464="OUI"),AM464,IF(AND(AU464="",BB464="OUI",BH464="oui",BI464="NON"),AM464,IF(AND(AU464="",BB464="NON",BH464="oui",BI464="NON"),M464,IF(AND(AU464="",BB464="NON",BH464="non",BI464="OUI"),M464,IF(AND(AU464="",BB464="OUI",BH464="non",BI464="NON"),"ERREUR",IF(AND(AU464="",BB464="NON",BH464="non",BI464="NON"),AM464,IF(AND(AU464="",BB464="OUI",BH464="",BI464=""),AM464,IF(AND(AU464="",BB464="NON",BH464="",BI464="",AZ464="NON"),M464,IF(AND(AU464="",BH464="",AZ464="OUI",AR464=""),AM464,IF(AND(AU464="",BH464="",AZ464="NON",AR464="",AT464=""),M464,IF(AND(OR(AR464=S.CAL!$BJ$3,AR464=S.CAL!$BJ$4),(VLOOKUP($AM$455,base_nbre_sem_mensu,2,FALSE)=52)),EE464,IF(AND(OR(AR464=S.CAL!$BJ$3,AR464=S.CAL!$BJ$4),(VLOOKUP($AM$455,base_nbre_sem_mensu,2,FALSE)&lt;52)),AM464,IF(AND(AT464&lt;&gt;"",AU464=""),AT464,AU464)))))))))))))</f>
        <v>0</v>
      </c>
      <c r="AQ464" s="498">
        <f t="shared" si="910"/>
        <v>0</v>
      </c>
      <c r="AR464" s="1098"/>
      <c r="AT464" s="1101"/>
      <c r="AU464" s="813"/>
      <c r="AV464" s="1370">
        <f t="shared" si="891"/>
        <v>46329</v>
      </c>
      <c r="AX464" s="511">
        <f t="shared" si="911"/>
        <v>46329</v>
      </c>
      <c r="AY464" s="523">
        <f t="shared" si="912"/>
        <v>0</v>
      </c>
      <c r="AZ464" s="520" t="s">
        <v>137</v>
      </c>
      <c r="BA464" s="516">
        <f t="shared" si="913"/>
        <v>0</v>
      </c>
      <c r="BB464" s="549" t="str">
        <f t="shared" si="892"/>
        <v/>
      </c>
      <c r="BC464" s="523">
        <f t="shared" si="914"/>
        <v>0</v>
      </c>
      <c r="BD464" s="523">
        <f t="shared" si="915"/>
        <v>0</v>
      </c>
      <c r="BE464" s="1104"/>
      <c r="BF464" s="514" t="str">
        <f t="shared" si="893"/>
        <v/>
      </c>
      <c r="BG464" s="514" t="str">
        <f t="shared" si="916"/>
        <v>oui</v>
      </c>
      <c r="BH464" s="377" t="str">
        <f t="shared" si="894"/>
        <v/>
      </c>
      <c r="BI464" s="24" t="str">
        <f t="shared" si="895"/>
        <v/>
      </c>
      <c r="BJ464" s="1381"/>
      <c r="BK464" s="1381"/>
      <c r="BL464" s="1381"/>
      <c r="BM464" s="1381"/>
      <c r="BN464" s="1381"/>
      <c r="BO464" s="1381"/>
      <c r="BP464" s="1381"/>
      <c r="BQ464" s="1381"/>
      <c r="BS464" s="1370">
        <f t="shared" si="862"/>
        <v>46329</v>
      </c>
      <c r="BT464" s="27" t="str">
        <f t="shared" ref="BT464:BT492" si="924">IFERROR(IF(WEEKDAY(BS464,11)=1,WEEKNUM(BS464,21),""),"")</f>
        <v/>
      </c>
      <c r="BU464" s="1380"/>
      <c r="BV464" s="1380"/>
      <c r="BW464" s="1380"/>
      <c r="BX464" s="1380"/>
      <c r="BY464" s="1380"/>
      <c r="BZ464" s="1380"/>
      <c r="CA464" s="1380"/>
      <c r="CB464" s="1380"/>
      <c r="CD464" s="1386">
        <f t="shared" si="917"/>
        <v>0</v>
      </c>
      <c r="DC464" s="16" t="str">
        <f>Novembre!FC22</f>
        <v>non</v>
      </c>
      <c r="DG464" s="315">
        <f t="shared" si="918"/>
        <v>1</v>
      </c>
      <c r="DH464" s="129">
        <f t="shared" si="896"/>
        <v>10</v>
      </c>
      <c r="DI464" s="129">
        <f t="shared" si="919"/>
        <v>1</v>
      </c>
      <c r="DK464" s="16">
        <f>+IF(AND(Novembre!$DP$8&lt;&gt;52,AR464=S.CAL!$BJ$4),10,1)</f>
        <v>1</v>
      </c>
      <c r="DN464" s="16">
        <f t="shared" si="897"/>
        <v>1</v>
      </c>
      <c r="DU464" s="1274" t="str">
        <f t="shared" si="920"/>
        <v>Fiche infoA246329</v>
      </c>
      <c r="DV464" s="1362">
        <f t="shared" si="898"/>
        <v>0</v>
      </c>
      <c r="DW464" s="1363">
        <f t="shared" si="899"/>
        <v>0</v>
      </c>
      <c r="DX464" s="1363">
        <f t="shared" si="900"/>
        <v>0</v>
      </c>
      <c r="DY464" s="1363">
        <f t="shared" si="901"/>
        <v>0</v>
      </c>
      <c r="DZ464" s="1363">
        <f t="shared" si="902"/>
        <v>0</v>
      </c>
      <c r="EA464" s="1363">
        <f t="shared" si="903"/>
        <v>0</v>
      </c>
      <c r="EB464" s="1363">
        <f t="shared" si="904"/>
        <v>0</v>
      </c>
      <c r="EC464" s="1363">
        <f t="shared" si="905"/>
        <v>0</v>
      </c>
      <c r="ED464" s="1363">
        <f t="shared" si="921"/>
        <v>0</v>
      </c>
      <c r="EE464" s="1364">
        <f t="shared" si="922"/>
        <v>0</v>
      </c>
      <c r="EG464" s="16" t="str">
        <f t="shared" si="923"/>
        <v>452026</v>
      </c>
      <c r="EH464" s="16" t="str">
        <f t="shared" si="906"/>
        <v>Fiche infoA2</v>
      </c>
      <c r="EI464" s="16" t="str">
        <f t="shared" si="907"/>
        <v/>
      </c>
    </row>
    <row r="465" spans="1:139" x14ac:dyDescent="0.2">
      <c r="A465" s="1373" t="str">
        <f>Novembre!BJ23</f>
        <v>Fiche infoA3</v>
      </c>
      <c r="B465" s="811">
        <f>Novembre!AB23</f>
        <v>46330</v>
      </c>
      <c r="C465" s="1372"/>
      <c r="D465" s="981">
        <f t="shared" si="863"/>
        <v>0</v>
      </c>
      <c r="E465" s="434">
        <f t="shared" si="864"/>
        <v>0</v>
      </c>
      <c r="F465" s="434">
        <f t="shared" si="865"/>
        <v>0</v>
      </c>
      <c r="G465" s="434">
        <f t="shared" si="866"/>
        <v>0</v>
      </c>
      <c r="H465" s="434">
        <f t="shared" si="867"/>
        <v>0</v>
      </c>
      <c r="I465" s="434">
        <f t="shared" si="868"/>
        <v>0</v>
      </c>
      <c r="J465" s="434">
        <f t="shared" si="869"/>
        <v>0</v>
      </c>
      <c r="K465" s="434">
        <f t="shared" si="870"/>
        <v>0</v>
      </c>
      <c r="L465" s="434">
        <f t="shared" si="908"/>
        <v>0</v>
      </c>
      <c r="M465" s="982">
        <f t="shared" si="909"/>
        <v>0</v>
      </c>
      <c r="N465" s="1374"/>
      <c r="O465" s="981">
        <f t="shared" si="871"/>
        <v>0</v>
      </c>
      <c r="P465" s="434">
        <f t="shared" si="872"/>
        <v>0</v>
      </c>
      <c r="Q465" s="434">
        <f t="shared" si="873"/>
        <v>0</v>
      </c>
      <c r="R465" s="434">
        <f t="shared" si="874"/>
        <v>0</v>
      </c>
      <c r="S465" s="434">
        <f t="shared" si="875"/>
        <v>0</v>
      </c>
      <c r="T465" s="434">
        <f t="shared" si="876"/>
        <v>0</v>
      </c>
      <c r="U465" s="434">
        <f t="shared" si="877"/>
        <v>0</v>
      </c>
      <c r="V465" s="434">
        <f t="shared" si="878"/>
        <v>0</v>
      </c>
      <c r="W465" s="434">
        <f t="shared" si="879"/>
        <v>0</v>
      </c>
      <c r="X465" s="982">
        <f t="shared" si="880"/>
        <v>0</v>
      </c>
      <c r="Y465" s="1375"/>
      <c r="Z465" s="1376">
        <f t="shared" si="881"/>
        <v>0</v>
      </c>
      <c r="AA465" s="1376">
        <f t="shared" si="882"/>
        <v>0</v>
      </c>
      <c r="AB465" s="1376">
        <f t="shared" si="883"/>
        <v>0</v>
      </c>
      <c r="AC465" s="1376">
        <f t="shared" si="884"/>
        <v>0</v>
      </c>
      <c r="AD465" s="1376">
        <f t="shared" si="885"/>
        <v>0</v>
      </c>
      <c r="AE465" s="1376">
        <f t="shared" si="886"/>
        <v>0</v>
      </c>
      <c r="AF465" s="1376">
        <f t="shared" si="887"/>
        <v>0</v>
      </c>
      <c r="AG465" s="1376">
        <f t="shared" si="888"/>
        <v>0</v>
      </c>
      <c r="AH465" s="1374"/>
      <c r="AI465" s="444">
        <f t="shared" si="889"/>
        <v>0</v>
      </c>
      <c r="AJ465" s="1090"/>
      <c r="AK465" s="1377"/>
      <c r="AL465" s="811">
        <f t="shared" si="890"/>
        <v>46330</v>
      </c>
      <c r="AM465" s="666">
        <f>IFERROR(IF(AND(AT465="",AR465&lt;&gt;S.CAL!$BJ$3,AR465&lt;&gt;S.CAL!$BJ$4,$AR$455="NON"),M465-BD465,IF(AND(AT465="",AR465&lt;&gt;S.CAL!$BJ$3,AR465&lt;&gt;S.CAL!$BJ$4,$AR$455="OUI"),X465-AI465,IF(AT465&lt;&gt;0,AT465,IF(OR(AR465=S.CAL!$BJ$3,AR465=S.CAL!$BJ$4),AR465,"")))),"")</f>
        <v>0</v>
      </c>
      <c r="AN465" s="1093"/>
      <c r="AO465" s="1094"/>
      <c r="AP465" s="666">
        <f>+IF(AND(AU465="",BB465="OUI",BH465="non",BI465="OUI"),AM465,IF(AND(AU465="",BB465="OUI",BH465="oui",BI465="NON"),AM465,IF(AND(AU465="",BB465="NON",BH465="oui",BI465="NON"),M465,IF(AND(AU465="",BB465="NON",BH465="non",BI465="OUI"),M465,IF(AND(AU465="",BB465="OUI",BH465="non",BI465="NON"),"ERREUR",IF(AND(AU465="",BB465="NON",BH465="non",BI465="NON"),AM465,IF(AND(AU465="",BB465="OUI",BH465="",BI465=""),AM465,IF(AND(AU465="",BB465="NON",BH465="",BI465="",AZ465="NON"),M465,IF(AND(AU465="",BH465="",AZ465="OUI",AR465=""),AM465,IF(AND(AU465="",BH465="",AZ465="NON",AR465="",AT465=""),M465,IF(AND(OR(AR465=S.CAL!$BJ$3,AR465=S.CAL!$BJ$4),(VLOOKUP($AM$455,base_nbre_sem_mensu,2,FALSE)=52)),EE465,IF(AND(OR(AR465=S.CAL!$BJ$3,AR465=S.CAL!$BJ$4),(VLOOKUP($AM$455,base_nbre_sem_mensu,2,FALSE)&lt;52)),AM465,IF(AND(AT465&lt;&gt;"",AU465=""),AT465,AU465)))))))))))))</f>
        <v>0</v>
      </c>
      <c r="AQ465" s="1378">
        <f t="shared" si="910"/>
        <v>0</v>
      </c>
      <c r="AR465" s="1098"/>
      <c r="AS465" s="1374"/>
      <c r="AT465" s="1101"/>
      <c r="AU465" s="813"/>
      <c r="AV465" s="1370">
        <f t="shared" si="891"/>
        <v>46330</v>
      </c>
      <c r="AW465" s="1374"/>
      <c r="AX465" s="511">
        <f t="shared" si="911"/>
        <v>46330</v>
      </c>
      <c r="AY465" s="523">
        <f t="shared" si="912"/>
        <v>0</v>
      </c>
      <c r="AZ465" s="520" t="s">
        <v>137</v>
      </c>
      <c r="BA465" s="516">
        <f t="shared" si="913"/>
        <v>0</v>
      </c>
      <c r="BB465" s="549" t="str">
        <f t="shared" si="892"/>
        <v/>
      </c>
      <c r="BC465" s="523">
        <f t="shared" si="914"/>
        <v>0</v>
      </c>
      <c r="BD465" s="523">
        <f t="shared" si="915"/>
        <v>0</v>
      </c>
      <c r="BE465" s="1104"/>
      <c r="BF465" s="514" t="str">
        <f t="shared" si="893"/>
        <v/>
      </c>
      <c r="BG465" s="514" t="str">
        <f t="shared" si="916"/>
        <v>oui</v>
      </c>
      <c r="BH465" s="377" t="str">
        <f t="shared" si="894"/>
        <v/>
      </c>
      <c r="BI465" s="24" t="str">
        <f t="shared" si="895"/>
        <v/>
      </c>
      <c r="BJ465" s="1382"/>
      <c r="BK465" s="1382"/>
      <c r="BL465" s="1382"/>
      <c r="BM465" s="1382"/>
      <c r="BN465" s="1382"/>
      <c r="BO465" s="1382"/>
      <c r="BP465" s="1382"/>
      <c r="BQ465" s="1382"/>
      <c r="BR465" s="1383"/>
      <c r="BS465" s="1370">
        <f t="shared" si="862"/>
        <v>46330</v>
      </c>
      <c r="BT465" s="1384" t="str">
        <f t="shared" si="924"/>
        <v/>
      </c>
      <c r="BU465" s="1382"/>
      <c r="BV465" s="1382"/>
      <c r="BW465" s="1382"/>
      <c r="BX465" s="1382"/>
      <c r="BY465" s="1382"/>
      <c r="BZ465" s="1382"/>
      <c r="CA465" s="1382"/>
      <c r="CB465" s="1382"/>
      <c r="CD465" s="1386">
        <f t="shared" si="917"/>
        <v>0</v>
      </c>
      <c r="DC465" s="16" t="str">
        <f>Novembre!FC23</f>
        <v>non</v>
      </c>
      <c r="DG465" s="315">
        <f t="shared" si="918"/>
        <v>1</v>
      </c>
      <c r="DH465" s="129">
        <f t="shared" si="896"/>
        <v>10</v>
      </c>
      <c r="DI465" s="129">
        <f t="shared" si="919"/>
        <v>1</v>
      </c>
      <c r="DK465" s="16">
        <f>+IF(AND(Novembre!$DP$8&lt;&gt;52,AR465=S.CAL!$BJ$4),10,1)</f>
        <v>1</v>
      </c>
      <c r="DN465" s="16">
        <f t="shared" si="897"/>
        <v>1</v>
      </c>
      <c r="DU465" s="1274" t="str">
        <f t="shared" si="920"/>
        <v>Fiche infoA346330</v>
      </c>
      <c r="DV465" s="1362">
        <f t="shared" si="898"/>
        <v>0</v>
      </c>
      <c r="DW465" s="1363">
        <f t="shared" si="899"/>
        <v>0</v>
      </c>
      <c r="DX465" s="1363">
        <f t="shared" si="900"/>
        <v>0</v>
      </c>
      <c r="DY465" s="1363">
        <f t="shared" si="901"/>
        <v>0</v>
      </c>
      <c r="DZ465" s="1363">
        <f t="shared" si="902"/>
        <v>0</v>
      </c>
      <c r="EA465" s="1363">
        <f t="shared" si="903"/>
        <v>0</v>
      </c>
      <c r="EB465" s="1363">
        <f t="shared" si="904"/>
        <v>0</v>
      </c>
      <c r="EC465" s="1363">
        <f t="shared" si="905"/>
        <v>0</v>
      </c>
      <c r="ED465" s="1363">
        <f t="shared" si="921"/>
        <v>0</v>
      </c>
      <c r="EE465" s="1364">
        <f t="shared" si="922"/>
        <v>0</v>
      </c>
      <c r="EG465" s="16" t="str">
        <f t="shared" si="923"/>
        <v>452026</v>
      </c>
      <c r="EH465" s="16" t="str">
        <f t="shared" si="906"/>
        <v>Fiche infoA3</v>
      </c>
      <c r="EI465" s="16" t="str">
        <f t="shared" si="907"/>
        <v/>
      </c>
    </row>
    <row r="466" spans="1:139" x14ac:dyDescent="0.2">
      <c r="A466" s="24" t="str">
        <f>Novembre!BJ24</f>
        <v>Fiche infoA4</v>
      </c>
      <c r="B466" s="811">
        <f>Novembre!AB24</f>
        <v>46331</v>
      </c>
      <c r="C466" s="1371"/>
      <c r="D466" s="981">
        <f t="shared" si="863"/>
        <v>0</v>
      </c>
      <c r="E466" s="434">
        <f t="shared" si="864"/>
        <v>0</v>
      </c>
      <c r="F466" s="434">
        <f t="shared" si="865"/>
        <v>0</v>
      </c>
      <c r="G466" s="434">
        <f t="shared" si="866"/>
        <v>0</v>
      </c>
      <c r="H466" s="434">
        <f t="shared" si="867"/>
        <v>0</v>
      </c>
      <c r="I466" s="434">
        <f t="shared" si="868"/>
        <v>0</v>
      </c>
      <c r="J466" s="434">
        <f t="shared" si="869"/>
        <v>0</v>
      </c>
      <c r="K466" s="434">
        <f t="shared" si="870"/>
        <v>0</v>
      </c>
      <c r="L466" s="434">
        <f t="shared" si="908"/>
        <v>0</v>
      </c>
      <c r="M466" s="982">
        <f t="shared" si="909"/>
        <v>0</v>
      </c>
      <c r="O466" s="981">
        <f t="shared" si="871"/>
        <v>0</v>
      </c>
      <c r="P466" s="434">
        <f t="shared" si="872"/>
        <v>0</v>
      </c>
      <c r="Q466" s="434">
        <f t="shared" si="873"/>
        <v>0</v>
      </c>
      <c r="R466" s="434">
        <f t="shared" si="874"/>
        <v>0</v>
      </c>
      <c r="S466" s="434">
        <f t="shared" si="875"/>
        <v>0</v>
      </c>
      <c r="T466" s="434">
        <f t="shared" si="876"/>
        <v>0</v>
      </c>
      <c r="U466" s="434">
        <f t="shared" si="877"/>
        <v>0</v>
      </c>
      <c r="V466" s="434">
        <f t="shared" si="878"/>
        <v>0</v>
      </c>
      <c r="W466" s="434">
        <f t="shared" si="879"/>
        <v>0</v>
      </c>
      <c r="X466" s="982">
        <f t="shared" si="880"/>
        <v>0</v>
      </c>
      <c r="Y466" s="441"/>
      <c r="Z466" s="277">
        <f t="shared" si="881"/>
        <v>0</v>
      </c>
      <c r="AA466" s="277">
        <f t="shared" si="882"/>
        <v>0</v>
      </c>
      <c r="AB466" s="277">
        <f t="shared" si="883"/>
        <v>0</v>
      </c>
      <c r="AC466" s="277">
        <f t="shared" si="884"/>
        <v>0</v>
      </c>
      <c r="AD466" s="277">
        <f t="shared" si="885"/>
        <v>0</v>
      </c>
      <c r="AE466" s="277">
        <f t="shared" si="886"/>
        <v>0</v>
      </c>
      <c r="AF466" s="277">
        <f t="shared" si="887"/>
        <v>0</v>
      </c>
      <c r="AG466" s="277">
        <f t="shared" si="888"/>
        <v>0</v>
      </c>
      <c r="AI466" s="444">
        <f t="shared" si="889"/>
        <v>0</v>
      </c>
      <c r="AJ466" s="1090"/>
      <c r="AK466" s="489"/>
      <c r="AL466" s="811">
        <f t="shared" si="890"/>
        <v>46331</v>
      </c>
      <c r="AM466" s="666">
        <f>IFERROR(IF(AND(AT466="",AR466&lt;&gt;S.CAL!$BJ$3,AR466&lt;&gt;S.CAL!$BJ$4,$AR$455="NON"),M466-BD466,IF(AND(AT466="",AR466&lt;&gt;S.CAL!$BJ$3,AR466&lt;&gt;S.CAL!$BJ$4,$AR$455="OUI"),X466-AI466,IF(AT466&lt;&gt;0,AT466,IF(OR(AR466=S.CAL!$BJ$3,AR466=S.CAL!$BJ$4),AR466,"")))),"")</f>
        <v>0</v>
      </c>
      <c r="AN466" s="1093"/>
      <c r="AO466" s="1094"/>
      <c r="AP466" s="666">
        <f>+IF(AND(AU466="",BB466="OUI",BH466="non",BI466="OUI"),AM466,IF(AND(AU466="",BB466="OUI",BH466="oui",BI466="NON"),AM466,IF(AND(AU466="",BB466="NON",BH466="oui",BI466="NON"),M466,IF(AND(AU466="",BB466="NON",BH466="non",BI466="OUI"),M466,IF(AND(AU466="",BB466="OUI",BH466="non",BI466="NON"),"ERREUR",IF(AND(AU466="",BB466="NON",BH466="non",BI466="NON"),AM466,IF(AND(AU466="",BB466="OUI",BH466="",BI466=""),AM466,IF(AND(AU466="",BB466="NON",BH466="",BI466="",AZ466="NON"),M466,IF(AND(AU466="",BH466="",AZ466="OUI",AR466=""),AM466,IF(AND(AU466="",BH466="",AZ466="NON",AR466="",AT466=""),M466,IF(AND(OR(AR466=S.CAL!$BJ$3,AR466=S.CAL!$BJ$4),(VLOOKUP($AM$455,base_nbre_sem_mensu,2,FALSE)=52)),EE466,IF(AND(OR(AR466=S.CAL!$BJ$3,AR466=S.CAL!$BJ$4),(VLOOKUP($AM$455,base_nbre_sem_mensu,2,FALSE)&lt;52)),AM466,IF(AND(AT466&lt;&gt;"",AU466=""),AT466,AU466)))))))))))))</f>
        <v>0</v>
      </c>
      <c r="AQ466" s="498">
        <f t="shared" si="910"/>
        <v>0</v>
      </c>
      <c r="AR466" s="1098"/>
      <c r="AT466" s="1101"/>
      <c r="AU466" s="813"/>
      <c r="AV466" s="1370">
        <f t="shared" si="891"/>
        <v>46331</v>
      </c>
      <c r="AX466" s="511">
        <f t="shared" si="911"/>
        <v>46331</v>
      </c>
      <c r="AY466" s="523">
        <f t="shared" si="912"/>
        <v>0</v>
      </c>
      <c r="AZ466" s="520" t="s">
        <v>137</v>
      </c>
      <c r="BA466" s="516">
        <f t="shared" si="913"/>
        <v>0</v>
      </c>
      <c r="BB466" s="549" t="str">
        <f t="shared" si="892"/>
        <v/>
      </c>
      <c r="BC466" s="523">
        <f t="shared" si="914"/>
        <v>0</v>
      </c>
      <c r="BD466" s="523">
        <f t="shared" si="915"/>
        <v>0</v>
      </c>
      <c r="BE466" s="1104"/>
      <c r="BF466" s="514" t="str">
        <f t="shared" si="893"/>
        <v/>
      </c>
      <c r="BG466" s="514" t="str">
        <f t="shared" si="916"/>
        <v>oui</v>
      </c>
      <c r="BH466" s="377" t="str">
        <f t="shared" si="894"/>
        <v/>
      </c>
      <c r="BI466" s="24" t="str">
        <f t="shared" si="895"/>
        <v/>
      </c>
      <c r="BJ466" s="1381"/>
      <c r="BK466" s="1381"/>
      <c r="BL466" s="1381"/>
      <c r="BM466" s="1381"/>
      <c r="BN466" s="1381"/>
      <c r="BO466" s="1381"/>
      <c r="BP466" s="1381"/>
      <c r="BQ466" s="1381"/>
      <c r="BS466" s="1370">
        <f t="shared" si="862"/>
        <v>46331</v>
      </c>
      <c r="BT466" s="27" t="str">
        <f t="shared" si="924"/>
        <v/>
      </c>
      <c r="BU466" s="1380"/>
      <c r="BV466" s="1380"/>
      <c r="BW466" s="1380"/>
      <c r="BX466" s="1380"/>
      <c r="BY466" s="1380"/>
      <c r="BZ466" s="1380"/>
      <c r="CA466" s="1380"/>
      <c r="CB466" s="1380"/>
      <c r="CD466" s="1386">
        <f t="shared" si="917"/>
        <v>0</v>
      </c>
      <c r="DC466" s="16" t="str">
        <f>Novembre!FC24</f>
        <v>non</v>
      </c>
      <c r="DG466" s="315">
        <f t="shared" si="918"/>
        <v>1</v>
      </c>
      <c r="DH466" s="129">
        <f t="shared" si="896"/>
        <v>10</v>
      </c>
      <c r="DI466" s="129">
        <f t="shared" si="919"/>
        <v>1</v>
      </c>
      <c r="DK466" s="16">
        <f>+IF(AND(Novembre!$DP$8&lt;&gt;52,AR466=S.CAL!$BJ$4),10,1)</f>
        <v>1</v>
      </c>
      <c r="DN466" s="16">
        <f t="shared" si="897"/>
        <v>1</v>
      </c>
      <c r="DU466" s="1274" t="str">
        <f t="shared" si="920"/>
        <v>Fiche infoA446331</v>
      </c>
      <c r="DV466" s="1362">
        <f t="shared" si="898"/>
        <v>0</v>
      </c>
      <c r="DW466" s="1363">
        <f t="shared" si="899"/>
        <v>0</v>
      </c>
      <c r="DX466" s="1363">
        <f t="shared" si="900"/>
        <v>0</v>
      </c>
      <c r="DY466" s="1363">
        <f t="shared" si="901"/>
        <v>0</v>
      </c>
      <c r="DZ466" s="1363">
        <f t="shared" si="902"/>
        <v>0</v>
      </c>
      <c r="EA466" s="1363">
        <f t="shared" si="903"/>
        <v>0</v>
      </c>
      <c r="EB466" s="1363">
        <f t="shared" si="904"/>
        <v>0</v>
      </c>
      <c r="EC466" s="1363">
        <f t="shared" si="905"/>
        <v>0</v>
      </c>
      <c r="ED466" s="1363">
        <f t="shared" si="921"/>
        <v>0</v>
      </c>
      <c r="EE466" s="1364">
        <f t="shared" si="922"/>
        <v>0</v>
      </c>
      <c r="EG466" s="16" t="str">
        <f t="shared" si="923"/>
        <v>452026</v>
      </c>
      <c r="EH466" s="16" t="str">
        <f t="shared" si="906"/>
        <v>Fiche infoA4</v>
      </c>
      <c r="EI466" s="16" t="str">
        <f t="shared" si="907"/>
        <v/>
      </c>
    </row>
    <row r="467" spans="1:139" x14ac:dyDescent="0.2">
      <c r="A467" s="1373" t="str">
        <f>Novembre!BJ25</f>
        <v>Fiche infoA5</v>
      </c>
      <c r="B467" s="811">
        <f>Novembre!AB25</f>
        <v>46332</v>
      </c>
      <c r="C467" s="1372"/>
      <c r="D467" s="981">
        <f t="shared" si="863"/>
        <v>0</v>
      </c>
      <c r="E467" s="434">
        <f t="shared" si="864"/>
        <v>0</v>
      </c>
      <c r="F467" s="434">
        <f t="shared" si="865"/>
        <v>0</v>
      </c>
      <c r="G467" s="434">
        <f t="shared" si="866"/>
        <v>0</v>
      </c>
      <c r="H467" s="434">
        <f t="shared" si="867"/>
        <v>0</v>
      </c>
      <c r="I467" s="434">
        <f t="shared" si="868"/>
        <v>0</v>
      </c>
      <c r="J467" s="434">
        <f t="shared" si="869"/>
        <v>0</v>
      </c>
      <c r="K467" s="434">
        <f t="shared" si="870"/>
        <v>0</v>
      </c>
      <c r="L467" s="434">
        <f t="shared" si="908"/>
        <v>0</v>
      </c>
      <c r="M467" s="982">
        <f t="shared" si="909"/>
        <v>0</v>
      </c>
      <c r="N467" s="1374"/>
      <c r="O467" s="981">
        <f t="shared" si="871"/>
        <v>0</v>
      </c>
      <c r="P467" s="434">
        <f t="shared" si="872"/>
        <v>0</v>
      </c>
      <c r="Q467" s="434">
        <f t="shared" si="873"/>
        <v>0</v>
      </c>
      <c r="R467" s="434">
        <f t="shared" si="874"/>
        <v>0</v>
      </c>
      <c r="S467" s="434">
        <f t="shared" si="875"/>
        <v>0</v>
      </c>
      <c r="T467" s="434">
        <f t="shared" si="876"/>
        <v>0</v>
      </c>
      <c r="U467" s="434">
        <f t="shared" si="877"/>
        <v>0</v>
      </c>
      <c r="V467" s="434">
        <f t="shared" si="878"/>
        <v>0</v>
      </c>
      <c r="W467" s="434">
        <f t="shared" si="879"/>
        <v>0</v>
      </c>
      <c r="X467" s="982">
        <f t="shared" si="880"/>
        <v>0</v>
      </c>
      <c r="Y467" s="1375"/>
      <c r="Z467" s="1376">
        <f t="shared" si="881"/>
        <v>0</v>
      </c>
      <c r="AA467" s="1376">
        <f t="shared" si="882"/>
        <v>0</v>
      </c>
      <c r="AB467" s="1376">
        <f t="shared" si="883"/>
        <v>0</v>
      </c>
      <c r="AC467" s="1376">
        <f t="shared" si="884"/>
        <v>0</v>
      </c>
      <c r="AD467" s="1376">
        <f t="shared" si="885"/>
        <v>0</v>
      </c>
      <c r="AE467" s="1376">
        <f t="shared" si="886"/>
        <v>0</v>
      </c>
      <c r="AF467" s="1376">
        <f t="shared" si="887"/>
        <v>0</v>
      </c>
      <c r="AG467" s="1376">
        <f t="shared" si="888"/>
        <v>0</v>
      </c>
      <c r="AH467" s="1374"/>
      <c r="AI467" s="444">
        <f t="shared" si="889"/>
        <v>0</v>
      </c>
      <c r="AJ467" s="1090"/>
      <c r="AK467" s="1377"/>
      <c r="AL467" s="811">
        <f t="shared" si="890"/>
        <v>46332</v>
      </c>
      <c r="AM467" s="666">
        <f>IFERROR(IF(AND(AT467="",AR467&lt;&gt;S.CAL!$BJ$3,AR467&lt;&gt;S.CAL!$BJ$4,$AR$455="NON"),M467-BD467,IF(AND(AT467="",AR467&lt;&gt;S.CAL!$BJ$3,AR467&lt;&gt;S.CAL!$BJ$4,$AR$455="OUI"),X467-AI467,IF(AT467&lt;&gt;0,AT467,IF(OR(AR467=S.CAL!$BJ$3,AR467=S.CAL!$BJ$4),AR467,"")))),"")</f>
        <v>0</v>
      </c>
      <c r="AN467" s="1093"/>
      <c r="AO467" s="1094"/>
      <c r="AP467" s="666">
        <f>+IF(AND(AU467="",BB467="OUI",BH467="non",BI467="OUI"),AM467,IF(AND(AU467="",BB467="OUI",BH467="oui",BI467="NON"),AM467,IF(AND(AU467="",BB467="NON",BH467="oui",BI467="NON"),M467,IF(AND(AU467="",BB467="NON",BH467="non",BI467="OUI"),M467,IF(AND(AU467="",BB467="OUI",BH467="non",BI467="NON"),"ERREUR",IF(AND(AU467="",BB467="NON",BH467="non",BI467="NON"),AM467,IF(AND(AU467="",BB467="OUI",BH467="",BI467=""),AM467,IF(AND(AU467="",BB467="NON",BH467="",BI467="",AZ467="NON"),M467,IF(AND(AU467="",BH467="",AZ467="OUI",AR467=""),AM467,IF(AND(AU467="",BH467="",AZ467="NON",AR467="",AT467=""),M467,IF(AND(OR(AR467=S.CAL!$BJ$3,AR467=S.CAL!$BJ$4),(VLOOKUP($AM$455,base_nbre_sem_mensu,2,FALSE)=52)),EE467,IF(AND(OR(AR467=S.CAL!$BJ$3,AR467=S.CAL!$BJ$4),(VLOOKUP($AM$455,base_nbre_sem_mensu,2,FALSE)&lt;52)),AM467,IF(AND(AT467&lt;&gt;"",AU467=""),AT467,AU467)))))))))))))</f>
        <v>0</v>
      </c>
      <c r="AQ467" s="1378">
        <f t="shared" si="910"/>
        <v>0</v>
      </c>
      <c r="AR467" s="1098"/>
      <c r="AS467" s="1374"/>
      <c r="AT467" s="1101"/>
      <c r="AU467" s="813"/>
      <c r="AV467" s="1370">
        <f t="shared" si="891"/>
        <v>46332</v>
      </c>
      <c r="AW467" s="1374"/>
      <c r="AX467" s="511">
        <f t="shared" si="911"/>
        <v>46332</v>
      </c>
      <c r="AY467" s="523">
        <f t="shared" si="912"/>
        <v>0</v>
      </c>
      <c r="AZ467" s="520" t="s">
        <v>137</v>
      </c>
      <c r="BA467" s="516">
        <f t="shared" si="913"/>
        <v>0</v>
      </c>
      <c r="BB467" s="549" t="str">
        <f t="shared" si="892"/>
        <v/>
      </c>
      <c r="BC467" s="523">
        <f t="shared" si="914"/>
        <v>0</v>
      </c>
      <c r="BD467" s="523">
        <f t="shared" si="915"/>
        <v>0</v>
      </c>
      <c r="BE467" s="1104"/>
      <c r="BF467" s="514" t="str">
        <f t="shared" si="893"/>
        <v/>
      </c>
      <c r="BG467" s="514" t="str">
        <f t="shared" si="916"/>
        <v>oui</v>
      </c>
      <c r="BH467" s="377" t="str">
        <f t="shared" si="894"/>
        <v/>
      </c>
      <c r="BI467" s="24" t="str">
        <f t="shared" si="895"/>
        <v/>
      </c>
      <c r="BJ467" s="1382"/>
      <c r="BK467" s="1382"/>
      <c r="BL467" s="1382"/>
      <c r="BM467" s="1382"/>
      <c r="BN467" s="1382"/>
      <c r="BO467" s="1382"/>
      <c r="BP467" s="1382"/>
      <c r="BQ467" s="1382"/>
      <c r="BR467" s="1383"/>
      <c r="BS467" s="1370">
        <f t="shared" si="862"/>
        <v>46332</v>
      </c>
      <c r="BT467" s="1384" t="str">
        <f t="shared" si="924"/>
        <v/>
      </c>
      <c r="BU467" s="1382"/>
      <c r="BV467" s="1382"/>
      <c r="BW467" s="1382"/>
      <c r="BX467" s="1382"/>
      <c r="BY467" s="1382"/>
      <c r="BZ467" s="1382"/>
      <c r="CA467" s="1382"/>
      <c r="CB467" s="1382"/>
      <c r="CD467" s="1386">
        <f t="shared" si="917"/>
        <v>0</v>
      </c>
      <c r="DC467" s="16" t="str">
        <f>Novembre!FC25</f>
        <v>non</v>
      </c>
      <c r="DG467" s="315">
        <f t="shared" si="918"/>
        <v>1</v>
      </c>
      <c r="DH467" s="129">
        <f t="shared" si="896"/>
        <v>10</v>
      </c>
      <c r="DI467" s="129">
        <f t="shared" si="919"/>
        <v>1</v>
      </c>
      <c r="DK467" s="16">
        <f>+IF(AND(Novembre!$DP$8&lt;&gt;52,AR467=S.CAL!$BJ$4),10,1)</f>
        <v>1</v>
      </c>
      <c r="DN467" s="16">
        <f t="shared" si="897"/>
        <v>1</v>
      </c>
      <c r="DU467" s="1274" t="str">
        <f t="shared" si="920"/>
        <v>Fiche infoA546332</v>
      </c>
      <c r="DV467" s="1362">
        <f t="shared" si="898"/>
        <v>0</v>
      </c>
      <c r="DW467" s="1363">
        <f t="shared" si="899"/>
        <v>0</v>
      </c>
      <c r="DX467" s="1363">
        <f t="shared" si="900"/>
        <v>0</v>
      </c>
      <c r="DY467" s="1363">
        <f t="shared" si="901"/>
        <v>0</v>
      </c>
      <c r="DZ467" s="1363">
        <f t="shared" si="902"/>
        <v>0</v>
      </c>
      <c r="EA467" s="1363">
        <f t="shared" si="903"/>
        <v>0</v>
      </c>
      <c r="EB467" s="1363">
        <f t="shared" si="904"/>
        <v>0</v>
      </c>
      <c r="EC467" s="1363">
        <f t="shared" si="905"/>
        <v>0</v>
      </c>
      <c r="ED467" s="1363">
        <f t="shared" si="921"/>
        <v>0</v>
      </c>
      <c r="EE467" s="1364">
        <f t="shared" si="922"/>
        <v>0</v>
      </c>
      <c r="EG467" s="16" t="str">
        <f t="shared" si="923"/>
        <v>452026</v>
      </c>
      <c r="EH467" s="16" t="str">
        <f t="shared" si="906"/>
        <v>Fiche infoA5</v>
      </c>
      <c r="EI467" s="16" t="str">
        <f t="shared" si="907"/>
        <v/>
      </c>
    </row>
    <row r="468" spans="1:139" x14ac:dyDescent="0.2">
      <c r="A468" s="24" t="str">
        <f>Novembre!BJ26</f>
        <v>Fiche infoA6</v>
      </c>
      <c r="B468" s="811">
        <f>Novembre!AB26</f>
        <v>46333</v>
      </c>
      <c r="C468" s="1371"/>
      <c r="D468" s="981">
        <f t="shared" si="863"/>
        <v>0</v>
      </c>
      <c r="E468" s="434">
        <f t="shared" si="864"/>
        <v>0</v>
      </c>
      <c r="F468" s="434">
        <f t="shared" si="865"/>
        <v>0</v>
      </c>
      <c r="G468" s="434">
        <f t="shared" si="866"/>
        <v>0</v>
      </c>
      <c r="H468" s="434">
        <f t="shared" si="867"/>
        <v>0</v>
      </c>
      <c r="I468" s="434">
        <f t="shared" si="868"/>
        <v>0</v>
      </c>
      <c r="J468" s="434">
        <f t="shared" si="869"/>
        <v>0</v>
      </c>
      <c r="K468" s="434">
        <f t="shared" si="870"/>
        <v>0</v>
      </c>
      <c r="L468" s="434">
        <f t="shared" si="908"/>
        <v>0</v>
      </c>
      <c r="M468" s="982">
        <f t="shared" si="909"/>
        <v>0</v>
      </c>
      <c r="O468" s="981">
        <f t="shared" si="871"/>
        <v>0</v>
      </c>
      <c r="P468" s="434">
        <f t="shared" si="872"/>
        <v>0</v>
      </c>
      <c r="Q468" s="434">
        <f t="shared" si="873"/>
        <v>0</v>
      </c>
      <c r="R468" s="434">
        <f t="shared" si="874"/>
        <v>0</v>
      </c>
      <c r="S468" s="434">
        <f t="shared" si="875"/>
        <v>0</v>
      </c>
      <c r="T468" s="434">
        <f t="shared" si="876"/>
        <v>0</v>
      </c>
      <c r="U468" s="434">
        <f t="shared" si="877"/>
        <v>0</v>
      </c>
      <c r="V468" s="434">
        <f t="shared" si="878"/>
        <v>0</v>
      </c>
      <c r="W468" s="434">
        <f t="shared" si="879"/>
        <v>0</v>
      </c>
      <c r="X468" s="982">
        <f t="shared" si="880"/>
        <v>0</v>
      </c>
      <c r="Y468" s="441"/>
      <c r="Z468" s="277">
        <f t="shared" si="881"/>
        <v>0</v>
      </c>
      <c r="AA468" s="277">
        <f t="shared" si="882"/>
        <v>0</v>
      </c>
      <c r="AB468" s="277">
        <f t="shared" si="883"/>
        <v>0</v>
      </c>
      <c r="AC468" s="277">
        <f t="shared" si="884"/>
        <v>0</v>
      </c>
      <c r="AD468" s="277">
        <f t="shared" si="885"/>
        <v>0</v>
      </c>
      <c r="AE468" s="277">
        <f t="shared" si="886"/>
        <v>0</v>
      </c>
      <c r="AF468" s="277">
        <f t="shared" si="887"/>
        <v>0</v>
      </c>
      <c r="AG468" s="277">
        <f t="shared" si="888"/>
        <v>0</v>
      </c>
      <c r="AI468" s="444">
        <f t="shared" si="889"/>
        <v>0</v>
      </c>
      <c r="AJ468" s="1090"/>
      <c r="AK468" s="489"/>
      <c r="AL468" s="811">
        <f t="shared" si="890"/>
        <v>46333</v>
      </c>
      <c r="AM468" s="666">
        <f>IFERROR(IF(AND(AT468="",AR468&lt;&gt;S.CAL!$BJ$3,AR468&lt;&gt;S.CAL!$BJ$4,$AR$455="NON"),M468-BD468,IF(AND(AT468="",AR468&lt;&gt;S.CAL!$BJ$3,AR468&lt;&gt;S.CAL!$BJ$4,$AR$455="OUI"),X468-AI468,IF(AT468&lt;&gt;0,AT468,IF(OR(AR468=S.CAL!$BJ$3,AR468=S.CAL!$BJ$4),AR468,"")))),"")</f>
        <v>0</v>
      </c>
      <c r="AN468" s="1093"/>
      <c r="AO468" s="1094"/>
      <c r="AP468" s="666">
        <f>+IF(AND(AU468="",BB468="OUI",BH468="non",BI468="OUI"),AM468,IF(AND(AU468="",BB468="OUI",BH468="oui",BI468="NON"),AM468,IF(AND(AU468="",BB468="NON",BH468="oui",BI468="NON"),M468,IF(AND(AU468="",BB468="NON",BH468="non",BI468="OUI"),M468,IF(AND(AU468="",BB468="OUI",BH468="non",BI468="NON"),"ERREUR",IF(AND(AU468="",BB468="NON",BH468="non",BI468="NON"),AM468,IF(AND(AU468="",BB468="OUI",BH468="",BI468=""),AM468,IF(AND(AU468="",BB468="NON",BH468="",BI468="",AZ468="NON"),M468,IF(AND(AU468="",BH468="",AZ468="OUI",AR468=""),AM468,IF(AND(AU468="",BH468="",AZ468="NON",AR468="",AT468=""),M468,IF(AND(OR(AR468=S.CAL!$BJ$3,AR468=S.CAL!$BJ$4),(VLOOKUP($AM$455,base_nbre_sem_mensu,2,FALSE)=52)),EE468,IF(AND(OR(AR468=S.CAL!$BJ$3,AR468=S.CAL!$BJ$4),(VLOOKUP($AM$455,base_nbre_sem_mensu,2,FALSE)&lt;52)),AM468,IF(AND(AT468&lt;&gt;"",AU468=""),AT468,AU468)))))))))))))</f>
        <v>0</v>
      </c>
      <c r="AQ468" s="498">
        <f t="shared" si="910"/>
        <v>0</v>
      </c>
      <c r="AR468" s="1098"/>
      <c r="AT468" s="1101"/>
      <c r="AU468" s="813"/>
      <c r="AV468" s="1370">
        <f t="shared" si="891"/>
        <v>46333</v>
      </c>
      <c r="AX468" s="511">
        <f t="shared" si="911"/>
        <v>46333</v>
      </c>
      <c r="AY468" s="523">
        <f t="shared" si="912"/>
        <v>0</v>
      </c>
      <c r="AZ468" s="520" t="s">
        <v>137</v>
      </c>
      <c r="BA468" s="516">
        <f t="shared" si="913"/>
        <v>0</v>
      </c>
      <c r="BB468" s="549" t="str">
        <f t="shared" si="892"/>
        <v/>
      </c>
      <c r="BC468" s="523">
        <f t="shared" si="914"/>
        <v>0</v>
      </c>
      <c r="BD468" s="523">
        <f t="shared" si="915"/>
        <v>0</v>
      </c>
      <c r="BE468" s="1104"/>
      <c r="BF468" s="514" t="str">
        <f t="shared" si="893"/>
        <v/>
      </c>
      <c r="BG468" s="514" t="str">
        <f t="shared" si="916"/>
        <v>oui</v>
      </c>
      <c r="BH468" s="377" t="str">
        <f t="shared" si="894"/>
        <v/>
      </c>
      <c r="BI468" s="24" t="str">
        <f t="shared" si="895"/>
        <v/>
      </c>
      <c r="BJ468" s="1381"/>
      <c r="BK468" s="1381"/>
      <c r="BL468" s="1381"/>
      <c r="BM468" s="1381"/>
      <c r="BN468" s="1381"/>
      <c r="BO468" s="1381"/>
      <c r="BP468" s="1381"/>
      <c r="BQ468" s="1381"/>
      <c r="BS468" s="1370">
        <f t="shared" si="862"/>
        <v>46333</v>
      </c>
      <c r="BT468" s="27" t="str">
        <f t="shared" si="924"/>
        <v/>
      </c>
      <c r="BU468" s="1380"/>
      <c r="BV468" s="1380"/>
      <c r="BW468" s="1380"/>
      <c r="BX468" s="1380"/>
      <c r="BY468" s="1380"/>
      <c r="BZ468" s="1380"/>
      <c r="CA468" s="1380"/>
      <c r="CB468" s="1380"/>
      <c r="CD468" s="1386">
        <f t="shared" si="917"/>
        <v>0</v>
      </c>
      <c r="DC468" s="16" t="str">
        <f>Novembre!FC26</f>
        <v>non</v>
      </c>
      <c r="DG468" s="315">
        <f t="shared" si="918"/>
        <v>1</v>
      </c>
      <c r="DH468" s="129">
        <f t="shared" si="896"/>
        <v>10</v>
      </c>
      <c r="DI468" s="129">
        <f t="shared" si="919"/>
        <v>1</v>
      </c>
      <c r="DK468" s="16">
        <f>+IF(AND(Novembre!$DP$8&lt;&gt;52,AR468=S.CAL!$BJ$4),10,1)</f>
        <v>1</v>
      </c>
      <c r="DN468" s="16">
        <f t="shared" si="897"/>
        <v>1</v>
      </c>
      <c r="DU468" s="1274" t="str">
        <f t="shared" si="920"/>
        <v>Fiche infoA646333</v>
      </c>
      <c r="DV468" s="1362">
        <f t="shared" si="898"/>
        <v>0</v>
      </c>
      <c r="DW468" s="1363">
        <f t="shared" si="899"/>
        <v>0</v>
      </c>
      <c r="DX468" s="1363">
        <f t="shared" si="900"/>
        <v>0</v>
      </c>
      <c r="DY468" s="1363">
        <f t="shared" si="901"/>
        <v>0</v>
      </c>
      <c r="DZ468" s="1363">
        <f t="shared" si="902"/>
        <v>0</v>
      </c>
      <c r="EA468" s="1363">
        <f t="shared" si="903"/>
        <v>0</v>
      </c>
      <c r="EB468" s="1363">
        <f t="shared" si="904"/>
        <v>0</v>
      </c>
      <c r="EC468" s="1363">
        <f t="shared" si="905"/>
        <v>0</v>
      </c>
      <c r="ED468" s="1363">
        <f t="shared" si="921"/>
        <v>0</v>
      </c>
      <c r="EE468" s="1364">
        <f t="shared" si="922"/>
        <v>0</v>
      </c>
      <c r="EG468" s="16" t="str">
        <f t="shared" si="923"/>
        <v>452026</v>
      </c>
      <c r="EH468" s="16" t="str">
        <f t="shared" si="906"/>
        <v>Fiche infoA6</v>
      </c>
      <c r="EI468" s="16" t="str">
        <f t="shared" si="907"/>
        <v/>
      </c>
    </row>
    <row r="469" spans="1:139" x14ac:dyDescent="0.2">
      <c r="A469" s="1373" t="str">
        <f>Novembre!BJ27</f>
        <v>Fiche infoA7</v>
      </c>
      <c r="B469" s="811">
        <f>Novembre!AB27</f>
        <v>46334</v>
      </c>
      <c r="C469" s="1372"/>
      <c r="D469" s="981">
        <f t="shared" si="863"/>
        <v>0</v>
      </c>
      <c r="E469" s="434">
        <f t="shared" si="864"/>
        <v>0</v>
      </c>
      <c r="F469" s="434">
        <f t="shared" si="865"/>
        <v>0</v>
      </c>
      <c r="G469" s="434">
        <f t="shared" si="866"/>
        <v>0</v>
      </c>
      <c r="H469" s="434">
        <f t="shared" si="867"/>
        <v>0</v>
      </c>
      <c r="I469" s="434">
        <f t="shared" si="868"/>
        <v>0</v>
      </c>
      <c r="J469" s="434">
        <f t="shared" si="869"/>
        <v>0</v>
      </c>
      <c r="K469" s="434">
        <f t="shared" si="870"/>
        <v>0</v>
      </c>
      <c r="L469" s="434">
        <f t="shared" si="908"/>
        <v>0</v>
      </c>
      <c r="M469" s="982">
        <f t="shared" si="909"/>
        <v>0</v>
      </c>
      <c r="N469" s="1374"/>
      <c r="O469" s="981">
        <f t="shared" si="871"/>
        <v>0</v>
      </c>
      <c r="P469" s="434">
        <f t="shared" si="872"/>
        <v>0</v>
      </c>
      <c r="Q469" s="434">
        <f t="shared" si="873"/>
        <v>0</v>
      </c>
      <c r="R469" s="434">
        <f t="shared" si="874"/>
        <v>0</v>
      </c>
      <c r="S469" s="434">
        <f t="shared" si="875"/>
        <v>0</v>
      </c>
      <c r="T469" s="434">
        <f t="shared" si="876"/>
        <v>0</v>
      </c>
      <c r="U469" s="434">
        <f t="shared" si="877"/>
        <v>0</v>
      </c>
      <c r="V469" s="434">
        <f t="shared" si="878"/>
        <v>0</v>
      </c>
      <c r="W469" s="434">
        <f t="shared" si="879"/>
        <v>0</v>
      </c>
      <c r="X469" s="982">
        <f t="shared" si="880"/>
        <v>0</v>
      </c>
      <c r="Y469" s="1375"/>
      <c r="Z469" s="1376">
        <f t="shared" si="881"/>
        <v>0</v>
      </c>
      <c r="AA469" s="1376">
        <f t="shared" si="882"/>
        <v>0</v>
      </c>
      <c r="AB469" s="1376">
        <f t="shared" si="883"/>
        <v>0</v>
      </c>
      <c r="AC469" s="1376">
        <f t="shared" si="884"/>
        <v>0</v>
      </c>
      <c r="AD469" s="1376">
        <f t="shared" si="885"/>
        <v>0</v>
      </c>
      <c r="AE469" s="1376">
        <f t="shared" si="886"/>
        <v>0</v>
      </c>
      <c r="AF469" s="1376">
        <f t="shared" si="887"/>
        <v>0</v>
      </c>
      <c r="AG469" s="1376">
        <f t="shared" si="888"/>
        <v>0</v>
      </c>
      <c r="AH469" s="1374"/>
      <c r="AI469" s="444">
        <f t="shared" si="889"/>
        <v>0</v>
      </c>
      <c r="AJ469" s="1090"/>
      <c r="AK469" s="1377"/>
      <c r="AL469" s="811">
        <f t="shared" si="890"/>
        <v>46334</v>
      </c>
      <c r="AM469" s="666">
        <f>IFERROR(IF(AND(AT469="",AR469&lt;&gt;S.CAL!$BJ$3,AR469&lt;&gt;S.CAL!$BJ$4,$AR$455="NON"),M469-BD469,IF(AND(AT469="",AR469&lt;&gt;S.CAL!$BJ$3,AR469&lt;&gt;S.CAL!$BJ$4,$AR$455="OUI"),X469-AI469,IF(AT469&lt;&gt;0,AT469,IF(OR(AR469=S.CAL!$BJ$3,AR469=S.CAL!$BJ$4),AR469,"")))),"")</f>
        <v>0</v>
      </c>
      <c r="AN469" s="1093"/>
      <c r="AO469" s="1094"/>
      <c r="AP469" s="666">
        <f>+IF(AND(AU469="",BB469="OUI",BH469="non",BI469="OUI"),AM469,IF(AND(AU469="",BB469="OUI",BH469="oui",BI469="NON"),AM469,IF(AND(AU469="",BB469="NON",BH469="oui",BI469="NON"),M469,IF(AND(AU469="",BB469="NON",BH469="non",BI469="OUI"),M469,IF(AND(AU469="",BB469="OUI",BH469="non",BI469="NON"),"ERREUR",IF(AND(AU469="",BB469="NON",BH469="non",BI469="NON"),AM469,IF(AND(AU469="",BB469="OUI",BH469="",BI469=""),AM469,IF(AND(AU469="",BB469="NON",BH469="",BI469="",AZ469="NON"),M469,IF(AND(AU469="",BH469="",AZ469="OUI",AR469=""),AM469,IF(AND(AU469="",BH469="",AZ469="NON",AR469="",AT469=""),M469,IF(AND(OR(AR469=S.CAL!$BJ$3,AR469=S.CAL!$BJ$4),(VLOOKUP($AM$455,base_nbre_sem_mensu,2,FALSE)=52)),EE469,IF(AND(OR(AR469=S.CAL!$BJ$3,AR469=S.CAL!$BJ$4),(VLOOKUP($AM$455,base_nbre_sem_mensu,2,FALSE)&lt;52)),AM469,IF(AND(AT469&lt;&gt;"",AU469=""),AT469,AU469)))))))))))))</f>
        <v>0</v>
      </c>
      <c r="AQ469" s="1378">
        <f t="shared" si="910"/>
        <v>0</v>
      </c>
      <c r="AR469" s="1098"/>
      <c r="AS469" s="1374"/>
      <c r="AT469" s="1101"/>
      <c r="AU469" s="813"/>
      <c r="AV469" s="1370">
        <f t="shared" si="891"/>
        <v>46334</v>
      </c>
      <c r="AW469" s="1374"/>
      <c r="AX469" s="511">
        <f t="shared" si="911"/>
        <v>46334</v>
      </c>
      <c r="AY469" s="523">
        <f t="shared" si="912"/>
        <v>0</v>
      </c>
      <c r="AZ469" s="520" t="s">
        <v>137</v>
      </c>
      <c r="BA469" s="516">
        <f t="shared" si="913"/>
        <v>0</v>
      </c>
      <c r="BB469" s="549" t="str">
        <f t="shared" si="892"/>
        <v/>
      </c>
      <c r="BC469" s="523">
        <f t="shared" si="914"/>
        <v>0</v>
      </c>
      <c r="BD469" s="523">
        <f t="shared" si="915"/>
        <v>0</v>
      </c>
      <c r="BE469" s="1104"/>
      <c r="BF469" s="514" t="str">
        <f t="shared" si="893"/>
        <v/>
      </c>
      <c r="BG469" s="514" t="str">
        <f t="shared" si="916"/>
        <v>oui</v>
      </c>
      <c r="BH469" s="377" t="str">
        <f t="shared" si="894"/>
        <v/>
      </c>
      <c r="BI469" s="24" t="str">
        <f t="shared" si="895"/>
        <v/>
      </c>
      <c r="BJ469" s="1382"/>
      <c r="BK469" s="1382"/>
      <c r="BL469" s="1382"/>
      <c r="BM469" s="1382"/>
      <c r="BN469" s="1382"/>
      <c r="BO469" s="1382"/>
      <c r="BP469" s="1382"/>
      <c r="BQ469" s="1382"/>
      <c r="BR469" s="1383"/>
      <c r="BS469" s="1370">
        <f t="shared" si="862"/>
        <v>46334</v>
      </c>
      <c r="BT469" s="1384" t="str">
        <f t="shared" si="924"/>
        <v/>
      </c>
      <c r="BU469" s="1382"/>
      <c r="BV469" s="1382"/>
      <c r="BW469" s="1382"/>
      <c r="BX469" s="1382"/>
      <c r="BY469" s="1382"/>
      <c r="BZ469" s="1382"/>
      <c r="CA469" s="1382"/>
      <c r="CB469" s="1382"/>
      <c r="CD469" s="1386">
        <f t="shared" si="917"/>
        <v>0</v>
      </c>
      <c r="DC469" s="16" t="str">
        <f>Novembre!FC27</f>
        <v>non</v>
      </c>
      <c r="DG469" s="315">
        <f t="shared" si="918"/>
        <v>1</v>
      </c>
      <c r="DH469" s="129">
        <f t="shared" si="896"/>
        <v>10</v>
      </c>
      <c r="DI469" s="129">
        <f t="shared" si="919"/>
        <v>1</v>
      </c>
      <c r="DK469" s="16">
        <f>+IF(AND(Novembre!$DP$8&lt;&gt;52,AR469=S.CAL!$BJ$4),10,1)</f>
        <v>1</v>
      </c>
      <c r="DN469" s="16">
        <f t="shared" si="897"/>
        <v>1</v>
      </c>
      <c r="DU469" s="1274" t="str">
        <f t="shared" si="920"/>
        <v>Fiche infoA746334</v>
      </c>
      <c r="DV469" s="1362">
        <f t="shared" si="898"/>
        <v>0</v>
      </c>
      <c r="DW469" s="1363">
        <f t="shared" si="899"/>
        <v>0</v>
      </c>
      <c r="DX469" s="1363">
        <f t="shared" si="900"/>
        <v>0</v>
      </c>
      <c r="DY469" s="1363">
        <f t="shared" si="901"/>
        <v>0</v>
      </c>
      <c r="DZ469" s="1363">
        <f t="shared" si="902"/>
        <v>0</v>
      </c>
      <c r="EA469" s="1363">
        <f t="shared" si="903"/>
        <v>0</v>
      </c>
      <c r="EB469" s="1363">
        <f t="shared" si="904"/>
        <v>0</v>
      </c>
      <c r="EC469" s="1363">
        <f t="shared" si="905"/>
        <v>0</v>
      </c>
      <c r="ED469" s="1363">
        <f t="shared" si="921"/>
        <v>0</v>
      </c>
      <c r="EE469" s="1364">
        <f t="shared" si="922"/>
        <v>0</v>
      </c>
      <c r="EG469" s="16" t="str">
        <f t="shared" si="923"/>
        <v>452026</v>
      </c>
      <c r="EH469" s="16" t="str">
        <f t="shared" si="906"/>
        <v>Fiche infoA7</v>
      </c>
      <c r="EI469" s="16" t="str">
        <f t="shared" si="907"/>
        <v/>
      </c>
    </row>
    <row r="470" spans="1:139" x14ac:dyDescent="0.2">
      <c r="A470" s="24" t="str">
        <f>Novembre!BJ28</f>
        <v>Fiche infoA1</v>
      </c>
      <c r="B470" s="811">
        <f>Novembre!AB28</f>
        <v>46335</v>
      </c>
      <c r="C470" s="1371"/>
      <c r="D470" s="981">
        <f t="shared" si="863"/>
        <v>0</v>
      </c>
      <c r="E470" s="434">
        <f t="shared" si="864"/>
        <v>0</v>
      </c>
      <c r="F470" s="434">
        <f t="shared" si="865"/>
        <v>0</v>
      </c>
      <c r="G470" s="434">
        <f t="shared" si="866"/>
        <v>0</v>
      </c>
      <c r="H470" s="434">
        <f t="shared" si="867"/>
        <v>0</v>
      </c>
      <c r="I470" s="434">
        <f t="shared" si="868"/>
        <v>0</v>
      </c>
      <c r="J470" s="434">
        <f t="shared" si="869"/>
        <v>0</v>
      </c>
      <c r="K470" s="434">
        <f t="shared" si="870"/>
        <v>0</v>
      </c>
      <c r="L470" s="434">
        <f t="shared" si="908"/>
        <v>0</v>
      </c>
      <c r="M470" s="982">
        <f t="shared" si="909"/>
        <v>0</v>
      </c>
      <c r="O470" s="981">
        <f>IF(AR470&lt;&gt;"",0,IF(DC470="oui",0,IF(AND(ISTEXT(AT470)=TRUE,BJ470=""),0,IF(BJ470="",D470,BJ470))))</f>
        <v>0</v>
      </c>
      <c r="P470" s="434">
        <f>IF(AR470&lt;&gt;"",0,IF(DC470="oui",0,IF(AND(ISTEXT(AT470)=TRUE,BK470=""),0,IF(BK470="",E470,BK470))))</f>
        <v>0</v>
      </c>
      <c r="Q470" s="434">
        <f>IF(AR470&lt;&gt;"",0,IF(DC470="oui",0,IF(AND(ISTEXT(AT470)=TRUE,BL470=""),0,IF(BL470="",F470,BL470))))</f>
        <v>0</v>
      </c>
      <c r="R470" s="434">
        <f>IF(AR470&lt;&gt;"",0,IF(DC470="oui",0,IF(AND(ISTEXT(AT470)=TRUE,BM470=""),0,IF(BM470="",G470,BM470))))</f>
        <v>0</v>
      </c>
      <c r="S470" s="434">
        <f>IF(AR470&lt;&gt;"",0,IF(DC470="oui",0,IF(AND(ISTEXT(AT470)=TRUE,BN470=""),0,IF(BN470="",H470,BN470))))</f>
        <v>0</v>
      </c>
      <c r="T470" s="434">
        <f>IF(AR470&lt;&gt;"",0,IF(DC470="oui",0,IF(AND(ISTEXT(AT470)=TRUE,BO470=""),0,IF(BO470="",I470,BO470))))</f>
        <v>0</v>
      </c>
      <c r="U470" s="434">
        <f>IF(AR470&lt;&gt;"",0,IF(DC470="oui",0,IF(AND(ISTEXT(AT470)=TRUE,BP470=""),0,IF(BP470="",J470,BP470))))</f>
        <v>0</v>
      </c>
      <c r="V470" s="434">
        <f>IF(AR470&lt;&gt;"",0,IF(DC470="oui",0,IF(AND(ISTEXT(AT470)=TRUE,BQ470=""),0,IF(BQ470="",K470,BQ470))))</f>
        <v>0</v>
      </c>
      <c r="W470" s="434">
        <f t="shared" si="879"/>
        <v>0</v>
      </c>
      <c r="X470" s="982">
        <f t="shared" si="880"/>
        <v>0</v>
      </c>
      <c r="Y470" s="441"/>
      <c r="Z470" s="277">
        <f t="shared" si="881"/>
        <v>0</v>
      </c>
      <c r="AA470" s="277">
        <f t="shared" si="882"/>
        <v>0</v>
      </c>
      <c r="AB470" s="277">
        <f t="shared" si="883"/>
        <v>0</v>
      </c>
      <c r="AC470" s="277">
        <f t="shared" si="884"/>
        <v>0</v>
      </c>
      <c r="AD470" s="277">
        <f t="shared" si="885"/>
        <v>0</v>
      </c>
      <c r="AE470" s="277">
        <f t="shared" si="886"/>
        <v>0</v>
      </c>
      <c r="AF470" s="277">
        <f t="shared" si="887"/>
        <v>0</v>
      </c>
      <c r="AG470" s="277">
        <f t="shared" si="888"/>
        <v>0</v>
      </c>
      <c r="AI470" s="444">
        <f>IF(DC470="oui",0,IF(AND(ISTEXT(AT470)=TRUE,OR(X470=0,X470="")),0,ROUND(((((AA470-Z470)-(E470-D470))+((AC470-AB470)-(G470-F470))+((AE470-AD470)-(I470-H470))+(AG470-AF470)-(K470-J470))*24),2)))</f>
        <v>0</v>
      </c>
      <c r="AJ470" s="1090"/>
      <c r="AK470" s="489"/>
      <c r="AL470" s="811">
        <f t="shared" si="890"/>
        <v>46335</v>
      </c>
      <c r="AM470" s="666">
        <f>IFERROR(IF(AND(AT470="",AR470&lt;&gt;S.CAL!$BJ$3,AR470&lt;&gt;S.CAL!$BJ$4,$AR$455="NON"),M470-BD470,IF(AND(AT470="",AR470&lt;&gt;S.CAL!$BJ$3,AR470&lt;&gt;S.CAL!$BJ$4,$AR$455="OUI"),X470-AI470,IF(AT470&lt;&gt;0,AT470,IF(OR(AR470=S.CAL!$BJ$3,AR470=S.CAL!$BJ$4),AR470,"")))),"")</f>
        <v>0</v>
      </c>
      <c r="AN470" s="1093"/>
      <c r="AO470" s="1094"/>
      <c r="AP470" s="666">
        <f>+IF(AND(AU470="",BB470="OUI",BH470="non",BI470="OUI"),AM470,IF(AND(AU470="",BB470="OUI",BH470="oui",BI470="NON"),AM470,IF(AND(AU470="",BB470="NON",BH470="oui",BI470="NON"),M470,IF(AND(AU470="",BB470="NON",BH470="non",BI470="OUI"),M470,IF(AND(AU470="",BB470="OUI",BH470="non",BI470="NON"),"ERREUR",IF(AND(AU470="",BB470="NON",BH470="non",BI470="NON"),AM470,IF(AND(AU470="",BB470="OUI",BH470="",BI470=""),AM470,IF(AND(AU470="",BB470="NON",BH470="",BI470="",AZ470="NON"),M470,IF(AND(AU470="",BH470="",AZ470="OUI",AR470=""),AM470,IF(AND(AU470="",BH470="",AZ470="NON",AR470="",AT470=""),M470,IF(AND(OR(AR470=S.CAL!$BJ$3,AR470=S.CAL!$BJ$4),(VLOOKUP($AM$455,base_nbre_sem_mensu,2,FALSE)=52)),EE470,IF(AND(OR(AR470=S.CAL!$BJ$3,AR470=S.CAL!$BJ$4),(VLOOKUP($AM$455,base_nbre_sem_mensu,2,FALSE)&lt;52)),AM470,IF(AND(AT470&lt;&gt;"",AU470=""),AT470,AU470)))))))))))))</f>
        <v>0</v>
      </c>
      <c r="AQ470" s="498">
        <f t="shared" si="910"/>
        <v>0</v>
      </c>
      <c r="AR470" s="1098"/>
      <c r="AT470" s="1101"/>
      <c r="AU470" s="813"/>
      <c r="AV470" s="1370">
        <f t="shared" si="891"/>
        <v>46335</v>
      </c>
      <c r="AX470" s="511">
        <f t="shared" si="911"/>
        <v>46335</v>
      </c>
      <c r="AY470" s="523">
        <f t="shared" si="912"/>
        <v>0</v>
      </c>
      <c r="AZ470" s="520" t="s">
        <v>137</v>
      </c>
      <c r="BA470" s="516">
        <f t="shared" si="913"/>
        <v>0</v>
      </c>
      <c r="BB470" s="549" t="str">
        <f t="shared" si="892"/>
        <v/>
      </c>
      <c r="BC470" s="523">
        <f t="shared" si="914"/>
        <v>0</v>
      </c>
      <c r="BD470" s="523">
        <f t="shared" si="915"/>
        <v>0</v>
      </c>
      <c r="BE470" s="1104"/>
      <c r="BF470" s="514" t="str">
        <f t="shared" si="893"/>
        <v/>
      </c>
      <c r="BG470" s="514" t="str">
        <f t="shared" si="916"/>
        <v>oui</v>
      </c>
      <c r="BH470" s="377" t="str">
        <f t="shared" si="894"/>
        <v/>
      </c>
      <c r="BI470" s="24" t="str">
        <f t="shared" si="895"/>
        <v/>
      </c>
      <c r="BJ470" s="1381"/>
      <c r="BK470" s="1381"/>
      <c r="BL470" s="1381"/>
      <c r="BM470" s="1381"/>
      <c r="BN470" s="1381"/>
      <c r="BO470" s="1381"/>
      <c r="BP470" s="1381"/>
      <c r="BQ470" s="1381"/>
      <c r="BS470" s="1370">
        <f t="shared" si="862"/>
        <v>46335</v>
      </c>
      <c r="BT470" s="27">
        <f t="shared" si="924"/>
        <v>46</v>
      </c>
      <c r="BU470" s="1380"/>
      <c r="BV470" s="1380"/>
      <c r="BW470" s="1380"/>
      <c r="BX470" s="1380"/>
      <c r="BY470" s="1380"/>
      <c r="BZ470" s="1380"/>
      <c r="CA470" s="1380"/>
      <c r="CB470" s="1380"/>
      <c r="CD470" s="1386">
        <f t="shared" si="917"/>
        <v>0</v>
      </c>
      <c r="DC470" s="16" t="str">
        <f>Novembre!FC28</f>
        <v>non</v>
      </c>
      <c r="DG470" s="315">
        <f t="shared" si="918"/>
        <v>1</v>
      </c>
      <c r="DH470" s="129">
        <f t="shared" si="896"/>
        <v>10</v>
      </c>
      <c r="DI470" s="129">
        <f t="shared" si="919"/>
        <v>1</v>
      </c>
      <c r="DK470" s="16">
        <f>+IF(AND(Novembre!$DP$8&lt;&gt;52,AR470=S.CAL!$BJ$4),10,1)</f>
        <v>1</v>
      </c>
      <c r="DN470" s="16">
        <f t="shared" si="897"/>
        <v>1</v>
      </c>
      <c r="DU470" s="1274" t="str">
        <f t="shared" si="920"/>
        <v>Fiche infoA146335</v>
      </c>
      <c r="DV470" s="1362">
        <f t="shared" si="898"/>
        <v>0</v>
      </c>
      <c r="DW470" s="1363">
        <f t="shared" si="899"/>
        <v>0</v>
      </c>
      <c r="DX470" s="1363">
        <f t="shared" si="900"/>
        <v>0</v>
      </c>
      <c r="DY470" s="1363">
        <f t="shared" si="901"/>
        <v>0</v>
      </c>
      <c r="DZ470" s="1363">
        <f t="shared" si="902"/>
        <v>0</v>
      </c>
      <c r="EA470" s="1363">
        <f t="shared" si="903"/>
        <v>0</v>
      </c>
      <c r="EB470" s="1363">
        <f t="shared" si="904"/>
        <v>0</v>
      </c>
      <c r="EC470" s="1363">
        <f t="shared" si="905"/>
        <v>0</v>
      </c>
      <c r="ED470" s="1363">
        <f t="shared" si="921"/>
        <v>0</v>
      </c>
      <c r="EE470" s="1364">
        <f t="shared" si="922"/>
        <v>0</v>
      </c>
      <c r="EG470" s="16" t="str">
        <f t="shared" si="923"/>
        <v>462026</v>
      </c>
      <c r="EH470" s="16" t="str">
        <f t="shared" si="906"/>
        <v>Fiche infoA1</v>
      </c>
      <c r="EI470" s="16" t="str">
        <f t="shared" si="907"/>
        <v/>
      </c>
    </row>
    <row r="471" spans="1:139" x14ac:dyDescent="0.2">
      <c r="A471" s="1373" t="str">
        <f>Novembre!BJ29</f>
        <v>Fiche infoA2</v>
      </c>
      <c r="B471" s="811">
        <f>Novembre!AB29</f>
        <v>46336</v>
      </c>
      <c r="C471" s="1372"/>
      <c r="D471" s="981">
        <f t="shared" si="863"/>
        <v>0</v>
      </c>
      <c r="E471" s="434">
        <f t="shared" si="864"/>
        <v>0</v>
      </c>
      <c r="F471" s="434">
        <f t="shared" si="865"/>
        <v>0</v>
      </c>
      <c r="G471" s="434">
        <f t="shared" si="866"/>
        <v>0</v>
      </c>
      <c r="H471" s="434">
        <f t="shared" si="867"/>
        <v>0</v>
      </c>
      <c r="I471" s="434">
        <f t="shared" si="868"/>
        <v>0</v>
      </c>
      <c r="J471" s="434">
        <f t="shared" si="869"/>
        <v>0</v>
      </c>
      <c r="K471" s="434">
        <f t="shared" si="870"/>
        <v>0</v>
      </c>
      <c r="L471" s="434">
        <f t="shared" si="908"/>
        <v>0</v>
      </c>
      <c r="M471" s="982">
        <f t="shared" si="909"/>
        <v>0</v>
      </c>
      <c r="N471" s="1374"/>
      <c r="O471" s="981">
        <f t="shared" ref="O471:O492" si="925">IF(AR471&lt;&gt;"",0,IF(DC471="oui",0,IF(AND(ISTEXT(AT471)=TRUE,BJ471=""),0,IF(BJ471="",D471,BJ471))))</f>
        <v>0</v>
      </c>
      <c r="P471" s="434">
        <f t="shared" ref="P471:P492" si="926">IF(AR471&lt;&gt;"",0,IF(DC471="oui",0,IF(AND(ISTEXT(AT471)=TRUE,BK471=""),0,IF(BK471="",E471,BK471))))</f>
        <v>0</v>
      </c>
      <c r="Q471" s="434">
        <f t="shared" ref="Q471:Q492" si="927">IF(AR471&lt;&gt;"",0,IF(DC471="oui",0,IF(AND(ISTEXT(AT471)=TRUE,BL471=""),0,IF(BL471="",F471,BL471))))</f>
        <v>0</v>
      </c>
      <c r="R471" s="434">
        <f t="shared" ref="R471:R492" si="928">IF(AR471&lt;&gt;"",0,IF(DC471="oui",0,IF(AND(ISTEXT(AT471)=TRUE,BM471=""),0,IF(BM471="",G471,BM471))))</f>
        <v>0</v>
      </c>
      <c r="S471" s="434">
        <f t="shared" ref="S471:S492" si="929">IF(AR471&lt;&gt;"",0,IF(DC471="oui",0,IF(AND(ISTEXT(AT471)=TRUE,BN471=""),0,IF(BN471="",H471,BN471))))</f>
        <v>0</v>
      </c>
      <c r="T471" s="434">
        <f t="shared" ref="T471:T492" si="930">IF(AR471&lt;&gt;"",0,IF(DC471="oui",0,IF(AND(ISTEXT(AT471)=TRUE,BO471=""),0,IF(BO471="",I471,BO471))))</f>
        <v>0</v>
      </c>
      <c r="U471" s="434">
        <f t="shared" ref="U471:U492" si="931">IF(AR471&lt;&gt;"",0,IF(DC471="oui",0,IF(AND(ISTEXT(AT471)=TRUE,BP471=""),0,IF(BP471="",J471,BP471))))</f>
        <v>0</v>
      </c>
      <c r="V471" s="434">
        <f t="shared" ref="V471:V492" si="932">IF(AR471&lt;&gt;"",0,IF(DC471="oui",0,IF(AND(ISTEXT(AT471)=TRUE,BQ471=""),0,IF(BQ471="",K471,BQ471))))</f>
        <v>0</v>
      </c>
      <c r="W471" s="434">
        <f t="shared" si="879"/>
        <v>0</v>
      </c>
      <c r="X471" s="982">
        <f t="shared" si="880"/>
        <v>0</v>
      </c>
      <c r="Y471" s="1375"/>
      <c r="Z471" s="1376">
        <f t="shared" si="881"/>
        <v>0</v>
      </c>
      <c r="AA471" s="1376">
        <f t="shared" si="882"/>
        <v>0</v>
      </c>
      <c r="AB471" s="1376">
        <f t="shared" si="883"/>
        <v>0</v>
      </c>
      <c r="AC471" s="1376">
        <f t="shared" si="884"/>
        <v>0</v>
      </c>
      <c r="AD471" s="1376">
        <f t="shared" si="885"/>
        <v>0</v>
      </c>
      <c r="AE471" s="1376">
        <f t="shared" si="886"/>
        <v>0</v>
      </c>
      <c r="AF471" s="1376">
        <f t="shared" si="887"/>
        <v>0</v>
      </c>
      <c r="AG471" s="1376">
        <f t="shared" si="888"/>
        <v>0</v>
      </c>
      <c r="AH471" s="1374"/>
      <c r="AI471" s="444">
        <f t="shared" ref="AI471:AI492" si="933">IF(DC471="oui",0,IF(AND(ISTEXT(AT471)=TRUE,OR(X471=0,X471="")),0,ROUND(((((AA471-Z471)-(E471-D471))+((AC471-AB471)-(G471-F471))+((AE471-AD471)-(I471-H471))+(AG471-AF471)-(K471-J471))*24),2)))</f>
        <v>0</v>
      </c>
      <c r="AJ471" s="1090"/>
      <c r="AK471" s="1377"/>
      <c r="AL471" s="811">
        <f t="shared" si="890"/>
        <v>46336</v>
      </c>
      <c r="AM471" s="666">
        <f>IFERROR(IF(AND(AT471="",AR471&lt;&gt;S.CAL!$BJ$3,AR471&lt;&gt;S.CAL!$BJ$4,$AR$455="NON"),M471-BD471,IF(AND(AT471="",AR471&lt;&gt;S.CAL!$BJ$3,AR471&lt;&gt;S.CAL!$BJ$4,$AR$455="OUI"),X471-AI471,IF(AT471&lt;&gt;0,AT471,IF(OR(AR471=S.CAL!$BJ$3,AR471=S.CAL!$BJ$4),AR471,"")))),"")</f>
        <v>0</v>
      </c>
      <c r="AN471" s="1093"/>
      <c r="AO471" s="1094"/>
      <c r="AP471" s="666">
        <f>+IF(AND(AU471="",BB471="OUI",BH471="non",BI471="OUI"),AM471,IF(AND(AU471="",BB471="OUI",BH471="oui",BI471="NON"),AM471,IF(AND(AU471="",BB471="NON",BH471="oui",BI471="NON"),M471,IF(AND(AU471="",BB471="NON",BH471="non",BI471="OUI"),M471,IF(AND(AU471="",BB471="OUI",BH471="non",BI471="NON"),"ERREUR",IF(AND(AU471="",BB471="NON",BH471="non",BI471="NON"),AM471,IF(AND(AU471="",BB471="OUI",BH471="",BI471=""),AM471,IF(AND(AU471="",BB471="NON",BH471="",BI471="",AZ471="NON"),M471,IF(AND(AU471="",BH471="",AZ471="OUI",AR471=""),AM471,IF(AND(AU471="",BH471="",AZ471="NON",AR471="",AT471=""),M471,IF(AND(OR(AR471=S.CAL!$BJ$3,AR471=S.CAL!$BJ$4),(VLOOKUP($AM$455,base_nbre_sem_mensu,2,FALSE)=52)),EE471,IF(AND(OR(AR471=S.CAL!$BJ$3,AR471=S.CAL!$BJ$4),(VLOOKUP($AM$455,base_nbre_sem_mensu,2,FALSE)&lt;52)),AM471,IF(AND(AT471&lt;&gt;"",AU471=""),AT471,AU471)))))))))))))</f>
        <v>0</v>
      </c>
      <c r="AQ471" s="1378">
        <f t="shared" si="910"/>
        <v>0</v>
      </c>
      <c r="AR471" s="1098"/>
      <c r="AS471" s="1374"/>
      <c r="AT471" s="1101"/>
      <c r="AU471" s="813"/>
      <c r="AV471" s="1370">
        <f t="shared" si="891"/>
        <v>46336</v>
      </c>
      <c r="AW471" s="1374"/>
      <c r="AX471" s="511">
        <f t="shared" si="911"/>
        <v>46336</v>
      </c>
      <c r="AY471" s="523">
        <f t="shared" si="912"/>
        <v>0</v>
      </c>
      <c r="AZ471" s="520" t="s">
        <v>137</v>
      </c>
      <c r="BA471" s="516">
        <f t="shared" si="913"/>
        <v>0</v>
      </c>
      <c r="BB471" s="549" t="str">
        <f t="shared" si="892"/>
        <v/>
      </c>
      <c r="BC471" s="523">
        <f t="shared" si="914"/>
        <v>0</v>
      </c>
      <c r="BD471" s="523">
        <f t="shared" si="915"/>
        <v>0</v>
      </c>
      <c r="BE471" s="1104"/>
      <c r="BF471" s="514" t="str">
        <f t="shared" si="893"/>
        <v/>
      </c>
      <c r="BG471" s="514" t="str">
        <f t="shared" si="916"/>
        <v>oui</v>
      </c>
      <c r="BH471" s="377" t="str">
        <f t="shared" si="894"/>
        <v/>
      </c>
      <c r="BI471" s="24" t="str">
        <f t="shared" si="895"/>
        <v/>
      </c>
      <c r="BJ471" s="1382"/>
      <c r="BK471" s="1382"/>
      <c r="BL471" s="1382"/>
      <c r="BM471" s="1382"/>
      <c r="BN471" s="1382"/>
      <c r="BO471" s="1382"/>
      <c r="BP471" s="1382"/>
      <c r="BQ471" s="1382"/>
      <c r="BR471" s="1383"/>
      <c r="BS471" s="1370">
        <f t="shared" si="862"/>
        <v>46336</v>
      </c>
      <c r="BT471" s="1384" t="str">
        <f t="shared" si="924"/>
        <v/>
      </c>
      <c r="BU471" s="1382"/>
      <c r="BV471" s="1382"/>
      <c r="BW471" s="1382"/>
      <c r="BX471" s="1382"/>
      <c r="BY471" s="1382"/>
      <c r="BZ471" s="1382"/>
      <c r="CA471" s="1382"/>
      <c r="CB471" s="1382"/>
      <c r="CD471" s="1386">
        <f t="shared" si="917"/>
        <v>0</v>
      </c>
      <c r="DC471" s="16" t="str">
        <f>Novembre!FC29</f>
        <v>non</v>
      </c>
      <c r="DG471" s="315">
        <f t="shared" si="918"/>
        <v>1</v>
      </c>
      <c r="DH471" s="129">
        <f t="shared" si="896"/>
        <v>10</v>
      </c>
      <c r="DI471" s="129">
        <f t="shared" si="919"/>
        <v>1</v>
      </c>
      <c r="DK471" s="16">
        <f>+IF(AND(Novembre!$DP$8&lt;&gt;52,AR471=S.CAL!$BJ$4),10,1)</f>
        <v>1</v>
      </c>
      <c r="DN471" s="16">
        <f t="shared" si="897"/>
        <v>1</v>
      </c>
      <c r="DU471" s="1274" t="str">
        <f t="shared" si="920"/>
        <v>Fiche infoA246336</v>
      </c>
      <c r="DV471" s="1362">
        <f t="shared" si="898"/>
        <v>0</v>
      </c>
      <c r="DW471" s="1363">
        <f t="shared" si="899"/>
        <v>0</v>
      </c>
      <c r="DX471" s="1363">
        <f t="shared" si="900"/>
        <v>0</v>
      </c>
      <c r="DY471" s="1363">
        <f t="shared" si="901"/>
        <v>0</v>
      </c>
      <c r="DZ471" s="1363">
        <f t="shared" si="902"/>
        <v>0</v>
      </c>
      <c r="EA471" s="1363">
        <f t="shared" si="903"/>
        <v>0</v>
      </c>
      <c r="EB471" s="1363">
        <f t="shared" si="904"/>
        <v>0</v>
      </c>
      <c r="EC471" s="1363">
        <f t="shared" si="905"/>
        <v>0</v>
      </c>
      <c r="ED471" s="1363">
        <f t="shared" si="921"/>
        <v>0</v>
      </c>
      <c r="EE471" s="1364">
        <f t="shared" si="922"/>
        <v>0</v>
      </c>
      <c r="EG471" s="16" t="str">
        <f t="shared" si="923"/>
        <v>462026</v>
      </c>
      <c r="EH471" s="16" t="str">
        <f t="shared" si="906"/>
        <v>Fiche infoA2</v>
      </c>
      <c r="EI471" s="16" t="str">
        <f t="shared" si="907"/>
        <v/>
      </c>
    </row>
    <row r="472" spans="1:139" x14ac:dyDescent="0.2">
      <c r="A472" s="24" t="str">
        <f>Novembre!BJ30</f>
        <v>Fiche infoA3</v>
      </c>
      <c r="B472" s="811">
        <f>Novembre!AB30</f>
        <v>46337</v>
      </c>
      <c r="C472" s="1371"/>
      <c r="D472" s="981">
        <f t="shared" si="863"/>
        <v>0</v>
      </c>
      <c r="E472" s="434">
        <f t="shared" si="864"/>
        <v>0</v>
      </c>
      <c r="F472" s="434">
        <f t="shared" si="865"/>
        <v>0</v>
      </c>
      <c r="G472" s="434">
        <f t="shared" si="866"/>
        <v>0</v>
      </c>
      <c r="H472" s="434">
        <f t="shared" si="867"/>
        <v>0</v>
      </c>
      <c r="I472" s="434">
        <f t="shared" si="868"/>
        <v>0</v>
      </c>
      <c r="J472" s="434">
        <f t="shared" si="869"/>
        <v>0</v>
      </c>
      <c r="K472" s="434">
        <f t="shared" si="870"/>
        <v>0</v>
      </c>
      <c r="L472" s="434">
        <f t="shared" si="908"/>
        <v>0</v>
      </c>
      <c r="M472" s="982">
        <f t="shared" si="909"/>
        <v>0</v>
      </c>
      <c r="O472" s="981">
        <f t="shared" si="925"/>
        <v>0</v>
      </c>
      <c r="P472" s="434">
        <f t="shared" si="926"/>
        <v>0</v>
      </c>
      <c r="Q472" s="434">
        <f t="shared" si="927"/>
        <v>0</v>
      </c>
      <c r="R472" s="434">
        <f t="shared" si="928"/>
        <v>0</v>
      </c>
      <c r="S472" s="434">
        <f t="shared" si="929"/>
        <v>0</v>
      </c>
      <c r="T472" s="434">
        <f t="shared" si="930"/>
        <v>0</v>
      </c>
      <c r="U472" s="434">
        <f t="shared" si="931"/>
        <v>0</v>
      </c>
      <c r="V472" s="434">
        <f t="shared" si="932"/>
        <v>0</v>
      </c>
      <c r="W472" s="434">
        <f t="shared" si="879"/>
        <v>0</v>
      </c>
      <c r="X472" s="982">
        <f t="shared" si="880"/>
        <v>0</v>
      </c>
      <c r="Y472" s="441"/>
      <c r="Z472" s="277">
        <f t="shared" si="881"/>
        <v>0</v>
      </c>
      <c r="AA472" s="277">
        <f t="shared" si="882"/>
        <v>0</v>
      </c>
      <c r="AB472" s="277">
        <f t="shared" si="883"/>
        <v>0</v>
      </c>
      <c r="AC472" s="277">
        <f t="shared" si="884"/>
        <v>0</v>
      </c>
      <c r="AD472" s="277">
        <f t="shared" si="885"/>
        <v>0</v>
      </c>
      <c r="AE472" s="277">
        <f t="shared" si="886"/>
        <v>0</v>
      </c>
      <c r="AF472" s="277">
        <f t="shared" si="887"/>
        <v>0</v>
      </c>
      <c r="AG472" s="277">
        <f t="shared" si="888"/>
        <v>0</v>
      </c>
      <c r="AI472" s="444">
        <f t="shared" si="933"/>
        <v>0</v>
      </c>
      <c r="AJ472" s="1090"/>
      <c r="AK472" s="489"/>
      <c r="AL472" s="811">
        <f t="shared" si="890"/>
        <v>46337</v>
      </c>
      <c r="AM472" s="666">
        <f>IFERROR(IF(AND(AT472="",AR472&lt;&gt;S.CAL!$BJ$3,AR472&lt;&gt;S.CAL!$BJ$4,$AR$455="NON"),M472-BD472,IF(AND(AT472="",AR472&lt;&gt;S.CAL!$BJ$3,AR472&lt;&gt;S.CAL!$BJ$4,$AR$455="OUI"),X472-AI472,IF(AT472&lt;&gt;0,AT472,IF(OR(AR472=S.CAL!$BJ$3,AR472=S.CAL!$BJ$4),AR472,"")))),"")</f>
        <v>0</v>
      </c>
      <c r="AN472" s="1093"/>
      <c r="AO472" s="1094"/>
      <c r="AP472" s="666">
        <f>+IF(AND(AU472="",BB472="OUI",BH472="non",BI472="OUI"),AM472,IF(AND(AU472="",BB472="OUI",BH472="oui",BI472="NON"),AM472,IF(AND(AU472="",BB472="NON",BH472="oui",BI472="NON"),M472,IF(AND(AU472="",BB472="NON",BH472="non",BI472="OUI"),M472,IF(AND(AU472="",BB472="OUI",BH472="non",BI472="NON"),"ERREUR",IF(AND(AU472="",BB472="NON",BH472="non",BI472="NON"),AM472,IF(AND(AU472="",BB472="OUI",BH472="",BI472=""),AM472,IF(AND(AU472="",BB472="NON",BH472="",BI472="",AZ472="NON"),M472,IF(AND(AU472="",BH472="",AZ472="OUI",AR472=""),AM472,IF(AND(AU472="",BH472="",AZ472="NON",AR472="",AT472=""),M472,IF(AND(OR(AR472=S.CAL!$BJ$3,AR472=S.CAL!$BJ$4),(VLOOKUP($AM$455,base_nbre_sem_mensu,2,FALSE)=52)),EE472,IF(AND(OR(AR472=S.CAL!$BJ$3,AR472=S.CAL!$BJ$4),(VLOOKUP($AM$455,base_nbre_sem_mensu,2,FALSE)&lt;52)),AM472,IF(AND(AT472&lt;&gt;"",AU472=""),AT472,AU472)))))))))))))</f>
        <v>0</v>
      </c>
      <c r="AQ472" s="498">
        <f t="shared" si="910"/>
        <v>0</v>
      </c>
      <c r="AR472" s="1098"/>
      <c r="AT472" s="1101"/>
      <c r="AU472" s="813"/>
      <c r="AV472" s="1370">
        <f t="shared" si="891"/>
        <v>46337</v>
      </c>
      <c r="AX472" s="511">
        <f t="shared" si="911"/>
        <v>46337</v>
      </c>
      <c r="AY472" s="523">
        <f t="shared" si="912"/>
        <v>0</v>
      </c>
      <c r="AZ472" s="520" t="s">
        <v>137</v>
      </c>
      <c r="BA472" s="516">
        <f t="shared" si="913"/>
        <v>0</v>
      </c>
      <c r="BB472" s="549" t="str">
        <f t="shared" si="892"/>
        <v/>
      </c>
      <c r="BC472" s="523">
        <f t="shared" si="914"/>
        <v>0</v>
      </c>
      <c r="BD472" s="523">
        <f t="shared" si="915"/>
        <v>0</v>
      </c>
      <c r="BE472" s="1104"/>
      <c r="BF472" s="514" t="str">
        <f t="shared" si="893"/>
        <v/>
      </c>
      <c r="BG472" s="514" t="str">
        <f t="shared" si="916"/>
        <v>oui</v>
      </c>
      <c r="BH472" s="377" t="str">
        <f t="shared" si="894"/>
        <v/>
      </c>
      <c r="BI472" s="24" t="str">
        <f t="shared" si="895"/>
        <v/>
      </c>
      <c r="BJ472" s="1381"/>
      <c r="BK472" s="1381"/>
      <c r="BL472" s="1381"/>
      <c r="BM472" s="1381"/>
      <c r="BN472" s="1381"/>
      <c r="BO472" s="1381"/>
      <c r="BP472" s="1381"/>
      <c r="BQ472" s="1381"/>
      <c r="BS472" s="1370">
        <f t="shared" si="862"/>
        <v>46337</v>
      </c>
      <c r="BT472" s="27" t="str">
        <f t="shared" si="924"/>
        <v/>
      </c>
      <c r="BU472" s="1380"/>
      <c r="BV472" s="1380"/>
      <c r="BW472" s="1380"/>
      <c r="BX472" s="1380"/>
      <c r="BY472" s="1380"/>
      <c r="BZ472" s="1380"/>
      <c r="CA472" s="1380"/>
      <c r="CB472" s="1380"/>
      <c r="CD472" s="1386">
        <f t="shared" si="917"/>
        <v>0</v>
      </c>
      <c r="DC472" s="16" t="str">
        <f>Novembre!FC30</f>
        <v>non</v>
      </c>
      <c r="DG472" s="315">
        <f t="shared" si="918"/>
        <v>1</v>
      </c>
      <c r="DH472" s="129">
        <f t="shared" si="896"/>
        <v>10</v>
      </c>
      <c r="DI472" s="129">
        <f t="shared" si="919"/>
        <v>1</v>
      </c>
      <c r="DK472" s="16">
        <f>+IF(AND(Novembre!$DP$8&lt;&gt;52,AR472=S.CAL!$BJ$4),10,1)</f>
        <v>1</v>
      </c>
      <c r="DN472" s="16">
        <f t="shared" si="897"/>
        <v>1</v>
      </c>
      <c r="DU472" s="1274" t="str">
        <f t="shared" si="920"/>
        <v>Fiche infoA346337</v>
      </c>
      <c r="DV472" s="1362">
        <f t="shared" si="898"/>
        <v>0</v>
      </c>
      <c r="DW472" s="1363">
        <f t="shared" si="899"/>
        <v>0</v>
      </c>
      <c r="DX472" s="1363">
        <f t="shared" si="900"/>
        <v>0</v>
      </c>
      <c r="DY472" s="1363">
        <f t="shared" si="901"/>
        <v>0</v>
      </c>
      <c r="DZ472" s="1363">
        <f t="shared" si="902"/>
        <v>0</v>
      </c>
      <c r="EA472" s="1363">
        <f t="shared" si="903"/>
        <v>0</v>
      </c>
      <c r="EB472" s="1363">
        <f t="shared" si="904"/>
        <v>0</v>
      </c>
      <c r="EC472" s="1363">
        <f t="shared" si="905"/>
        <v>0</v>
      </c>
      <c r="ED472" s="1363">
        <f t="shared" si="921"/>
        <v>0</v>
      </c>
      <c r="EE472" s="1364">
        <f t="shared" si="922"/>
        <v>0</v>
      </c>
      <c r="EG472" s="16" t="str">
        <f t="shared" si="923"/>
        <v>462026</v>
      </c>
      <c r="EH472" s="16" t="str">
        <f t="shared" si="906"/>
        <v>Fiche infoA3</v>
      </c>
      <c r="EI472" s="16" t="str">
        <f t="shared" si="907"/>
        <v/>
      </c>
    </row>
    <row r="473" spans="1:139" x14ac:dyDescent="0.2">
      <c r="A473" s="1373" t="str">
        <f>Novembre!BJ31</f>
        <v>Fiche infoA4</v>
      </c>
      <c r="B473" s="811">
        <f>Novembre!AB31</f>
        <v>46338</v>
      </c>
      <c r="C473" s="1372"/>
      <c r="D473" s="981">
        <f t="shared" si="863"/>
        <v>0</v>
      </c>
      <c r="E473" s="434">
        <f t="shared" si="864"/>
        <v>0</v>
      </c>
      <c r="F473" s="434">
        <f t="shared" si="865"/>
        <v>0</v>
      </c>
      <c r="G473" s="434">
        <f t="shared" si="866"/>
        <v>0</v>
      </c>
      <c r="H473" s="434">
        <f t="shared" si="867"/>
        <v>0</v>
      </c>
      <c r="I473" s="434">
        <f t="shared" si="868"/>
        <v>0</v>
      </c>
      <c r="J473" s="434">
        <f t="shared" si="869"/>
        <v>0</v>
      </c>
      <c r="K473" s="434">
        <f t="shared" si="870"/>
        <v>0</v>
      </c>
      <c r="L473" s="434">
        <f t="shared" si="908"/>
        <v>0</v>
      </c>
      <c r="M473" s="982">
        <f t="shared" si="909"/>
        <v>0</v>
      </c>
      <c r="N473" s="1374"/>
      <c r="O473" s="981">
        <f t="shared" si="925"/>
        <v>0</v>
      </c>
      <c r="P473" s="434">
        <f t="shared" si="926"/>
        <v>0</v>
      </c>
      <c r="Q473" s="434">
        <f t="shared" si="927"/>
        <v>0</v>
      </c>
      <c r="R473" s="434">
        <f t="shared" si="928"/>
        <v>0</v>
      </c>
      <c r="S473" s="434">
        <f t="shared" si="929"/>
        <v>0</v>
      </c>
      <c r="T473" s="434">
        <f t="shared" si="930"/>
        <v>0</v>
      </c>
      <c r="U473" s="434">
        <f t="shared" si="931"/>
        <v>0</v>
      </c>
      <c r="V473" s="434">
        <f t="shared" si="932"/>
        <v>0</v>
      </c>
      <c r="W473" s="434">
        <f t="shared" si="879"/>
        <v>0</v>
      </c>
      <c r="X473" s="982">
        <f t="shared" si="880"/>
        <v>0</v>
      </c>
      <c r="Y473" s="1375"/>
      <c r="Z473" s="1376">
        <f t="shared" si="881"/>
        <v>0</v>
      </c>
      <c r="AA473" s="1376">
        <f t="shared" si="882"/>
        <v>0</v>
      </c>
      <c r="AB473" s="1376">
        <f t="shared" si="883"/>
        <v>0</v>
      </c>
      <c r="AC473" s="1376">
        <f t="shared" si="884"/>
        <v>0</v>
      </c>
      <c r="AD473" s="1376">
        <f t="shared" si="885"/>
        <v>0</v>
      </c>
      <c r="AE473" s="1376">
        <f t="shared" si="886"/>
        <v>0</v>
      </c>
      <c r="AF473" s="1376">
        <f t="shared" si="887"/>
        <v>0</v>
      </c>
      <c r="AG473" s="1376">
        <f t="shared" si="888"/>
        <v>0</v>
      </c>
      <c r="AH473" s="1374"/>
      <c r="AI473" s="444">
        <f t="shared" si="933"/>
        <v>0</v>
      </c>
      <c r="AJ473" s="1090"/>
      <c r="AK473" s="1377"/>
      <c r="AL473" s="811">
        <f t="shared" si="890"/>
        <v>46338</v>
      </c>
      <c r="AM473" s="666">
        <f>IFERROR(IF(AND(AT473="",AR473&lt;&gt;S.CAL!$BJ$3,AR473&lt;&gt;S.CAL!$BJ$4,$AR$455="NON"),M473-BD473,IF(AND(AT473="",AR473&lt;&gt;S.CAL!$BJ$3,AR473&lt;&gt;S.CAL!$BJ$4,$AR$455="OUI"),X473-AI473,IF(AT473&lt;&gt;0,AT473,IF(OR(AR473=S.CAL!$BJ$3,AR473=S.CAL!$BJ$4),AR473,"")))),"")</f>
        <v>0</v>
      </c>
      <c r="AN473" s="1093"/>
      <c r="AO473" s="1094"/>
      <c r="AP473" s="666">
        <f>+IF(AND(AU473="",BB473="OUI",BH473="non",BI473="OUI"),AM473,IF(AND(AU473="",BB473="OUI",BH473="oui",BI473="NON"),AM473,IF(AND(AU473="",BB473="NON",BH473="oui",BI473="NON"),M473,IF(AND(AU473="",BB473="NON",BH473="non",BI473="OUI"),M473,IF(AND(AU473="",BB473="OUI",BH473="non",BI473="NON"),"ERREUR",IF(AND(AU473="",BB473="NON",BH473="non",BI473="NON"),AM473,IF(AND(AU473="",BB473="OUI",BH473="",BI473=""),AM473,IF(AND(AU473="",BB473="NON",BH473="",BI473="",AZ473="NON"),M473,IF(AND(AU473="",BH473="",AZ473="OUI",AR473=""),AM473,IF(AND(AU473="",BH473="",AZ473="NON",AR473="",AT473=""),M473,IF(AND(OR(AR473=S.CAL!$BJ$3,AR473=S.CAL!$BJ$4),(VLOOKUP($AM$455,base_nbre_sem_mensu,2,FALSE)=52)),EE473,IF(AND(OR(AR473=S.CAL!$BJ$3,AR473=S.CAL!$BJ$4),(VLOOKUP($AM$455,base_nbre_sem_mensu,2,FALSE)&lt;52)),AM473,IF(AND(AT473&lt;&gt;"",AU473=""),AT473,AU473)))))))))))))</f>
        <v>0</v>
      </c>
      <c r="AQ473" s="1378">
        <f t="shared" si="910"/>
        <v>0</v>
      </c>
      <c r="AR473" s="1098"/>
      <c r="AS473" s="1374"/>
      <c r="AT473" s="1101"/>
      <c r="AU473" s="813"/>
      <c r="AV473" s="1370">
        <f t="shared" si="891"/>
        <v>46338</v>
      </c>
      <c r="AW473" s="1374"/>
      <c r="AX473" s="511">
        <f t="shared" si="911"/>
        <v>46338</v>
      </c>
      <c r="AY473" s="523">
        <f t="shared" si="912"/>
        <v>0</v>
      </c>
      <c r="AZ473" s="520" t="s">
        <v>137</v>
      </c>
      <c r="BA473" s="516">
        <f t="shared" si="913"/>
        <v>0</v>
      </c>
      <c r="BB473" s="549" t="str">
        <f t="shared" si="892"/>
        <v/>
      </c>
      <c r="BC473" s="523">
        <f t="shared" si="914"/>
        <v>0</v>
      </c>
      <c r="BD473" s="523">
        <f t="shared" si="915"/>
        <v>0</v>
      </c>
      <c r="BE473" s="1104"/>
      <c r="BF473" s="514" t="str">
        <f t="shared" si="893"/>
        <v/>
      </c>
      <c r="BG473" s="514" t="str">
        <f t="shared" si="916"/>
        <v>oui</v>
      </c>
      <c r="BH473" s="377" t="str">
        <f t="shared" si="894"/>
        <v/>
      </c>
      <c r="BI473" s="24" t="str">
        <f t="shared" si="895"/>
        <v/>
      </c>
      <c r="BJ473" s="1382"/>
      <c r="BK473" s="1382"/>
      <c r="BL473" s="1382"/>
      <c r="BM473" s="1382"/>
      <c r="BN473" s="1382"/>
      <c r="BO473" s="1382"/>
      <c r="BP473" s="1382"/>
      <c r="BQ473" s="1382"/>
      <c r="BR473" s="1383"/>
      <c r="BS473" s="1370">
        <f t="shared" si="862"/>
        <v>46338</v>
      </c>
      <c r="BT473" s="1384" t="str">
        <f t="shared" si="924"/>
        <v/>
      </c>
      <c r="BU473" s="1382"/>
      <c r="BV473" s="1382"/>
      <c r="BW473" s="1382"/>
      <c r="BX473" s="1382"/>
      <c r="BY473" s="1382"/>
      <c r="BZ473" s="1382"/>
      <c r="CA473" s="1382"/>
      <c r="CB473" s="1382"/>
      <c r="CD473" s="1386">
        <f t="shared" si="917"/>
        <v>0</v>
      </c>
      <c r="DC473" s="16" t="str">
        <f>Novembre!FC31</f>
        <v>non</v>
      </c>
      <c r="DG473" s="315">
        <f t="shared" si="918"/>
        <v>1</v>
      </c>
      <c r="DH473" s="129">
        <f t="shared" si="896"/>
        <v>10</v>
      </c>
      <c r="DI473" s="129">
        <f t="shared" si="919"/>
        <v>1</v>
      </c>
      <c r="DK473" s="16">
        <f>+IF(AND(Novembre!$DP$8&lt;&gt;52,AR473=S.CAL!$BJ$4),10,1)</f>
        <v>1</v>
      </c>
      <c r="DN473" s="16">
        <f t="shared" si="897"/>
        <v>1</v>
      </c>
      <c r="DU473" s="1274" t="str">
        <f t="shared" si="920"/>
        <v>Fiche infoA446338</v>
      </c>
      <c r="DV473" s="1362">
        <f t="shared" si="898"/>
        <v>0</v>
      </c>
      <c r="DW473" s="1363">
        <f t="shared" si="899"/>
        <v>0</v>
      </c>
      <c r="DX473" s="1363">
        <f t="shared" si="900"/>
        <v>0</v>
      </c>
      <c r="DY473" s="1363">
        <f t="shared" si="901"/>
        <v>0</v>
      </c>
      <c r="DZ473" s="1363">
        <f t="shared" si="902"/>
        <v>0</v>
      </c>
      <c r="EA473" s="1363">
        <f t="shared" si="903"/>
        <v>0</v>
      </c>
      <c r="EB473" s="1363">
        <f t="shared" si="904"/>
        <v>0</v>
      </c>
      <c r="EC473" s="1363">
        <f t="shared" si="905"/>
        <v>0</v>
      </c>
      <c r="ED473" s="1363">
        <f t="shared" si="921"/>
        <v>0</v>
      </c>
      <c r="EE473" s="1364">
        <f t="shared" si="922"/>
        <v>0</v>
      </c>
      <c r="EG473" s="16" t="str">
        <f t="shared" si="923"/>
        <v>462026</v>
      </c>
      <c r="EH473" s="16" t="str">
        <f t="shared" si="906"/>
        <v>Fiche infoA4</v>
      </c>
      <c r="EI473" s="16" t="str">
        <f t="shared" si="907"/>
        <v/>
      </c>
    </row>
    <row r="474" spans="1:139" x14ac:dyDescent="0.2">
      <c r="A474" s="24" t="str">
        <f>Novembre!BJ32</f>
        <v>Fiche infoA5</v>
      </c>
      <c r="B474" s="811">
        <f>Novembre!AB32</f>
        <v>46339</v>
      </c>
      <c r="C474" s="1371"/>
      <c r="D474" s="981">
        <f t="shared" si="863"/>
        <v>0</v>
      </c>
      <c r="E474" s="434">
        <f t="shared" si="864"/>
        <v>0</v>
      </c>
      <c r="F474" s="434">
        <f t="shared" si="865"/>
        <v>0</v>
      </c>
      <c r="G474" s="434">
        <f t="shared" si="866"/>
        <v>0</v>
      </c>
      <c r="H474" s="434">
        <f t="shared" si="867"/>
        <v>0</v>
      </c>
      <c r="I474" s="434">
        <f t="shared" si="868"/>
        <v>0</v>
      </c>
      <c r="J474" s="434">
        <f t="shared" si="869"/>
        <v>0</v>
      </c>
      <c r="K474" s="434">
        <f t="shared" si="870"/>
        <v>0</v>
      </c>
      <c r="L474" s="434">
        <f t="shared" si="908"/>
        <v>0</v>
      </c>
      <c r="M474" s="982">
        <f t="shared" si="909"/>
        <v>0</v>
      </c>
      <c r="O474" s="981">
        <f t="shared" si="925"/>
        <v>0</v>
      </c>
      <c r="P474" s="434">
        <f t="shared" si="926"/>
        <v>0</v>
      </c>
      <c r="Q474" s="434">
        <f t="shared" si="927"/>
        <v>0</v>
      </c>
      <c r="R474" s="434">
        <f t="shared" si="928"/>
        <v>0</v>
      </c>
      <c r="S474" s="434">
        <f t="shared" si="929"/>
        <v>0</v>
      </c>
      <c r="T474" s="434">
        <f t="shared" si="930"/>
        <v>0</v>
      </c>
      <c r="U474" s="434">
        <f t="shared" si="931"/>
        <v>0</v>
      </c>
      <c r="V474" s="434">
        <f t="shared" si="932"/>
        <v>0</v>
      </c>
      <c r="W474" s="434">
        <f t="shared" si="879"/>
        <v>0</v>
      </c>
      <c r="X474" s="982">
        <f t="shared" si="880"/>
        <v>0</v>
      </c>
      <c r="Y474" s="441"/>
      <c r="Z474" s="277">
        <f t="shared" si="881"/>
        <v>0</v>
      </c>
      <c r="AA474" s="277">
        <f t="shared" si="882"/>
        <v>0</v>
      </c>
      <c r="AB474" s="277">
        <f t="shared" si="883"/>
        <v>0</v>
      </c>
      <c r="AC474" s="277">
        <f t="shared" si="884"/>
        <v>0</v>
      </c>
      <c r="AD474" s="277">
        <f t="shared" si="885"/>
        <v>0</v>
      </c>
      <c r="AE474" s="277">
        <f t="shared" si="886"/>
        <v>0</v>
      </c>
      <c r="AF474" s="277">
        <f t="shared" si="887"/>
        <v>0</v>
      </c>
      <c r="AG474" s="277">
        <f t="shared" si="888"/>
        <v>0</v>
      </c>
      <c r="AI474" s="444">
        <f t="shared" si="933"/>
        <v>0</v>
      </c>
      <c r="AJ474" s="1090"/>
      <c r="AK474" s="489"/>
      <c r="AL474" s="811">
        <f t="shared" si="890"/>
        <v>46339</v>
      </c>
      <c r="AM474" s="666">
        <f>IFERROR(IF(AND(AT474="",AR474&lt;&gt;S.CAL!$BJ$3,AR474&lt;&gt;S.CAL!$BJ$4,$AR$455="NON"),M474-BD474,IF(AND(AT474="",AR474&lt;&gt;S.CAL!$BJ$3,AR474&lt;&gt;S.CAL!$BJ$4,$AR$455="OUI"),X474-AI474,IF(AT474&lt;&gt;0,AT474,IF(OR(AR474=S.CAL!$BJ$3,AR474=S.CAL!$BJ$4),AR474,"")))),"")</f>
        <v>0</v>
      </c>
      <c r="AN474" s="1093"/>
      <c r="AO474" s="1094"/>
      <c r="AP474" s="666">
        <f>+IF(AND(AU474="",BB474="OUI",BH474="non",BI474="OUI"),AM474,IF(AND(AU474="",BB474="OUI",BH474="oui",BI474="NON"),AM474,IF(AND(AU474="",BB474="NON",BH474="oui",BI474="NON"),M474,IF(AND(AU474="",BB474="NON",BH474="non",BI474="OUI"),M474,IF(AND(AU474="",BB474="OUI",BH474="non",BI474="NON"),"ERREUR",IF(AND(AU474="",BB474="NON",BH474="non",BI474="NON"),AM474,IF(AND(AU474="",BB474="OUI",BH474="",BI474=""),AM474,IF(AND(AU474="",BB474="NON",BH474="",BI474="",AZ474="NON"),M474,IF(AND(AU474="",BH474="",AZ474="OUI",AR474=""),AM474,IF(AND(AU474="",BH474="",AZ474="NON",AR474="",AT474=""),M474,IF(AND(OR(AR474=S.CAL!$BJ$3,AR474=S.CAL!$BJ$4),(VLOOKUP($AM$455,base_nbre_sem_mensu,2,FALSE)=52)),EE474,IF(AND(OR(AR474=S.CAL!$BJ$3,AR474=S.CAL!$BJ$4),(VLOOKUP($AM$455,base_nbre_sem_mensu,2,FALSE)&lt;52)),AM474,IF(AND(AT474&lt;&gt;"",AU474=""),AT474,AU474)))))))))))))</f>
        <v>0</v>
      </c>
      <c r="AQ474" s="498">
        <f t="shared" si="910"/>
        <v>0</v>
      </c>
      <c r="AR474" s="1098"/>
      <c r="AT474" s="1101"/>
      <c r="AU474" s="813"/>
      <c r="AV474" s="1370">
        <f t="shared" si="891"/>
        <v>46339</v>
      </c>
      <c r="AX474" s="511">
        <f t="shared" si="911"/>
        <v>46339</v>
      </c>
      <c r="AY474" s="523">
        <f t="shared" si="912"/>
        <v>0</v>
      </c>
      <c r="AZ474" s="520" t="s">
        <v>137</v>
      </c>
      <c r="BA474" s="516">
        <f t="shared" si="913"/>
        <v>0</v>
      </c>
      <c r="BB474" s="549" t="str">
        <f t="shared" si="892"/>
        <v/>
      </c>
      <c r="BC474" s="523">
        <f t="shared" si="914"/>
        <v>0</v>
      </c>
      <c r="BD474" s="523">
        <f t="shared" si="915"/>
        <v>0</v>
      </c>
      <c r="BE474" s="1104"/>
      <c r="BF474" s="514" t="str">
        <f t="shared" si="893"/>
        <v/>
      </c>
      <c r="BG474" s="514" t="str">
        <f t="shared" si="916"/>
        <v>oui</v>
      </c>
      <c r="BH474" s="377" t="str">
        <f t="shared" si="894"/>
        <v/>
      </c>
      <c r="BI474" s="24" t="str">
        <f t="shared" si="895"/>
        <v/>
      </c>
      <c r="BJ474" s="1381"/>
      <c r="BK474" s="1381"/>
      <c r="BL474" s="1381"/>
      <c r="BM474" s="1381"/>
      <c r="BN474" s="1381"/>
      <c r="BO474" s="1381"/>
      <c r="BP474" s="1381"/>
      <c r="BQ474" s="1381"/>
      <c r="BS474" s="1370">
        <f t="shared" si="862"/>
        <v>46339</v>
      </c>
      <c r="BT474" s="27" t="str">
        <f t="shared" si="924"/>
        <v/>
      </c>
      <c r="BU474" s="1380"/>
      <c r="BV474" s="1380"/>
      <c r="BW474" s="1380"/>
      <c r="BX474" s="1380"/>
      <c r="BY474" s="1380"/>
      <c r="BZ474" s="1380"/>
      <c r="CA474" s="1380"/>
      <c r="CB474" s="1380"/>
      <c r="CD474" s="1386">
        <f t="shared" si="917"/>
        <v>0</v>
      </c>
      <c r="DC474" s="16" t="str">
        <f>Novembre!FC32</f>
        <v>non</v>
      </c>
      <c r="DG474" s="315">
        <f t="shared" si="918"/>
        <v>1</v>
      </c>
      <c r="DH474" s="129">
        <f t="shared" si="896"/>
        <v>10</v>
      </c>
      <c r="DI474" s="129">
        <f t="shared" si="919"/>
        <v>1</v>
      </c>
      <c r="DK474" s="16">
        <f>+IF(AND(Novembre!$DP$8&lt;&gt;52,AR474=S.CAL!$BJ$4),10,1)</f>
        <v>1</v>
      </c>
      <c r="DN474" s="16">
        <f t="shared" si="897"/>
        <v>1</v>
      </c>
      <c r="DU474" s="1274" t="str">
        <f t="shared" si="920"/>
        <v>Fiche infoA546339</v>
      </c>
      <c r="DV474" s="1362">
        <f t="shared" si="898"/>
        <v>0</v>
      </c>
      <c r="DW474" s="1363">
        <f t="shared" si="899"/>
        <v>0</v>
      </c>
      <c r="DX474" s="1363">
        <f t="shared" si="900"/>
        <v>0</v>
      </c>
      <c r="DY474" s="1363">
        <f t="shared" si="901"/>
        <v>0</v>
      </c>
      <c r="DZ474" s="1363">
        <f t="shared" si="902"/>
        <v>0</v>
      </c>
      <c r="EA474" s="1363">
        <f t="shared" si="903"/>
        <v>0</v>
      </c>
      <c r="EB474" s="1363">
        <f t="shared" si="904"/>
        <v>0</v>
      </c>
      <c r="EC474" s="1363">
        <f t="shared" si="905"/>
        <v>0</v>
      </c>
      <c r="ED474" s="1363">
        <f t="shared" si="921"/>
        <v>0</v>
      </c>
      <c r="EE474" s="1364">
        <f t="shared" si="922"/>
        <v>0</v>
      </c>
      <c r="EG474" s="16" t="str">
        <f t="shared" si="923"/>
        <v>462026</v>
      </c>
      <c r="EH474" s="16" t="str">
        <f t="shared" si="906"/>
        <v>Fiche infoA5</v>
      </c>
      <c r="EI474" s="16" t="str">
        <f t="shared" si="907"/>
        <v/>
      </c>
    </row>
    <row r="475" spans="1:139" x14ac:dyDescent="0.2">
      <c r="A475" s="1373" t="str">
        <f>Novembre!BJ33</f>
        <v>Fiche infoA6</v>
      </c>
      <c r="B475" s="811">
        <f>Novembre!AB33</f>
        <v>46340</v>
      </c>
      <c r="C475" s="1372"/>
      <c r="D475" s="981">
        <f t="shared" si="863"/>
        <v>0</v>
      </c>
      <c r="E475" s="434">
        <f t="shared" si="864"/>
        <v>0</v>
      </c>
      <c r="F475" s="434">
        <f t="shared" si="865"/>
        <v>0</v>
      </c>
      <c r="G475" s="434">
        <f t="shared" si="866"/>
        <v>0</v>
      </c>
      <c r="H475" s="434">
        <f t="shared" si="867"/>
        <v>0</v>
      </c>
      <c r="I475" s="434">
        <f t="shared" si="868"/>
        <v>0</v>
      </c>
      <c r="J475" s="434">
        <f t="shared" si="869"/>
        <v>0</v>
      </c>
      <c r="K475" s="434">
        <f t="shared" si="870"/>
        <v>0</v>
      </c>
      <c r="L475" s="434">
        <f t="shared" si="908"/>
        <v>0</v>
      </c>
      <c r="M475" s="982">
        <f t="shared" si="909"/>
        <v>0</v>
      </c>
      <c r="N475" s="1374"/>
      <c r="O475" s="981">
        <f t="shared" si="925"/>
        <v>0</v>
      </c>
      <c r="P475" s="434">
        <f t="shared" si="926"/>
        <v>0</v>
      </c>
      <c r="Q475" s="434">
        <f t="shared" si="927"/>
        <v>0</v>
      </c>
      <c r="R475" s="434">
        <f t="shared" si="928"/>
        <v>0</v>
      </c>
      <c r="S475" s="434">
        <f t="shared" si="929"/>
        <v>0</v>
      </c>
      <c r="T475" s="434">
        <f t="shared" si="930"/>
        <v>0</v>
      </c>
      <c r="U475" s="434">
        <f t="shared" si="931"/>
        <v>0</v>
      </c>
      <c r="V475" s="434">
        <f t="shared" si="932"/>
        <v>0</v>
      </c>
      <c r="W475" s="434">
        <f t="shared" si="879"/>
        <v>0</v>
      </c>
      <c r="X475" s="982">
        <f t="shared" si="880"/>
        <v>0</v>
      </c>
      <c r="Y475" s="1375"/>
      <c r="Z475" s="1376">
        <f t="shared" si="881"/>
        <v>0</v>
      </c>
      <c r="AA475" s="1376">
        <f t="shared" si="882"/>
        <v>0</v>
      </c>
      <c r="AB475" s="1376">
        <f t="shared" si="883"/>
        <v>0</v>
      </c>
      <c r="AC475" s="1376">
        <f t="shared" si="884"/>
        <v>0</v>
      </c>
      <c r="AD475" s="1376">
        <f t="shared" si="885"/>
        <v>0</v>
      </c>
      <c r="AE475" s="1376">
        <f t="shared" si="886"/>
        <v>0</v>
      </c>
      <c r="AF475" s="1376">
        <f t="shared" si="887"/>
        <v>0</v>
      </c>
      <c r="AG475" s="1376">
        <f t="shared" si="888"/>
        <v>0</v>
      </c>
      <c r="AH475" s="1374"/>
      <c r="AI475" s="444">
        <f t="shared" si="933"/>
        <v>0</v>
      </c>
      <c r="AJ475" s="1090"/>
      <c r="AK475" s="1377"/>
      <c r="AL475" s="811">
        <f t="shared" si="890"/>
        <v>46340</v>
      </c>
      <c r="AM475" s="666">
        <f>IFERROR(IF(AND(AT475="",AR475&lt;&gt;S.CAL!$BJ$3,AR475&lt;&gt;S.CAL!$BJ$4,$AR$455="NON"),M475-BD475,IF(AND(AT475="",AR475&lt;&gt;S.CAL!$BJ$3,AR475&lt;&gt;S.CAL!$BJ$4,$AR$455="OUI"),X475-AI475,IF(AT475&lt;&gt;0,AT475,IF(OR(AR475=S.CAL!$BJ$3,AR475=S.CAL!$BJ$4),AR475,"")))),"")</f>
        <v>0</v>
      </c>
      <c r="AN475" s="1093"/>
      <c r="AO475" s="1094"/>
      <c r="AP475" s="666">
        <f>+IF(AND(AU475="",BB475="OUI",BH475="non",BI475="OUI"),AM475,IF(AND(AU475="",BB475="OUI",BH475="oui",BI475="NON"),AM475,IF(AND(AU475="",BB475="NON",BH475="oui",BI475="NON"),M475,IF(AND(AU475="",BB475="NON",BH475="non",BI475="OUI"),M475,IF(AND(AU475="",BB475="OUI",BH475="non",BI475="NON"),"ERREUR",IF(AND(AU475="",BB475="NON",BH475="non",BI475="NON"),AM475,IF(AND(AU475="",BB475="OUI",BH475="",BI475=""),AM475,IF(AND(AU475="",BB475="NON",BH475="",BI475="",AZ475="NON"),M475,IF(AND(AU475="",BH475="",AZ475="OUI",AR475=""),AM475,IF(AND(AU475="",BH475="",AZ475="NON",AR475="",AT475=""),M475,IF(AND(OR(AR475=S.CAL!$BJ$3,AR475=S.CAL!$BJ$4),(VLOOKUP($AM$455,base_nbre_sem_mensu,2,FALSE)=52)),EE475,IF(AND(OR(AR475=S.CAL!$BJ$3,AR475=S.CAL!$BJ$4),(VLOOKUP($AM$455,base_nbre_sem_mensu,2,FALSE)&lt;52)),AM475,IF(AND(AT475&lt;&gt;"",AU475=""),AT475,AU475)))))))))))))</f>
        <v>0</v>
      </c>
      <c r="AQ475" s="1378">
        <f t="shared" si="910"/>
        <v>0</v>
      </c>
      <c r="AR475" s="1098"/>
      <c r="AS475" s="1374"/>
      <c r="AT475" s="1101"/>
      <c r="AU475" s="813"/>
      <c r="AV475" s="1370">
        <f t="shared" si="891"/>
        <v>46340</v>
      </c>
      <c r="AW475" s="1374"/>
      <c r="AX475" s="511">
        <f t="shared" si="911"/>
        <v>46340</v>
      </c>
      <c r="AY475" s="523">
        <f t="shared" si="912"/>
        <v>0</v>
      </c>
      <c r="AZ475" s="520" t="s">
        <v>137</v>
      </c>
      <c r="BA475" s="516">
        <f t="shared" si="913"/>
        <v>0</v>
      </c>
      <c r="BB475" s="549" t="str">
        <f t="shared" si="892"/>
        <v/>
      </c>
      <c r="BC475" s="523">
        <f t="shared" si="914"/>
        <v>0</v>
      </c>
      <c r="BD475" s="523">
        <f t="shared" si="915"/>
        <v>0</v>
      </c>
      <c r="BE475" s="1104"/>
      <c r="BF475" s="514" t="str">
        <f t="shared" si="893"/>
        <v/>
      </c>
      <c r="BG475" s="514" t="str">
        <f t="shared" si="916"/>
        <v>oui</v>
      </c>
      <c r="BH475" s="377" t="str">
        <f t="shared" si="894"/>
        <v/>
      </c>
      <c r="BI475" s="24" t="str">
        <f t="shared" si="895"/>
        <v/>
      </c>
      <c r="BJ475" s="1382"/>
      <c r="BK475" s="1382"/>
      <c r="BL475" s="1382"/>
      <c r="BM475" s="1382"/>
      <c r="BN475" s="1382"/>
      <c r="BO475" s="1382"/>
      <c r="BP475" s="1382"/>
      <c r="BQ475" s="1382"/>
      <c r="BR475" s="1383"/>
      <c r="BS475" s="1370">
        <f t="shared" si="862"/>
        <v>46340</v>
      </c>
      <c r="BT475" s="1384" t="str">
        <f t="shared" si="924"/>
        <v/>
      </c>
      <c r="BU475" s="1382"/>
      <c r="BV475" s="1382"/>
      <c r="BW475" s="1382"/>
      <c r="BX475" s="1382"/>
      <c r="BY475" s="1382"/>
      <c r="BZ475" s="1382"/>
      <c r="CA475" s="1382"/>
      <c r="CB475" s="1382"/>
      <c r="CD475" s="1386">
        <f t="shared" si="917"/>
        <v>0</v>
      </c>
      <c r="DC475" s="16" t="str">
        <f>Novembre!FC33</f>
        <v>non</v>
      </c>
      <c r="DG475" s="315">
        <f t="shared" si="918"/>
        <v>1</v>
      </c>
      <c r="DH475" s="129">
        <f t="shared" si="896"/>
        <v>10</v>
      </c>
      <c r="DI475" s="129">
        <f t="shared" si="919"/>
        <v>1</v>
      </c>
      <c r="DK475" s="16">
        <f>+IF(AND(Novembre!$DP$8&lt;&gt;52,AR475=S.CAL!$BJ$4),10,1)</f>
        <v>1</v>
      </c>
      <c r="DN475" s="16">
        <f t="shared" si="897"/>
        <v>1</v>
      </c>
      <c r="DU475" s="1274" t="str">
        <f t="shared" si="920"/>
        <v>Fiche infoA646340</v>
      </c>
      <c r="DV475" s="1362">
        <f t="shared" si="898"/>
        <v>0</v>
      </c>
      <c r="DW475" s="1363">
        <f t="shared" si="899"/>
        <v>0</v>
      </c>
      <c r="DX475" s="1363">
        <f t="shared" si="900"/>
        <v>0</v>
      </c>
      <c r="DY475" s="1363">
        <f t="shared" si="901"/>
        <v>0</v>
      </c>
      <c r="DZ475" s="1363">
        <f t="shared" si="902"/>
        <v>0</v>
      </c>
      <c r="EA475" s="1363">
        <f t="shared" si="903"/>
        <v>0</v>
      </c>
      <c r="EB475" s="1363">
        <f t="shared" si="904"/>
        <v>0</v>
      </c>
      <c r="EC475" s="1363">
        <f t="shared" si="905"/>
        <v>0</v>
      </c>
      <c r="ED475" s="1363">
        <f t="shared" si="921"/>
        <v>0</v>
      </c>
      <c r="EE475" s="1364">
        <f t="shared" si="922"/>
        <v>0</v>
      </c>
      <c r="EG475" s="16" t="str">
        <f t="shared" si="923"/>
        <v>462026</v>
      </c>
      <c r="EH475" s="16" t="str">
        <f t="shared" si="906"/>
        <v>Fiche infoA6</v>
      </c>
      <c r="EI475" s="16" t="str">
        <f t="shared" si="907"/>
        <v/>
      </c>
    </row>
    <row r="476" spans="1:139" x14ac:dyDescent="0.2">
      <c r="A476" s="24" t="str">
        <f>Novembre!BJ34</f>
        <v>Fiche infoA7</v>
      </c>
      <c r="B476" s="811">
        <f>Novembre!AB34</f>
        <v>46341</v>
      </c>
      <c r="C476" s="1371"/>
      <c r="D476" s="981">
        <f t="shared" si="863"/>
        <v>0</v>
      </c>
      <c r="E476" s="434">
        <f t="shared" si="864"/>
        <v>0</v>
      </c>
      <c r="F476" s="434">
        <f t="shared" si="865"/>
        <v>0</v>
      </c>
      <c r="G476" s="434">
        <f t="shared" si="866"/>
        <v>0</v>
      </c>
      <c r="H476" s="434">
        <f t="shared" si="867"/>
        <v>0</v>
      </c>
      <c r="I476" s="434">
        <f t="shared" si="868"/>
        <v>0</v>
      </c>
      <c r="J476" s="434">
        <f t="shared" si="869"/>
        <v>0</v>
      </c>
      <c r="K476" s="434">
        <f t="shared" si="870"/>
        <v>0</v>
      </c>
      <c r="L476" s="434">
        <f t="shared" si="908"/>
        <v>0</v>
      </c>
      <c r="M476" s="982">
        <f t="shared" si="909"/>
        <v>0</v>
      </c>
      <c r="O476" s="981">
        <f t="shared" si="925"/>
        <v>0</v>
      </c>
      <c r="P476" s="434">
        <f t="shared" si="926"/>
        <v>0</v>
      </c>
      <c r="Q476" s="434">
        <f t="shared" si="927"/>
        <v>0</v>
      </c>
      <c r="R476" s="434">
        <f t="shared" si="928"/>
        <v>0</v>
      </c>
      <c r="S476" s="434">
        <f t="shared" si="929"/>
        <v>0</v>
      </c>
      <c r="T476" s="434">
        <f t="shared" si="930"/>
        <v>0</v>
      </c>
      <c r="U476" s="434">
        <f t="shared" si="931"/>
        <v>0</v>
      </c>
      <c r="V476" s="434">
        <f t="shared" si="932"/>
        <v>0</v>
      </c>
      <c r="W476" s="434">
        <f t="shared" si="879"/>
        <v>0</v>
      </c>
      <c r="X476" s="982">
        <f t="shared" si="880"/>
        <v>0</v>
      </c>
      <c r="Y476" s="441"/>
      <c r="Z476" s="277">
        <f t="shared" si="881"/>
        <v>0</v>
      </c>
      <c r="AA476" s="277">
        <f t="shared" si="882"/>
        <v>0</v>
      </c>
      <c r="AB476" s="277">
        <f t="shared" si="883"/>
        <v>0</v>
      </c>
      <c r="AC476" s="277">
        <f t="shared" si="884"/>
        <v>0</v>
      </c>
      <c r="AD476" s="277">
        <f t="shared" si="885"/>
        <v>0</v>
      </c>
      <c r="AE476" s="277">
        <f t="shared" si="886"/>
        <v>0</v>
      </c>
      <c r="AF476" s="277">
        <f t="shared" si="887"/>
        <v>0</v>
      </c>
      <c r="AG476" s="277">
        <f t="shared" si="888"/>
        <v>0</v>
      </c>
      <c r="AI476" s="444">
        <f t="shared" si="933"/>
        <v>0</v>
      </c>
      <c r="AJ476" s="1090"/>
      <c r="AK476" s="489"/>
      <c r="AL476" s="811">
        <f t="shared" si="890"/>
        <v>46341</v>
      </c>
      <c r="AM476" s="666">
        <f>IFERROR(IF(AND(AT476="",AR476&lt;&gt;S.CAL!$BJ$3,AR476&lt;&gt;S.CAL!$BJ$4,$AR$455="NON"),M476-BD476,IF(AND(AT476="",AR476&lt;&gt;S.CAL!$BJ$3,AR476&lt;&gt;S.CAL!$BJ$4,$AR$455="OUI"),X476-AI476,IF(AT476&lt;&gt;0,AT476,IF(OR(AR476=S.CAL!$BJ$3,AR476=S.CAL!$BJ$4),AR476,"")))),"")</f>
        <v>0</v>
      </c>
      <c r="AN476" s="1093"/>
      <c r="AO476" s="1094"/>
      <c r="AP476" s="666">
        <f>+IF(AND(AU476="",BB476="OUI",BH476="non",BI476="OUI"),AM476,IF(AND(AU476="",BB476="OUI",BH476="oui",BI476="NON"),AM476,IF(AND(AU476="",BB476="NON",BH476="oui",BI476="NON"),M476,IF(AND(AU476="",BB476="NON",BH476="non",BI476="OUI"),M476,IF(AND(AU476="",BB476="OUI",BH476="non",BI476="NON"),"ERREUR",IF(AND(AU476="",BB476="NON",BH476="non",BI476="NON"),AM476,IF(AND(AU476="",BB476="OUI",BH476="",BI476=""),AM476,IF(AND(AU476="",BB476="NON",BH476="",BI476="",AZ476="NON"),M476,IF(AND(AU476="",BH476="",AZ476="OUI",AR476=""),AM476,IF(AND(AU476="",BH476="",AZ476="NON",AR476="",AT476=""),M476,IF(AND(OR(AR476=S.CAL!$BJ$3,AR476=S.CAL!$BJ$4),(VLOOKUP($AM$455,base_nbre_sem_mensu,2,FALSE)=52)),EE476,IF(AND(OR(AR476=S.CAL!$BJ$3,AR476=S.CAL!$BJ$4),(VLOOKUP($AM$455,base_nbre_sem_mensu,2,FALSE)&lt;52)),AM476,IF(AND(AT476&lt;&gt;"",AU476=""),AT476,AU476)))))))))))))</f>
        <v>0</v>
      </c>
      <c r="AQ476" s="498">
        <f t="shared" si="910"/>
        <v>0</v>
      </c>
      <c r="AR476" s="1098"/>
      <c r="AT476" s="1101"/>
      <c r="AU476" s="813"/>
      <c r="AV476" s="1370">
        <f t="shared" si="891"/>
        <v>46341</v>
      </c>
      <c r="AX476" s="511">
        <f t="shared" si="911"/>
        <v>46341</v>
      </c>
      <c r="AY476" s="523">
        <f t="shared" si="912"/>
        <v>0</v>
      </c>
      <c r="AZ476" s="520" t="s">
        <v>137</v>
      </c>
      <c r="BA476" s="516">
        <f t="shared" si="913"/>
        <v>0</v>
      </c>
      <c r="BB476" s="549" t="str">
        <f t="shared" si="892"/>
        <v/>
      </c>
      <c r="BC476" s="523">
        <f t="shared" si="914"/>
        <v>0</v>
      </c>
      <c r="BD476" s="523">
        <f t="shared" si="915"/>
        <v>0</v>
      </c>
      <c r="BE476" s="1104"/>
      <c r="BF476" s="514" t="str">
        <f t="shared" si="893"/>
        <v/>
      </c>
      <c r="BG476" s="514" t="str">
        <f t="shared" si="916"/>
        <v>oui</v>
      </c>
      <c r="BH476" s="377" t="str">
        <f t="shared" si="894"/>
        <v/>
      </c>
      <c r="BI476" s="24" t="str">
        <f t="shared" si="895"/>
        <v/>
      </c>
      <c r="BJ476" s="1381"/>
      <c r="BK476" s="1381"/>
      <c r="BL476" s="1381"/>
      <c r="BM476" s="1381"/>
      <c r="BN476" s="1381"/>
      <c r="BO476" s="1381"/>
      <c r="BP476" s="1381"/>
      <c r="BQ476" s="1381"/>
      <c r="BS476" s="1370">
        <f t="shared" si="862"/>
        <v>46341</v>
      </c>
      <c r="BT476" s="27" t="str">
        <f t="shared" si="924"/>
        <v/>
      </c>
      <c r="BU476" s="1380"/>
      <c r="BV476" s="1380"/>
      <c r="BW476" s="1380"/>
      <c r="BX476" s="1380"/>
      <c r="BY476" s="1380"/>
      <c r="BZ476" s="1380"/>
      <c r="CA476" s="1380"/>
      <c r="CB476" s="1380"/>
      <c r="CD476" s="1386">
        <f t="shared" si="917"/>
        <v>0</v>
      </c>
      <c r="DC476" s="16" t="str">
        <f>Novembre!FC34</f>
        <v>non</v>
      </c>
      <c r="DG476" s="315">
        <f t="shared" si="918"/>
        <v>1</v>
      </c>
      <c r="DH476" s="129">
        <f t="shared" si="896"/>
        <v>10</v>
      </c>
      <c r="DI476" s="129">
        <f t="shared" si="919"/>
        <v>1</v>
      </c>
      <c r="DK476" s="16">
        <f>+IF(AND(Novembre!$DP$8&lt;&gt;52,AR476=S.CAL!$BJ$4),10,1)</f>
        <v>1</v>
      </c>
      <c r="DN476" s="16">
        <f t="shared" si="897"/>
        <v>1</v>
      </c>
      <c r="DU476" s="1274" t="str">
        <f t="shared" si="920"/>
        <v>Fiche infoA746341</v>
      </c>
      <c r="DV476" s="1362">
        <f t="shared" si="898"/>
        <v>0</v>
      </c>
      <c r="DW476" s="1363">
        <f t="shared" si="899"/>
        <v>0</v>
      </c>
      <c r="DX476" s="1363">
        <f t="shared" si="900"/>
        <v>0</v>
      </c>
      <c r="DY476" s="1363">
        <f t="shared" si="901"/>
        <v>0</v>
      </c>
      <c r="DZ476" s="1363">
        <f t="shared" si="902"/>
        <v>0</v>
      </c>
      <c r="EA476" s="1363">
        <f t="shared" si="903"/>
        <v>0</v>
      </c>
      <c r="EB476" s="1363">
        <f t="shared" si="904"/>
        <v>0</v>
      </c>
      <c r="EC476" s="1363">
        <f t="shared" si="905"/>
        <v>0</v>
      </c>
      <c r="ED476" s="1363">
        <f t="shared" si="921"/>
        <v>0</v>
      </c>
      <c r="EE476" s="1364">
        <f t="shared" si="922"/>
        <v>0</v>
      </c>
      <c r="EG476" s="16" t="str">
        <f t="shared" si="923"/>
        <v>462026</v>
      </c>
      <c r="EH476" s="16" t="str">
        <f t="shared" si="906"/>
        <v>Fiche infoA7</v>
      </c>
      <c r="EI476" s="16" t="str">
        <f t="shared" si="907"/>
        <v/>
      </c>
    </row>
    <row r="477" spans="1:139" x14ac:dyDescent="0.2">
      <c r="A477" s="1373" t="str">
        <f>Novembre!BJ35</f>
        <v>Fiche infoA1</v>
      </c>
      <c r="B477" s="811">
        <f>Novembre!AB35</f>
        <v>46342</v>
      </c>
      <c r="C477" s="1372"/>
      <c r="D477" s="981">
        <f t="shared" si="863"/>
        <v>0</v>
      </c>
      <c r="E477" s="434">
        <f t="shared" si="864"/>
        <v>0</v>
      </c>
      <c r="F477" s="434">
        <f t="shared" si="865"/>
        <v>0</v>
      </c>
      <c r="G477" s="434">
        <f t="shared" si="866"/>
        <v>0</v>
      </c>
      <c r="H477" s="434">
        <f t="shared" si="867"/>
        <v>0</v>
      </c>
      <c r="I477" s="434">
        <f t="shared" si="868"/>
        <v>0</v>
      </c>
      <c r="J477" s="434">
        <f t="shared" si="869"/>
        <v>0</v>
      </c>
      <c r="K477" s="434">
        <f t="shared" si="870"/>
        <v>0</v>
      </c>
      <c r="L477" s="434">
        <f t="shared" si="908"/>
        <v>0</v>
      </c>
      <c r="M477" s="982">
        <f t="shared" si="909"/>
        <v>0</v>
      </c>
      <c r="N477" s="1374"/>
      <c r="O477" s="981">
        <f t="shared" si="925"/>
        <v>0</v>
      </c>
      <c r="P477" s="434">
        <f t="shared" si="926"/>
        <v>0</v>
      </c>
      <c r="Q477" s="434">
        <f t="shared" si="927"/>
        <v>0</v>
      </c>
      <c r="R477" s="434">
        <f t="shared" si="928"/>
        <v>0</v>
      </c>
      <c r="S477" s="434">
        <f t="shared" si="929"/>
        <v>0</v>
      </c>
      <c r="T477" s="434">
        <f t="shared" si="930"/>
        <v>0</v>
      </c>
      <c r="U477" s="434">
        <f t="shared" si="931"/>
        <v>0</v>
      </c>
      <c r="V477" s="434">
        <f t="shared" si="932"/>
        <v>0</v>
      </c>
      <c r="W477" s="434">
        <f t="shared" si="879"/>
        <v>0</v>
      </c>
      <c r="X477" s="982">
        <f t="shared" si="880"/>
        <v>0</v>
      </c>
      <c r="Y477" s="1375"/>
      <c r="Z477" s="1376">
        <f t="shared" si="881"/>
        <v>0</v>
      </c>
      <c r="AA477" s="1376">
        <f t="shared" si="882"/>
        <v>0</v>
      </c>
      <c r="AB477" s="1376">
        <f t="shared" si="883"/>
        <v>0</v>
      </c>
      <c r="AC477" s="1376">
        <f t="shared" si="884"/>
        <v>0</v>
      </c>
      <c r="AD477" s="1376">
        <f t="shared" si="885"/>
        <v>0</v>
      </c>
      <c r="AE477" s="1376">
        <f t="shared" si="886"/>
        <v>0</v>
      </c>
      <c r="AF477" s="1376">
        <f t="shared" si="887"/>
        <v>0</v>
      </c>
      <c r="AG477" s="1376">
        <f t="shared" si="888"/>
        <v>0</v>
      </c>
      <c r="AH477" s="1374"/>
      <c r="AI477" s="444">
        <f t="shared" si="933"/>
        <v>0</v>
      </c>
      <c r="AJ477" s="1090"/>
      <c r="AK477" s="1377"/>
      <c r="AL477" s="811">
        <f t="shared" si="890"/>
        <v>46342</v>
      </c>
      <c r="AM477" s="666">
        <f>IFERROR(IF(AND(AT477="",AR477&lt;&gt;S.CAL!$BJ$3,AR477&lt;&gt;S.CAL!$BJ$4,$AR$455="NON"),M477-BD477,IF(AND(AT477="",AR477&lt;&gt;S.CAL!$BJ$3,AR477&lt;&gt;S.CAL!$BJ$4,$AR$455="OUI"),X477-AI477,IF(AT477&lt;&gt;0,AT477,IF(OR(AR477=S.CAL!$BJ$3,AR477=S.CAL!$BJ$4),AR477,"")))),"")</f>
        <v>0</v>
      </c>
      <c r="AN477" s="1093"/>
      <c r="AO477" s="1094"/>
      <c r="AP477" s="666">
        <f>+IF(AND(AU477="",BB477="OUI",BH477="non",BI477="OUI"),AM477,IF(AND(AU477="",BB477="OUI",BH477="oui",BI477="NON"),AM477,IF(AND(AU477="",BB477="NON",BH477="oui",BI477="NON"),M477,IF(AND(AU477="",BB477="NON",BH477="non",BI477="OUI"),M477,IF(AND(AU477="",BB477="OUI",BH477="non",BI477="NON"),"ERREUR",IF(AND(AU477="",BB477="NON",BH477="non",BI477="NON"),AM477,IF(AND(AU477="",BB477="OUI",BH477="",BI477=""),AM477,IF(AND(AU477="",BB477="NON",BH477="",BI477="",AZ477="NON"),M477,IF(AND(AU477="",BH477="",AZ477="OUI",AR477=""),AM477,IF(AND(AU477="",BH477="",AZ477="NON",AR477="",AT477=""),M477,IF(AND(OR(AR477=S.CAL!$BJ$3,AR477=S.CAL!$BJ$4),(VLOOKUP($AM$455,base_nbre_sem_mensu,2,FALSE)=52)),EE477,IF(AND(OR(AR477=S.CAL!$BJ$3,AR477=S.CAL!$BJ$4),(VLOOKUP($AM$455,base_nbre_sem_mensu,2,FALSE)&lt;52)),AM477,IF(AND(AT477&lt;&gt;"",AU477=""),AT477,AU477)))))))))))))</f>
        <v>0</v>
      </c>
      <c r="AQ477" s="1378">
        <f t="shared" si="910"/>
        <v>0</v>
      </c>
      <c r="AR477" s="1098"/>
      <c r="AS477" s="1374"/>
      <c r="AT477" s="1101"/>
      <c r="AU477" s="813"/>
      <c r="AV477" s="1370">
        <f t="shared" si="891"/>
        <v>46342</v>
      </c>
      <c r="AW477" s="1374"/>
      <c r="AX477" s="511">
        <f t="shared" si="911"/>
        <v>46342</v>
      </c>
      <c r="AY477" s="523">
        <f t="shared" si="912"/>
        <v>0</v>
      </c>
      <c r="AZ477" s="520" t="s">
        <v>137</v>
      </c>
      <c r="BA477" s="516">
        <f t="shared" si="913"/>
        <v>0</v>
      </c>
      <c r="BB477" s="549" t="str">
        <f t="shared" si="892"/>
        <v/>
      </c>
      <c r="BC477" s="523">
        <f t="shared" si="914"/>
        <v>0</v>
      </c>
      <c r="BD477" s="523">
        <f t="shared" si="915"/>
        <v>0</v>
      </c>
      <c r="BE477" s="1104"/>
      <c r="BF477" s="514" t="str">
        <f t="shared" si="893"/>
        <v/>
      </c>
      <c r="BG477" s="514" t="str">
        <f t="shared" si="916"/>
        <v>oui</v>
      </c>
      <c r="BH477" s="377" t="str">
        <f t="shared" si="894"/>
        <v/>
      </c>
      <c r="BI477" s="24" t="str">
        <f t="shared" si="895"/>
        <v/>
      </c>
      <c r="BJ477" s="1382"/>
      <c r="BK477" s="1382"/>
      <c r="BL477" s="1382"/>
      <c r="BM477" s="1382"/>
      <c r="BN477" s="1382"/>
      <c r="BO477" s="1382"/>
      <c r="BP477" s="1382"/>
      <c r="BQ477" s="1382"/>
      <c r="BR477" s="1383"/>
      <c r="BS477" s="1370">
        <f t="shared" si="862"/>
        <v>46342</v>
      </c>
      <c r="BT477" s="1384">
        <f t="shared" si="924"/>
        <v>47</v>
      </c>
      <c r="BU477" s="1382"/>
      <c r="BV477" s="1382"/>
      <c r="BW477" s="1382"/>
      <c r="BX477" s="1382"/>
      <c r="BY477" s="1382"/>
      <c r="BZ477" s="1382"/>
      <c r="CA477" s="1382"/>
      <c r="CB477" s="1382"/>
      <c r="CD477" s="1386">
        <f t="shared" si="917"/>
        <v>0</v>
      </c>
      <c r="DC477" s="16" t="str">
        <f>Novembre!FC35</f>
        <v>non</v>
      </c>
      <c r="DG477" s="315">
        <f t="shared" si="918"/>
        <v>1</v>
      </c>
      <c r="DH477" s="129">
        <f t="shared" si="896"/>
        <v>10</v>
      </c>
      <c r="DI477" s="129">
        <f t="shared" si="919"/>
        <v>1</v>
      </c>
      <c r="DK477" s="16">
        <f>+IF(AND(Novembre!$DP$8&lt;&gt;52,AR477=S.CAL!$BJ$4),10,1)</f>
        <v>1</v>
      </c>
      <c r="DN477" s="16">
        <f t="shared" si="897"/>
        <v>1</v>
      </c>
      <c r="DU477" s="1274" t="str">
        <f t="shared" si="920"/>
        <v>Fiche infoA146342</v>
      </c>
      <c r="DV477" s="1362">
        <f t="shared" si="898"/>
        <v>0</v>
      </c>
      <c r="DW477" s="1363">
        <f t="shared" si="899"/>
        <v>0</v>
      </c>
      <c r="DX477" s="1363">
        <f t="shared" si="900"/>
        <v>0</v>
      </c>
      <c r="DY477" s="1363">
        <f t="shared" si="901"/>
        <v>0</v>
      </c>
      <c r="DZ477" s="1363">
        <f t="shared" si="902"/>
        <v>0</v>
      </c>
      <c r="EA477" s="1363">
        <f t="shared" si="903"/>
        <v>0</v>
      </c>
      <c r="EB477" s="1363">
        <f t="shared" si="904"/>
        <v>0</v>
      </c>
      <c r="EC477" s="1363">
        <f t="shared" si="905"/>
        <v>0</v>
      </c>
      <c r="ED477" s="1363">
        <f t="shared" si="921"/>
        <v>0</v>
      </c>
      <c r="EE477" s="1364">
        <f t="shared" si="922"/>
        <v>0</v>
      </c>
      <c r="EG477" s="16" t="str">
        <f t="shared" si="923"/>
        <v>472026</v>
      </c>
      <c r="EH477" s="16" t="str">
        <f t="shared" si="906"/>
        <v>Fiche infoA1</v>
      </c>
      <c r="EI477" s="16" t="str">
        <f t="shared" si="907"/>
        <v/>
      </c>
    </row>
    <row r="478" spans="1:139" x14ac:dyDescent="0.2">
      <c r="A478" s="24" t="str">
        <f>Novembre!BJ36</f>
        <v>Fiche infoA2</v>
      </c>
      <c r="B478" s="811">
        <f>Novembre!AB36</f>
        <v>46343</v>
      </c>
      <c r="C478" s="1371"/>
      <c r="D478" s="981">
        <f t="shared" si="863"/>
        <v>0</v>
      </c>
      <c r="E478" s="434">
        <f t="shared" si="864"/>
        <v>0</v>
      </c>
      <c r="F478" s="434">
        <f t="shared" si="865"/>
        <v>0</v>
      </c>
      <c r="G478" s="434">
        <f t="shared" si="866"/>
        <v>0</v>
      </c>
      <c r="H478" s="434">
        <f t="shared" si="867"/>
        <v>0</v>
      </c>
      <c r="I478" s="434">
        <f t="shared" si="868"/>
        <v>0</v>
      </c>
      <c r="J478" s="434">
        <f t="shared" si="869"/>
        <v>0</v>
      </c>
      <c r="K478" s="434">
        <f t="shared" si="870"/>
        <v>0</v>
      </c>
      <c r="L478" s="434">
        <f t="shared" si="908"/>
        <v>0</v>
      </c>
      <c r="M478" s="982">
        <f t="shared" si="909"/>
        <v>0</v>
      </c>
      <c r="O478" s="981">
        <f t="shared" si="925"/>
        <v>0</v>
      </c>
      <c r="P478" s="434">
        <f t="shared" si="926"/>
        <v>0</v>
      </c>
      <c r="Q478" s="434">
        <f t="shared" si="927"/>
        <v>0</v>
      </c>
      <c r="R478" s="434">
        <f t="shared" si="928"/>
        <v>0</v>
      </c>
      <c r="S478" s="434">
        <f t="shared" si="929"/>
        <v>0</v>
      </c>
      <c r="T478" s="434">
        <f t="shared" si="930"/>
        <v>0</v>
      </c>
      <c r="U478" s="434">
        <f t="shared" si="931"/>
        <v>0</v>
      </c>
      <c r="V478" s="434">
        <f t="shared" si="932"/>
        <v>0</v>
      </c>
      <c r="W478" s="434">
        <f t="shared" si="879"/>
        <v>0</v>
      </c>
      <c r="X478" s="982">
        <f t="shared" si="880"/>
        <v>0</v>
      </c>
      <c r="Y478" s="441"/>
      <c r="Z478" s="277">
        <f t="shared" si="881"/>
        <v>0</v>
      </c>
      <c r="AA478" s="277">
        <f t="shared" si="882"/>
        <v>0</v>
      </c>
      <c r="AB478" s="277">
        <f t="shared" si="883"/>
        <v>0</v>
      </c>
      <c r="AC478" s="277">
        <f t="shared" si="884"/>
        <v>0</v>
      </c>
      <c r="AD478" s="277">
        <f t="shared" si="885"/>
        <v>0</v>
      </c>
      <c r="AE478" s="277">
        <f t="shared" si="886"/>
        <v>0</v>
      </c>
      <c r="AF478" s="277">
        <f t="shared" si="887"/>
        <v>0</v>
      </c>
      <c r="AG478" s="277">
        <f t="shared" si="888"/>
        <v>0</v>
      </c>
      <c r="AI478" s="444">
        <f t="shared" si="933"/>
        <v>0</v>
      </c>
      <c r="AJ478" s="1090"/>
      <c r="AK478" s="489"/>
      <c r="AL478" s="811">
        <f t="shared" si="890"/>
        <v>46343</v>
      </c>
      <c r="AM478" s="666">
        <f>IFERROR(IF(AND(AT478="",AR478&lt;&gt;S.CAL!$BJ$3,AR478&lt;&gt;S.CAL!$BJ$4,$AR$455="NON"),M478-BD478,IF(AND(AT478="",AR478&lt;&gt;S.CAL!$BJ$3,AR478&lt;&gt;S.CAL!$BJ$4,$AR$455="OUI"),X478-AI478,IF(AT478&lt;&gt;0,AT478,IF(OR(AR478=S.CAL!$BJ$3,AR478=S.CAL!$BJ$4),AR478,"")))),"")</f>
        <v>0</v>
      </c>
      <c r="AN478" s="1093"/>
      <c r="AO478" s="1094"/>
      <c r="AP478" s="666">
        <f>+IF(AND(AU478="",BB478="OUI",BH478="non",BI478="OUI"),AM478,IF(AND(AU478="",BB478="OUI",BH478="oui",BI478="NON"),AM478,IF(AND(AU478="",BB478="NON",BH478="oui",BI478="NON"),M478,IF(AND(AU478="",BB478="NON",BH478="non",BI478="OUI"),M478,IF(AND(AU478="",BB478="OUI",BH478="non",BI478="NON"),"ERREUR",IF(AND(AU478="",BB478="NON",BH478="non",BI478="NON"),AM478,IF(AND(AU478="",BB478="OUI",BH478="",BI478=""),AM478,IF(AND(AU478="",BB478="NON",BH478="",BI478="",AZ478="NON"),M478,IF(AND(AU478="",BH478="",AZ478="OUI",AR478=""),AM478,IF(AND(AU478="",BH478="",AZ478="NON",AR478="",AT478=""),M478,IF(AND(OR(AR478=S.CAL!$BJ$3,AR478=S.CAL!$BJ$4),(VLOOKUP($AM$455,base_nbre_sem_mensu,2,FALSE)=52)),EE478,IF(AND(OR(AR478=S.CAL!$BJ$3,AR478=S.CAL!$BJ$4),(VLOOKUP($AM$455,base_nbre_sem_mensu,2,FALSE)&lt;52)),AM478,IF(AND(AT478&lt;&gt;"",AU478=""),AT478,AU478)))))))))))))</f>
        <v>0</v>
      </c>
      <c r="AQ478" s="498">
        <f t="shared" si="910"/>
        <v>0</v>
      </c>
      <c r="AR478" s="1098"/>
      <c r="AT478" s="1101"/>
      <c r="AU478" s="813"/>
      <c r="AV478" s="1370">
        <f t="shared" si="891"/>
        <v>46343</v>
      </c>
      <c r="AX478" s="511">
        <f t="shared" si="911"/>
        <v>46343</v>
      </c>
      <c r="AY478" s="523">
        <f t="shared" si="912"/>
        <v>0</v>
      </c>
      <c r="AZ478" s="520" t="s">
        <v>137</v>
      </c>
      <c r="BA478" s="516">
        <f t="shared" si="913"/>
        <v>0</v>
      </c>
      <c r="BB478" s="549" t="str">
        <f t="shared" si="892"/>
        <v/>
      </c>
      <c r="BC478" s="523">
        <f t="shared" si="914"/>
        <v>0</v>
      </c>
      <c r="BD478" s="523">
        <f t="shared" si="915"/>
        <v>0</v>
      </c>
      <c r="BE478" s="1104"/>
      <c r="BF478" s="514" t="str">
        <f t="shared" si="893"/>
        <v/>
      </c>
      <c r="BG478" s="514" t="str">
        <f t="shared" si="916"/>
        <v>oui</v>
      </c>
      <c r="BH478" s="377" t="str">
        <f t="shared" si="894"/>
        <v/>
      </c>
      <c r="BI478" s="24" t="str">
        <f t="shared" si="895"/>
        <v/>
      </c>
      <c r="BJ478" s="1381"/>
      <c r="BK478" s="1381"/>
      <c r="BL478" s="1381"/>
      <c r="BM478" s="1381"/>
      <c r="BN478" s="1381"/>
      <c r="BO478" s="1381"/>
      <c r="BP478" s="1381"/>
      <c r="BQ478" s="1381"/>
      <c r="BS478" s="1370">
        <f t="shared" si="862"/>
        <v>46343</v>
      </c>
      <c r="BT478" s="27" t="str">
        <f t="shared" si="924"/>
        <v/>
      </c>
      <c r="BU478" s="1380"/>
      <c r="BV478" s="1380"/>
      <c r="BW478" s="1380"/>
      <c r="BX478" s="1380"/>
      <c r="BY478" s="1380"/>
      <c r="BZ478" s="1380"/>
      <c r="CA478" s="1380"/>
      <c r="CB478" s="1380"/>
      <c r="CD478" s="1386">
        <f t="shared" si="917"/>
        <v>0</v>
      </c>
      <c r="DC478" s="16" t="str">
        <f>Novembre!FC36</f>
        <v>non</v>
      </c>
      <c r="DG478" s="315">
        <f t="shared" si="918"/>
        <v>1</v>
      </c>
      <c r="DH478" s="129">
        <f t="shared" si="896"/>
        <v>10</v>
      </c>
      <c r="DI478" s="129">
        <f t="shared" si="919"/>
        <v>1</v>
      </c>
      <c r="DK478" s="16">
        <f>+IF(AND(Novembre!$DP$8&lt;&gt;52,AR478=S.CAL!$BJ$4),10,1)</f>
        <v>1</v>
      </c>
      <c r="DN478" s="16">
        <f t="shared" si="897"/>
        <v>1</v>
      </c>
      <c r="DU478" s="1274" t="str">
        <f t="shared" si="920"/>
        <v>Fiche infoA246343</v>
      </c>
      <c r="DV478" s="1362">
        <f t="shared" si="898"/>
        <v>0</v>
      </c>
      <c r="DW478" s="1363">
        <f t="shared" si="899"/>
        <v>0</v>
      </c>
      <c r="DX478" s="1363">
        <f t="shared" si="900"/>
        <v>0</v>
      </c>
      <c r="DY478" s="1363">
        <f t="shared" si="901"/>
        <v>0</v>
      </c>
      <c r="DZ478" s="1363">
        <f t="shared" si="902"/>
        <v>0</v>
      </c>
      <c r="EA478" s="1363">
        <f t="shared" si="903"/>
        <v>0</v>
      </c>
      <c r="EB478" s="1363">
        <f t="shared" si="904"/>
        <v>0</v>
      </c>
      <c r="EC478" s="1363">
        <f t="shared" si="905"/>
        <v>0</v>
      </c>
      <c r="ED478" s="1363">
        <f t="shared" si="921"/>
        <v>0</v>
      </c>
      <c r="EE478" s="1364">
        <f t="shared" si="922"/>
        <v>0</v>
      </c>
      <c r="EG478" s="16" t="str">
        <f t="shared" si="923"/>
        <v>472026</v>
      </c>
      <c r="EH478" s="16" t="str">
        <f t="shared" si="906"/>
        <v>Fiche infoA2</v>
      </c>
      <c r="EI478" s="16" t="str">
        <f t="shared" si="907"/>
        <v/>
      </c>
    </row>
    <row r="479" spans="1:139" x14ac:dyDescent="0.2">
      <c r="A479" s="1373" t="str">
        <f>Novembre!BJ37</f>
        <v>Fiche infoA3</v>
      </c>
      <c r="B479" s="811">
        <f>Novembre!AB37</f>
        <v>46344</v>
      </c>
      <c r="C479" s="1372"/>
      <c r="D479" s="981">
        <f t="shared" si="863"/>
        <v>0</v>
      </c>
      <c r="E479" s="434">
        <f t="shared" si="864"/>
        <v>0</v>
      </c>
      <c r="F479" s="434">
        <f t="shared" si="865"/>
        <v>0</v>
      </c>
      <c r="G479" s="434">
        <f t="shared" si="866"/>
        <v>0</v>
      </c>
      <c r="H479" s="434">
        <f t="shared" si="867"/>
        <v>0</v>
      </c>
      <c r="I479" s="434">
        <f t="shared" si="868"/>
        <v>0</v>
      </c>
      <c r="J479" s="434">
        <f t="shared" si="869"/>
        <v>0</v>
      </c>
      <c r="K479" s="434">
        <f t="shared" si="870"/>
        <v>0</v>
      </c>
      <c r="L479" s="434">
        <f t="shared" si="908"/>
        <v>0</v>
      </c>
      <c r="M479" s="982">
        <f t="shared" si="909"/>
        <v>0</v>
      </c>
      <c r="N479" s="1374"/>
      <c r="O479" s="981">
        <f t="shared" si="925"/>
        <v>0</v>
      </c>
      <c r="P479" s="434">
        <f t="shared" si="926"/>
        <v>0</v>
      </c>
      <c r="Q479" s="434">
        <f t="shared" si="927"/>
        <v>0</v>
      </c>
      <c r="R479" s="434">
        <f t="shared" si="928"/>
        <v>0</v>
      </c>
      <c r="S479" s="434">
        <f t="shared" si="929"/>
        <v>0</v>
      </c>
      <c r="T479" s="434">
        <f t="shared" si="930"/>
        <v>0</v>
      </c>
      <c r="U479" s="434">
        <f t="shared" si="931"/>
        <v>0</v>
      </c>
      <c r="V479" s="434">
        <f t="shared" si="932"/>
        <v>0</v>
      </c>
      <c r="W479" s="434">
        <f t="shared" si="879"/>
        <v>0</v>
      </c>
      <c r="X479" s="982">
        <f t="shared" si="880"/>
        <v>0</v>
      </c>
      <c r="Y479" s="1375"/>
      <c r="Z479" s="1376">
        <f t="shared" si="881"/>
        <v>0</v>
      </c>
      <c r="AA479" s="1376">
        <f t="shared" si="882"/>
        <v>0</v>
      </c>
      <c r="AB479" s="1376">
        <f t="shared" si="883"/>
        <v>0</v>
      </c>
      <c r="AC479" s="1376">
        <f t="shared" si="884"/>
        <v>0</v>
      </c>
      <c r="AD479" s="1376">
        <f t="shared" si="885"/>
        <v>0</v>
      </c>
      <c r="AE479" s="1376">
        <f t="shared" si="886"/>
        <v>0</v>
      </c>
      <c r="AF479" s="1376">
        <f t="shared" si="887"/>
        <v>0</v>
      </c>
      <c r="AG479" s="1376">
        <f t="shared" si="888"/>
        <v>0</v>
      </c>
      <c r="AH479" s="1374"/>
      <c r="AI479" s="444">
        <f t="shared" si="933"/>
        <v>0</v>
      </c>
      <c r="AJ479" s="1090"/>
      <c r="AK479" s="1377"/>
      <c r="AL479" s="811">
        <f t="shared" si="890"/>
        <v>46344</v>
      </c>
      <c r="AM479" s="666">
        <f>IFERROR(IF(AND(AT479="",AR479&lt;&gt;S.CAL!$BJ$3,AR479&lt;&gt;S.CAL!$BJ$4,$AR$455="NON"),M479-BD479,IF(AND(AT479="",AR479&lt;&gt;S.CAL!$BJ$3,AR479&lt;&gt;S.CAL!$BJ$4,$AR$455="OUI"),X479-AI479,IF(AT479&lt;&gt;0,AT479,IF(OR(AR479=S.CAL!$BJ$3,AR479=S.CAL!$BJ$4),AR479,"")))),"")</f>
        <v>0</v>
      </c>
      <c r="AN479" s="1093"/>
      <c r="AO479" s="1094"/>
      <c r="AP479" s="666">
        <f>+IF(AND(AU479="",BB479="OUI",BH479="non",BI479="OUI"),AM479,IF(AND(AU479="",BB479="OUI",BH479="oui",BI479="NON"),AM479,IF(AND(AU479="",BB479="NON",BH479="oui",BI479="NON"),M479,IF(AND(AU479="",BB479="NON",BH479="non",BI479="OUI"),M479,IF(AND(AU479="",BB479="OUI",BH479="non",BI479="NON"),"ERREUR",IF(AND(AU479="",BB479="NON",BH479="non",BI479="NON"),AM479,IF(AND(AU479="",BB479="OUI",BH479="",BI479=""),AM479,IF(AND(AU479="",BB479="NON",BH479="",BI479="",AZ479="NON"),M479,IF(AND(AU479="",BH479="",AZ479="OUI",AR479=""),AM479,IF(AND(AU479="",BH479="",AZ479="NON",AR479="",AT479=""),M479,IF(AND(OR(AR479=S.CAL!$BJ$3,AR479=S.CAL!$BJ$4),(VLOOKUP($AM$455,base_nbre_sem_mensu,2,FALSE)=52)),EE479,IF(AND(OR(AR479=S.CAL!$BJ$3,AR479=S.CAL!$BJ$4),(VLOOKUP($AM$455,base_nbre_sem_mensu,2,FALSE)&lt;52)),AM479,IF(AND(AT479&lt;&gt;"",AU479=""),AT479,AU479)))))))))))))</f>
        <v>0</v>
      </c>
      <c r="AQ479" s="1378">
        <f t="shared" si="910"/>
        <v>0</v>
      </c>
      <c r="AR479" s="1098"/>
      <c r="AS479" s="1374"/>
      <c r="AT479" s="1101"/>
      <c r="AU479" s="813"/>
      <c r="AV479" s="1370">
        <f t="shared" si="891"/>
        <v>46344</v>
      </c>
      <c r="AW479" s="1374"/>
      <c r="AX479" s="511">
        <f t="shared" si="911"/>
        <v>46344</v>
      </c>
      <c r="AY479" s="523">
        <f t="shared" si="912"/>
        <v>0</v>
      </c>
      <c r="AZ479" s="520" t="s">
        <v>137</v>
      </c>
      <c r="BA479" s="516">
        <f t="shared" si="913"/>
        <v>0</v>
      </c>
      <c r="BB479" s="549" t="str">
        <f t="shared" si="892"/>
        <v/>
      </c>
      <c r="BC479" s="523">
        <f t="shared" si="914"/>
        <v>0</v>
      </c>
      <c r="BD479" s="523">
        <f t="shared" si="915"/>
        <v>0</v>
      </c>
      <c r="BE479" s="1104"/>
      <c r="BF479" s="514" t="str">
        <f t="shared" si="893"/>
        <v/>
      </c>
      <c r="BG479" s="514" t="str">
        <f t="shared" si="916"/>
        <v>oui</v>
      </c>
      <c r="BH479" s="377" t="str">
        <f t="shared" si="894"/>
        <v/>
      </c>
      <c r="BI479" s="24" t="str">
        <f t="shared" si="895"/>
        <v/>
      </c>
      <c r="BJ479" s="1382"/>
      <c r="BK479" s="1382"/>
      <c r="BL479" s="1382"/>
      <c r="BM479" s="1382"/>
      <c r="BN479" s="1382"/>
      <c r="BO479" s="1382"/>
      <c r="BP479" s="1382"/>
      <c r="BQ479" s="1382"/>
      <c r="BR479" s="1383"/>
      <c r="BS479" s="1370">
        <f t="shared" si="862"/>
        <v>46344</v>
      </c>
      <c r="BT479" s="1384" t="str">
        <f t="shared" si="924"/>
        <v/>
      </c>
      <c r="BU479" s="1382"/>
      <c r="BV479" s="1382"/>
      <c r="BW479" s="1382"/>
      <c r="BX479" s="1382"/>
      <c r="BY479" s="1382"/>
      <c r="BZ479" s="1382"/>
      <c r="CA479" s="1382"/>
      <c r="CB479" s="1382"/>
      <c r="CD479" s="1386">
        <f t="shared" si="917"/>
        <v>0</v>
      </c>
      <c r="DC479" s="16" t="str">
        <f>Novembre!FC37</f>
        <v>non</v>
      </c>
      <c r="DG479" s="315">
        <f t="shared" si="918"/>
        <v>1</v>
      </c>
      <c r="DH479" s="129">
        <f t="shared" si="896"/>
        <v>10</v>
      </c>
      <c r="DI479" s="129">
        <f t="shared" si="919"/>
        <v>1</v>
      </c>
      <c r="DK479" s="16">
        <f>+IF(AND(Novembre!$DP$8&lt;&gt;52,AR479=S.CAL!$BJ$4),10,1)</f>
        <v>1</v>
      </c>
      <c r="DN479" s="16">
        <f t="shared" si="897"/>
        <v>1</v>
      </c>
      <c r="DU479" s="1274" t="str">
        <f t="shared" si="920"/>
        <v>Fiche infoA346344</v>
      </c>
      <c r="DV479" s="1362">
        <f t="shared" si="898"/>
        <v>0</v>
      </c>
      <c r="DW479" s="1363">
        <f t="shared" si="899"/>
        <v>0</v>
      </c>
      <c r="DX479" s="1363">
        <f t="shared" si="900"/>
        <v>0</v>
      </c>
      <c r="DY479" s="1363">
        <f t="shared" si="901"/>
        <v>0</v>
      </c>
      <c r="DZ479" s="1363">
        <f t="shared" si="902"/>
        <v>0</v>
      </c>
      <c r="EA479" s="1363">
        <f t="shared" si="903"/>
        <v>0</v>
      </c>
      <c r="EB479" s="1363">
        <f t="shared" si="904"/>
        <v>0</v>
      </c>
      <c r="EC479" s="1363">
        <f t="shared" si="905"/>
        <v>0</v>
      </c>
      <c r="ED479" s="1363">
        <f t="shared" si="921"/>
        <v>0</v>
      </c>
      <c r="EE479" s="1364">
        <f t="shared" si="922"/>
        <v>0</v>
      </c>
      <c r="EG479" s="16" t="str">
        <f t="shared" si="923"/>
        <v>472026</v>
      </c>
      <c r="EH479" s="16" t="str">
        <f t="shared" si="906"/>
        <v>Fiche infoA3</v>
      </c>
      <c r="EI479" s="16" t="str">
        <f t="shared" si="907"/>
        <v/>
      </c>
    </row>
    <row r="480" spans="1:139" x14ac:dyDescent="0.2">
      <c r="A480" s="24" t="str">
        <f>Novembre!BJ38</f>
        <v>Fiche infoA4</v>
      </c>
      <c r="B480" s="811">
        <f>Novembre!AB38</f>
        <v>46345</v>
      </c>
      <c r="C480" s="1371"/>
      <c r="D480" s="981">
        <f t="shared" si="863"/>
        <v>0</v>
      </c>
      <c r="E480" s="434">
        <f t="shared" si="864"/>
        <v>0</v>
      </c>
      <c r="F480" s="434">
        <f t="shared" si="865"/>
        <v>0</v>
      </c>
      <c r="G480" s="434">
        <f t="shared" si="866"/>
        <v>0</v>
      </c>
      <c r="H480" s="434">
        <f t="shared" si="867"/>
        <v>0</v>
      </c>
      <c r="I480" s="434">
        <f t="shared" si="868"/>
        <v>0</v>
      </c>
      <c r="J480" s="434">
        <f t="shared" si="869"/>
        <v>0</v>
      </c>
      <c r="K480" s="434">
        <f t="shared" si="870"/>
        <v>0</v>
      </c>
      <c r="L480" s="434">
        <f t="shared" si="908"/>
        <v>0</v>
      </c>
      <c r="M480" s="982">
        <f t="shared" si="909"/>
        <v>0</v>
      </c>
      <c r="O480" s="981">
        <f t="shared" si="925"/>
        <v>0</v>
      </c>
      <c r="P480" s="434">
        <f t="shared" si="926"/>
        <v>0</v>
      </c>
      <c r="Q480" s="434">
        <f t="shared" si="927"/>
        <v>0</v>
      </c>
      <c r="R480" s="434">
        <f t="shared" si="928"/>
        <v>0</v>
      </c>
      <c r="S480" s="434">
        <f t="shared" si="929"/>
        <v>0</v>
      </c>
      <c r="T480" s="434">
        <f t="shared" si="930"/>
        <v>0</v>
      </c>
      <c r="U480" s="434">
        <f t="shared" si="931"/>
        <v>0</v>
      </c>
      <c r="V480" s="434">
        <f t="shared" si="932"/>
        <v>0</v>
      </c>
      <c r="W480" s="434">
        <f t="shared" si="879"/>
        <v>0</v>
      </c>
      <c r="X480" s="982">
        <f t="shared" si="880"/>
        <v>0</v>
      </c>
      <c r="Y480" s="441"/>
      <c r="Z480" s="277">
        <f t="shared" si="881"/>
        <v>0</v>
      </c>
      <c r="AA480" s="277">
        <f t="shared" si="882"/>
        <v>0</v>
      </c>
      <c r="AB480" s="277">
        <f t="shared" si="883"/>
        <v>0</v>
      </c>
      <c r="AC480" s="277">
        <f t="shared" si="884"/>
        <v>0</v>
      </c>
      <c r="AD480" s="277">
        <f t="shared" si="885"/>
        <v>0</v>
      </c>
      <c r="AE480" s="277">
        <f t="shared" si="886"/>
        <v>0</v>
      </c>
      <c r="AF480" s="277">
        <f t="shared" si="887"/>
        <v>0</v>
      </c>
      <c r="AG480" s="277">
        <f t="shared" si="888"/>
        <v>0</v>
      </c>
      <c r="AI480" s="444">
        <f t="shared" si="933"/>
        <v>0</v>
      </c>
      <c r="AJ480" s="1090"/>
      <c r="AK480" s="489"/>
      <c r="AL480" s="811">
        <f t="shared" si="890"/>
        <v>46345</v>
      </c>
      <c r="AM480" s="666">
        <f>IFERROR(IF(AND(AT480="",AR480&lt;&gt;S.CAL!$BJ$3,AR480&lt;&gt;S.CAL!$BJ$4,$AR$455="NON"),M480-BD480,IF(AND(AT480="",AR480&lt;&gt;S.CAL!$BJ$3,AR480&lt;&gt;S.CAL!$BJ$4,$AR$455="OUI"),X480-AI480,IF(AT480&lt;&gt;0,AT480,IF(OR(AR480=S.CAL!$BJ$3,AR480=S.CAL!$BJ$4),AR480,"")))),"")</f>
        <v>0</v>
      </c>
      <c r="AN480" s="1093"/>
      <c r="AO480" s="1094"/>
      <c r="AP480" s="666">
        <f>+IF(AND(AU480="",BB480="OUI",BH480="non",BI480="OUI"),AM480,IF(AND(AU480="",BB480="OUI",BH480="oui",BI480="NON"),AM480,IF(AND(AU480="",BB480="NON",BH480="oui",BI480="NON"),M480,IF(AND(AU480="",BB480="NON",BH480="non",BI480="OUI"),M480,IF(AND(AU480="",BB480="OUI",BH480="non",BI480="NON"),"ERREUR",IF(AND(AU480="",BB480="NON",BH480="non",BI480="NON"),AM480,IF(AND(AU480="",BB480="OUI",BH480="",BI480=""),AM480,IF(AND(AU480="",BB480="NON",BH480="",BI480="",AZ480="NON"),M480,IF(AND(AU480="",BH480="",AZ480="OUI",AR480=""),AM480,IF(AND(AU480="",BH480="",AZ480="NON",AR480="",AT480=""),M480,IF(AND(OR(AR480=S.CAL!$BJ$3,AR480=S.CAL!$BJ$4),(VLOOKUP($AM$455,base_nbre_sem_mensu,2,FALSE)=52)),EE480,IF(AND(OR(AR480=S.CAL!$BJ$3,AR480=S.CAL!$BJ$4),(VLOOKUP($AM$455,base_nbre_sem_mensu,2,FALSE)&lt;52)),AM480,IF(AND(AT480&lt;&gt;"",AU480=""),AT480,AU480)))))))))))))</f>
        <v>0</v>
      </c>
      <c r="AQ480" s="498">
        <f t="shared" si="910"/>
        <v>0</v>
      </c>
      <c r="AR480" s="1098"/>
      <c r="AT480" s="1101"/>
      <c r="AU480" s="813"/>
      <c r="AV480" s="1370">
        <f t="shared" si="891"/>
        <v>46345</v>
      </c>
      <c r="AX480" s="511">
        <f t="shared" si="911"/>
        <v>46345</v>
      </c>
      <c r="AY480" s="523">
        <f t="shared" si="912"/>
        <v>0</v>
      </c>
      <c r="AZ480" s="520" t="s">
        <v>137</v>
      </c>
      <c r="BA480" s="516">
        <f t="shared" si="913"/>
        <v>0</v>
      </c>
      <c r="BB480" s="549" t="str">
        <f t="shared" si="892"/>
        <v/>
      </c>
      <c r="BC480" s="523">
        <f t="shared" si="914"/>
        <v>0</v>
      </c>
      <c r="BD480" s="523">
        <f t="shared" si="915"/>
        <v>0</v>
      </c>
      <c r="BE480" s="1104"/>
      <c r="BF480" s="514" t="str">
        <f t="shared" si="893"/>
        <v/>
      </c>
      <c r="BG480" s="514" t="str">
        <f t="shared" si="916"/>
        <v>oui</v>
      </c>
      <c r="BH480" s="377" t="str">
        <f t="shared" si="894"/>
        <v/>
      </c>
      <c r="BI480" s="24" t="str">
        <f t="shared" si="895"/>
        <v/>
      </c>
      <c r="BJ480" s="1381"/>
      <c r="BK480" s="1381"/>
      <c r="BL480" s="1381"/>
      <c r="BM480" s="1381"/>
      <c r="BN480" s="1381"/>
      <c r="BO480" s="1381"/>
      <c r="BP480" s="1381"/>
      <c r="BQ480" s="1381"/>
      <c r="BS480" s="1370">
        <f t="shared" si="862"/>
        <v>46345</v>
      </c>
      <c r="BT480" s="27" t="str">
        <f t="shared" si="924"/>
        <v/>
      </c>
      <c r="BU480" s="1380"/>
      <c r="BV480" s="1380"/>
      <c r="BW480" s="1380"/>
      <c r="BX480" s="1380"/>
      <c r="BY480" s="1380"/>
      <c r="BZ480" s="1380"/>
      <c r="CA480" s="1380"/>
      <c r="CB480" s="1380"/>
      <c r="CD480" s="1386">
        <f t="shared" si="917"/>
        <v>0</v>
      </c>
      <c r="DC480" s="16" t="str">
        <f>Novembre!FC38</f>
        <v>non</v>
      </c>
      <c r="DG480" s="315">
        <f t="shared" si="918"/>
        <v>1</v>
      </c>
      <c r="DH480" s="129">
        <f t="shared" si="896"/>
        <v>10</v>
      </c>
      <c r="DI480" s="129">
        <f t="shared" si="919"/>
        <v>1</v>
      </c>
      <c r="DK480" s="16">
        <f>+IF(AND(Novembre!$DP$8&lt;&gt;52,AR480=S.CAL!$BJ$4),10,1)</f>
        <v>1</v>
      </c>
      <c r="DN480" s="16">
        <f t="shared" si="897"/>
        <v>1</v>
      </c>
      <c r="DU480" s="1274" t="str">
        <f t="shared" si="920"/>
        <v>Fiche infoA446345</v>
      </c>
      <c r="DV480" s="1362">
        <f t="shared" si="898"/>
        <v>0</v>
      </c>
      <c r="DW480" s="1363">
        <f t="shared" si="899"/>
        <v>0</v>
      </c>
      <c r="DX480" s="1363">
        <f t="shared" si="900"/>
        <v>0</v>
      </c>
      <c r="DY480" s="1363">
        <f t="shared" si="901"/>
        <v>0</v>
      </c>
      <c r="DZ480" s="1363">
        <f t="shared" si="902"/>
        <v>0</v>
      </c>
      <c r="EA480" s="1363">
        <f t="shared" si="903"/>
        <v>0</v>
      </c>
      <c r="EB480" s="1363">
        <f t="shared" si="904"/>
        <v>0</v>
      </c>
      <c r="EC480" s="1363">
        <f t="shared" si="905"/>
        <v>0</v>
      </c>
      <c r="ED480" s="1363">
        <f t="shared" si="921"/>
        <v>0</v>
      </c>
      <c r="EE480" s="1364">
        <f t="shared" si="922"/>
        <v>0</v>
      </c>
      <c r="EG480" s="16" t="str">
        <f t="shared" si="923"/>
        <v>472026</v>
      </c>
      <c r="EH480" s="16" t="str">
        <f t="shared" si="906"/>
        <v>Fiche infoA4</v>
      </c>
      <c r="EI480" s="16" t="str">
        <f t="shared" si="907"/>
        <v/>
      </c>
    </row>
    <row r="481" spans="1:144" x14ac:dyDescent="0.2">
      <c r="A481" s="1373" t="str">
        <f>Novembre!BJ39</f>
        <v>Fiche infoA5</v>
      </c>
      <c r="B481" s="811">
        <f>Novembre!AB39</f>
        <v>46346</v>
      </c>
      <c r="C481" s="1372"/>
      <c r="D481" s="981">
        <f t="shared" si="863"/>
        <v>0</v>
      </c>
      <c r="E481" s="434">
        <f t="shared" si="864"/>
        <v>0</v>
      </c>
      <c r="F481" s="434">
        <f t="shared" si="865"/>
        <v>0</v>
      </c>
      <c r="G481" s="434">
        <f t="shared" si="866"/>
        <v>0</v>
      </c>
      <c r="H481" s="434">
        <f t="shared" si="867"/>
        <v>0</v>
      </c>
      <c r="I481" s="434">
        <f t="shared" si="868"/>
        <v>0</v>
      </c>
      <c r="J481" s="434">
        <f t="shared" si="869"/>
        <v>0</v>
      </c>
      <c r="K481" s="434">
        <f t="shared" si="870"/>
        <v>0</v>
      </c>
      <c r="L481" s="434">
        <f t="shared" si="908"/>
        <v>0</v>
      </c>
      <c r="M481" s="982">
        <f t="shared" si="909"/>
        <v>0</v>
      </c>
      <c r="N481" s="1374"/>
      <c r="O481" s="981">
        <f t="shared" si="925"/>
        <v>0</v>
      </c>
      <c r="P481" s="434">
        <f t="shared" si="926"/>
        <v>0</v>
      </c>
      <c r="Q481" s="434">
        <f t="shared" si="927"/>
        <v>0</v>
      </c>
      <c r="R481" s="434">
        <f t="shared" si="928"/>
        <v>0</v>
      </c>
      <c r="S481" s="434">
        <f t="shared" si="929"/>
        <v>0</v>
      </c>
      <c r="T481" s="434">
        <f t="shared" si="930"/>
        <v>0</v>
      </c>
      <c r="U481" s="434">
        <f t="shared" si="931"/>
        <v>0</v>
      </c>
      <c r="V481" s="434">
        <f t="shared" si="932"/>
        <v>0</v>
      </c>
      <c r="W481" s="434">
        <f t="shared" si="879"/>
        <v>0</v>
      </c>
      <c r="X481" s="982">
        <f t="shared" si="880"/>
        <v>0</v>
      </c>
      <c r="Y481" s="1375"/>
      <c r="Z481" s="1376">
        <f t="shared" si="881"/>
        <v>0</v>
      </c>
      <c r="AA481" s="1376">
        <f t="shared" si="882"/>
        <v>0</v>
      </c>
      <c r="AB481" s="1376">
        <f t="shared" si="883"/>
        <v>0</v>
      </c>
      <c r="AC481" s="1376">
        <f t="shared" si="884"/>
        <v>0</v>
      </c>
      <c r="AD481" s="1376">
        <f t="shared" si="885"/>
        <v>0</v>
      </c>
      <c r="AE481" s="1376">
        <f t="shared" si="886"/>
        <v>0</v>
      </c>
      <c r="AF481" s="1376">
        <f t="shared" si="887"/>
        <v>0</v>
      </c>
      <c r="AG481" s="1376">
        <f t="shared" si="888"/>
        <v>0</v>
      </c>
      <c r="AH481" s="1374"/>
      <c r="AI481" s="444">
        <f t="shared" si="933"/>
        <v>0</v>
      </c>
      <c r="AJ481" s="1090"/>
      <c r="AK481" s="1377"/>
      <c r="AL481" s="811">
        <f t="shared" si="890"/>
        <v>46346</v>
      </c>
      <c r="AM481" s="666">
        <f>IFERROR(IF(AND(AT481="",AR481&lt;&gt;S.CAL!$BJ$3,AR481&lt;&gt;S.CAL!$BJ$4,$AR$455="NON"),M481-BD481,IF(AND(AT481="",AR481&lt;&gt;S.CAL!$BJ$3,AR481&lt;&gt;S.CAL!$BJ$4,$AR$455="OUI"),X481-AI481,IF(AT481&lt;&gt;0,AT481,IF(OR(AR481=S.CAL!$BJ$3,AR481=S.CAL!$BJ$4),AR481,"")))),"")</f>
        <v>0</v>
      </c>
      <c r="AN481" s="1093"/>
      <c r="AO481" s="1094"/>
      <c r="AP481" s="666">
        <f>+IF(AND(AU481="",BB481="OUI",BH481="non",BI481="OUI"),AM481,IF(AND(AU481="",BB481="OUI",BH481="oui",BI481="NON"),AM481,IF(AND(AU481="",BB481="NON",BH481="oui",BI481="NON"),M481,IF(AND(AU481="",BB481="NON",BH481="non",BI481="OUI"),M481,IF(AND(AU481="",BB481="OUI",BH481="non",BI481="NON"),"ERREUR",IF(AND(AU481="",BB481="NON",BH481="non",BI481="NON"),AM481,IF(AND(AU481="",BB481="OUI",BH481="",BI481=""),AM481,IF(AND(AU481="",BB481="NON",BH481="",BI481="",AZ481="NON"),M481,IF(AND(AU481="",BH481="",AZ481="OUI",AR481=""),AM481,IF(AND(AU481="",BH481="",AZ481="NON",AR481="",AT481=""),M481,IF(AND(OR(AR481=S.CAL!$BJ$3,AR481=S.CAL!$BJ$4),(VLOOKUP($AM$455,base_nbre_sem_mensu,2,FALSE)=52)),EE481,IF(AND(OR(AR481=S.CAL!$BJ$3,AR481=S.CAL!$BJ$4),(VLOOKUP($AM$455,base_nbre_sem_mensu,2,FALSE)&lt;52)),AM481,IF(AND(AT481&lt;&gt;"",AU481=""),AT481,AU481)))))))))))))</f>
        <v>0</v>
      </c>
      <c r="AQ481" s="1378">
        <f t="shared" si="910"/>
        <v>0</v>
      </c>
      <c r="AR481" s="1098"/>
      <c r="AS481" s="1374"/>
      <c r="AT481" s="1101"/>
      <c r="AU481" s="813"/>
      <c r="AV481" s="1370">
        <f t="shared" si="891"/>
        <v>46346</v>
      </c>
      <c r="AW481" s="1374"/>
      <c r="AX481" s="511">
        <f t="shared" si="911"/>
        <v>46346</v>
      </c>
      <c r="AY481" s="523">
        <f t="shared" si="912"/>
        <v>0</v>
      </c>
      <c r="AZ481" s="520" t="s">
        <v>137</v>
      </c>
      <c r="BA481" s="516">
        <f t="shared" si="913"/>
        <v>0</v>
      </c>
      <c r="BB481" s="549" t="str">
        <f t="shared" si="892"/>
        <v/>
      </c>
      <c r="BC481" s="523">
        <f t="shared" si="914"/>
        <v>0</v>
      </c>
      <c r="BD481" s="523">
        <f t="shared" si="915"/>
        <v>0</v>
      </c>
      <c r="BE481" s="1104"/>
      <c r="BF481" s="514" t="str">
        <f t="shared" si="893"/>
        <v/>
      </c>
      <c r="BG481" s="514" t="str">
        <f t="shared" si="916"/>
        <v>oui</v>
      </c>
      <c r="BH481" s="377" t="str">
        <f t="shared" si="894"/>
        <v/>
      </c>
      <c r="BI481" s="24" t="str">
        <f t="shared" si="895"/>
        <v/>
      </c>
      <c r="BJ481" s="1382"/>
      <c r="BK481" s="1382"/>
      <c r="BL481" s="1382"/>
      <c r="BM481" s="1382"/>
      <c r="BN481" s="1382"/>
      <c r="BO481" s="1382"/>
      <c r="BP481" s="1382"/>
      <c r="BQ481" s="1382"/>
      <c r="BR481" s="1383"/>
      <c r="BS481" s="1370">
        <f t="shared" si="862"/>
        <v>46346</v>
      </c>
      <c r="BT481" s="1384" t="str">
        <f t="shared" si="924"/>
        <v/>
      </c>
      <c r="BU481" s="1382"/>
      <c r="BV481" s="1382"/>
      <c r="BW481" s="1382"/>
      <c r="BX481" s="1382"/>
      <c r="BY481" s="1382"/>
      <c r="BZ481" s="1382"/>
      <c r="CA481" s="1382"/>
      <c r="CB481" s="1382"/>
      <c r="CD481" s="1386">
        <f t="shared" si="917"/>
        <v>0</v>
      </c>
      <c r="DC481" s="16" t="str">
        <f>Novembre!FC39</f>
        <v>non</v>
      </c>
      <c r="DG481" s="315">
        <f t="shared" si="918"/>
        <v>1</v>
      </c>
      <c r="DH481" s="129">
        <f t="shared" si="896"/>
        <v>10</v>
      </c>
      <c r="DI481" s="129">
        <f t="shared" si="919"/>
        <v>1</v>
      </c>
      <c r="DK481" s="16">
        <f>+IF(AND(Novembre!$DP$8&lt;&gt;52,AR481=S.CAL!$BJ$4),10,1)</f>
        <v>1</v>
      </c>
      <c r="DN481" s="16">
        <f t="shared" si="897"/>
        <v>1</v>
      </c>
      <c r="DU481" s="1274" t="str">
        <f t="shared" si="920"/>
        <v>Fiche infoA546346</v>
      </c>
      <c r="DV481" s="1362">
        <f t="shared" si="898"/>
        <v>0</v>
      </c>
      <c r="DW481" s="1363">
        <f t="shared" si="899"/>
        <v>0</v>
      </c>
      <c r="DX481" s="1363">
        <f t="shared" si="900"/>
        <v>0</v>
      </c>
      <c r="DY481" s="1363">
        <f t="shared" si="901"/>
        <v>0</v>
      </c>
      <c r="DZ481" s="1363">
        <f t="shared" si="902"/>
        <v>0</v>
      </c>
      <c r="EA481" s="1363">
        <f t="shared" si="903"/>
        <v>0</v>
      </c>
      <c r="EB481" s="1363">
        <f t="shared" si="904"/>
        <v>0</v>
      </c>
      <c r="EC481" s="1363">
        <f t="shared" si="905"/>
        <v>0</v>
      </c>
      <c r="ED481" s="1363">
        <f t="shared" si="921"/>
        <v>0</v>
      </c>
      <c r="EE481" s="1364">
        <f t="shared" si="922"/>
        <v>0</v>
      </c>
      <c r="EG481" s="16" t="str">
        <f t="shared" si="923"/>
        <v>472026</v>
      </c>
      <c r="EH481" s="16" t="str">
        <f t="shared" si="906"/>
        <v>Fiche infoA5</v>
      </c>
      <c r="EI481" s="16" t="str">
        <f t="shared" si="907"/>
        <v/>
      </c>
    </row>
    <row r="482" spans="1:144" x14ac:dyDescent="0.2">
      <c r="A482" s="24" t="str">
        <f>Novembre!BJ40</f>
        <v>Fiche infoA6</v>
      </c>
      <c r="B482" s="811">
        <f>Novembre!AB40</f>
        <v>46347</v>
      </c>
      <c r="C482" s="1371"/>
      <c r="D482" s="981">
        <f t="shared" si="863"/>
        <v>0</v>
      </c>
      <c r="E482" s="434">
        <f t="shared" si="864"/>
        <v>0</v>
      </c>
      <c r="F482" s="434">
        <f t="shared" si="865"/>
        <v>0</v>
      </c>
      <c r="G482" s="434">
        <f t="shared" si="866"/>
        <v>0</v>
      </c>
      <c r="H482" s="434">
        <f t="shared" si="867"/>
        <v>0</v>
      </c>
      <c r="I482" s="434">
        <f t="shared" si="868"/>
        <v>0</v>
      </c>
      <c r="J482" s="434">
        <f t="shared" si="869"/>
        <v>0</v>
      </c>
      <c r="K482" s="434">
        <f t="shared" si="870"/>
        <v>0</v>
      </c>
      <c r="L482" s="434">
        <f t="shared" si="908"/>
        <v>0</v>
      </c>
      <c r="M482" s="982">
        <f t="shared" si="909"/>
        <v>0</v>
      </c>
      <c r="O482" s="981">
        <f t="shared" si="925"/>
        <v>0</v>
      </c>
      <c r="P482" s="434">
        <f t="shared" si="926"/>
        <v>0</v>
      </c>
      <c r="Q482" s="434">
        <f t="shared" si="927"/>
        <v>0</v>
      </c>
      <c r="R482" s="434">
        <f t="shared" si="928"/>
        <v>0</v>
      </c>
      <c r="S482" s="434">
        <f t="shared" si="929"/>
        <v>0</v>
      </c>
      <c r="T482" s="434">
        <f t="shared" si="930"/>
        <v>0</v>
      </c>
      <c r="U482" s="434">
        <f t="shared" si="931"/>
        <v>0</v>
      </c>
      <c r="V482" s="434">
        <f t="shared" si="932"/>
        <v>0</v>
      </c>
      <c r="W482" s="434">
        <f t="shared" si="879"/>
        <v>0</v>
      </c>
      <c r="X482" s="982">
        <f t="shared" si="880"/>
        <v>0</v>
      </c>
      <c r="Y482" s="441"/>
      <c r="Z482" s="277">
        <f t="shared" si="881"/>
        <v>0</v>
      </c>
      <c r="AA482" s="277">
        <f t="shared" si="882"/>
        <v>0</v>
      </c>
      <c r="AB482" s="277">
        <f t="shared" si="883"/>
        <v>0</v>
      </c>
      <c r="AC482" s="277">
        <f t="shared" si="884"/>
        <v>0</v>
      </c>
      <c r="AD482" s="277">
        <f t="shared" si="885"/>
        <v>0</v>
      </c>
      <c r="AE482" s="277">
        <f t="shared" si="886"/>
        <v>0</v>
      </c>
      <c r="AF482" s="277">
        <f t="shared" si="887"/>
        <v>0</v>
      </c>
      <c r="AG482" s="277">
        <f t="shared" si="888"/>
        <v>0</v>
      </c>
      <c r="AI482" s="444">
        <f t="shared" si="933"/>
        <v>0</v>
      </c>
      <c r="AJ482" s="1090"/>
      <c r="AK482" s="489"/>
      <c r="AL482" s="811">
        <f t="shared" si="890"/>
        <v>46347</v>
      </c>
      <c r="AM482" s="666">
        <f>IFERROR(IF(AND(AT482="",AR482&lt;&gt;S.CAL!$BJ$3,AR482&lt;&gt;S.CAL!$BJ$4,$AR$455="NON"),M482-BD482,IF(AND(AT482="",AR482&lt;&gt;S.CAL!$BJ$3,AR482&lt;&gt;S.CAL!$BJ$4,$AR$455="OUI"),X482-AI482,IF(AT482&lt;&gt;0,AT482,IF(OR(AR482=S.CAL!$BJ$3,AR482=S.CAL!$BJ$4),AR482,"")))),"")</f>
        <v>0</v>
      </c>
      <c r="AN482" s="1093"/>
      <c r="AO482" s="1094"/>
      <c r="AP482" s="666">
        <f>+IF(AND(AU482="",BB482="OUI",BH482="non",BI482="OUI"),AM482,IF(AND(AU482="",BB482="OUI",BH482="oui",BI482="NON"),AM482,IF(AND(AU482="",BB482="NON",BH482="oui",BI482="NON"),M482,IF(AND(AU482="",BB482="NON",BH482="non",BI482="OUI"),M482,IF(AND(AU482="",BB482="OUI",BH482="non",BI482="NON"),"ERREUR",IF(AND(AU482="",BB482="NON",BH482="non",BI482="NON"),AM482,IF(AND(AU482="",BB482="OUI",BH482="",BI482=""),AM482,IF(AND(AU482="",BB482="NON",BH482="",BI482="",AZ482="NON"),M482,IF(AND(AU482="",BH482="",AZ482="OUI",AR482=""),AM482,IF(AND(AU482="",BH482="",AZ482="NON",AR482="",AT482=""),M482,IF(AND(OR(AR482=S.CAL!$BJ$3,AR482=S.CAL!$BJ$4),(VLOOKUP($AM$455,base_nbre_sem_mensu,2,FALSE)=52)),EE482,IF(AND(OR(AR482=S.CAL!$BJ$3,AR482=S.CAL!$BJ$4),(VLOOKUP($AM$455,base_nbre_sem_mensu,2,FALSE)&lt;52)),AM482,IF(AND(AT482&lt;&gt;"",AU482=""),AT482,AU482)))))))))))))</f>
        <v>0</v>
      </c>
      <c r="AQ482" s="498">
        <f t="shared" si="910"/>
        <v>0</v>
      </c>
      <c r="AR482" s="1098"/>
      <c r="AT482" s="1101"/>
      <c r="AU482" s="813"/>
      <c r="AV482" s="1370">
        <f t="shared" si="891"/>
        <v>46347</v>
      </c>
      <c r="AX482" s="511">
        <f t="shared" si="911"/>
        <v>46347</v>
      </c>
      <c r="AY482" s="523">
        <f t="shared" si="912"/>
        <v>0</v>
      </c>
      <c r="AZ482" s="520" t="s">
        <v>137</v>
      </c>
      <c r="BA482" s="516">
        <f t="shared" si="913"/>
        <v>0</v>
      </c>
      <c r="BB482" s="549" t="str">
        <f t="shared" si="892"/>
        <v/>
      </c>
      <c r="BC482" s="523">
        <f t="shared" si="914"/>
        <v>0</v>
      </c>
      <c r="BD482" s="523">
        <f t="shared" si="915"/>
        <v>0</v>
      </c>
      <c r="BE482" s="1104"/>
      <c r="BF482" s="514" t="str">
        <f t="shared" si="893"/>
        <v/>
      </c>
      <c r="BG482" s="514" t="str">
        <f t="shared" si="916"/>
        <v>oui</v>
      </c>
      <c r="BH482" s="377" t="str">
        <f t="shared" si="894"/>
        <v/>
      </c>
      <c r="BI482" s="24" t="str">
        <f t="shared" si="895"/>
        <v/>
      </c>
      <c r="BJ482" s="1381"/>
      <c r="BK482" s="1381"/>
      <c r="BL482" s="1381"/>
      <c r="BM482" s="1381"/>
      <c r="BN482" s="1381"/>
      <c r="BO482" s="1381"/>
      <c r="BP482" s="1381"/>
      <c r="BQ482" s="1381"/>
      <c r="BS482" s="1370">
        <f t="shared" si="862"/>
        <v>46347</v>
      </c>
      <c r="BT482" s="27" t="str">
        <f t="shared" si="924"/>
        <v/>
      </c>
      <c r="BU482" s="1380"/>
      <c r="BV482" s="1380"/>
      <c r="BW482" s="1380"/>
      <c r="BX482" s="1380"/>
      <c r="BY482" s="1380"/>
      <c r="BZ482" s="1380"/>
      <c r="CA482" s="1380"/>
      <c r="CB482" s="1380"/>
      <c r="CD482" s="1386">
        <f t="shared" si="917"/>
        <v>0</v>
      </c>
      <c r="DC482" s="16" t="str">
        <f>Novembre!FC40</f>
        <v>non</v>
      </c>
      <c r="DG482" s="315">
        <f t="shared" si="918"/>
        <v>1</v>
      </c>
      <c r="DH482" s="129">
        <f t="shared" si="896"/>
        <v>10</v>
      </c>
      <c r="DI482" s="129">
        <f t="shared" si="919"/>
        <v>1</v>
      </c>
      <c r="DK482" s="16">
        <f>+IF(AND(Novembre!$DP$8&lt;&gt;52,AR482=S.CAL!$BJ$4),10,1)</f>
        <v>1</v>
      </c>
      <c r="DN482" s="16">
        <f t="shared" si="897"/>
        <v>1</v>
      </c>
      <c r="DU482" s="1274" t="str">
        <f t="shared" si="920"/>
        <v>Fiche infoA646347</v>
      </c>
      <c r="DV482" s="1362">
        <f t="shared" si="898"/>
        <v>0</v>
      </c>
      <c r="DW482" s="1363">
        <f t="shared" si="899"/>
        <v>0</v>
      </c>
      <c r="DX482" s="1363">
        <f t="shared" si="900"/>
        <v>0</v>
      </c>
      <c r="DY482" s="1363">
        <f t="shared" si="901"/>
        <v>0</v>
      </c>
      <c r="DZ482" s="1363">
        <f t="shared" si="902"/>
        <v>0</v>
      </c>
      <c r="EA482" s="1363">
        <f t="shared" si="903"/>
        <v>0</v>
      </c>
      <c r="EB482" s="1363">
        <f t="shared" si="904"/>
        <v>0</v>
      </c>
      <c r="EC482" s="1363">
        <f t="shared" si="905"/>
        <v>0</v>
      </c>
      <c r="ED482" s="1363">
        <f t="shared" si="921"/>
        <v>0</v>
      </c>
      <c r="EE482" s="1364">
        <f t="shared" si="922"/>
        <v>0</v>
      </c>
      <c r="EG482" s="16" t="str">
        <f t="shared" si="923"/>
        <v>472026</v>
      </c>
      <c r="EH482" s="16" t="str">
        <f t="shared" si="906"/>
        <v>Fiche infoA6</v>
      </c>
      <c r="EI482" s="16" t="str">
        <f t="shared" si="907"/>
        <v/>
      </c>
    </row>
    <row r="483" spans="1:144" x14ac:dyDescent="0.2">
      <c r="A483" s="1373" t="str">
        <f>Novembre!BJ41</f>
        <v>Fiche infoA7</v>
      </c>
      <c r="B483" s="811">
        <f>Novembre!AB41</f>
        <v>46348</v>
      </c>
      <c r="C483" s="1372"/>
      <c r="D483" s="981">
        <f t="shared" si="863"/>
        <v>0</v>
      </c>
      <c r="E483" s="434">
        <f t="shared" si="864"/>
        <v>0</v>
      </c>
      <c r="F483" s="434">
        <f t="shared" si="865"/>
        <v>0</v>
      </c>
      <c r="G483" s="434">
        <f t="shared" si="866"/>
        <v>0</v>
      </c>
      <c r="H483" s="434">
        <f t="shared" si="867"/>
        <v>0</v>
      </c>
      <c r="I483" s="434">
        <f t="shared" si="868"/>
        <v>0</v>
      </c>
      <c r="J483" s="434">
        <f t="shared" si="869"/>
        <v>0</v>
      </c>
      <c r="K483" s="434">
        <f t="shared" si="870"/>
        <v>0</v>
      </c>
      <c r="L483" s="434">
        <f t="shared" si="908"/>
        <v>0</v>
      </c>
      <c r="M483" s="982">
        <f t="shared" si="909"/>
        <v>0</v>
      </c>
      <c r="N483" s="1374"/>
      <c r="O483" s="981">
        <f t="shared" si="925"/>
        <v>0</v>
      </c>
      <c r="P483" s="434">
        <f t="shared" si="926"/>
        <v>0</v>
      </c>
      <c r="Q483" s="434">
        <f t="shared" si="927"/>
        <v>0</v>
      </c>
      <c r="R483" s="434">
        <f t="shared" si="928"/>
        <v>0</v>
      </c>
      <c r="S483" s="434">
        <f t="shared" si="929"/>
        <v>0</v>
      </c>
      <c r="T483" s="434">
        <f t="shared" si="930"/>
        <v>0</v>
      </c>
      <c r="U483" s="434">
        <f t="shared" si="931"/>
        <v>0</v>
      </c>
      <c r="V483" s="434">
        <f t="shared" si="932"/>
        <v>0</v>
      </c>
      <c r="W483" s="434">
        <f t="shared" si="879"/>
        <v>0</v>
      </c>
      <c r="X483" s="982">
        <f t="shared" si="880"/>
        <v>0</v>
      </c>
      <c r="Y483" s="1375"/>
      <c r="Z483" s="1376">
        <f t="shared" si="881"/>
        <v>0</v>
      </c>
      <c r="AA483" s="1376">
        <f t="shared" si="882"/>
        <v>0</v>
      </c>
      <c r="AB483" s="1376">
        <f t="shared" si="883"/>
        <v>0</v>
      </c>
      <c r="AC483" s="1376">
        <f t="shared" si="884"/>
        <v>0</v>
      </c>
      <c r="AD483" s="1376">
        <f t="shared" si="885"/>
        <v>0</v>
      </c>
      <c r="AE483" s="1376">
        <f t="shared" si="886"/>
        <v>0</v>
      </c>
      <c r="AF483" s="1376">
        <f t="shared" si="887"/>
        <v>0</v>
      </c>
      <c r="AG483" s="1376">
        <f t="shared" si="888"/>
        <v>0</v>
      </c>
      <c r="AH483" s="1374"/>
      <c r="AI483" s="444">
        <f t="shared" si="933"/>
        <v>0</v>
      </c>
      <c r="AJ483" s="1090"/>
      <c r="AK483" s="1377"/>
      <c r="AL483" s="811">
        <f t="shared" si="890"/>
        <v>46348</v>
      </c>
      <c r="AM483" s="666">
        <f>IFERROR(IF(AND(AT483="",AR483&lt;&gt;S.CAL!$BJ$3,AR483&lt;&gt;S.CAL!$BJ$4,$AR$455="NON"),M483-BD483,IF(AND(AT483="",AR483&lt;&gt;S.CAL!$BJ$3,AR483&lt;&gt;S.CAL!$BJ$4,$AR$455="OUI"),X483-AI483,IF(AT483&lt;&gt;0,AT483,IF(OR(AR483=S.CAL!$BJ$3,AR483=S.CAL!$BJ$4),AR483,"")))),"")</f>
        <v>0</v>
      </c>
      <c r="AN483" s="1093"/>
      <c r="AO483" s="1094"/>
      <c r="AP483" s="666">
        <f>+IF(AND(AU483="",BB483="OUI",BH483="non",BI483="OUI"),AM483,IF(AND(AU483="",BB483="OUI",BH483="oui",BI483="NON"),AM483,IF(AND(AU483="",BB483="NON",BH483="oui",BI483="NON"),M483,IF(AND(AU483="",BB483="NON",BH483="non",BI483="OUI"),M483,IF(AND(AU483="",BB483="OUI",BH483="non",BI483="NON"),"ERREUR",IF(AND(AU483="",BB483="NON",BH483="non",BI483="NON"),AM483,IF(AND(AU483="",BB483="OUI",BH483="",BI483=""),AM483,IF(AND(AU483="",BB483="NON",BH483="",BI483="",AZ483="NON"),M483,IF(AND(AU483="",BH483="",AZ483="OUI",AR483=""),AM483,IF(AND(AU483="",BH483="",AZ483="NON",AR483="",AT483=""),M483,IF(AND(OR(AR483=S.CAL!$BJ$3,AR483=S.CAL!$BJ$4),(VLOOKUP($AM$455,base_nbre_sem_mensu,2,FALSE)=52)),EE483,IF(AND(OR(AR483=S.CAL!$BJ$3,AR483=S.CAL!$BJ$4),(VLOOKUP($AM$455,base_nbre_sem_mensu,2,FALSE)&lt;52)),AM483,IF(AND(AT483&lt;&gt;"",AU483=""),AT483,AU483)))))))))))))</f>
        <v>0</v>
      </c>
      <c r="AQ483" s="1378">
        <f t="shared" si="910"/>
        <v>0</v>
      </c>
      <c r="AR483" s="1098"/>
      <c r="AS483" s="1374"/>
      <c r="AT483" s="1101"/>
      <c r="AU483" s="813"/>
      <c r="AV483" s="1370">
        <f t="shared" si="891"/>
        <v>46348</v>
      </c>
      <c r="AW483" s="1374"/>
      <c r="AX483" s="511">
        <f t="shared" si="911"/>
        <v>46348</v>
      </c>
      <c r="AY483" s="523">
        <f t="shared" si="912"/>
        <v>0</v>
      </c>
      <c r="AZ483" s="520" t="s">
        <v>137</v>
      </c>
      <c r="BA483" s="516">
        <f t="shared" si="913"/>
        <v>0</v>
      </c>
      <c r="BB483" s="549" t="str">
        <f t="shared" si="892"/>
        <v/>
      </c>
      <c r="BC483" s="523">
        <f t="shared" si="914"/>
        <v>0</v>
      </c>
      <c r="BD483" s="523">
        <f t="shared" si="915"/>
        <v>0</v>
      </c>
      <c r="BE483" s="1104"/>
      <c r="BF483" s="514" t="str">
        <f t="shared" si="893"/>
        <v/>
      </c>
      <c r="BG483" s="514" t="str">
        <f t="shared" si="916"/>
        <v>oui</v>
      </c>
      <c r="BH483" s="377" t="str">
        <f t="shared" si="894"/>
        <v/>
      </c>
      <c r="BI483" s="24" t="str">
        <f t="shared" si="895"/>
        <v/>
      </c>
      <c r="BJ483" s="1382"/>
      <c r="BK483" s="1382"/>
      <c r="BL483" s="1382"/>
      <c r="BM483" s="1382"/>
      <c r="BN483" s="1382"/>
      <c r="BO483" s="1382"/>
      <c r="BP483" s="1382"/>
      <c r="BQ483" s="1382"/>
      <c r="BR483" s="1383"/>
      <c r="BS483" s="1370">
        <f t="shared" si="862"/>
        <v>46348</v>
      </c>
      <c r="BT483" s="1384" t="str">
        <f t="shared" si="924"/>
        <v/>
      </c>
      <c r="BU483" s="1382"/>
      <c r="BV483" s="1382"/>
      <c r="BW483" s="1382"/>
      <c r="BX483" s="1382"/>
      <c r="BY483" s="1382"/>
      <c r="BZ483" s="1382"/>
      <c r="CA483" s="1382"/>
      <c r="CB483" s="1382"/>
      <c r="CD483" s="1386">
        <f t="shared" si="917"/>
        <v>0</v>
      </c>
      <c r="DC483" s="16" t="str">
        <f>Novembre!FC41</f>
        <v>non</v>
      </c>
      <c r="DG483" s="315">
        <f t="shared" si="918"/>
        <v>1</v>
      </c>
      <c r="DH483" s="129">
        <f t="shared" si="896"/>
        <v>10</v>
      </c>
      <c r="DI483" s="129">
        <f t="shared" si="919"/>
        <v>1</v>
      </c>
      <c r="DK483" s="16">
        <f>+IF(AND(Novembre!$DP$8&lt;&gt;52,AR483=S.CAL!$BJ$4),10,1)</f>
        <v>1</v>
      </c>
      <c r="DN483" s="16">
        <f t="shared" si="897"/>
        <v>1</v>
      </c>
      <c r="DU483" s="1274" t="str">
        <f t="shared" si="920"/>
        <v>Fiche infoA746348</v>
      </c>
      <c r="DV483" s="1362">
        <f t="shared" si="898"/>
        <v>0</v>
      </c>
      <c r="DW483" s="1363">
        <f t="shared" si="899"/>
        <v>0</v>
      </c>
      <c r="DX483" s="1363">
        <f t="shared" si="900"/>
        <v>0</v>
      </c>
      <c r="DY483" s="1363">
        <f t="shared" si="901"/>
        <v>0</v>
      </c>
      <c r="DZ483" s="1363">
        <f t="shared" si="902"/>
        <v>0</v>
      </c>
      <c r="EA483" s="1363">
        <f t="shared" si="903"/>
        <v>0</v>
      </c>
      <c r="EB483" s="1363">
        <f t="shared" si="904"/>
        <v>0</v>
      </c>
      <c r="EC483" s="1363">
        <f t="shared" si="905"/>
        <v>0</v>
      </c>
      <c r="ED483" s="1363">
        <f t="shared" si="921"/>
        <v>0</v>
      </c>
      <c r="EE483" s="1364">
        <f t="shared" si="922"/>
        <v>0</v>
      </c>
      <c r="EG483" s="16" t="str">
        <f t="shared" si="923"/>
        <v>472026</v>
      </c>
      <c r="EH483" s="16" t="str">
        <f t="shared" si="906"/>
        <v>Fiche infoA7</v>
      </c>
      <c r="EI483" s="16" t="str">
        <f t="shared" si="907"/>
        <v/>
      </c>
    </row>
    <row r="484" spans="1:144" x14ac:dyDescent="0.2">
      <c r="A484" s="24" t="str">
        <f>Novembre!BJ42</f>
        <v>Fiche infoA1</v>
      </c>
      <c r="B484" s="811">
        <f>Novembre!AB42</f>
        <v>46349</v>
      </c>
      <c r="C484" s="1371"/>
      <c r="D484" s="981">
        <f t="shared" si="863"/>
        <v>0</v>
      </c>
      <c r="E484" s="434">
        <f t="shared" si="864"/>
        <v>0</v>
      </c>
      <c r="F484" s="434">
        <f t="shared" si="865"/>
        <v>0</v>
      </c>
      <c r="G484" s="434">
        <f t="shared" si="866"/>
        <v>0</v>
      </c>
      <c r="H484" s="434">
        <f t="shared" si="867"/>
        <v>0</v>
      </c>
      <c r="I484" s="434">
        <f t="shared" si="868"/>
        <v>0</v>
      </c>
      <c r="J484" s="434">
        <f t="shared" si="869"/>
        <v>0</v>
      </c>
      <c r="K484" s="434">
        <f t="shared" si="870"/>
        <v>0</v>
      </c>
      <c r="L484" s="434">
        <f t="shared" si="908"/>
        <v>0</v>
      </c>
      <c r="M484" s="982">
        <f t="shared" si="909"/>
        <v>0</v>
      </c>
      <c r="O484" s="981">
        <f t="shared" si="925"/>
        <v>0</v>
      </c>
      <c r="P484" s="434">
        <f t="shared" si="926"/>
        <v>0</v>
      </c>
      <c r="Q484" s="434">
        <f t="shared" si="927"/>
        <v>0</v>
      </c>
      <c r="R484" s="434">
        <f t="shared" si="928"/>
        <v>0</v>
      </c>
      <c r="S484" s="434">
        <f t="shared" si="929"/>
        <v>0</v>
      </c>
      <c r="T484" s="434">
        <f t="shared" si="930"/>
        <v>0</v>
      </c>
      <c r="U484" s="434">
        <f t="shared" si="931"/>
        <v>0</v>
      </c>
      <c r="V484" s="434">
        <f t="shared" si="932"/>
        <v>0</v>
      </c>
      <c r="W484" s="434">
        <f t="shared" si="879"/>
        <v>0</v>
      </c>
      <c r="X484" s="982">
        <f t="shared" si="880"/>
        <v>0</v>
      </c>
      <c r="Y484" s="441"/>
      <c r="Z484" s="277">
        <f t="shared" si="881"/>
        <v>0</v>
      </c>
      <c r="AA484" s="277">
        <f t="shared" si="882"/>
        <v>0</v>
      </c>
      <c r="AB484" s="277">
        <f t="shared" si="883"/>
        <v>0</v>
      </c>
      <c r="AC484" s="277">
        <f t="shared" si="884"/>
        <v>0</v>
      </c>
      <c r="AD484" s="277">
        <f t="shared" si="885"/>
        <v>0</v>
      </c>
      <c r="AE484" s="277">
        <f t="shared" si="886"/>
        <v>0</v>
      </c>
      <c r="AF484" s="277">
        <f t="shared" si="887"/>
        <v>0</v>
      </c>
      <c r="AG484" s="277">
        <f t="shared" si="888"/>
        <v>0</v>
      </c>
      <c r="AI484" s="444">
        <f t="shared" si="933"/>
        <v>0</v>
      </c>
      <c r="AJ484" s="1090"/>
      <c r="AK484" s="489"/>
      <c r="AL484" s="811">
        <f t="shared" si="890"/>
        <v>46349</v>
      </c>
      <c r="AM484" s="666">
        <f>IFERROR(IF(AND(AT484="",AR484&lt;&gt;S.CAL!$BJ$3,AR484&lt;&gt;S.CAL!$BJ$4,$AR$455="NON"),M484-BD484,IF(AND(AT484="",AR484&lt;&gt;S.CAL!$BJ$3,AR484&lt;&gt;S.CAL!$BJ$4,$AR$455="OUI"),X484-AI484,IF(AT484&lt;&gt;0,AT484,IF(OR(AR484=S.CAL!$BJ$3,AR484=S.CAL!$BJ$4),AR484,"")))),"")</f>
        <v>0</v>
      </c>
      <c r="AN484" s="1093"/>
      <c r="AO484" s="1094"/>
      <c r="AP484" s="666">
        <f>+IF(AND(AU484="",BB484="OUI",BH484="non",BI484="OUI"),AM484,IF(AND(AU484="",BB484="OUI",BH484="oui",BI484="NON"),AM484,IF(AND(AU484="",BB484="NON",BH484="oui",BI484="NON"),M484,IF(AND(AU484="",BB484="NON",BH484="non",BI484="OUI"),M484,IF(AND(AU484="",BB484="OUI",BH484="non",BI484="NON"),"ERREUR",IF(AND(AU484="",BB484="NON",BH484="non",BI484="NON"),AM484,IF(AND(AU484="",BB484="OUI",BH484="",BI484=""),AM484,IF(AND(AU484="",BB484="NON",BH484="",BI484="",AZ484="NON"),M484,IF(AND(AU484="",BH484="",AZ484="OUI",AR484=""),AM484,IF(AND(AU484="",BH484="",AZ484="NON",AR484="",AT484=""),M484,IF(AND(OR(AR484=S.CAL!$BJ$3,AR484=S.CAL!$BJ$4),(VLOOKUP($AM$455,base_nbre_sem_mensu,2,FALSE)=52)),EE484,IF(AND(OR(AR484=S.CAL!$BJ$3,AR484=S.CAL!$BJ$4),(VLOOKUP($AM$455,base_nbre_sem_mensu,2,FALSE)&lt;52)),AM484,IF(AND(AT484&lt;&gt;"",AU484=""),AT484,AU484)))))))))))))</f>
        <v>0</v>
      </c>
      <c r="AQ484" s="498">
        <f t="shared" si="910"/>
        <v>0</v>
      </c>
      <c r="AR484" s="1098"/>
      <c r="AT484" s="1101"/>
      <c r="AU484" s="813"/>
      <c r="AV484" s="1370">
        <f t="shared" si="891"/>
        <v>46349</v>
      </c>
      <c r="AX484" s="511">
        <f t="shared" si="911"/>
        <v>46349</v>
      </c>
      <c r="AY484" s="523">
        <f t="shared" si="912"/>
        <v>0</v>
      </c>
      <c r="AZ484" s="520" t="s">
        <v>137</v>
      </c>
      <c r="BA484" s="516">
        <f t="shared" si="913"/>
        <v>0</v>
      </c>
      <c r="BB484" s="549" t="str">
        <f t="shared" si="892"/>
        <v/>
      </c>
      <c r="BC484" s="523">
        <f t="shared" si="914"/>
        <v>0</v>
      </c>
      <c r="BD484" s="523">
        <f t="shared" si="915"/>
        <v>0</v>
      </c>
      <c r="BE484" s="1104"/>
      <c r="BF484" s="514" t="str">
        <f t="shared" si="893"/>
        <v/>
      </c>
      <c r="BG484" s="514" t="str">
        <f t="shared" si="916"/>
        <v>oui</v>
      </c>
      <c r="BH484" s="377" t="str">
        <f t="shared" si="894"/>
        <v/>
      </c>
      <c r="BI484" s="24" t="str">
        <f t="shared" si="895"/>
        <v/>
      </c>
      <c r="BJ484" s="1381"/>
      <c r="BK484" s="1381"/>
      <c r="BL484" s="1381"/>
      <c r="BM484" s="1381"/>
      <c r="BN484" s="1381"/>
      <c r="BO484" s="1381"/>
      <c r="BP484" s="1381"/>
      <c r="BQ484" s="1381"/>
      <c r="BS484" s="1370">
        <f t="shared" si="862"/>
        <v>46349</v>
      </c>
      <c r="BT484" s="27">
        <f t="shared" si="924"/>
        <v>48</v>
      </c>
      <c r="BU484" s="1380"/>
      <c r="BV484" s="1380"/>
      <c r="BW484" s="1380"/>
      <c r="BX484" s="1380"/>
      <c r="BY484" s="1380"/>
      <c r="BZ484" s="1380"/>
      <c r="CA484" s="1380"/>
      <c r="CB484" s="1380"/>
      <c r="CD484" s="1386">
        <f t="shared" si="917"/>
        <v>0</v>
      </c>
      <c r="DC484" s="16" t="str">
        <f>Novembre!FC42</f>
        <v>non</v>
      </c>
      <c r="DG484" s="315">
        <f t="shared" si="918"/>
        <v>1</v>
      </c>
      <c r="DH484" s="129">
        <f t="shared" si="896"/>
        <v>10</v>
      </c>
      <c r="DI484" s="129">
        <f t="shared" si="919"/>
        <v>1</v>
      </c>
      <c r="DK484" s="16">
        <f>+IF(AND(Novembre!$DP$8&lt;&gt;52,AR484=S.CAL!$BJ$4),10,1)</f>
        <v>1</v>
      </c>
      <c r="DN484" s="16">
        <f t="shared" si="897"/>
        <v>1</v>
      </c>
      <c r="DU484" s="1274" t="str">
        <f t="shared" si="920"/>
        <v>Fiche infoA146349</v>
      </c>
      <c r="DV484" s="1362">
        <f t="shared" si="898"/>
        <v>0</v>
      </c>
      <c r="DW484" s="1363">
        <f t="shared" si="899"/>
        <v>0</v>
      </c>
      <c r="DX484" s="1363">
        <f t="shared" si="900"/>
        <v>0</v>
      </c>
      <c r="DY484" s="1363">
        <f t="shared" si="901"/>
        <v>0</v>
      </c>
      <c r="DZ484" s="1363">
        <f t="shared" si="902"/>
        <v>0</v>
      </c>
      <c r="EA484" s="1363">
        <f t="shared" si="903"/>
        <v>0</v>
      </c>
      <c r="EB484" s="1363">
        <f t="shared" si="904"/>
        <v>0</v>
      </c>
      <c r="EC484" s="1363">
        <f t="shared" si="905"/>
        <v>0</v>
      </c>
      <c r="ED484" s="1363">
        <f t="shared" si="921"/>
        <v>0</v>
      </c>
      <c r="EE484" s="1364">
        <f t="shared" si="922"/>
        <v>0</v>
      </c>
      <c r="EG484" s="16" t="str">
        <f t="shared" si="923"/>
        <v>482026</v>
      </c>
      <c r="EH484" s="16" t="str">
        <f t="shared" si="906"/>
        <v>Fiche infoA1</v>
      </c>
      <c r="EI484" s="16" t="str">
        <f t="shared" si="907"/>
        <v/>
      </c>
    </row>
    <row r="485" spans="1:144" x14ac:dyDescent="0.2">
      <c r="A485" s="1373" t="str">
        <f>Novembre!BJ43</f>
        <v>Fiche infoA2</v>
      </c>
      <c r="B485" s="811">
        <f>Novembre!AB43</f>
        <v>46350</v>
      </c>
      <c r="C485" s="1372"/>
      <c r="D485" s="981">
        <f t="shared" si="863"/>
        <v>0</v>
      </c>
      <c r="E485" s="434">
        <f t="shared" si="864"/>
        <v>0</v>
      </c>
      <c r="F485" s="434">
        <f t="shared" si="865"/>
        <v>0</v>
      </c>
      <c r="G485" s="434">
        <f t="shared" si="866"/>
        <v>0</v>
      </c>
      <c r="H485" s="434">
        <f t="shared" si="867"/>
        <v>0</v>
      </c>
      <c r="I485" s="434">
        <f t="shared" si="868"/>
        <v>0</v>
      </c>
      <c r="J485" s="434">
        <f t="shared" si="869"/>
        <v>0</v>
      </c>
      <c r="K485" s="434">
        <f t="shared" si="870"/>
        <v>0</v>
      </c>
      <c r="L485" s="434">
        <f t="shared" si="908"/>
        <v>0</v>
      </c>
      <c r="M485" s="982">
        <f t="shared" si="909"/>
        <v>0</v>
      </c>
      <c r="N485" s="1374"/>
      <c r="O485" s="981">
        <f t="shared" si="925"/>
        <v>0</v>
      </c>
      <c r="P485" s="434">
        <f t="shared" si="926"/>
        <v>0</v>
      </c>
      <c r="Q485" s="434">
        <f t="shared" si="927"/>
        <v>0</v>
      </c>
      <c r="R485" s="434">
        <f t="shared" si="928"/>
        <v>0</v>
      </c>
      <c r="S485" s="434">
        <f t="shared" si="929"/>
        <v>0</v>
      </c>
      <c r="T485" s="434">
        <f t="shared" si="930"/>
        <v>0</v>
      </c>
      <c r="U485" s="434">
        <f t="shared" si="931"/>
        <v>0</v>
      </c>
      <c r="V485" s="434">
        <f t="shared" si="932"/>
        <v>0</v>
      </c>
      <c r="W485" s="434">
        <f t="shared" si="879"/>
        <v>0</v>
      </c>
      <c r="X485" s="982">
        <f t="shared" si="880"/>
        <v>0</v>
      </c>
      <c r="Y485" s="1375"/>
      <c r="Z485" s="1376">
        <f t="shared" si="881"/>
        <v>0</v>
      </c>
      <c r="AA485" s="1376">
        <f t="shared" si="882"/>
        <v>0</v>
      </c>
      <c r="AB485" s="1376">
        <f t="shared" si="883"/>
        <v>0</v>
      </c>
      <c r="AC485" s="1376">
        <f t="shared" si="884"/>
        <v>0</v>
      </c>
      <c r="AD485" s="1376">
        <f t="shared" si="885"/>
        <v>0</v>
      </c>
      <c r="AE485" s="1376">
        <f t="shared" si="886"/>
        <v>0</v>
      </c>
      <c r="AF485" s="1376">
        <f t="shared" si="887"/>
        <v>0</v>
      </c>
      <c r="AG485" s="1376">
        <f t="shared" si="888"/>
        <v>0</v>
      </c>
      <c r="AH485" s="1374"/>
      <c r="AI485" s="444">
        <f t="shared" si="933"/>
        <v>0</v>
      </c>
      <c r="AJ485" s="1090"/>
      <c r="AK485" s="1377"/>
      <c r="AL485" s="811">
        <f t="shared" si="890"/>
        <v>46350</v>
      </c>
      <c r="AM485" s="666">
        <f>IFERROR(IF(AND(AT485="",AR485&lt;&gt;S.CAL!$BJ$3,AR485&lt;&gt;S.CAL!$BJ$4,$AR$455="NON"),M485-BD485,IF(AND(AT485="",AR485&lt;&gt;S.CAL!$BJ$3,AR485&lt;&gt;S.CAL!$BJ$4,$AR$455="OUI"),X485-AI485,IF(AT485&lt;&gt;0,AT485,IF(OR(AR485=S.CAL!$BJ$3,AR485=S.CAL!$BJ$4),AR485,"")))),"")</f>
        <v>0</v>
      </c>
      <c r="AN485" s="1093"/>
      <c r="AO485" s="1094"/>
      <c r="AP485" s="666">
        <f>+IF(AND(AU485="",BB485="OUI",BH485="non",BI485="OUI"),AM485,IF(AND(AU485="",BB485="OUI",BH485="oui",BI485="NON"),AM485,IF(AND(AU485="",BB485="NON",BH485="oui",BI485="NON"),M485,IF(AND(AU485="",BB485="NON",BH485="non",BI485="OUI"),M485,IF(AND(AU485="",BB485="OUI",BH485="non",BI485="NON"),"ERREUR",IF(AND(AU485="",BB485="NON",BH485="non",BI485="NON"),AM485,IF(AND(AU485="",BB485="OUI",BH485="",BI485=""),AM485,IF(AND(AU485="",BB485="NON",BH485="",BI485="",AZ485="NON"),M485,IF(AND(AU485="",BH485="",AZ485="OUI",AR485=""),AM485,IF(AND(AU485="",BH485="",AZ485="NON",AR485="",AT485=""),M485,IF(AND(OR(AR485=S.CAL!$BJ$3,AR485=S.CAL!$BJ$4),(VLOOKUP($AM$455,base_nbre_sem_mensu,2,FALSE)=52)),EE485,IF(AND(OR(AR485=S.CAL!$BJ$3,AR485=S.CAL!$BJ$4),(VLOOKUP($AM$455,base_nbre_sem_mensu,2,FALSE)&lt;52)),AM485,IF(AND(AT485&lt;&gt;"",AU485=""),AT485,AU485)))))))))))))</f>
        <v>0</v>
      </c>
      <c r="AQ485" s="1378">
        <f t="shared" si="910"/>
        <v>0</v>
      </c>
      <c r="AR485" s="1098"/>
      <c r="AS485" s="1374"/>
      <c r="AT485" s="1101"/>
      <c r="AU485" s="813"/>
      <c r="AV485" s="1370">
        <f t="shared" si="891"/>
        <v>46350</v>
      </c>
      <c r="AW485" s="1374"/>
      <c r="AX485" s="511">
        <f t="shared" si="911"/>
        <v>46350</v>
      </c>
      <c r="AY485" s="523">
        <f t="shared" si="912"/>
        <v>0</v>
      </c>
      <c r="AZ485" s="520" t="s">
        <v>137</v>
      </c>
      <c r="BA485" s="516">
        <f t="shared" si="913"/>
        <v>0</v>
      </c>
      <c r="BB485" s="549" t="str">
        <f t="shared" si="892"/>
        <v/>
      </c>
      <c r="BC485" s="523">
        <f t="shared" si="914"/>
        <v>0</v>
      </c>
      <c r="BD485" s="523">
        <f t="shared" si="915"/>
        <v>0</v>
      </c>
      <c r="BE485" s="1104"/>
      <c r="BF485" s="514" t="str">
        <f t="shared" si="893"/>
        <v/>
      </c>
      <c r="BG485" s="514" t="str">
        <f t="shared" si="916"/>
        <v>oui</v>
      </c>
      <c r="BH485" s="377" t="str">
        <f t="shared" si="894"/>
        <v/>
      </c>
      <c r="BI485" s="24" t="str">
        <f t="shared" si="895"/>
        <v/>
      </c>
      <c r="BJ485" s="1382"/>
      <c r="BK485" s="1382"/>
      <c r="BL485" s="1382"/>
      <c r="BM485" s="1382"/>
      <c r="BN485" s="1382"/>
      <c r="BO485" s="1382"/>
      <c r="BP485" s="1382"/>
      <c r="BQ485" s="1382"/>
      <c r="BR485" s="1383"/>
      <c r="BS485" s="1370">
        <f t="shared" si="862"/>
        <v>46350</v>
      </c>
      <c r="BT485" s="1384" t="str">
        <f t="shared" si="924"/>
        <v/>
      </c>
      <c r="BU485" s="1382"/>
      <c r="BV485" s="1382"/>
      <c r="BW485" s="1382"/>
      <c r="BX485" s="1382"/>
      <c r="BY485" s="1382"/>
      <c r="BZ485" s="1382"/>
      <c r="CA485" s="1382"/>
      <c r="CB485" s="1382"/>
      <c r="CD485" s="1386">
        <f t="shared" si="917"/>
        <v>0</v>
      </c>
      <c r="DC485" s="16" t="str">
        <f>Novembre!FC43</f>
        <v>non</v>
      </c>
      <c r="DG485" s="315">
        <f t="shared" si="918"/>
        <v>1</v>
      </c>
      <c r="DH485" s="129">
        <f t="shared" si="896"/>
        <v>10</v>
      </c>
      <c r="DI485" s="129">
        <f t="shared" si="919"/>
        <v>1</v>
      </c>
      <c r="DK485" s="16">
        <f>+IF(AND(Novembre!$DP$8&lt;&gt;52,AR485=S.CAL!$BJ$4),10,1)</f>
        <v>1</v>
      </c>
      <c r="DN485" s="16">
        <f t="shared" si="897"/>
        <v>1</v>
      </c>
      <c r="DU485" s="1274" t="str">
        <f t="shared" si="920"/>
        <v>Fiche infoA246350</v>
      </c>
      <c r="DV485" s="1362">
        <f t="shared" si="898"/>
        <v>0</v>
      </c>
      <c r="DW485" s="1363">
        <f t="shared" si="899"/>
        <v>0</v>
      </c>
      <c r="DX485" s="1363">
        <f t="shared" si="900"/>
        <v>0</v>
      </c>
      <c r="DY485" s="1363">
        <f t="shared" si="901"/>
        <v>0</v>
      </c>
      <c r="DZ485" s="1363">
        <f t="shared" si="902"/>
        <v>0</v>
      </c>
      <c r="EA485" s="1363">
        <f t="shared" si="903"/>
        <v>0</v>
      </c>
      <c r="EB485" s="1363">
        <f t="shared" si="904"/>
        <v>0</v>
      </c>
      <c r="EC485" s="1363">
        <f t="shared" si="905"/>
        <v>0</v>
      </c>
      <c r="ED485" s="1363">
        <f t="shared" si="921"/>
        <v>0</v>
      </c>
      <c r="EE485" s="1364">
        <f t="shared" si="922"/>
        <v>0</v>
      </c>
      <c r="EG485" s="16" t="str">
        <f t="shared" si="923"/>
        <v>482026</v>
      </c>
      <c r="EH485" s="16" t="str">
        <f t="shared" si="906"/>
        <v>Fiche infoA2</v>
      </c>
      <c r="EI485" s="16" t="str">
        <f t="shared" si="907"/>
        <v/>
      </c>
    </row>
    <row r="486" spans="1:144" x14ac:dyDescent="0.2">
      <c r="A486" s="24" t="str">
        <f>Novembre!BJ44</f>
        <v>Fiche infoA3</v>
      </c>
      <c r="B486" s="811">
        <f>Novembre!AB44</f>
        <v>46351</v>
      </c>
      <c r="C486" s="1371"/>
      <c r="D486" s="981">
        <f t="shared" si="863"/>
        <v>0</v>
      </c>
      <c r="E486" s="434">
        <f t="shared" si="864"/>
        <v>0</v>
      </c>
      <c r="F486" s="434">
        <f t="shared" si="865"/>
        <v>0</v>
      </c>
      <c r="G486" s="434">
        <f t="shared" si="866"/>
        <v>0</v>
      </c>
      <c r="H486" s="434">
        <f t="shared" si="867"/>
        <v>0</v>
      </c>
      <c r="I486" s="434">
        <f t="shared" si="868"/>
        <v>0</v>
      </c>
      <c r="J486" s="434">
        <f t="shared" si="869"/>
        <v>0</v>
      </c>
      <c r="K486" s="434">
        <f t="shared" si="870"/>
        <v>0</v>
      </c>
      <c r="L486" s="434">
        <f t="shared" si="908"/>
        <v>0</v>
      </c>
      <c r="M486" s="982">
        <f t="shared" si="909"/>
        <v>0</v>
      </c>
      <c r="O486" s="981">
        <f t="shared" si="925"/>
        <v>0</v>
      </c>
      <c r="P486" s="434">
        <f t="shared" si="926"/>
        <v>0</v>
      </c>
      <c r="Q486" s="434">
        <f t="shared" si="927"/>
        <v>0</v>
      </c>
      <c r="R486" s="434">
        <f t="shared" si="928"/>
        <v>0</v>
      </c>
      <c r="S486" s="434">
        <f t="shared" si="929"/>
        <v>0</v>
      </c>
      <c r="T486" s="434">
        <f t="shared" si="930"/>
        <v>0</v>
      </c>
      <c r="U486" s="434">
        <f t="shared" si="931"/>
        <v>0</v>
      </c>
      <c r="V486" s="434">
        <f t="shared" si="932"/>
        <v>0</v>
      </c>
      <c r="W486" s="434">
        <f t="shared" si="879"/>
        <v>0</v>
      </c>
      <c r="X486" s="982">
        <f t="shared" si="880"/>
        <v>0</v>
      </c>
      <c r="Y486" s="441"/>
      <c r="Z486" s="277">
        <f t="shared" si="881"/>
        <v>0</v>
      </c>
      <c r="AA486" s="277">
        <f t="shared" si="882"/>
        <v>0</v>
      </c>
      <c r="AB486" s="277">
        <f t="shared" si="883"/>
        <v>0</v>
      </c>
      <c r="AC486" s="277">
        <f t="shared" si="884"/>
        <v>0</v>
      </c>
      <c r="AD486" s="277">
        <f t="shared" si="885"/>
        <v>0</v>
      </c>
      <c r="AE486" s="277">
        <f t="shared" si="886"/>
        <v>0</v>
      </c>
      <c r="AF486" s="277">
        <f t="shared" si="887"/>
        <v>0</v>
      </c>
      <c r="AG486" s="277">
        <f t="shared" si="888"/>
        <v>0</v>
      </c>
      <c r="AI486" s="444">
        <f t="shared" si="933"/>
        <v>0</v>
      </c>
      <c r="AJ486" s="1090"/>
      <c r="AK486" s="489"/>
      <c r="AL486" s="811">
        <f t="shared" si="890"/>
        <v>46351</v>
      </c>
      <c r="AM486" s="666">
        <f>IFERROR(IF(AND(AT486="",AR486&lt;&gt;S.CAL!$BJ$3,AR486&lt;&gt;S.CAL!$BJ$4,$AR$455="NON"),M486-BD486,IF(AND(AT486="",AR486&lt;&gt;S.CAL!$BJ$3,AR486&lt;&gt;S.CAL!$BJ$4,$AR$455="OUI"),X486-AI486,IF(AT486&lt;&gt;0,AT486,IF(OR(AR486=S.CAL!$BJ$3,AR486=S.CAL!$BJ$4),AR486,"")))),"")</f>
        <v>0</v>
      </c>
      <c r="AN486" s="1093"/>
      <c r="AO486" s="1094"/>
      <c r="AP486" s="666">
        <f>+IF(AND(AU486="",BB486="OUI",BH486="non",BI486="OUI"),AM486,IF(AND(AU486="",BB486="OUI",BH486="oui",BI486="NON"),AM486,IF(AND(AU486="",BB486="NON",BH486="oui",BI486="NON"),M486,IF(AND(AU486="",BB486="NON",BH486="non",BI486="OUI"),M486,IF(AND(AU486="",BB486="OUI",BH486="non",BI486="NON"),"ERREUR",IF(AND(AU486="",BB486="NON",BH486="non",BI486="NON"),AM486,IF(AND(AU486="",BB486="OUI",BH486="",BI486=""),AM486,IF(AND(AU486="",BB486="NON",BH486="",BI486="",AZ486="NON"),M486,IF(AND(AU486="",BH486="",AZ486="OUI",AR486=""),AM486,IF(AND(AU486="",BH486="",AZ486="NON",AR486="",AT486=""),M486,IF(AND(OR(AR486=S.CAL!$BJ$3,AR486=S.CAL!$BJ$4),(VLOOKUP($AM$455,base_nbre_sem_mensu,2,FALSE)=52)),EE486,IF(AND(OR(AR486=S.CAL!$BJ$3,AR486=S.CAL!$BJ$4),(VLOOKUP($AM$455,base_nbre_sem_mensu,2,FALSE)&lt;52)),AM486,IF(AND(AT486&lt;&gt;"",AU486=""),AT486,AU486)))))))))))))</f>
        <v>0</v>
      </c>
      <c r="AQ486" s="498">
        <f t="shared" si="910"/>
        <v>0</v>
      </c>
      <c r="AR486" s="1098"/>
      <c r="AT486" s="1101"/>
      <c r="AU486" s="813"/>
      <c r="AV486" s="1370">
        <f t="shared" si="891"/>
        <v>46351</v>
      </c>
      <c r="AX486" s="511">
        <f t="shared" si="911"/>
        <v>46351</v>
      </c>
      <c r="AY486" s="523">
        <f t="shared" si="912"/>
        <v>0</v>
      </c>
      <c r="AZ486" s="520" t="s">
        <v>137</v>
      </c>
      <c r="BA486" s="516">
        <f t="shared" si="913"/>
        <v>0</v>
      </c>
      <c r="BB486" s="549" t="str">
        <f t="shared" si="892"/>
        <v/>
      </c>
      <c r="BC486" s="523">
        <f t="shared" si="914"/>
        <v>0</v>
      </c>
      <c r="BD486" s="523">
        <f t="shared" si="915"/>
        <v>0</v>
      </c>
      <c r="BE486" s="1104"/>
      <c r="BF486" s="514" t="str">
        <f t="shared" si="893"/>
        <v/>
      </c>
      <c r="BG486" s="514" t="str">
        <f t="shared" si="916"/>
        <v>oui</v>
      </c>
      <c r="BH486" s="377" t="str">
        <f t="shared" si="894"/>
        <v/>
      </c>
      <c r="BI486" s="24" t="str">
        <f t="shared" si="895"/>
        <v/>
      </c>
      <c r="BJ486" s="1381"/>
      <c r="BK486" s="1381"/>
      <c r="BL486" s="1381"/>
      <c r="BM486" s="1381"/>
      <c r="BN486" s="1381"/>
      <c r="BO486" s="1381"/>
      <c r="BP486" s="1381"/>
      <c r="BQ486" s="1381"/>
      <c r="BS486" s="1370">
        <f t="shared" si="862"/>
        <v>46351</v>
      </c>
      <c r="BT486" s="27" t="str">
        <f t="shared" si="924"/>
        <v/>
      </c>
      <c r="BU486" s="1380"/>
      <c r="BV486" s="1380"/>
      <c r="BW486" s="1380"/>
      <c r="BX486" s="1380"/>
      <c r="BY486" s="1380"/>
      <c r="BZ486" s="1380"/>
      <c r="CA486" s="1380"/>
      <c r="CB486" s="1380"/>
      <c r="CD486" s="1386">
        <f t="shared" si="917"/>
        <v>0</v>
      </c>
      <c r="DC486" s="16" t="str">
        <f>Novembre!FC44</f>
        <v>non</v>
      </c>
      <c r="DG486" s="315">
        <f t="shared" si="918"/>
        <v>1</v>
      </c>
      <c r="DH486" s="129">
        <f t="shared" si="896"/>
        <v>10</v>
      </c>
      <c r="DI486" s="129">
        <f t="shared" si="919"/>
        <v>1</v>
      </c>
      <c r="DK486" s="16">
        <f>+IF(AND(Novembre!$DP$8&lt;&gt;52,AR486=S.CAL!$BJ$4),10,1)</f>
        <v>1</v>
      </c>
      <c r="DN486" s="16">
        <f t="shared" si="897"/>
        <v>1</v>
      </c>
      <c r="DU486" s="1274" t="str">
        <f t="shared" si="920"/>
        <v>Fiche infoA346351</v>
      </c>
      <c r="DV486" s="1362">
        <f t="shared" si="898"/>
        <v>0</v>
      </c>
      <c r="DW486" s="1363">
        <f t="shared" si="899"/>
        <v>0</v>
      </c>
      <c r="DX486" s="1363">
        <f t="shared" si="900"/>
        <v>0</v>
      </c>
      <c r="DY486" s="1363">
        <f t="shared" si="901"/>
        <v>0</v>
      </c>
      <c r="DZ486" s="1363">
        <f t="shared" si="902"/>
        <v>0</v>
      </c>
      <c r="EA486" s="1363">
        <f t="shared" si="903"/>
        <v>0</v>
      </c>
      <c r="EB486" s="1363">
        <f t="shared" si="904"/>
        <v>0</v>
      </c>
      <c r="EC486" s="1363">
        <f t="shared" si="905"/>
        <v>0</v>
      </c>
      <c r="ED486" s="1363">
        <f t="shared" si="921"/>
        <v>0</v>
      </c>
      <c r="EE486" s="1364">
        <f t="shared" si="922"/>
        <v>0</v>
      </c>
      <c r="EG486" s="16" t="str">
        <f t="shared" si="923"/>
        <v>482026</v>
      </c>
      <c r="EH486" s="16" t="str">
        <f t="shared" si="906"/>
        <v>Fiche infoA3</v>
      </c>
      <c r="EI486" s="16" t="str">
        <f t="shared" si="907"/>
        <v/>
      </c>
    </row>
    <row r="487" spans="1:144" x14ac:dyDescent="0.2">
      <c r="A487" s="1373" t="str">
        <f>Novembre!BJ45</f>
        <v>Fiche infoA4</v>
      </c>
      <c r="B487" s="811">
        <f>Novembre!AB45</f>
        <v>46352</v>
      </c>
      <c r="C487" s="1372"/>
      <c r="D487" s="981">
        <f t="shared" si="863"/>
        <v>0</v>
      </c>
      <c r="E487" s="434">
        <f t="shared" si="864"/>
        <v>0</v>
      </c>
      <c r="F487" s="434">
        <f t="shared" si="865"/>
        <v>0</v>
      </c>
      <c r="G487" s="434">
        <f t="shared" si="866"/>
        <v>0</v>
      </c>
      <c r="H487" s="434">
        <f t="shared" si="867"/>
        <v>0</v>
      </c>
      <c r="I487" s="434">
        <f t="shared" si="868"/>
        <v>0</v>
      </c>
      <c r="J487" s="434">
        <f t="shared" si="869"/>
        <v>0</v>
      </c>
      <c r="K487" s="434">
        <f t="shared" si="870"/>
        <v>0</v>
      </c>
      <c r="L487" s="434">
        <f t="shared" si="908"/>
        <v>0</v>
      </c>
      <c r="M487" s="982">
        <f t="shared" si="909"/>
        <v>0</v>
      </c>
      <c r="N487" s="1374"/>
      <c r="O487" s="981">
        <f t="shared" si="925"/>
        <v>0</v>
      </c>
      <c r="P487" s="434">
        <f t="shared" si="926"/>
        <v>0</v>
      </c>
      <c r="Q487" s="434">
        <f t="shared" si="927"/>
        <v>0</v>
      </c>
      <c r="R487" s="434">
        <f t="shared" si="928"/>
        <v>0</v>
      </c>
      <c r="S487" s="434">
        <f t="shared" si="929"/>
        <v>0</v>
      </c>
      <c r="T487" s="434">
        <f t="shared" si="930"/>
        <v>0</v>
      </c>
      <c r="U487" s="434">
        <f t="shared" si="931"/>
        <v>0</v>
      </c>
      <c r="V487" s="434">
        <f t="shared" si="932"/>
        <v>0</v>
      </c>
      <c r="W487" s="434">
        <f t="shared" si="879"/>
        <v>0</v>
      </c>
      <c r="X487" s="982">
        <f t="shared" si="880"/>
        <v>0</v>
      </c>
      <c r="Y487" s="1375"/>
      <c r="Z487" s="1376">
        <f t="shared" si="881"/>
        <v>0</v>
      </c>
      <c r="AA487" s="1376">
        <f t="shared" si="882"/>
        <v>0</v>
      </c>
      <c r="AB487" s="1376">
        <f t="shared" si="883"/>
        <v>0</v>
      </c>
      <c r="AC487" s="1376">
        <f t="shared" si="884"/>
        <v>0</v>
      </c>
      <c r="AD487" s="1376">
        <f t="shared" si="885"/>
        <v>0</v>
      </c>
      <c r="AE487" s="1376">
        <f t="shared" si="886"/>
        <v>0</v>
      </c>
      <c r="AF487" s="1376">
        <f t="shared" si="887"/>
        <v>0</v>
      </c>
      <c r="AG487" s="1376">
        <f t="shared" si="888"/>
        <v>0</v>
      </c>
      <c r="AH487" s="1374"/>
      <c r="AI487" s="444">
        <f t="shared" si="933"/>
        <v>0</v>
      </c>
      <c r="AJ487" s="1090"/>
      <c r="AK487" s="1377"/>
      <c r="AL487" s="811">
        <f t="shared" si="890"/>
        <v>46352</v>
      </c>
      <c r="AM487" s="666">
        <f>IFERROR(IF(AND(AT487="",AR487&lt;&gt;S.CAL!$BJ$3,AR487&lt;&gt;S.CAL!$BJ$4,$AR$455="NON"),M487-BD487,IF(AND(AT487="",AR487&lt;&gt;S.CAL!$BJ$3,AR487&lt;&gt;S.CAL!$BJ$4,$AR$455="OUI"),X487-AI487,IF(AT487&lt;&gt;0,AT487,IF(OR(AR487=S.CAL!$BJ$3,AR487=S.CAL!$BJ$4),AR487,"")))),"")</f>
        <v>0</v>
      </c>
      <c r="AN487" s="1093"/>
      <c r="AO487" s="1094"/>
      <c r="AP487" s="666">
        <f>+IF(AND(AU487="",BB487="OUI",BH487="non",BI487="OUI"),AM487,IF(AND(AU487="",BB487="OUI",BH487="oui",BI487="NON"),AM487,IF(AND(AU487="",BB487="NON",BH487="oui",BI487="NON"),M487,IF(AND(AU487="",BB487="NON",BH487="non",BI487="OUI"),M487,IF(AND(AU487="",BB487="OUI",BH487="non",BI487="NON"),"ERREUR",IF(AND(AU487="",BB487="NON",BH487="non",BI487="NON"),AM487,IF(AND(AU487="",BB487="OUI",BH487="",BI487=""),AM487,IF(AND(AU487="",BB487="NON",BH487="",BI487="",AZ487="NON"),M487,IF(AND(AU487="",BH487="",AZ487="OUI",AR487=""),AM487,IF(AND(AU487="",BH487="",AZ487="NON",AR487="",AT487=""),M487,IF(AND(OR(AR487=S.CAL!$BJ$3,AR487=S.CAL!$BJ$4),(VLOOKUP($AM$455,base_nbre_sem_mensu,2,FALSE)=52)),EE487,IF(AND(OR(AR487=S.CAL!$BJ$3,AR487=S.CAL!$BJ$4),(VLOOKUP($AM$455,base_nbre_sem_mensu,2,FALSE)&lt;52)),AM487,IF(AND(AT487&lt;&gt;"",AU487=""),AT487,AU487)))))))))))))</f>
        <v>0</v>
      </c>
      <c r="AQ487" s="1378">
        <f t="shared" si="910"/>
        <v>0</v>
      </c>
      <c r="AR487" s="1098"/>
      <c r="AS487" s="1374"/>
      <c r="AT487" s="1101"/>
      <c r="AU487" s="813"/>
      <c r="AV487" s="1370">
        <f t="shared" si="891"/>
        <v>46352</v>
      </c>
      <c r="AW487" s="1374"/>
      <c r="AX487" s="511">
        <f t="shared" si="911"/>
        <v>46352</v>
      </c>
      <c r="AY487" s="523">
        <f t="shared" si="912"/>
        <v>0</v>
      </c>
      <c r="AZ487" s="520" t="s">
        <v>137</v>
      </c>
      <c r="BA487" s="516">
        <f t="shared" si="913"/>
        <v>0</v>
      </c>
      <c r="BB487" s="549" t="str">
        <f t="shared" si="892"/>
        <v/>
      </c>
      <c r="BC487" s="523">
        <f t="shared" si="914"/>
        <v>0</v>
      </c>
      <c r="BD487" s="523">
        <f t="shared" si="915"/>
        <v>0</v>
      </c>
      <c r="BE487" s="1104"/>
      <c r="BF487" s="514" t="str">
        <f t="shared" si="893"/>
        <v/>
      </c>
      <c r="BG487" s="514" t="str">
        <f t="shared" si="916"/>
        <v>oui</v>
      </c>
      <c r="BH487" s="377" t="str">
        <f t="shared" si="894"/>
        <v/>
      </c>
      <c r="BI487" s="24" t="str">
        <f t="shared" si="895"/>
        <v/>
      </c>
      <c r="BJ487" s="1382"/>
      <c r="BK487" s="1382"/>
      <c r="BL487" s="1382"/>
      <c r="BM487" s="1382"/>
      <c r="BN487" s="1382"/>
      <c r="BO487" s="1382"/>
      <c r="BP487" s="1382"/>
      <c r="BQ487" s="1382"/>
      <c r="BR487" s="1383"/>
      <c r="BS487" s="1370">
        <f t="shared" si="862"/>
        <v>46352</v>
      </c>
      <c r="BT487" s="1384" t="str">
        <f t="shared" si="924"/>
        <v/>
      </c>
      <c r="BU487" s="1382"/>
      <c r="BV487" s="1382"/>
      <c r="BW487" s="1382"/>
      <c r="BX487" s="1382"/>
      <c r="BY487" s="1382"/>
      <c r="BZ487" s="1382"/>
      <c r="CA487" s="1382"/>
      <c r="CB487" s="1382"/>
      <c r="CD487" s="1386">
        <f t="shared" si="917"/>
        <v>0</v>
      </c>
      <c r="DC487" s="16" t="str">
        <f>Novembre!FC45</f>
        <v>non</v>
      </c>
      <c r="DG487" s="315">
        <f t="shared" si="918"/>
        <v>1</v>
      </c>
      <c r="DH487" s="129">
        <f t="shared" si="896"/>
        <v>10</v>
      </c>
      <c r="DI487" s="129">
        <f t="shared" si="919"/>
        <v>1</v>
      </c>
      <c r="DK487" s="16">
        <f>+IF(AND(Novembre!$DP$8&lt;&gt;52,AR487=S.CAL!$BJ$4),10,1)</f>
        <v>1</v>
      </c>
      <c r="DN487" s="16">
        <f t="shared" si="897"/>
        <v>1</v>
      </c>
      <c r="DU487" s="1274" t="str">
        <f t="shared" si="920"/>
        <v>Fiche infoA446352</v>
      </c>
      <c r="DV487" s="1362">
        <f t="shared" si="898"/>
        <v>0</v>
      </c>
      <c r="DW487" s="1363">
        <f t="shared" si="899"/>
        <v>0</v>
      </c>
      <c r="DX487" s="1363">
        <f t="shared" si="900"/>
        <v>0</v>
      </c>
      <c r="DY487" s="1363">
        <f t="shared" si="901"/>
        <v>0</v>
      </c>
      <c r="DZ487" s="1363">
        <f t="shared" si="902"/>
        <v>0</v>
      </c>
      <c r="EA487" s="1363">
        <f t="shared" si="903"/>
        <v>0</v>
      </c>
      <c r="EB487" s="1363">
        <f t="shared" si="904"/>
        <v>0</v>
      </c>
      <c r="EC487" s="1363">
        <f t="shared" si="905"/>
        <v>0</v>
      </c>
      <c r="ED487" s="1363">
        <f t="shared" si="921"/>
        <v>0</v>
      </c>
      <c r="EE487" s="1364">
        <f t="shared" si="922"/>
        <v>0</v>
      </c>
      <c r="EG487" s="16" t="str">
        <f t="shared" si="923"/>
        <v>482026</v>
      </c>
      <c r="EH487" s="16" t="str">
        <f t="shared" si="906"/>
        <v>Fiche infoA4</v>
      </c>
      <c r="EI487" s="16" t="str">
        <f t="shared" si="907"/>
        <v/>
      </c>
    </row>
    <row r="488" spans="1:144" x14ac:dyDescent="0.2">
      <c r="A488" s="24" t="str">
        <f>Novembre!BJ46</f>
        <v>Fiche infoA5</v>
      </c>
      <c r="B488" s="811">
        <f>Novembre!AB46</f>
        <v>46353</v>
      </c>
      <c r="C488" s="1371"/>
      <c r="D488" s="981">
        <f t="shared" si="863"/>
        <v>0</v>
      </c>
      <c r="E488" s="434">
        <f t="shared" si="864"/>
        <v>0</v>
      </c>
      <c r="F488" s="434">
        <f t="shared" si="865"/>
        <v>0</v>
      </c>
      <c r="G488" s="434">
        <f t="shared" si="866"/>
        <v>0</v>
      </c>
      <c r="H488" s="434">
        <f t="shared" si="867"/>
        <v>0</v>
      </c>
      <c r="I488" s="434">
        <f t="shared" si="868"/>
        <v>0</v>
      </c>
      <c r="J488" s="434">
        <f t="shared" si="869"/>
        <v>0</v>
      </c>
      <c r="K488" s="434">
        <f t="shared" si="870"/>
        <v>0</v>
      </c>
      <c r="L488" s="434">
        <f t="shared" si="908"/>
        <v>0</v>
      </c>
      <c r="M488" s="982">
        <f t="shared" si="909"/>
        <v>0</v>
      </c>
      <c r="O488" s="981">
        <f t="shared" si="925"/>
        <v>0</v>
      </c>
      <c r="P488" s="434">
        <f t="shared" si="926"/>
        <v>0</v>
      </c>
      <c r="Q488" s="434">
        <f t="shared" si="927"/>
        <v>0</v>
      </c>
      <c r="R488" s="434">
        <f t="shared" si="928"/>
        <v>0</v>
      </c>
      <c r="S488" s="434">
        <f t="shared" si="929"/>
        <v>0</v>
      </c>
      <c r="T488" s="434">
        <f t="shared" si="930"/>
        <v>0</v>
      </c>
      <c r="U488" s="434">
        <f t="shared" si="931"/>
        <v>0</v>
      </c>
      <c r="V488" s="434">
        <f t="shared" si="932"/>
        <v>0</v>
      </c>
      <c r="W488" s="434">
        <f t="shared" si="879"/>
        <v>0</v>
      </c>
      <c r="X488" s="982">
        <f t="shared" si="880"/>
        <v>0</v>
      </c>
      <c r="Y488" s="441"/>
      <c r="Z488" s="277">
        <f t="shared" si="881"/>
        <v>0</v>
      </c>
      <c r="AA488" s="277">
        <f t="shared" si="882"/>
        <v>0</v>
      </c>
      <c r="AB488" s="277">
        <f t="shared" si="883"/>
        <v>0</v>
      </c>
      <c r="AC488" s="277">
        <f t="shared" si="884"/>
        <v>0</v>
      </c>
      <c r="AD488" s="277">
        <f t="shared" si="885"/>
        <v>0</v>
      </c>
      <c r="AE488" s="277">
        <f t="shared" si="886"/>
        <v>0</v>
      </c>
      <c r="AF488" s="277">
        <f t="shared" si="887"/>
        <v>0</v>
      </c>
      <c r="AG488" s="277">
        <f t="shared" si="888"/>
        <v>0</v>
      </c>
      <c r="AI488" s="444">
        <f t="shared" si="933"/>
        <v>0</v>
      </c>
      <c r="AJ488" s="1090"/>
      <c r="AK488" s="489"/>
      <c r="AL488" s="811">
        <f t="shared" si="890"/>
        <v>46353</v>
      </c>
      <c r="AM488" s="666">
        <f>IFERROR(IF(AND(AT488="",AR488&lt;&gt;S.CAL!$BJ$3,AR488&lt;&gt;S.CAL!$BJ$4,$AR$455="NON"),M488-BD488,IF(AND(AT488="",AR488&lt;&gt;S.CAL!$BJ$3,AR488&lt;&gt;S.CAL!$BJ$4,$AR$455="OUI"),X488-AI488,IF(AT488&lt;&gt;0,AT488,IF(OR(AR488=S.CAL!$BJ$3,AR488=S.CAL!$BJ$4),AR488,"")))),"")</f>
        <v>0</v>
      </c>
      <c r="AN488" s="1093"/>
      <c r="AO488" s="1094"/>
      <c r="AP488" s="666">
        <f>+IF(AND(AU488="",BB488="OUI",BH488="non",BI488="OUI"),AM488,IF(AND(AU488="",BB488="OUI",BH488="oui",BI488="NON"),AM488,IF(AND(AU488="",BB488="NON",BH488="oui",BI488="NON"),M488,IF(AND(AU488="",BB488="NON",BH488="non",BI488="OUI"),M488,IF(AND(AU488="",BB488="OUI",BH488="non",BI488="NON"),"ERREUR",IF(AND(AU488="",BB488="NON",BH488="non",BI488="NON"),AM488,IF(AND(AU488="",BB488="OUI",BH488="",BI488=""),AM488,IF(AND(AU488="",BB488="NON",BH488="",BI488="",AZ488="NON"),M488,IF(AND(AU488="",BH488="",AZ488="OUI",AR488=""),AM488,IF(AND(AU488="",BH488="",AZ488="NON",AR488="",AT488=""),M488,IF(AND(OR(AR488=S.CAL!$BJ$3,AR488=S.CAL!$BJ$4),(VLOOKUP($AM$455,base_nbre_sem_mensu,2,FALSE)=52)),EE488,IF(AND(OR(AR488=S.CAL!$BJ$3,AR488=S.CAL!$BJ$4),(VLOOKUP($AM$455,base_nbre_sem_mensu,2,FALSE)&lt;52)),AM488,IF(AND(AT488&lt;&gt;"",AU488=""),AT488,AU488)))))))))))))</f>
        <v>0</v>
      </c>
      <c r="AQ488" s="498">
        <f t="shared" si="910"/>
        <v>0</v>
      </c>
      <c r="AR488" s="1098"/>
      <c r="AT488" s="1101"/>
      <c r="AU488" s="813"/>
      <c r="AV488" s="1370">
        <f t="shared" si="891"/>
        <v>46353</v>
      </c>
      <c r="AX488" s="511">
        <f t="shared" si="911"/>
        <v>46353</v>
      </c>
      <c r="AY488" s="523">
        <f t="shared" si="912"/>
        <v>0</v>
      </c>
      <c r="AZ488" s="520" t="s">
        <v>137</v>
      </c>
      <c r="BA488" s="516">
        <f t="shared" si="913"/>
        <v>0</v>
      </c>
      <c r="BB488" s="549" t="str">
        <f t="shared" si="892"/>
        <v/>
      </c>
      <c r="BC488" s="523">
        <f t="shared" si="914"/>
        <v>0</v>
      </c>
      <c r="BD488" s="523">
        <f t="shared" si="915"/>
        <v>0</v>
      </c>
      <c r="BE488" s="1104"/>
      <c r="BF488" s="514" t="str">
        <f t="shared" si="893"/>
        <v/>
      </c>
      <c r="BG488" s="514" t="str">
        <f t="shared" si="916"/>
        <v>oui</v>
      </c>
      <c r="BH488" s="377" t="str">
        <f t="shared" si="894"/>
        <v/>
      </c>
      <c r="BI488" s="24" t="str">
        <f t="shared" si="895"/>
        <v/>
      </c>
      <c r="BJ488" s="1381"/>
      <c r="BK488" s="1381"/>
      <c r="BL488" s="1381"/>
      <c r="BM488" s="1381"/>
      <c r="BN488" s="1381"/>
      <c r="BO488" s="1381"/>
      <c r="BP488" s="1381"/>
      <c r="BQ488" s="1381"/>
      <c r="BS488" s="1370">
        <f t="shared" si="862"/>
        <v>46353</v>
      </c>
      <c r="BT488" s="27" t="str">
        <f t="shared" si="924"/>
        <v/>
      </c>
      <c r="BU488" s="1380"/>
      <c r="BV488" s="1380"/>
      <c r="BW488" s="1380"/>
      <c r="BX488" s="1380"/>
      <c r="BY488" s="1380"/>
      <c r="BZ488" s="1380"/>
      <c r="CA488" s="1380"/>
      <c r="CB488" s="1380"/>
      <c r="CD488" s="1386">
        <f t="shared" si="917"/>
        <v>0</v>
      </c>
      <c r="DC488" s="16" t="str">
        <f>Novembre!FC46</f>
        <v>non</v>
      </c>
      <c r="DG488" s="315">
        <f t="shared" si="918"/>
        <v>1</v>
      </c>
      <c r="DH488" s="129">
        <f t="shared" si="896"/>
        <v>10</v>
      </c>
      <c r="DI488" s="129">
        <f t="shared" si="919"/>
        <v>1</v>
      </c>
      <c r="DK488" s="16">
        <f>+IF(AND(Novembre!$DP$8&lt;&gt;52,AR488=S.CAL!$BJ$4),10,1)</f>
        <v>1</v>
      </c>
      <c r="DN488" s="16">
        <f t="shared" si="897"/>
        <v>1</v>
      </c>
      <c r="DU488" s="1274" t="str">
        <f t="shared" si="920"/>
        <v>Fiche infoA546353</v>
      </c>
      <c r="DV488" s="1362">
        <f t="shared" si="898"/>
        <v>0</v>
      </c>
      <c r="DW488" s="1363">
        <f t="shared" si="899"/>
        <v>0</v>
      </c>
      <c r="DX488" s="1363">
        <f t="shared" si="900"/>
        <v>0</v>
      </c>
      <c r="DY488" s="1363">
        <f t="shared" si="901"/>
        <v>0</v>
      </c>
      <c r="DZ488" s="1363">
        <f t="shared" si="902"/>
        <v>0</v>
      </c>
      <c r="EA488" s="1363">
        <f t="shared" si="903"/>
        <v>0</v>
      </c>
      <c r="EB488" s="1363">
        <f t="shared" si="904"/>
        <v>0</v>
      </c>
      <c r="EC488" s="1363">
        <f t="shared" si="905"/>
        <v>0</v>
      </c>
      <c r="ED488" s="1363">
        <f t="shared" si="921"/>
        <v>0</v>
      </c>
      <c r="EE488" s="1364">
        <f t="shared" si="922"/>
        <v>0</v>
      </c>
      <c r="EG488" s="16" t="str">
        <f t="shared" si="923"/>
        <v>482026</v>
      </c>
      <c r="EH488" s="16" t="str">
        <f t="shared" si="906"/>
        <v>Fiche infoA5</v>
      </c>
      <c r="EI488" s="16" t="str">
        <f t="shared" si="907"/>
        <v/>
      </c>
    </row>
    <row r="489" spans="1:144" x14ac:dyDescent="0.2">
      <c r="A489" s="1373" t="str">
        <f>Novembre!BJ47</f>
        <v>Fiche infoA6</v>
      </c>
      <c r="B489" s="811">
        <f>Novembre!AB47</f>
        <v>46354</v>
      </c>
      <c r="C489" s="1372"/>
      <c r="D489" s="981">
        <f t="shared" si="863"/>
        <v>0</v>
      </c>
      <c r="E489" s="434">
        <f t="shared" si="864"/>
        <v>0</v>
      </c>
      <c r="F489" s="434">
        <f t="shared" si="865"/>
        <v>0</v>
      </c>
      <c r="G489" s="434">
        <f t="shared" si="866"/>
        <v>0</v>
      </c>
      <c r="H489" s="434">
        <f t="shared" si="867"/>
        <v>0</v>
      </c>
      <c r="I489" s="434">
        <f t="shared" si="868"/>
        <v>0</v>
      </c>
      <c r="J489" s="434">
        <f t="shared" si="869"/>
        <v>0</v>
      </c>
      <c r="K489" s="434">
        <f t="shared" si="870"/>
        <v>0</v>
      </c>
      <c r="L489" s="434">
        <f t="shared" si="908"/>
        <v>0</v>
      </c>
      <c r="M489" s="982">
        <f t="shared" si="909"/>
        <v>0</v>
      </c>
      <c r="N489" s="1374"/>
      <c r="O489" s="981">
        <f t="shared" si="925"/>
        <v>0</v>
      </c>
      <c r="P489" s="434">
        <f t="shared" si="926"/>
        <v>0</v>
      </c>
      <c r="Q489" s="434">
        <f t="shared" si="927"/>
        <v>0</v>
      </c>
      <c r="R489" s="434">
        <f t="shared" si="928"/>
        <v>0</v>
      </c>
      <c r="S489" s="434">
        <f t="shared" si="929"/>
        <v>0</v>
      </c>
      <c r="T489" s="434">
        <f t="shared" si="930"/>
        <v>0</v>
      </c>
      <c r="U489" s="434">
        <f t="shared" si="931"/>
        <v>0</v>
      </c>
      <c r="V489" s="434">
        <f t="shared" si="932"/>
        <v>0</v>
      </c>
      <c r="W489" s="434">
        <f t="shared" si="879"/>
        <v>0</v>
      </c>
      <c r="X489" s="982">
        <f t="shared" si="880"/>
        <v>0</v>
      </c>
      <c r="Y489" s="1375"/>
      <c r="Z489" s="1376">
        <f t="shared" si="881"/>
        <v>0</v>
      </c>
      <c r="AA489" s="1376">
        <f t="shared" si="882"/>
        <v>0</v>
      </c>
      <c r="AB489" s="1376">
        <f t="shared" si="883"/>
        <v>0</v>
      </c>
      <c r="AC489" s="1376">
        <f t="shared" si="884"/>
        <v>0</v>
      </c>
      <c r="AD489" s="1376">
        <f t="shared" si="885"/>
        <v>0</v>
      </c>
      <c r="AE489" s="1376">
        <f t="shared" si="886"/>
        <v>0</v>
      </c>
      <c r="AF489" s="1376">
        <f t="shared" si="887"/>
        <v>0</v>
      </c>
      <c r="AG489" s="1376">
        <f t="shared" si="888"/>
        <v>0</v>
      </c>
      <c r="AH489" s="1374"/>
      <c r="AI489" s="444">
        <f t="shared" si="933"/>
        <v>0</v>
      </c>
      <c r="AJ489" s="1090"/>
      <c r="AK489" s="1377"/>
      <c r="AL489" s="811">
        <f t="shared" si="890"/>
        <v>46354</v>
      </c>
      <c r="AM489" s="666">
        <f>IFERROR(IF(AND(AT489="",AR489&lt;&gt;S.CAL!$BJ$3,AR489&lt;&gt;S.CAL!$BJ$4,$AR$455="NON"),M489-BD489,IF(AND(AT489="",AR489&lt;&gt;S.CAL!$BJ$3,AR489&lt;&gt;S.CAL!$BJ$4,$AR$455="OUI"),X489-AI489,IF(AT489&lt;&gt;0,AT489,IF(OR(AR489=S.CAL!$BJ$3,AR489=S.CAL!$BJ$4),AR489,"")))),"")</f>
        <v>0</v>
      </c>
      <c r="AN489" s="1093"/>
      <c r="AO489" s="1094"/>
      <c r="AP489" s="666">
        <f>+IF(AND(AU489="",BB489="OUI",BH489="non",BI489="OUI"),AM489,IF(AND(AU489="",BB489="OUI",BH489="oui",BI489="NON"),AM489,IF(AND(AU489="",BB489="NON",BH489="oui",BI489="NON"),M489,IF(AND(AU489="",BB489="NON",BH489="non",BI489="OUI"),M489,IF(AND(AU489="",BB489="OUI",BH489="non",BI489="NON"),"ERREUR",IF(AND(AU489="",BB489="NON",BH489="non",BI489="NON"),AM489,IF(AND(AU489="",BB489="OUI",BH489="",BI489=""),AM489,IF(AND(AU489="",BB489="NON",BH489="",BI489="",AZ489="NON"),M489,IF(AND(AU489="",BH489="",AZ489="OUI",AR489=""),AM489,IF(AND(AU489="",BH489="",AZ489="NON",AR489="",AT489=""),M489,IF(AND(OR(AR489=S.CAL!$BJ$3,AR489=S.CAL!$BJ$4),(VLOOKUP($AM$455,base_nbre_sem_mensu,2,FALSE)=52)),EE489,IF(AND(OR(AR489=S.CAL!$BJ$3,AR489=S.CAL!$BJ$4),(VLOOKUP($AM$455,base_nbre_sem_mensu,2,FALSE)&lt;52)),AM489,IF(AND(AT489&lt;&gt;"",AU489=""),AT489,AU489)))))))))))))</f>
        <v>0</v>
      </c>
      <c r="AQ489" s="1378">
        <f t="shared" si="910"/>
        <v>0</v>
      </c>
      <c r="AR489" s="1098"/>
      <c r="AS489" s="1374"/>
      <c r="AT489" s="1101"/>
      <c r="AU489" s="813"/>
      <c r="AV489" s="1370">
        <f t="shared" si="891"/>
        <v>46354</v>
      </c>
      <c r="AW489" s="1374"/>
      <c r="AX489" s="511">
        <f t="shared" si="911"/>
        <v>46354</v>
      </c>
      <c r="AY489" s="523">
        <f t="shared" si="912"/>
        <v>0</v>
      </c>
      <c r="AZ489" s="520" t="s">
        <v>137</v>
      </c>
      <c r="BA489" s="516">
        <f t="shared" si="913"/>
        <v>0</v>
      </c>
      <c r="BB489" s="549" t="str">
        <f t="shared" si="892"/>
        <v/>
      </c>
      <c r="BC489" s="523">
        <f t="shared" si="914"/>
        <v>0</v>
      </c>
      <c r="BD489" s="523">
        <f t="shared" si="915"/>
        <v>0</v>
      </c>
      <c r="BE489" s="1104"/>
      <c r="BF489" s="514" t="str">
        <f t="shared" si="893"/>
        <v/>
      </c>
      <c r="BG489" s="514" t="str">
        <f t="shared" si="916"/>
        <v>oui</v>
      </c>
      <c r="BH489" s="377" t="str">
        <f t="shared" si="894"/>
        <v/>
      </c>
      <c r="BI489" s="24" t="str">
        <f t="shared" si="895"/>
        <v/>
      </c>
      <c r="BJ489" s="1382"/>
      <c r="BK489" s="1382"/>
      <c r="BL489" s="1382"/>
      <c r="BM489" s="1382"/>
      <c r="BN489" s="1382"/>
      <c r="BO489" s="1382"/>
      <c r="BP489" s="1382"/>
      <c r="BQ489" s="1382"/>
      <c r="BR489" s="1383"/>
      <c r="BS489" s="1370">
        <f t="shared" si="862"/>
        <v>46354</v>
      </c>
      <c r="BT489" s="1384" t="str">
        <f t="shared" si="924"/>
        <v/>
      </c>
      <c r="BU489" s="1382"/>
      <c r="BV489" s="1382"/>
      <c r="BW489" s="1382"/>
      <c r="BX489" s="1382"/>
      <c r="BY489" s="1382"/>
      <c r="BZ489" s="1382"/>
      <c r="CA489" s="1382"/>
      <c r="CB489" s="1382"/>
      <c r="CD489" s="1386">
        <f t="shared" si="917"/>
        <v>0</v>
      </c>
      <c r="DC489" s="16" t="str">
        <f>Novembre!FC47</f>
        <v>non</v>
      </c>
      <c r="DG489" s="315">
        <f t="shared" si="918"/>
        <v>1</v>
      </c>
      <c r="DH489" s="129">
        <f t="shared" si="896"/>
        <v>10</v>
      </c>
      <c r="DI489" s="129">
        <f t="shared" si="919"/>
        <v>1</v>
      </c>
      <c r="DK489" s="16">
        <f>+IF(AND(Novembre!$DP$8&lt;&gt;52,AR489=S.CAL!$BJ$4),10,1)</f>
        <v>1</v>
      </c>
      <c r="DN489" s="16">
        <f t="shared" si="897"/>
        <v>1</v>
      </c>
      <c r="DU489" s="1274" t="str">
        <f t="shared" si="920"/>
        <v>Fiche infoA646354</v>
      </c>
      <c r="DV489" s="1362">
        <f t="shared" si="898"/>
        <v>0</v>
      </c>
      <c r="DW489" s="1363">
        <f t="shared" si="899"/>
        <v>0</v>
      </c>
      <c r="DX489" s="1363">
        <f t="shared" si="900"/>
        <v>0</v>
      </c>
      <c r="DY489" s="1363">
        <f t="shared" si="901"/>
        <v>0</v>
      </c>
      <c r="DZ489" s="1363">
        <f t="shared" si="902"/>
        <v>0</v>
      </c>
      <c r="EA489" s="1363">
        <f t="shared" si="903"/>
        <v>0</v>
      </c>
      <c r="EB489" s="1363">
        <f t="shared" si="904"/>
        <v>0</v>
      </c>
      <c r="EC489" s="1363">
        <f t="shared" si="905"/>
        <v>0</v>
      </c>
      <c r="ED489" s="1363">
        <f t="shared" si="921"/>
        <v>0</v>
      </c>
      <c r="EE489" s="1364">
        <f t="shared" si="922"/>
        <v>0</v>
      </c>
      <c r="EG489" s="16" t="str">
        <f t="shared" si="923"/>
        <v>482026</v>
      </c>
      <c r="EH489" s="16" t="str">
        <f t="shared" si="906"/>
        <v>Fiche infoA6</v>
      </c>
      <c r="EI489" s="16" t="str">
        <f t="shared" si="907"/>
        <v/>
      </c>
    </row>
    <row r="490" spans="1:144" x14ac:dyDescent="0.2">
      <c r="A490" s="24" t="str">
        <f>Novembre!BJ48</f>
        <v>Fiche infoA7</v>
      </c>
      <c r="B490" s="811">
        <f>Novembre!AB48</f>
        <v>46355</v>
      </c>
      <c r="C490" s="1371"/>
      <c r="D490" s="981">
        <f t="shared" si="863"/>
        <v>0</v>
      </c>
      <c r="E490" s="434">
        <f t="shared" si="864"/>
        <v>0</v>
      </c>
      <c r="F490" s="434">
        <f t="shared" si="865"/>
        <v>0</v>
      </c>
      <c r="G490" s="434">
        <f t="shared" si="866"/>
        <v>0</v>
      </c>
      <c r="H490" s="434">
        <f t="shared" si="867"/>
        <v>0</v>
      </c>
      <c r="I490" s="434">
        <f t="shared" si="868"/>
        <v>0</v>
      </c>
      <c r="J490" s="434">
        <f t="shared" si="869"/>
        <v>0</v>
      </c>
      <c r="K490" s="434">
        <f t="shared" si="870"/>
        <v>0</v>
      </c>
      <c r="L490" s="434">
        <f t="shared" si="908"/>
        <v>0</v>
      </c>
      <c r="M490" s="982">
        <f t="shared" si="909"/>
        <v>0</v>
      </c>
      <c r="O490" s="981">
        <f t="shared" si="925"/>
        <v>0</v>
      </c>
      <c r="P490" s="434">
        <f t="shared" si="926"/>
        <v>0</v>
      </c>
      <c r="Q490" s="434">
        <f t="shared" si="927"/>
        <v>0</v>
      </c>
      <c r="R490" s="434">
        <f t="shared" si="928"/>
        <v>0</v>
      </c>
      <c r="S490" s="434">
        <f t="shared" si="929"/>
        <v>0</v>
      </c>
      <c r="T490" s="434">
        <f t="shared" si="930"/>
        <v>0</v>
      </c>
      <c r="U490" s="434">
        <f t="shared" si="931"/>
        <v>0</v>
      </c>
      <c r="V490" s="434">
        <f t="shared" si="932"/>
        <v>0</v>
      </c>
      <c r="W490" s="434">
        <f t="shared" si="879"/>
        <v>0</v>
      </c>
      <c r="X490" s="982">
        <f t="shared" si="880"/>
        <v>0</v>
      </c>
      <c r="Y490" s="441"/>
      <c r="Z490" s="277">
        <f t="shared" si="881"/>
        <v>0</v>
      </c>
      <c r="AA490" s="277">
        <f t="shared" si="882"/>
        <v>0</v>
      </c>
      <c r="AB490" s="277">
        <f t="shared" si="883"/>
        <v>0</v>
      </c>
      <c r="AC490" s="277">
        <f t="shared" si="884"/>
        <v>0</v>
      </c>
      <c r="AD490" s="277">
        <f t="shared" si="885"/>
        <v>0</v>
      </c>
      <c r="AE490" s="277">
        <f t="shared" si="886"/>
        <v>0</v>
      </c>
      <c r="AF490" s="277">
        <f t="shared" si="887"/>
        <v>0</v>
      </c>
      <c r="AG490" s="277">
        <f t="shared" si="888"/>
        <v>0</v>
      </c>
      <c r="AI490" s="444">
        <f t="shared" si="933"/>
        <v>0</v>
      </c>
      <c r="AJ490" s="1090"/>
      <c r="AK490" s="489"/>
      <c r="AL490" s="811">
        <f t="shared" si="890"/>
        <v>46355</v>
      </c>
      <c r="AM490" s="666">
        <f>IFERROR(IF(AND(AT490="",AR490&lt;&gt;S.CAL!$BJ$3,AR490&lt;&gt;S.CAL!$BJ$4,$AR$455="NON"),M490-BD490,IF(AND(AT490="",AR490&lt;&gt;S.CAL!$BJ$3,AR490&lt;&gt;S.CAL!$BJ$4,$AR$455="OUI"),X490-AI490,IF(AT490&lt;&gt;0,AT490,IF(OR(AR490=S.CAL!$BJ$3,AR490=S.CAL!$BJ$4),AR490,"")))),"")</f>
        <v>0</v>
      </c>
      <c r="AN490" s="1093"/>
      <c r="AO490" s="1094"/>
      <c r="AP490" s="666">
        <f>+IF(AND(AU490="",BB490="OUI",BH490="non",BI490="OUI"),AM490,IF(AND(AU490="",BB490="OUI",BH490="oui",BI490="NON"),AM490,IF(AND(AU490="",BB490="NON",BH490="oui",BI490="NON"),M490,IF(AND(AU490="",BB490="NON",BH490="non",BI490="OUI"),M490,IF(AND(AU490="",BB490="OUI",BH490="non",BI490="NON"),"ERREUR",IF(AND(AU490="",BB490="NON",BH490="non",BI490="NON"),AM490,IF(AND(AU490="",BB490="OUI",BH490="",BI490=""),AM490,IF(AND(AU490="",BB490="NON",BH490="",BI490="",AZ490="NON"),M490,IF(AND(AU490="",BH490="",AZ490="OUI",AR490=""),AM490,IF(AND(AU490="",BH490="",AZ490="NON",AR490="",AT490=""),M490,IF(AND(OR(AR490=S.CAL!$BJ$3,AR490=S.CAL!$BJ$4),(VLOOKUP($AM$455,base_nbre_sem_mensu,2,FALSE)=52)),EE490,IF(AND(OR(AR490=S.CAL!$BJ$3,AR490=S.CAL!$BJ$4),(VLOOKUP($AM$455,base_nbre_sem_mensu,2,FALSE)&lt;52)),AM490,IF(AND(AT490&lt;&gt;"",AU490=""),AT490,AU490)))))))))))))</f>
        <v>0</v>
      </c>
      <c r="AQ490" s="498">
        <f t="shared" si="910"/>
        <v>0</v>
      </c>
      <c r="AR490" s="1098"/>
      <c r="AT490" s="1101"/>
      <c r="AU490" s="813"/>
      <c r="AV490" s="1370">
        <f t="shared" si="891"/>
        <v>46355</v>
      </c>
      <c r="AX490" s="511">
        <f t="shared" si="911"/>
        <v>46355</v>
      </c>
      <c r="AY490" s="523">
        <f t="shared" si="912"/>
        <v>0</v>
      </c>
      <c r="AZ490" s="520" t="s">
        <v>137</v>
      </c>
      <c r="BA490" s="516">
        <f t="shared" si="913"/>
        <v>0</v>
      </c>
      <c r="BB490" s="549" t="str">
        <f t="shared" si="892"/>
        <v/>
      </c>
      <c r="BC490" s="523">
        <f t="shared" si="914"/>
        <v>0</v>
      </c>
      <c r="BD490" s="523">
        <f t="shared" si="915"/>
        <v>0</v>
      </c>
      <c r="BE490" s="1104"/>
      <c r="BF490" s="514" t="str">
        <f t="shared" si="893"/>
        <v/>
      </c>
      <c r="BG490" s="514" t="str">
        <f t="shared" si="916"/>
        <v>oui</v>
      </c>
      <c r="BH490" s="377" t="str">
        <f t="shared" si="894"/>
        <v/>
      </c>
      <c r="BI490" s="24" t="str">
        <f t="shared" si="895"/>
        <v/>
      </c>
      <c r="BJ490" s="1381"/>
      <c r="BK490" s="1381"/>
      <c r="BL490" s="1381"/>
      <c r="BM490" s="1381"/>
      <c r="BN490" s="1381"/>
      <c r="BO490" s="1381"/>
      <c r="BP490" s="1381"/>
      <c r="BQ490" s="1381"/>
      <c r="BS490" s="1370">
        <f t="shared" si="862"/>
        <v>46355</v>
      </c>
      <c r="BT490" s="27" t="str">
        <f t="shared" si="924"/>
        <v/>
      </c>
      <c r="BU490" s="1380"/>
      <c r="BV490" s="1380"/>
      <c r="BW490" s="1380"/>
      <c r="BX490" s="1380"/>
      <c r="BY490" s="1380"/>
      <c r="BZ490" s="1380"/>
      <c r="CA490" s="1380"/>
      <c r="CB490" s="1380"/>
      <c r="CD490" s="1386">
        <f t="shared" si="917"/>
        <v>0</v>
      </c>
      <c r="DC490" s="16" t="str">
        <f>Novembre!FC48</f>
        <v>non</v>
      </c>
      <c r="DG490" s="315">
        <f t="shared" si="918"/>
        <v>1</v>
      </c>
      <c r="DH490" s="129">
        <f t="shared" si="896"/>
        <v>10</v>
      </c>
      <c r="DI490" s="129">
        <f t="shared" si="919"/>
        <v>1</v>
      </c>
      <c r="DK490" s="16">
        <f>+IF(AND(Novembre!$DP$8&lt;&gt;52,AR490=S.CAL!$BJ$4),10,1)</f>
        <v>1</v>
      </c>
      <c r="DN490" s="16">
        <f t="shared" si="897"/>
        <v>1</v>
      </c>
      <c r="DU490" s="1274" t="str">
        <f t="shared" si="920"/>
        <v>Fiche infoA746355</v>
      </c>
      <c r="DV490" s="1362">
        <f t="shared" si="898"/>
        <v>0</v>
      </c>
      <c r="DW490" s="1363">
        <f t="shared" si="899"/>
        <v>0</v>
      </c>
      <c r="DX490" s="1363">
        <f t="shared" si="900"/>
        <v>0</v>
      </c>
      <c r="DY490" s="1363">
        <f t="shared" si="901"/>
        <v>0</v>
      </c>
      <c r="DZ490" s="1363">
        <f t="shared" si="902"/>
        <v>0</v>
      </c>
      <c r="EA490" s="1363">
        <f t="shared" si="903"/>
        <v>0</v>
      </c>
      <c r="EB490" s="1363">
        <f t="shared" si="904"/>
        <v>0</v>
      </c>
      <c r="EC490" s="1363">
        <f t="shared" si="905"/>
        <v>0</v>
      </c>
      <c r="ED490" s="1363">
        <f t="shared" si="921"/>
        <v>0</v>
      </c>
      <c r="EE490" s="1364">
        <f t="shared" si="922"/>
        <v>0</v>
      </c>
      <c r="EG490" s="16" t="str">
        <f t="shared" si="923"/>
        <v>482026</v>
      </c>
      <c r="EH490" s="16" t="str">
        <f t="shared" si="906"/>
        <v>Fiche infoA7</v>
      </c>
      <c r="EI490" s="16" t="str">
        <f t="shared" si="907"/>
        <v/>
      </c>
    </row>
    <row r="491" spans="1:144" x14ac:dyDescent="0.2">
      <c r="A491" s="1373" t="str">
        <f>Novembre!BJ49</f>
        <v>Fiche infoA1</v>
      </c>
      <c r="B491" s="811">
        <f>Novembre!AB49</f>
        <v>46356</v>
      </c>
      <c r="C491" s="1372"/>
      <c r="D491" s="981">
        <f t="shared" si="863"/>
        <v>0</v>
      </c>
      <c r="E491" s="434">
        <f t="shared" si="864"/>
        <v>0</v>
      </c>
      <c r="F491" s="434">
        <f t="shared" si="865"/>
        <v>0</v>
      </c>
      <c r="G491" s="434">
        <f t="shared" si="866"/>
        <v>0</v>
      </c>
      <c r="H491" s="434">
        <f t="shared" si="867"/>
        <v>0</v>
      </c>
      <c r="I491" s="434">
        <f t="shared" si="868"/>
        <v>0</v>
      </c>
      <c r="J491" s="434">
        <f t="shared" si="869"/>
        <v>0</v>
      </c>
      <c r="K491" s="434">
        <f t="shared" si="870"/>
        <v>0</v>
      </c>
      <c r="L491" s="434">
        <f t="shared" si="908"/>
        <v>0</v>
      </c>
      <c r="M491" s="982">
        <f t="shared" si="909"/>
        <v>0</v>
      </c>
      <c r="N491" s="1374"/>
      <c r="O491" s="981">
        <f t="shared" si="925"/>
        <v>0</v>
      </c>
      <c r="P491" s="434">
        <f t="shared" si="926"/>
        <v>0</v>
      </c>
      <c r="Q491" s="434">
        <f t="shared" si="927"/>
        <v>0</v>
      </c>
      <c r="R491" s="434">
        <f t="shared" si="928"/>
        <v>0</v>
      </c>
      <c r="S491" s="434">
        <f t="shared" si="929"/>
        <v>0</v>
      </c>
      <c r="T491" s="434">
        <f t="shared" si="930"/>
        <v>0</v>
      </c>
      <c r="U491" s="434">
        <f t="shared" si="931"/>
        <v>0</v>
      </c>
      <c r="V491" s="434">
        <f t="shared" si="932"/>
        <v>0</v>
      </c>
      <c r="W491" s="434">
        <f t="shared" si="879"/>
        <v>0</v>
      </c>
      <c r="X491" s="982">
        <f t="shared" si="880"/>
        <v>0</v>
      </c>
      <c r="Y491" s="1375"/>
      <c r="Z491" s="1376">
        <f t="shared" si="881"/>
        <v>0</v>
      </c>
      <c r="AA491" s="1376">
        <f t="shared" si="882"/>
        <v>0</v>
      </c>
      <c r="AB491" s="1376">
        <f t="shared" si="883"/>
        <v>0</v>
      </c>
      <c r="AC491" s="1376">
        <f t="shared" si="884"/>
        <v>0</v>
      </c>
      <c r="AD491" s="1376">
        <f t="shared" si="885"/>
        <v>0</v>
      </c>
      <c r="AE491" s="1376">
        <f t="shared" si="886"/>
        <v>0</v>
      </c>
      <c r="AF491" s="1376">
        <f t="shared" si="887"/>
        <v>0</v>
      </c>
      <c r="AG491" s="1376">
        <f t="shared" si="888"/>
        <v>0</v>
      </c>
      <c r="AH491" s="1374"/>
      <c r="AI491" s="444">
        <f t="shared" si="933"/>
        <v>0</v>
      </c>
      <c r="AJ491" s="1090"/>
      <c r="AK491" s="1377"/>
      <c r="AL491" s="811">
        <f t="shared" si="890"/>
        <v>46356</v>
      </c>
      <c r="AM491" s="666">
        <f>IFERROR(IF(AND(AT491="",AR491&lt;&gt;S.CAL!$BJ$3,AR491&lt;&gt;S.CAL!$BJ$4,$AR$455="NON"),M491-BD491,IF(AND(AT491="",AR491&lt;&gt;S.CAL!$BJ$3,AR491&lt;&gt;S.CAL!$BJ$4,$AR$455="OUI"),X491-AI491,IF(AT491&lt;&gt;0,AT491,IF(OR(AR491=S.CAL!$BJ$3,AR491=S.CAL!$BJ$4),AR491,"")))),"")</f>
        <v>0</v>
      </c>
      <c r="AN491" s="1093"/>
      <c r="AO491" s="1094"/>
      <c r="AP491" s="666">
        <f>+IF(AND(AU491="",BB491="OUI",BH491="non",BI491="OUI"),AM491,IF(AND(AU491="",BB491="OUI",BH491="oui",BI491="NON"),AM491,IF(AND(AU491="",BB491="NON",BH491="oui",BI491="NON"),M491,IF(AND(AU491="",BB491="NON",BH491="non",BI491="OUI"),M491,IF(AND(AU491="",BB491="OUI",BH491="non",BI491="NON"),"ERREUR",IF(AND(AU491="",BB491="NON",BH491="non",BI491="NON"),AM491,IF(AND(AU491="",BB491="OUI",BH491="",BI491=""),AM491,IF(AND(AU491="",BB491="NON",BH491="",BI491="",AZ491="NON"),M491,IF(AND(AU491="",BH491="",AZ491="OUI",AR491=""),AM491,IF(AND(AU491="",BH491="",AZ491="NON",AR491="",AT491=""),M491,IF(AND(OR(AR491=S.CAL!$BJ$3,AR491=S.CAL!$BJ$4),(VLOOKUP($AM$455,base_nbre_sem_mensu,2,FALSE)=52)),EE491,IF(AND(OR(AR491=S.CAL!$BJ$3,AR491=S.CAL!$BJ$4),(VLOOKUP($AM$455,base_nbre_sem_mensu,2,FALSE)&lt;52)),AM491,IF(AND(AT491&lt;&gt;"",AU491=""),AT491,AU491)))))))))))))</f>
        <v>0</v>
      </c>
      <c r="AQ491" s="1378">
        <f t="shared" si="910"/>
        <v>0</v>
      </c>
      <c r="AR491" s="1098"/>
      <c r="AS491" s="1374"/>
      <c r="AT491" s="1101"/>
      <c r="AU491" s="813"/>
      <c r="AV491" s="1370">
        <f t="shared" si="891"/>
        <v>46356</v>
      </c>
      <c r="AW491" s="1374"/>
      <c r="AX491" s="511">
        <f t="shared" si="911"/>
        <v>46356</v>
      </c>
      <c r="AY491" s="523">
        <f t="shared" si="912"/>
        <v>0</v>
      </c>
      <c r="AZ491" s="520" t="s">
        <v>137</v>
      </c>
      <c r="BA491" s="516">
        <f t="shared" si="913"/>
        <v>0</v>
      </c>
      <c r="BB491" s="549" t="str">
        <f t="shared" si="892"/>
        <v/>
      </c>
      <c r="BC491" s="523">
        <f t="shared" si="914"/>
        <v>0</v>
      </c>
      <c r="BD491" s="523">
        <f t="shared" si="915"/>
        <v>0</v>
      </c>
      <c r="BE491" s="1104"/>
      <c r="BF491" s="514" t="str">
        <f t="shared" si="893"/>
        <v/>
      </c>
      <c r="BG491" s="514" t="str">
        <f t="shared" si="916"/>
        <v>oui</v>
      </c>
      <c r="BH491" s="377" t="str">
        <f t="shared" si="894"/>
        <v/>
      </c>
      <c r="BI491" s="24" t="str">
        <f t="shared" si="895"/>
        <v/>
      </c>
      <c r="BJ491" s="1382"/>
      <c r="BK491" s="1382"/>
      <c r="BL491" s="1382"/>
      <c r="BM491" s="1382"/>
      <c r="BN491" s="1382"/>
      <c r="BO491" s="1382"/>
      <c r="BP491" s="1382"/>
      <c r="BQ491" s="1382"/>
      <c r="BR491" s="1383"/>
      <c r="BS491" s="1370">
        <f t="shared" si="862"/>
        <v>46356</v>
      </c>
      <c r="BT491" s="1384">
        <f t="shared" si="924"/>
        <v>49</v>
      </c>
      <c r="BU491" s="1382"/>
      <c r="BV491" s="1382"/>
      <c r="BW491" s="1382"/>
      <c r="BX491" s="1382"/>
      <c r="BY491" s="1382"/>
      <c r="BZ491" s="1382"/>
      <c r="CA491" s="1382"/>
      <c r="CB491" s="1382"/>
      <c r="CD491" s="1386">
        <f t="shared" si="917"/>
        <v>0</v>
      </c>
      <c r="DC491" s="16" t="str">
        <f>Novembre!FC49</f>
        <v>non</v>
      </c>
      <c r="DG491" s="315">
        <f t="shared" si="918"/>
        <v>1</v>
      </c>
      <c r="DH491" s="129">
        <f t="shared" si="896"/>
        <v>10</v>
      </c>
      <c r="DI491" s="129">
        <f t="shared" si="919"/>
        <v>1</v>
      </c>
      <c r="DK491" s="16">
        <f>+IF(AND(Novembre!$DP$8&lt;&gt;52,AR491=S.CAL!$BJ$4),10,1)</f>
        <v>1</v>
      </c>
      <c r="DN491" s="16">
        <f t="shared" si="897"/>
        <v>1</v>
      </c>
      <c r="DU491" s="1274" t="str">
        <f t="shared" si="920"/>
        <v>Fiche infoA146356</v>
      </c>
      <c r="DV491" s="1362">
        <f t="shared" si="898"/>
        <v>0</v>
      </c>
      <c r="DW491" s="1363">
        <f t="shared" si="899"/>
        <v>0</v>
      </c>
      <c r="DX491" s="1363">
        <f t="shared" si="900"/>
        <v>0</v>
      </c>
      <c r="DY491" s="1363">
        <f t="shared" si="901"/>
        <v>0</v>
      </c>
      <c r="DZ491" s="1363">
        <f t="shared" si="902"/>
        <v>0</v>
      </c>
      <c r="EA491" s="1363">
        <f t="shared" si="903"/>
        <v>0</v>
      </c>
      <c r="EB491" s="1363">
        <f t="shared" si="904"/>
        <v>0</v>
      </c>
      <c r="EC491" s="1363">
        <f t="shared" si="905"/>
        <v>0</v>
      </c>
      <c r="ED491" s="1363">
        <f t="shared" si="921"/>
        <v>0</v>
      </c>
      <c r="EE491" s="1364">
        <f t="shared" si="922"/>
        <v>0</v>
      </c>
      <c r="EG491" s="16" t="str">
        <f t="shared" si="923"/>
        <v>492026</v>
      </c>
      <c r="EH491" s="16" t="str">
        <f t="shared" si="906"/>
        <v>Fiche infoA1</v>
      </c>
      <c r="EI491" s="16" t="str">
        <f t="shared" si="907"/>
        <v/>
      </c>
    </row>
    <row r="492" spans="1:144" x14ac:dyDescent="0.2">
      <c r="A492" s="24" t="str">
        <f>Novembre!BJ50</f>
        <v>Fiche infoA0</v>
      </c>
      <c r="B492" s="812" t="str">
        <f>Novembre!AB50</f>
        <v/>
      </c>
      <c r="C492" s="1371"/>
      <c r="D492" s="983">
        <f t="shared" si="863"/>
        <v>0</v>
      </c>
      <c r="E492" s="984">
        <f t="shared" si="864"/>
        <v>0</v>
      </c>
      <c r="F492" s="984">
        <f t="shared" si="865"/>
        <v>0</v>
      </c>
      <c r="G492" s="984">
        <f t="shared" si="866"/>
        <v>0</v>
      </c>
      <c r="H492" s="984">
        <f t="shared" si="867"/>
        <v>0</v>
      </c>
      <c r="I492" s="984">
        <f t="shared" si="868"/>
        <v>0</v>
      </c>
      <c r="J492" s="984">
        <f t="shared" si="869"/>
        <v>0</v>
      </c>
      <c r="K492" s="984">
        <f t="shared" si="870"/>
        <v>0</v>
      </c>
      <c r="L492" s="984">
        <f t="shared" si="908"/>
        <v>0</v>
      </c>
      <c r="M492" s="985">
        <f t="shared" si="909"/>
        <v>0</v>
      </c>
      <c r="O492" s="983">
        <f t="shared" si="925"/>
        <v>0</v>
      </c>
      <c r="P492" s="984">
        <f t="shared" si="926"/>
        <v>0</v>
      </c>
      <c r="Q492" s="984">
        <f t="shared" si="927"/>
        <v>0</v>
      </c>
      <c r="R492" s="984">
        <f t="shared" si="928"/>
        <v>0</v>
      </c>
      <c r="S492" s="984">
        <f t="shared" si="929"/>
        <v>0</v>
      </c>
      <c r="T492" s="984">
        <f t="shared" si="930"/>
        <v>0</v>
      </c>
      <c r="U492" s="984">
        <f t="shared" si="931"/>
        <v>0</v>
      </c>
      <c r="V492" s="984">
        <f t="shared" si="932"/>
        <v>0</v>
      </c>
      <c r="W492" s="984">
        <f t="shared" si="879"/>
        <v>0</v>
      </c>
      <c r="X492" s="985">
        <f t="shared" si="880"/>
        <v>0</v>
      </c>
      <c r="Y492" s="441"/>
      <c r="Z492" s="277">
        <f t="shared" si="881"/>
        <v>0</v>
      </c>
      <c r="AA492" s="277">
        <f t="shared" si="882"/>
        <v>0</v>
      </c>
      <c r="AB492" s="277">
        <f t="shared" si="883"/>
        <v>0</v>
      </c>
      <c r="AC492" s="277">
        <f t="shared" si="884"/>
        <v>0</v>
      </c>
      <c r="AD492" s="277">
        <f t="shared" si="885"/>
        <v>0</v>
      </c>
      <c r="AE492" s="277">
        <f t="shared" si="886"/>
        <v>0</v>
      </c>
      <c r="AF492" s="277">
        <f t="shared" si="887"/>
        <v>0</v>
      </c>
      <c r="AG492" s="277">
        <f t="shared" si="888"/>
        <v>0</v>
      </c>
      <c r="AI492" s="444">
        <f t="shared" si="933"/>
        <v>0</v>
      </c>
      <c r="AJ492" s="1090"/>
      <c r="AK492" s="489"/>
      <c r="AL492" s="812" t="str">
        <f t="shared" si="890"/>
        <v/>
      </c>
      <c r="AM492" s="499">
        <f>IFERROR(IF(AND(AT492="",AR492&lt;&gt;S.CAL!$BJ$3,AR492&lt;&gt;S.CAL!$BJ$4,$AR$455="NON"),M492-BD492,IF(AND(AT492="",AR492&lt;&gt;S.CAL!$BJ$3,AR492&lt;&gt;S.CAL!$BJ$4,$AR$455="OUI"),X492-AI492,IF(AT492&lt;&gt;0,AT492,IF(OR(AR492=S.CAL!$BJ$3,AR492=S.CAL!$BJ$4),AR492,"")))),"")</f>
        <v>0</v>
      </c>
      <c r="AN492" s="1095"/>
      <c r="AO492" s="1096"/>
      <c r="AP492" s="499">
        <f>+IF(AND(AU492="",BB492="OUI",BH492="non",BI492="OUI"),AM492,IF(AND(AU492="",BB492="OUI",BH492="oui",BI492="NON"),AM492,IF(AND(AU492="",BB492="NON",BH492="oui",BI492="NON"),M492,IF(AND(AU492="",BB492="NON",BH492="non",BI492="OUI"),M492,IF(AND(AU492="",BB492="OUI",BH492="non",BI492="NON"),"ERREUR",IF(AND(AU492="",BB492="NON",BH492="non",BI492="NON"),AM492,IF(AND(AU492="",BB492="OUI",BH492="",BI492=""),AM492,IF(AND(AU492="",BB492="NON",BH492="",BI492="",AZ492="NON"),M492,IF(AND(AU492="",BH492="",AZ492="OUI",AR492=""),AM492,IF(AND(AU492="",BH492="",AZ492="NON",AR492="",AT492=""),M492,IF(AND(OR(AR492=S.CAL!$BJ$3,AR492=S.CAL!$BJ$4),(VLOOKUP($AM$455,base_nbre_sem_mensu,2,FALSE)=52)),EE492,IF(AND(OR(AR492=S.CAL!$BJ$3,AR492=S.CAL!$BJ$4),(VLOOKUP($AM$455,base_nbre_sem_mensu,2,FALSE)&lt;52)),AM492,IF(AND(AT492&lt;&gt;"",AU492=""),AT492,AU492)))))))))))))</f>
        <v>0</v>
      </c>
      <c r="AQ492" s="498">
        <f t="shared" si="910"/>
        <v>0</v>
      </c>
      <c r="AR492" s="1107"/>
      <c r="AT492" s="977"/>
      <c r="AU492" s="814"/>
      <c r="AV492" s="812" t="str">
        <f t="shared" si="891"/>
        <v/>
      </c>
      <c r="AX492" s="511" t="str">
        <f t="shared" si="911"/>
        <v/>
      </c>
      <c r="AY492" s="524">
        <f t="shared" si="912"/>
        <v>0</v>
      </c>
      <c r="AZ492" s="521" t="s">
        <v>137</v>
      </c>
      <c r="BA492" s="534">
        <f t="shared" si="913"/>
        <v>0</v>
      </c>
      <c r="BB492" s="522" t="str">
        <f t="shared" si="892"/>
        <v/>
      </c>
      <c r="BC492" s="524">
        <f t="shared" si="914"/>
        <v>0</v>
      </c>
      <c r="BD492" s="524">
        <f t="shared" si="915"/>
        <v>0</v>
      </c>
      <c r="BE492" s="1105"/>
      <c r="BF492" s="514" t="str">
        <f t="shared" si="893"/>
        <v/>
      </c>
      <c r="BG492" s="514" t="str">
        <f t="shared" si="916"/>
        <v>oui</v>
      </c>
      <c r="BH492" s="377" t="str">
        <f t="shared" si="894"/>
        <v/>
      </c>
      <c r="BI492" s="24" t="str">
        <f t="shared" si="895"/>
        <v/>
      </c>
      <c r="BJ492" s="1381"/>
      <c r="BK492" s="1381"/>
      <c r="BL492" s="1381"/>
      <c r="BM492" s="1381"/>
      <c r="BN492" s="1381"/>
      <c r="BO492" s="1381"/>
      <c r="BP492" s="1381"/>
      <c r="BQ492" s="1381"/>
      <c r="BS492" s="812" t="str">
        <f t="shared" si="862"/>
        <v/>
      </c>
      <c r="BT492" s="27" t="str">
        <f t="shared" si="924"/>
        <v/>
      </c>
      <c r="BU492" s="1380"/>
      <c r="BV492" s="1380"/>
      <c r="BW492" s="1380"/>
      <c r="BX492" s="1380"/>
      <c r="BY492" s="1380"/>
      <c r="BZ492" s="1380"/>
      <c r="CA492" s="1380"/>
      <c r="CB492" s="1380"/>
      <c r="CD492" s="1387">
        <f t="shared" si="917"/>
        <v>0</v>
      </c>
      <c r="DC492" s="16" t="str">
        <f>Novembre!FC50</f>
        <v/>
      </c>
      <c r="DG492" s="315">
        <f t="shared" si="918"/>
        <v>1</v>
      </c>
      <c r="DH492" s="129">
        <f t="shared" si="896"/>
        <v>10</v>
      </c>
      <c r="DI492" s="129">
        <f t="shared" si="919"/>
        <v>1</v>
      </c>
      <c r="DK492" s="16">
        <f>+IF(AND(Novembre!$DP$8&lt;&gt;52,AR492=S.CAL!$BJ$4),10,1)</f>
        <v>1</v>
      </c>
      <c r="DN492" s="16">
        <f t="shared" si="897"/>
        <v>1</v>
      </c>
      <c r="DU492" s="1274" t="str">
        <f t="shared" si="920"/>
        <v>Fiche infoA0</v>
      </c>
      <c r="DV492" s="1362">
        <f t="shared" si="898"/>
        <v>0</v>
      </c>
      <c r="DW492" s="1363">
        <f t="shared" si="899"/>
        <v>0</v>
      </c>
      <c r="DX492" s="1363">
        <f t="shared" si="900"/>
        <v>0</v>
      </c>
      <c r="DY492" s="1363">
        <f t="shared" si="901"/>
        <v>0</v>
      </c>
      <c r="DZ492" s="1363">
        <f t="shared" si="902"/>
        <v>0</v>
      </c>
      <c r="EA492" s="1363">
        <f t="shared" si="903"/>
        <v>0</v>
      </c>
      <c r="EB492" s="1363">
        <f t="shared" si="904"/>
        <v>0</v>
      </c>
      <c r="EC492" s="1363">
        <f t="shared" si="905"/>
        <v>0</v>
      </c>
      <c r="ED492" s="1363">
        <f t="shared" si="921"/>
        <v>0</v>
      </c>
      <c r="EE492" s="1364">
        <f t="shared" si="922"/>
        <v>0</v>
      </c>
      <c r="EG492" s="16" t="e">
        <f t="shared" si="923"/>
        <v>#VALUE!</v>
      </c>
      <c r="EH492" s="16" t="str">
        <f t="shared" si="906"/>
        <v>Fiche infoA0</v>
      </c>
      <c r="EI492" s="16" t="e">
        <f t="shared" si="907"/>
        <v>#N/A</v>
      </c>
    </row>
    <row r="493" spans="1:144" x14ac:dyDescent="0.2">
      <c r="AM493" s="536">
        <f>SUM(AM462:AM492)</f>
        <v>0</v>
      </c>
      <c r="AN493" s="500">
        <f>SUM(AN462:AN492)</f>
        <v>0</v>
      </c>
      <c r="AO493" s="500">
        <f>SUM(AO462:AO492)</f>
        <v>0</v>
      </c>
      <c r="AP493" s="501">
        <f>SUM(AP462:AP492)</f>
        <v>0</v>
      </c>
      <c r="BD493" s="537">
        <f>SUM(BD462:BD492)</f>
        <v>0</v>
      </c>
      <c r="EE493" s="1364"/>
    </row>
    <row r="494" spans="1:144" x14ac:dyDescent="0.2">
      <c r="X494" s="29" t="s">
        <v>441</v>
      </c>
      <c r="Y494" s="29"/>
      <c r="Z494" s="29"/>
      <c r="AA494" s="29"/>
      <c r="AB494" s="29"/>
      <c r="AC494" s="29"/>
      <c r="AD494" s="29"/>
      <c r="AE494" s="29"/>
      <c r="AF494" s="29"/>
      <c r="AG494" s="29"/>
      <c r="AI494" s="445">
        <f>SUM(AI462:AI492)</f>
        <v>0</v>
      </c>
      <c r="AJ494" s="19"/>
      <c r="AK494" s="19"/>
      <c r="AL494" s="19"/>
      <c r="AM494" s="19"/>
      <c r="AN494" s="19"/>
      <c r="AO494" s="19"/>
      <c r="AP494" s="19"/>
      <c r="AQ494" s="494"/>
    </row>
    <row r="496" spans="1:144" ht="23.25" x14ac:dyDescent="0.35">
      <c r="B496" s="435" t="s">
        <v>794</v>
      </c>
      <c r="C496" s="435"/>
      <c r="D496" s="435"/>
      <c r="BS496" s="19" t="s">
        <v>1524</v>
      </c>
      <c r="EK496" s="16" t="str">
        <f>+EG506</f>
        <v>numero sem</v>
      </c>
      <c r="EL496" s="27" t="s">
        <v>1518</v>
      </c>
      <c r="EM496" s="27" t="s">
        <v>1519</v>
      </c>
      <c r="EN496" s="16" t="s">
        <v>1520</v>
      </c>
    </row>
    <row r="497" spans="1:145" ht="13.5" thickBot="1" x14ac:dyDescent="0.25">
      <c r="AR497" s="1717" t="s">
        <v>989</v>
      </c>
      <c r="AS497" s="1718"/>
      <c r="AT497" s="1719"/>
      <c r="BT497" s="29" t="s">
        <v>1527</v>
      </c>
      <c r="BU497" s="27" t="str">
        <f>+IFERROR(EJ497,"")</f>
        <v>49</v>
      </c>
      <c r="BV497" s="53" t="str">
        <f>IF(BU497="","",+EN497)</f>
        <v>non</v>
      </c>
      <c r="BW497" s="1729" t="str">
        <f>+IF(BV497="oui", "Ecart "&amp;EO497&amp;" hrs","")</f>
        <v/>
      </c>
      <c r="BX497" s="1729"/>
      <c r="EJ497" s="16" t="str">
        <f>LEFT(EK497,LEN(EK497)-4)</f>
        <v>49</v>
      </c>
      <c r="EK497" s="16" t="str" cm="1">
        <f t="array" ref="EK497">IFERROR(INDEX(EG507:EG537,MATCH(0,INDEX(COUNTIF(EK496:EK496,EG507:EG537),0,0),0)),"")</f>
        <v>492026</v>
      </c>
      <c r="EL497" s="27">
        <f>+SUMIFS($EE$12:$EE$537,$EG$12:$EG$537,EK497)</f>
        <v>0</v>
      </c>
      <c r="EM497" s="27">
        <f>+SUMIFS($EI$12:$EI$537,$EG$12:$EG$537,EK497)</f>
        <v>0</v>
      </c>
      <c r="EN497" s="16" t="str">
        <f t="shared" ref="EN497:EN502" si="934">+IF(AND(EL497&lt;&gt;EM497,EK497&lt;&gt;""),"oui","non")</f>
        <v>non</v>
      </c>
      <c r="EO497" s="16">
        <f>+EL497-EM497</f>
        <v>0</v>
      </c>
    </row>
    <row r="498" spans="1:145" ht="13.5" thickTop="1" x14ac:dyDescent="0.2">
      <c r="C498" s="39" t="s">
        <v>793</v>
      </c>
      <c r="D498" s="1713">
        <f>+Identification!$B$7</f>
        <v>0</v>
      </c>
      <c r="E498" s="1713"/>
      <c r="F498" s="1713"/>
      <c r="G498" s="1713"/>
      <c r="O498" s="436" t="s">
        <v>76</v>
      </c>
      <c r="P498" s="32"/>
      <c r="Q498" s="33"/>
      <c r="R498" s="436" t="s">
        <v>140</v>
      </c>
      <c r="S498" s="32"/>
      <c r="T498" s="32"/>
      <c r="U498" s="32"/>
      <c r="V498" s="32"/>
      <c r="W498" s="32"/>
      <c r="X498" s="33"/>
      <c r="AR498" s="1720"/>
      <c r="AS498" s="1721"/>
      <c r="AT498" s="1722"/>
      <c r="BU498" s="27" t="str">
        <f t="shared" ref="BU498:BU502" si="935">+IFERROR(EJ498,"")</f>
        <v>50</v>
      </c>
      <c r="BV498" s="53" t="str">
        <f t="shared" ref="BV498:BV502" si="936">IF(BU498="","",+EN498)</f>
        <v>non</v>
      </c>
      <c r="BW498" s="1729" t="str">
        <f t="shared" ref="BW498:BW502" si="937">+IF(BV498="oui", "Ecart "&amp;EO498&amp;" hrs","")</f>
        <v/>
      </c>
      <c r="BX498" s="1729"/>
      <c r="EJ498" s="16" t="str">
        <f t="shared" ref="EJ498:EJ503" si="938">LEFT(EK498,LEN(EK498)-4)</f>
        <v>50</v>
      </c>
      <c r="EK498" s="16" t="str" cm="1">
        <f t="array" ref="EK498">IFERROR(INDEX(EG507:EG537,MATCH(0,INDEX(COUNTIF(EK496:EK497,EG507:EG537),0,0),0)),"")</f>
        <v>502026</v>
      </c>
      <c r="EL498" s="27">
        <f t="shared" ref="EL498:EL502" si="939">+SUMIFS($EE$12:$EE$537,$EG$12:$EG$537,EK498)</f>
        <v>0</v>
      </c>
      <c r="EM498" s="27">
        <f t="shared" ref="EM498:EM503" si="940">+SUMIFS($EI$12:$EI$537,$EG$12:$EG$537,EK498)</f>
        <v>0</v>
      </c>
      <c r="EN498" s="16" t="str">
        <f t="shared" si="934"/>
        <v>non</v>
      </c>
      <c r="EO498" s="16">
        <f t="shared" ref="EO498:EO503" si="941">+EL498-EM498</f>
        <v>0</v>
      </c>
    </row>
    <row r="499" spans="1:145" x14ac:dyDescent="0.2">
      <c r="O499" s="35"/>
      <c r="Q499" s="36"/>
      <c r="R499" s="1723"/>
      <c r="S499" s="1724"/>
      <c r="T499" s="1724"/>
      <c r="U499" s="1724"/>
      <c r="V499" s="1724"/>
      <c r="W499" s="1724"/>
      <c r="X499" s="1725"/>
      <c r="Y499" s="442"/>
      <c r="Z499" s="442"/>
      <c r="AA499" s="442"/>
      <c r="AB499" s="442"/>
      <c r="AC499" s="442"/>
      <c r="AD499" s="442"/>
      <c r="AE499" s="442"/>
      <c r="AF499" s="442"/>
      <c r="AG499" s="442"/>
      <c r="AR499" s="1720"/>
      <c r="AS499" s="1721"/>
      <c r="AT499" s="1722"/>
      <c r="BU499" s="27" t="str">
        <f t="shared" si="935"/>
        <v>51</v>
      </c>
      <c r="BV499" s="53" t="str">
        <f t="shared" si="936"/>
        <v>non</v>
      </c>
      <c r="BW499" s="1729" t="str">
        <f t="shared" si="937"/>
        <v/>
      </c>
      <c r="BX499" s="1729"/>
      <c r="EJ499" s="16" t="str">
        <f t="shared" si="938"/>
        <v>51</v>
      </c>
      <c r="EK499" s="16" t="str">
        <f t="array" ref="EK499">IFERROR(INDEX(EG507:EG537,MATCH(0,INDEX(COUNTIF(EK496:EK498,EG507:EG537),0,0),0)),"")</f>
        <v>512026</v>
      </c>
      <c r="EL499" s="27">
        <f t="shared" si="939"/>
        <v>0</v>
      </c>
      <c r="EM499" s="27">
        <f t="shared" si="940"/>
        <v>0</v>
      </c>
      <c r="EN499" s="16" t="str">
        <f t="shared" si="934"/>
        <v>non</v>
      </c>
      <c r="EO499" s="16">
        <f t="shared" si="941"/>
        <v>0</v>
      </c>
    </row>
    <row r="500" spans="1:145" x14ac:dyDescent="0.2">
      <c r="C500" s="39" t="s">
        <v>25</v>
      </c>
      <c r="D500" s="1713">
        <f>+Identification!$B$25</f>
        <v>0</v>
      </c>
      <c r="E500" s="1713"/>
      <c r="O500" s="35"/>
      <c r="Q500" s="36"/>
      <c r="R500" s="1723"/>
      <c r="S500" s="1724"/>
      <c r="T500" s="1724"/>
      <c r="U500" s="1724"/>
      <c r="V500" s="1724"/>
      <c r="W500" s="1724"/>
      <c r="X500" s="1725"/>
      <c r="Y500" s="442"/>
      <c r="Z500" s="442"/>
      <c r="AA500" s="442"/>
      <c r="AB500" s="442"/>
      <c r="AC500" s="442"/>
      <c r="AD500" s="442"/>
      <c r="AE500" s="442"/>
      <c r="AF500" s="442"/>
      <c r="AG500" s="442"/>
      <c r="AL500" s="16" t="str">
        <f t="shared" ref="AL500" si="942">C503</f>
        <v>Mois :</v>
      </c>
      <c r="AM500" s="1716">
        <f t="shared" ref="AM500" si="943">D503</f>
        <v>46357</v>
      </c>
      <c r="AN500" s="1716">
        <f t="shared" ref="AN500" si="944">E503</f>
        <v>0</v>
      </c>
      <c r="AR500" s="539" t="str">
        <f>IF(AT500="",AR455,AT500)</f>
        <v>NON</v>
      </c>
      <c r="AS500" s="538" t="s">
        <v>492</v>
      </c>
      <c r="AT500" s="1083"/>
      <c r="BJ500" s="16" t="str">
        <f t="shared" ref="BJ500" si="945">AL500</f>
        <v>Mois :</v>
      </c>
      <c r="BK500" s="1716">
        <f t="shared" ref="BK500" si="946">AM500</f>
        <v>46357</v>
      </c>
      <c r="BL500" s="1716"/>
      <c r="BU500" s="27" t="str">
        <f t="shared" si="935"/>
        <v>52</v>
      </c>
      <c r="BV500" s="53" t="str">
        <f t="shared" si="936"/>
        <v>non</v>
      </c>
      <c r="BW500" s="1729" t="str">
        <f t="shared" si="937"/>
        <v/>
      </c>
      <c r="BX500" s="1729"/>
      <c r="EJ500" s="16" t="str">
        <f t="shared" si="938"/>
        <v>52</v>
      </c>
      <c r="EK500" s="16" t="str">
        <f t="array" ref="EK500">IFERROR(INDEX(EG507:EG537,MATCH(0,INDEX(COUNTIF(EK496:EK499,EG507:EG537),0,0),0)),"")</f>
        <v>522026</v>
      </c>
      <c r="EL500" s="27">
        <f t="shared" si="939"/>
        <v>0</v>
      </c>
      <c r="EM500" s="27">
        <f t="shared" si="940"/>
        <v>0</v>
      </c>
      <c r="EN500" s="16" t="str">
        <f t="shared" si="934"/>
        <v>non</v>
      </c>
      <c r="EO500" s="16">
        <f t="shared" si="941"/>
        <v>0</v>
      </c>
    </row>
    <row r="501" spans="1:145" ht="13.5" thickBot="1" x14ac:dyDescent="0.25">
      <c r="O501" s="42"/>
      <c r="P501" s="43"/>
      <c r="Q501" s="44"/>
      <c r="R501" s="1726"/>
      <c r="S501" s="1727"/>
      <c r="T501" s="1727"/>
      <c r="U501" s="1727"/>
      <c r="V501" s="1727"/>
      <c r="W501" s="1727"/>
      <c r="X501" s="1728"/>
      <c r="Y501" s="442"/>
      <c r="Z501" s="442"/>
      <c r="AA501" s="442"/>
      <c r="AB501" s="442"/>
      <c r="AC501" s="442"/>
      <c r="AD501" s="442"/>
      <c r="AE501" s="442"/>
      <c r="AF501" s="442"/>
      <c r="AG501" s="442"/>
      <c r="BU501" s="27" t="str">
        <f t="shared" si="935"/>
        <v>53</v>
      </c>
      <c r="BV501" s="53" t="str">
        <f t="shared" si="936"/>
        <v>non</v>
      </c>
      <c r="BW501" s="1729" t="str">
        <f t="shared" si="937"/>
        <v/>
      </c>
      <c r="BX501" s="1729"/>
      <c r="EJ501" s="16" t="str">
        <f t="shared" si="938"/>
        <v>53</v>
      </c>
      <c r="EK501" s="16" t="str">
        <f t="array" ref="EK501">IFERROR(INDEX(EG507:EG537,MATCH(0,INDEX(COUNTIF(EK496:EK500,EG507:EG537),0,0),0)),"")</f>
        <v>532026</v>
      </c>
      <c r="EL501" s="27">
        <f t="shared" si="939"/>
        <v>0</v>
      </c>
      <c r="EM501" s="27">
        <f t="shared" si="940"/>
        <v>0</v>
      </c>
      <c r="EN501" s="16" t="str">
        <f t="shared" si="934"/>
        <v>non</v>
      </c>
      <c r="EO501" s="16">
        <f t="shared" si="941"/>
        <v>0</v>
      </c>
    </row>
    <row r="502" spans="1:145" ht="13.5" thickTop="1" x14ac:dyDescent="0.2">
      <c r="AI502" s="535" t="s">
        <v>986</v>
      </c>
      <c r="BU502" s="27" t="str">
        <f t="shared" si="935"/>
        <v/>
      </c>
      <c r="BV502" s="53" t="str">
        <f t="shared" si="936"/>
        <v/>
      </c>
      <c r="BW502" s="1729" t="str">
        <f t="shared" si="937"/>
        <v/>
      </c>
      <c r="BX502" s="1729"/>
      <c r="EJ502" s="16" t="e">
        <f t="shared" si="938"/>
        <v>#VALUE!</v>
      </c>
      <c r="EK502" s="16" t="str">
        <f t="array" ref="EK502">IFERROR(INDEX(EG507:EG537,MATCH(0,INDEX(COUNTIF(EK496:EK501,EG507:EG537),0,0),0)),"")</f>
        <v/>
      </c>
      <c r="EL502" s="27">
        <f t="shared" si="939"/>
        <v>0</v>
      </c>
      <c r="EM502" s="27">
        <f t="shared" si="940"/>
        <v>0</v>
      </c>
      <c r="EN502" s="16" t="str">
        <f t="shared" si="934"/>
        <v>non</v>
      </c>
      <c r="EO502" s="16">
        <f t="shared" si="941"/>
        <v>0</v>
      </c>
    </row>
    <row r="503" spans="1:145" x14ac:dyDescent="0.2">
      <c r="C503" s="39" t="s">
        <v>28</v>
      </c>
      <c r="D503" s="1716">
        <f>+Décembre!X3</f>
        <v>46357</v>
      </c>
      <c r="E503" s="1716"/>
      <c r="F503" s="39" t="s">
        <v>12</v>
      </c>
      <c r="G503" s="63">
        <f>+Décembre!X4</f>
        <v>2026</v>
      </c>
      <c r="EJ503" s="16" t="e">
        <f t="shared" si="938"/>
        <v>#VALUE!</v>
      </c>
      <c r="EK503" s="16" t="str">
        <f t="array" ref="EK503">IFERROR(INDEX($EG$12:$EG$42,MATCH(0,INDEX(COUNTIF($EK$1:EK502,$EG$12:$EG$42),0,0),0)),"")</f>
        <v/>
      </c>
      <c r="EL503" s="27">
        <f>+SUMIFS($EE$12:$EE$537,$EG$12:$EG$537,EK503)</f>
        <v>0</v>
      </c>
      <c r="EM503" s="27">
        <f t="shared" si="940"/>
        <v>0</v>
      </c>
      <c r="EN503" s="16" t="str">
        <f>+IF(AND(EL503&lt;&gt;EM503,EK503&lt;&gt;""),"oui","non")</f>
        <v>non</v>
      </c>
      <c r="EO503" s="16">
        <f t="shared" si="941"/>
        <v>0</v>
      </c>
    </row>
    <row r="504" spans="1:145" x14ac:dyDescent="0.2">
      <c r="AL504" s="1714" t="s">
        <v>960</v>
      </c>
      <c r="AM504" s="1714"/>
      <c r="AN504" s="1714"/>
      <c r="AO504" s="1714"/>
      <c r="AP504" s="1714"/>
      <c r="AQ504" s="492"/>
      <c r="AT504" s="1715" t="s">
        <v>749</v>
      </c>
      <c r="AU504" s="1715"/>
      <c r="AV504" s="1715"/>
      <c r="AW504" s="63"/>
      <c r="AX504" s="63"/>
      <c r="AY504" s="517" t="s">
        <v>975</v>
      </c>
      <c r="AZ504" s="518"/>
      <c r="BA504" s="518"/>
      <c r="BB504" s="518"/>
      <c r="BC504" s="519"/>
      <c r="BD504" s="519"/>
      <c r="BE504" s="519"/>
      <c r="BF504" s="512"/>
      <c r="BG504" s="512"/>
      <c r="BJ504" s="437"/>
      <c r="BK504" s="437"/>
      <c r="BL504" s="437"/>
      <c r="BM504" s="437"/>
      <c r="BN504" s="437"/>
      <c r="BO504" s="437"/>
      <c r="BP504" s="437"/>
      <c r="BQ504" s="437"/>
      <c r="BU504" s="438"/>
      <c r="BV504" s="438"/>
      <c r="BW504" s="438"/>
      <c r="BX504" s="438"/>
      <c r="BY504" s="438"/>
      <c r="BZ504" s="438"/>
      <c r="CA504" s="438"/>
      <c r="CB504" s="438"/>
    </row>
    <row r="505" spans="1:145" ht="15" customHeight="1" x14ac:dyDescent="0.2">
      <c r="D505" s="439" t="s">
        <v>791</v>
      </c>
      <c r="E505" s="438"/>
      <c r="F505" s="438"/>
      <c r="G505" s="438"/>
      <c r="H505" s="438"/>
      <c r="I505" s="438"/>
      <c r="J505" s="438"/>
      <c r="K505" s="438"/>
      <c r="L505" s="438"/>
      <c r="M505" s="438"/>
      <c r="O505" s="440" t="s">
        <v>790</v>
      </c>
      <c r="P505" s="437"/>
      <c r="Q505" s="437"/>
      <c r="R505" s="437"/>
      <c r="S505" s="437"/>
      <c r="T505" s="437"/>
      <c r="U505" s="437"/>
      <c r="V505" s="437"/>
      <c r="W505" s="437"/>
      <c r="X505" s="437"/>
      <c r="BJ505" s="1087" t="s">
        <v>792</v>
      </c>
      <c r="BK505" s="1088"/>
      <c r="BL505" s="1088"/>
      <c r="BM505" s="1088"/>
      <c r="BN505" s="1088"/>
      <c r="BO505" s="1088"/>
      <c r="BP505" s="1088"/>
      <c r="BQ505" s="1088"/>
      <c r="BU505" s="1087" t="s">
        <v>1369</v>
      </c>
      <c r="BV505" s="1088"/>
      <c r="BW505" s="1088"/>
      <c r="BX505" s="1088"/>
      <c r="BY505" s="1088"/>
      <c r="BZ505" s="1088"/>
      <c r="CA505" s="1088"/>
      <c r="CB505" s="1088"/>
      <c r="DG505" s="315" t="s">
        <v>1326</v>
      </c>
      <c r="DH505" s="129"/>
      <c r="DI505" s="129"/>
      <c r="DK505" s="129" t="s">
        <v>1331</v>
      </c>
      <c r="DN505" s="16" t="s">
        <v>1334</v>
      </c>
      <c r="DV505" s="825" t="s">
        <v>1521</v>
      </c>
      <c r="DW505" s="825"/>
      <c r="DX505" s="825"/>
      <c r="DY505" s="825"/>
      <c r="DZ505" s="825"/>
      <c r="EA505" s="825"/>
      <c r="EB505" s="825"/>
      <c r="EC505" s="825"/>
      <c r="ED505" s="825"/>
      <c r="EE505" s="825"/>
    </row>
    <row r="506" spans="1:145" ht="56.25" customHeight="1" x14ac:dyDescent="0.2">
      <c r="A506" s="24" t="s">
        <v>789</v>
      </c>
      <c r="B506" s="432" t="s">
        <v>16</v>
      </c>
      <c r="C506" s="433"/>
      <c r="D506" s="432" t="s">
        <v>219</v>
      </c>
      <c r="E506" s="432" t="s">
        <v>220</v>
      </c>
      <c r="F506" s="432" t="s">
        <v>221</v>
      </c>
      <c r="G506" s="432" t="s">
        <v>222</v>
      </c>
      <c r="H506" s="432" t="s">
        <v>522</v>
      </c>
      <c r="I506" s="432" t="s">
        <v>523</v>
      </c>
      <c r="J506" s="432" t="s">
        <v>524</v>
      </c>
      <c r="K506" s="432" t="s">
        <v>525</v>
      </c>
      <c r="L506" s="432" t="s">
        <v>182</v>
      </c>
      <c r="M506" s="432" t="s">
        <v>183</v>
      </c>
      <c r="N506" s="433"/>
      <c r="O506" s="432" t="s">
        <v>219</v>
      </c>
      <c r="P506" s="432" t="s">
        <v>220</v>
      </c>
      <c r="Q506" s="432" t="s">
        <v>221</v>
      </c>
      <c r="R506" s="432" t="s">
        <v>222</v>
      </c>
      <c r="S506" s="432" t="s">
        <v>522</v>
      </c>
      <c r="T506" s="432" t="s">
        <v>523</v>
      </c>
      <c r="U506" s="432" t="s">
        <v>524</v>
      </c>
      <c r="V506" s="432" t="s">
        <v>525</v>
      </c>
      <c r="W506" s="432" t="s">
        <v>182</v>
      </c>
      <c r="X506" s="432" t="s">
        <v>183</v>
      </c>
      <c r="Y506" s="433"/>
      <c r="Z506" s="432" t="s">
        <v>796</v>
      </c>
      <c r="AA506" s="432" t="s">
        <v>797</v>
      </c>
      <c r="AB506" s="432" t="s">
        <v>798</v>
      </c>
      <c r="AC506" s="432" t="s">
        <v>799</v>
      </c>
      <c r="AD506" s="432" t="s">
        <v>800</v>
      </c>
      <c r="AE506" s="432" t="s">
        <v>801</v>
      </c>
      <c r="AF506" s="432" t="s">
        <v>802</v>
      </c>
      <c r="AG506" s="432" t="s">
        <v>803</v>
      </c>
      <c r="AI506" s="432" t="s">
        <v>804</v>
      </c>
      <c r="AJ506" s="432" t="s">
        <v>795</v>
      </c>
      <c r="AK506" s="433"/>
      <c r="AL506" s="495" t="s">
        <v>16</v>
      </c>
      <c r="AM506" s="530" t="s">
        <v>1003</v>
      </c>
      <c r="AN506" s="1084" t="s">
        <v>958</v>
      </c>
      <c r="AO506" s="1085" t="s">
        <v>959</v>
      </c>
      <c r="AP506" s="496" t="s">
        <v>1707</v>
      </c>
      <c r="AQ506" s="493"/>
      <c r="AR506" s="1086" t="s">
        <v>684</v>
      </c>
      <c r="AT506" s="1086" t="s">
        <v>1333</v>
      </c>
      <c r="AU506" s="1085" t="s">
        <v>1707</v>
      </c>
      <c r="AV506" s="432" t="s">
        <v>16</v>
      </c>
      <c r="AW506" s="433"/>
      <c r="AX506" s="433"/>
      <c r="AY506" s="529" t="s">
        <v>972</v>
      </c>
      <c r="AZ506" s="530" t="s">
        <v>978</v>
      </c>
      <c r="BA506" s="513" t="s">
        <v>976</v>
      </c>
      <c r="BB506" s="550" t="s">
        <v>977</v>
      </c>
      <c r="BC506" s="551" t="s">
        <v>1005</v>
      </c>
      <c r="BD506" s="550" t="s">
        <v>979</v>
      </c>
      <c r="BE506" s="552" t="s">
        <v>1004</v>
      </c>
      <c r="BF506" s="513" t="s">
        <v>980</v>
      </c>
      <c r="BG506" s="513" t="s">
        <v>985</v>
      </c>
      <c r="BI506" s="24" t="s">
        <v>1011</v>
      </c>
      <c r="BJ506" s="432" t="s">
        <v>219</v>
      </c>
      <c r="BK506" s="432" t="s">
        <v>220</v>
      </c>
      <c r="BL506" s="432" t="s">
        <v>221</v>
      </c>
      <c r="BM506" s="432" t="s">
        <v>222</v>
      </c>
      <c r="BN506" s="432" t="s">
        <v>522</v>
      </c>
      <c r="BO506" s="432" t="s">
        <v>523</v>
      </c>
      <c r="BP506" s="432" t="s">
        <v>524</v>
      </c>
      <c r="BQ506" s="432" t="s">
        <v>525</v>
      </c>
      <c r="BS506" s="1361" t="str">
        <f t="shared" ref="BS506:BS537" si="947">AV506</f>
        <v>Jours</v>
      </c>
      <c r="BU506" s="432" t="s">
        <v>219</v>
      </c>
      <c r="BV506" s="432" t="s">
        <v>220</v>
      </c>
      <c r="BW506" s="432" t="s">
        <v>221</v>
      </c>
      <c r="BX506" s="432" t="s">
        <v>222</v>
      </c>
      <c r="BY506" s="432" t="s">
        <v>522</v>
      </c>
      <c r="BZ506" s="432" t="s">
        <v>523</v>
      </c>
      <c r="CA506" s="432" t="s">
        <v>524</v>
      </c>
      <c r="CB506" s="432" t="s">
        <v>525</v>
      </c>
      <c r="CD506" s="1361" t="s">
        <v>1526</v>
      </c>
      <c r="CS506" s="488"/>
      <c r="CT506" s="488"/>
      <c r="CU506" s="488"/>
      <c r="CV506" s="488"/>
      <c r="DG506" s="315" t="s">
        <v>1327</v>
      </c>
      <c r="DH506" s="129" t="s">
        <v>1328</v>
      </c>
      <c r="DI506" s="129" t="s">
        <v>1330</v>
      </c>
      <c r="DK506" s="129" t="s">
        <v>1332</v>
      </c>
      <c r="DU506" s="1361" t="s">
        <v>238</v>
      </c>
      <c r="DV506" s="1361" t="s">
        <v>219</v>
      </c>
      <c r="DW506" s="1361" t="s">
        <v>220</v>
      </c>
      <c r="DX506" s="1361" t="s">
        <v>221</v>
      </c>
      <c r="DY506" s="1361" t="s">
        <v>222</v>
      </c>
      <c r="DZ506" s="1361" t="s">
        <v>522</v>
      </c>
      <c r="EA506" s="1361" t="s">
        <v>523</v>
      </c>
      <c r="EB506" s="1361" t="s">
        <v>524</v>
      </c>
      <c r="EC506" s="1361" t="s">
        <v>525</v>
      </c>
      <c r="ED506" s="1361" t="s">
        <v>182</v>
      </c>
      <c r="EE506" s="1361" t="s">
        <v>183</v>
      </c>
      <c r="EG506" s="1361" t="s">
        <v>1224</v>
      </c>
      <c r="EH506" s="1361" t="s">
        <v>1522</v>
      </c>
      <c r="EI506" s="1361" t="s">
        <v>1523</v>
      </c>
    </row>
    <row r="507" spans="1:145" x14ac:dyDescent="0.2">
      <c r="A507" s="24" t="str">
        <f>Décembre!BJ20</f>
        <v>Fiche infoA2</v>
      </c>
      <c r="B507" s="810">
        <f>Décembre!AB20</f>
        <v>46357</v>
      </c>
      <c r="C507" s="1371"/>
      <c r="D507" s="978">
        <f t="shared" ref="D507:D537" si="948">IF(AR507&lt;&gt;"",0,IF(DN507=10,0,IFERROR(+IF(BU507="",VLOOKUP(A507,base_horaire,2,FALSE),BU507),0)))</f>
        <v>0</v>
      </c>
      <c r="E507" s="979">
        <f t="shared" ref="E507:E537" si="949">IF(AR507&lt;&gt;"",0,IF(DN507=10,0,IFERROR(+IF(BV507="",VLOOKUP(A507,base_horaire,3,FALSE),BV507),0)))</f>
        <v>0</v>
      </c>
      <c r="F507" s="979">
        <f t="shared" ref="F507:F537" si="950">IF(AR507&lt;&gt;"",0,IF(DN507=10,0,IFERROR(+IF(BW507="",VLOOKUP(A507,base_horaire,4,FALSE),BW507),0)))</f>
        <v>0</v>
      </c>
      <c r="G507" s="979">
        <f t="shared" ref="G507:G537" si="951">IF(AR507&lt;&gt;"",0,IF(DN507=10,0,IFERROR(+IF(BX507="",VLOOKUP(A507,base_horaire,5,FALSE),BX507),0)))</f>
        <v>0</v>
      </c>
      <c r="H507" s="979">
        <f t="shared" ref="H507:H537" si="952">IF(AR507&lt;&gt;"",0,IF(DN507=10,0,IFERROR(+IF(BY507="",VLOOKUP(A507,base_horaire,6,FALSE),BY507),0)))</f>
        <v>0</v>
      </c>
      <c r="I507" s="979">
        <f t="shared" ref="I507:I537" si="953">IF(AR507&lt;&gt;"",0,IF(DN507=10,0,IFERROR(+IF(BZ507="",VLOOKUP(A507,base_horaire,7,FALSE),BZ507),0)))</f>
        <v>0</v>
      </c>
      <c r="J507" s="979">
        <f t="shared" ref="J507:J537" si="954">IF(AR507&lt;&gt;"",0,IF(DN507=10,0,IFERROR(+IF(CA507="",VLOOKUP(A507,base_horaire,8,FALSE),CA507),0)))</f>
        <v>0</v>
      </c>
      <c r="K507" s="979">
        <f t="shared" ref="K507:K537" si="955">IF(AR507&lt;&gt;"",0,IF(DN507=10,0,IFERROR(+IF(CB507="",VLOOKUP(A507,base_horaire,9,FALSE),CB507),0)))</f>
        <v>0</v>
      </c>
      <c r="L507" s="979">
        <f>+E507-D507+G507-F507+I507-H507+K507-J507</f>
        <v>0</v>
      </c>
      <c r="M507" s="980">
        <f>ROUND(+L507*24,2)</f>
        <v>0</v>
      </c>
      <c r="O507" s="978">
        <f t="shared" ref="O507:O514" si="956">IF(AR507&lt;&gt;"",0,IF(DC507="oui",0,IF(AND(ISTEXT(AT507)=TRUE,BJ507=""),0,IF(BJ507="",D507,BJ507))))</f>
        <v>0</v>
      </c>
      <c r="P507" s="979">
        <f t="shared" ref="P507:P514" si="957">IF(AR507&lt;&gt;"",0,IF(DC507="oui",0,IF(AND(ISTEXT(AT507)=TRUE,BK507=""),0,IF(BK507="",E507,BK507))))</f>
        <v>0</v>
      </c>
      <c r="Q507" s="979">
        <f t="shared" ref="Q507:Q514" si="958">IF(AR507&lt;&gt;"",0,IF(DC507="oui",0,IF(AND(ISTEXT(AT507)=TRUE,BL507=""),0,IF(BL507="",F507,BL507))))</f>
        <v>0</v>
      </c>
      <c r="R507" s="979">
        <f t="shared" ref="R507:R514" si="959">IF(AR507&lt;&gt;"",0,IF(DC507="oui",0,IF(AND(ISTEXT(AT507)=TRUE,BM507=""),0,IF(BM507="",G507,BM507))))</f>
        <v>0</v>
      </c>
      <c r="S507" s="979">
        <f t="shared" ref="S507:S514" si="960">IF(AR507&lt;&gt;"",0,IF(DC507="oui",0,IF(AND(ISTEXT(AT507)=TRUE,BN507=""),0,IF(BN507="",H507,BN507))))</f>
        <v>0</v>
      </c>
      <c r="T507" s="979">
        <f t="shared" ref="T507:T514" si="961">IF(AR507&lt;&gt;"",0,IF(DC507="oui",0,IF(AND(ISTEXT(AT507)=TRUE,BO507=""),0,IF(BO507="",I507,BO507))))</f>
        <v>0</v>
      </c>
      <c r="U507" s="979">
        <f t="shared" ref="U507:U514" si="962">IF(AR507&lt;&gt;"",0,IF(DC507="oui",0,IF(AND(ISTEXT(AT507)=TRUE,BP507=""),0,IF(BP507="",J507,BP507))))</f>
        <v>0</v>
      </c>
      <c r="V507" s="979">
        <f t="shared" ref="V507:V514" si="963">IF(AR507&lt;&gt;"",0,IF(DC507="oui",0,IF(AND(ISTEXT(AT507)=TRUE,BQ507=""),0,IF(BQ507="",K507,BQ507))))</f>
        <v>0</v>
      </c>
      <c r="W507" s="979">
        <f t="shared" ref="W507:W537" si="964">+P507-O507+R507-Q507+T507-S507+V507-U507</f>
        <v>0</v>
      </c>
      <c r="X507" s="980">
        <f t="shared" ref="X507:X537" si="965">ROUND(+W507*24,2)</f>
        <v>0</v>
      </c>
      <c r="Y507" s="441"/>
      <c r="Z507" s="277">
        <f t="shared" ref="Z507:Z537" si="966">+IF(AND(O507&gt;D507,D507&gt;0),D507,O507)</f>
        <v>0</v>
      </c>
      <c r="AA507" s="277">
        <f t="shared" ref="AA507:AA537" si="967">+IF(P507&gt;E507,P507,E507)</f>
        <v>0</v>
      </c>
      <c r="AB507" s="277">
        <f t="shared" ref="AB507:AB537" si="968">+IF(AND(Q507&gt;F507,F507&gt;0),F507,Q507)</f>
        <v>0</v>
      </c>
      <c r="AC507" s="277">
        <f t="shared" ref="AC507:AC537" si="969">+IF(R507&gt;G507,R507,G507)</f>
        <v>0</v>
      </c>
      <c r="AD507" s="277">
        <f t="shared" ref="AD507:AD537" si="970">+IF(AND(S507&gt;H507,H507&gt;0),H507,S507)</f>
        <v>0</v>
      </c>
      <c r="AE507" s="277">
        <f t="shared" ref="AE507:AE537" si="971">+IF(T507&gt;I507,T507,I507)</f>
        <v>0</v>
      </c>
      <c r="AF507" s="277">
        <f t="shared" ref="AF507:AF537" si="972">+IF(AND(U507&gt;J507,J507&gt;0),J507,U507)</f>
        <v>0</v>
      </c>
      <c r="AG507" s="277">
        <f t="shared" ref="AG507:AG537" si="973">+IF(V507&gt;K507,V507,K507)</f>
        <v>0</v>
      </c>
      <c r="AI507" s="443">
        <f t="shared" ref="AI507:AI514" si="974">IF(DC507="oui",0,IF(AND(ISTEXT(AT507)=TRUE,OR(X507=0,X507="")),0,ROUND(((((AA507-Z507)-(E507-D507))+((AC507-AB507)-(G507-F507))+((AE507-AD507)-(I507-H507))+(AG507-AF507)-(K507-J507))*24),2)))</f>
        <v>0</v>
      </c>
      <c r="AJ507" s="1089"/>
      <c r="AK507" s="489"/>
      <c r="AL507" s="810">
        <f t="shared" ref="AL507:AL537" si="975">B507</f>
        <v>46357</v>
      </c>
      <c r="AM507" s="497">
        <f>IFERROR(IF(AND(AT507="",AR507&lt;&gt;S.CAL!$BJ$3,AR507&lt;&gt;S.CAL!$BJ$4,$AR$500="NON"),M507-BD507,IF(AND(AT507="",AR507&lt;&gt;S.CAL!$BJ$3,AR507&lt;&gt;S.CAL!$BJ$4,$AR$500="OUI"),X507-AI507,IF(AT507&lt;&gt;0,AT507,IF(OR(AR507=S.CAL!$BJ$3,AR507=S.CAL!$BJ$4),AR507,"")))),"")</f>
        <v>0</v>
      </c>
      <c r="AN507" s="1091"/>
      <c r="AO507" s="1092"/>
      <c r="AP507" s="497">
        <f>+IF(AND(AU507="",BB507="OUI",BH507="non",BI507="OUI"),AM507,IF(AND(AU507="",BB507="OUI",BH507="oui",BI507="NON"),AM507,IF(AND(AU507="",BB507="NON",BH507="oui",BI507="NON"),M507,IF(AND(AU507="",BB507="NON",BH507="non",BI507="OUI"),M507,IF(AND(AU507="",BB507="OUI",BH507="non",BI507="NON"),"ERREUR",IF(AND(AU507="",BB507="NON",BH507="non",BI507="NON"),AM507,IF(AND(AU507="",BB507="OUI",BH507="",BI507=""),AM507,IF(AND(AU507="",BB507="NON",BH507="",BI507="",AZ507="NON"),M507,IF(AND(AU507="",BH507="",AZ507="OUI",AR507=""),AM507,IF(AND(AU507="",BH507="",AZ507="NON",AR507="",AT507=""),M507,IF(AND(OR(AR507=S.CAL!$BJ$3,AR507=S.CAL!$BJ$4),(VLOOKUP($AM$500,base_nbre_sem_mensu,2,FALSE)=52)),EE507,IF(AND(OR(AR507=S.CAL!$BJ$3,AR507=S.CAL!$BJ$4),(VLOOKUP($AM$500,base_nbre_sem_mensu,2,FALSE)&lt;52)),AM507,IF(AND(AT507&lt;&gt;"",AU507=""),AT507,AU507)))))))))))))</f>
        <v>0</v>
      </c>
      <c r="AQ507" s="498">
        <f>AI507-SUM(AN507:AO507)</f>
        <v>0</v>
      </c>
      <c r="AR507" s="1097"/>
      <c r="AT507" s="1100"/>
      <c r="AU507" s="813"/>
      <c r="AV507" s="1369">
        <f t="shared" ref="AV507:AV537" si="976">B507</f>
        <v>46357</v>
      </c>
      <c r="AX507" s="511">
        <f>+AV507</f>
        <v>46357</v>
      </c>
      <c r="AY507" s="528">
        <f>+IF(M507-X507&lt;0,0,M507-X507)</f>
        <v>0</v>
      </c>
      <c r="AZ507" s="531" t="s">
        <v>137</v>
      </c>
      <c r="BA507" s="532">
        <f>+IF(AZ507="OUI",AY507,0)</f>
        <v>0</v>
      </c>
      <c r="BB507" s="533" t="str">
        <f t="shared" ref="BB507:BB537" si="977">IF(AND(BE507="",+IFERROR(VLOOKUP(AT507,Liste_motif_formule,5,FALSE),0)="OUI"),"OUI",IF(AND(BE507="",IFERROR(VLOOKUP(AT507,Liste_motif_formule,5,FALSE),0)="NON"),"NON",IF(AND(BE507="",IFERROR(M507-AT507&gt;=0,0),AT507&lt;&gt;""),"OUI",IF(AND(BE507="",DC507="oui"),"OUI",IF(BE507&lt;&gt;"",BE507,"")))))</f>
        <v/>
      </c>
      <c r="BC507" s="528">
        <f>+IF(BB507="OUI",IFERROR(M507-AT507,M507),0)</f>
        <v>0</v>
      </c>
      <c r="BD507" s="528">
        <f>+BC507+BA507</f>
        <v>0</v>
      </c>
      <c r="BE507" s="1103"/>
      <c r="BF507" s="514" t="str">
        <f t="shared" ref="BF507:BF537" si="978">+IF(AND(AZ507="OUI",BB507="OUI"),"ERREUR","")</f>
        <v/>
      </c>
      <c r="BG507" s="514" t="str">
        <f>+IF(AND(M507=0,AT507=""),"oui","non")</f>
        <v>oui</v>
      </c>
      <c r="BH507" s="377" t="str">
        <f t="shared" ref="BH507:BH537" si="979">IFERROR(+VLOOKUP(AT507,Liste_motif_formule,4,FALSE),"")</f>
        <v/>
      </c>
      <c r="BI507" s="24" t="str">
        <f t="shared" ref="BI507:BI537" si="980">IFERROR(+VLOOKUP(AT507,Liste_motif_formule,5,FALSE),"")</f>
        <v/>
      </c>
      <c r="BJ507" s="1381"/>
      <c r="BK507" s="1381"/>
      <c r="BL507" s="1381"/>
      <c r="BM507" s="1381"/>
      <c r="BN507" s="1381"/>
      <c r="BO507" s="1381"/>
      <c r="BP507" s="1381"/>
      <c r="BQ507" s="1381"/>
      <c r="BS507" s="1369">
        <f t="shared" si="947"/>
        <v>46357</v>
      </c>
      <c r="BT507" s="27">
        <f>IFERROR(WEEKNUM(BS507,21),"")</f>
        <v>49</v>
      </c>
      <c r="BU507" s="1379"/>
      <c r="BV507" s="1379"/>
      <c r="BW507" s="1379"/>
      <c r="BX507" s="1379"/>
      <c r="BY507" s="1379"/>
      <c r="BZ507" s="1379"/>
      <c r="CA507" s="1379"/>
      <c r="CB507" s="1379"/>
      <c r="CD507" s="1385">
        <f>+M507</f>
        <v>0</v>
      </c>
      <c r="DC507" s="16" t="str">
        <f>Décembre!FC20</f>
        <v>non</v>
      </c>
      <c r="DG507" s="315">
        <f>IF(OR(AT507=0,AT507=""),1,10)</f>
        <v>1</v>
      </c>
      <c r="DH507" s="129">
        <f t="shared" ref="DH507:DH537" si="981">IFERROR(+VLOOKUP(AT507,Liste_motif_formule,9,FALSE),10)</f>
        <v>10</v>
      </c>
      <c r="DI507" s="129">
        <f>+IF(OR(DG507=1,DH507=1),1,10)</f>
        <v>1</v>
      </c>
      <c r="DK507" s="16">
        <f>+IF(AND(Décembre!$DP$8&lt;&gt;52,AR507=S.CAL!$BJ$4),10,1)</f>
        <v>1</v>
      </c>
      <c r="DN507" s="16">
        <f t="shared" ref="DN507:DN537" si="982">+IF(AND(DC507="non",ISTEXT(AT507)=TRUE,IFERROR(VLOOKUP(AT507,Liste_motif_formule,4,FALSE)="non",0),IFERROR(VLOOKUP(AT507,Liste_motif_formule,5,FALSE)="non",0)),10,1)</f>
        <v>1</v>
      </c>
      <c r="DU507" s="1274" t="str">
        <f>+A507&amp;B507</f>
        <v>Fiche infoA246357</v>
      </c>
      <c r="DV507" s="1362">
        <f t="shared" ref="DV507:DV537" si="983">+IFERROR(+IF(BU507="",VLOOKUP(A507,base_horaire,2,FALSE),BU507),0)</f>
        <v>0</v>
      </c>
      <c r="DW507" s="1363">
        <f t="shared" ref="DW507:DW537" si="984">+IFERROR(+IF(BV507="",VLOOKUP(A507,base_horaire,3,FALSE),BV507),0)</f>
        <v>0</v>
      </c>
      <c r="DX507" s="1363">
        <f t="shared" ref="DX507:DX537" si="985">+IFERROR(+IF(BW507="",VLOOKUP(A507,base_horaire,4,FALSE),BW507),0)</f>
        <v>0</v>
      </c>
      <c r="DY507" s="1363">
        <f t="shared" ref="DY507:DY537" si="986">+IFERROR(+IF(BX507="",VLOOKUP(A507,base_horaire,5,FALSE),BX507),0)</f>
        <v>0</v>
      </c>
      <c r="DZ507" s="1363">
        <f t="shared" ref="DZ507:DZ537" si="987">+IFERROR(+IF(BY507="",VLOOKUP(A507,base_horaire,6,FALSE),BY507),0)</f>
        <v>0</v>
      </c>
      <c r="EA507" s="1363">
        <f t="shared" ref="EA507:EA537" si="988">IFERROR(+IF(BZ507="",VLOOKUP(A507,base_horaire,7,FALSE),BZ507),0)</f>
        <v>0</v>
      </c>
      <c r="EB507" s="1363">
        <f t="shared" ref="EB507:EB537" si="989">IFERROR(+IF(CA507="",VLOOKUP(A507,base_horaire,8,FALSE),CA507),0)</f>
        <v>0</v>
      </c>
      <c r="EC507" s="1363">
        <f t="shared" ref="EC507:EC537" si="990">IFERROR(+IF(CB507="",VLOOKUP(A507,base_horaire,9,FALSE),CB507),0)</f>
        <v>0</v>
      </c>
      <c r="ED507" s="1363">
        <f>+DW507-DV507+DY507-DX507+EA507-DZ507+EC507-EB507</f>
        <v>0</v>
      </c>
      <c r="EE507" s="1364">
        <f>ROUND(+ED507*24,2)</f>
        <v>0</v>
      </c>
      <c r="EG507" s="16" t="str">
        <f>+WEEKNUM(B507,21)&amp;YEAR(B507)</f>
        <v>492026</v>
      </c>
      <c r="EH507" s="16" t="str">
        <f t="shared" ref="EH507:EH537" si="991">+A507</f>
        <v>Fiche infoA2</v>
      </c>
      <c r="EI507" s="16" t="str">
        <f t="shared" ref="EI507:EI537" si="992">+VLOOKUP(EH507,Base_heures,6,FALSE)</f>
        <v/>
      </c>
    </row>
    <row r="508" spans="1:145" x14ac:dyDescent="0.2">
      <c r="A508" s="1373" t="str">
        <f>Décembre!BJ21</f>
        <v>Fiche infoA3</v>
      </c>
      <c r="B508" s="811">
        <f>Décembre!AB21</f>
        <v>46358</v>
      </c>
      <c r="C508" s="1372"/>
      <c r="D508" s="981">
        <f t="shared" si="948"/>
        <v>0</v>
      </c>
      <c r="E508" s="434">
        <f t="shared" si="949"/>
        <v>0</v>
      </c>
      <c r="F508" s="434">
        <f t="shared" si="950"/>
        <v>0</v>
      </c>
      <c r="G508" s="434">
        <f t="shared" si="951"/>
        <v>0</v>
      </c>
      <c r="H508" s="434">
        <f t="shared" si="952"/>
        <v>0</v>
      </c>
      <c r="I508" s="434">
        <f t="shared" si="953"/>
        <v>0</v>
      </c>
      <c r="J508" s="434">
        <f t="shared" si="954"/>
        <v>0</v>
      </c>
      <c r="K508" s="434">
        <f t="shared" si="955"/>
        <v>0</v>
      </c>
      <c r="L508" s="434">
        <f t="shared" ref="L508:L537" si="993">+E508-D508+G508-F508+I508-H508+K508-J508</f>
        <v>0</v>
      </c>
      <c r="M508" s="982">
        <f t="shared" ref="M508:M537" si="994">ROUND(+L508*24,2)</f>
        <v>0</v>
      </c>
      <c r="N508" s="1374"/>
      <c r="O508" s="981">
        <f t="shared" si="956"/>
        <v>0</v>
      </c>
      <c r="P508" s="434">
        <f t="shared" si="957"/>
        <v>0</v>
      </c>
      <c r="Q508" s="434">
        <f t="shared" si="958"/>
        <v>0</v>
      </c>
      <c r="R508" s="434">
        <f t="shared" si="959"/>
        <v>0</v>
      </c>
      <c r="S508" s="434">
        <f t="shared" si="960"/>
        <v>0</v>
      </c>
      <c r="T508" s="434">
        <f t="shared" si="961"/>
        <v>0</v>
      </c>
      <c r="U508" s="434">
        <f t="shared" si="962"/>
        <v>0</v>
      </c>
      <c r="V508" s="434">
        <f t="shared" si="963"/>
        <v>0</v>
      </c>
      <c r="W508" s="434">
        <f t="shared" si="964"/>
        <v>0</v>
      </c>
      <c r="X508" s="982">
        <f t="shared" si="965"/>
        <v>0</v>
      </c>
      <c r="Y508" s="1375"/>
      <c r="Z508" s="1376">
        <f t="shared" si="966"/>
        <v>0</v>
      </c>
      <c r="AA508" s="1376">
        <f t="shared" si="967"/>
        <v>0</v>
      </c>
      <c r="AB508" s="1376">
        <f t="shared" si="968"/>
        <v>0</v>
      </c>
      <c r="AC508" s="1376">
        <f t="shared" si="969"/>
        <v>0</v>
      </c>
      <c r="AD508" s="1376">
        <f t="shared" si="970"/>
        <v>0</v>
      </c>
      <c r="AE508" s="1376">
        <f t="shared" si="971"/>
        <v>0</v>
      </c>
      <c r="AF508" s="1376">
        <f t="shared" si="972"/>
        <v>0</v>
      </c>
      <c r="AG508" s="1376">
        <f t="shared" si="973"/>
        <v>0</v>
      </c>
      <c r="AH508" s="1374"/>
      <c r="AI508" s="444">
        <f t="shared" si="974"/>
        <v>0</v>
      </c>
      <c r="AJ508" s="1090"/>
      <c r="AK508" s="1377"/>
      <c r="AL508" s="811">
        <f t="shared" si="975"/>
        <v>46358</v>
      </c>
      <c r="AM508" s="666">
        <f>IFERROR(IF(AND(AT508="",AR508&lt;&gt;S.CAL!$BJ$3,AR508&lt;&gt;S.CAL!$BJ$4,$AR$500="NON"),M508-BD508,IF(AND(AT508="",AR508&lt;&gt;S.CAL!$BJ$3,AR508&lt;&gt;S.CAL!$BJ$4,$AR$500="OUI"),X508-AI508,IF(AT508&lt;&gt;0,AT508,IF(OR(AR508=S.CAL!$BJ$3,AR508=S.CAL!$BJ$4),AR508,"")))),"")</f>
        <v>0</v>
      </c>
      <c r="AN508" s="1093"/>
      <c r="AO508" s="1094"/>
      <c r="AP508" s="666">
        <f>+IF(AND(AU508="",BB508="OUI",BH508="non",BI508="OUI"),AM508,IF(AND(AU508="",BB508="OUI",BH508="oui",BI508="NON"),AM508,IF(AND(AU508="",BB508="NON",BH508="oui",BI508="NON"),M508,IF(AND(AU508="",BB508="NON",BH508="non",BI508="OUI"),M508,IF(AND(AU508="",BB508="OUI",BH508="non",BI508="NON"),"ERREUR",IF(AND(AU508="",BB508="NON",BH508="non",BI508="NON"),AM508,IF(AND(AU508="",BB508="OUI",BH508="",BI508=""),AM508,IF(AND(AU508="",BB508="NON",BH508="",BI508="",AZ508="NON"),M508,IF(AND(AU508="",BH508="",AZ508="OUI",AR508=""),AM508,IF(AND(AU508="",BH508="",AZ508="NON",AR508="",AT508=""),M508,IF(AND(OR(AR508=S.CAL!$BJ$3,AR508=S.CAL!$BJ$4),(VLOOKUP($AM$500,base_nbre_sem_mensu,2,FALSE)=52)),EE508,IF(AND(OR(AR508=S.CAL!$BJ$3,AR508=S.CAL!$BJ$4),(VLOOKUP($AM$500,base_nbre_sem_mensu,2,FALSE)&lt;52)),AM508,IF(AND(AT508&lt;&gt;"",AU508=""),AT508,AU508)))))))))))))</f>
        <v>0</v>
      </c>
      <c r="AQ508" s="1378">
        <f t="shared" ref="AQ508:AQ537" si="995">AI508-SUM(AN508:AO508)</f>
        <v>0</v>
      </c>
      <c r="AR508" s="1098"/>
      <c r="AS508" s="1374"/>
      <c r="AT508" s="1101"/>
      <c r="AU508" s="813"/>
      <c r="AV508" s="1370">
        <f t="shared" si="976"/>
        <v>46358</v>
      </c>
      <c r="AW508" s="1374"/>
      <c r="AX508" s="511">
        <f t="shared" ref="AX508:AX537" si="996">+AV508</f>
        <v>46358</v>
      </c>
      <c r="AY508" s="523">
        <f t="shared" ref="AY508:AY537" si="997">+IF(M508-X508&lt;0,0,M508-X508)</f>
        <v>0</v>
      </c>
      <c r="AZ508" s="520" t="s">
        <v>137</v>
      </c>
      <c r="BA508" s="516">
        <f t="shared" ref="BA508:BA537" si="998">+IF(AZ508="OUI",AY508,0)</f>
        <v>0</v>
      </c>
      <c r="BB508" s="549" t="str">
        <f t="shared" si="977"/>
        <v/>
      </c>
      <c r="BC508" s="523">
        <f t="shared" ref="BC508:BC537" si="999">+IF(BB508="OUI",IFERROR(M508-AT508,M508),0)</f>
        <v>0</v>
      </c>
      <c r="BD508" s="523">
        <f t="shared" ref="BD508:BD537" si="1000">+BC508+BA508</f>
        <v>0</v>
      </c>
      <c r="BE508" s="1104"/>
      <c r="BF508" s="514" t="str">
        <f t="shared" si="978"/>
        <v/>
      </c>
      <c r="BG508" s="514" t="str">
        <f t="shared" ref="BG508:BG537" si="1001">+IF(AND(M508=0,AT508=""),"oui","non")</f>
        <v>oui</v>
      </c>
      <c r="BH508" s="377" t="str">
        <f t="shared" si="979"/>
        <v/>
      </c>
      <c r="BI508" s="24" t="str">
        <f t="shared" si="980"/>
        <v/>
      </c>
      <c r="BJ508" s="1382"/>
      <c r="BK508" s="1382"/>
      <c r="BL508" s="1382"/>
      <c r="BM508" s="1382"/>
      <c r="BN508" s="1382"/>
      <c r="BO508" s="1382"/>
      <c r="BP508" s="1382"/>
      <c r="BQ508" s="1382"/>
      <c r="BR508" s="1383"/>
      <c r="BS508" s="1370">
        <f t="shared" si="947"/>
        <v>46358</v>
      </c>
      <c r="BT508" s="1384" t="str">
        <f>IFERROR(IF(WEEKDAY(BS508,11)=1,WEEKNUM(BS508,21),""),"")</f>
        <v/>
      </c>
      <c r="BU508" s="1382"/>
      <c r="BV508" s="1382"/>
      <c r="BW508" s="1382"/>
      <c r="BX508" s="1382"/>
      <c r="BY508" s="1382"/>
      <c r="BZ508" s="1382"/>
      <c r="CA508" s="1382"/>
      <c r="CB508" s="1382"/>
      <c r="CD508" s="1386">
        <f t="shared" ref="CD508:CD537" si="1002">+M508</f>
        <v>0</v>
      </c>
      <c r="DC508" s="16" t="str">
        <f>Décembre!FC21</f>
        <v>non</v>
      </c>
      <c r="DG508" s="315">
        <f t="shared" ref="DG508:DG537" si="1003">IF(OR(AT508=0,AT508=""),1,10)</f>
        <v>1</v>
      </c>
      <c r="DH508" s="129">
        <f t="shared" si="981"/>
        <v>10</v>
      </c>
      <c r="DI508" s="129">
        <f t="shared" ref="DI508:DI537" si="1004">+IF(OR(DG508=1,DH508=1),1,10)</f>
        <v>1</v>
      </c>
      <c r="DK508" s="16">
        <f>+IF(AND(Décembre!$DP$8&lt;&gt;52,AR508=S.CAL!$BJ$4),10,1)</f>
        <v>1</v>
      </c>
      <c r="DN508" s="16">
        <f t="shared" si="982"/>
        <v>1</v>
      </c>
      <c r="DU508" s="1274" t="str">
        <f t="shared" ref="DU508:DU537" si="1005">+A508&amp;B508</f>
        <v>Fiche infoA346358</v>
      </c>
      <c r="DV508" s="1362">
        <f t="shared" si="983"/>
        <v>0</v>
      </c>
      <c r="DW508" s="1363">
        <f t="shared" si="984"/>
        <v>0</v>
      </c>
      <c r="DX508" s="1363">
        <f t="shared" si="985"/>
        <v>0</v>
      </c>
      <c r="DY508" s="1363">
        <f t="shared" si="986"/>
        <v>0</v>
      </c>
      <c r="DZ508" s="1363">
        <f t="shared" si="987"/>
        <v>0</v>
      </c>
      <c r="EA508" s="1363">
        <f t="shared" si="988"/>
        <v>0</v>
      </c>
      <c r="EB508" s="1363">
        <f t="shared" si="989"/>
        <v>0</v>
      </c>
      <c r="EC508" s="1363">
        <f t="shared" si="990"/>
        <v>0</v>
      </c>
      <c r="ED508" s="1363">
        <f t="shared" ref="ED508:ED537" si="1006">+DW508-DV508+DY508-DX508+EA508-DZ508+EC508-EB508</f>
        <v>0</v>
      </c>
      <c r="EE508" s="1364">
        <f t="shared" ref="EE508:EE537" si="1007">ROUND(+ED508*24,2)</f>
        <v>0</v>
      </c>
      <c r="EG508" s="16" t="str">
        <f t="shared" ref="EG508:EG537" si="1008">+WEEKNUM(B508,21)&amp;YEAR(B508)</f>
        <v>492026</v>
      </c>
      <c r="EH508" s="16" t="str">
        <f t="shared" si="991"/>
        <v>Fiche infoA3</v>
      </c>
      <c r="EI508" s="16" t="str">
        <f t="shared" si="992"/>
        <v/>
      </c>
    </row>
    <row r="509" spans="1:145" x14ac:dyDescent="0.2">
      <c r="A509" s="24" t="str">
        <f>Décembre!BJ22</f>
        <v>Fiche infoA4</v>
      </c>
      <c r="B509" s="811">
        <f>Décembre!AB22</f>
        <v>46359</v>
      </c>
      <c r="C509" s="1371"/>
      <c r="D509" s="981">
        <f t="shared" si="948"/>
        <v>0</v>
      </c>
      <c r="E509" s="434">
        <f t="shared" si="949"/>
        <v>0</v>
      </c>
      <c r="F509" s="434">
        <f t="shared" si="950"/>
        <v>0</v>
      </c>
      <c r="G509" s="434">
        <f t="shared" si="951"/>
        <v>0</v>
      </c>
      <c r="H509" s="434">
        <f t="shared" si="952"/>
        <v>0</v>
      </c>
      <c r="I509" s="434">
        <f t="shared" si="953"/>
        <v>0</v>
      </c>
      <c r="J509" s="434">
        <f t="shared" si="954"/>
        <v>0</v>
      </c>
      <c r="K509" s="434">
        <f t="shared" si="955"/>
        <v>0</v>
      </c>
      <c r="L509" s="434">
        <f t="shared" si="993"/>
        <v>0</v>
      </c>
      <c r="M509" s="982">
        <f t="shared" si="994"/>
        <v>0</v>
      </c>
      <c r="O509" s="981">
        <f t="shared" si="956"/>
        <v>0</v>
      </c>
      <c r="P509" s="434">
        <f t="shared" si="957"/>
        <v>0</v>
      </c>
      <c r="Q509" s="434">
        <f t="shared" si="958"/>
        <v>0</v>
      </c>
      <c r="R509" s="434">
        <f t="shared" si="959"/>
        <v>0</v>
      </c>
      <c r="S509" s="434">
        <f t="shared" si="960"/>
        <v>0</v>
      </c>
      <c r="T509" s="434">
        <f t="shared" si="961"/>
        <v>0</v>
      </c>
      <c r="U509" s="434">
        <f t="shared" si="962"/>
        <v>0</v>
      </c>
      <c r="V509" s="434">
        <f t="shared" si="963"/>
        <v>0</v>
      </c>
      <c r="W509" s="434">
        <f t="shared" si="964"/>
        <v>0</v>
      </c>
      <c r="X509" s="982">
        <f t="shared" si="965"/>
        <v>0</v>
      </c>
      <c r="Y509" s="441"/>
      <c r="Z509" s="277">
        <f t="shared" si="966"/>
        <v>0</v>
      </c>
      <c r="AA509" s="277">
        <f t="shared" si="967"/>
        <v>0</v>
      </c>
      <c r="AB509" s="277">
        <f t="shared" si="968"/>
        <v>0</v>
      </c>
      <c r="AC509" s="277">
        <f t="shared" si="969"/>
        <v>0</v>
      </c>
      <c r="AD509" s="277">
        <f t="shared" si="970"/>
        <v>0</v>
      </c>
      <c r="AE509" s="277">
        <f t="shared" si="971"/>
        <v>0</v>
      </c>
      <c r="AF509" s="277">
        <f t="shared" si="972"/>
        <v>0</v>
      </c>
      <c r="AG509" s="277">
        <f t="shared" si="973"/>
        <v>0</v>
      </c>
      <c r="AI509" s="444">
        <f t="shared" si="974"/>
        <v>0</v>
      </c>
      <c r="AJ509" s="1090"/>
      <c r="AK509" s="489"/>
      <c r="AL509" s="811">
        <f t="shared" si="975"/>
        <v>46359</v>
      </c>
      <c r="AM509" s="666">
        <f>IFERROR(IF(AND(AT509="",AR509&lt;&gt;S.CAL!$BJ$3,AR509&lt;&gt;S.CAL!$BJ$4,$AR$500="NON"),M509-BD509,IF(AND(AT509="",AR509&lt;&gt;S.CAL!$BJ$3,AR509&lt;&gt;S.CAL!$BJ$4,$AR$500="OUI"),X509-AI509,IF(AT509&lt;&gt;0,AT509,IF(OR(AR509=S.CAL!$BJ$3,AR509=S.CAL!$BJ$4),AR509,"")))),"")</f>
        <v>0</v>
      </c>
      <c r="AN509" s="1093"/>
      <c r="AO509" s="1094"/>
      <c r="AP509" s="666">
        <f>+IF(AND(AU509="",BB509="OUI",BH509="non",BI509="OUI"),AM509,IF(AND(AU509="",BB509="OUI",BH509="oui",BI509="NON"),AM509,IF(AND(AU509="",BB509="NON",BH509="oui",BI509="NON"),M509,IF(AND(AU509="",BB509="NON",BH509="non",BI509="OUI"),M509,IF(AND(AU509="",BB509="OUI",BH509="non",BI509="NON"),"ERREUR",IF(AND(AU509="",BB509="NON",BH509="non",BI509="NON"),AM509,IF(AND(AU509="",BB509="OUI",BH509="",BI509=""),AM509,IF(AND(AU509="",BB509="NON",BH509="",BI509="",AZ509="NON"),M509,IF(AND(AU509="",BH509="",AZ509="OUI",AR509=""),AM509,IF(AND(AU509="",BH509="",AZ509="NON",AR509="",AT509=""),M509,IF(AND(OR(AR509=S.CAL!$BJ$3,AR509=S.CAL!$BJ$4),(VLOOKUP($AM$500,base_nbre_sem_mensu,2,FALSE)=52)),EE509,IF(AND(OR(AR509=S.CAL!$BJ$3,AR509=S.CAL!$BJ$4),(VLOOKUP($AM$500,base_nbre_sem_mensu,2,FALSE)&lt;52)),AM509,IF(AND(AT509&lt;&gt;"",AU509=""),AT509,AU509)))))))))))))</f>
        <v>0</v>
      </c>
      <c r="AQ509" s="498">
        <f t="shared" si="995"/>
        <v>0</v>
      </c>
      <c r="AR509" s="1098"/>
      <c r="AT509" s="1101"/>
      <c r="AU509" s="813"/>
      <c r="AV509" s="1370">
        <f t="shared" si="976"/>
        <v>46359</v>
      </c>
      <c r="AX509" s="511">
        <f t="shared" si="996"/>
        <v>46359</v>
      </c>
      <c r="AY509" s="523">
        <f t="shared" si="997"/>
        <v>0</v>
      </c>
      <c r="AZ509" s="520" t="s">
        <v>137</v>
      </c>
      <c r="BA509" s="516">
        <f t="shared" si="998"/>
        <v>0</v>
      </c>
      <c r="BB509" s="549" t="str">
        <f t="shared" si="977"/>
        <v/>
      </c>
      <c r="BC509" s="523">
        <f t="shared" si="999"/>
        <v>0</v>
      </c>
      <c r="BD509" s="523">
        <f t="shared" si="1000"/>
        <v>0</v>
      </c>
      <c r="BE509" s="1104"/>
      <c r="BF509" s="514" t="str">
        <f t="shared" si="978"/>
        <v/>
      </c>
      <c r="BG509" s="514" t="str">
        <f t="shared" si="1001"/>
        <v>oui</v>
      </c>
      <c r="BH509" s="377" t="str">
        <f t="shared" si="979"/>
        <v/>
      </c>
      <c r="BI509" s="24" t="str">
        <f t="shared" si="980"/>
        <v/>
      </c>
      <c r="BJ509" s="1381"/>
      <c r="BK509" s="1381"/>
      <c r="BL509" s="1381"/>
      <c r="BM509" s="1381"/>
      <c r="BN509" s="1381"/>
      <c r="BO509" s="1381"/>
      <c r="BP509" s="1381"/>
      <c r="BQ509" s="1381"/>
      <c r="BS509" s="1370">
        <f t="shared" si="947"/>
        <v>46359</v>
      </c>
      <c r="BT509" s="27" t="str">
        <f t="shared" ref="BT509:BT537" si="1009">IFERROR(IF(WEEKDAY(BS509,11)=1,WEEKNUM(BS509,21),""),"")</f>
        <v/>
      </c>
      <c r="BU509" s="1380"/>
      <c r="BV509" s="1380"/>
      <c r="BW509" s="1380"/>
      <c r="BX509" s="1380"/>
      <c r="BY509" s="1380"/>
      <c r="BZ509" s="1380"/>
      <c r="CA509" s="1380"/>
      <c r="CB509" s="1380"/>
      <c r="CD509" s="1386">
        <f t="shared" si="1002"/>
        <v>0</v>
      </c>
      <c r="DC509" s="16" t="str">
        <f>Décembre!FC22</f>
        <v>non</v>
      </c>
      <c r="DG509" s="315">
        <f t="shared" si="1003"/>
        <v>1</v>
      </c>
      <c r="DH509" s="129">
        <f t="shared" si="981"/>
        <v>10</v>
      </c>
      <c r="DI509" s="129">
        <f t="shared" si="1004"/>
        <v>1</v>
      </c>
      <c r="DK509" s="16">
        <f>+IF(AND(Décembre!$DP$8&lt;&gt;52,AR509=S.CAL!$BJ$4),10,1)</f>
        <v>1</v>
      </c>
      <c r="DN509" s="16">
        <f t="shared" si="982"/>
        <v>1</v>
      </c>
      <c r="DU509" s="1274" t="str">
        <f t="shared" si="1005"/>
        <v>Fiche infoA446359</v>
      </c>
      <c r="DV509" s="1362">
        <f t="shared" si="983"/>
        <v>0</v>
      </c>
      <c r="DW509" s="1363">
        <f t="shared" si="984"/>
        <v>0</v>
      </c>
      <c r="DX509" s="1363">
        <f t="shared" si="985"/>
        <v>0</v>
      </c>
      <c r="DY509" s="1363">
        <f t="shared" si="986"/>
        <v>0</v>
      </c>
      <c r="DZ509" s="1363">
        <f t="shared" si="987"/>
        <v>0</v>
      </c>
      <c r="EA509" s="1363">
        <f t="shared" si="988"/>
        <v>0</v>
      </c>
      <c r="EB509" s="1363">
        <f t="shared" si="989"/>
        <v>0</v>
      </c>
      <c r="EC509" s="1363">
        <f t="shared" si="990"/>
        <v>0</v>
      </c>
      <c r="ED509" s="1363">
        <f t="shared" si="1006"/>
        <v>0</v>
      </c>
      <c r="EE509" s="1364">
        <f t="shared" si="1007"/>
        <v>0</v>
      </c>
      <c r="EG509" s="16" t="str">
        <f t="shared" si="1008"/>
        <v>492026</v>
      </c>
      <c r="EH509" s="16" t="str">
        <f t="shared" si="991"/>
        <v>Fiche infoA4</v>
      </c>
      <c r="EI509" s="16" t="str">
        <f t="shared" si="992"/>
        <v/>
      </c>
    </row>
    <row r="510" spans="1:145" x14ac:dyDescent="0.2">
      <c r="A510" s="1373" t="str">
        <f>Décembre!BJ23</f>
        <v>Fiche infoA5</v>
      </c>
      <c r="B510" s="811">
        <f>Décembre!AB23</f>
        <v>46360</v>
      </c>
      <c r="C510" s="1372"/>
      <c r="D510" s="981">
        <f t="shared" si="948"/>
        <v>0</v>
      </c>
      <c r="E510" s="434">
        <f t="shared" si="949"/>
        <v>0</v>
      </c>
      <c r="F510" s="434">
        <f t="shared" si="950"/>
        <v>0</v>
      </c>
      <c r="G510" s="434">
        <f t="shared" si="951"/>
        <v>0</v>
      </c>
      <c r="H510" s="434">
        <f t="shared" si="952"/>
        <v>0</v>
      </c>
      <c r="I510" s="434">
        <f t="shared" si="953"/>
        <v>0</v>
      </c>
      <c r="J510" s="434">
        <f t="shared" si="954"/>
        <v>0</v>
      </c>
      <c r="K510" s="434">
        <f t="shared" si="955"/>
        <v>0</v>
      </c>
      <c r="L510" s="434">
        <f t="shared" si="993"/>
        <v>0</v>
      </c>
      <c r="M510" s="982">
        <f t="shared" si="994"/>
        <v>0</v>
      </c>
      <c r="N510" s="1374"/>
      <c r="O510" s="981">
        <f t="shared" si="956"/>
        <v>0</v>
      </c>
      <c r="P510" s="434">
        <f t="shared" si="957"/>
        <v>0</v>
      </c>
      <c r="Q510" s="434">
        <f t="shared" si="958"/>
        <v>0</v>
      </c>
      <c r="R510" s="434">
        <f t="shared" si="959"/>
        <v>0</v>
      </c>
      <c r="S510" s="434">
        <f t="shared" si="960"/>
        <v>0</v>
      </c>
      <c r="T510" s="434">
        <f t="shared" si="961"/>
        <v>0</v>
      </c>
      <c r="U510" s="434">
        <f t="shared" si="962"/>
        <v>0</v>
      </c>
      <c r="V510" s="434">
        <f t="shared" si="963"/>
        <v>0</v>
      </c>
      <c r="W510" s="434">
        <f t="shared" si="964"/>
        <v>0</v>
      </c>
      <c r="X510" s="982">
        <f t="shared" si="965"/>
        <v>0</v>
      </c>
      <c r="Y510" s="1375"/>
      <c r="Z510" s="1376">
        <f t="shared" si="966"/>
        <v>0</v>
      </c>
      <c r="AA510" s="1376">
        <f t="shared" si="967"/>
        <v>0</v>
      </c>
      <c r="AB510" s="1376">
        <f t="shared" si="968"/>
        <v>0</v>
      </c>
      <c r="AC510" s="1376">
        <f t="shared" si="969"/>
        <v>0</v>
      </c>
      <c r="AD510" s="1376">
        <f t="shared" si="970"/>
        <v>0</v>
      </c>
      <c r="AE510" s="1376">
        <f t="shared" si="971"/>
        <v>0</v>
      </c>
      <c r="AF510" s="1376">
        <f t="shared" si="972"/>
        <v>0</v>
      </c>
      <c r="AG510" s="1376">
        <f t="shared" si="973"/>
        <v>0</v>
      </c>
      <c r="AH510" s="1374"/>
      <c r="AI510" s="444">
        <f t="shared" si="974"/>
        <v>0</v>
      </c>
      <c r="AJ510" s="1090"/>
      <c r="AK510" s="1377"/>
      <c r="AL510" s="811">
        <f t="shared" si="975"/>
        <v>46360</v>
      </c>
      <c r="AM510" s="666">
        <f>IFERROR(IF(AND(AT510="",AR510&lt;&gt;S.CAL!$BJ$3,AR510&lt;&gt;S.CAL!$BJ$4,$AR$500="NON"),M510-BD510,IF(AND(AT510="",AR510&lt;&gt;S.CAL!$BJ$3,AR510&lt;&gt;S.CAL!$BJ$4,$AR$500="OUI"),X510-AI510,IF(AT510&lt;&gt;0,AT510,IF(OR(AR510=S.CAL!$BJ$3,AR510=S.CAL!$BJ$4),AR510,"")))),"")</f>
        <v>0</v>
      </c>
      <c r="AN510" s="1093"/>
      <c r="AO510" s="1094"/>
      <c r="AP510" s="666">
        <f>+IF(AND(AU510="",BB510="OUI",BH510="non",BI510="OUI"),AM510,IF(AND(AU510="",BB510="OUI",BH510="oui",BI510="NON"),AM510,IF(AND(AU510="",BB510="NON",BH510="oui",BI510="NON"),M510,IF(AND(AU510="",BB510="NON",BH510="non",BI510="OUI"),M510,IF(AND(AU510="",BB510="OUI",BH510="non",BI510="NON"),"ERREUR",IF(AND(AU510="",BB510="NON",BH510="non",BI510="NON"),AM510,IF(AND(AU510="",BB510="OUI",BH510="",BI510=""),AM510,IF(AND(AU510="",BB510="NON",BH510="",BI510="",AZ510="NON"),M510,IF(AND(AU510="",BH510="",AZ510="OUI",AR510=""),AM510,IF(AND(AU510="",BH510="",AZ510="NON",AR510="",AT510=""),M510,IF(AND(OR(AR510=S.CAL!$BJ$3,AR510=S.CAL!$BJ$4),(VLOOKUP($AM$500,base_nbre_sem_mensu,2,FALSE)=52)),EE510,IF(AND(OR(AR510=S.CAL!$BJ$3,AR510=S.CAL!$BJ$4),(VLOOKUP($AM$500,base_nbre_sem_mensu,2,FALSE)&lt;52)),AM510,IF(AND(AT510&lt;&gt;"",AU510=""),AT510,AU510)))))))))))))</f>
        <v>0</v>
      </c>
      <c r="AQ510" s="1378">
        <f t="shared" si="995"/>
        <v>0</v>
      </c>
      <c r="AR510" s="1098"/>
      <c r="AS510" s="1374"/>
      <c r="AT510" s="1101"/>
      <c r="AU510" s="813"/>
      <c r="AV510" s="1370">
        <f t="shared" si="976"/>
        <v>46360</v>
      </c>
      <c r="AW510" s="1374"/>
      <c r="AX510" s="511">
        <f t="shared" si="996"/>
        <v>46360</v>
      </c>
      <c r="AY510" s="523">
        <f t="shared" si="997"/>
        <v>0</v>
      </c>
      <c r="AZ510" s="520" t="s">
        <v>137</v>
      </c>
      <c r="BA510" s="516">
        <f t="shared" si="998"/>
        <v>0</v>
      </c>
      <c r="BB510" s="549" t="str">
        <f t="shared" si="977"/>
        <v/>
      </c>
      <c r="BC510" s="523">
        <f t="shared" si="999"/>
        <v>0</v>
      </c>
      <c r="BD510" s="523">
        <f t="shared" si="1000"/>
        <v>0</v>
      </c>
      <c r="BE510" s="1104"/>
      <c r="BF510" s="514" t="str">
        <f t="shared" si="978"/>
        <v/>
      </c>
      <c r="BG510" s="514" t="str">
        <f t="shared" si="1001"/>
        <v>oui</v>
      </c>
      <c r="BH510" s="377" t="str">
        <f t="shared" si="979"/>
        <v/>
      </c>
      <c r="BI510" s="24" t="str">
        <f t="shared" si="980"/>
        <v/>
      </c>
      <c r="BJ510" s="1382"/>
      <c r="BK510" s="1382"/>
      <c r="BL510" s="1382"/>
      <c r="BM510" s="1382"/>
      <c r="BN510" s="1382"/>
      <c r="BO510" s="1382"/>
      <c r="BP510" s="1382"/>
      <c r="BQ510" s="1382"/>
      <c r="BR510" s="1383"/>
      <c r="BS510" s="1370">
        <f t="shared" si="947"/>
        <v>46360</v>
      </c>
      <c r="BT510" s="1384" t="str">
        <f t="shared" si="1009"/>
        <v/>
      </c>
      <c r="BU510" s="1382"/>
      <c r="BV510" s="1382"/>
      <c r="BW510" s="1382"/>
      <c r="BX510" s="1382"/>
      <c r="BY510" s="1382"/>
      <c r="BZ510" s="1382"/>
      <c r="CA510" s="1382"/>
      <c r="CB510" s="1382"/>
      <c r="CD510" s="1386">
        <f t="shared" si="1002"/>
        <v>0</v>
      </c>
      <c r="DC510" s="16" t="str">
        <f>Décembre!FC23</f>
        <v>non</v>
      </c>
      <c r="DG510" s="315">
        <f t="shared" si="1003"/>
        <v>1</v>
      </c>
      <c r="DH510" s="129">
        <f t="shared" si="981"/>
        <v>10</v>
      </c>
      <c r="DI510" s="129">
        <f t="shared" si="1004"/>
        <v>1</v>
      </c>
      <c r="DK510" s="16">
        <f>+IF(AND(Décembre!$DP$8&lt;&gt;52,AR510=S.CAL!$BJ$4),10,1)</f>
        <v>1</v>
      </c>
      <c r="DN510" s="16">
        <f t="shared" si="982"/>
        <v>1</v>
      </c>
      <c r="DU510" s="1274" t="str">
        <f t="shared" si="1005"/>
        <v>Fiche infoA546360</v>
      </c>
      <c r="DV510" s="1362">
        <f t="shared" si="983"/>
        <v>0</v>
      </c>
      <c r="DW510" s="1363">
        <f t="shared" si="984"/>
        <v>0</v>
      </c>
      <c r="DX510" s="1363">
        <f t="shared" si="985"/>
        <v>0</v>
      </c>
      <c r="DY510" s="1363">
        <f t="shared" si="986"/>
        <v>0</v>
      </c>
      <c r="DZ510" s="1363">
        <f t="shared" si="987"/>
        <v>0</v>
      </c>
      <c r="EA510" s="1363">
        <f t="shared" si="988"/>
        <v>0</v>
      </c>
      <c r="EB510" s="1363">
        <f t="shared" si="989"/>
        <v>0</v>
      </c>
      <c r="EC510" s="1363">
        <f t="shared" si="990"/>
        <v>0</v>
      </c>
      <c r="ED510" s="1363">
        <f t="shared" si="1006"/>
        <v>0</v>
      </c>
      <c r="EE510" s="1364">
        <f t="shared" si="1007"/>
        <v>0</v>
      </c>
      <c r="EG510" s="16" t="str">
        <f t="shared" si="1008"/>
        <v>492026</v>
      </c>
      <c r="EH510" s="16" t="str">
        <f t="shared" si="991"/>
        <v>Fiche infoA5</v>
      </c>
      <c r="EI510" s="16" t="str">
        <f t="shared" si="992"/>
        <v/>
      </c>
    </row>
    <row r="511" spans="1:145" x14ac:dyDescent="0.2">
      <c r="A511" s="24" t="str">
        <f>Décembre!BJ24</f>
        <v>Fiche infoA6</v>
      </c>
      <c r="B511" s="811">
        <f>Décembre!AB24</f>
        <v>46361</v>
      </c>
      <c r="C511" s="1371"/>
      <c r="D511" s="981">
        <f t="shared" si="948"/>
        <v>0</v>
      </c>
      <c r="E511" s="434">
        <f t="shared" si="949"/>
        <v>0</v>
      </c>
      <c r="F511" s="434">
        <f t="shared" si="950"/>
        <v>0</v>
      </c>
      <c r="G511" s="434">
        <f t="shared" si="951"/>
        <v>0</v>
      </c>
      <c r="H511" s="434">
        <f t="shared" si="952"/>
        <v>0</v>
      </c>
      <c r="I511" s="434">
        <f t="shared" si="953"/>
        <v>0</v>
      </c>
      <c r="J511" s="434">
        <f t="shared" si="954"/>
        <v>0</v>
      </c>
      <c r="K511" s="434">
        <f t="shared" si="955"/>
        <v>0</v>
      </c>
      <c r="L511" s="434">
        <f t="shared" si="993"/>
        <v>0</v>
      </c>
      <c r="M511" s="982">
        <f t="shared" si="994"/>
        <v>0</v>
      </c>
      <c r="O511" s="981">
        <f t="shared" si="956"/>
        <v>0</v>
      </c>
      <c r="P511" s="434">
        <f t="shared" si="957"/>
        <v>0</v>
      </c>
      <c r="Q511" s="434">
        <f t="shared" si="958"/>
        <v>0</v>
      </c>
      <c r="R511" s="434">
        <f t="shared" si="959"/>
        <v>0</v>
      </c>
      <c r="S511" s="434">
        <f t="shared" si="960"/>
        <v>0</v>
      </c>
      <c r="T511" s="434">
        <f t="shared" si="961"/>
        <v>0</v>
      </c>
      <c r="U511" s="434">
        <f t="shared" si="962"/>
        <v>0</v>
      </c>
      <c r="V511" s="434">
        <f t="shared" si="963"/>
        <v>0</v>
      </c>
      <c r="W511" s="434">
        <f t="shared" si="964"/>
        <v>0</v>
      </c>
      <c r="X511" s="982">
        <f t="shared" si="965"/>
        <v>0</v>
      </c>
      <c r="Y511" s="441"/>
      <c r="Z511" s="277">
        <f t="shared" si="966"/>
        <v>0</v>
      </c>
      <c r="AA511" s="277">
        <f t="shared" si="967"/>
        <v>0</v>
      </c>
      <c r="AB511" s="277">
        <f t="shared" si="968"/>
        <v>0</v>
      </c>
      <c r="AC511" s="277">
        <f t="shared" si="969"/>
        <v>0</v>
      </c>
      <c r="AD511" s="277">
        <f t="shared" si="970"/>
        <v>0</v>
      </c>
      <c r="AE511" s="277">
        <f t="shared" si="971"/>
        <v>0</v>
      </c>
      <c r="AF511" s="277">
        <f t="shared" si="972"/>
        <v>0</v>
      </c>
      <c r="AG511" s="277">
        <f t="shared" si="973"/>
        <v>0</v>
      </c>
      <c r="AI511" s="444">
        <f t="shared" si="974"/>
        <v>0</v>
      </c>
      <c r="AJ511" s="1090"/>
      <c r="AK511" s="489"/>
      <c r="AL511" s="811">
        <f t="shared" si="975"/>
        <v>46361</v>
      </c>
      <c r="AM511" s="666">
        <f>IFERROR(IF(AND(AT511="",AR511&lt;&gt;S.CAL!$BJ$3,AR511&lt;&gt;S.CAL!$BJ$4,$AR$500="NON"),M511-BD511,IF(AND(AT511="",AR511&lt;&gt;S.CAL!$BJ$3,AR511&lt;&gt;S.CAL!$BJ$4,$AR$500="OUI"),X511-AI511,IF(AT511&lt;&gt;0,AT511,IF(OR(AR511=S.CAL!$BJ$3,AR511=S.CAL!$BJ$4),AR511,"")))),"")</f>
        <v>0</v>
      </c>
      <c r="AN511" s="1093"/>
      <c r="AO511" s="1094"/>
      <c r="AP511" s="666">
        <f>+IF(AND(AU511="",BB511="OUI",BH511="non",BI511="OUI"),AM511,IF(AND(AU511="",BB511="OUI",BH511="oui",BI511="NON"),AM511,IF(AND(AU511="",BB511="NON",BH511="oui",BI511="NON"),M511,IF(AND(AU511="",BB511="NON",BH511="non",BI511="OUI"),M511,IF(AND(AU511="",BB511="OUI",BH511="non",BI511="NON"),"ERREUR",IF(AND(AU511="",BB511="NON",BH511="non",BI511="NON"),AM511,IF(AND(AU511="",BB511="OUI",BH511="",BI511=""),AM511,IF(AND(AU511="",BB511="NON",BH511="",BI511="",AZ511="NON"),M511,IF(AND(AU511="",BH511="",AZ511="OUI",AR511=""),AM511,IF(AND(AU511="",BH511="",AZ511="NON",AR511="",AT511=""),M511,IF(AND(OR(AR511=S.CAL!$BJ$3,AR511=S.CAL!$BJ$4),(VLOOKUP($AM$500,base_nbre_sem_mensu,2,FALSE)=52)),EE511,IF(AND(OR(AR511=S.CAL!$BJ$3,AR511=S.CAL!$BJ$4),(VLOOKUP($AM$500,base_nbre_sem_mensu,2,FALSE)&lt;52)),AM511,IF(AND(AT511&lt;&gt;"",AU511=""),AT511,AU511)))))))))))))</f>
        <v>0</v>
      </c>
      <c r="AQ511" s="498">
        <f t="shared" si="995"/>
        <v>0</v>
      </c>
      <c r="AR511" s="1098"/>
      <c r="AT511" s="1101"/>
      <c r="AU511" s="813"/>
      <c r="AV511" s="1370">
        <f t="shared" si="976"/>
        <v>46361</v>
      </c>
      <c r="AX511" s="511">
        <f t="shared" si="996"/>
        <v>46361</v>
      </c>
      <c r="AY511" s="523">
        <f t="shared" si="997"/>
        <v>0</v>
      </c>
      <c r="AZ511" s="520" t="s">
        <v>137</v>
      </c>
      <c r="BA511" s="516">
        <f t="shared" si="998"/>
        <v>0</v>
      </c>
      <c r="BB511" s="549" t="str">
        <f t="shared" si="977"/>
        <v/>
      </c>
      <c r="BC511" s="523">
        <f t="shared" si="999"/>
        <v>0</v>
      </c>
      <c r="BD511" s="523">
        <f t="shared" si="1000"/>
        <v>0</v>
      </c>
      <c r="BE511" s="1104"/>
      <c r="BF511" s="514" t="str">
        <f t="shared" si="978"/>
        <v/>
      </c>
      <c r="BG511" s="514" t="str">
        <f t="shared" si="1001"/>
        <v>oui</v>
      </c>
      <c r="BH511" s="377" t="str">
        <f t="shared" si="979"/>
        <v/>
      </c>
      <c r="BI511" s="24" t="str">
        <f t="shared" si="980"/>
        <v/>
      </c>
      <c r="BJ511" s="1381"/>
      <c r="BK511" s="1381"/>
      <c r="BL511" s="1381"/>
      <c r="BM511" s="1381"/>
      <c r="BN511" s="1381"/>
      <c r="BO511" s="1381"/>
      <c r="BP511" s="1381"/>
      <c r="BQ511" s="1381"/>
      <c r="BS511" s="1370">
        <f t="shared" si="947"/>
        <v>46361</v>
      </c>
      <c r="BT511" s="27" t="str">
        <f t="shared" si="1009"/>
        <v/>
      </c>
      <c r="BU511" s="1380"/>
      <c r="BV511" s="1380"/>
      <c r="BW511" s="1380"/>
      <c r="BX511" s="1380"/>
      <c r="BY511" s="1380"/>
      <c r="BZ511" s="1380"/>
      <c r="CA511" s="1380"/>
      <c r="CB511" s="1380"/>
      <c r="CD511" s="1386">
        <f t="shared" si="1002"/>
        <v>0</v>
      </c>
      <c r="DC511" s="16" t="str">
        <f>Décembre!FC24</f>
        <v>non</v>
      </c>
      <c r="DG511" s="315">
        <f t="shared" si="1003"/>
        <v>1</v>
      </c>
      <c r="DH511" s="129">
        <f t="shared" si="981"/>
        <v>10</v>
      </c>
      <c r="DI511" s="129">
        <f t="shared" si="1004"/>
        <v>1</v>
      </c>
      <c r="DK511" s="16">
        <f>+IF(AND(Décembre!$DP$8&lt;&gt;52,AR511=S.CAL!$BJ$4),10,1)</f>
        <v>1</v>
      </c>
      <c r="DN511" s="16">
        <f t="shared" si="982"/>
        <v>1</v>
      </c>
      <c r="DU511" s="1274" t="str">
        <f t="shared" si="1005"/>
        <v>Fiche infoA646361</v>
      </c>
      <c r="DV511" s="1362">
        <f t="shared" si="983"/>
        <v>0</v>
      </c>
      <c r="DW511" s="1363">
        <f t="shared" si="984"/>
        <v>0</v>
      </c>
      <c r="DX511" s="1363">
        <f t="shared" si="985"/>
        <v>0</v>
      </c>
      <c r="DY511" s="1363">
        <f t="shared" si="986"/>
        <v>0</v>
      </c>
      <c r="DZ511" s="1363">
        <f t="shared" si="987"/>
        <v>0</v>
      </c>
      <c r="EA511" s="1363">
        <f t="shared" si="988"/>
        <v>0</v>
      </c>
      <c r="EB511" s="1363">
        <f t="shared" si="989"/>
        <v>0</v>
      </c>
      <c r="EC511" s="1363">
        <f t="shared" si="990"/>
        <v>0</v>
      </c>
      <c r="ED511" s="1363">
        <f t="shared" si="1006"/>
        <v>0</v>
      </c>
      <c r="EE511" s="1364">
        <f t="shared" si="1007"/>
        <v>0</v>
      </c>
      <c r="EG511" s="16" t="str">
        <f t="shared" si="1008"/>
        <v>492026</v>
      </c>
      <c r="EH511" s="16" t="str">
        <f t="shared" si="991"/>
        <v>Fiche infoA6</v>
      </c>
      <c r="EI511" s="16" t="str">
        <f t="shared" si="992"/>
        <v/>
      </c>
    </row>
    <row r="512" spans="1:145" x14ac:dyDescent="0.2">
      <c r="A512" s="1373" t="str">
        <f>Décembre!BJ25</f>
        <v>Fiche infoA7</v>
      </c>
      <c r="B512" s="811">
        <f>Décembre!AB25</f>
        <v>46362</v>
      </c>
      <c r="C512" s="1372"/>
      <c r="D512" s="981">
        <f t="shared" si="948"/>
        <v>0</v>
      </c>
      <c r="E512" s="434">
        <f t="shared" si="949"/>
        <v>0</v>
      </c>
      <c r="F512" s="434">
        <f t="shared" si="950"/>
        <v>0</v>
      </c>
      <c r="G512" s="434">
        <f t="shared" si="951"/>
        <v>0</v>
      </c>
      <c r="H512" s="434">
        <f t="shared" si="952"/>
        <v>0</v>
      </c>
      <c r="I512" s="434">
        <f t="shared" si="953"/>
        <v>0</v>
      </c>
      <c r="J512" s="434">
        <f t="shared" si="954"/>
        <v>0</v>
      </c>
      <c r="K512" s="434">
        <f t="shared" si="955"/>
        <v>0</v>
      </c>
      <c r="L512" s="434">
        <f t="shared" si="993"/>
        <v>0</v>
      </c>
      <c r="M512" s="982">
        <f t="shared" si="994"/>
        <v>0</v>
      </c>
      <c r="N512" s="1374"/>
      <c r="O512" s="981">
        <f t="shared" si="956"/>
        <v>0</v>
      </c>
      <c r="P512" s="434">
        <f t="shared" si="957"/>
        <v>0</v>
      </c>
      <c r="Q512" s="434">
        <f t="shared" si="958"/>
        <v>0</v>
      </c>
      <c r="R512" s="434">
        <f t="shared" si="959"/>
        <v>0</v>
      </c>
      <c r="S512" s="434">
        <f t="shared" si="960"/>
        <v>0</v>
      </c>
      <c r="T512" s="434">
        <f t="shared" si="961"/>
        <v>0</v>
      </c>
      <c r="U512" s="434">
        <f t="shared" si="962"/>
        <v>0</v>
      </c>
      <c r="V512" s="434">
        <f t="shared" si="963"/>
        <v>0</v>
      </c>
      <c r="W512" s="434">
        <f t="shared" si="964"/>
        <v>0</v>
      </c>
      <c r="X512" s="982">
        <f t="shared" si="965"/>
        <v>0</v>
      </c>
      <c r="Y512" s="1375"/>
      <c r="Z512" s="1376">
        <f t="shared" si="966"/>
        <v>0</v>
      </c>
      <c r="AA512" s="1376">
        <f t="shared" si="967"/>
        <v>0</v>
      </c>
      <c r="AB512" s="1376">
        <f t="shared" si="968"/>
        <v>0</v>
      </c>
      <c r="AC512" s="1376">
        <f t="shared" si="969"/>
        <v>0</v>
      </c>
      <c r="AD512" s="1376">
        <f t="shared" si="970"/>
        <v>0</v>
      </c>
      <c r="AE512" s="1376">
        <f t="shared" si="971"/>
        <v>0</v>
      </c>
      <c r="AF512" s="1376">
        <f t="shared" si="972"/>
        <v>0</v>
      </c>
      <c r="AG512" s="1376">
        <f t="shared" si="973"/>
        <v>0</v>
      </c>
      <c r="AH512" s="1374"/>
      <c r="AI512" s="444">
        <f t="shared" si="974"/>
        <v>0</v>
      </c>
      <c r="AJ512" s="1090"/>
      <c r="AK512" s="1377"/>
      <c r="AL512" s="811">
        <f t="shared" si="975"/>
        <v>46362</v>
      </c>
      <c r="AM512" s="666">
        <f>IFERROR(IF(AND(AT512="",AR512&lt;&gt;S.CAL!$BJ$3,AR512&lt;&gt;S.CAL!$BJ$4,$AR$500="NON"),M512-BD512,IF(AND(AT512="",AR512&lt;&gt;S.CAL!$BJ$3,AR512&lt;&gt;S.CAL!$BJ$4,$AR$500="OUI"),X512-AI512,IF(AT512&lt;&gt;0,AT512,IF(OR(AR512=S.CAL!$BJ$3,AR512=S.CAL!$BJ$4),AR512,"")))),"")</f>
        <v>0</v>
      </c>
      <c r="AN512" s="1093"/>
      <c r="AO512" s="1094"/>
      <c r="AP512" s="666">
        <f>+IF(AND(AU512="",BB512="OUI",BH512="non",BI512="OUI"),AM512,IF(AND(AU512="",BB512="OUI",BH512="oui",BI512="NON"),AM512,IF(AND(AU512="",BB512="NON",BH512="oui",BI512="NON"),M512,IF(AND(AU512="",BB512="NON",BH512="non",BI512="OUI"),M512,IF(AND(AU512="",BB512="OUI",BH512="non",BI512="NON"),"ERREUR",IF(AND(AU512="",BB512="NON",BH512="non",BI512="NON"),AM512,IF(AND(AU512="",BB512="OUI",BH512="",BI512=""),AM512,IF(AND(AU512="",BB512="NON",BH512="",BI512="",AZ512="NON"),M512,IF(AND(AU512="",BH512="",AZ512="OUI",AR512=""),AM512,IF(AND(AU512="",BH512="",AZ512="NON",AR512="",AT512=""),M512,IF(AND(OR(AR512=S.CAL!$BJ$3,AR512=S.CAL!$BJ$4),(VLOOKUP($AM$500,base_nbre_sem_mensu,2,FALSE)=52)),EE512,IF(AND(OR(AR512=S.CAL!$BJ$3,AR512=S.CAL!$BJ$4),(VLOOKUP($AM$500,base_nbre_sem_mensu,2,FALSE)&lt;52)),AM512,IF(AND(AT512&lt;&gt;"",AU512=""),AT512,AU512)))))))))))))</f>
        <v>0</v>
      </c>
      <c r="AQ512" s="1378">
        <f t="shared" si="995"/>
        <v>0</v>
      </c>
      <c r="AR512" s="1098"/>
      <c r="AS512" s="1374"/>
      <c r="AT512" s="1101"/>
      <c r="AU512" s="813"/>
      <c r="AV512" s="1370">
        <f t="shared" si="976"/>
        <v>46362</v>
      </c>
      <c r="AW512" s="1374"/>
      <c r="AX512" s="511">
        <f t="shared" si="996"/>
        <v>46362</v>
      </c>
      <c r="AY512" s="523">
        <f t="shared" si="997"/>
        <v>0</v>
      </c>
      <c r="AZ512" s="520" t="s">
        <v>137</v>
      </c>
      <c r="BA512" s="516">
        <f t="shared" si="998"/>
        <v>0</v>
      </c>
      <c r="BB512" s="549" t="str">
        <f t="shared" si="977"/>
        <v/>
      </c>
      <c r="BC512" s="523">
        <f t="shared" si="999"/>
        <v>0</v>
      </c>
      <c r="BD512" s="523">
        <f t="shared" si="1000"/>
        <v>0</v>
      </c>
      <c r="BE512" s="1104"/>
      <c r="BF512" s="514" t="str">
        <f t="shared" si="978"/>
        <v/>
      </c>
      <c r="BG512" s="514" t="str">
        <f t="shared" si="1001"/>
        <v>oui</v>
      </c>
      <c r="BH512" s="377" t="str">
        <f t="shared" si="979"/>
        <v/>
      </c>
      <c r="BI512" s="24" t="str">
        <f t="shared" si="980"/>
        <v/>
      </c>
      <c r="BJ512" s="1382"/>
      <c r="BK512" s="1382"/>
      <c r="BL512" s="1382"/>
      <c r="BM512" s="1382"/>
      <c r="BN512" s="1382"/>
      <c r="BO512" s="1382"/>
      <c r="BP512" s="1382"/>
      <c r="BQ512" s="1382"/>
      <c r="BR512" s="1383"/>
      <c r="BS512" s="1370">
        <f t="shared" si="947"/>
        <v>46362</v>
      </c>
      <c r="BT512" s="1384" t="str">
        <f t="shared" si="1009"/>
        <v/>
      </c>
      <c r="BU512" s="1382"/>
      <c r="BV512" s="1382"/>
      <c r="BW512" s="1382"/>
      <c r="BX512" s="1382"/>
      <c r="BY512" s="1382"/>
      <c r="BZ512" s="1382"/>
      <c r="CA512" s="1382"/>
      <c r="CB512" s="1382"/>
      <c r="CD512" s="1386">
        <f t="shared" si="1002"/>
        <v>0</v>
      </c>
      <c r="DC512" s="16" t="str">
        <f>Décembre!FC25</f>
        <v>non</v>
      </c>
      <c r="DG512" s="315">
        <f t="shared" si="1003"/>
        <v>1</v>
      </c>
      <c r="DH512" s="129">
        <f t="shared" si="981"/>
        <v>10</v>
      </c>
      <c r="DI512" s="129">
        <f t="shared" si="1004"/>
        <v>1</v>
      </c>
      <c r="DK512" s="16">
        <f>+IF(AND(Décembre!$DP$8&lt;&gt;52,AR512=S.CAL!$BJ$4),10,1)</f>
        <v>1</v>
      </c>
      <c r="DN512" s="16">
        <f t="shared" si="982"/>
        <v>1</v>
      </c>
      <c r="DU512" s="1274" t="str">
        <f t="shared" si="1005"/>
        <v>Fiche infoA746362</v>
      </c>
      <c r="DV512" s="1362">
        <f t="shared" si="983"/>
        <v>0</v>
      </c>
      <c r="DW512" s="1363">
        <f t="shared" si="984"/>
        <v>0</v>
      </c>
      <c r="DX512" s="1363">
        <f t="shared" si="985"/>
        <v>0</v>
      </c>
      <c r="DY512" s="1363">
        <f t="shared" si="986"/>
        <v>0</v>
      </c>
      <c r="DZ512" s="1363">
        <f t="shared" si="987"/>
        <v>0</v>
      </c>
      <c r="EA512" s="1363">
        <f t="shared" si="988"/>
        <v>0</v>
      </c>
      <c r="EB512" s="1363">
        <f t="shared" si="989"/>
        <v>0</v>
      </c>
      <c r="EC512" s="1363">
        <f t="shared" si="990"/>
        <v>0</v>
      </c>
      <c r="ED512" s="1363">
        <f t="shared" si="1006"/>
        <v>0</v>
      </c>
      <c r="EE512" s="1364">
        <f t="shared" si="1007"/>
        <v>0</v>
      </c>
      <c r="EG512" s="16" t="str">
        <f t="shared" si="1008"/>
        <v>492026</v>
      </c>
      <c r="EH512" s="16" t="str">
        <f t="shared" si="991"/>
        <v>Fiche infoA7</v>
      </c>
      <c r="EI512" s="16" t="str">
        <f t="shared" si="992"/>
        <v/>
      </c>
    </row>
    <row r="513" spans="1:139" x14ac:dyDescent="0.2">
      <c r="A513" s="24" t="str">
        <f>Décembre!BJ26</f>
        <v>Fiche infoA1</v>
      </c>
      <c r="B513" s="811">
        <f>Décembre!AB26</f>
        <v>46363</v>
      </c>
      <c r="C513" s="1371"/>
      <c r="D513" s="981">
        <f t="shared" si="948"/>
        <v>0</v>
      </c>
      <c r="E513" s="434">
        <f t="shared" si="949"/>
        <v>0</v>
      </c>
      <c r="F513" s="434">
        <f t="shared" si="950"/>
        <v>0</v>
      </c>
      <c r="G513" s="434">
        <f t="shared" si="951"/>
        <v>0</v>
      </c>
      <c r="H513" s="434">
        <f t="shared" si="952"/>
        <v>0</v>
      </c>
      <c r="I513" s="434">
        <f t="shared" si="953"/>
        <v>0</v>
      </c>
      <c r="J513" s="434">
        <f t="shared" si="954"/>
        <v>0</v>
      </c>
      <c r="K513" s="434">
        <f t="shared" si="955"/>
        <v>0</v>
      </c>
      <c r="L513" s="434">
        <f t="shared" si="993"/>
        <v>0</v>
      </c>
      <c r="M513" s="982">
        <f t="shared" si="994"/>
        <v>0</v>
      </c>
      <c r="O513" s="981">
        <f t="shared" si="956"/>
        <v>0</v>
      </c>
      <c r="P513" s="434">
        <f t="shared" si="957"/>
        <v>0</v>
      </c>
      <c r="Q513" s="434">
        <f t="shared" si="958"/>
        <v>0</v>
      </c>
      <c r="R513" s="434">
        <f t="shared" si="959"/>
        <v>0</v>
      </c>
      <c r="S513" s="434">
        <f t="shared" si="960"/>
        <v>0</v>
      </c>
      <c r="T513" s="434">
        <f t="shared" si="961"/>
        <v>0</v>
      </c>
      <c r="U513" s="434">
        <f t="shared" si="962"/>
        <v>0</v>
      </c>
      <c r="V513" s="434">
        <f t="shared" si="963"/>
        <v>0</v>
      </c>
      <c r="W513" s="434">
        <f t="shared" si="964"/>
        <v>0</v>
      </c>
      <c r="X513" s="982">
        <f t="shared" si="965"/>
        <v>0</v>
      </c>
      <c r="Y513" s="441"/>
      <c r="Z513" s="277">
        <f t="shared" si="966"/>
        <v>0</v>
      </c>
      <c r="AA513" s="277">
        <f t="shared" si="967"/>
        <v>0</v>
      </c>
      <c r="AB513" s="277">
        <f t="shared" si="968"/>
        <v>0</v>
      </c>
      <c r="AC513" s="277">
        <f t="shared" si="969"/>
        <v>0</v>
      </c>
      <c r="AD513" s="277">
        <f t="shared" si="970"/>
        <v>0</v>
      </c>
      <c r="AE513" s="277">
        <f t="shared" si="971"/>
        <v>0</v>
      </c>
      <c r="AF513" s="277">
        <f t="shared" si="972"/>
        <v>0</v>
      </c>
      <c r="AG513" s="277">
        <f t="shared" si="973"/>
        <v>0</v>
      </c>
      <c r="AI513" s="444">
        <f t="shared" si="974"/>
        <v>0</v>
      </c>
      <c r="AJ513" s="1090"/>
      <c r="AK513" s="489"/>
      <c r="AL513" s="811">
        <f t="shared" si="975"/>
        <v>46363</v>
      </c>
      <c r="AM513" s="666">
        <f>IFERROR(IF(AND(AT513="",AR513&lt;&gt;S.CAL!$BJ$3,AR513&lt;&gt;S.CAL!$BJ$4,$AR$500="NON"),M513-BD513,IF(AND(AT513="",AR513&lt;&gt;S.CAL!$BJ$3,AR513&lt;&gt;S.CAL!$BJ$4,$AR$500="OUI"),X513-AI513,IF(AT513&lt;&gt;0,AT513,IF(OR(AR513=S.CAL!$BJ$3,AR513=S.CAL!$BJ$4),AR513,"")))),"")</f>
        <v>0</v>
      </c>
      <c r="AN513" s="1093"/>
      <c r="AO513" s="1094"/>
      <c r="AP513" s="666">
        <f>+IF(AND(AU513="",BB513="OUI",BH513="non",BI513="OUI"),AM513,IF(AND(AU513="",BB513="OUI",BH513="oui",BI513="NON"),AM513,IF(AND(AU513="",BB513="NON",BH513="oui",BI513="NON"),M513,IF(AND(AU513="",BB513="NON",BH513="non",BI513="OUI"),M513,IF(AND(AU513="",BB513="OUI",BH513="non",BI513="NON"),"ERREUR",IF(AND(AU513="",BB513="NON",BH513="non",BI513="NON"),AM513,IF(AND(AU513="",BB513="OUI",BH513="",BI513=""),AM513,IF(AND(AU513="",BB513="NON",BH513="",BI513="",AZ513="NON"),M513,IF(AND(AU513="",BH513="",AZ513="OUI",AR513=""),AM513,IF(AND(AU513="",BH513="",AZ513="NON",AR513="",AT513=""),M513,IF(AND(OR(AR513=S.CAL!$BJ$3,AR513=S.CAL!$BJ$4),(VLOOKUP($AM$500,base_nbre_sem_mensu,2,FALSE)=52)),EE513,IF(AND(OR(AR513=S.CAL!$BJ$3,AR513=S.CAL!$BJ$4),(VLOOKUP($AM$500,base_nbre_sem_mensu,2,FALSE)&lt;52)),AM513,IF(AND(AT513&lt;&gt;"",AU513=""),AT513,AU513)))))))))))))</f>
        <v>0</v>
      </c>
      <c r="AQ513" s="498">
        <f t="shared" si="995"/>
        <v>0</v>
      </c>
      <c r="AR513" s="1098"/>
      <c r="AT513" s="1101"/>
      <c r="AU513" s="813"/>
      <c r="AV513" s="1370">
        <f t="shared" si="976"/>
        <v>46363</v>
      </c>
      <c r="AX513" s="511">
        <f t="shared" si="996"/>
        <v>46363</v>
      </c>
      <c r="AY513" s="523">
        <f t="shared" si="997"/>
        <v>0</v>
      </c>
      <c r="AZ513" s="520" t="s">
        <v>137</v>
      </c>
      <c r="BA513" s="516">
        <f t="shared" si="998"/>
        <v>0</v>
      </c>
      <c r="BB513" s="549" t="str">
        <f t="shared" si="977"/>
        <v/>
      </c>
      <c r="BC513" s="523">
        <f t="shared" si="999"/>
        <v>0</v>
      </c>
      <c r="BD513" s="523">
        <f t="shared" si="1000"/>
        <v>0</v>
      </c>
      <c r="BE513" s="1104"/>
      <c r="BF513" s="514" t="str">
        <f t="shared" si="978"/>
        <v/>
      </c>
      <c r="BG513" s="514" t="str">
        <f t="shared" si="1001"/>
        <v>oui</v>
      </c>
      <c r="BH513" s="377" t="str">
        <f t="shared" si="979"/>
        <v/>
      </c>
      <c r="BI513" s="24" t="str">
        <f t="shared" si="980"/>
        <v/>
      </c>
      <c r="BJ513" s="1381"/>
      <c r="BK513" s="1381"/>
      <c r="BL513" s="1381"/>
      <c r="BM513" s="1381"/>
      <c r="BN513" s="1381"/>
      <c r="BO513" s="1381"/>
      <c r="BP513" s="1381"/>
      <c r="BQ513" s="1381"/>
      <c r="BS513" s="1370">
        <f t="shared" si="947"/>
        <v>46363</v>
      </c>
      <c r="BT513" s="27">
        <f t="shared" si="1009"/>
        <v>50</v>
      </c>
      <c r="BU513" s="1380"/>
      <c r="BV513" s="1380"/>
      <c r="BW513" s="1380"/>
      <c r="BX513" s="1380"/>
      <c r="BY513" s="1380"/>
      <c r="BZ513" s="1380"/>
      <c r="CA513" s="1380"/>
      <c r="CB513" s="1380"/>
      <c r="CD513" s="1386">
        <f t="shared" si="1002"/>
        <v>0</v>
      </c>
      <c r="DC513" s="16" t="str">
        <f>Décembre!FC26</f>
        <v>non</v>
      </c>
      <c r="DG513" s="315">
        <f t="shared" si="1003"/>
        <v>1</v>
      </c>
      <c r="DH513" s="129">
        <f t="shared" si="981"/>
        <v>10</v>
      </c>
      <c r="DI513" s="129">
        <f t="shared" si="1004"/>
        <v>1</v>
      </c>
      <c r="DK513" s="16">
        <f>+IF(AND(Décembre!$DP$8&lt;&gt;52,AR513=S.CAL!$BJ$4),10,1)</f>
        <v>1</v>
      </c>
      <c r="DN513" s="16">
        <f t="shared" si="982"/>
        <v>1</v>
      </c>
      <c r="DU513" s="1274" t="str">
        <f t="shared" si="1005"/>
        <v>Fiche infoA146363</v>
      </c>
      <c r="DV513" s="1362">
        <f t="shared" si="983"/>
        <v>0</v>
      </c>
      <c r="DW513" s="1363">
        <f t="shared" si="984"/>
        <v>0</v>
      </c>
      <c r="DX513" s="1363">
        <f t="shared" si="985"/>
        <v>0</v>
      </c>
      <c r="DY513" s="1363">
        <f t="shared" si="986"/>
        <v>0</v>
      </c>
      <c r="DZ513" s="1363">
        <f t="shared" si="987"/>
        <v>0</v>
      </c>
      <c r="EA513" s="1363">
        <f t="shared" si="988"/>
        <v>0</v>
      </c>
      <c r="EB513" s="1363">
        <f t="shared" si="989"/>
        <v>0</v>
      </c>
      <c r="EC513" s="1363">
        <f t="shared" si="990"/>
        <v>0</v>
      </c>
      <c r="ED513" s="1363">
        <f t="shared" si="1006"/>
        <v>0</v>
      </c>
      <c r="EE513" s="1364">
        <f t="shared" si="1007"/>
        <v>0</v>
      </c>
      <c r="EG513" s="16" t="str">
        <f t="shared" si="1008"/>
        <v>502026</v>
      </c>
      <c r="EH513" s="16" t="str">
        <f t="shared" si="991"/>
        <v>Fiche infoA1</v>
      </c>
      <c r="EI513" s="16" t="str">
        <f t="shared" si="992"/>
        <v/>
      </c>
    </row>
    <row r="514" spans="1:139" x14ac:dyDescent="0.2">
      <c r="A514" s="1373" t="str">
        <f>Décembre!BJ27</f>
        <v>Fiche infoA2</v>
      </c>
      <c r="B514" s="811">
        <f>Décembre!AB27</f>
        <v>46364</v>
      </c>
      <c r="C514" s="1372"/>
      <c r="D514" s="981">
        <f t="shared" si="948"/>
        <v>0</v>
      </c>
      <c r="E514" s="434">
        <f t="shared" si="949"/>
        <v>0</v>
      </c>
      <c r="F514" s="434">
        <f t="shared" si="950"/>
        <v>0</v>
      </c>
      <c r="G514" s="434">
        <f t="shared" si="951"/>
        <v>0</v>
      </c>
      <c r="H514" s="434">
        <f t="shared" si="952"/>
        <v>0</v>
      </c>
      <c r="I514" s="434">
        <f t="shared" si="953"/>
        <v>0</v>
      </c>
      <c r="J514" s="434">
        <f t="shared" si="954"/>
        <v>0</v>
      </c>
      <c r="K514" s="434">
        <f t="shared" si="955"/>
        <v>0</v>
      </c>
      <c r="L514" s="434">
        <f t="shared" si="993"/>
        <v>0</v>
      </c>
      <c r="M514" s="982">
        <f t="shared" si="994"/>
        <v>0</v>
      </c>
      <c r="N514" s="1374"/>
      <c r="O514" s="981">
        <f t="shared" si="956"/>
        <v>0</v>
      </c>
      <c r="P514" s="434">
        <f t="shared" si="957"/>
        <v>0</v>
      </c>
      <c r="Q514" s="434">
        <f t="shared" si="958"/>
        <v>0</v>
      </c>
      <c r="R514" s="434">
        <f t="shared" si="959"/>
        <v>0</v>
      </c>
      <c r="S514" s="434">
        <f t="shared" si="960"/>
        <v>0</v>
      </c>
      <c r="T514" s="434">
        <f t="shared" si="961"/>
        <v>0</v>
      </c>
      <c r="U514" s="434">
        <f t="shared" si="962"/>
        <v>0</v>
      </c>
      <c r="V514" s="434">
        <f t="shared" si="963"/>
        <v>0</v>
      </c>
      <c r="W514" s="434">
        <f t="shared" si="964"/>
        <v>0</v>
      </c>
      <c r="X514" s="982">
        <f t="shared" si="965"/>
        <v>0</v>
      </c>
      <c r="Y514" s="1375"/>
      <c r="Z514" s="1376">
        <f t="shared" si="966"/>
        <v>0</v>
      </c>
      <c r="AA514" s="1376">
        <f t="shared" si="967"/>
        <v>0</v>
      </c>
      <c r="AB514" s="1376">
        <f t="shared" si="968"/>
        <v>0</v>
      </c>
      <c r="AC514" s="1376">
        <f t="shared" si="969"/>
        <v>0</v>
      </c>
      <c r="AD514" s="1376">
        <f t="shared" si="970"/>
        <v>0</v>
      </c>
      <c r="AE514" s="1376">
        <f t="shared" si="971"/>
        <v>0</v>
      </c>
      <c r="AF514" s="1376">
        <f t="shared" si="972"/>
        <v>0</v>
      </c>
      <c r="AG514" s="1376">
        <f t="shared" si="973"/>
        <v>0</v>
      </c>
      <c r="AH514" s="1374"/>
      <c r="AI514" s="444">
        <f t="shared" si="974"/>
        <v>0</v>
      </c>
      <c r="AJ514" s="1090"/>
      <c r="AK514" s="1377"/>
      <c r="AL514" s="811">
        <f t="shared" si="975"/>
        <v>46364</v>
      </c>
      <c r="AM514" s="666">
        <f>IFERROR(IF(AND(AT514="",AR514&lt;&gt;S.CAL!$BJ$3,AR514&lt;&gt;S.CAL!$BJ$4,$AR$500="NON"),M514-BD514,IF(AND(AT514="",AR514&lt;&gt;S.CAL!$BJ$3,AR514&lt;&gt;S.CAL!$BJ$4,$AR$500="OUI"),X514-AI514,IF(AT514&lt;&gt;0,AT514,IF(OR(AR514=S.CAL!$BJ$3,AR514=S.CAL!$BJ$4),AR514,"")))),"")</f>
        <v>0</v>
      </c>
      <c r="AN514" s="1093"/>
      <c r="AO514" s="1094"/>
      <c r="AP514" s="666">
        <f>+IF(AND(AU514="",BB514="OUI",BH514="non",BI514="OUI"),AM514,IF(AND(AU514="",BB514="OUI",BH514="oui",BI514="NON"),AM514,IF(AND(AU514="",BB514="NON",BH514="oui",BI514="NON"),M514,IF(AND(AU514="",BB514="NON",BH514="non",BI514="OUI"),M514,IF(AND(AU514="",BB514="OUI",BH514="non",BI514="NON"),"ERREUR",IF(AND(AU514="",BB514="NON",BH514="non",BI514="NON"),AM514,IF(AND(AU514="",BB514="OUI",BH514="",BI514=""),AM514,IF(AND(AU514="",BB514="NON",BH514="",BI514="",AZ514="NON"),M514,IF(AND(AU514="",BH514="",AZ514="OUI",AR514=""),AM514,IF(AND(AU514="",BH514="",AZ514="NON",AR514="",AT514=""),M514,IF(AND(OR(AR514=S.CAL!$BJ$3,AR514=S.CAL!$BJ$4),(VLOOKUP($AM$500,base_nbre_sem_mensu,2,FALSE)=52)),EE514,IF(AND(OR(AR514=S.CAL!$BJ$3,AR514=S.CAL!$BJ$4),(VLOOKUP($AM$500,base_nbre_sem_mensu,2,FALSE)&lt;52)),AM514,IF(AND(AT514&lt;&gt;"",AU514=""),AT514,AU514)))))))))))))</f>
        <v>0</v>
      </c>
      <c r="AQ514" s="1378">
        <f t="shared" si="995"/>
        <v>0</v>
      </c>
      <c r="AR514" s="1098"/>
      <c r="AS514" s="1374"/>
      <c r="AT514" s="1101"/>
      <c r="AU514" s="813"/>
      <c r="AV514" s="1370">
        <f t="shared" si="976"/>
        <v>46364</v>
      </c>
      <c r="AW514" s="1374"/>
      <c r="AX514" s="511">
        <f t="shared" si="996"/>
        <v>46364</v>
      </c>
      <c r="AY514" s="523">
        <f t="shared" si="997"/>
        <v>0</v>
      </c>
      <c r="AZ514" s="520" t="s">
        <v>137</v>
      </c>
      <c r="BA514" s="516">
        <f t="shared" si="998"/>
        <v>0</v>
      </c>
      <c r="BB514" s="549" t="str">
        <f t="shared" si="977"/>
        <v/>
      </c>
      <c r="BC514" s="523">
        <f t="shared" si="999"/>
        <v>0</v>
      </c>
      <c r="BD514" s="523">
        <f t="shared" si="1000"/>
        <v>0</v>
      </c>
      <c r="BE514" s="1104"/>
      <c r="BF514" s="514" t="str">
        <f t="shared" si="978"/>
        <v/>
      </c>
      <c r="BG514" s="514" t="str">
        <f t="shared" si="1001"/>
        <v>oui</v>
      </c>
      <c r="BH514" s="377" t="str">
        <f t="shared" si="979"/>
        <v/>
      </c>
      <c r="BI514" s="24" t="str">
        <f t="shared" si="980"/>
        <v/>
      </c>
      <c r="BJ514" s="1382"/>
      <c r="BK514" s="1382"/>
      <c r="BL514" s="1382"/>
      <c r="BM514" s="1382"/>
      <c r="BN514" s="1382"/>
      <c r="BO514" s="1382"/>
      <c r="BP514" s="1382"/>
      <c r="BQ514" s="1382"/>
      <c r="BR514" s="1383"/>
      <c r="BS514" s="1370">
        <f t="shared" si="947"/>
        <v>46364</v>
      </c>
      <c r="BT514" s="1384" t="str">
        <f t="shared" si="1009"/>
        <v/>
      </c>
      <c r="BU514" s="1382"/>
      <c r="BV514" s="1382"/>
      <c r="BW514" s="1382"/>
      <c r="BX514" s="1382"/>
      <c r="BY514" s="1382"/>
      <c r="BZ514" s="1382"/>
      <c r="CA514" s="1382"/>
      <c r="CB514" s="1382"/>
      <c r="CD514" s="1386">
        <f t="shared" si="1002"/>
        <v>0</v>
      </c>
      <c r="DC514" s="16" t="str">
        <f>Décembre!FC27</f>
        <v>non</v>
      </c>
      <c r="DG514" s="315">
        <f t="shared" si="1003"/>
        <v>1</v>
      </c>
      <c r="DH514" s="129">
        <f t="shared" si="981"/>
        <v>10</v>
      </c>
      <c r="DI514" s="129">
        <f t="shared" si="1004"/>
        <v>1</v>
      </c>
      <c r="DK514" s="16">
        <f>+IF(AND(Décembre!$DP$8&lt;&gt;52,AR514=S.CAL!$BJ$4),10,1)</f>
        <v>1</v>
      </c>
      <c r="DN514" s="16">
        <f t="shared" si="982"/>
        <v>1</v>
      </c>
      <c r="DU514" s="1274" t="str">
        <f t="shared" si="1005"/>
        <v>Fiche infoA246364</v>
      </c>
      <c r="DV514" s="1362">
        <f t="shared" si="983"/>
        <v>0</v>
      </c>
      <c r="DW514" s="1363">
        <f t="shared" si="984"/>
        <v>0</v>
      </c>
      <c r="DX514" s="1363">
        <f t="shared" si="985"/>
        <v>0</v>
      </c>
      <c r="DY514" s="1363">
        <f t="shared" si="986"/>
        <v>0</v>
      </c>
      <c r="DZ514" s="1363">
        <f t="shared" si="987"/>
        <v>0</v>
      </c>
      <c r="EA514" s="1363">
        <f t="shared" si="988"/>
        <v>0</v>
      </c>
      <c r="EB514" s="1363">
        <f t="shared" si="989"/>
        <v>0</v>
      </c>
      <c r="EC514" s="1363">
        <f t="shared" si="990"/>
        <v>0</v>
      </c>
      <c r="ED514" s="1363">
        <f t="shared" si="1006"/>
        <v>0</v>
      </c>
      <c r="EE514" s="1364">
        <f t="shared" si="1007"/>
        <v>0</v>
      </c>
      <c r="EG514" s="16" t="str">
        <f t="shared" si="1008"/>
        <v>502026</v>
      </c>
      <c r="EH514" s="16" t="str">
        <f t="shared" si="991"/>
        <v>Fiche infoA2</v>
      </c>
      <c r="EI514" s="16" t="str">
        <f t="shared" si="992"/>
        <v/>
      </c>
    </row>
    <row r="515" spans="1:139" x14ac:dyDescent="0.2">
      <c r="A515" s="24" t="str">
        <f>Décembre!BJ28</f>
        <v>Fiche infoA3</v>
      </c>
      <c r="B515" s="811">
        <f>Décembre!AB28</f>
        <v>46365</v>
      </c>
      <c r="C515" s="1371"/>
      <c r="D515" s="981">
        <f t="shared" si="948"/>
        <v>0</v>
      </c>
      <c r="E515" s="434">
        <f t="shared" si="949"/>
        <v>0</v>
      </c>
      <c r="F515" s="434">
        <f t="shared" si="950"/>
        <v>0</v>
      </c>
      <c r="G515" s="434">
        <f t="shared" si="951"/>
        <v>0</v>
      </c>
      <c r="H515" s="434">
        <f t="shared" si="952"/>
        <v>0</v>
      </c>
      <c r="I515" s="434">
        <f t="shared" si="953"/>
        <v>0</v>
      </c>
      <c r="J515" s="434">
        <f t="shared" si="954"/>
        <v>0</v>
      </c>
      <c r="K515" s="434">
        <f t="shared" si="955"/>
        <v>0</v>
      </c>
      <c r="L515" s="434">
        <f t="shared" si="993"/>
        <v>0</v>
      </c>
      <c r="M515" s="982">
        <f t="shared" si="994"/>
        <v>0</v>
      </c>
      <c r="O515" s="981">
        <f>IF(AR515&lt;&gt;"",0,IF(DC515="oui",0,IF(AND(ISTEXT(AT515)=TRUE,BJ515=""),0,IF(BJ515="",D515,BJ515))))</f>
        <v>0</v>
      </c>
      <c r="P515" s="434">
        <f>IF(AR515&lt;&gt;"",0,IF(DC515="oui",0,IF(AND(ISTEXT(AT515)=TRUE,BK515=""),0,IF(BK515="",E515,BK515))))</f>
        <v>0</v>
      </c>
      <c r="Q515" s="434">
        <f>IF(AR515&lt;&gt;"",0,IF(DC515="oui",0,IF(AND(ISTEXT(AT515)=TRUE,BL515=""),0,IF(BL515="",F515,BL515))))</f>
        <v>0</v>
      </c>
      <c r="R515" s="434">
        <f>IF(AR515&lt;&gt;"",0,IF(DC515="oui",0,IF(AND(ISTEXT(AT515)=TRUE,BM515=""),0,IF(BM515="",G515,BM515))))</f>
        <v>0</v>
      </c>
      <c r="S515" s="434">
        <f>IF(AR515&lt;&gt;"",0,IF(DC515="oui",0,IF(AND(ISTEXT(AT515)=TRUE,BN515=""),0,IF(BN515="",H515,BN515))))</f>
        <v>0</v>
      </c>
      <c r="T515" s="434">
        <f>IF(AR515&lt;&gt;"",0,IF(DC515="oui",0,IF(AND(ISTEXT(AT515)=TRUE,BO515=""),0,IF(BO515="",I515,BO515))))</f>
        <v>0</v>
      </c>
      <c r="U515" s="434">
        <f>IF(AR515&lt;&gt;"",0,IF(DC515="oui",0,IF(AND(ISTEXT(AT515)=TRUE,BP515=""),0,IF(BP515="",J515,BP515))))</f>
        <v>0</v>
      </c>
      <c r="V515" s="434">
        <f>IF(AR515&lt;&gt;"",0,IF(DC515="oui",0,IF(AND(ISTEXT(AT515)=TRUE,BQ515=""),0,IF(BQ515="",K515,BQ515))))</f>
        <v>0</v>
      </c>
      <c r="W515" s="434">
        <f t="shared" si="964"/>
        <v>0</v>
      </c>
      <c r="X515" s="982">
        <f t="shared" si="965"/>
        <v>0</v>
      </c>
      <c r="Y515" s="441"/>
      <c r="Z515" s="277">
        <f t="shared" si="966"/>
        <v>0</v>
      </c>
      <c r="AA515" s="277">
        <f t="shared" si="967"/>
        <v>0</v>
      </c>
      <c r="AB515" s="277">
        <f t="shared" si="968"/>
        <v>0</v>
      </c>
      <c r="AC515" s="277">
        <f t="shared" si="969"/>
        <v>0</v>
      </c>
      <c r="AD515" s="277">
        <f t="shared" si="970"/>
        <v>0</v>
      </c>
      <c r="AE515" s="277">
        <f t="shared" si="971"/>
        <v>0</v>
      </c>
      <c r="AF515" s="277">
        <f t="shared" si="972"/>
        <v>0</v>
      </c>
      <c r="AG515" s="277">
        <f t="shared" si="973"/>
        <v>0</v>
      </c>
      <c r="AI515" s="444">
        <f>IF(DC515="oui",0,IF(AND(ISTEXT(AT515)=TRUE,OR(X515=0,X515="")),0,ROUND(((((AA515-Z515)-(E515-D515))+((AC515-AB515)-(G515-F515))+((AE515-AD515)-(I515-H515))+(AG515-AF515)-(K515-J515))*24),2)))</f>
        <v>0</v>
      </c>
      <c r="AJ515" s="1090"/>
      <c r="AK515" s="489"/>
      <c r="AL515" s="811">
        <f t="shared" si="975"/>
        <v>46365</v>
      </c>
      <c r="AM515" s="666">
        <f>IFERROR(IF(AND(AT515="",AR515&lt;&gt;S.CAL!$BJ$3,AR515&lt;&gt;S.CAL!$BJ$4,$AR$500="NON"),M515-BD515,IF(AND(AT515="",AR515&lt;&gt;S.CAL!$BJ$3,AR515&lt;&gt;S.CAL!$BJ$4,$AR$500="OUI"),X515-AI515,IF(AT515&lt;&gt;0,AT515,IF(OR(AR515=S.CAL!$BJ$3,AR515=S.CAL!$BJ$4),AR515,"")))),"")</f>
        <v>0</v>
      </c>
      <c r="AN515" s="1093"/>
      <c r="AO515" s="1094"/>
      <c r="AP515" s="666">
        <f>+IF(AND(AU515="",BB515="OUI",BH515="non",BI515="OUI"),AM515,IF(AND(AU515="",BB515="OUI",BH515="oui",BI515="NON"),AM515,IF(AND(AU515="",BB515="NON",BH515="oui",BI515="NON"),M515,IF(AND(AU515="",BB515="NON",BH515="non",BI515="OUI"),M515,IF(AND(AU515="",BB515="OUI",BH515="non",BI515="NON"),"ERREUR",IF(AND(AU515="",BB515="NON",BH515="non",BI515="NON"),AM515,IF(AND(AU515="",BB515="OUI",BH515="",BI515=""),AM515,IF(AND(AU515="",BB515="NON",BH515="",BI515="",AZ515="NON"),M515,IF(AND(AU515="",BH515="",AZ515="OUI",AR515=""),AM515,IF(AND(AU515="",BH515="",AZ515="NON",AR515="",AT515=""),M515,IF(AND(OR(AR515=S.CAL!$BJ$3,AR515=S.CAL!$BJ$4),(VLOOKUP($AM$500,base_nbre_sem_mensu,2,FALSE)=52)),EE515,IF(AND(OR(AR515=S.CAL!$BJ$3,AR515=S.CAL!$BJ$4),(VLOOKUP($AM$500,base_nbre_sem_mensu,2,FALSE)&lt;52)),AM515,IF(AND(AT515&lt;&gt;"",AU515=""),AT515,AU515)))))))))))))</f>
        <v>0</v>
      </c>
      <c r="AQ515" s="498">
        <f t="shared" si="995"/>
        <v>0</v>
      </c>
      <c r="AR515" s="1098"/>
      <c r="AT515" s="1101"/>
      <c r="AU515" s="813"/>
      <c r="AV515" s="1370">
        <f t="shared" si="976"/>
        <v>46365</v>
      </c>
      <c r="AX515" s="511">
        <f t="shared" si="996"/>
        <v>46365</v>
      </c>
      <c r="AY515" s="523">
        <f t="shared" si="997"/>
        <v>0</v>
      </c>
      <c r="AZ515" s="520" t="s">
        <v>137</v>
      </c>
      <c r="BA515" s="516">
        <f t="shared" si="998"/>
        <v>0</v>
      </c>
      <c r="BB515" s="549" t="str">
        <f t="shared" si="977"/>
        <v/>
      </c>
      <c r="BC515" s="523">
        <f t="shared" si="999"/>
        <v>0</v>
      </c>
      <c r="BD515" s="523">
        <f t="shared" si="1000"/>
        <v>0</v>
      </c>
      <c r="BE515" s="1104"/>
      <c r="BF515" s="514" t="str">
        <f t="shared" si="978"/>
        <v/>
      </c>
      <c r="BG515" s="514" t="str">
        <f t="shared" si="1001"/>
        <v>oui</v>
      </c>
      <c r="BH515" s="377" t="str">
        <f t="shared" si="979"/>
        <v/>
      </c>
      <c r="BI515" s="24" t="str">
        <f t="shared" si="980"/>
        <v/>
      </c>
      <c r="BJ515" s="1381"/>
      <c r="BK515" s="1381"/>
      <c r="BL515" s="1381"/>
      <c r="BM515" s="1381"/>
      <c r="BN515" s="1381"/>
      <c r="BO515" s="1381"/>
      <c r="BP515" s="1381"/>
      <c r="BQ515" s="1381"/>
      <c r="BS515" s="1370">
        <f t="shared" si="947"/>
        <v>46365</v>
      </c>
      <c r="BT515" s="27" t="str">
        <f t="shared" si="1009"/>
        <v/>
      </c>
      <c r="BU515" s="1380"/>
      <c r="BV515" s="1380"/>
      <c r="BW515" s="1380"/>
      <c r="BX515" s="1380"/>
      <c r="BY515" s="1380"/>
      <c r="BZ515" s="1380"/>
      <c r="CA515" s="1380"/>
      <c r="CB515" s="1380"/>
      <c r="CD515" s="1386">
        <f t="shared" si="1002"/>
        <v>0</v>
      </c>
      <c r="DC515" s="16" t="str">
        <f>Décembre!FC28</f>
        <v>non</v>
      </c>
      <c r="DG515" s="315">
        <f t="shared" si="1003"/>
        <v>1</v>
      </c>
      <c r="DH515" s="129">
        <f t="shared" si="981"/>
        <v>10</v>
      </c>
      <c r="DI515" s="129">
        <f t="shared" si="1004"/>
        <v>1</v>
      </c>
      <c r="DK515" s="16">
        <f>+IF(AND(Décembre!$DP$8&lt;&gt;52,AR515=S.CAL!$BJ$4),10,1)</f>
        <v>1</v>
      </c>
      <c r="DN515" s="16">
        <f t="shared" si="982"/>
        <v>1</v>
      </c>
      <c r="DU515" s="1274" t="str">
        <f t="shared" si="1005"/>
        <v>Fiche infoA346365</v>
      </c>
      <c r="DV515" s="1362">
        <f t="shared" si="983"/>
        <v>0</v>
      </c>
      <c r="DW515" s="1363">
        <f t="shared" si="984"/>
        <v>0</v>
      </c>
      <c r="DX515" s="1363">
        <f t="shared" si="985"/>
        <v>0</v>
      </c>
      <c r="DY515" s="1363">
        <f t="shared" si="986"/>
        <v>0</v>
      </c>
      <c r="DZ515" s="1363">
        <f t="shared" si="987"/>
        <v>0</v>
      </c>
      <c r="EA515" s="1363">
        <f t="shared" si="988"/>
        <v>0</v>
      </c>
      <c r="EB515" s="1363">
        <f t="shared" si="989"/>
        <v>0</v>
      </c>
      <c r="EC515" s="1363">
        <f t="shared" si="990"/>
        <v>0</v>
      </c>
      <c r="ED515" s="1363">
        <f t="shared" si="1006"/>
        <v>0</v>
      </c>
      <c r="EE515" s="1364">
        <f t="shared" si="1007"/>
        <v>0</v>
      </c>
      <c r="EG515" s="16" t="str">
        <f t="shared" si="1008"/>
        <v>502026</v>
      </c>
      <c r="EH515" s="16" t="str">
        <f t="shared" si="991"/>
        <v>Fiche infoA3</v>
      </c>
      <c r="EI515" s="16" t="str">
        <f t="shared" si="992"/>
        <v/>
      </c>
    </row>
    <row r="516" spans="1:139" x14ac:dyDescent="0.2">
      <c r="A516" s="1373" t="str">
        <f>Décembre!BJ29</f>
        <v>Fiche infoA4</v>
      </c>
      <c r="B516" s="811">
        <f>Décembre!AB29</f>
        <v>46366</v>
      </c>
      <c r="C516" s="1372"/>
      <c r="D516" s="981">
        <f t="shared" si="948"/>
        <v>0</v>
      </c>
      <c r="E516" s="434">
        <f t="shared" si="949"/>
        <v>0</v>
      </c>
      <c r="F516" s="434">
        <f t="shared" si="950"/>
        <v>0</v>
      </c>
      <c r="G516" s="434">
        <f t="shared" si="951"/>
        <v>0</v>
      </c>
      <c r="H516" s="434">
        <f t="shared" si="952"/>
        <v>0</v>
      </c>
      <c r="I516" s="434">
        <f t="shared" si="953"/>
        <v>0</v>
      </c>
      <c r="J516" s="434">
        <f t="shared" si="954"/>
        <v>0</v>
      </c>
      <c r="K516" s="434">
        <f t="shared" si="955"/>
        <v>0</v>
      </c>
      <c r="L516" s="434">
        <f t="shared" si="993"/>
        <v>0</v>
      </c>
      <c r="M516" s="982">
        <f t="shared" si="994"/>
        <v>0</v>
      </c>
      <c r="N516" s="1374"/>
      <c r="O516" s="981">
        <f t="shared" ref="O516:O537" si="1010">IF(AR516&lt;&gt;"",0,IF(DC516="oui",0,IF(AND(ISTEXT(AT516)=TRUE,BJ516=""),0,IF(BJ516="",D516,BJ516))))</f>
        <v>0</v>
      </c>
      <c r="P516" s="434">
        <f t="shared" ref="P516:P537" si="1011">IF(AR516&lt;&gt;"",0,IF(DC516="oui",0,IF(AND(ISTEXT(AT516)=TRUE,BK516=""),0,IF(BK516="",E516,BK516))))</f>
        <v>0</v>
      </c>
      <c r="Q516" s="434">
        <f t="shared" ref="Q516:Q537" si="1012">IF(AR516&lt;&gt;"",0,IF(DC516="oui",0,IF(AND(ISTEXT(AT516)=TRUE,BL516=""),0,IF(BL516="",F516,BL516))))</f>
        <v>0</v>
      </c>
      <c r="R516" s="434">
        <f t="shared" ref="R516:R537" si="1013">IF(AR516&lt;&gt;"",0,IF(DC516="oui",0,IF(AND(ISTEXT(AT516)=TRUE,BM516=""),0,IF(BM516="",G516,BM516))))</f>
        <v>0</v>
      </c>
      <c r="S516" s="434">
        <f t="shared" ref="S516:S537" si="1014">IF(AR516&lt;&gt;"",0,IF(DC516="oui",0,IF(AND(ISTEXT(AT516)=TRUE,BN516=""),0,IF(BN516="",H516,BN516))))</f>
        <v>0</v>
      </c>
      <c r="T516" s="434">
        <f t="shared" ref="T516:T537" si="1015">IF(AR516&lt;&gt;"",0,IF(DC516="oui",0,IF(AND(ISTEXT(AT516)=TRUE,BO516=""),0,IF(BO516="",I516,BO516))))</f>
        <v>0</v>
      </c>
      <c r="U516" s="434">
        <f t="shared" ref="U516:U537" si="1016">IF(AR516&lt;&gt;"",0,IF(DC516="oui",0,IF(AND(ISTEXT(AT516)=TRUE,BP516=""),0,IF(BP516="",J516,BP516))))</f>
        <v>0</v>
      </c>
      <c r="V516" s="434">
        <f t="shared" ref="V516:V537" si="1017">IF(AR516&lt;&gt;"",0,IF(DC516="oui",0,IF(AND(ISTEXT(AT516)=TRUE,BQ516=""),0,IF(BQ516="",K516,BQ516))))</f>
        <v>0</v>
      </c>
      <c r="W516" s="434">
        <f t="shared" si="964"/>
        <v>0</v>
      </c>
      <c r="X516" s="982">
        <f t="shared" si="965"/>
        <v>0</v>
      </c>
      <c r="Y516" s="1375"/>
      <c r="Z516" s="1376">
        <f t="shared" si="966"/>
        <v>0</v>
      </c>
      <c r="AA516" s="1376">
        <f t="shared" si="967"/>
        <v>0</v>
      </c>
      <c r="AB516" s="1376">
        <f t="shared" si="968"/>
        <v>0</v>
      </c>
      <c r="AC516" s="1376">
        <f t="shared" si="969"/>
        <v>0</v>
      </c>
      <c r="AD516" s="1376">
        <f t="shared" si="970"/>
        <v>0</v>
      </c>
      <c r="AE516" s="1376">
        <f t="shared" si="971"/>
        <v>0</v>
      </c>
      <c r="AF516" s="1376">
        <f t="shared" si="972"/>
        <v>0</v>
      </c>
      <c r="AG516" s="1376">
        <f t="shared" si="973"/>
        <v>0</v>
      </c>
      <c r="AH516" s="1374"/>
      <c r="AI516" s="444">
        <f t="shared" ref="AI516:AI537" si="1018">IF(DC516="oui",0,IF(AND(ISTEXT(AT516)=TRUE,OR(X516=0,X516="")),0,ROUND(((((AA516-Z516)-(E516-D516))+((AC516-AB516)-(G516-F516))+((AE516-AD516)-(I516-H516))+(AG516-AF516)-(K516-J516))*24),2)))</f>
        <v>0</v>
      </c>
      <c r="AJ516" s="1090"/>
      <c r="AK516" s="1377"/>
      <c r="AL516" s="811">
        <f t="shared" si="975"/>
        <v>46366</v>
      </c>
      <c r="AM516" s="666">
        <f>IFERROR(IF(AND(AT516="",AR516&lt;&gt;S.CAL!$BJ$3,AR516&lt;&gt;S.CAL!$BJ$4,$AR$500="NON"),M516-BD516,IF(AND(AT516="",AR516&lt;&gt;S.CAL!$BJ$3,AR516&lt;&gt;S.CAL!$BJ$4,$AR$500="OUI"),X516-AI516,IF(AT516&lt;&gt;0,AT516,IF(OR(AR516=S.CAL!$BJ$3,AR516=S.CAL!$BJ$4),AR516,"")))),"")</f>
        <v>0</v>
      </c>
      <c r="AN516" s="1093"/>
      <c r="AO516" s="1094"/>
      <c r="AP516" s="666">
        <f>+IF(AND(AU516="",BB516="OUI",BH516="non",BI516="OUI"),AM516,IF(AND(AU516="",BB516="OUI",BH516="oui",BI516="NON"),AM516,IF(AND(AU516="",BB516="NON",BH516="oui",BI516="NON"),M516,IF(AND(AU516="",BB516="NON",BH516="non",BI516="OUI"),M516,IF(AND(AU516="",BB516="OUI",BH516="non",BI516="NON"),"ERREUR",IF(AND(AU516="",BB516="NON",BH516="non",BI516="NON"),AM516,IF(AND(AU516="",BB516="OUI",BH516="",BI516=""),AM516,IF(AND(AU516="",BB516="NON",BH516="",BI516="",AZ516="NON"),M516,IF(AND(AU516="",BH516="",AZ516="OUI",AR516=""),AM516,IF(AND(AU516="",BH516="",AZ516="NON",AR516="",AT516=""),M516,IF(AND(OR(AR516=S.CAL!$BJ$3,AR516=S.CAL!$BJ$4),(VLOOKUP($AM$500,base_nbre_sem_mensu,2,FALSE)=52)),EE516,IF(AND(OR(AR516=S.CAL!$BJ$3,AR516=S.CAL!$BJ$4),(VLOOKUP($AM$500,base_nbre_sem_mensu,2,FALSE)&lt;52)),AM516,IF(AND(AT516&lt;&gt;"",AU516=""),AT516,AU516)))))))))))))</f>
        <v>0</v>
      </c>
      <c r="AQ516" s="1378">
        <f t="shared" si="995"/>
        <v>0</v>
      </c>
      <c r="AR516" s="1098"/>
      <c r="AS516" s="1374"/>
      <c r="AT516" s="1101"/>
      <c r="AU516" s="813"/>
      <c r="AV516" s="1370">
        <f t="shared" si="976"/>
        <v>46366</v>
      </c>
      <c r="AW516" s="1374"/>
      <c r="AX516" s="511">
        <f t="shared" si="996"/>
        <v>46366</v>
      </c>
      <c r="AY516" s="523">
        <f t="shared" si="997"/>
        <v>0</v>
      </c>
      <c r="AZ516" s="520" t="s">
        <v>137</v>
      </c>
      <c r="BA516" s="516">
        <f t="shared" si="998"/>
        <v>0</v>
      </c>
      <c r="BB516" s="549" t="str">
        <f t="shared" si="977"/>
        <v/>
      </c>
      <c r="BC516" s="523">
        <f t="shared" si="999"/>
        <v>0</v>
      </c>
      <c r="BD516" s="523">
        <f t="shared" si="1000"/>
        <v>0</v>
      </c>
      <c r="BE516" s="1104"/>
      <c r="BF516" s="514" t="str">
        <f t="shared" si="978"/>
        <v/>
      </c>
      <c r="BG516" s="514" t="str">
        <f t="shared" si="1001"/>
        <v>oui</v>
      </c>
      <c r="BH516" s="377" t="str">
        <f t="shared" si="979"/>
        <v/>
      </c>
      <c r="BI516" s="24" t="str">
        <f t="shared" si="980"/>
        <v/>
      </c>
      <c r="BJ516" s="1382"/>
      <c r="BK516" s="1382"/>
      <c r="BL516" s="1382"/>
      <c r="BM516" s="1382"/>
      <c r="BN516" s="1382"/>
      <c r="BO516" s="1382"/>
      <c r="BP516" s="1382"/>
      <c r="BQ516" s="1382"/>
      <c r="BR516" s="1383"/>
      <c r="BS516" s="1370">
        <f t="shared" si="947"/>
        <v>46366</v>
      </c>
      <c r="BT516" s="1384" t="str">
        <f t="shared" si="1009"/>
        <v/>
      </c>
      <c r="BU516" s="1382"/>
      <c r="BV516" s="1382"/>
      <c r="BW516" s="1382"/>
      <c r="BX516" s="1382"/>
      <c r="BY516" s="1382"/>
      <c r="BZ516" s="1382"/>
      <c r="CA516" s="1382"/>
      <c r="CB516" s="1382"/>
      <c r="CD516" s="1386">
        <f t="shared" si="1002"/>
        <v>0</v>
      </c>
      <c r="DC516" s="16" t="str">
        <f>Décembre!FC29</f>
        <v>non</v>
      </c>
      <c r="DG516" s="315">
        <f t="shared" si="1003"/>
        <v>1</v>
      </c>
      <c r="DH516" s="129">
        <f t="shared" si="981"/>
        <v>10</v>
      </c>
      <c r="DI516" s="129">
        <f t="shared" si="1004"/>
        <v>1</v>
      </c>
      <c r="DK516" s="16">
        <f>+IF(AND(Décembre!$DP$8&lt;&gt;52,AR516=S.CAL!$BJ$4),10,1)</f>
        <v>1</v>
      </c>
      <c r="DN516" s="16">
        <f t="shared" si="982"/>
        <v>1</v>
      </c>
      <c r="DU516" s="1274" t="str">
        <f t="shared" si="1005"/>
        <v>Fiche infoA446366</v>
      </c>
      <c r="DV516" s="1362">
        <f t="shared" si="983"/>
        <v>0</v>
      </c>
      <c r="DW516" s="1363">
        <f t="shared" si="984"/>
        <v>0</v>
      </c>
      <c r="DX516" s="1363">
        <f t="shared" si="985"/>
        <v>0</v>
      </c>
      <c r="DY516" s="1363">
        <f t="shared" si="986"/>
        <v>0</v>
      </c>
      <c r="DZ516" s="1363">
        <f t="shared" si="987"/>
        <v>0</v>
      </c>
      <c r="EA516" s="1363">
        <f t="shared" si="988"/>
        <v>0</v>
      </c>
      <c r="EB516" s="1363">
        <f t="shared" si="989"/>
        <v>0</v>
      </c>
      <c r="EC516" s="1363">
        <f t="shared" si="990"/>
        <v>0</v>
      </c>
      <c r="ED516" s="1363">
        <f t="shared" si="1006"/>
        <v>0</v>
      </c>
      <c r="EE516" s="1364">
        <f t="shared" si="1007"/>
        <v>0</v>
      </c>
      <c r="EG516" s="16" t="str">
        <f t="shared" si="1008"/>
        <v>502026</v>
      </c>
      <c r="EH516" s="16" t="str">
        <f t="shared" si="991"/>
        <v>Fiche infoA4</v>
      </c>
      <c r="EI516" s="16" t="str">
        <f t="shared" si="992"/>
        <v/>
      </c>
    </row>
    <row r="517" spans="1:139" x14ac:dyDescent="0.2">
      <c r="A517" s="24" t="str">
        <f>Décembre!BJ30</f>
        <v>Fiche infoA5</v>
      </c>
      <c r="B517" s="811">
        <f>Décembre!AB30</f>
        <v>46367</v>
      </c>
      <c r="C517" s="1371"/>
      <c r="D517" s="981">
        <f t="shared" si="948"/>
        <v>0</v>
      </c>
      <c r="E517" s="434">
        <f t="shared" si="949"/>
        <v>0</v>
      </c>
      <c r="F517" s="434">
        <f t="shared" si="950"/>
        <v>0</v>
      </c>
      <c r="G517" s="434">
        <f t="shared" si="951"/>
        <v>0</v>
      </c>
      <c r="H517" s="434">
        <f t="shared" si="952"/>
        <v>0</v>
      </c>
      <c r="I517" s="434">
        <f t="shared" si="953"/>
        <v>0</v>
      </c>
      <c r="J517" s="434">
        <f t="shared" si="954"/>
        <v>0</v>
      </c>
      <c r="K517" s="434">
        <f t="shared" si="955"/>
        <v>0</v>
      </c>
      <c r="L517" s="434">
        <f t="shared" si="993"/>
        <v>0</v>
      </c>
      <c r="M517" s="982">
        <f t="shared" si="994"/>
        <v>0</v>
      </c>
      <c r="O517" s="981">
        <f t="shared" si="1010"/>
        <v>0</v>
      </c>
      <c r="P517" s="434">
        <f t="shared" si="1011"/>
        <v>0</v>
      </c>
      <c r="Q517" s="434">
        <f t="shared" si="1012"/>
        <v>0</v>
      </c>
      <c r="R517" s="434">
        <f t="shared" si="1013"/>
        <v>0</v>
      </c>
      <c r="S517" s="434">
        <f t="shared" si="1014"/>
        <v>0</v>
      </c>
      <c r="T517" s="434">
        <f t="shared" si="1015"/>
        <v>0</v>
      </c>
      <c r="U517" s="434">
        <f t="shared" si="1016"/>
        <v>0</v>
      </c>
      <c r="V517" s="434">
        <f t="shared" si="1017"/>
        <v>0</v>
      </c>
      <c r="W517" s="434">
        <f t="shared" si="964"/>
        <v>0</v>
      </c>
      <c r="X517" s="982">
        <f t="shared" si="965"/>
        <v>0</v>
      </c>
      <c r="Y517" s="441"/>
      <c r="Z517" s="277">
        <f t="shared" si="966"/>
        <v>0</v>
      </c>
      <c r="AA517" s="277">
        <f t="shared" si="967"/>
        <v>0</v>
      </c>
      <c r="AB517" s="277">
        <f t="shared" si="968"/>
        <v>0</v>
      </c>
      <c r="AC517" s="277">
        <f t="shared" si="969"/>
        <v>0</v>
      </c>
      <c r="AD517" s="277">
        <f t="shared" si="970"/>
        <v>0</v>
      </c>
      <c r="AE517" s="277">
        <f t="shared" si="971"/>
        <v>0</v>
      </c>
      <c r="AF517" s="277">
        <f t="shared" si="972"/>
        <v>0</v>
      </c>
      <c r="AG517" s="277">
        <f t="shared" si="973"/>
        <v>0</v>
      </c>
      <c r="AI517" s="444">
        <f t="shared" si="1018"/>
        <v>0</v>
      </c>
      <c r="AJ517" s="1090"/>
      <c r="AK517" s="489"/>
      <c r="AL517" s="811">
        <f t="shared" si="975"/>
        <v>46367</v>
      </c>
      <c r="AM517" s="666">
        <f>IFERROR(IF(AND(AT517="",AR517&lt;&gt;S.CAL!$BJ$3,AR517&lt;&gt;S.CAL!$BJ$4,$AR$500="NON"),M517-BD517,IF(AND(AT517="",AR517&lt;&gt;S.CAL!$BJ$3,AR517&lt;&gt;S.CAL!$BJ$4,$AR$500="OUI"),X517-AI517,IF(AT517&lt;&gt;0,AT517,IF(OR(AR517=S.CAL!$BJ$3,AR517=S.CAL!$BJ$4),AR517,"")))),"")</f>
        <v>0</v>
      </c>
      <c r="AN517" s="1093"/>
      <c r="AO517" s="1094"/>
      <c r="AP517" s="666">
        <f>+IF(AND(AU517="",BB517="OUI",BH517="non",BI517="OUI"),AM517,IF(AND(AU517="",BB517="OUI",BH517="oui",BI517="NON"),AM517,IF(AND(AU517="",BB517="NON",BH517="oui",BI517="NON"),M517,IF(AND(AU517="",BB517="NON",BH517="non",BI517="OUI"),M517,IF(AND(AU517="",BB517="OUI",BH517="non",BI517="NON"),"ERREUR",IF(AND(AU517="",BB517="NON",BH517="non",BI517="NON"),AM517,IF(AND(AU517="",BB517="OUI",BH517="",BI517=""),AM517,IF(AND(AU517="",BB517="NON",BH517="",BI517="",AZ517="NON"),M517,IF(AND(AU517="",BH517="",AZ517="OUI",AR517=""),AM517,IF(AND(AU517="",BH517="",AZ517="NON",AR517="",AT517=""),M517,IF(AND(OR(AR517=S.CAL!$BJ$3,AR517=S.CAL!$BJ$4),(VLOOKUP($AM$500,base_nbre_sem_mensu,2,FALSE)=52)),EE517,IF(AND(OR(AR517=S.CAL!$BJ$3,AR517=S.CAL!$BJ$4),(VLOOKUP($AM$500,base_nbre_sem_mensu,2,FALSE)&lt;52)),AM517,IF(AND(AT517&lt;&gt;"",AU517=""),AT517,AU517)))))))))))))</f>
        <v>0</v>
      </c>
      <c r="AQ517" s="498">
        <f t="shared" si="995"/>
        <v>0</v>
      </c>
      <c r="AR517" s="1098"/>
      <c r="AT517" s="1101"/>
      <c r="AU517" s="813"/>
      <c r="AV517" s="1370">
        <f t="shared" si="976"/>
        <v>46367</v>
      </c>
      <c r="AX517" s="511">
        <f t="shared" si="996"/>
        <v>46367</v>
      </c>
      <c r="AY517" s="523">
        <f t="shared" si="997"/>
        <v>0</v>
      </c>
      <c r="AZ517" s="520" t="s">
        <v>137</v>
      </c>
      <c r="BA517" s="516">
        <f t="shared" si="998"/>
        <v>0</v>
      </c>
      <c r="BB517" s="549" t="str">
        <f t="shared" si="977"/>
        <v/>
      </c>
      <c r="BC517" s="523">
        <f t="shared" si="999"/>
        <v>0</v>
      </c>
      <c r="BD517" s="523">
        <f t="shared" si="1000"/>
        <v>0</v>
      </c>
      <c r="BE517" s="1104"/>
      <c r="BF517" s="514" t="str">
        <f t="shared" si="978"/>
        <v/>
      </c>
      <c r="BG517" s="514" t="str">
        <f t="shared" si="1001"/>
        <v>oui</v>
      </c>
      <c r="BH517" s="377" t="str">
        <f t="shared" si="979"/>
        <v/>
      </c>
      <c r="BI517" s="24" t="str">
        <f t="shared" si="980"/>
        <v/>
      </c>
      <c r="BJ517" s="1381"/>
      <c r="BK517" s="1381"/>
      <c r="BL517" s="1381"/>
      <c r="BM517" s="1381"/>
      <c r="BN517" s="1381"/>
      <c r="BO517" s="1381"/>
      <c r="BP517" s="1381"/>
      <c r="BQ517" s="1381"/>
      <c r="BS517" s="1370">
        <f t="shared" si="947"/>
        <v>46367</v>
      </c>
      <c r="BT517" s="27" t="str">
        <f t="shared" si="1009"/>
        <v/>
      </c>
      <c r="BU517" s="1380"/>
      <c r="BV517" s="1380"/>
      <c r="BW517" s="1380"/>
      <c r="BX517" s="1380"/>
      <c r="BY517" s="1380"/>
      <c r="BZ517" s="1380"/>
      <c r="CA517" s="1380"/>
      <c r="CB517" s="1380"/>
      <c r="CD517" s="1386">
        <f t="shared" si="1002"/>
        <v>0</v>
      </c>
      <c r="DC517" s="16" t="str">
        <f>Décembre!FC30</f>
        <v>non</v>
      </c>
      <c r="DG517" s="315">
        <f t="shared" si="1003"/>
        <v>1</v>
      </c>
      <c r="DH517" s="129">
        <f t="shared" si="981"/>
        <v>10</v>
      </c>
      <c r="DI517" s="129">
        <f t="shared" si="1004"/>
        <v>1</v>
      </c>
      <c r="DK517" s="16">
        <f>+IF(AND(Décembre!$DP$8&lt;&gt;52,AR517=S.CAL!$BJ$4),10,1)</f>
        <v>1</v>
      </c>
      <c r="DN517" s="16">
        <f t="shared" si="982"/>
        <v>1</v>
      </c>
      <c r="DU517" s="1274" t="str">
        <f t="shared" si="1005"/>
        <v>Fiche infoA546367</v>
      </c>
      <c r="DV517" s="1362">
        <f t="shared" si="983"/>
        <v>0</v>
      </c>
      <c r="DW517" s="1363">
        <f t="shared" si="984"/>
        <v>0</v>
      </c>
      <c r="DX517" s="1363">
        <f t="shared" si="985"/>
        <v>0</v>
      </c>
      <c r="DY517" s="1363">
        <f t="shared" si="986"/>
        <v>0</v>
      </c>
      <c r="DZ517" s="1363">
        <f t="shared" si="987"/>
        <v>0</v>
      </c>
      <c r="EA517" s="1363">
        <f t="shared" si="988"/>
        <v>0</v>
      </c>
      <c r="EB517" s="1363">
        <f t="shared" si="989"/>
        <v>0</v>
      </c>
      <c r="EC517" s="1363">
        <f t="shared" si="990"/>
        <v>0</v>
      </c>
      <c r="ED517" s="1363">
        <f t="shared" si="1006"/>
        <v>0</v>
      </c>
      <c r="EE517" s="1364">
        <f t="shared" si="1007"/>
        <v>0</v>
      </c>
      <c r="EG517" s="16" t="str">
        <f t="shared" si="1008"/>
        <v>502026</v>
      </c>
      <c r="EH517" s="16" t="str">
        <f t="shared" si="991"/>
        <v>Fiche infoA5</v>
      </c>
      <c r="EI517" s="16" t="str">
        <f t="shared" si="992"/>
        <v/>
      </c>
    </row>
    <row r="518" spans="1:139" x14ac:dyDescent="0.2">
      <c r="A518" s="1373" t="str">
        <f>Décembre!BJ31</f>
        <v>Fiche infoA6</v>
      </c>
      <c r="B518" s="811">
        <f>Décembre!AB31</f>
        <v>46368</v>
      </c>
      <c r="C518" s="1372"/>
      <c r="D518" s="981">
        <f t="shared" si="948"/>
        <v>0</v>
      </c>
      <c r="E518" s="434">
        <f t="shared" si="949"/>
        <v>0</v>
      </c>
      <c r="F518" s="434">
        <f t="shared" si="950"/>
        <v>0</v>
      </c>
      <c r="G518" s="434">
        <f t="shared" si="951"/>
        <v>0</v>
      </c>
      <c r="H518" s="434">
        <f t="shared" si="952"/>
        <v>0</v>
      </c>
      <c r="I518" s="434">
        <f t="shared" si="953"/>
        <v>0</v>
      </c>
      <c r="J518" s="434">
        <f t="shared" si="954"/>
        <v>0</v>
      </c>
      <c r="K518" s="434">
        <f t="shared" si="955"/>
        <v>0</v>
      </c>
      <c r="L518" s="434">
        <f t="shared" si="993"/>
        <v>0</v>
      </c>
      <c r="M518" s="982">
        <f t="shared" si="994"/>
        <v>0</v>
      </c>
      <c r="N518" s="1374"/>
      <c r="O518" s="981">
        <f t="shared" si="1010"/>
        <v>0</v>
      </c>
      <c r="P518" s="434">
        <f t="shared" si="1011"/>
        <v>0</v>
      </c>
      <c r="Q518" s="434">
        <f t="shared" si="1012"/>
        <v>0</v>
      </c>
      <c r="R518" s="434">
        <f t="shared" si="1013"/>
        <v>0</v>
      </c>
      <c r="S518" s="434">
        <f t="shared" si="1014"/>
        <v>0</v>
      </c>
      <c r="T518" s="434">
        <f t="shared" si="1015"/>
        <v>0</v>
      </c>
      <c r="U518" s="434">
        <f t="shared" si="1016"/>
        <v>0</v>
      </c>
      <c r="V518" s="434">
        <f t="shared" si="1017"/>
        <v>0</v>
      </c>
      <c r="W518" s="434">
        <f t="shared" si="964"/>
        <v>0</v>
      </c>
      <c r="X518" s="982">
        <f t="shared" si="965"/>
        <v>0</v>
      </c>
      <c r="Y518" s="1375"/>
      <c r="Z518" s="1376">
        <f t="shared" si="966"/>
        <v>0</v>
      </c>
      <c r="AA518" s="1376">
        <f t="shared" si="967"/>
        <v>0</v>
      </c>
      <c r="AB518" s="1376">
        <f t="shared" si="968"/>
        <v>0</v>
      </c>
      <c r="AC518" s="1376">
        <f t="shared" si="969"/>
        <v>0</v>
      </c>
      <c r="AD518" s="1376">
        <f t="shared" si="970"/>
        <v>0</v>
      </c>
      <c r="AE518" s="1376">
        <f t="shared" si="971"/>
        <v>0</v>
      </c>
      <c r="AF518" s="1376">
        <f t="shared" si="972"/>
        <v>0</v>
      </c>
      <c r="AG518" s="1376">
        <f t="shared" si="973"/>
        <v>0</v>
      </c>
      <c r="AH518" s="1374"/>
      <c r="AI518" s="444">
        <f t="shared" si="1018"/>
        <v>0</v>
      </c>
      <c r="AJ518" s="1090"/>
      <c r="AK518" s="1377"/>
      <c r="AL518" s="811">
        <f t="shared" si="975"/>
        <v>46368</v>
      </c>
      <c r="AM518" s="666">
        <f>IFERROR(IF(AND(AT518="",AR518&lt;&gt;S.CAL!$BJ$3,AR518&lt;&gt;S.CAL!$BJ$4,$AR$500="NON"),M518-BD518,IF(AND(AT518="",AR518&lt;&gt;S.CAL!$BJ$3,AR518&lt;&gt;S.CAL!$BJ$4,$AR$500="OUI"),X518-AI518,IF(AT518&lt;&gt;0,AT518,IF(OR(AR518=S.CAL!$BJ$3,AR518=S.CAL!$BJ$4),AR518,"")))),"")</f>
        <v>0</v>
      </c>
      <c r="AN518" s="1093"/>
      <c r="AO518" s="1094"/>
      <c r="AP518" s="666">
        <f>+IF(AND(AU518="",BB518="OUI",BH518="non",BI518="OUI"),AM518,IF(AND(AU518="",BB518="OUI",BH518="oui",BI518="NON"),AM518,IF(AND(AU518="",BB518="NON",BH518="oui",BI518="NON"),M518,IF(AND(AU518="",BB518="NON",BH518="non",BI518="OUI"),M518,IF(AND(AU518="",BB518="OUI",BH518="non",BI518="NON"),"ERREUR",IF(AND(AU518="",BB518="NON",BH518="non",BI518="NON"),AM518,IF(AND(AU518="",BB518="OUI",BH518="",BI518=""),AM518,IF(AND(AU518="",BB518="NON",BH518="",BI518="",AZ518="NON"),M518,IF(AND(AU518="",BH518="",AZ518="OUI",AR518=""),AM518,IF(AND(AU518="",BH518="",AZ518="NON",AR518="",AT518=""),M518,IF(AND(OR(AR518=S.CAL!$BJ$3,AR518=S.CAL!$BJ$4),(VLOOKUP($AM$500,base_nbre_sem_mensu,2,FALSE)=52)),EE518,IF(AND(OR(AR518=S.CAL!$BJ$3,AR518=S.CAL!$BJ$4),(VLOOKUP($AM$500,base_nbre_sem_mensu,2,FALSE)&lt;52)),AM518,IF(AND(AT518&lt;&gt;"",AU518=""),AT518,AU518)))))))))))))</f>
        <v>0</v>
      </c>
      <c r="AQ518" s="1378">
        <f t="shared" si="995"/>
        <v>0</v>
      </c>
      <c r="AR518" s="1098"/>
      <c r="AS518" s="1374"/>
      <c r="AT518" s="1101"/>
      <c r="AU518" s="813"/>
      <c r="AV518" s="1370">
        <f t="shared" si="976"/>
        <v>46368</v>
      </c>
      <c r="AW518" s="1374"/>
      <c r="AX518" s="511">
        <f t="shared" si="996"/>
        <v>46368</v>
      </c>
      <c r="AY518" s="523">
        <f t="shared" si="997"/>
        <v>0</v>
      </c>
      <c r="AZ518" s="520" t="s">
        <v>137</v>
      </c>
      <c r="BA518" s="516">
        <f t="shared" si="998"/>
        <v>0</v>
      </c>
      <c r="BB518" s="549" t="str">
        <f t="shared" si="977"/>
        <v/>
      </c>
      <c r="BC518" s="523">
        <f t="shared" si="999"/>
        <v>0</v>
      </c>
      <c r="BD518" s="523">
        <f t="shared" si="1000"/>
        <v>0</v>
      </c>
      <c r="BE518" s="1104"/>
      <c r="BF518" s="514" t="str">
        <f t="shared" si="978"/>
        <v/>
      </c>
      <c r="BG518" s="514" t="str">
        <f t="shared" si="1001"/>
        <v>oui</v>
      </c>
      <c r="BH518" s="377" t="str">
        <f t="shared" si="979"/>
        <v/>
      </c>
      <c r="BI518" s="24" t="str">
        <f t="shared" si="980"/>
        <v/>
      </c>
      <c r="BJ518" s="1382"/>
      <c r="BK518" s="1382"/>
      <c r="BL518" s="1382"/>
      <c r="BM518" s="1382"/>
      <c r="BN518" s="1382"/>
      <c r="BO518" s="1382"/>
      <c r="BP518" s="1382"/>
      <c r="BQ518" s="1382"/>
      <c r="BR518" s="1383"/>
      <c r="BS518" s="1370">
        <f t="shared" si="947"/>
        <v>46368</v>
      </c>
      <c r="BT518" s="1384" t="str">
        <f t="shared" si="1009"/>
        <v/>
      </c>
      <c r="BU518" s="1382"/>
      <c r="BV518" s="1382"/>
      <c r="BW518" s="1382"/>
      <c r="BX518" s="1382"/>
      <c r="BY518" s="1382"/>
      <c r="BZ518" s="1382"/>
      <c r="CA518" s="1382"/>
      <c r="CB518" s="1382"/>
      <c r="CD518" s="1386">
        <f t="shared" si="1002"/>
        <v>0</v>
      </c>
      <c r="DC518" s="16" t="str">
        <f>Décembre!FC31</f>
        <v>non</v>
      </c>
      <c r="DG518" s="315">
        <f t="shared" si="1003"/>
        <v>1</v>
      </c>
      <c r="DH518" s="129">
        <f t="shared" si="981"/>
        <v>10</v>
      </c>
      <c r="DI518" s="129">
        <f t="shared" si="1004"/>
        <v>1</v>
      </c>
      <c r="DK518" s="16">
        <f>+IF(AND(Décembre!$DP$8&lt;&gt;52,AR518=S.CAL!$BJ$4),10,1)</f>
        <v>1</v>
      </c>
      <c r="DN518" s="16">
        <f t="shared" si="982"/>
        <v>1</v>
      </c>
      <c r="DU518" s="1274" t="str">
        <f t="shared" si="1005"/>
        <v>Fiche infoA646368</v>
      </c>
      <c r="DV518" s="1362">
        <f t="shared" si="983"/>
        <v>0</v>
      </c>
      <c r="DW518" s="1363">
        <f t="shared" si="984"/>
        <v>0</v>
      </c>
      <c r="DX518" s="1363">
        <f t="shared" si="985"/>
        <v>0</v>
      </c>
      <c r="DY518" s="1363">
        <f t="shared" si="986"/>
        <v>0</v>
      </c>
      <c r="DZ518" s="1363">
        <f t="shared" si="987"/>
        <v>0</v>
      </c>
      <c r="EA518" s="1363">
        <f t="shared" si="988"/>
        <v>0</v>
      </c>
      <c r="EB518" s="1363">
        <f t="shared" si="989"/>
        <v>0</v>
      </c>
      <c r="EC518" s="1363">
        <f t="shared" si="990"/>
        <v>0</v>
      </c>
      <c r="ED518" s="1363">
        <f t="shared" si="1006"/>
        <v>0</v>
      </c>
      <c r="EE518" s="1364">
        <f t="shared" si="1007"/>
        <v>0</v>
      </c>
      <c r="EG518" s="16" t="str">
        <f t="shared" si="1008"/>
        <v>502026</v>
      </c>
      <c r="EH518" s="16" t="str">
        <f t="shared" si="991"/>
        <v>Fiche infoA6</v>
      </c>
      <c r="EI518" s="16" t="str">
        <f t="shared" si="992"/>
        <v/>
      </c>
    </row>
    <row r="519" spans="1:139" x14ac:dyDescent="0.2">
      <c r="A519" s="24" t="str">
        <f>Décembre!BJ32</f>
        <v>Fiche infoA7</v>
      </c>
      <c r="B519" s="811">
        <f>Décembre!AB32</f>
        <v>46369</v>
      </c>
      <c r="C519" s="1371"/>
      <c r="D519" s="981">
        <f t="shared" si="948"/>
        <v>0</v>
      </c>
      <c r="E519" s="434">
        <f t="shared" si="949"/>
        <v>0</v>
      </c>
      <c r="F519" s="434">
        <f t="shared" si="950"/>
        <v>0</v>
      </c>
      <c r="G519" s="434">
        <f t="shared" si="951"/>
        <v>0</v>
      </c>
      <c r="H519" s="434">
        <f t="shared" si="952"/>
        <v>0</v>
      </c>
      <c r="I519" s="434">
        <f t="shared" si="953"/>
        <v>0</v>
      </c>
      <c r="J519" s="434">
        <f t="shared" si="954"/>
        <v>0</v>
      </c>
      <c r="K519" s="434">
        <f t="shared" si="955"/>
        <v>0</v>
      </c>
      <c r="L519" s="434">
        <f t="shared" si="993"/>
        <v>0</v>
      </c>
      <c r="M519" s="982">
        <f t="shared" si="994"/>
        <v>0</v>
      </c>
      <c r="O519" s="981">
        <f t="shared" si="1010"/>
        <v>0</v>
      </c>
      <c r="P519" s="434">
        <f t="shared" si="1011"/>
        <v>0</v>
      </c>
      <c r="Q519" s="434">
        <f t="shared" si="1012"/>
        <v>0</v>
      </c>
      <c r="R519" s="434">
        <f t="shared" si="1013"/>
        <v>0</v>
      </c>
      <c r="S519" s="434">
        <f t="shared" si="1014"/>
        <v>0</v>
      </c>
      <c r="T519" s="434">
        <f t="shared" si="1015"/>
        <v>0</v>
      </c>
      <c r="U519" s="434">
        <f t="shared" si="1016"/>
        <v>0</v>
      </c>
      <c r="V519" s="434">
        <f t="shared" si="1017"/>
        <v>0</v>
      </c>
      <c r="W519" s="434">
        <f t="shared" si="964"/>
        <v>0</v>
      </c>
      <c r="X519" s="982">
        <f t="shared" si="965"/>
        <v>0</v>
      </c>
      <c r="Y519" s="441"/>
      <c r="Z519" s="277">
        <f t="shared" si="966"/>
        <v>0</v>
      </c>
      <c r="AA519" s="277">
        <f t="shared" si="967"/>
        <v>0</v>
      </c>
      <c r="AB519" s="277">
        <f t="shared" si="968"/>
        <v>0</v>
      </c>
      <c r="AC519" s="277">
        <f t="shared" si="969"/>
        <v>0</v>
      </c>
      <c r="AD519" s="277">
        <f t="shared" si="970"/>
        <v>0</v>
      </c>
      <c r="AE519" s="277">
        <f t="shared" si="971"/>
        <v>0</v>
      </c>
      <c r="AF519" s="277">
        <f t="shared" si="972"/>
        <v>0</v>
      </c>
      <c r="AG519" s="277">
        <f t="shared" si="973"/>
        <v>0</v>
      </c>
      <c r="AI519" s="444">
        <f t="shared" si="1018"/>
        <v>0</v>
      </c>
      <c r="AJ519" s="1090"/>
      <c r="AK519" s="489"/>
      <c r="AL519" s="811">
        <f t="shared" si="975"/>
        <v>46369</v>
      </c>
      <c r="AM519" s="666">
        <f>IFERROR(IF(AND(AT519="",AR519&lt;&gt;S.CAL!$BJ$3,AR519&lt;&gt;S.CAL!$BJ$4,$AR$500="NON"),M519-BD519,IF(AND(AT519="",AR519&lt;&gt;S.CAL!$BJ$3,AR519&lt;&gt;S.CAL!$BJ$4,$AR$500="OUI"),X519-AI519,IF(AT519&lt;&gt;0,AT519,IF(OR(AR519=S.CAL!$BJ$3,AR519=S.CAL!$BJ$4),AR519,"")))),"")</f>
        <v>0</v>
      </c>
      <c r="AN519" s="1093"/>
      <c r="AO519" s="1094"/>
      <c r="AP519" s="666">
        <f>+IF(AND(AU519="",BB519="OUI",BH519="non",BI519="OUI"),AM519,IF(AND(AU519="",BB519="OUI",BH519="oui",BI519="NON"),AM519,IF(AND(AU519="",BB519="NON",BH519="oui",BI519="NON"),M519,IF(AND(AU519="",BB519="NON",BH519="non",BI519="OUI"),M519,IF(AND(AU519="",BB519="OUI",BH519="non",BI519="NON"),"ERREUR",IF(AND(AU519="",BB519="NON",BH519="non",BI519="NON"),AM519,IF(AND(AU519="",BB519="OUI",BH519="",BI519=""),AM519,IF(AND(AU519="",BB519="NON",BH519="",BI519="",AZ519="NON"),M519,IF(AND(AU519="",BH519="",AZ519="OUI",AR519=""),AM519,IF(AND(AU519="",BH519="",AZ519="NON",AR519="",AT519=""),M519,IF(AND(OR(AR519=S.CAL!$BJ$3,AR519=S.CAL!$BJ$4),(VLOOKUP($AM$500,base_nbre_sem_mensu,2,FALSE)=52)),EE519,IF(AND(OR(AR519=S.CAL!$BJ$3,AR519=S.CAL!$BJ$4),(VLOOKUP($AM$500,base_nbre_sem_mensu,2,FALSE)&lt;52)),AM519,IF(AND(AT519&lt;&gt;"",AU519=""),AT519,AU519)))))))))))))</f>
        <v>0</v>
      </c>
      <c r="AQ519" s="498">
        <f t="shared" si="995"/>
        <v>0</v>
      </c>
      <c r="AR519" s="1098"/>
      <c r="AT519" s="1101"/>
      <c r="AU519" s="813"/>
      <c r="AV519" s="1370">
        <f t="shared" si="976"/>
        <v>46369</v>
      </c>
      <c r="AX519" s="511">
        <f t="shared" si="996"/>
        <v>46369</v>
      </c>
      <c r="AY519" s="523">
        <f t="shared" si="997"/>
        <v>0</v>
      </c>
      <c r="AZ519" s="520" t="s">
        <v>137</v>
      </c>
      <c r="BA519" s="516">
        <f t="shared" si="998"/>
        <v>0</v>
      </c>
      <c r="BB519" s="549" t="str">
        <f t="shared" si="977"/>
        <v/>
      </c>
      <c r="BC519" s="523">
        <f t="shared" si="999"/>
        <v>0</v>
      </c>
      <c r="BD519" s="523">
        <f t="shared" si="1000"/>
        <v>0</v>
      </c>
      <c r="BE519" s="1104"/>
      <c r="BF519" s="514" t="str">
        <f t="shared" si="978"/>
        <v/>
      </c>
      <c r="BG519" s="514" t="str">
        <f t="shared" si="1001"/>
        <v>oui</v>
      </c>
      <c r="BH519" s="377" t="str">
        <f t="shared" si="979"/>
        <v/>
      </c>
      <c r="BI519" s="24" t="str">
        <f t="shared" si="980"/>
        <v/>
      </c>
      <c r="BJ519" s="1381"/>
      <c r="BK519" s="1381"/>
      <c r="BL519" s="1381"/>
      <c r="BM519" s="1381"/>
      <c r="BN519" s="1381"/>
      <c r="BO519" s="1381"/>
      <c r="BP519" s="1381"/>
      <c r="BQ519" s="1381"/>
      <c r="BS519" s="1370">
        <f t="shared" si="947"/>
        <v>46369</v>
      </c>
      <c r="BT519" s="27" t="str">
        <f t="shared" si="1009"/>
        <v/>
      </c>
      <c r="BU519" s="1380"/>
      <c r="BV519" s="1380"/>
      <c r="BW519" s="1380"/>
      <c r="BX519" s="1380"/>
      <c r="BY519" s="1380"/>
      <c r="BZ519" s="1380"/>
      <c r="CA519" s="1380"/>
      <c r="CB519" s="1380"/>
      <c r="CD519" s="1386">
        <f t="shared" si="1002"/>
        <v>0</v>
      </c>
      <c r="DC519" s="16" t="str">
        <f>Décembre!FC32</f>
        <v>non</v>
      </c>
      <c r="DG519" s="315">
        <f t="shared" si="1003"/>
        <v>1</v>
      </c>
      <c r="DH519" s="129">
        <f t="shared" si="981"/>
        <v>10</v>
      </c>
      <c r="DI519" s="129">
        <f t="shared" si="1004"/>
        <v>1</v>
      </c>
      <c r="DK519" s="16">
        <f>+IF(AND(Décembre!$DP$8&lt;&gt;52,AR519=S.CAL!$BJ$4),10,1)</f>
        <v>1</v>
      </c>
      <c r="DN519" s="16">
        <f t="shared" si="982"/>
        <v>1</v>
      </c>
      <c r="DU519" s="1274" t="str">
        <f t="shared" si="1005"/>
        <v>Fiche infoA746369</v>
      </c>
      <c r="DV519" s="1362">
        <f t="shared" si="983"/>
        <v>0</v>
      </c>
      <c r="DW519" s="1363">
        <f t="shared" si="984"/>
        <v>0</v>
      </c>
      <c r="DX519" s="1363">
        <f t="shared" si="985"/>
        <v>0</v>
      </c>
      <c r="DY519" s="1363">
        <f t="shared" si="986"/>
        <v>0</v>
      </c>
      <c r="DZ519" s="1363">
        <f t="shared" si="987"/>
        <v>0</v>
      </c>
      <c r="EA519" s="1363">
        <f t="shared" si="988"/>
        <v>0</v>
      </c>
      <c r="EB519" s="1363">
        <f t="shared" si="989"/>
        <v>0</v>
      </c>
      <c r="EC519" s="1363">
        <f t="shared" si="990"/>
        <v>0</v>
      </c>
      <c r="ED519" s="1363">
        <f t="shared" si="1006"/>
        <v>0</v>
      </c>
      <c r="EE519" s="1364">
        <f t="shared" si="1007"/>
        <v>0</v>
      </c>
      <c r="EG519" s="16" t="str">
        <f t="shared" si="1008"/>
        <v>502026</v>
      </c>
      <c r="EH519" s="16" t="str">
        <f t="shared" si="991"/>
        <v>Fiche infoA7</v>
      </c>
      <c r="EI519" s="16" t="str">
        <f t="shared" si="992"/>
        <v/>
      </c>
    </row>
    <row r="520" spans="1:139" x14ac:dyDescent="0.2">
      <c r="A520" s="1373" t="str">
        <f>Décembre!BJ33</f>
        <v>Fiche infoA1</v>
      </c>
      <c r="B520" s="811">
        <f>Décembre!AB33</f>
        <v>46370</v>
      </c>
      <c r="C520" s="1372"/>
      <c r="D520" s="981">
        <f t="shared" si="948"/>
        <v>0</v>
      </c>
      <c r="E520" s="434">
        <f t="shared" si="949"/>
        <v>0</v>
      </c>
      <c r="F520" s="434">
        <f t="shared" si="950"/>
        <v>0</v>
      </c>
      <c r="G520" s="434">
        <f t="shared" si="951"/>
        <v>0</v>
      </c>
      <c r="H520" s="434">
        <f t="shared" si="952"/>
        <v>0</v>
      </c>
      <c r="I520" s="434">
        <f t="shared" si="953"/>
        <v>0</v>
      </c>
      <c r="J520" s="434">
        <f t="shared" si="954"/>
        <v>0</v>
      </c>
      <c r="K520" s="434">
        <f t="shared" si="955"/>
        <v>0</v>
      </c>
      <c r="L520" s="434">
        <f t="shared" si="993"/>
        <v>0</v>
      </c>
      <c r="M520" s="982">
        <f t="shared" si="994"/>
        <v>0</v>
      </c>
      <c r="N520" s="1374"/>
      <c r="O520" s="981">
        <f t="shared" si="1010"/>
        <v>0</v>
      </c>
      <c r="P520" s="434">
        <f t="shared" si="1011"/>
        <v>0</v>
      </c>
      <c r="Q520" s="434">
        <f t="shared" si="1012"/>
        <v>0</v>
      </c>
      <c r="R520" s="434">
        <f t="shared" si="1013"/>
        <v>0</v>
      </c>
      <c r="S520" s="434">
        <f t="shared" si="1014"/>
        <v>0</v>
      </c>
      <c r="T520" s="434">
        <f t="shared" si="1015"/>
        <v>0</v>
      </c>
      <c r="U520" s="434">
        <f t="shared" si="1016"/>
        <v>0</v>
      </c>
      <c r="V520" s="434">
        <f t="shared" si="1017"/>
        <v>0</v>
      </c>
      <c r="W520" s="434">
        <f t="shared" si="964"/>
        <v>0</v>
      </c>
      <c r="X520" s="982">
        <f t="shared" si="965"/>
        <v>0</v>
      </c>
      <c r="Y520" s="1375"/>
      <c r="Z520" s="1376">
        <f t="shared" si="966"/>
        <v>0</v>
      </c>
      <c r="AA520" s="1376">
        <f t="shared" si="967"/>
        <v>0</v>
      </c>
      <c r="AB520" s="1376">
        <f t="shared" si="968"/>
        <v>0</v>
      </c>
      <c r="AC520" s="1376">
        <f t="shared" si="969"/>
        <v>0</v>
      </c>
      <c r="AD520" s="1376">
        <f t="shared" si="970"/>
        <v>0</v>
      </c>
      <c r="AE520" s="1376">
        <f t="shared" si="971"/>
        <v>0</v>
      </c>
      <c r="AF520" s="1376">
        <f t="shared" si="972"/>
        <v>0</v>
      </c>
      <c r="AG520" s="1376">
        <f t="shared" si="973"/>
        <v>0</v>
      </c>
      <c r="AH520" s="1374"/>
      <c r="AI520" s="444">
        <f t="shared" si="1018"/>
        <v>0</v>
      </c>
      <c r="AJ520" s="1090"/>
      <c r="AK520" s="1377"/>
      <c r="AL520" s="811">
        <f t="shared" si="975"/>
        <v>46370</v>
      </c>
      <c r="AM520" s="666">
        <f>IFERROR(IF(AND(AT520="",AR520&lt;&gt;S.CAL!$BJ$3,AR520&lt;&gt;S.CAL!$BJ$4,$AR$500="NON"),M520-BD520,IF(AND(AT520="",AR520&lt;&gt;S.CAL!$BJ$3,AR520&lt;&gt;S.CAL!$BJ$4,$AR$500="OUI"),X520-AI520,IF(AT520&lt;&gt;0,AT520,IF(OR(AR520=S.CAL!$BJ$3,AR520=S.CAL!$BJ$4),AR520,"")))),"")</f>
        <v>0</v>
      </c>
      <c r="AN520" s="1093"/>
      <c r="AO520" s="1094"/>
      <c r="AP520" s="666">
        <f>+IF(AND(AU520="",BB520="OUI",BH520="non",BI520="OUI"),AM520,IF(AND(AU520="",BB520="OUI",BH520="oui",BI520="NON"),AM520,IF(AND(AU520="",BB520="NON",BH520="oui",BI520="NON"),M520,IF(AND(AU520="",BB520="NON",BH520="non",BI520="OUI"),M520,IF(AND(AU520="",BB520="OUI",BH520="non",BI520="NON"),"ERREUR",IF(AND(AU520="",BB520="NON",BH520="non",BI520="NON"),AM520,IF(AND(AU520="",BB520="OUI",BH520="",BI520=""),AM520,IF(AND(AU520="",BB520="NON",BH520="",BI520="",AZ520="NON"),M520,IF(AND(AU520="",BH520="",AZ520="OUI",AR520=""),AM520,IF(AND(AU520="",BH520="",AZ520="NON",AR520="",AT520=""),M520,IF(AND(OR(AR520=S.CAL!$BJ$3,AR520=S.CAL!$BJ$4),(VLOOKUP($AM$500,base_nbre_sem_mensu,2,FALSE)=52)),EE520,IF(AND(OR(AR520=S.CAL!$BJ$3,AR520=S.CAL!$BJ$4),(VLOOKUP($AM$500,base_nbre_sem_mensu,2,FALSE)&lt;52)),AM520,IF(AND(AT520&lt;&gt;"",AU520=""),AT520,AU520)))))))))))))</f>
        <v>0</v>
      </c>
      <c r="AQ520" s="1378">
        <f t="shared" si="995"/>
        <v>0</v>
      </c>
      <c r="AR520" s="1098"/>
      <c r="AS520" s="1374"/>
      <c r="AT520" s="1101"/>
      <c r="AU520" s="813"/>
      <c r="AV520" s="1370">
        <f t="shared" si="976"/>
        <v>46370</v>
      </c>
      <c r="AW520" s="1374"/>
      <c r="AX520" s="511">
        <f t="shared" si="996"/>
        <v>46370</v>
      </c>
      <c r="AY520" s="523">
        <f t="shared" si="997"/>
        <v>0</v>
      </c>
      <c r="AZ520" s="520" t="s">
        <v>137</v>
      </c>
      <c r="BA520" s="516">
        <f t="shared" si="998"/>
        <v>0</v>
      </c>
      <c r="BB520" s="549" t="str">
        <f t="shared" si="977"/>
        <v/>
      </c>
      <c r="BC520" s="523">
        <f t="shared" si="999"/>
        <v>0</v>
      </c>
      <c r="BD520" s="523">
        <f t="shared" si="1000"/>
        <v>0</v>
      </c>
      <c r="BE520" s="1104"/>
      <c r="BF520" s="514" t="str">
        <f t="shared" si="978"/>
        <v/>
      </c>
      <c r="BG520" s="514" t="str">
        <f t="shared" si="1001"/>
        <v>oui</v>
      </c>
      <c r="BH520" s="377" t="str">
        <f t="shared" si="979"/>
        <v/>
      </c>
      <c r="BI520" s="24" t="str">
        <f t="shared" si="980"/>
        <v/>
      </c>
      <c r="BJ520" s="1382"/>
      <c r="BK520" s="1382"/>
      <c r="BL520" s="1382"/>
      <c r="BM520" s="1382"/>
      <c r="BN520" s="1382"/>
      <c r="BO520" s="1382"/>
      <c r="BP520" s="1382"/>
      <c r="BQ520" s="1382"/>
      <c r="BR520" s="1383"/>
      <c r="BS520" s="1370">
        <f t="shared" si="947"/>
        <v>46370</v>
      </c>
      <c r="BT520" s="1384">
        <f t="shared" si="1009"/>
        <v>51</v>
      </c>
      <c r="BU520" s="1382"/>
      <c r="BV520" s="1382"/>
      <c r="BW520" s="1382"/>
      <c r="BX520" s="1382"/>
      <c r="BY520" s="1382"/>
      <c r="BZ520" s="1382"/>
      <c r="CA520" s="1382"/>
      <c r="CB520" s="1382"/>
      <c r="CD520" s="1386">
        <f t="shared" si="1002"/>
        <v>0</v>
      </c>
      <c r="DC520" s="16" t="str">
        <f>Décembre!FC33</f>
        <v>non</v>
      </c>
      <c r="DG520" s="315">
        <f t="shared" si="1003"/>
        <v>1</v>
      </c>
      <c r="DH520" s="129">
        <f t="shared" si="981"/>
        <v>10</v>
      </c>
      <c r="DI520" s="129">
        <f t="shared" si="1004"/>
        <v>1</v>
      </c>
      <c r="DK520" s="16">
        <f>+IF(AND(Décembre!$DP$8&lt;&gt;52,AR520=S.CAL!$BJ$4),10,1)</f>
        <v>1</v>
      </c>
      <c r="DN520" s="16">
        <f t="shared" si="982"/>
        <v>1</v>
      </c>
      <c r="DU520" s="1274" t="str">
        <f t="shared" si="1005"/>
        <v>Fiche infoA146370</v>
      </c>
      <c r="DV520" s="1362">
        <f t="shared" si="983"/>
        <v>0</v>
      </c>
      <c r="DW520" s="1363">
        <f t="shared" si="984"/>
        <v>0</v>
      </c>
      <c r="DX520" s="1363">
        <f t="shared" si="985"/>
        <v>0</v>
      </c>
      <c r="DY520" s="1363">
        <f t="shared" si="986"/>
        <v>0</v>
      </c>
      <c r="DZ520" s="1363">
        <f t="shared" si="987"/>
        <v>0</v>
      </c>
      <c r="EA520" s="1363">
        <f t="shared" si="988"/>
        <v>0</v>
      </c>
      <c r="EB520" s="1363">
        <f t="shared" si="989"/>
        <v>0</v>
      </c>
      <c r="EC520" s="1363">
        <f t="shared" si="990"/>
        <v>0</v>
      </c>
      <c r="ED520" s="1363">
        <f t="shared" si="1006"/>
        <v>0</v>
      </c>
      <c r="EE520" s="1364">
        <f t="shared" si="1007"/>
        <v>0</v>
      </c>
      <c r="EG520" s="16" t="str">
        <f t="shared" si="1008"/>
        <v>512026</v>
      </c>
      <c r="EH520" s="16" t="str">
        <f t="shared" si="991"/>
        <v>Fiche infoA1</v>
      </c>
      <c r="EI520" s="16" t="str">
        <f t="shared" si="992"/>
        <v/>
      </c>
    </row>
    <row r="521" spans="1:139" x14ac:dyDescent="0.2">
      <c r="A521" s="24" t="str">
        <f>Décembre!BJ34</f>
        <v>Fiche infoA2</v>
      </c>
      <c r="B521" s="811">
        <f>Décembre!AB34</f>
        <v>46371</v>
      </c>
      <c r="C521" s="1371"/>
      <c r="D521" s="981">
        <f t="shared" si="948"/>
        <v>0</v>
      </c>
      <c r="E521" s="434">
        <f t="shared" si="949"/>
        <v>0</v>
      </c>
      <c r="F521" s="434">
        <f t="shared" si="950"/>
        <v>0</v>
      </c>
      <c r="G521" s="434">
        <f t="shared" si="951"/>
        <v>0</v>
      </c>
      <c r="H521" s="434">
        <f t="shared" si="952"/>
        <v>0</v>
      </c>
      <c r="I521" s="434">
        <f t="shared" si="953"/>
        <v>0</v>
      </c>
      <c r="J521" s="434">
        <f t="shared" si="954"/>
        <v>0</v>
      </c>
      <c r="K521" s="434">
        <f t="shared" si="955"/>
        <v>0</v>
      </c>
      <c r="L521" s="434">
        <f t="shared" si="993"/>
        <v>0</v>
      </c>
      <c r="M521" s="982">
        <f t="shared" si="994"/>
        <v>0</v>
      </c>
      <c r="O521" s="981">
        <f t="shared" si="1010"/>
        <v>0</v>
      </c>
      <c r="P521" s="434">
        <f t="shared" si="1011"/>
        <v>0</v>
      </c>
      <c r="Q521" s="434">
        <f t="shared" si="1012"/>
        <v>0</v>
      </c>
      <c r="R521" s="434">
        <f t="shared" si="1013"/>
        <v>0</v>
      </c>
      <c r="S521" s="434">
        <f t="shared" si="1014"/>
        <v>0</v>
      </c>
      <c r="T521" s="434">
        <f t="shared" si="1015"/>
        <v>0</v>
      </c>
      <c r="U521" s="434">
        <f t="shared" si="1016"/>
        <v>0</v>
      </c>
      <c r="V521" s="434">
        <f t="shared" si="1017"/>
        <v>0</v>
      </c>
      <c r="W521" s="434">
        <f t="shared" si="964"/>
        <v>0</v>
      </c>
      <c r="X521" s="982">
        <f t="shared" si="965"/>
        <v>0</v>
      </c>
      <c r="Y521" s="441"/>
      <c r="Z521" s="277">
        <f t="shared" si="966"/>
        <v>0</v>
      </c>
      <c r="AA521" s="277">
        <f t="shared" si="967"/>
        <v>0</v>
      </c>
      <c r="AB521" s="277">
        <f t="shared" si="968"/>
        <v>0</v>
      </c>
      <c r="AC521" s="277">
        <f t="shared" si="969"/>
        <v>0</v>
      </c>
      <c r="AD521" s="277">
        <f t="shared" si="970"/>
        <v>0</v>
      </c>
      <c r="AE521" s="277">
        <f t="shared" si="971"/>
        <v>0</v>
      </c>
      <c r="AF521" s="277">
        <f t="shared" si="972"/>
        <v>0</v>
      </c>
      <c r="AG521" s="277">
        <f t="shared" si="973"/>
        <v>0</v>
      </c>
      <c r="AI521" s="444">
        <f t="shared" si="1018"/>
        <v>0</v>
      </c>
      <c r="AJ521" s="1090"/>
      <c r="AK521" s="489"/>
      <c r="AL521" s="811">
        <f t="shared" si="975"/>
        <v>46371</v>
      </c>
      <c r="AM521" s="666">
        <f>IFERROR(IF(AND(AT521="",AR521&lt;&gt;S.CAL!$BJ$3,AR521&lt;&gt;S.CAL!$BJ$4,$AR$500="NON"),M521-BD521,IF(AND(AT521="",AR521&lt;&gt;S.CAL!$BJ$3,AR521&lt;&gt;S.CAL!$BJ$4,$AR$500="OUI"),X521-AI521,IF(AT521&lt;&gt;0,AT521,IF(OR(AR521=S.CAL!$BJ$3,AR521=S.CAL!$BJ$4),AR521,"")))),"")</f>
        <v>0</v>
      </c>
      <c r="AN521" s="1093"/>
      <c r="AO521" s="1094"/>
      <c r="AP521" s="666">
        <f>+IF(AND(AU521="",BB521="OUI",BH521="non",BI521="OUI"),AM521,IF(AND(AU521="",BB521="OUI",BH521="oui",BI521="NON"),AM521,IF(AND(AU521="",BB521="NON",BH521="oui",BI521="NON"),M521,IF(AND(AU521="",BB521="NON",BH521="non",BI521="OUI"),M521,IF(AND(AU521="",BB521="OUI",BH521="non",BI521="NON"),"ERREUR",IF(AND(AU521="",BB521="NON",BH521="non",BI521="NON"),AM521,IF(AND(AU521="",BB521="OUI",BH521="",BI521=""),AM521,IF(AND(AU521="",BB521="NON",BH521="",BI521="",AZ521="NON"),M521,IF(AND(AU521="",BH521="",AZ521="OUI",AR521=""),AM521,IF(AND(AU521="",BH521="",AZ521="NON",AR521="",AT521=""),M521,IF(AND(OR(AR521=S.CAL!$BJ$3,AR521=S.CAL!$BJ$4),(VLOOKUP($AM$500,base_nbre_sem_mensu,2,FALSE)=52)),EE521,IF(AND(OR(AR521=S.CAL!$BJ$3,AR521=S.CAL!$BJ$4),(VLOOKUP($AM$500,base_nbre_sem_mensu,2,FALSE)&lt;52)),AM521,IF(AND(AT521&lt;&gt;"",AU521=""),AT521,AU521)))))))))))))</f>
        <v>0</v>
      </c>
      <c r="AQ521" s="498">
        <f t="shared" si="995"/>
        <v>0</v>
      </c>
      <c r="AR521" s="1098"/>
      <c r="AT521" s="1101"/>
      <c r="AU521" s="813"/>
      <c r="AV521" s="1370">
        <f t="shared" si="976"/>
        <v>46371</v>
      </c>
      <c r="AX521" s="511">
        <f t="shared" si="996"/>
        <v>46371</v>
      </c>
      <c r="AY521" s="523">
        <f t="shared" si="997"/>
        <v>0</v>
      </c>
      <c r="AZ521" s="520" t="s">
        <v>137</v>
      </c>
      <c r="BA521" s="516">
        <f t="shared" si="998"/>
        <v>0</v>
      </c>
      <c r="BB521" s="549" t="str">
        <f t="shared" si="977"/>
        <v/>
      </c>
      <c r="BC521" s="523">
        <f t="shared" si="999"/>
        <v>0</v>
      </c>
      <c r="BD521" s="523">
        <f t="shared" si="1000"/>
        <v>0</v>
      </c>
      <c r="BE521" s="1104"/>
      <c r="BF521" s="514" t="str">
        <f t="shared" si="978"/>
        <v/>
      </c>
      <c r="BG521" s="514" t="str">
        <f t="shared" si="1001"/>
        <v>oui</v>
      </c>
      <c r="BH521" s="377" t="str">
        <f t="shared" si="979"/>
        <v/>
      </c>
      <c r="BI521" s="24" t="str">
        <f t="shared" si="980"/>
        <v/>
      </c>
      <c r="BJ521" s="1381"/>
      <c r="BK521" s="1381"/>
      <c r="BL521" s="1381"/>
      <c r="BM521" s="1381"/>
      <c r="BN521" s="1381"/>
      <c r="BO521" s="1381"/>
      <c r="BP521" s="1381"/>
      <c r="BQ521" s="1381"/>
      <c r="BS521" s="1370">
        <f t="shared" si="947"/>
        <v>46371</v>
      </c>
      <c r="BT521" s="27" t="str">
        <f t="shared" si="1009"/>
        <v/>
      </c>
      <c r="BU521" s="1380"/>
      <c r="BV521" s="1380"/>
      <c r="BW521" s="1380"/>
      <c r="BX521" s="1380"/>
      <c r="BY521" s="1380"/>
      <c r="BZ521" s="1380"/>
      <c r="CA521" s="1380"/>
      <c r="CB521" s="1380"/>
      <c r="CD521" s="1386">
        <f t="shared" si="1002"/>
        <v>0</v>
      </c>
      <c r="DC521" s="16" t="str">
        <f>Décembre!FC34</f>
        <v>non</v>
      </c>
      <c r="DG521" s="315">
        <f t="shared" si="1003"/>
        <v>1</v>
      </c>
      <c r="DH521" s="129">
        <f t="shared" si="981"/>
        <v>10</v>
      </c>
      <c r="DI521" s="129">
        <f t="shared" si="1004"/>
        <v>1</v>
      </c>
      <c r="DK521" s="16">
        <f>+IF(AND(Décembre!$DP$8&lt;&gt;52,AR521=S.CAL!$BJ$4),10,1)</f>
        <v>1</v>
      </c>
      <c r="DN521" s="16">
        <f t="shared" si="982"/>
        <v>1</v>
      </c>
      <c r="DU521" s="1274" t="str">
        <f t="shared" si="1005"/>
        <v>Fiche infoA246371</v>
      </c>
      <c r="DV521" s="1362">
        <f t="shared" si="983"/>
        <v>0</v>
      </c>
      <c r="DW521" s="1363">
        <f t="shared" si="984"/>
        <v>0</v>
      </c>
      <c r="DX521" s="1363">
        <f t="shared" si="985"/>
        <v>0</v>
      </c>
      <c r="DY521" s="1363">
        <f t="shared" si="986"/>
        <v>0</v>
      </c>
      <c r="DZ521" s="1363">
        <f t="shared" si="987"/>
        <v>0</v>
      </c>
      <c r="EA521" s="1363">
        <f t="shared" si="988"/>
        <v>0</v>
      </c>
      <c r="EB521" s="1363">
        <f t="shared" si="989"/>
        <v>0</v>
      </c>
      <c r="EC521" s="1363">
        <f t="shared" si="990"/>
        <v>0</v>
      </c>
      <c r="ED521" s="1363">
        <f t="shared" si="1006"/>
        <v>0</v>
      </c>
      <c r="EE521" s="1364">
        <f t="shared" si="1007"/>
        <v>0</v>
      </c>
      <c r="EG521" s="16" t="str">
        <f t="shared" si="1008"/>
        <v>512026</v>
      </c>
      <c r="EH521" s="16" t="str">
        <f t="shared" si="991"/>
        <v>Fiche infoA2</v>
      </c>
      <c r="EI521" s="16" t="str">
        <f t="shared" si="992"/>
        <v/>
      </c>
    </row>
    <row r="522" spans="1:139" x14ac:dyDescent="0.2">
      <c r="A522" s="1373" t="str">
        <f>Décembre!BJ35</f>
        <v>Fiche infoA3</v>
      </c>
      <c r="B522" s="811">
        <f>Décembre!AB35</f>
        <v>46372</v>
      </c>
      <c r="C522" s="1372"/>
      <c r="D522" s="981">
        <f t="shared" si="948"/>
        <v>0</v>
      </c>
      <c r="E522" s="434">
        <f t="shared" si="949"/>
        <v>0</v>
      </c>
      <c r="F522" s="434">
        <f t="shared" si="950"/>
        <v>0</v>
      </c>
      <c r="G522" s="434">
        <f t="shared" si="951"/>
        <v>0</v>
      </c>
      <c r="H522" s="434">
        <f t="shared" si="952"/>
        <v>0</v>
      </c>
      <c r="I522" s="434">
        <f t="shared" si="953"/>
        <v>0</v>
      </c>
      <c r="J522" s="434">
        <f t="shared" si="954"/>
        <v>0</v>
      </c>
      <c r="K522" s="434">
        <f t="shared" si="955"/>
        <v>0</v>
      </c>
      <c r="L522" s="434">
        <f t="shared" si="993"/>
        <v>0</v>
      </c>
      <c r="M522" s="982">
        <f t="shared" si="994"/>
        <v>0</v>
      </c>
      <c r="N522" s="1374"/>
      <c r="O522" s="981">
        <f t="shared" si="1010"/>
        <v>0</v>
      </c>
      <c r="P522" s="434">
        <f t="shared" si="1011"/>
        <v>0</v>
      </c>
      <c r="Q522" s="434">
        <f t="shared" si="1012"/>
        <v>0</v>
      </c>
      <c r="R522" s="434">
        <f t="shared" si="1013"/>
        <v>0</v>
      </c>
      <c r="S522" s="434">
        <f t="shared" si="1014"/>
        <v>0</v>
      </c>
      <c r="T522" s="434">
        <f t="shared" si="1015"/>
        <v>0</v>
      </c>
      <c r="U522" s="434">
        <f t="shared" si="1016"/>
        <v>0</v>
      </c>
      <c r="V522" s="434">
        <f t="shared" si="1017"/>
        <v>0</v>
      </c>
      <c r="W522" s="434">
        <f t="shared" si="964"/>
        <v>0</v>
      </c>
      <c r="X522" s="982">
        <f t="shared" si="965"/>
        <v>0</v>
      </c>
      <c r="Y522" s="1375"/>
      <c r="Z522" s="1376">
        <f t="shared" si="966"/>
        <v>0</v>
      </c>
      <c r="AA522" s="1376">
        <f t="shared" si="967"/>
        <v>0</v>
      </c>
      <c r="AB522" s="1376">
        <f t="shared" si="968"/>
        <v>0</v>
      </c>
      <c r="AC522" s="1376">
        <f t="shared" si="969"/>
        <v>0</v>
      </c>
      <c r="AD522" s="1376">
        <f t="shared" si="970"/>
        <v>0</v>
      </c>
      <c r="AE522" s="1376">
        <f t="shared" si="971"/>
        <v>0</v>
      </c>
      <c r="AF522" s="1376">
        <f t="shared" si="972"/>
        <v>0</v>
      </c>
      <c r="AG522" s="1376">
        <f t="shared" si="973"/>
        <v>0</v>
      </c>
      <c r="AH522" s="1374"/>
      <c r="AI522" s="444">
        <f t="shared" si="1018"/>
        <v>0</v>
      </c>
      <c r="AJ522" s="1090"/>
      <c r="AK522" s="1377"/>
      <c r="AL522" s="811">
        <f t="shared" si="975"/>
        <v>46372</v>
      </c>
      <c r="AM522" s="666">
        <f>IFERROR(IF(AND(AT522="",AR522&lt;&gt;S.CAL!$BJ$3,AR522&lt;&gt;S.CAL!$BJ$4,$AR$500="NON"),M522-BD522,IF(AND(AT522="",AR522&lt;&gt;S.CAL!$BJ$3,AR522&lt;&gt;S.CAL!$BJ$4,$AR$500="OUI"),X522-AI522,IF(AT522&lt;&gt;0,AT522,IF(OR(AR522=S.CAL!$BJ$3,AR522=S.CAL!$BJ$4),AR522,"")))),"")</f>
        <v>0</v>
      </c>
      <c r="AN522" s="1093"/>
      <c r="AO522" s="1094"/>
      <c r="AP522" s="666">
        <f>+IF(AND(AU522="",BB522="OUI",BH522="non",BI522="OUI"),AM522,IF(AND(AU522="",BB522="OUI",BH522="oui",BI522="NON"),AM522,IF(AND(AU522="",BB522="NON",BH522="oui",BI522="NON"),M522,IF(AND(AU522="",BB522="NON",BH522="non",BI522="OUI"),M522,IF(AND(AU522="",BB522="OUI",BH522="non",BI522="NON"),"ERREUR",IF(AND(AU522="",BB522="NON",BH522="non",BI522="NON"),AM522,IF(AND(AU522="",BB522="OUI",BH522="",BI522=""),AM522,IF(AND(AU522="",BB522="NON",BH522="",BI522="",AZ522="NON"),M522,IF(AND(AU522="",BH522="",AZ522="OUI",AR522=""),AM522,IF(AND(AU522="",BH522="",AZ522="NON",AR522="",AT522=""),M522,IF(AND(OR(AR522=S.CAL!$BJ$3,AR522=S.CAL!$BJ$4),(VLOOKUP($AM$500,base_nbre_sem_mensu,2,FALSE)=52)),EE522,IF(AND(OR(AR522=S.CAL!$BJ$3,AR522=S.CAL!$BJ$4),(VLOOKUP($AM$500,base_nbre_sem_mensu,2,FALSE)&lt;52)),AM522,IF(AND(AT522&lt;&gt;"",AU522=""),AT522,AU522)))))))))))))</f>
        <v>0</v>
      </c>
      <c r="AQ522" s="1378">
        <f t="shared" si="995"/>
        <v>0</v>
      </c>
      <c r="AR522" s="1098"/>
      <c r="AS522" s="1374"/>
      <c r="AT522" s="1101"/>
      <c r="AU522" s="813"/>
      <c r="AV522" s="1370">
        <f t="shared" si="976"/>
        <v>46372</v>
      </c>
      <c r="AW522" s="1374"/>
      <c r="AX522" s="511">
        <f t="shared" si="996"/>
        <v>46372</v>
      </c>
      <c r="AY522" s="523">
        <f t="shared" si="997"/>
        <v>0</v>
      </c>
      <c r="AZ522" s="520" t="s">
        <v>137</v>
      </c>
      <c r="BA522" s="516">
        <f t="shared" si="998"/>
        <v>0</v>
      </c>
      <c r="BB522" s="549" t="str">
        <f t="shared" si="977"/>
        <v/>
      </c>
      <c r="BC522" s="523">
        <f t="shared" si="999"/>
        <v>0</v>
      </c>
      <c r="BD522" s="523">
        <f t="shared" si="1000"/>
        <v>0</v>
      </c>
      <c r="BE522" s="1104"/>
      <c r="BF522" s="514" t="str">
        <f t="shared" si="978"/>
        <v/>
      </c>
      <c r="BG522" s="514" t="str">
        <f t="shared" si="1001"/>
        <v>oui</v>
      </c>
      <c r="BH522" s="377" t="str">
        <f t="shared" si="979"/>
        <v/>
      </c>
      <c r="BI522" s="24" t="str">
        <f t="shared" si="980"/>
        <v/>
      </c>
      <c r="BJ522" s="1382"/>
      <c r="BK522" s="1382"/>
      <c r="BL522" s="1382"/>
      <c r="BM522" s="1382"/>
      <c r="BN522" s="1382"/>
      <c r="BO522" s="1382"/>
      <c r="BP522" s="1382"/>
      <c r="BQ522" s="1382"/>
      <c r="BR522" s="1383"/>
      <c r="BS522" s="1370">
        <f t="shared" si="947"/>
        <v>46372</v>
      </c>
      <c r="BT522" s="1384" t="str">
        <f t="shared" si="1009"/>
        <v/>
      </c>
      <c r="BU522" s="1382"/>
      <c r="BV522" s="1382"/>
      <c r="BW522" s="1382"/>
      <c r="BX522" s="1382"/>
      <c r="BY522" s="1382"/>
      <c r="BZ522" s="1382"/>
      <c r="CA522" s="1382"/>
      <c r="CB522" s="1382"/>
      <c r="CD522" s="1386">
        <f t="shared" si="1002"/>
        <v>0</v>
      </c>
      <c r="DC522" s="16" t="str">
        <f>Décembre!FC35</f>
        <v>non</v>
      </c>
      <c r="DG522" s="315">
        <f t="shared" si="1003"/>
        <v>1</v>
      </c>
      <c r="DH522" s="129">
        <f t="shared" si="981"/>
        <v>10</v>
      </c>
      <c r="DI522" s="129">
        <f t="shared" si="1004"/>
        <v>1</v>
      </c>
      <c r="DK522" s="16">
        <f>+IF(AND(Décembre!$DP$8&lt;&gt;52,AR522=S.CAL!$BJ$4),10,1)</f>
        <v>1</v>
      </c>
      <c r="DN522" s="16">
        <f t="shared" si="982"/>
        <v>1</v>
      </c>
      <c r="DU522" s="1274" t="str">
        <f t="shared" si="1005"/>
        <v>Fiche infoA346372</v>
      </c>
      <c r="DV522" s="1362">
        <f t="shared" si="983"/>
        <v>0</v>
      </c>
      <c r="DW522" s="1363">
        <f t="shared" si="984"/>
        <v>0</v>
      </c>
      <c r="DX522" s="1363">
        <f t="shared" si="985"/>
        <v>0</v>
      </c>
      <c r="DY522" s="1363">
        <f t="shared" si="986"/>
        <v>0</v>
      </c>
      <c r="DZ522" s="1363">
        <f t="shared" si="987"/>
        <v>0</v>
      </c>
      <c r="EA522" s="1363">
        <f t="shared" si="988"/>
        <v>0</v>
      </c>
      <c r="EB522" s="1363">
        <f t="shared" si="989"/>
        <v>0</v>
      </c>
      <c r="EC522" s="1363">
        <f t="shared" si="990"/>
        <v>0</v>
      </c>
      <c r="ED522" s="1363">
        <f t="shared" si="1006"/>
        <v>0</v>
      </c>
      <c r="EE522" s="1364">
        <f t="shared" si="1007"/>
        <v>0</v>
      </c>
      <c r="EG522" s="16" t="str">
        <f t="shared" si="1008"/>
        <v>512026</v>
      </c>
      <c r="EH522" s="16" t="str">
        <f t="shared" si="991"/>
        <v>Fiche infoA3</v>
      </c>
      <c r="EI522" s="16" t="str">
        <f t="shared" si="992"/>
        <v/>
      </c>
    </row>
    <row r="523" spans="1:139" x14ac:dyDescent="0.2">
      <c r="A523" s="24" t="str">
        <f>Décembre!BJ36</f>
        <v>Fiche infoA4</v>
      </c>
      <c r="B523" s="811">
        <f>Décembre!AB36</f>
        <v>46373</v>
      </c>
      <c r="C523" s="1371"/>
      <c r="D523" s="981">
        <f t="shared" si="948"/>
        <v>0</v>
      </c>
      <c r="E523" s="434">
        <f t="shared" si="949"/>
        <v>0</v>
      </c>
      <c r="F523" s="434">
        <f t="shared" si="950"/>
        <v>0</v>
      </c>
      <c r="G523" s="434">
        <f t="shared" si="951"/>
        <v>0</v>
      </c>
      <c r="H523" s="434">
        <f t="shared" si="952"/>
        <v>0</v>
      </c>
      <c r="I523" s="434">
        <f t="shared" si="953"/>
        <v>0</v>
      </c>
      <c r="J523" s="434">
        <f t="shared" si="954"/>
        <v>0</v>
      </c>
      <c r="K523" s="434">
        <f t="shared" si="955"/>
        <v>0</v>
      </c>
      <c r="L523" s="434">
        <f t="shared" si="993"/>
        <v>0</v>
      </c>
      <c r="M523" s="982">
        <f t="shared" si="994"/>
        <v>0</v>
      </c>
      <c r="O523" s="981">
        <f t="shared" si="1010"/>
        <v>0</v>
      </c>
      <c r="P523" s="434">
        <f t="shared" si="1011"/>
        <v>0</v>
      </c>
      <c r="Q523" s="434">
        <f t="shared" si="1012"/>
        <v>0</v>
      </c>
      <c r="R523" s="434">
        <f t="shared" si="1013"/>
        <v>0</v>
      </c>
      <c r="S523" s="434">
        <f t="shared" si="1014"/>
        <v>0</v>
      </c>
      <c r="T523" s="434">
        <f t="shared" si="1015"/>
        <v>0</v>
      </c>
      <c r="U523" s="434">
        <f t="shared" si="1016"/>
        <v>0</v>
      </c>
      <c r="V523" s="434">
        <f t="shared" si="1017"/>
        <v>0</v>
      </c>
      <c r="W523" s="434">
        <f t="shared" si="964"/>
        <v>0</v>
      </c>
      <c r="X523" s="982">
        <f t="shared" si="965"/>
        <v>0</v>
      </c>
      <c r="Y523" s="441"/>
      <c r="Z523" s="277">
        <f t="shared" si="966"/>
        <v>0</v>
      </c>
      <c r="AA523" s="277">
        <f t="shared" si="967"/>
        <v>0</v>
      </c>
      <c r="AB523" s="277">
        <f t="shared" si="968"/>
        <v>0</v>
      </c>
      <c r="AC523" s="277">
        <f t="shared" si="969"/>
        <v>0</v>
      </c>
      <c r="AD523" s="277">
        <f t="shared" si="970"/>
        <v>0</v>
      </c>
      <c r="AE523" s="277">
        <f t="shared" si="971"/>
        <v>0</v>
      </c>
      <c r="AF523" s="277">
        <f t="shared" si="972"/>
        <v>0</v>
      </c>
      <c r="AG523" s="277">
        <f t="shared" si="973"/>
        <v>0</v>
      </c>
      <c r="AI523" s="444">
        <f t="shared" si="1018"/>
        <v>0</v>
      </c>
      <c r="AJ523" s="1090"/>
      <c r="AK523" s="489"/>
      <c r="AL523" s="811">
        <f t="shared" si="975"/>
        <v>46373</v>
      </c>
      <c r="AM523" s="666">
        <f>IFERROR(IF(AND(AT523="",AR523&lt;&gt;S.CAL!$BJ$3,AR523&lt;&gt;S.CAL!$BJ$4,$AR$500="NON"),M523-BD523,IF(AND(AT523="",AR523&lt;&gt;S.CAL!$BJ$3,AR523&lt;&gt;S.CAL!$BJ$4,$AR$500="OUI"),X523-AI523,IF(AT523&lt;&gt;0,AT523,IF(OR(AR523=S.CAL!$BJ$3,AR523=S.CAL!$BJ$4),AR523,"")))),"")</f>
        <v>0</v>
      </c>
      <c r="AN523" s="1093"/>
      <c r="AO523" s="1094"/>
      <c r="AP523" s="666">
        <f>+IF(AND(AU523="",BB523="OUI",BH523="non",BI523="OUI"),AM523,IF(AND(AU523="",BB523="OUI",BH523="oui",BI523="NON"),AM523,IF(AND(AU523="",BB523="NON",BH523="oui",BI523="NON"),M523,IF(AND(AU523="",BB523="NON",BH523="non",BI523="OUI"),M523,IF(AND(AU523="",BB523="OUI",BH523="non",BI523="NON"),"ERREUR",IF(AND(AU523="",BB523="NON",BH523="non",BI523="NON"),AM523,IF(AND(AU523="",BB523="OUI",BH523="",BI523=""),AM523,IF(AND(AU523="",BB523="NON",BH523="",BI523="",AZ523="NON"),M523,IF(AND(AU523="",BH523="",AZ523="OUI",AR523=""),AM523,IF(AND(AU523="",BH523="",AZ523="NON",AR523="",AT523=""),M523,IF(AND(OR(AR523=S.CAL!$BJ$3,AR523=S.CAL!$BJ$4),(VLOOKUP($AM$500,base_nbre_sem_mensu,2,FALSE)=52)),EE523,IF(AND(OR(AR523=S.CAL!$BJ$3,AR523=S.CAL!$BJ$4),(VLOOKUP($AM$500,base_nbre_sem_mensu,2,FALSE)&lt;52)),AM523,IF(AND(AT523&lt;&gt;"",AU523=""),AT523,AU523)))))))))))))</f>
        <v>0</v>
      </c>
      <c r="AQ523" s="498">
        <f t="shared" si="995"/>
        <v>0</v>
      </c>
      <c r="AR523" s="1098"/>
      <c r="AT523" s="1101"/>
      <c r="AU523" s="813"/>
      <c r="AV523" s="1370">
        <f t="shared" si="976"/>
        <v>46373</v>
      </c>
      <c r="AX523" s="511">
        <f t="shared" si="996"/>
        <v>46373</v>
      </c>
      <c r="AY523" s="523">
        <f t="shared" si="997"/>
        <v>0</v>
      </c>
      <c r="AZ523" s="520" t="s">
        <v>137</v>
      </c>
      <c r="BA523" s="516">
        <f t="shared" si="998"/>
        <v>0</v>
      </c>
      <c r="BB523" s="549" t="str">
        <f t="shared" si="977"/>
        <v/>
      </c>
      <c r="BC523" s="523">
        <f t="shared" si="999"/>
        <v>0</v>
      </c>
      <c r="BD523" s="523">
        <f t="shared" si="1000"/>
        <v>0</v>
      </c>
      <c r="BE523" s="1104"/>
      <c r="BF523" s="514" t="str">
        <f t="shared" si="978"/>
        <v/>
      </c>
      <c r="BG523" s="514" t="str">
        <f t="shared" si="1001"/>
        <v>oui</v>
      </c>
      <c r="BH523" s="377" t="str">
        <f t="shared" si="979"/>
        <v/>
      </c>
      <c r="BI523" s="24" t="str">
        <f t="shared" si="980"/>
        <v/>
      </c>
      <c r="BJ523" s="1381"/>
      <c r="BK523" s="1381"/>
      <c r="BL523" s="1381"/>
      <c r="BM523" s="1381"/>
      <c r="BN523" s="1381"/>
      <c r="BO523" s="1381"/>
      <c r="BP523" s="1381"/>
      <c r="BQ523" s="1381"/>
      <c r="BS523" s="1370">
        <f t="shared" si="947"/>
        <v>46373</v>
      </c>
      <c r="BT523" s="27" t="str">
        <f t="shared" si="1009"/>
        <v/>
      </c>
      <c r="BU523" s="1380"/>
      <c r="BV523" s="1380"/>
      <c r="BW523" s="1380"/>
      <c r="BX523" s="1380"/>
      <c r="BY523" s="1380"/>
      <c r="BZ523" s="1380"/>
      <c r="CA523" s="1380"/>
      <c r="CB523" s="1380"/>
      <c r="CD523" s="1386">
        <f t="shared" si="1002"/>
        <v>0</v>
      </c>
      <c r="DC523" s="16" t="str">
        <f>Décembre!FC36</f>
        <v>non</v>
      </c>
      <c r="DG523" s="315">
        <f t="shared" si="1003"/>
        <v>1</v>
      </c>
      <c r="DH523" s="129">
        <f t="shared" si="981"/>
        <v>10</v>
      </c>
      <c r="DI523" s="129">
        <f t="shared" si="1004"/>
        <v>1</v>
      </c>
      <c r="DK523" s="16">
        <f>+IF(AND(Décembre!$DP$8&lt;&gt;52,AR523=S.CAL!$BJ$4),10,1)</f>
        <v>1</v>
      </c>
      <c r="DN523" s="16">
        <f t="shared" si="982"/>
        <v>1</v>
      </c>
      <c r="DU523" s="1274" t="str">
        <f t="shared" si="1005"/>
        <v>Fiche infoA446373</v>
      </c>
      <c r="DV523" s="1362">
        <f t="shared" si="983"/>
        <v>0</v>
      </c>
      <c r="DW523" s="1363">
        <f t="shared" si="984"/>
        <v>0</v>
      </c>
      <c r="DX523" s="1363">
        <f t="shared" si="985"/>
        <v>0</v>
      </c>
      <c r="DY523" s="1363">
        <f t="shared" si="986"/>
        <v>0</v>
      </c>
      <c r="DZ523" s="1363">
        <f t="shared" si="987"/>
        <v>0</v>
      </c>
      <c r="EA523" s="1363">
        <f t="shared" si="988"/>
        <v>0</v>
      </c>
      <c r="EB523" s="1363">
        <f t="shared" si="989"/>
        <v>0</v>
      </c>
      <c r="EC523" s="1363">
        <f t="shared" si="990"/>
        <v>0</v>
      </c>
      <c r="ED523" s="1363">
        <f t="shared" si="1006"/>
        <v>0</v>
      </c>
      <c r="EE523" s="1364">
        <f t="shared" si="1007"/>
        <v>0</v>
      </c>
      <c r="EG523" s="16" t="str">
        <f t="shared" si="1008"/>
        <v>512026</v>
      </c>
      <c r="EH523" s="16" t="str">
        <f t="shared" si="991"/>
        <v>Fiche infoA4</v>
      </c>
      <c r="EI523" s="16" t="str">
        <f t="shared" si="992"/>
        <v/>
      </c>
    </row>
    <row r="524" spans="1:139" x14ac:dyDescent="0.2">
      <c r="A524" s="1373" t="str">
        <f>Décembre!BJ37</f>
        <v>Fiche infoA5</v>
      </c>
      <c r="B524" s="811">
        <f>Décembre!AB37</f>
        <v>46374</v>
      </c>
      <c r="C524" s="1372"/>
      <c r="D524" s="981">
        <f t="shared" si="948"/>
        <v>0</v>
      </c>
      <c r="E524" s="434">
        <f t="shared" si="949"/>
        <v>0</v>
      </c>
      <c r="F524" s="434">
        <f t="shared" si="950"/>
        <v>0</v>
      </c>
      <c r="G524" s="434">
        <f t="shared" si="951"/>
        <v>0</v>
      </c>
      <c r="H524" s="434">
        <f t="shared" si="952"/>
        <v>0</v>
      </c>
      <c r="I524" s="434">
        <f t="shared" si="953"/>
        <v>0</v>
      </c>
      <c r="J524" s="434">
        <f t="shared" si="954"/>
        <v>0</v>
      </c>
      <c r="K524" s="434">
        <f t="shared" si="955"/>
        <v>0</v>
      </c>
      <c r="L524" s="434">
        <f t="shared" si="993"/>
        <v>0</v>
      </c>
      <c r="M524" s="982">
        <f t="shared" si="994"/>
        <v>0</v>
      </c>
      <c r="N524" s="1374"/>
      <c r="O524" s="981">
        <f t="shared" si="1010"/>
        <v>0</v>
      </c>
      <c r="P524" s="434">
        <f t="shared" si="1011"/>
        <v>0</v>
      </c>
      <c r="Q524" s="434">
        <f t="shared" si="1012"/>
        <v>0</v>
      </c>
      <c r="R524" s="434">
        <f t="shared" si="1013"/>
        <v>0</v>
      </c>
      <c r="S524" s="434">
        <f t="shared" si="1014"/>
        <v>0</v>
      </c>
      <c r="T524" s="434">
        <f t="shared" si="1015"/>
        <v>0</v>
      </c>
      <c r="U524" s="434">
        <f t="shared" si="1016"/>
        <v>0</v>
      </c>
      <c r="V524" s="434">
        <f t="shared" si="1017"/>
        <v>0</v>
      </c>
      <c r="W524" s="434">
        <f t="shared" si="964"/>
        <v>0</v>
      </c>
      <c r="X524" s="982">
        <f t="shared" si="965"/>
        <v>0</v>
      </c>
      <c r="Y524" s="1375"/>
      <c r="Z524" s="1376">
        <f t="shared" si="966"/>
        <v>0</v>
      </c>
      <c r="AA524" s="1376">
        <f t="shared" si="967"/>
        <v>0</v>
      </c>
      <c r="AB524" s="1376">
        <f t="shared" si="968"/>
        <v>0</v>
      </c>
      <c r="AC524" s="1376">
        <f t="shared" si="969"/>
        <v>0</v>
      </c>
      <c r="AD524" s="1376">
        <f t="shared" si="970"/>
        <v>0</v>
      </c>
      <c r="AE524" s="1376">
        <f t="shared" si="971"/>
        <v>0</v>
      </c>
      <c r="AF524" s="1376">
        <f t="shared" si="972"/>
        <v>0</v>
      </c>
      <c r="AG524" s="1376">
        <f t="shared" si="973"/>
        <v>0</v>
      </c>
      <c r="AH524" s="1374"/>
      <c r="AI524" s="444">
        <f t="shared" si="1018"/>
        <v>0</v>
      </c>
      <c r="AJ524" s="1090"/>
      <c r="AK524" s="1377"/>
      <c r="AL524" s="811">
        <f t="shared" si="975"/>
        <v>46374</v>
      </c>
      <c r="AM524" s="666">
        <f>IFERROR(IF(AND(AT524="",AR524&lt;&gt;S.CAL!$BJ$3,AR524&lt;&gt;S.CAL!$BJ$4,$AR$500="NON"),M524-BD524,IF(AND(AT524="",AR524&lt;&gt;S.CAL!$BJ$3,AR524&lt;&gt;S.CAL!$BJ$4,$AR$500="OUI"),X524-AI524,IF(AT524&lt;&gt;0,AT524,IF(OR(AR524=S.CAL!$BJ$3,AR524=S.CAL!$BJ$4),AR524,"")))),"")</f>
        <v>0</v>
      </c>
      <c r="AN524" s="1093"/>
      <c r="AO524" s="1094"/>
      <c r="AP524" s="666">
        <f>+IF(AND(AU524="",BB524="OUI",BH524="non",BI524="OUI"),AM524,IF(AND(AU524="",BB524="OUI",BH524="oui",BI524="NON"),AM524,IF(AND(AU524="",BB524="NON",BH524="oui",BI524="NON"),M524,IF(AND(AU524="",BB524="NON",BH524="non",BI524="OUI"),M524,IF(AND(AU524="",BB524="OUI",BH524="non",BI524="NON"),"ERREUR",IF(AND(AU524="",BB524="NON",BH524="non",BI524="NON"),AM524,IF(AND(AU524="",BB524="OUI",BH524="",BI524=""),AM524,IF(AND(AU524="",BB524="NON",BH524="",BI524="",AZ524="NON"),M524,IF(AND(AU524="",BH524="",AZ524="OUI",AR524=""),AM524,IF(AND(AU524="",BH524="",AZ524="NON",AR524="",AT524=""),M524,IF(AND(OR(AR524=S.CAL!$BJ$3,AR524=S.CAL!$BJ$4),(VLOOKUP($AM$500,base_nbre_sem_mensu,2,FALSE)=52)),EE524,IF(AND(OR(AR524=S.CAL!$BJ$3,AR524=S.CAL!$BJ$4),(VLOOKUP($AM$500,base_nbre_sem_mensu,2,FALSE)&lt;52)),AM524,IF(AND(AT524&lt;&gt;"",AU524=""),AT524,AU524)))))))))))))</f>
        <v>0</v>
      </c>
      <c r="AQ524" s="1378">
        <f t="shared" si="995"/>
        <v>0</v>
      </c>
      <c r="AR524" s="1098"/>
      <c r="AS524" s="1374"/>
      <c r="AT524" s="1101"/>
      <c r="AU524" s="813"/>
      <c r="AV524" s="1370">
        <f t="shared" si="976"/>
        <v>46374</v>
      </c>
      <c r="AW524" s="1374"/>
      <c r="AX524" s="511">
        <f t="shared" si="996"/>
        <v>46374</v>
      </c>
      <c r="AY524" s="523">
        <f t="shared" si="997"/>
        <v>0</v>
      </c>
      <c r="AZ524" s="520" t="s">
        <v>137</v>
      </c>
      <c r="BA524" s="516">
        <f t="shared" si="998"/>
        <v>0</v>
      </c>
      <c r="BB524" s="549" t="str">
        <f t="shared" si="977"/>
        <v/>
      </c>
      <c r="BC524" s="523">
        <f t="shared" si="999"/>
        <v>0</v>
      </c>
      <c r="BD524" s="523">
        <f t="shared" si="1000"/>
        <v>0</v>
      </c>
      <c r="BE524" s="1104"/>
      <c r="BF524" s="514" t="str">
        <f t="shared" si="978"/>
        <v/>
      </c>
      <c r="BG524" s="514" t="str">
        <f t="shared" si="1001"/>
        <v>oui</v>
      </c>
      <c r="BH524" s="377" t="str">
        <f t="shared" si="979"/>
        <v/>
      </c>
      <c r="BI524" s="24" t="str">
        <f t="shared" si="980"/>
        <v/>
      </c>
      <c r="BJ524" s="1382"/>
      <c r="BK524" s="1382"/>
      <c r="BL524" s="1382"/>
      <c r="BM524" s="1382"/>
      <c r="BN524" s="1382"/>
      <c r="BO524" s="1382"/>
      <c r="BP524" s="1382"/>
      <c r="BQ524" s="1382"/>
      <c r="BR524" s="1383"/>
      <c r="BS524" s="1370">
        <f t="shared" si="947"/>
        <v>46374</v>
      </c>
      <c r="BT524" s="1384" t="str">
        <f t="shared" si="1009"/>
        <v/>
      </c>
      <c r="BU524" s="1382"/>
      <c r="BV524" s="1382"/>
      <c r="BW524" s="1382"/>
      <c r="BX524" s="1382"/>
      <c r="BY524" s="1382"/>
      <c r="BZ524" s="1382"/>
      <c r="CA524" s="1382"/>
      <c r="CB524" s="1382"/>
      <c r="CD524" s="1386">
        <f t="shared" si="1002"/>
        <v>0</v>
      </c>
      <c r="DC524" s="16" t="str">
        <f>Décembre!FC37</f>
        <v>non</v>
      </c>
      <c r="DG524" s="315">
        <f t="shared" si="1003"/>
        <v>1</v>
      </c>
      <c r="DH524" s="129">
        <f t="shared" si="981"/>
        <v>10</v>
      </c>
      <c r="DI524" s="129">
        <f t="shared" si="1004"/>
        <v>1</v>
      </c>
      <c r="DK524" s="16">
        <f>+IF(AND(Décembre!$DP$8&lt;&gt;52,AR524=S.CAL!$BJ$4),10,1)</f>
        <v>1</v>
      </c>
      <c r="DN524" s="16">
        <f t="shared" si="982"/>
        <v>1</v>
      </c>
      <c r="DU524" s="1274" t="str">
        <f t="shared" si="1005"/>
        <v>Fiche infoA546374</v>
      </c>
      <c r="DV524" s="1362">
        <f t="shared" si="983"/>
        <v>0</v>
      </c>
      <c r="DW524" s="1363">
        <f t="shared" si="984"/>
        <v>0</v>
      </c>
      <c r="DX524" s="1363">
        <f t="shared" si="985"/>
        <v>0</v>
      </c>
      <c r="DY524" s="1363">
        <f t="shared" si="986"/>
        <v>0</v>
      </c>
      <c r="DZ524" s="1363">
        <f t="shared" si="987"/>
        <v>0</v>
      </c>
      <c r="EA524" s="1363">
        <f t="shared" si="988"/>
        <v>0</v>
      </c>
      <c r="EB524" s="1363">
        <f t="shared" si="989"/>
        <v>0</v>
      </c>
      <c r="EC524" s="1363">
        <f t="shared" si="990"/>
        <v>0</v>
      </c>
      <c r="ED524" s="1363">
        <f t="shared" si="1006"/>
        <v>0</v>
      </c>
      <c r="EE524" s="1364">
        <f t="shared" si="1007"/>
        <v>0</v>
      </c>
      <c r="EG524" s="16" t="str">
        <f t="shared" si="1008"/>
        <v>512026</v>
      </c>
      <c r="EH524" s="16" t="str">
        <f t="shared" si="991"/>
        <v>Fiche infoA5</v>
      </c>
      <c r="EI524" s="16" t="str">
        <f t="shared" si="992"/>
        <v/>
      </c>
    </row>
    <row r="525" spans="1:139" x14ac:dyDescent="0.2">
      <c r="A525" s="24" t="str">
        <f>Décembre!BJ38</f>
        <v>Fiche infoA6</v>
      </c>
      <c r="B525" s="811">
        <f>Décembre!AB38</f>
        <v>46375</v>
      </c>
      <c r="C525" s="1371"/>
      <c r="D525" s="981">
        <f t="shared" si="948"/>
        <v>0</v>
      </c>
      <c r="E525" s="434">
        <f t="shared" si="949"/>
        <v>0</v>
      </c>
      <c r="F525" s="434">
        <f t="shared" si="950"/>
        <v>0</v>
      </c>
      <c r="G525" s="434">
        <f t="shared" si="951"/>
        <v>0</v>
      </c>
      <c r="H525" s="434">
        <f t="shared" si="952"/>
        <v>0</v>
      </c>
      <c r="I525" s="434">
        <f t="shared" si="953"/>
        <v>0</v>
      </c>
      <c r="J525" s="434">
        <f t="shared" si="954"/>
        <v>0</v>
      </c>
      <c r="K525" s="434">
        <f t="shared" si="955"/>
        <v>0</v>
      </c>
      <c r="L525" s="434">
        <f t="shared" si="993"/>
        <v>0</v>
      </c>
      <c r="M525" s="982">
        <f t="shared" si="994"/>
        <v>0</v>
      </c>
      <c r="O525" s="981">
        <f t="shared" si="1010"/>
        <v>0</v>
      </c>
      <c r="P525" s="434">
        <f t="shared" si="1011"/>
        <v>0</v>
      </c>
      <c r="Q525" s="434">
        <f t="shared" si="1012"/>
        <v>0</v>
      </c>
      <c r="R525" s="434">
        <f t="shared" si="1013"/>
        <v>0</v>
      </c>
      <c r="S525" s="434">
        <f t="shared" si="1014"/>
        <v>0</v>
      </c>
      <c r="T525" s="434">
        <f t="shared" si="1015"/>
        <v>0</v>
      </c>
      <c r="U525" s="434">
        <f t="shared" si="1016"/>
        <v>0</v>
      </c>
      <c r="V525" s="434">
        <f t="shared" si="1017"/>
        <v>0</v>
      </c>
      <c r="W525" s="434">
        <f t="shared" si="964"/>
        <v>0</v>
      </c>
      <c r="X525" s="982">
        <f t="shared" si="965"/>
        <v>0</v>
      </c>
      <c r="Y525" s="441"/>
      <c r="Z525" s="277">
        <f t="shared" si="966"/>
        <v>0</v>
      </c>
      <c r="AA525" s="277">
        <f t="shared" si="967"/>
        <v>0</v>
      </c>
      <c r="AB525" s="277">
        <f t="shared" si="968"/>
        <v>0</v>
      </c>
      <c r="AC525" s="277">
        <f t="shared" si="969"/>
        <v>0</v>
      </c>
      <c r="AD525" s="277">
        <f t="shared" si="970"/>
        <v>0</v>
      </c>
      <c r="AE525" s="277">
        <f t="shared" si="971"/>
        <v>0</v>
      </c>
      <c r="AF525" s="277">
        <f t="shared" si="972"/>
        <v>0</v>
      </c>
      <c r="AG525" s="277">
        <f t="shared" si="973"/>
        <v>0</v>
      </c>
      <c r="AI525" s="444">
        <f t="shared" si="1018"/>
        <v>0</v>
      </c>
      <c r="AJ525" s="1090"/>
      <c r="AK525" s="489"/>
      <c r="AL525" s="811">
        <f t="shared" si="975"/>
        <v>46375</v>
      </c>
      <c r="AM525" s="666">
        <f>IFERROR(IF(AND(AT525="",AR525&lt;&gt;S.CAL!$BJ$3,AR525&lt;&gt;S.CAL!$BJ$4,$AR$500="NON"),M525-BD525,IF(AND(AT525="",AR525&lt;&gt;S.CAL!$BJ$3,AR525&lt;&gt;S.CAL!$BJ$4,$AR$500="OUI"),X525-AI525,IF(AT525&lt;&gt;0,AT525,IF(OR(AR525=S.CAL!$BJ$3,AR525=S.CAL!$BJ$4),AR525,"")))),"")</f>
        <v>0</v>
      </c>
      <c r="AN525" s="1093"/>
      <c r="AO525" s="1094"/>
      <c r="AP525" s="666">
        <f>+IF(AND(AU525="",BB525="OUI",BH525="non",BI525="OUI"),AM525,IF(AND(AU525="",BB525="OUI",BH525="oui",BI525="NON"),AM525,IF(AND(AU525="",BB525="NON",BH525="oui",BI525="NON"),M525,IF(AND(AU525="",BB525="NON",BH525="non",BI525="OUI"),M525,IF(AND(AU525="",BB525="OUI",BH525="non",BI525="NON"),"ERREUR",IF(AND(AU525="",BB525="NON",BH525="non",BI525="NON"),AM525,IF(AND(AU525="",BB525="OUI",BH525="",BI525=""),AM525,IF(AND(AU525="",BB525="NON",BH525="",BI525="",AZ525="NON"),M525,IF(AND(AU525="",BH525="",AZ525="OUI",AR525=""),AM525,IF(AND(AU525="",BH525="",AZ525="NON",AR525="",AT525=""),M525,IF(AND(OR(AR525=S.CAL!$BJ$3,AR525=S.CAL!$BJ$4),(VLOOKUP($AM$500,base_nbre_sem_mensu,2,FALSE)=52)),EE525,IF(AND(OR(AR525=S.CAL!$BJ$3,AR525=S.CAL!$BJ$4),(VLOOKUP($AM$500,base_nbre_sem_mensu,2,FALSE)&lt;52)),AM525,IF(AND(AT525&lt;&gt;"",AU525=""),AT525,AU525)))))))))))))</f>
        <v>0</v>
      </c>
      <c r="AQ525" s="498">
        <f t="shared" si="995"/>
        <v>0</v>
      </c>
      <c r="AR525" s="1098"/>
      <c r="AT525" s="1101"/>
      <c r="AU525" s="813"/>
      <c r="AV525" s="1370">
        <f t="shared" si="976"/>
        <v>46375</v>
      </c>
      <c r="AX525" s="511">
        <f t="shared" si="996"/>
        <v>46375</v>
      </c>
      <c r="AY525" s="523">
        <f t="shared" si="997"/>
        <v>0</v>
      </c>
      <c r="AZ525" s="520" t="s">
        <v>137</v>
      </c>
      <c r="BA525" s="516">
        <f t="shared" si="998"/>
        <v>0</v>
      </c>
      <c r="BB525" s="549" t="str">
        <f t="shared" si="977"/>
        <v/>
      </c>
      <c r="BC525" s="523">
        <f t="shared" si="999"/>
        <v>0</v>
      </c>
      <c r="BD525" s="523">
        <f t="shared" si="1000"/>
        <v>0</v>
      </c>
      <c r="BE525" s="1104"/>
      <c r="BF525" s="514" t="str">
        <f t="shared" si="978"/>
        <v/>
      </c>
      <c r="BG525" s="514" t="str">
        <f t="shared" si="1001"/>
        <v>oui</v>
      </c>
      <c r="BH525" s="377" t="str">
        <f t="shared" si="979"/>
        <v/>
      </c>
      <c r="BI525" s="24" t="str">
        <f t="shared" si="980"/>
        <v/>
      </c>
      <c r="BJ525" s="1381"/>
      <c r="BK525" s="1381"/>
      <c r="BL525" s="1381"/>
      <c r="BM525" s="1381"/>
      <c r="BN525" s="1381"/>
      <c r="BO525" s="1381"/>
      <c r="BP525" s="1381"/>
      <c r="BQ525" s="1381"/>
      <c r="BS525" s="1370">
        <f t="shared" si="947"/>
        <v>46375</v>
      </c>
      <c r="BT525" s="27" t="str">
        <f t="shared" si="1009"/>
        <v/>
      </c>
      <c r="BU525" s="1380"/>
      <c r="BV525" s="1380"/>
      <c r="BW525" s="1380"/>
      <c r="BX525" s="1380"/>
      <c r="BY525" s="1380"/>
      <c r="BZ525" s="1380"/>
      <c r="CA525" s="1380"/>
      <c r="CB525" s="1380"/>
      <c r="CD525" s="1386">
        <f t="shared" si="1002"/>
        <v>0</v>
      </c>
      <c r="DC525" s="16" t="str">
        <f>Décembre!FC38</f>
        <v>non</v>
      </c>
      <c r="DG525" s="315">
        <f t="shared" si="1003"/>
        <v>1</v>
      </c>
      <c r="DH525" s="129">
        <f t="shared" si="981"/>
        <v>10</v>
      </c>
      <c r="DI525" s="129">
        <f t="shared" si="1004"/>
        <v>1</v>
      </c>
      <c r="DK525" s="16">
        <f>+IF(AND(Décembre!$DP$8&lt;&gt;52,AR525=S.CAL!$BJ$4),10,1)</f>
        <v>1</v>
      </c>
      <c r="DN525" s="16">
        <f t="shared" si="982"/>
        <v>1</v>
      </c>
      <c r="DU525" s="1274" t="str">
        <f t="shared" si="1005"/>
        <v>Fiche infoA646375</v>
      </c>
      <c r="DV525" s="1362">
        <f t="shared" si="983"/>
        <v>0</v>
      </c>
      <c r="DW525" s="1363">
        <f t="shared" si="984"/>
        <v>0</v>
      </c>
      <c r="DX525" s="1363">
        <f t="shared" si="985"/>
        <v>0</v>
      </c>
      <c r="DY525" s="1363">
        <f t="shared" si="986"/>
        <v>0</v>
      </c>
      <c r="DZ525" s="1363">
        <f t="shared" si="987"/>
        <v>0</v>
      </c>
      <c r="EA525" s="1363">
        <f t="shared" si="988"/>
        <v>0</v>
      </c>
      <c r="EB525" s="1363">
        <f t="shared" si="989"/>
        <v>0</v>
      </c>
      <c r="EC525" s="1363">
        <f t="shared" si="990"/>
        <v>0</v>
      </c>
      <c r="ED525" s="1363">
        <f t="shared" si="1006"/>
        <v>0</v>
      </c>
      <c r="EE525" s="1364">
        <f t="shared" si="1007"/>
        <v>0</v>
      </c>
      <c r="EG525" s="16" t="str">
        <f t="shared" si="1008"/>
        <v>512026</v>
      </c>
      <c r="EH525" s="16" t="str">
        <f t="shared" si="991"/>
        <v>Fiche infoA6</v>
      </c>
      <c r="EI525" s="16" t="str">
        <f t="shared" si="992"/>
        <v/>
      </c>
    </row>
    <row r="526" spans="1:139" x14ac:dyDescent="0.2">
      <c r="A526" s="1373" t="str">
        <f>Décembre!BJ39</f>
        <v>Fiche infoA7</v>
      </c>
      <c r="B526" s="811">
        <f>Décembre!AB39</f>
        <v>46376</v>
      </c>
      <c r="C526" s="1372"/>
      <c r="D526" s="981">
        <f t="shared" si="948"/>
        <v>0</v>
      </c>
      <c r="E526" s="434">
        <f t="shared" si="949"/>
        <v>0</v>
      </c>
      <c r="F526" s="434">
        <f t="shared" si="950"/>
        <v>0</v>
      </c>
      <c r="G526" s="434">
        <f t="shared" si="951"/>
        <v>0</v>
      </c>
      <c r="H526" s="434">
        <f t="shared" si="952"/>
        <v>0</v>
      </c>
      <c r="I526" s="434">
        <f t="shared" si="953"/>
        <v>0</v>
      </c>
      <c r="J526" s="434">
        <f t="shared" si="954"/>
        <v>0</v>
      </c>
      <c r="K526" s="434">
        <f t="shared" si="955"/>
        <v>0</v>
      </c>
      <c r="L526" s="434">
        <f t="shared" si="993"/>
        <v>0</v>
      </c>
      <c r="M526" s="982">
        <f t="shared" si="994"/>
        <v>0</v>
      </c>
      <c r="N526" s="1374"/>
      <c r="O526" s="981">
        <f t="shared" si="1010"/>
        <v>0</v>
      </c>
      <c r="P526" s="434">
        <f t="shared" si="1011"/>
        <v>0</v>
      </c>
      <c r="Q526" s="434">
        <f t="shared" si="1012"/>
        <v>0</v>
      </c>
      <c r="R526" s="434">
        <f t="shared" si="1013"/>
        <v>0</v>
      </c>
      <c r="S526" s="434">
        <f t="shared" si="1014"/>
        <v>0</v>
      </c>
      <c r="T526" s="434">
        <f t="shared" si="1015"/>
        <v>0</v>
      </c>
      <c r="U526" s="434">
        <f t="shared" si="1016"/>
        <v>0</v>
      </c>
      <c r="V526" s="434">
        <f t="shared" si="1017"/>
        <v>0</v>
      </c>
      <c r="W526" s="434">
        <f t="shared" si="964"/>
        <v>0</v>
      </c>
      <c r="X526" s="982">
        <f t="shared" si="965"/>
        <v>0</v>
      </c>
      <c r="Y526" s="1375"/>
      <c r="Z526" s="1376">
        <f t="shared" si="966"/>
        <v>0</v>
      </c>
      <c r="AA526" s="1376">
        <f t="shared" si="967"/>
        <v>0</v>
      </c>
      <c r="AB526" s="1376">
        <f t="shared" si="968"/>
        <v>0</v>
      </c>
      <c r="AC526" s="1376">
        <f t="shared" si="969"/>
        <v>0</v>
      </c>
      <c r="AD526" s="1376">
        <f t="shared" si="970"/>
        <v>0</v>
      </c>
      <c r="AE526" s="1376">
        <f t="shared" si="971"/>
        <v>0</v>
      </c>
      <c r="AF526" s="1376">
        <f t="shared" si="972"/>
        <v>0</v>
      </c>
      <c r="AG526" s="1376">
        <f t="shared" si="973"/>
        <v>0</v>
      </c>
      <c r="AH526" s="1374"/>
      <c r="AI526" s="444">
        <f t="shared" si="1018"/>
        <v>0</v>
      </c>
      <c r="AJ526" s="1090"/>
      <c r="AK526" s="1377"/>
      <c r="AL526" s="811">
        <f t="shared" si="975"/>
        <v>46376</v>
      </c>
      <c r="AM526" s="666">
        <f>IFERROR(IF(AND(AT526="",AR526&lt;&gt;S.CAL!$BJ$3,AR526&lt;&gt;S.CAL!$BJ$4,$AR$500="NON"),M526-BD526,IF(AND(AT526="",AR526&lt;&gt;S.CAL!$BJ$3,AR526&lt;&gt;S.CAL!$BJ$4,$AR$500="OUI"),X526-AI526,IF(AT526&lt;&gt;0,AT526,IF(OR(AR526=S.CAL!$BJ$3,AR526=S.CAL!$BJ$4),AR526,"")))),"")</f>
        <v>0</v>
      </c>
      <c r="AN526" s="1093"/>
      <c r="AO526" s="1094"/>
      <c r="AP526" s="666">
        <f>+IF(AND(AU526="",BB526="OUI",BH526="non",BI526="OUI"),AM526,IF(AND(AU526="",BB526="OUI",BH526="oui",BI526="NON"),AM526,IF(AND(AU526="",BB526="NON",BH526="oui",BI526="NON"),M526,IF(AND(AU526="",BB526="NON",BH526="non",BI526="OUI"),M526,IF(AND(AU526="",BB526="OUI",BH526="non",BI526="NON"),"ERREUR",IF(AND(AU526="",BB526="NON",BH526="non",BI526="NON"),AM526,IF(AND(AU526="",BB526="OUI",BH526="",BI526=""),AM526,IF(AND(AU526="",BB526="NON",BH526="",BI526="",AZ526="NON"),M526,IF(AND(AU526="",BH526="",AZ526="OUI",AR526=""),AM526,IF(AND(AU526="",BH526="",AZ526="NON",AR526="",AT526=""),M526,IF(AND(OR(AR526=S.CAL!$BJ$3,AR526=S.CAL!$BJ$4),(VLOOKUP($AM$500,base_nbre_sem_mensu,2,FALSE)=52)),EE526,IF(AND(OR(AR526=S.CAL!$BJ$3,AR526=S.CAL!$BJ$4),(VLOOKUP($AM$500,base_nbre_sem_mensu,2,FALSE)&lt;52)),AM526,IF(AND(AT526&lt;&gt;"",AU526=""),AT526,AU526)))))))))))))</f>
        <v>0</v>
      </c>
      <c r="AQ526" s="1378">
        <f t="shared" si="995"/>
        <v>0</v>
      </c>
      <c r="AR526" s="1098"/>
      <c r="AS526" s="1374"/>
      <c r="AT526" s="1101"/>
      <c r="AU526" s="813"/>
      <c r="AV526" s="1370">
        <f t="shared" si="976"/>
        <v>46376</v>
      </c>
      <c r="AW526" s="1374"/>
      <c r="AX526" s="511">
        <f t="shared" si="996"/>
        <v>46376</v>
      </c>
      <c r="AY526" s="523">
        <f t="shared" si="997"/>
        <v>0</v>
      </c>
      <c r="AZ526" s="520" t="s">
        <v>137</v>
      </c>
      <c r="BA526" s="516">
        <f t="shared" si="998"/>
        <v>0</v>
      </c>
      <c r="BB526" s="549" t="str">
        <f t="shared" si="977"/>
        <v/>
      </c>
      <c r="BC526" s="523">
        <f t="shared" si="999"/>
        <v>0</v>
      </c>
      <c r="BD526" s="523">
        <f t="shared" si="1000"/>
        <v>0</v>
      </c>
      <c r="BE526" s="1104"/>
      <c r="BF526" s="514" t="str">
        <f t="shared" si="978"/>
        <v/>
      </c>
      <c r="BG526" s="514" t="str">
        <f t="shared" si="1001"/>
        <v>oui</v>
      </c>
      <c r="BH526" s="377" t="str">
        <f t="shared" si="979"/>
        <v/>
      </c>
      <c r="BI526" s="24" t="str">
        <f t="shared" si="980"/>
        <v/>
      </c>
      <c r="BJ526" s="1382"/>
      <c r="BK526" s="1382"/>
      <c r="BL526" s="1382"/>
      <c r="BM526" s="1382"/>
      <c r="BN526" s="1382"/>
      <c r="BO526" s="1382"/>
      <c r="BP526" s="1382"/>
      <c r="BQ526" s="1382"/>
      <c r="BR526" s="1383"/>
      <c r="BS526" s="1370">
        <f t="shared" si="947"/>
        <v>46376</v>
      </c>
      <c r="BT526" s="1384" t="str">
        <f t="shared" si="1009"/>
        <v/>
      </c>
      <c r="BU526" s="1382"/>
      <c r="BV526" s="1382"/>
      <c r="BW526" s="1382"/>
      <c r="BX526" s="1382"/>
      <c r="BY526" s="1382"/>
      <c r="BZ526" s="1382"/>
      <c r="CA526" s="1382"/>
      <c r="CB526" s="1382"/>
      <c r="CD526" s="1386">
        <f t="shared" si="1002"/>
        <v>0</v>
      </c>
      <c r="DC526" s="16" t="str">
        <f>Décembre!FC39</f>
        <v>non</v>
      </c>
      <c r="DG526" s="315">
        <f t="shared" si="1003"/>
        <v>1</v>
      </c>
      <c r="DH526" s="129">
        <f t="shared" si="981"/>
        <v>10</v>
      </c>
      <c r="DI526" s="129">
        <f t="shared" si="1004"/>
        <v>1</v>
      </c>
      <c r="DK526" s="16">
        <f>+IF(AND(Décembre!$DP$8&lt;&gt;52,AR526=S.CAL!$BJ$4),10,1)</f>
        <v>1</v>
      </c>
      <c r="DN526" s="16">
        <f t="shared" si="982"/>
        <v>1</v>
      </c>
      <c r="DU526" s="1274" t="str">
        <f t="shared" si="1005"/>
        <v>Fiche infoA746376</v>
      </c>
      <c r="DV526" s="1362">
        <f t="shared" si="983"/>
        <v>0</v>
      </c>
      <c r="DW526" s="1363">
        <f t="shared" si="984"/>
        <v>0</v>
      </c>
      <c r="DX526" s="1363">
        <f t="shared" si="985"/>
        <v>0</v>
      </c>
      <c r="DY526" s="1363">
        <f t="shared" si="986"/>
        <v>0</v>
      </c>
      <c r="DZ526" s="1363">
        <f t="shared" si="987"/>
        <v>0</v>
      </c>
      <c r="EA526" s="1363">
        <f t="shared" si="988"/>
        <v>0</v>
      </c>
      <c r="EB526" s="1363">
        <f t="shared" si="989"/>
        <v>0</v>
      </c>
      <c r="EC526" s="1363">
        <f t="shared" si="990"/>
        <v>0</v>
      </c>
      <c r="ED526" s="1363">
        <f t="shared" si="1006"/>
        <v>0</v>
      </c>
      <c r="EE526" s="1364">
        <f t="shared" si="1007"/>
        <v>0</v>
      </c>
      <c r="EG526" s="16" t="str">
        <f t="shared" si="1008"/>
        <v>512026</v>
      </c>
      <c r="EH526" s="16" t="str">
        <f t="shared" si="991"/>
        <v>Fiche infoA7</v>
      </c>
      <c r="EI526" s="16" t="str">
        <f t="shared" si="992"/>
        <v/>
      </c>
    </row>
    <row r="527" spans="1:139" x14ac:dyDescent="0.2">
      <c r="A527" s="24" t="str">
        <f>Décembre!BJ40</f>
        <v>Fiche infoA1</v>
      </c>
      <c r="B527" s="811">
        <f>Décembre!AB40</f>
        <v>46377</v>
      </c>
      <c r="C527" s="1371"/>
      <c r="D527" s="981">
        <f t="shared" si="948"/>
        <v>0</v>
      </c>
      <c r="E527" s="434">
        <f t="shared" si="949"/>
        <v>0</v>
      </c>
      <c r="F527" s="434">
        <f t="shared" si="950"/>
        <v>0</v>
      </c>
      <c r="G527" s="434">
        <f t="shared" si="951"/>
        <v>0</v>
      </c>
      <c r="H527" s="434">
        <f t="shared" si="952"/>
        <v>0</v>
      </c>
      <c r="I527" s="434">
        <f t="shared" si="953"/>
        <v>0</v>
      </c>
      <c r="J527" s="434">
        <f t="shared" si="954"/>
        <v>0</v>
      </c>
      <c r="K527" s="434">
        <f t="shared" si="955"/>
        <v>0</v>
      </c>
      <c r="L527" s="434">
        <f t="shared" si="993"/>
        <v>0</v>
      </c>
      <c r="M527" s="982">
        <f t="shared" si="994"/>
        <v>0</v>
      </c>
      <c r="O527" s="981">
        <f t="shared" si="1010"/>
        <v>0</v>
      </c>
      <c r="P527" s="434">
        <f t="shared" si="1011"/>
        <v>0</v>
      </c>
      <c r="Q527" s="434">
        <f t="shared" si="1012"/>
        <v>0</v>
      </c>
      <c r="R527" s="434">
        <f t="shared" si="1013"/>
        <v>0</v>
      </c>
      <c r="S527" s="434">
        <f t="shared" si="1014"/>
        <v>0</v>
      </c>
      <c r="T527" s="434">
        <f t="shared" si="1015"/>
        <v>0</v>
      </c>
      <c r="U527" s="434">
        <f t="shared" si="1016"/>
        <v>0</v>
      </c>
      <c r="V527" s="434">
        <f t="shared" si="1017"/>
        <v>0</v>
      </c>
      <c r="W527" s="434">
        <f t="shared" si="964"/>
        <v>0</v>
      </c>
      <c r="X527" s="982">
        <f t="shared" si="965"/>
        <v>0</v>
      </c>
      <c r="Y527" s="441"/>
      <c r="Z527" s="277">
        <f t="shared" si="966"/>
        <v>0</v>
      </c>
      <c r="AA527" s="277">
        <f t="shared" si="967"/>
        <v>0</v>
      </c>
      <c r="AB527" s="277">
        <f t="shared" si="968"/>
        <v>0</v>
      </c>
      <c r="AC527" s="277">
        <f t="shared" si="969"/>
        <v>0</v>
      </c>
      <c r="AD527" s="277">
        <f t="shared" si="970"/>
        <v>0</v>
      </c>
      <c r="AE527" s="277">
        <f t="shared" si="971"/>
        <v>0</v>
      </c>
      <c r="AF527" s="277">
        <f t="shared" si="972"/>
        <v>0</v>
      </c>
      <c r="AG527" s="277">
        <f t="shared" si="973"/>
        <v>0</v>
      </c>
      <c r="AI527" s="444">
        <f t="shared" si="1018"/>
        <v>0</v>
      </c>
      <c r="AJ527" s="1090"/>
      <c r="AK527" s="489"/>
      <c r="AL527" s="811">
        <f t="shared" si="975"/>
        <v>46377</v>
      </c>
      <c r="AM527" s="666">
        <f>IFERROR(IF(AND(AT527="",AR527&lt;&gt;S.CAL!$BJ$3,AR527&lt;&gt;S.CAL!$BJ$4,$AR$500="NON"),M527-BD527,IF(AND(AT527="",AR527&lt;&gt;S.CAL!$BJ$3,AR527&lt;&gt;S.CAL!$BJ$4,$AR$500="OUI"),X527-AI527,IF(AT527&lt;&gt;0,AT527,IF(OR(AR527=S.CAL!$BJ$3,AR527=S.CAL!$BJ$4),AR527,"")))),"")</f>
        <v>0</v>
      </c>
      <c r="AN527" s="1093"/>
      <c r="AO527" s="1094"/>
      <c r="AP527" s="666">
        <f>+IF(AND(AU527="",BB527="OUI",BH527="non",BI527="OUI"),AM527,IF(AND(AU527="",BB527="OUI",BH527="oui",BI527="NON"),AM527,IF(AND(AU527="",BB527="NON",BH527="oui",BI527="NON"),M527,IF(AND(AU527="",BB527="NON",BH527="non",BI527="OUI"),M527,IF(AND(AU527="",BB527="OUI",BH527="non",BI527="NON"),"ERREUR",IF(AND(AU527="",BB527="NON",BH527="non",BI527="NON"),AM527,IF(AND(AU527="",BB527="OUI",BH527="",BI527=""),AM527,IF(AND(AU527="",BB527="NON",BH527="",BI527="",AZ527="NON"),M527,IF(AND(AU527="",BH527="",AZ527="OUI",AR527=""),AM527,IF(AND(AU527="",BH527="",AZ527="NON",AR527="",AT527=""),M527,IF(AND(OR(AR527=S.CAL!$BJ$3,AR527=S.CAL!$BJ$4),(VLOOKUP($AM$500,base_nbre_sem_mensu,2,FALSE)=52)),EE527,IF(AND(OR(AR527=S.CAL!$BJ$3,AR527=S.CAL!$BJ$4),(VLOOKUP($AM$500,base_nbre_sem_mensu,2,FALSE)&lt;52)),AM527,IF(AND(AT527&lt;&gt;"",AU527=""),AT527,AU527)))))))))))))</f>
        <v>0</v>
      </c>
      <c r="AQ527" s="498">
        <f t="shared" si="995"/>
        <v>0</v>
      </c>
      <c r="AR527" s="1098"/>
      <c r="AT527" s="1101"/>
      <c r="AU527" s="813"/>
      <c r="AV527" s="1370">
        <f t="shared" si="976"/>
        <v>46377</v>
      </c>
      <c r="AX527" s="511">
        <f t="shared" si="996"/>
        <v>46377</v>
      </c>
      <c r="AY527" s="523">
        <f t="shared" si="997"/>
        <v>0</v>
      </c>
      <c r="AZ527" s="520" t="s">
        <v>137</v>
      </c>
      <c r="BA527" s="516">
        <f t="shared" si="998"/>
        <v>0</v>
      </c>
      <c r="BB527" s="549" t="str">
        <f t="shared" si="977"/>
        <v/>
      </c>
      <c r="BC527" s="523">
        <f t="shared" si="999"/>
        <v>0</v>
      </c>
      <c r="BD527" s="523">
        <f t="shared" si="1000"/>
        <v>0</v>
      </c>
      <c r="BE527" s="1104"/>
      <c r="BF527" s="514" t="str">
        <f t="shared" si="978"/>
        <v/>
      </c>
      <c r="BG527" s="514" t="str">
        <f t="shared" si="1001"/>
        <v>oui</v>
      </c>
      <c r="BH527" s="377" t="str">
        <f t="shared" si="979"/>
        <v/>
      </c>
      <c r="BI527" s="24" t="str">
        <f t="shared" si="980"/>
        <v/>
      </c>
      <c r="BJ527" s="1381"/>
      <c r="BK527" s="1381"/>
      <c r="BL527" s="1381"/>
      <c r="BM527" s="1381"/>
      <c r="BN527" s="1381"/>
      <c r="BO527" s="1381"/>
      <c r="BP527" s="1381"/>
      <c r="BQ527" s="1381"/>
      <c r="BS527" s="1370">
        <f t="shared" si="947"/>
        <v>46377</v>
      </c>
      <c r="BT527" s="27">
        <f t="shared" si="1009"/>
        <v>52</v>
      </c>
      <c r="BU527" s="1380"/>
      <c r="BV527" s="1380"/>
      <c r="BW527" s="1380"/>
      <c r="BX527" s="1380"/>
      <c r="BY527" s="1380"/>
      <c r="BZ527" s="1380"/>
      <c r="CA527" s="1380"/>
      <c r="CB527" s="1380"/>
      <c r="CD527" s="1386">
        <f t="shared" si="1002"/>
        <v>0</v>
      </c>
      <c r="DC527" s="16" t="str">
        <f>Décembre!FC40</f>
        <v>non</v>
      </c>
      <c r="DG527" s="315">
        <f t="shared" si="1003"/>
        <v>1</v>
      </c>
      <c r="DH527" s="129">
        <f t="shared" si="981"/>
        <v>10</v>
      </c>
      <c r="DI527" s="129">
        <f t="shared" si="1004"/>
        <v>1</v>
      </c>
      <c r="DK527" s="16">
        <f>+IF(AND(Décembre!$DP$8&lt;&gt;52,AR527=S.CAL!$BJ$4),10,1)</f>
        <v>1</v>
      </c>
      <c r="DN527" s="16">
        <f t="shared" si="982"/>
        <v>1</v>
      </c>
      <c r="DU527" s="1274" t="str">
        <f t="shared" si="1005"/>
        <v>Fiche infoA146377</v>
      </c>
      <c r="DV527" s="1362">
        <f t="shared" si="983"/>
        <v>0</v>
      </c>
      <c r="DW527" s="1363">
        <f t="shared" si="984"/>
        <v>0</v>
      </c>
      <c r="DX527" s="1363">
        <f t="shared" si="985"/>
        <v>0</v>
      </c>
      <c r="DY527" s="1363">
        <f t="shared" si="986"/>
        <v>0</v>
      </c>
      <c r="DZ527" s="1363">
        <f t="shared" si="987"/>
        <v>0</v>
      </c>
      <c r="EA527" s="1363">
        <f t="shared" si="988"/>
        <v>0</v>
      </c>
      <c r="EB527" s="1363">
        <f t="shared" si="989"/>
        <v>0</v>
      </c>
      <c r="EC527" s="1363">
        <f t="shared" si="990"/>
        <v>0</v>
      </c>
      <c r="ED527" s="1363">
        <f t="shared" si="1006"/>
        <v>0</v>
      </c>
      <c r="EE527" s="1364">
        <f t="shared" si="1007"/>
        <v>0</v>
      </c>
      <c r="EG527" s="16" t="str">
        <f t="shared" si="1008"/>
        <v>522026</v>
      </c>
      <c r="EH527" s="16" t="str">
        <f t="shared" si="991"/>
        <v>Fiche infoA1</v>
      </c>
      <c r="EI527" s="16" t="str">
        <f t="shared" si="992"/>
        <v/>
      </c>
    </row>
    <row r="528" spans="1:139" x14ac:dyDescent="0.2">
      <c r="A528" s="1373" t="str">
        <f>Décembre!BJ41</f>
        <v>Fiche infoA2</v>
      </c>
      <c r="B528" s="811">
        <f>Décembre!AB41</f>
        <v>46378</v>
      </c>
      <c r="C528" s="1372"/>
      <c r="D528" s="981">
        <f t="shared" si="948"/>
        <v>0</v>
      </c>
      <c r="E528" s="434">
        <f t="shared" si="949"/>
        <v>0</v>
      </c>
      <c r="F528" s="434">
        <f t="shared" si="950"/>
        <v>0</v>
      </c>
      <c r="G528" s="434">
        <f t="shared" si="951"/>
        <v>0</v>
      </c>
      <c r="H528" s="434">
        <f t="shared" si="952"/>
        <v>0</v>
      </c>
      <c r="I528" s="434">
        <f t="shared" si="953"/>
        <v>0</v>
      </c>
      <c r="J528" s="434">
        <f t="shared" si="954"/>
        <v>0</v>
      </c>
      <c r="K528" s="434">
        <f t="shared" si="955"/>
        <v>0</v>
      </c>
      <c r="L528" s="434">
        <f t="shared" si="993"/>
        <v>0</v>
      </c>
      <c r="M528" s="982">
        <f t="shared" si="994"/>
        <v>0</v>
      </c>
      <c r="N528" s="1374"/>
      <c r="O528" s="981">
        <f t="shared" si="1010"/>
        <v>0</v>
      </c>
      <c r="P528" s="434">
        <f t="shared" si="1011"/>
        <v>0</v>
      </c>
      <c r="Q528" s="434">
        <f t="shared" si="1012"/>
        <v>0</v>
      </c>
      <c r="R528" s="434">
        <f t="shared" si="1013"/>
        <v>0</v>
      </c>
      <c r="S528" s="434">
        <f t="shared" si="1014"/>
        <v>0</v>
      </c>
      <c r="T528" s="434">
        <f t="shared" si="1015"/>
        <v>0</v>
      </c>
      <c r="U528" s="434">
        <f t="shared" si="1016"/>
        <v>0</v>
      </c>
      <c r="V528" s="434">
        <f t="shared" si="1017"/>
        <v>0</v>
      </c>
      <c r="W528" s="434">
        <f t="shared" si="964"/>
        <v>0</v>
      </c>
      <c r="X528" s="982">
        <f t="shared" si="965"/>
        <v>0</v>
      </c>
      <c r="Y528" s="1375"/>
      <c r="Z528" s="1376">
        <f t="shared" si="966"/>
        <v>0</v>
      </c>
      <c r="AA528" s="1376">
        <f t="shared" si="967"/>
        <v>0</v>
      </c>
      <c r="AB528" s="1376">
        <f t="shared" si="968"/>
        <v>0</v>
      </c>
      <c r="AC528" s="1376">
        <f t="shared" si="969"/>
        <v>0</v>
      </c>
      <c r="AD528" s="1376">
        <f t="shared" si="970"/>
        <v>0</v>
      </c>
      <c r="AE528" s="1376">
        <f t="shared" si="971"/>
        <v>0</v>
      </c>
      <c r="AF528" s="1376">
        <f t="shared" si="972"/>
        <v>0</v>
      </c>
      <c r="AG528" s="1376">
        <f t="shared" si="973"/>
        <v>0</v>
      </c>
      <c r="AH528" s="1374"/>
      <c r="AI528" s="444">
        <f t="shared" si="1018"/>
        <v>0</v>
      </c>
      <c r="AJ528" s="1090"/>
      <c r="AK528" s="1377"/>
      <c r="AL528" s="811">
        <f t="shared" si="975"/>
        <v>46378</v>
      </c>
      <c r="AM528" s="666">
        <f>IFERROR(IF(AND(AT528="",AR528&lt;&gt;S.CAL!$BJ$3,AR528&lt;&gt;S.CAL!$BJ$4,$AR$500="NON"),M528-BD528,IF(AND(AT528="",AR528&lt;&gt;S.CAL!$BJ$3,AR528&lt;&gt;S.CAL!$BJ$4,$AR$500="OUI"),X528-AI528,IF(AT528&lt;&gt;0,AT528,IF(OR(AR528=S.CAL!$BJ$3,AR528=S.CAL!$BJ$4),AR528,"")))),"")</f>
        <v>0</v>
      </c>
      <c r="AN528" s="1093"/>
      <c r="AO528" s="1094"/>
      <c r="AP528" s="666">
        <f>+IF(AND(AU528="",BB528="OUI",BH528="non",BI528="OUI"),AM528,IF(AND(AU528="",BB528="OUI",BH528="oui",BI528="NON"),AM528,IF(AND(AU528="",BB528="NON",BH528="oui",BI528="NON"),M528,IF(AND(AU528="",BB528="NON",BH528="non",BI528="OUI"),M528,IF(AND(AU528="",BB528="OUI",BH528="non",BI528="NON"),"ERREUR",IF(AND(AU528="",BB528="NON",BH528="non",BI528="NON"),AM528,IF(AND(AU528="",BB528="OUI",BH528="",BI528=""),AM528,IF(AND(AU528="",BB528="NON",BH528="",BI528="",AZ528="NON"),M528,IF(AND(AU528="",BH528="",AZ528="OUI",AR528=""),AM528,IF(AND(AU528="",BH528="",AZ528="NON",AR528="",AT528=""),M528,IF(AND(OR(AR528=S.CAL!$BJ$3,AR528=S.CAL!$BJ$4),(VLOOKUP($AM$500,base_nbre_sem_mensu,2,FALSE)=52)),EE528,IF(AND(OR(AR528=S.CAL!$BJ$3,AR528=S.CAL!$BJ$4),(VLOOKUP($AM$500,base_nbre_sem_mensu,2,FALSE)&lt;52)),AM528,IF(AND(AT528&lt;&gt;"",AU528=""),AT528,AU528)))))))))))))</f>
        <v>0</v>
      </c>
      <c r="AQ528" s="1378">
        <f t="shared" si="995"/>
        <v>0</v>
      </c>
      <c r="AR528" s="1098"/>
      <c r="AS528" s="1374"/>
      <c r="AT528" s="1101"/>
      <c r="AU528" s="813"/>
      <c r="AV528" s="1370">
        <f t="shared" si="976"/>
        <v>46378</v>
      </c>
      <c r="AW528" s="1374"/>
      <c r="AX528" s="511">
        <f t="shared" si="996"/>
        <v>46378</v>
      </c>
      <c r="AY528" s="523">
        <f t="shared" si="997"/>
        <v>0</v>
      </c>
      <c r="AZ528" s="520" t="s">
        <v>137</v>
      </c>
      <c r="BA528" s="516">
        <f t="shared" si="998"/>
        <v>0</v>
      </c>
      <c r="BB528" s="549" t="str">
        <f t="shared" si="977"/>
        <v/>
      </c>
      <c r="BC528" s="523">
        <f t="shared" si="999"/>
        <v>0</v>
      </c>
      <c r="BD528" s="523">
        <f t="shared" si="1000"/>
        <v>0</v>
      </c>
      <c r="BE528" s="1104"/>
      <c r="BF528" s="514" t="str">
        <f t="shared" si="978"/>
        <v/>
      </c>
      <c r="BG528" s="514" t="str">
        <f t="shared" si="1001"/>
        <v>oui</v>
      </c>
      <c r="BH528" s="377" t="str">
        <f t="shared" si="979"/>
        <v/>
      </c>
      <c r="BI528" s="24" t="str">
        <f t="shared" si="980"/>
        <v/>
      </c>
      <c r="BJ528" s="1382"/>
      <c r="BK528" s="1382"/>
      <c r="BL528" s="1382"/>
      <c r="BM528" s="1382"/>
      <c r="BN528" s="1382"/>
      <c r="BO528" s="1382"/>
      <c r="BP528" s="1382"/>
      <c r="BQ528" s="1382"/>
      <c r="BR528" s="1383"/>
      <c r="BS528" s="1370">
        <f t="shared" si="947"/>
        <v>46378</v>
      </c>
      <c r="BT528" s="1384" t="str">
        <f t="shared" si="1009"/>
        <v/>
      </c>
      <c r="BU528" s="1382"/>
      <c r="BV528" s="1382"/>
      <c r="BW528" s="1382"/>
      <c r="BX528" s="1382"/>
      <c r="BY528" s="1382"/>
      <c r="BZ528" s="1382"/>
      <c r="CA528" s="1382"/>
      <c r="CB528" s="1382"/>
      <c r="CD528" s="1386">
        <f t="shared" si="1002"/>
        <v>0</v>
      </c>
      <c r="DC528" s="16" t="str">
        <f>Décembre!FC41</f>
        <v>non</v>
      </c>
      <c r="DG528" s="315">
        <f t="shared" si="1003"/>
        <v>1</v>
      </c>
      <c r="DH528" s="129">
        <f t="shared" si="981"/>
        <v>10</v>
      </c>
      <c r="DI528" s="129">
        <f t="shared" si="1004"/>
        <v>1</v>
      </c>
      <c r="DK528" s="16">
        <f>+IF(AND(Décembre!$DP$8&lt;&gt;52,AR528=S.CAL!$BJ$4),10,1)</f>
        <v>1</v>
      </c>
      <c r="DN528" s="16">
        <f t="shared" si="982"/>
        <v>1</v>
      </c>
      <c r="DU528" s="1274" t="str">
        <f t="shared" si="1005"/>
        <v>Fiche infoA246378</v>
      </c>
      <c r="DV528" s="1362">
        <f t="shared" si="983"/>
        <v>0</v>
      </c>
      <c r="DW528" s="1363">
        <f t="shared" si="984"/>
        <v>0</v>
      </c>
      <c r="DX528" s="1363">
        <f t="shared" si="985"/>
        <v>0</v>
      </c>
      <c r="DY528" s="1363">
        <f t="shared" si="986"/>
        <v>0</v>
      </c>
      <c r="DZ528" s="1363">
        <f t="shared" si="987"/>
        <v>0</v>
      </c>
      <c r="EA528" s="1363">
        <f t="shared" si="988"/>
        <v>0</v>
      </c>
      <c r="EB528" s="1363">
        <f t="shared" si="989"/>
        <v>0</v>
      </c>
      <c r="EC528" s="1363">
        <f t="shared" si="990"/>
        <v>0</v>
      </c>
      <c r="ED528" s="1363">
        <f t="shared" si="1006"/>
        <v>0</v>
      </c>
      <c r="EE528" s="1364">
        <f t="shared" si="1007"/>
        <v>0</v>
      </c>
      <c r="EG528" s="16" t="str">
        <f t="shared" si="1008"/>
        <v>522026</v>
      </c>
      <c r="EH528" s="16" t="str">
        <f t="shared" si="991"/>
        <v>Fiche infoA2</v>
      </c>
      <c r="EI528" s="16" t="str">
        <f t="shared" si="992"/>
        <v/>
      </c>
    </row>
    <row r="529" spans="1:139" x14ac:dyDescent="0.2">
      <c r="A529" s="24" t="str">
        <f>Décembre!BJ42</f>
        <v>Fiche infoA3</v>
      </c>
      <c r="B529" s="811">
        <f>Décembre!AB42</f>
        <v>46379</v>
      </c>
      <c r="C529" s="1371"/>
      <c r="D529" s="981">
        <f t="shared" si="948"/>
        <v>0</v>
      </c>
      <c r="E529" s="434">
        <f t="shared" si="949"/>
        <v>0</v>
      </c>
      <c r="F529" s="434">
        <f t="shared" si="950"/>
        <v>0</v>
      </c>
      <c r="G529" s="434">
        <f t="shared" si="951"/>
        <v>0</v>
      </c>
      <c r="H529" s="434">
        <f t="shared" si="952"/>
        <v>0</v>
      </c>
      <c r="I529" s="434">
        <f t="shared" si="953"/>
        <v>0</v>
      </c>
      <c r="J529" s="434">
        <f t="shared" si="954"/>
        <v>0</v>
      </c>
      <c r="K529" s="434">
        <f t="shared" si="955"/>
        <v>0</v>
      </c>
      <c r="L529" s="434">
        <f t="shared" si="993"/>
        <v>0</v>
      </c>
      <c r="M529" s="982">
        <f t="shared" si="994"/>
        <v>0</v>
      </c>
      <c r="O529" s="981">
        <f t="shared" si="1010"/>
        <v>0</v>
      </c>
      <c r="P529" s="434">
        <f t="shared" si="1011"/>
        <v>0</v>
      </c>
      <c r="Q529" s="434">
        <f t="shared" si="1012"/>
        <v>0</v>
      </c>
      <c r="R529" s="434">
        <f t="shared" si="1013"/>
        <v>0</v>
      </c>
      <c r="S529" s="434">
        <f t="shared" si="1014"/>
        <v>0</v>
      </c>
      <c r="T529" s="434">
        <f t="shared" si="1015"/>
        <v>0</v>
      </c>
      <c r="U529" s="434">
        <f t="shared" si="1016"/>
        <v>0</v>
      </c>
      <c r="V529" s="434">
        <f t="shared" si="1017"/>
        <v>0</v>
      </c>
      <c r="W529" s="434">
        <f t="shared" si="964"/>
        <v>0</v>
      </c>
      <c r="X529" s="982">
        <f t="shared" si="965"/>
        <v>0</v>
      </c>
      <c r="Y529" s="441"/>
      <c r="Z529" s="277">
        <f t="shared" si="966"/>
        <v>0</v>
      </c>
      <c r="AA529" s="277">
        <f t="shared" si="967"/>
        <v>0</v>
      </c>
      <c r="AB529" s="277">
        <f t="shared" si="968"/>
        <v>0</v>
      </c>
      <c r="AC529" s="277">
        <f t="shared" si="969"/>
        <v>0</v>
      </c>
      <c r="AD529" s="277">
        <f t="shared" si="970"/>
        <v>0</v>
      </c>
      <c r="AE529" s="277">
        <f t="shared" si="971"/>
        <v>0</v>
      </c>
      <c r="AF529" s="277">
        <f t="shared" si="972"/>
        <v>0</v>
      </c>
      <c r="AG529" s="277">
        <f t="shared" si="973"/>
        <v>0</v>
      </c>
      <c r="AI529" s="444">
        <f t="shared" si="1018"/>
        <v>0</v>
      </c>
      <c r="AJ529" s="1090"/>
      <c r="AK529" s="489"/>
      <c r="AL529" s="811">
        <f t="shared" si="975"/>
        <v>46379</v>
      </c>
      <c r="AM529" s="666">
        <f>IFERROR(IF(AND(AT529="",AR529&lt;&gt;S.CAL!$BJ$3,AR529&lt;&gt;S.CAL!$BJ$4,$AR$500="NON"),M529-BD529,IF(AND(AT529="",AR529&lt;&gt;S.CAL!$BJ$3,AR529&lt;&gt;S.CAL!$BJ$4,$AR$500="OUI"),X529-AI529,IF(AT529&lt;&gt;0,AT529,IF(OR(AR529=S.CAL!$BJ$3,AR529=S.CAL!$BJ$4),AR529,"")))),"")</f>
        <v>0</v>
      </c>
      <c r="AN529" s="1093"/>
      <c r="AO529" s="1094"/>
      <c r="AP529" s="666">
        <f>+IF(AND(AU529="",BB529="OUI",BH529="non",BI529="OUI"),AM529,IF(AND(AU529="",BB529="OUI",BH529="oui",BI529="NON"),AM529,IF(AND(AU529="",BB529="NON",BH529="oui",BI529="NON"),M529,IF(AND(AU529="",BB529="NON",BH529="non",BI529="OUI"),M529,IF(AND(AU529="",BB529="OUI",BH529="non",BI529="NON"),"ERREUR",IF(AND(AU529="",BB529="NON",BH529="non",BI529="NON"),AM529,IF(AND(AU529="",BB529="OUI",BH529="",BI529=""),AM529,IF(AND(AU529="",BB529="NON",BH529="",BI529="",AZ529="NON"),M529,IF(AND(AU529="",BH529="",AZ529="OUI",AR529=""),AM529,IF(AND(AU529="",BH529="",AZ529="NON",AR529="",AT529=""),M529,IF(AND(OR(AR529=S.CAL!$BJ$3,AR529=S.CAL!$BJ$4),(VLOOKUP($AM$500,base_nbre_sem_mensu,2,FALSE)=52)),EE529,IF(AND(OR(AR529=S.CAL!$BJ$3,AR529=S.CAL!$BJ$4),(VLOOKUP($AM$500,base_nbre_sem_mensu,2,FALSE)&lt;52)),AM529,IF(AND(AT529&lt;&gt;"",AU529=""),AT529,AU529)))))))))))))</f>
        <v>0</v>
      </c>
      <c r="AQ529" s="498">
        <f t="shared" si="995"/>
        <v>0</v>
      </c>
      <c r="AR529" s="1098"/>
      <c r="AT529" s="1101"/>
      <c r="AU529" s="813"/>
      <c r="AV529" s="1370">
        <f t="shared" si="976"/>
        <v>46379</v>
      </c>
      <c r="AX529" s="511">
        <f t="shared" si="996"/>
        <v>46379</v>
      </c>
      <c r="AY529" s="523">
        <f t="shared" si="997"/>
        <v>0</v>
      </c>
      <c r="AZ529" s="520" t="s">
        <v>137</v>
      </c>
      <c r="BA529" s="516">
        <f t="shared" si="998"/>
        <v>0</v>
      </c>
      <c r="BB529" s="549" t="str">
        <f t="shared" si="977"/>
        <v/>
      </c>
      <c r="BC529" s="523">
        <f t="shared" si="999"/>
        <v>0</v>
      </c>
      <c r="BD529" s="523">
        <f t="shared" si="1000"/>
        <v>0</v>
      </c>
      <c r="BE529" s="1104"/>
      <c r="BF529" s="514" t="str">
        <f t="shared" si="978"/>
        <v/>
      </c>
      <c r="BG529" s="514" t="str">
        <f t="shared" si="1001"/>
        <v>oui</v>
      </c>
      <c r="BH529" s="377" t="str">
        <f t="shared" si="979"/>
        <v/>
      </c>
      <c r="BI529" s="24" t="str">
        <f t="shared" si="980"/>
        <v/>
      </c>
      <c r="BJ529" s="1381"/>
      <c r="BK529" s="1381"/>
      <c r="BL529" s="1381"/>
      <c r="BM529" s="1381"/>
      <c r="BN529" s="1381"/>
      <c r="BO529" s="1381"/>
      <c r="BP529" s="1381"/>
      <c r="BQ529" s="1381"/>
      <c r="BS529" s="1370">
        <f t="shared" si="947"/>
        <v>46379</v>
      </c>
      <c r="BT529" s="27" t="str">
        <f t="shared" si="1009"/>
        <v/>
      </c>
      <c r="BU529" s="1380"/>
      <c r="BV529" s="1380"/>
      <c r="BW529" s="1380"/>
      <c r="BX529" s="1380"/>
      <c r="BY529" s="1380"/>
      <c r="BZ529" s="1380"/>
      <c r="CA529" s="1380"/>
      <c r="CB529" s="1380"/>
      <c r="CD529" s="1386">
        <f t="shared" si="1002"/>
        <v>0</v>
      </c>
      <c r="DC529" s="16" t="str">
        <f>Décembre!FC42</f>
        <v>non</v>
      </c>
      <c r="DG529" s="315">
        <f t="shared" si="1003"/>
        <v>1</v>
      </c>
      <c r="DH529" s="129">
        <f t="shared" si="981"/>
        <v>10</v>
      </c>
      <c r="DI529" s="129">
        <f t="shared" si="1004"/>
        <v>1</v>
      </c>
      <c r="DK529" s="16">
        <f>+IF(AND(Décembre!$DP$8&lt;&gt;52,AR529=S.CAL!$BJ$4),10,1)</f>
        <v>1</v>
      </c>
      <c r="DN529" s="16">
        <f t="shared" si="982"/>
        <v>1</v>
      </c>
      <c r="DU529" s="1274" t="str">
        <f t="shared" si="1005"/>
        <v>Fiche infoA346379</v>
      </c>
      <c r="DV529" s="1362">
        <f t="shared" si="983"/>
        <v>0</v>
      </c>
      <c r="DW529" s="1363">
        <f t="shared" si="984"/>
        <v>0</v>
      </c>
      <c r="DX529" s="1363">
        <f t="shared" si="985"/>
        <v>0</v>
      </c>
      <c r="DY529" s="1363">
        <f t="shared" si="986"/>
        <v>0</v>
      </c>
      <c r="DZ529" s="1363">
        <f t="shared" si="987"/>
        <v>0</v>
      </c>
      <c r="EA529" s="1363">
        <f t="shared" si="988"/>
        <v>0</v>
      </c>
      <c r="EB529" s="1363">
        <f t="shared" si="989"/>
        <v>0</v>
      </c>
      <c r="EC529" s="1363">
        <f t="shared" si="990"/>
        <v>0</v>
      </c>
      <c r="ED529" s="1363">
        <f t="shared" si="1006"/>
        <v>0</v>
      </c>
      <c r="EE529" s="1364">
        <f t="shared" si="1007"/>
        <v>0</v>
      </c>
      <c r="EG529" s="16" t="str">
        <f t="shared" si="1008"/>
        <v>522026</v>
      </c>
      <c r="EH529" s="16" t="str">
        <f t="shared" si="991"/>
        <v>Fiche infoA3</v>
      </c>
      <c r="EI529" s="16" t="str">
        <f t="shared" si="992"/>
        <v/>
      </c>
    </row>
    <row r="530" spans="1:139" x14ac:dyDescent="0.2">
      <c r="A530" s="1373" t="str">
        <f>Décembre!BJ43</f>
        <v>Fiche infoA4</v>
      </c>
      <c r="B530" s="811">
        <f>Décembre!AB43</f>
        <v>46380</v>
      </c>
      <c r="C530" s="1372"/>
      <c r="D530" s="981">
        <f t="shared" si="948"/>
        <v>0</v>
      </c>
      <c r="E530" s="434">
        <f t="shared" si="949"/>
        <v>0</v>
      </c>
      <c r="F530" s="434">
        <f t="shared" si="950"/>
        <v>0</v>
      </c>
      <c r="G530" s="434">
        <f t="shared" si="951"/>
        <v>0</v>
      </c>
      <c r="H530" s="434">
        <f t="shared" si="952"/>
        <v>0</v>
      </c>
      <c r="I530" s="434">
        <f t="shared" si="953"/>
        <v>0</v>
      </c>
      <c r="J530" s="434">
        <f t="shared" si="954"/>
        <v>0</v>
      </c>
      <c r="K530" s="434">
        <f t="shared" si="955"/>
        <v>0</v>
      </c>
      <c r="L530" s="434">
        <f t="shared" si="993"/>
        <v>0</v>
      </c>
      <c r="M530" s="982">
        <f t="shared" si="994"/>
        <v>0</v>
      </c>
      <c r="N530" s="1374"/>
      <c r="O530" s="981">
        <f t="shared" si="1010"/>
        <v>0</v>
      </c>
      <c r="P530" s="434">
        <f t="shared" si="1011"/>
        <v>0</v>
      </c>
      <c r="Q530" s="434">
        <f t="shared" si="1012"/>
        <v>0</v>
      </c>
      <c r="R530" s="434">
        <f t="shared" si="1013"/>
        <v>0</v>
      </c>
      <c r="S530" s="434">
        <f t="shared" si="1014"/>
        <v>0</v>
      </c>
      <c r="T530" s="434">
        <f t="shared" si="1015"/>
        <v>0</v>
      </c>
      <c r="U530" s="434">
        <f t="shared" si="1016"/>
        <v>0</v>
      </c>
      <c r="V530" s="434">
        <f t="shared" si="1017"/>
        <v>0</v>
      </c>
      <c r="W530" s="434">
        <f t="shared" si="964"/>
        <v>0</v>
      </c>
      <c r="X530" s="982">
        <f t="shared" si="965"/>
        <v>0</v>
      </c>
      <c r="Y530" s="1375"/>
      <c r="Z530" s="1376">
        <f t="shared" si="966"/>
        <v>0</v>
      </c>
      <c r="AA530" s="1376">
        <f t="shared" si="967"/>
        <v>0</v>
      </c>
      <c r="AB530" s="1376">
        <f t="shared" si="968"/>
        <v>0</v>
      </c>
      <c r="AC530" s="1376">
        <f t="shared" si="969"/>
        <v>0</v>
      </c>
      <c r="AD530" s="1376">
        <f t="shared" si="970"/>
        <v>0</v>
      </c>
      <c r="AE530" s="1376">
        <f t="shared" si="971"/>
        <v>0</v>
      </c>
      <c r="AF530" s="1376">
        <f t="shared" si="972"/>
        <v>0</v>
      </c>
      <c r="AG530" s="1376">
        <f t="shared" si="973"/>
        <v>0</v>
      </c>
      <c r="AH530" s="1374"/>
      <c r="AI530" s="444">
        <f t="shared" si="1018"/>
        <v>0</v>
      </c>
      <c r="AJ530" s="1090"/>
      <c r="AK530" s="1377"/>
      <c r="AL530" s="811">
        <f t="shared" si="975"/>
        <v>46380</v>
      </c>
      <c r="AM530" s="666">
        <f>IFERROR(IF(AND(AT530="",AR530&lt;&gt;S.CAL!$BJ$3,AR530&lt;&gt;S.CAL!$BJ$4,$AR$500="NON"),M530-BD530,IF(AND(AT530="",AR530&lt;&gt;S.CAL!$BJ$3,AR530&lt;&gt;S.CAL!$BJ$4,$AR$500="OUI"),X530-AI530,IF(AT530&lt;&gt;0,AT530,IF(OR(AR530=S.CAL!$BJ$3,AR530=S.CAL!$BJ$4),AR530,"")))),"")</f>
        <v>0</v>
      </c>
      <c r="AN530" s="1093"/>
      <c r="AO530" s="1094"/>
      <c r="AP530" s="666">
        <f>+IF(AND(AU530="",BB530="OUI",BH530="non",BI530="OUI"),AM530,IF(AND(AU530="",BB530="OUI",BH530="oui",BI530="NON"),AM530,IF(AND(AU530="",BB530="NON",BH530="oui",BI530="NON"),M530,IF(AND(AU530="",BB530="NON",BH530="non",BI530="OUI"),M530,IF(AND(AU530="",BB530="OUI",BH530="non",BI530="NON"),"ERREUR",IF(AND(AU530="",BB530="NON",BH530="non",BI530="NON"),AM530,IF(AND(AU530="",BB530="OUI",BH530="",BI530=""),AM530,IF(AND(AU530="",BB530="NON",BH530="",BI530="",AZ530="NON"),M530,IF(AND(AU530="",BH530="",AZ530="OUI",AR530=""),AM530,IF(AND(AU530="",BH530="",AZ530="NON",AR530="",AT530=""),M530,IF(AND(OR(AR530=S.CAL!$BJ$3,AR530=S.CAL!$BJ$4),(VLOOKUP($AM$500,base_nbre_sem_mensu,2,FALSE)=52)),EE530,IF(AND(OR(AR530=S.CAL!$BJ$3,AR530=S.CAL!$BJ$4),(VLOOKUP($AM$500,base_nbre_sem_mensu,2,FALSE)&lt;52)),AM530,IF(AND(AT530&lt;&gt;"",AU530=""),AT530,AU530)))))))))))))</f>
        <v>0</v>
      </c>
      <c r="AQ530" s="1378">
        <f t="shared" si="995"/>
        <v>0</v>
      </c>
      <c r="AR530" s="1098"/>
      <c r="AS530" s="1374"/>
      <c r="AT530" s="1101"/>
      <c r="AU530" s="813"/>
      <c r="AV530" s="1370">
        <f t="shared" si="976"/>
        <v>46380</v>
      </c>
      <c r="AW530" s="1374"/>
      <c r="AX530" s="511">
        <f t="shared" si="996"/>
        <v>46380</v>
      </c>
      <c r="AY530" s="523">
        <f t="shared" si="997"/>
        <v>0</v>
      </c>
      <c r="AZ530" s="520" t="s">
        <v>137</v>
      </c>
      <c r="BA530" s="516">
        <f t="shared" si="998"/>
        <v>0</v>
      </c>
      <c r="BB530" s="549" t="str">
        <f t="shared" si="977"/>
        <v/>
      </c>
      <c r="BC530" s="523">
        <f t="shared" si="999"/>
        <v>0</v>
      </c>
      <c r="BD530" s="523">
        <f t="shared" si="1000"/>
        <v>0</v>
      </c>
      <c r="BE530" s="1104"/>
      <c r="BF530" s="514" t="str">
        <f t="shared" si="978"/>
        <v/>
      </c>
      <c r="BG530" s="514" t="str">
        <f t="shared" si="1001"/>
        <v>oui</v>
      </c>
      <c r="BH530" s="377" t="str">
        <f t="shared" si="979"/>
        <v/>
      </c>
      <c r="BI530" s="24" t="str">
        <f t="shared" si="980"/>
        <v/>
      </c>
      <c r="BJ530" s="1382"/>
      <c r="BK530" s="1382"/>
      <c r="BL530" s="1382"/>
      <c r="BM530" s="1382"/>
      <c r="BN530" s="1382"/>
      <c r="BO530" s="1382"/>
      <c r="BP530" s="1382"/>
      <c r="BQ530" s="1382"/>
      <c r="BR530" s="1383"/>
      <c r="BS530" s="1370">
        <f t="shared" si="947"/>
        <v>46380</v>
      </c>
      <c r="BT530" s="1384" t="str">
        <f t="shared" si="1009"/>
        <v/>
      </c>
      <c r="BU530" s="1382"/>
      <c r="BV530" s="1382"/>
      <c r="BW530" s="1382"/>
      <c r="BX530" s="1382"/>
      <c r="BY530" s="1382"/>
      <c r="BZ530" s="1382"/>
      <c r="CA530" s="1382"/>
      <c r="CB530" s="1382"/>
      <c r="CD530" s="1386">
        <f t="shared" si="1002"/>
        <v>0</v>
      </c>
      <c r="DC530" s="16" t="str">
        <f>Décembre!FC43</f>
        <v>non</v>
      </c>
      <c r="DG530" s="315">
        <f t="shared" si="1003"/>
        <v>1</v>
      </c>
      <c r="DH530" s="129">
        <f t="shared" si="981"/>
        <v>10</v>
      </c>
      <c r="DI530" s="129">
        <f t="shared" si="1004"/>
        <v>1</v>
      </c>
      <c r="DK530" s="16">
        <f>+IF(AND(Décembre!$DP$8&lt;&gt;52,AR530=S.CAL!$BJ$4),10,1)</f>
        <v>1</v>
      </c>
      <c r="DN530" s="16">
        <f t="shared" si="982"/>
        <v>1</v>
      </c>
      <c r="DU530" s="1274" t="str">
        <f t="shared" si="1005"/>
        <v>Fiche infoA446380</v>
      </c>
      <c r="DV530" s="1362">
        <f t="shared" si="983"/>
        <v>0</v>
      </c>
      <c r="DW530" s="1363">
        <f t="shared" si="984"/>
        <v>0</v>
      </c>
      <c r="DX530" s="1363">
        <f t="shared" si="985"/>
        <v>0</v>
      </c>
      <c r="DY530" s="1363">
        <f t="shared" si="986"/>
        <v>0</v>
      </c>
      <c r="DZ530" s="1363">
        <f t="shared" si="987"/>
        <v>0</v>
      </c>
      <c r="EA530" s="1363">
        <f t="shared" si="988"/>
        <v>0</v>
      </c>
      <c r="EB530" s="1363">
        <f t="shared" si="989"/>
        <v>0</v>
      </c>
      <c r="EC530" s="1363">
        <f t="shared" si="990"/>
        <v>0</v>
      </c>
      <c r="ED530" s="1363">
        <f t="shared" si="1006"/>
        <v>0</v>
      </c>
      <c r="EE530" s="1364">
        <f t="shared" si="1007"/>
        <v>0</v>
      </c>
      <c r="EG530" s="16" t="str">
        <f t="shared" si="1008"/>
        <v>522026</v>
      </c>
      <c r="EH530" s="16" t="str">
        <f t="shared" si="991"/>
        <v>Fiche infoA4</v>
      </c>
      <c r="EI530" s="16" t="str">
        <f t="shared" si="992"/>
        <v/>
      </c>
    </row>
    <row r="531" spans="1:139" x14ac:dyDescent="0.2">
      <c r="A531" s="24" t="str">
        <f>Décembre!BJ44</f>
        <v>Fiche infoA5</v>
      </c>
      <c r="B531" s="811">
        <f>Décembre!AB44</f>
        <v>46381</v>
      </c>
      <c r="C531" s="1371"/>
      <c r="D531" s="981">
        <f t="shared" si="948"/>
        <v>0</v>
      </c>
      <c r="E531" s="434">
        <f t="shared" si="949"/>
        <v>0</v>
      </c>
      <c r="F531" s="434">
        <f t="shared" si="950"/>
        <v>0</v>
      </c>
      <c r="G531" s="434">
        <f t="shared" si="951"/>
        <v>0</v>
      </c>
      <c r="H531" s="434">
        <f t="shared" si="952"/>
        <v>0</v>
      </c>
      <c r="I531" s="434">
        <f t="shared" si="953"/>
        <v>0</v>
      </c>
      <c r="J531" s="434">
        <f t="shared" si="954"/>
        <v>0</v>
      </c>
      <c r="K531" s="434">
        <f t="shared" si="955"/>
        <v>0</v>
      </c>
      <c r="L531" s="434">
        <f t="shared" si="993"/>
        <v>0</v>
      </c>
      <c r="M531" s="982">
        <f t="shared" si="994"/>
        <v>0</v>
      </c>
      <c r="O531" s="981">
        <f t="shared" si="1010"/>
        <v>0</v>
      </c>
      <c r="P531" s="434">
        <f t="shared" si="1011"/>
        <v>0</v>
      </c>
      <c r="Q531" s="434">
        <f t="shared" si="1012"/>
        <v>0</v>
      </c>
      <c r="R531" s="434">
        <f t="shared" si="1013"/>
        <v>0</v>
      </c>
      <c r="S531" s="434">
        <f t="shared" si="1014"/>
        <v>0</v>
      </c>
      <c r="T531" s="434">
        <f t="shared" si="1015"/>
        <v>0</v>
      </c>
      <c r="U531" s="434">
        <f t="shared" si="1016"/>
        <v>0</v>
      </c>
      <c r="V531" s="434">
        <f t="shared" si="1017"/>
        <v>0</v>
      </c>
      <c r="W531" s="434">
        <f t="shared" si="964"/>
        <v>0</v>
      </c>
      <c r="X531" s="982">
        <f t="shared" si="965"/>
        <v>0</v>
      </c>
      <c r="Y531" s="441"/>
      <c r="Z531" s="277">
        <f t="shared" si="966"/>
        <v>0</v>
      </c>
      <c r="AA531" s="277">
        <f t="shared" si="967"/>
        <v>0</v>
      </c>
      <c r="AB531" s="277">
        <f t="shared" si="968"/>
        <v>0</v>
      </c>
      <c r="AC531" s="277">
        <f t="shared" si="969"/>
        <v>0</v>
      </c>
      <c r="AD531" s="277">
        <f t="shared" si="970"/>
        <v>0</v>
      </c>
      <c r="AE531" s="277">
        <f t="shared" si="971"/>
        <v>0</v>
      </c>
      <c r="AF531" s="277">
        <f t="shared" si="972"/>
        <v>0</v>
      </c>
      <c r="AG531" s="277">
        <f t="shared" si="973"/>
        <v>0</v>
      </c>
      <c r="AI531" s="444">
        <f t="shared" si="1018"/>
        <v>0</v>
      </c>
      <c r="AJ531" s="1090"/>
      <c r="AK531" s="489"/>
      <c r="AL531" s="811">
        <f t="shared" si="975"/>
        <v>46381</v>
      </c>
      <c r="AM531" s="666">
        <f>IFERROR(IF(AND(AT531="",AR531&lt;&gt;S.CAL!$BJ$3,AR531&lt;&gt;S.CAL!$BJ$4,$AR$500="NON"),M531-BD531,IF(AND(AT531="",AR531&lt;&gt;S.CAL!$BJ$3,AR531&lt;&gt;S.CAL!$BJ$4,$AR$500="OUI"),X531-AI531,IF(AT531&lt;&gt;0,AT531,IF(OR(AR531=S.CAL!$BJ$3,AR531=S.CAL!$BJ$4),AR531,"")))),"")</f>
        <v>0</v>
      </c>
      <c r="AN531" s="1093"/>
      <c r="AO531" s="1094"/>
      <c r="AP531" s="666">
        <f>+IF(AND(AU531="",BB531="OUI",BH531="non",BI531="OUI"),AM531,IF(AND(AU531="",BB531="OUI",BH531="oui",BI531="NON"),AM531,IF(AND(AU531="",BB531="NON",BH531="oui",BI531="NON"),M531,IF(AND(AU531="",BB531="NON",BH531="non",BI531="OUI"),M531,IF(AND(AU531="",BB531="OUI",BH531="non",BI531="NON"),"ERREUR",IF(AND(AU531="",BB531="NON",BH531="non",BI531="NON"),AM531,IF(AND(AU531="",BB531="OUI",BH531="",BI531=""),AM531,IF(AND(AU531="",BB531="NON",BH531="",BI531="",AZ531="NON"),M531,IF(AND(AU531="",BH531="",AZ531="OUI",AR531=""),AM531,IF(AND(AU531="",BH531="",AZ531="NON",AR531="",AT531=""),M531,IF(AND(OR(AR531=S.CAL!$BJ$3,AR531=S.CAL!$BJ$4),(VLOOKUP($AM$500,base_nbre_sem_mensu,2,FALSE)=52)),EE531,IF(AND(OR(AR531=S.CAL!$BJ$3,AR531=S.CAL!$BJ$4),(VLOOKUP($AM$500,base_nbre_sem_mensu,2,FALSE)&lt;52)),AM531,IF(AND(AT531&lt;&gt;"",AU531=""),AT531,AU531)))))))))))))</f>
        <v>0</v>
      </c>
      <c r="AQ531" s="498">
        <f t="shared" si="995"/>
        <v>0</v>
      </c>
      <c r="AR531" s="1098"/>
      <c r="AT531" s="1101"/>
      <c r="AU531" s="813"/>
      <c r="AV531" s="1370">
        <f t="shared" si="976"/>
        <v>46381</v>
      </c>
      <c r="AX531" s="511">
        <f t="shared" si="996"/>
        <v>46381</v>
      </c>
      <c r="AY531" s="523">
        <f t="shared" si="997"/>
        <v>0</v>
      </c>
      <c r="AZ531" s="520" t="s">
        <v>137</v>
      </c>
      <c r="BA531" s="516">
        <f t="shared" si="998"/>
        <v>0</v>
      </c>
      <c r="BB531" s="549" t="str">
        <f t="shared" si="977"/>
        <v/>
      </c>
      <c r="BC531" s="523">
        <f t="shared" si="999"/>
        <v>0</v>
      </c>
      <c r="BD531" s="523">
        <f t="shared" si="1000"/>
        <v>0</v>
      </c>
      <c r="BE531" s="1104"/>
      <c r="BF531" s="514" t="str">
        <f t="shared" si="978"/>
        <v/>
      </c>
      <c r="BG531" s="514" t="str">
        <f t="shared" si="1001"/>
        <v>oui</v>
      </c>
      <c r="BH531" s="377" t="str">
        <f t="shared" si="979"/>
        <v/>
      </c>
      <c r="BI531" s="24" t="str">
        <f t="shared" si="980"/>
        <v/>
      </c>
      <c r="BJ531" s="1381"/>
      <c r="BK531" s="1381"/>
      <c r="BL531" s="1381"/>
      <c r="BM531" s="1381"/>
      <c r="BN531" s="1381"/>
      <c r="BO531" s="1381"/>
      <c r="BP531" s="1381"/>
      <c r="BQ531" s="1381"/>
      <c r="BS531" s="1370">
        <f t="shared" si="947"/>
        <v>46381</v>
      </c>
      <c r="BT531" s="27" t="str">
        <f t="shared" si="1009"/>
        <v/>
      </c>
      <c r="BU531" s="1380"/>
      <c r="BV531" s="1380"/>
      <c r="BW531" s="1380"/>
      <c r="BX531" s="1380"/>
      <c r="BY531" s="1380"/>
      <c r="BZ531" s="1380"/>
      <c r="CA531" s="1380"/>
      <c r="CB531" s="1380"/>
      <c r="CD531" s="1386">
        <f t="shared" si="1002"/>
        <v>0</v>
      </c>
      <c r="DC531" s="16" t="str">
        <f>Décembre!FC44</f>
        <v>non</v>
      </c>
      <c r="DG531" s="315">
        <f t="shared" si="1003"/>
        <v>1</v>
      </c>
      <c r="DH531" s="129">
        <f t="shared" si="981"/>
        <v>10</v>
      </c>
      <c r="DI531" s="129">
        <f t="shared" si="1004"/>
        <v>1</v>
      </c>
      <c r="DK531" s="16">
        <f>+IF(AND(Décembre!$DP$8&lt;&gt;52,AR531=S.CAL!$BJ$4),10,1)</f>
        <v>1</v>
      </c>
      <c r="DN531" s="16">
        <f t="shared" si="982"/>
        <v>1</v>
      </c>
      <c r="DU531" s="1274" t="str">
        <f t="shared" si="1005"/>
        <v>Fiche infoA546381</v>
      </c>
      <c r="DV531" s="1362">
        <f t="shared" si="983"/>
        <v>0</v>
      </c>
      <c r="DW531" s="1363">
        <f t="shared" si="984"/>
        <v>0</v>
      </c>
      <c r="DX531" s="1363">
        <f t="shared" si="985"/>
        <v>0</v>
      </c>
      <c r="DY531" s="1363">
        <f t="shared" si="986"/>
        <v>0</v>
      </c>
      <c r="DZ531" s="1363">
        <f t="shared" si="987"/>
        <v>0</v>
      </c>
      <c r="EA531" s="1363">
        <f t="shared" si="988"/>
        <v>0</v>
      </c>
      <c r="EB531" s="1363">
        <f t="shared" si="989"/>
        <v>0</v>
      </c>
      <c r="EC531" s="1363">
        <f t="shared" si="990"/>
        <v>0</v>
      </c>
      <c r="ED531" s="1363">
        <f t="shared" si="1006"/>
        <v>0</v>
      </c>
      <c r="EE531" s="1364">
        <f t="shared" si="1007"/>
        <v>0</v>
      </c>
      <c r="EG531" s="16" t="str">
        <f t="shared" si="1008"/>
        <v>522026</v>
      </c>
      <c r="EH531" s="16" t="str">
        <f t="shared" si="991"/>
        <v>Fiche infoA5</v>
      </c>
      <c r="EI531" s="16" t="str">
        <f t="shared" si="992"/>
        <v/>
      </c>
    </row>
    <row r="532" spans="1:139" x14ac:dyDescent="0.2">
      <c r="A532" s="1373" t="str">
        <f>Décembre!BJ45</f>
        <v>Fiche infoA6</v>
      </c>
      <c r="B532" s="811">
        <f>Décembre!AB45</f>
        <v>46382</v>
      </c>
      <c r="C532" s="1372"/>
      <c r="D532" s="981">
        <f t="shared" si="948"/>
        <v>0</v>
      </c>
      <c r="E532" s="434">
        <f t="shared" si="949"/>
        <v>0</v>
      </c>
      <c r="F532" s="434">
        <f t="shared" si="950"/>
        <v>0</v>
      </c>
      <c r="G532" s="434">
        <f t="shared" si="951"/>
        <v>0</v>
      </c>
      <c r="H532" s="434">
        <f t="shared" si="952"/>
        <v>0</v>
      </c>
      <c r="I532" s="434">
        <f t="shared" si="953"/>
        <v>0</v>
      </c>
      <c r="J532" s="434">
        <f t="shared" si="954"/>
        <v>0</v>
      </c>
      <c r="K532" s="434">
        <f t="shared" si="955"/>
        <v>0</v>
      </c>
      <c r="L532" s="434">
        <f t="shared" si="993"/>
        <v>0</v>
      </c>
      <c r="M532" s="982">
        <f t="shared" si="994"/>
        <v>0</v>
      </c>
      <c r="N532" s="1374"/>
      <c r="O532" s="981">
        <f t="shared" si="1010"/>
        <v>0</v>
      </c>
      <c r="P532" s="434">
        <f t="shared" si="1011"/>
        <v>0</v>
      </c>
      <c r="Q532" s="434">
        <f t="shared" si="1012"/>
        <v>0</v>
      </c>
      <c r="R532" s="434">
        <f t="shared" si="1013"/>
        <v>0</v>
      </c>
      <c r="S532" s="434">
        <f t="shared" si="1014"/>
        <v>0</v>
      </c>
      <c r="T532" s="434">
        <f t="shared" si="1015"/>
        <v>0</v>
      </c>
      <c r="U532" s="434">
        <f t="shared" si="1016"/>
        <v>0</v>
      </c>
      <c r="V532" s="434">
        <f t="shared" si="1017"/>
        <v>0</v>
      </c>
      <c r="W532" s="434">
        <f t="shared" si="964"/>
        <v>0</v>
      </c>
      <c r="X532" s="982">
        <f t="shared" si="965"/>
        <v>0</v>
      </c>
      <c r="Y532" s="1375"/>
      <c r="Z532" s="1376">
        <f t="shared" si="966"/>
        <v>0</v>
      </c>
      <c r="AA532" s="1376">
        <f t="shared" si="967"/>
        <v>0</v>
      </c>
      <c r="AB532" s="1376">
        <f t="shared" si="968"/>
        <v>0</v>
      </c>
      <c r="AC532" s="1376">
        <f t="shared" si="969"/>
        <v>0</v>
      </c>
      <c r="AD532" s="1376">
        <f t="shared" si="970"/>
        <v>0</v>
      </c>
      <c r="AE532" s="1376">
        <f t="shared" si="971"/>
        <v>0</v>
      </c>
      <c r="AF532" s="1376">
        <f t="shared" si="972"/>
        <v>0</v>
      </c>
      <c r="AG532" s="1376">
        <f t="shared" si="973"/>
        <v>0</v>
      </c>
      <c r="AH532" s="1374"/>
      <c r="AI532" s="444">
        <f t="shared" si="1018"/>
        <v>0</v>
      </c>
      <c r="AJ532" s="1090"/>
      <c r="AK532" s="1377"/>
      <c r="AL532" s="811">
        <f t="shared" si="975"/>
        <v>46382</v>
      </c>
      <c r="AM532" s="666">
        <f>IFERROR(IF(AND(AT532="",AR532&lt;&gt;S.CAL!$BJ$3,AR532&lt;&gt;S.CAL!$BJ$4,$AR$500="NON"),M532-BD532,IF(AND(AT532="",AR532&lt;&gt;S.CAL!$BJ$3,AR532&lt;&gt;S.CAL!$BJ$4,$AR$500="OUI"),X532-AI532,IF(AT532&lt;&gt;0,AT532,IF(OR(AR532=S.CAL!$BJ$3,AR532=S.CAL!$BJ$4),AR532,"")))),"")</f>
        <v>0</v>
      </c>
      <c r="AN532" s="1093"/>
      <c r="AO532" s="1094"/>
      <c r="AP532" s="666">
        <f>+IF(AND(AU532="",BB532="OUI",BH532="non",BI532="OUI"),AM532,IF(AND(AU532="",BB532="OUI",BH532="oui",BI532="NON"),AM532,IF(AND(AU532="",BB532="NON",BH532="oui",BI532="NON"),M532,IF(AND(AU532="",BB532="NON",BH532="non",BI532="OUI"),M532,IF(AND(AU532="",BB532="OUI",BH532="non",BI532="NON"),"ERREUR",IF(AND(AU532="",BB532="NON",BH532="non",BI532="NON"),AM532,IF(AND(AU532="",BB532="OUI",BH532="",BI532=""),AM532,IF(AND(AU532="",BB532="NON",BH532="",BI532="",AZ532="NON"),M532,IF(AND(AU532="",BH532="",AZ532="OUI",AR532=""),AM532,IF(AND(AU532="",BH532="",AZ532="NON",AR532="",AT532=""),M532,IF(AND(OR(AR532=S.CAL!$BJ$3,AR532=S.CAL!$BJ$4),(VLOOKUP($AM$500,base_nbre_sem_mensu,2,FALSE)=52)),EE532,IF(AND(OR(AR532=S.CAL!$BJ$3,AR532=S.CAL!$BJ$4),(VLOOKUP($AM$500,base_nbre_sem_mensu,2,FALSE)&lt;52)),AM532,IF(AND(AT532&lt;&gt;"",AU532=""),AT532,AU532)))))))))))))</f>
        <v>0</v>
      </c>
      <c r="AQ532" s="1378">
        <f t="shared" si="995"/>
        <v>0</v>
      </c>
      <c r="AR532" s="1098"/>
      <c r="AS532" s="1374"/>
      <c r="AT532" s="1101"/>
      <c r="AU532" s="813"/>
      <c r="AV532" s="1370">
        <f t="shared" si="976"/>
        <v>46382</v>
      </c>
      <c r="AW532" s="1374"/>
      <c r="AX532" s="511">
        <f t="shared" si="996"/>
        <v>46382</v>
      </c>
      <c r="AY532" s="523">
        <f t="shared" si="997"/>
        <v>0</v>
      </c>
      <c r="AZ532" s="520" t="s">
        <v>137</v>
      </c>
      <c r="BA532" s="516">
        <f t="shared" si="998"/>
        <v>0</v>
      </c>
      <c r="BB532" s="549" t="str">
        <f t="shared" si="977"/>
        <v/>
      </c>
      <c r="BC532" s="523">
        <f t="shared" si="999"/>
        <v>0</v>
      </c>
      <c r="BD532" s="523">
        <f t="shared" si="1000"/>
        <v>0</v>
      </c>
      <c r="BE532" s="1104"/>
      <c r="BF532" s="514" t="str">
        <f t="shared" si="978"/>
        <v/>
      </c>
      <c r="BG532" s="514" t="str">
        <f t="shared" si="1001"/>
        <v>oui</v>
      </c>
      <c r="BH532" s="377" t="str">
        <f t="shared" si="979"/>
        <v/>
      </c>
      <c r="BI532" s="24" t="str">
        <f t="shared" si="980"/>
        <v/>
      </c>
      <c r="BJ532" s="1382"/>
      <c r="BK532" s="1382"/>
      <c r="BL532" s="1382"/>
      <c r="BM532" s="1382"/>
      <c r="BN532" s="1382"/>
      <c r="BO532" s="1382"/>
      <c r="BP532" s="1382"/>
      <c r="BQ532" s="1382"/>
      <c r="BR532" s="1383"/>
      <c r="BS532" s="1370">
        <f t="shared" si="947"/>
        <v>46382</v>
      </c>
      <c r="BT532" s="1384" t="str">
        <f t="shared" si="1009"/>
        <v/>
      </c>
      <c r="BU532" s="1382"/>
      <c r="BV532" s="1382"/>
      <c r="BW532" s="1382"/>
      <c r="BX532" s="1382"/>
      <c r="BY532" s="1382"/>
      <c r="BZ532" s="1382"/>
      <c r="CA532" s="1382"/>
      <c r="CB532" s="1382"/>
      <c r="CD532" s="1386">
        <f t="shared" si="1002"/>
        <v>0</v>
      </c>
      <c r="DC532" s="16" t="str">
        <f>Décembre!FC45</f>
        <v>non</v>
      </c>
      <c r="DG532" s="315">
        <f t="shared" si="1003"/>
        <v>1</v>
      </c>
      <c r="DH532" s="129">
        <f t="shared" si="981"/>
        <v>10</v>
      </c>
      <c r="DI532" s="129">
        <f t="shared" si="1004"/>
        <v>1</v>
      </c>
      <c r="DK532" s="16">
        <f>+IF(AND(Décembre!$DP$8&lt;&gt;52,AR532=S.CAL!$BJ$4),10,1)</f>
        <v>1</v>
      </c>
      <c r="DN532" s="16">
        <f t="shared" si="982"/>
        <v>1</v>
      </c>
      <c r="DU532" s="1274" t="str">
        <f t="shared" si="1005"/>
        <v>Fiche infoA646382</v>
      </c>
      <c r="DV532" s="1362">
        <f t="shared" si="983"/>
        <v>0</v>
      </c>
      <c r="DW532" s="1363">
        <f t="shared" si="984"/>
        <v>0</v>
      </c>
      <c r="DX532" s="1363">
        <f t="shared" si="985"/>
        <v>0</v>
      </c>
      <c r="DY532" s="1363">
        <f t="shared" si="986"/>
        <v>0</v>
      </c>
      <c r="DZ532" s="1363">
        <f t="shared" si="987"/>
        <v>0</v>
      </c>
      <c r="EA532" s="1363">
        <f t="shared" si="988"/>
        <v>0</v>
      </c>
      <c r="EB532" s="1363">
        <f t="shared" si="989"/>
        <v>0</v>
      </c>
      <c r="EC532" s="1363">
        <f t="shared" si="990"/>
        <v>0</v>
      </c>
      <c r="ED532" s="1363">
        <f t="shared" si="1006"/>
        <v>0</v>
      </c>
      <c r="EE532" s="1364">
        <f t="shared" si="1007"/>
        <v>0</v>
      </c>
      <c r="EG532" s="16" t="str">
        <f t="shared" si="1008"/>
        <v>522026</v>
      </c>
      <c r="EH532" s="16" t="str">
        <f t="shared" si="991"/>
        <v>Fiche infoA6</v>
      </c>
      <c r="EI532" s="16" t="str">
        <f t="shared" si="992"/>
        <v/>
      </c>
    </row>
    <row r="533" spans="1:139" x14ac:dyDescent="0.2">
      <c r="A533" s="24" t="str">
        <f>Décembre!BJ46</f>
        <v>Fiche infoA7</v>
      </c>
      <c r="B533" s="811">
        <f>Décembre!AB46</f>
        <v>46383</v>
      </c>
      <c r="C533" s="1371"/>
      <c r="D533" s="981">
        <f t="shared" si="948"/>
        <v>0</v>
      </c>
      <c r="E533" s="434">
        <f t="shared" si="949"/>
        <v>0</v>
      </c>
      <c r="F533" s="434">
        <f t="shared" si="950"/>
        <v>0</v>
      </c>
      <c r="G533" s="434">
        <f t="shared" si="951"/>
        <v>0</v>
      </c>
      <c r="H533" s="434">
        <f t="shared" si="952"/>
        <v>0</v>
      </c>
      <c r="I533" s="434">
        <f t="shared" si="953"/>
        <v>0</v>
      </c>
      <c r="J533" s="434">
        <f t="shared" si="954"/>
        <v>0</v>
      </c>
      <c r="K533" s="434">
        <f t="shared" si="955"/>
        <v>0</v>
      </c>
      <c r="L533" s="434">
        <f t="shared" si="993"/>
        <v>0</v>
      </c>
      <c r="M533" s="982">
        <f t="shared" si="994"/>
        <v>0</v>
      </c>
      <c r="O533" s="981">
        <f t="shared" si="1010"/>
        <v>0</v>
      </c>
      <c r="P533" s="434">
        <f t="shared" si="1011"/>
        <v>0</v>
      </c>
      <c r="Q533" s="434">
        <f t="shared" si="1012"/>
        <v>0</v>
      </c>
      <c r="R533" s="434">
        <f t="shared" si="1013"/>
        <v>0</v>
      </c>
      <c r="S533" s="434">
        <f t="shared" si="1014"/>
        <v>0</v>
      </c>
      <c r="T533" s="434">
        <f t="shared" si="1015"/>
        <v>0</v>
      </c>
      <c r="U533" s="434">
        <f t="shared" si="1016"/>
        <v>0</v>
      </c>
      <c r="V533" s="434">
        <f t="shared" si="1017"/>
        <v>0</v>
      </c>
      <c r="W533" s="434">
        <f t="shared" si="964"/>
        <v>0</v>
      </c>
      <c r="X533" s="982">
        <f t="shared" si="965"/>
        <v>0</v>
      </c>
      <c r="Y533" s="441"/>
      <c r="Z533" s="277">
        <f t="shared" si="966"/>
        <v>0</v>
      </c>
      <c r="AA533" s="277">
        <f t="shared" si="967"/>
        <v>0</v>
      </c>
      <c r="AB533" s="277">
        <f t="shared" si="968"/>
        <v>0</v>
      </c>
      <c r="AC533" s="277">
        <f t="shared" si="969"/>
        <v>0</v>
      </c>
      <c r="AD533" s="277">
        <f t="shared" si="970"/>
        <v>0</v>
      </c>
      <c r="AE533" s="277">
        <f t="shared" si="971"/>
        <v>0</v>
      </c>
      <c r="AF533" s="277">
        <f t="shared" si="972"/>
        <v>0</v>
      </c>
      <c r="AG533" s="277">
        <f t="shared" si="973"/>
        <v>0</v>
      </c>
      <c r="AI533" s="444">
        <f t="shared" si="1018"/>
        <v>0</v>
      </c>
      <c r="AJ533" s="1090"/>
      <c r="AK533" s="489"/>
      <c r="AL533" s="811">
        <f t="shared" si="975"/>
        <v>46383</v>
      </c>
      <c r="AM533" s="666">
        <f>IFERROR(IF(AND(AT533="",AR533&lt;&gt;S.CAL!$BJ$3,AR533&lt;&gt;S.CAL!$BJ$4,$AR$500="NON"),M533-BD533,IF(AND(AT533="",AR533&lt;&gt;S.CAL!$BJ$3,AR533&lt;&gt;S.CAL!$BJ$4,$AR$500="OUI"),X533-AI533,IF(AT533&lt;&gt;0,AT533,IF(OR(AR533=S.CAL!$BJ$3,AR533=S.CAL!$BJ$4),AR533,"")))),"")</f>
        <v>0</v>
      </c>
      <c r="AN533" s="1093"/>
      <c r="AO533" s="1094"/>
      <c r="AP533" s="666">
        <f>+IF(AND(AU533="",BB533="OUI",BH533="non",BI533="OUI"),AM533,IF(AND(AU533="",BB533="OUI",BH533="oui",BI533="NON"),AM533,IF(AND(AU533="",BB533="NON",BH533="oui",BI533="NON"),M533,IF(AND(AU533="",BB533="NON",BH533="non",BI533="OUI"),M533,IF(AND(AU533="",BB533="OUI",BH533="non",BI533="NON"),"ERREUR",IF(AND(AU533="",BB533="NON",BH533="non",BI533="NON"),AM533,IF(AND(AU533="",BB533="OUI",BH533="",BI533=""),AM533,IF(AND(AU533="",BB533="NON",BH533="",BI533="",AZ533="NON"),M533,IF(AND(AU533="",BH533="",AZ533="OUI",AR533=""),AM533,IF(AND(AU533="",BH533="",AZ533="NON",AR533="",AT533=""),M533,IF(AND(OR(AR533=S.CAL!$BJ$3,AR533=S.CAL!$BJ$4),(VLOOKUP($AM$500,base_nbre_sem_mensu,2,FALSE)=52)),EE533,IF(AND(OR(AR533=S.CAL!$BJ$3,AR533=S.CAL!$BJ$4),(VLOOKUP($AM$500,base_nbre_sem_mensu,2,FALSE)&lt;52)),AM533,IF(AND(AT533&lt;&gt;"",AU533=""),AT533,AU533)))))))))))))</f>
        <v>0</v>
      </c>
      <c r="AQ533" s="498">
        <f t="shared" si="995"/>
        <v>0</v>
      </c>
      <c r="AR533" s="1098"/>
      <c r="AT533" s="1101"/>
      <c r="AU533" s="813"/>
      <c r="AV533" s="1370">
        <f t="shared" si="976"/>
        <v>46383</v>
      </c>
      <c r="AX533" s="511">
        <f t="shared" si="996"/>
        <v>46383</v>
      </c>
      <c r="AY533" s="523">
        <f t="shared" si="997"/>
        <v>0</v>
      </c>
      <c r="AZ533" s="520" t="s">
        <v>137</v>
      </c>
      <c r="BA533" s="516">
        <f t="shared" si="998"/>
        <v>0</v>
      </c>
      <c r="BB533" s="549" t="str">
        <f t="shared" si="977"/>
        <v/>
      </c>
      <c r="BC533" s="523">
        <f t="shared" si="999"/>
        <v>0</v>
      </c>
      <c r="BD533" s="523">
        <f t="shared" si="1000"/>
        <v>0</v>
      </c>
      <c r="BE533" s="1104"/>
      <c r="BF533" s="514" t="str">
        <f t="shared" si="978"/>
        <v/>
      </c>
      <c r="BG533" s="514" t="str">
        <f t="shared" si="1001"/>
        <v>oui</v>
      </c>
      <c r="BH533" s="377" t="str">
        <f t="shared" si="979"/>
        <v/>
      </c>
      <c r="BI533" s="24" t="str">
        <f t="shared" si="980"/>
        <v/>
      </c>
      <c r="BJ533" s="1381"/>
      <c r="BK533" s="1381"/>
      <c r="BL533" s="1381"/>
      <c r="BM533" s="1381"/>
      <c r="BN533" s="1381"/>
      <c r="BO533" s="1381"/>
      <c r="BP533" s="1381"/>
      <c r="BQ533" s="1381"/>
      <c r="BS533" s="1370">
        <f t="shared" si="947"/>
        <v>46383</v>
      </c>
      <c r="BT533" s="27" t="str">
        <f t="shared" si="1009"/>
        <v/>
      </c>
      <c r="BU533" s="1380"/>
      <c r="BV533" s="1380"/>
      <c r="BW533" s="1380"/>
      <c r="BX533" s="1380"/>
      <c r="BY533" s="1380"/>
      <c r="BZ533" s="1380"/>
      <c r="CA533" s="1380"/>
      <c r="CB533" s="1380"/>
      <c r="CD533" s="1386">
        <f t="shared" si="1002"/>
        <v>0</v>
      </c>
      <c r="DC533" s="16" t="str">
        <f>Décembre!FC46</f>
        <v>non</v>
      </c>
      <c r="DG533" s="315">
        <f t="shared" si="1003"/>
        <v>1</v>
      </c>
      <c r="DH533" s="129">
        <f t="shared" si="981"/>
        <v>10</v>
      </c>
      <c r="DI533" s="129">
        <f t="shared" si="1004"/>
        <v>1</v>
      </c>
      <c r="DK533" s="16">
        <f>+IF(AND(Décembre!$DP$8&lt;&gt;52,AR533=S.CAL!$BJ$4),10,1)</f>
        <v>1</v>
      </c>
      <c r="DN533" s="16">
        <f t="shared" si="982"/>
        <v>1</v>
      </c>
      <c r="DU533" s="1274" t="str">
        <f t="shared" si="1005"/>
        <v>Fiche infoA746383</v>
      </c>
      <c r="DV533" s="1362">
        <f t="shared" si="983"/>
        <v>0</v>
      </c>
      <c r="DW533" s="1363">
        <f t="shared" si="984"/>
        <v>0</v>
      </c>
      <c r="DX533" s="1363">
        <f t="shared" si="985"/>
        <v>0</v>
      </c>
      <c r="DY533" s="1363">
        <f t="shared" si="986"/>
        <v>0</v>
      </c>
      <c r="DZ533" s="1363">
        <f t="shared" si="987"/>
        <v>0</v>
      </c>
      <c r="EA533" s="1363">
        <f t="shared" si="988"/>
        <v>0</v>
      </c>
      <c r="EB533" s="1363">
        <f t="shared" si="989"/>
        <v>0</v>
      </c>
      <c r="EC533" s="1363">
        <f t="shared" si="990"/>
        <v>0</v>
      </c>
      <c r="ED533" s="1363">
        <f t="shared" si="1006"/>
        <v>0</v>
      </c>
      <c r="EE533" s="1364">
        <f t="shared" si="1007"/>
        <v>0</v>
      </c>
      <c r="EG533" s="16" t="str">
        <f t="shared" si="1008"/>
        <v>522026</v>
      </c>
      <c r="EH533" s="16" t="str">
        <f t="shared" si="991"/>
        <v>Fiche infoA7</v>
      </c>
      <c r="EI533" s="16" t="str">
        <f t="shared" si="992"/>
        <v/>
      </c>
    </row>
    <row r="534" spans="1:139" x14ac:dyDescent="0.2">
      <c r="A534" s="1373" t="str">
        <f>Décembre!BJ47</f>
        <v>Fiche infoA1</v>
      </c>
      <c r="B534" s="811">
        <f>Décembre!AB47</f>
        <v>46384</v>
      </c>
      <c r="C534" s="1372"/>
      <c r="D534" s="981">
        <f t="shared" si="948"/>
        <v>0</v>
      </c>
      <c r="E534" s="434">
        <f t="shared" si="949"/>
        <v>0</v>
      </c>
      <c r="F534" s="434">
        <f t="shared" si="950"/>
        <v>0</v>
      </c>
      <c r="G534" s="434">
        <f t="shared" si="951"/>
        <v>0</v>
      </c>
      <c r="H534" s="434">
        <f t="shared" si="952"/>
        <v>0</v>
      </c>
      <c r="I534" s="434">
        <f t="shared" si="953"/>
        <v>0</v>
      </c>
      <c r="J534" s="434">
        <f t="shared" si="954"/>
        <v>0</v>
      </c>
      <c r="K534" s="434">
        <f t="shared" si="955"/>
        <v>0</v>
      </c>
      <c r="L534" s="434">
        <f t="shared" si="993"/>
        <v>0</v>
      </c>
      <c r="M534" s="982">
        <f t="shared" si="994"/>
        <v>0</v>
      </c>
      <c r="N534" s="1374"/>
      <c r="O534" s="981">
        <f t="shared" si="1010"/>
        <v>0</v>
      </c>
      <c r="P534" s="434">
        <f t="shared" si="1011"/>
        <v>0</v>
      </c>
      <c r="Q534" s="434">
        <f t="shared" si="1012"/>
        <v>0</v>
      </c>
      <c r="R534" s="434">
        <f t="shared" si="1013"/>
        <v>0</v>
      </c>
      <c r="S534" s="434">
        <f t="shared" si="1014"/>
        <v>0</v>
      </c>
      <c r="T534" s="434">
        <f t="shared" si="1015"/>
        <v>0</v>
      </c>
      <c r="U534" s="434">
        <f t="shared" si="1016"/>
        <v>0</v>
      </c>
      <c r="V534" s="434">
        <f t="shared" si="1017"/>
        <v>0</v>
      </c>
      <c r="W534" s="434">
        <f t="shared" si="964"/>
        <v>0</v>
      </c>
      <c r="X534" s="982">
        <f t="shared" si="965"/>
        <v>0</v>
      </c>
      <c r="Y534" s="1375"/>
      <c r="Z534" s="1376">
        <f t="shared" si="966"/>
        <v>0</v>
      </c>
      <c r="AA534" s="1376">
        <f t="shared" si="967"/>
        <v>0</v>
      </c>
      <c r="AB534" s="1376">
        <f t="shared" si="968"/>
        <v>0</v>
      </c>
      <c r="AC534" s="1376">
        <f t="shared" si="969"/>
        <v>0</v>
      </c>
      <c r="AD534" s="1376">
        <f t="shared" si="970"/>
        <v>0</v>
      </c>
      <c r="AE534" s="1376">
        <f t="shared" si="971"/>
        <v>0</v>
      </c>
      <c r="AF534" s="1376">
        <f t="shared" si="972"/>
        <v>0</v>
      </c>
      <c r="AG534" s="1376">
        <f t="shared" si="973"/>
        <v>0</v>
      </c>
      <c r="AH534" s="1374"/>
      <c r="AI534" s="444">
        <f t="shared" si="1018"/>
        <v>0</v>
      </c>
      <c r="AJ534" s="1090"/>
      <c r="AK534" s="1377"/>
      <c r="AL534" s="811">
        <f t="shared" si="975"/>
        <v>46384</v>
      </c>
      <c r="AM534" s="666">
        <f>IFERROR(IF(AND(AT534="",AR534&lt;&gt;S.CAL!$BJ$3,AR534&lt;&gt;S.CAL!$BJ$4,$AR$500="NON"),M534-BD534,IF(AND(AT534="",AR534&lt;&gt;S.CAL!$BJ$3,AR534&lt;&gt;S.CAL!$BJ$4,$AR$500="OUI"),X534-AI534,IF(AT534&lt;&gt;0,AT534,IF(OR(AR534=S.CAL!$BJ$3,AR534=S.CAL!$BJ$4),AR534,"")))),"")</f>
        <v>0</v>
      </c>
      <c r="AN534" s="1093"/>
      <c r="AO534" s="1094"/>
      <c r="AP534" s="666">
        <f>+IF(AND(AU534="",BB534="OUI",BH534="non",BI534="OUI"),AM534,IF(AND(AU534="",BB534="OUI",BH534="oui",BI534="NON"),AM534,IF(AND(AU534="",BB534="NON",BH534="oui",BI534="NON"),M534,IF(AND(AU534="",BB534="NON",BH534="non",BI534="OUI"),M534,IF(AND(AU534="",BB534="OUI",BH534="non",BI534="NON"),"ERREUR",IF(AND(AU534="",BB534="NON",BH534="non",BI534="NON"),AM534,IF(AND(AU534="",BB534="OUI",BH534="",BI534=""),AM534,IF(AND(AU534="",BB534="NON",BH534="",BI534="",AZ534="NON"),M534,IF(AND(AU534="",BH534="",AZ534="OUI",AR534=""),AM534,IF(AND(AU534="",BH534="",AZ534="NON",AR534="",AT534=""),M534,IF(AND(OR(AR534=S.CAL!$BJ$3,AR534=S.CAL!$BJ$4),(VLOOKUP($AM$500,base_nbre_sem_mensu,2,FALSE)=52)),EE534,IF(AND(OR(AR534=S.CAL!$BJ$3,AR534=S.CAL!$BJ$4),(VLOOKUP($AM$500,base_nbre_sem_mensu,2,FALSE)&lt;52)),AM534,IF(AND(AT534&lt;&gt;"",AU534=""),AT534,AU534)))))))))))))</f>
        <v>0</v>
      </c>
      <c r="AQ534" s="1378">
        <f t="shared" si="995"/>
        <v>0</v>
      </c>
      <c r="AR534" s="1098"/>
      <c r="AS534" s="1374"/>
      <c r="AT534" s="1101"/>
      <c r="AU534" s="813"/>
      <c r="AV534" s="1370">
        <f t="shared" si="976"/>
        <v>46384</v>
      </c>
      <c r="AW534" s="1374"/>
      <c r="AX534" s="511">
        <f t="shared" si="996"/>
        <v>46384</v>
      </c>
      <c r="AY534" s="523">
        <f t="shared" si="997"/>
        <v>0</v>
      </c>
      <c r="AZ534" s="520" t="s">
        <v>137</v>
      </c>
      <c r="BA534" s="516">
        <f t="shared" si="998"/>
        <v>0</v>
      </c>
      <c r="BB534" s="549" t="str">
        <f t="shared" si="977"/>
        <v/>
      </c>
      <c r="BC534" s="523">
        <f t="shared" si="999"/>
        <v>0</v>
      </c>
      <c r="BD534" s="523">
        <f t="shared" si="1000"/>
        <v>0</v>
      </c>
      <c r="BE534" s="1104"/>
      <c r="BF534" s="514" t="str">
        <f t="shared" si="978"/>
        <v/>
      </c>
      <c r="BG534" s="514" t="str">
        <f t="shared" si="1001"/>
        <v>oui</v>
      </c>
      <c r="BH534" s="377" t="str">
        <f t="shared" si="979"/>
        <v/>
      </c>
      <c r="BI534" s="24" t="str">
        <f t="shared" si="980"/>
        <v/>
      </c>
      <c r="BJ534" s="1382"/>
      <c r="BK534" s="1382"/>
      <c r="BL534" s="1382"/>
      <c r="BM534" s="1382"/>
      <c r="BN534" s="1382"/>
      <c r="BO534" s="1382"/>
      <c r="BP534" s="1382"/>
      <c r="BQ534" s="1382"/>
      <c r="BR534" s="1383"/>
      <c r="BS534" s="1370">
        <f t="shared" si="947"/>
        <v>46384</v>
      </c>
      <c r="BT534" s="1384">
        <f t="shared" si="1009"/>
        <v>53</v>
      </c>
      <c r="BU534" s="1382"/>
      <c r="BV534" s="1382"/>
      <c r="BW534" s="1382"/>
      <c r="BX534" s="1382"/>
      <c r="BY534" s="1382"/>
      <c r="BZ534" s="1382"/>
      <c r="CA534" s="1382"/>
      <c r="CB534" s="1382"/>
      <c r="CD534" s="1386">
        <f t="shared" si="1002"/>
        <v>0</v>
      </c>
      <c r="DC534" s="16" t="str">
        <f>Décembre!FC47</f>
        <v>non</v>
      </c>
      <c r="DG534" s="315">
        <f t="shared" si="1003"/>
        <v>1</v>
      </c>
      <c r="DH534" s="129">
        <f t="shared" si="981"/>
        <v>10</v>
      </c>
      <c r="DI534" s="129">
        <f t="shared" si="1004"/>
        <v>1</v>
      </c>
      <c r="DK534" s="16">
        <f>+IF(AND(Décembre!$DP$8&lt;&gt;52,AR534=S.CAL!$BJ$4),10,1)</f>
        <v>1</v>
      </c>
      <c r="DN534" s="16">
        <f t="shared" si="982"/>
        <v>1</v>
      </c>
      <c r="DU534" s="1274" t="str">
        <f t="shared" si="1005"/>
        <v>Fiche infoA146384</v>
      </c>
      <c r="DV534" s="1362">
        <f t="shared" si="983"/>
        <v>0</v>
      </c>
      <c r="DW534" s="1363">
        <f t="shared" si="984"/>
        <v>0</v>
      </c>
      <c r="DX534" s="1363">
        <f t="shared" si="985"/>
        <v>0</v>
      </c>
      <c r="DY534" s="1363">
        <f t="shared" si="986"/>
        <v>0</v>
      </c>
      <c r="DZ534" s="1363">
        <f t="shared" si="987"/>
        <v>0</v>
      </c>
      <c r="EA534" s="1363">
        <f t="shared" si="988"/>
        <v>0</v>
      </c>
      <c r="EB534" s="1363">
        <f t="shared" si="989"/>
        <v>0</v>
      </c>
      <c r="EC534" s="1363">
        <f t="shared" si="990"/>
        <v>0</v>
      </c>
      <c r="ED534" s="1363">
        <f t="shared" si="1006"/>
        <v>0</v>
      </c>
      <c r="EE534" s="1364">
        <f t="shared" si="1007"/>
        <v>0</v>
      </c>
      <c r="EG534" s="16" t="str">
        <f t="shared" si="1008"/>
        <v>532026</v>
      </c>
      <c r="EH534" s="16" t="str">
        <f t="shared" si="991"/>
        <v>Fiche infoA1</v>
      </c>
      <c r="EI534" s="16" t="str">
        <f t="shared" si="992"/>
        <v/>
      </c>
    </row>
    <row r="535" spans="1:139" x14ac:dyDescent="0.2">
      <c r="A535" s="24" t="str">
        <f>Décembre!BJ48</f>
        <v>Fiche infoA2</v>
      </c>
      <c r="B535" s="811">
        <f>Décembre!AB48</f>
        <v>46385</v>
      </c>
      <c r="C535" s="1371"/>
      <c r="D535" s="981">
        <f t="shared" si="948"/>
        <v>0</v>
      </c>
      <c r="E535" s="434">
        <f t="shared" si="949"/>
        <v>0</v>
      </c>
      <c r="F535" s="434">
        <f t="shared" si="950"/>
        <v>0</v>
      </c>
      <c r="G535" s="434">
        <f t="shared" si="951"/>
        <v>0</v>
      </c>
      <c r="H535" s="434">
        <f t="shared" si="952"/>
        <v>0</v>
      </c>
      <c r="I535" s="434">
        <f t="shared" si="953"/>
        <v>0</v>
      </c>
      <c r="J535" s="434">
        <f t="shared" si="954"/>
        <v>0</v>
      </c>
      <c r="K535" s="434">
        <f t="shared" si="955"/>
        <v>0</v>
      </c>
      <c r="L535" s="434">
        <f t="shared" si="993"/>
        <v>0</v>
      </c>
      <c r="M535" s="982">
        <f t="shared" si="994"/>
        <v>0</v>
      </c>
      <c r="O535" s="981">
        <f t="shared" si="1010"/>
        <v>0</v>
      </c>
      <c r="P535" s="434">
        <f t="shared" si="1011"/>
        <v>0</v>
      </c>
      <c r="Q535" s="434">
        <f t="shared" si="1012"/>
        <v>0</v>
      </c>
      <c r="R535" s="434">
        <f t="shared" si="1013"/>
        <v>0</v>
      </c>
      <c r="S535" s="434">
        <f t="shared" si="1014"/>
        <v>0</v>
      </c>
      <c r="T535" s="434">
        <f t="shared" si="1015"/>
        <v>0</v>
      </c>
      <c r="U535" s="434">
        <f t="shared" si="1016"/>
        <v>0</v>
      </c>
      <c r="V535" s="434">
        <f t="shared" si="1017"/>
        <v>0</v>
      </c>
      <c r="W535" s="434">
        <f t="shared" si="964"/>
        <v>0</v>
      </c>
      <c r="X535" s="982">
        <f t="shared" si="965"/>
        <v>0</v>
      </c>
      <c r="Y535" s="441"/>
      <c r="Z535" s="277">
        <f t="shared" si="966"/>
        <v>0</v>
      </c>
      <c r="AA535" s="277">
        <f t="shared" si="967"/>
        <v>0</v>
      </c>
      <c r="AB535" s="277">
        <f t="shared" si="968"/>
        <v>0</v>
      </c>
      <c r="AC535" s="277">
        <f t="shared" si="969"/>
        <v>0</v>
      </c>
      <c r="AD535" s="277">
        <f t="shared" si="970"/>
        <v>0</v>
      </c>
      <c r="AE535" s="277">
        <f t="shared" si="971"/>
        <v>0</v>
      </c>
      <c r="AF535" s="277">
        <f t="shared" si="972"/>
        <v>0</v>
      </c>
      <c r="AG535" s="277">
        <f t="shared" si="973"/>
        <v>0</v>
      </c>
      <c r="AI535" s="444">
        <f t="shared" si="1018"/>
        <v>0</v>
      </c>
      <c r="AJ535" s="1090"/>
      <c r="AK535" s="489"/>
      <c r="AL535" s="811">
        <f t="shared" si="975"/>
        <v>46385</v>
      </c>
      <c r="AM535" s="666">
        <f>IFERROR(IF(AND(AT535="",AR535&lt;&gt;S.CAL!$BJ$3,AR535&lt;&gt;S.CAL!$BJ$4,$AR$500="NON"),M535-BD535,IF(AND(AT535="",AR535&lt;&gt;S.CAL!$BJ$3,AR535&lt;&gt;S.CAL!$BJ$4,$AR$500="OUI"),X535-AI535,IF(AT535&lt;&gt;0,AT535,IF(OR(AR535=S.CAL!$BJ$3,AR535=S.CAL!$BJ$4),AR535,"")))),"")</f>
        <v>0</v>
      </c>
      <c r="AN535" s="1093"/>
      <c r="AO535" s="1094"/>
      <c r="AP535" s="666">
        <f>+IF(AND(AU535="",BB535="OUI",BH535="non",BI535="OUI"),AM535,IF(AND(AU535="",BB535="OUI",BH535="oui",BI535="NON"),AM535,IF(AND(AU535="",BB535="NON",BH535="oui",BI535="NON"),M535,IF(AND(AU535="",BB535="NON",BH535="non",BI535="OUI"),M535,IF(AND(AU535="",BB535="OUI",BH535="non",BI535="NON"),"ERREUR",IF(AND(AU535="",BB535="NON",BH535="non",BI535="NON"),AM535,IF(AND(AU535="",BB535="OUI",BH535="",BI535=""),AM535,IF(AND(AU535="",BB535="NON",BH535="",BI535="",AZ535="NON"),M535,IF(AND(AU535="",BH535="",AZ535="OUI",AR535=""),AM535,IF(AND(AU535="",BH535="",AZ535="NON",AR535="",AT535=""),M535,IF(AND(OR(AR535=S.CAL!$BJ$3,AR535=S.CAL!$BJ$4),(VLOOKUP($AM$500,base_nbre_sem_mensu,2,FALSE)=52)),EE535,IF(AND(OR(AR535=S.CAL!$BJ$3,AR535=S.CAL!$BJ$4),(VLOOKUP($AM$500,base_nbre_sem_mensu,2,FALSE)&lt;52)),AM535,IF(AND(AT535&lt;&gt;"",AU535=""),AT535,AU535)))))))))))))</f>
        <v>0</v>
      </c>
      <c r="AQ535" s="498">
        <f t="shared" si="995"/>
        <v>0</v>
      </c>
      <c r="AR535" s="1098"/>
      <c r="AT535" s="1101"/>
      <c r="AU535" s="813"/>
      <c r="AV535" s="1370">
        <f t="shared" si="976"/>
        <v>46385</v>
      </c>
      <c r="AX535" s="511">
        <f t="shared" si="996"/>
        <v>46385</v>
      </c>
      <c r="AY535" s="523">
        <f t="shared" si="997"/>
        <v>0</v>
      </c>
      <c r="AZ535" s="520" t="s">
        <v>137</v>
      </c>
      <c r="BA535" s="516">
        <f t="shared" si="998"/>
        <v>0</v>
      </c>
      <c r="BB535" s="549" t="str">
        <f t="shared" si="977"/>
        <v/>
      </c>
      <c r="BC535" s="523">
        <f t="shared" si="999"/>
        <v>0</v>
      </c>
      <c r="BD535" s="523">
        <f t="shared" si="1000"/>
        <v>0</v>
      </c>
      <c r="BE535" s="1104"/>
      <c r="BF535" s="514" t="str">
        <f t="shared" si="978"/>
        <v/>
      </c>
      <c r="BG535" s="514" t="str">
        <f t="shared" si="1001"/>
        <v>oui</v>
      </c>
      <c r="BH535" s="377" t="str">
        <f t="shared" si="979"/>
        <v/>
      </c>
      <c r="BI535" s="24" t="str">
        <f t="shared" si="980"/>
        <v/>
      </c>
      <c r="BJ535" s="1381"/>
      <c r="BK535" s="1381"/>
      <c r="BL535" s="1381"/>
      <c r="BM535" s="1381"/>
      <c r="BN535" s="1381"/>
      <c r="BO535" s="1381"/>
      <c r="BP535" s="1381"/>
      <c r="BQ535" s="1381"/>
      <c r="BS535" s="1370">
        <f t="shared" si="947"/>
        <v>46385</v>
      </c>
      <c r="BT535" s="27" t="str">
        <f t="shared" si="1009"/>
        <v/>
      </c>
      <c r="BU535" s="1380"/>
      <c r="BV535" s="1380"/>
      <c r="BW535" s="1380"/>
      <c r="BX535" s="1380"/>
      <c r="BY535" s="1380"/>
      <c r="BZ535" s="1380"/>
      <c r="CA535" s="1380"/>
      <c r="CB535" s="1380"/>
      <c r="CD535" s="1386">
        <f t="shared" si="1002"/>
        <v>0</v>
      </c>
      <c r="DC535" s="16" t="str">
        <f>Décembre!FC48</f>
        <v>non</v>
      </c>
      <c r="DG535" s="315">
        <f t="shared" si="1003"/>
        <v>1</v>
      </c>
      <c r="DH535" s="129">
        <f t="shared" si="981"/>
        <v>10</v>
      </c>
      <c r="DI535" s="129">
        <f t="shared" si="1004"/>
        <v>1</v>
      </c>
      <c r="DK535" s="16">
        <f>+IF(AND(Décembre!$DP$8&lt;&gt;52,AR535=S.CAL!$BJ$4),10,1)</f>
        <v>1</v>
      </c>
      <c r="DN535" s="16">
        <f t="shared" si="982"/>
        <v>1</v>
      </c>
      <c r="DU535" s="1274" t="str">
        <f t="shared" si="1005"/>
        <v>Fiche infoA246385</v>
      </c>
      <c r="DV535" s="1362">
        <f t="shared" si="983"/>
        <v>0</v>
      </c>
      <c r="DW535" s="1363">
        <f t="shared" si="984"/>
        <v>0</v>
      </c>
      <c r="DX535" s="1363">
        <f t="shared" si="985"/>
        <v>0</v>
      </c>
      <c r="DY535" s="1363">
        <f t="shared" si="986"/>
        <v>0</v>
      </c>
      <c r="DZ535" s="1363">
        <f t="shared" si="987"/>
        <v>0</v>
      </c>
      <c r="EA535" s="1363">
        <f t="shared" si="988"/>
        <v>0</v>
      </c>
      <c r="EB535" s="1363">
        <f t="shared" si="989"/>
        <v>0</v>
      </c>
      <c r="EC535" s="1363">
        <f t="shared" si="990"/>
        <v>0</v>
      </c>
      <c r="ED535" s="1363">
        <f t="shared" si="1006"/>
        <v>0</v>
      </c>
      <c r="EE535" s="1364">
        <f t="shared" si="1007"/>
        <v>0</v>
      </c>
      <c r="EG535" s="16" t="str">
        <f t="shared" si="1008"/>
        <v>532026</v>
      </c>
      <c r="EH535" s="16" t="str">
        <f t="shared" si="991"/>
        <v>Fiche infoA2</v>
      </c>
      <c r="EI535" s="16" t="str">
        <f t="shared" si="992"/>
        <v/>
      </c>
    </row>
    <row r="536" spans="1:139" x14ac:dyDescent="0.2">
      <c r="A536" s="1373" t="str">
        <f>Décembre!BJ49</f>
        <v>Fiche infoA3</v>
      </c>
      <c r="B536" s="811">
        <f>Décembre!AB49</f>
        <v>46386</v>
      </c>
      <c r="C536" s="1372"/>
      <c r="D536" s="981">
        <f t="shared" si="948"/>
        <v>0</v>
      </c>
      <c r="E536" s="434">
        <f t="shared" si="949"/>
        <v>0</v>
      </c>
      <c r="F536" s="434">
        <f t="shared" si="950"/>
        <v>0</v>
      </c>
      <c r="G536" s="434">
        <f t="shared" si="951"/>
        <v>0</v>
      </c>
      <c r="H536" s="434">
        <f t="shared" si="952"/>
        <v>0</v>
      </c>
      <c r="I536" s="434">
        <f t="shared" si="953"/>
        <v>0</v>
      </c>
      <c r="J536" s="434">
        <f t="shared" si="954"/>
        <v>0</v>
      </c>
      <c r="K536" s="434">
        <f t="shared" si="955"/>
        <v>0</v>
      </c>
      <c r="L536" s="434">
        <f t="shared" si="993"/>
        <v>0</v>
      </c>
      <c r="M536" s="982">
        <f t="shared" si="994"/>
        <v>0</v>
      </c>
      <c r="N536" s="1374"/>
      <c r="O536" s="981">
        <f t="shared" si="1010"/>
        <v>0</v>
      </c>
      <c r="P536" s="434">
        <f t="shared" si="1011"/>
        <v>0</v>
      </c>
      <c r="Q536" s="434">
        <f t="shared" si="1012"/>
        <v>0</v>
      </c>
      <c r="R536" s="434">
        <f t="shared" si="1013"/>
        <v>0</v>
      </c>
      <c r="S536" s="434">
        <f t="shared" si="1014"/>
        <v>0</v>
      </c>
      <c r="T536" s="434">
        <f t="shared" si="1015"/>
        <v>0</v>
      </c>
      <c r="U536" s="434">
        <f t="shared" si="1016"/>
        <v>0</v>
      </c>
      <c r="V536" s="434">
        <f t="shared" si="1017"/>
        <v>0</v>
      </c>
      <c r="W536" s="434">
        <f t="shared" si="964"/>
        <v>0</v>
      </c>
      <c r="X536" s="982">
        <f t="shared" si="965"/>
        <v>0</v>
      </c>
      <c r="Y536" s="1375"/>
      <c r="Z536" s="1376">
        <f t="shared" si="966"/>
        <v>0</v>
      </c>
      <c r="AA536" s="1376">
        <f t="shared" si="967"/>
        <v>0</v>
      </c>
      <c r="AB536" s="1376">
        <f t="shared" si="968"/>
        <v>0</v>
      </c>
      <c r="AC536" s="1376">
        <f t="shared" si="969"/>
        <v>0</v>
      </c>
      <c r="AD536" s="1376">
        <f t="shared" si="970"/>
        <v>0</v>
      </c>
      <c r="AE536" s="1376">
        <f t="shared" si="971"/>
        <v>0</v>
      </c>
      <c r="AF536" s="1376">
        <f t="shared" si="972"/>
        <v>0</v>
      </c>
      <c r="AG536" s="1376">
        <f t="shared" si="973"/>
        <v>0</v>
      </c>
      <c r="AH536" s="1374"/>
      <c r="AI536" s="444">
        <f t="shared" si="1018"/>
        <v>0</v>
      </c>
      <c r="AJ536" s="1090"/>
      <c r="AK536" s="1377"/>
      <c r="AL536" s="811">
        <f t="shared" si="975"/>
        <v>46386</v>
      </c>
      <c r="AM536" s="666">
        <f>IFERROR(IF(AND(AT536="",AR536&lt;&gt;S.CAL!$BJ$3,AR536&lt;&gt;S.CAL!$BJ$4,$AR$500="NON"),M536-BD536,IF(AND(AT536="",AR536&lt;&gt;S.CAL!$BJ$3,AR536&lt;&gt;S.CAL!$BJ$4,$AR$500="OUI"),X536-AI536,IF(AT536&lt;&gt;0,AT536,IF(OR(AR536=S.CAL!$BJ$3,AR536=S.CAL!$BJ$4),AR536,"")))),"")</f>
        <v>0</v>
      </c>
      <c r="AN536" s="1093"/>
      <c r="AO536" s="1094"/>
      <c r="AP536" s="666">
        <f>+IF(AND(AU536="",BB536="OUI",BH536="non",BI536="OUI"),AM536,IF(AND(AU536="",BB536="OUI",BH536="oui",BI536="NON"),AM536,IF(AND(AU536="",BB536="NON",BH536="oui",BI536="NON"),M536,IF(AND(AU536="",BB536="NON",BH536="non",BI536="OUI"),M536,IF(AND(AU536="",BB536="OUI",BH536="non",BI536="NON"),"ERREUR",IF(AND(AU536="",BB536="NON",BH536="non",BI536="NON"),AM536,IF(AND(AU536="",BB536="OUI",BH536="",BI536=""),AM536,IF(AND(AU536="",BB536="NON",BH536="",BI536="",AZ536="NON"),M536,IF(AND(AU536="",BH536="",AZ536="OUI",AR536=""),AM536,IF(AND(AU536="",BH536="",AZ536="NON",AR536="",AT536=""),M536,IF(AND(OR(AR536=S.CAL!$BJ$3,AR536=S.CAL!$BJ$4),(VLOOKUP($AM$500,base_nbre_sem_mensu,2,FALSE)=52)),EE536,IF(AND(OR(AR536=S.CAL!$BJ$3,AR536=S.CAL!$BJ$4),(VLOOKUP($AM$500,base_nbre_sem_mensu,2,FALSE)&lt;52)),AM536,IF(AND(AT536&lt;&gt;"",AU536=""),AT536,AU536)))))))))))))</f>
        <v>0</v>
      </c>
      <c r="AQ536" s="1378">
        <f t="shared" si="995"/>
        <v>0</v>
      </c>
      <c r="AR536" s="1098"/>
      <c r="AS536" s="1374"/>
      <c r="AT536" s="1101"/>
      <c r="AU536" s="813"/>
      <c r="AV536" s="1370">
        <f t="shared" si="976"/>
        <v>46386</v>
      </c>
      <c r="AW536" s="1374"/>
      <c r="AX536" s="511">
        <f t="shared" si="996"/>
        <v>46386</v>
      </c>
      <c r="AY536" s="523">
        <f t="shared" si="997"/>
        <v>0</v>
      </c>
      <c r="AZ536" s="520" t="s">
        <v>137</v>
      </c>
      <c r="BA536" s="516">
        <f t="shared" si="998"/>
        <v>0</v>
      </c>
      <c r="BB536" s="549" t="str">
        <f t="shared" si="977"/>
        <v/>
      </c>
      <c r="BC536" s="523">
        <f t="shared" si="999"/>
        <v>0</v>
      </c>
      <c r="BD536" s="523">
        <f t="shared" si="1000"/>
        <v>0</v>
      </c>
      <c r="BE536" s="1104"/>
      <c r="BF536" s="514" t="str">
        <f t="shared" si="978"/>
        <v/>
      </c>
      <c r="BG536" s="514" t="str">
        <f t="shared" si="1001"/>
        <v>oui</v>
      </c>
      <c r="BH536" s="377" t="str">
        <f t="shared" si="979"/>
        <v/>
      </c>
      <c r="BI536" s="24" t="str">
        <f t="shared" si="980"/>
        <v/>
      </c>
      <c r="BJ536" s="1382"/>
      <c r="BK536" s="1382"/>
      <c r="BL536" s="1382"/>
      <c r="BM536" s="1382"/>
      <c r="BN536" s="1382"/>
      <c r="BO536" s="1382"/>
      <c r="BP536" s="1382"/>
      <c r="BQ536" s="1382"/>
      <c r="BR536" s="1383"/>
      <c r="BS536" s="1370">
        <f t="shared" si="947"/>
        <v>46386</v>
      </c>
      <c r="BT536" s="1384" t="str">
        <f t="shared" si="1009"/>
        <v/>
      </c>
      <c r="BU536" s="1382"/>
      <c r="BV536" s="1382"/>
      <c r="BW536" s="1382"/>
      <c r="BX536" s="1382"/>
      <c r="BY536" s="1382"/>
      <c r="BZ536" s="1382"/>
      <c r="CA536" s="1382"/>
      <c r="CB536" s="1382"/>
      <c r="CD536" s="1386">
        <f t="shared" si="1002"/>
        <v>0</v>
      </c>
      <c r="DC536" s="16" t="str">
        <f>Décembre!FC49</f>
        <v>non</v>
      </c>
      <c r="DG536" s="315">
        <f t="shared" si="1003"/>
        <v>1</v>
      </c>
      <c r="DH536" s="129">
        <f t="shared" si="981"/>
        <v>10</v>
      </c>
      <c r="DI536" s="129">
        <f t="shared" si="1004"/>
        <v>1</v>
      </c>
      <c r="DK536" s="16">
        <f>+IF(AND(Décembre!$DP$8&lt;&gt;52,AR536=S.CAL!$BJ$4),10,1)</f>
        <v>1</v>
      </c>
      <c r="DN536" s="16">
        <f t="shared" si="982"/>
        <v>1</v>
      </c>
      <c r="DU536" s="1274" t="str">
        <f t="shared" si="1005"/>
        <v>Fiche infoA346386</v>
      </c>
      <c r="DV536" s="1362">
        <f t="shared" si="983"/>
        <v>0</v>
      </c>
      <c r="DW536" s="1363">
        <f t="shared" si="984"/>
        <v>0</v>
      </c>
      <c r="DX536" s="1363">
        <f t="shared" si="985"/>
        <v>0</v>
      </c>
      <c r="DY536" s="1363">
        <f t="shared" si="986"/>
        <v>0</v>
      </c>
      <c r="DZ536" s="1363">
        <f t="shared" si="987"/>
        <v>0</v>
      </c>
      <c r="EA536" s="1363">
        <f t="shared" si="988"/>
        <v>0</v>
      </c>
      <c r="EB536" s="1363">
        <f t="shared" si="989"/>
        <v>0</v>
      </c>
      <c r="EC536" s="1363">
        <f t="shared" si="990"/>
        <v>0</v>
      </c>
      <c r="ED536" s="1363">
        <f t="shared" si="1006"/>
        <v>0</v>
      </c>
      <c r="EE536" s="1364">
        <f t="shared" si="1007"/>
        <v>0</v>
      </c>
      <c r="EG536" s="16" t="str">
        <f t="shared" si="1008"/>
        <v>532026</v>
      </c>
      <c r="EH536" s="16" t="str">
        <f t="shared" si="991"/>
        <v>Fiche infoA3</v>
      </c>
      <c r="EI536" s="16" t="str">
        <f t="shared" si="992"/>
        <v/>
      </c>
    </row>
    <row r="537" spans="1:139" x14ac:dyDescent="0.2">
      <c r="A537" s="24" t="str">
        <f>Décembre!BJ50</f>
        <v>Fiche infoA4</v>
      </c>
      <c r="B537" s="812">
        <f>Décembre!AB50</f>
        <v>46387</v>
      </c>
      <c r="C537" s="1371"/>
      <c r="D537" s="983">
        <f t="shared" si="948"/>
        <v>0</v>
      </c>
      <c r="E537" s="984">
        <f t="shared" si="949"/>
        <v>0</v>
      </c>
      <c r="F537" s="984">
        <f t="shared" si="950"/>
        <v>0</v>
      </c>
      <c r="G537" s="984">
        <f t="shared" si="951"/>
        <v>0</v>
      </c>
      <c r="H537" s="984">
        <f t="shared" si="952"/>
        <v>0</v>
      </c>
      <c r="I537" s="984">
        <f t="shared" si="953"/>
        <v>0</v>
      </c>
      <c r="J537" s="984">
        <f t="shared" si="954"/>
        <v>0</v>
      </c>
      <c r="K537" s="984">
        <f t="shared" si="955"/>
        <v>0</v>
      </c>
      <c r="L537" s="984">
        <f t="shared" si="993"/>
        <v>0</v>
      </c>
      <c r="M537" s="985">
        <f t="shared" si="994"/>
        <v>0</v>
      </c>
      <c r="O537" s="983">
        <f t="shared" si="1010"/>
        <v>0</v>
      </c>
      <c r="P537" s="984">
        <f t="shared" si="1011"/>
        <v>0</v>
      </c>
      <c r="Q537" s="984">
        <f t="shared" si="1012"/>
        <v>0</v>
      </c>
      <c r="R537" s="984">
        <f t="shared" si="1013"/>
        <v>0</v>
      </c>
      <c r="S537" s="984">
        <f t="shared" si="1014"/>
        <v>0</v>
      </c>
      <c r="T537" s="984">
        <f t="shared" si="1015"/>
        <v>0</v>
      </c>
      <c r="U537" s="984">
        <f t="shared" si="1016"/>
        <v>0</v>
      </c>
      <c r="V537" s="984">
        <f t="shared" si="1017"/>
        <v>0</v>
      </c>
      <c r="W537" s="984">
        <f t="shared" si="964"/>
        <v>0</v>
      </c>
      <c r="X537" s="985">
        <f t="shared" si="965"/>
        <v>0</v>
      </c>
      <c r="Y537" s="441"/>
      <c r="Z537" s="277">
        <f t="shared" si="966"/>
        <v>0</v>
      </c>
      <c r="AA537" s="277">
        <f t="shared" si="967"/>
        <v>0</v>
      </c>
      <c r="AB537" s="277">
        <f t="shared" si="968"/>
        <v>0</v>
      </c>
      <c r="AC537" s="277">
        <f t="shared" si="969"/>
        <v>0</v>
      </c>
      <c r="AD537" s="277">
        <f t="shared" si="970"/>
        <v>0</v>
      </c>
      <c r="AE537" s="277">
        <f t="shared" si="971"/>
        <v>0</v>
      </c>
      <c r="AF537" s="277">
        <f t="shared" si="972"/>
        <v>0</v>
      </c>
      <c r="AG537" s="277">
        <f t="shared" si="973"/>
        <v>0</v>
      </c>
      <c r="AI537" s="444">
        <f t="shared" si="1018"/>
        <v>0</v>
      </c>
      <c r="AJ537" s="1090"/>
      <c r="AK537" s="489"/>
      <c r="AL537" s="812">
        <f t="shared" si="975"/>
        <v>46387</v>
      </c>
      <c r="AM537" s="499">
        <f>IFERROR(IF(AND(AT537="",AR537&lt;&gt;S.CAL!$BJ$3,AR537&lt;&gt;S.CAL!$BJ$4,$AR$500="NON"),M537-BD537,IF(AND(AT537="",AR537&lt;&gt;S.CAL!$BJ$3,AR537&lt;&gt;S.CAL!$BJ$4,$AR$500="OUI"),X537-AI537,IF(AT537&lt;&gt;0,AT537,IF(OR(AR537=S.CAL!$BJ$3,AR537=S.CAL!$BJ$4),AR537,"")))),"")</f>
        <v>0</v>
      </c>
      <c r="AN537" s="1095"/>
      <c r="AO537" s="1096"/>
      <c r="AP537" s="499">
        <f>+IF(AND(AU537="",BB537="OUI",BH537="non",BI537="OUI"),AM537,IF(AND(AU537="",BB537="OUI",BH537="oui",BI537="NON"),AM537,IF(AND(AU537="",BB537="NON",BH537="oui",BI537="NON"),M537,IF(AND(AU537="",BB537="NON",BH537="non",BI537="OUI"),M537,IF(AND(AU537="",BB537="OUI",BH537="non",BI537="NON"),"ERREUR",IF(AND(AU537="",BB537="NON",BH537="non",BI537="NON"),AM537,IF(AND(AU537="",BB537="OUI",BH537="",BI537=""),AM537,IF(AND(AU537="",BB537="NON",BH537="",BI537="",AZ537="NON"),M537,IF(AND(AU537="",BH537="",AZ537="OUI",AR537=""),AM537,IF(AND(AU537="",BH537="",AZ537="NON",AR537="",AT537=""),M537,IF(AND(OR(AR537=S.CAL!$BJ$3,AR537=S.CAL!$BJ$4),(VLOOKUP($AM$500,base_nbre_sem_mensu,2,FALSE)=52)),EE537,IF(AND(OR(AR537=S.CAL!$BJ$3,AR537=S.CAL!$BJ$4),(VLOOKUP($AM$500,base_nbre_sem_mensu,2,FALSE)&lt;52)),AM537,IF(AND(AT537&lt;&gt;"",AU537=""),AT537,AU537)))))))))))))</f>
        <v>0</v>
      </c>
      <c r="AQ537" s="498">
        <f t="shared" si="995"/>
        <v>0</v>
      </c>
      <c r="AR537" s="1099"/>
      <c r="AT537" s="1102"/>
      <c r="AU537" s="814"/>
      <c r="AV537" s="812">
        <f t="shared" si="976"/>
        <v>46387</v>
      </c>
      <c r="AX537" s="511">
        <f t="shared" si="996"/>
        <v>46387</v>
      </c>
      <c r="AY537" s="524">
        <f t="shared" si="997"/>
        <v>0</v>
      </c>
      <c r="AZ537" s="521" t="s">
        <v>137</v>
      </c>
      <c r="BA537" s="534">
        <f t="shared" si="998"/>
        <v>0</v>
      </c>
      <c r="BB537" s="522" t="str">
        <f t="shared" si="977"/>
        <v/>
      </c>
      <c r="BC537" s="524">
        <f t="shared" si="999"/>
        <v>0</v>
      </c>
      <c r="BD537" s="524">
        <f t="shared" si="1000"/>
        <v>0</v>
      </c>
      <c r="BE537" s="1105"/>
      <c r="BF537" s="514" t="str">
        <f t="shared" si="978"/>
        <v/>
      </c>
      <c r="BG537" s="514" t="str">
        <f t="shared" si="1001"/>
        <v>oui</v>
      </c>
      <c r="BH537" s="377" t="str">
        <f t="shared" si="979"/>
        <v/>
      </c>
      <c r="BI537" s="24" t="str">
        <f t="shared" si="980"/>
        <v/>
      </c>
      <c r="BJ537" s="1381"/>
      <c r="BK537" s="1381"/>
      <c r="BL537" s="1381"/>
      <c r="BM537" s="1381"/>
      <c r="BN537" s="1381"/>
      <c r="BO537" s="1381"/>
      <c r="BP537" s="1381"/>
      <c r="BQ537" s="1381"/>
      <c r="BS537" s="812">
        <f t="shared" si="947"/>
        <v>46387</v>
      </c>
      <c r="BT537" s="27" t="str">
        <f t="shared" si="1009"/>
        <v/>
      </c>
      <c r="BU537" s="1380"/>
      <c r="BV537" s="1380"/>
      <c r="BW537" s="1380"/>
      <c r="BX537" s="1380"/>
      <c r="BY537" s="1380"/>
      <c r="BZ537" s="1380"/>
      <c r="CA537" s="1380"/>
      <c r="CB537" s="1380"/>
      <c r="CD537" s="1387">
        <f t="shared" si="1002"/>
        <v>0</v>
      </c>
      <c r="DC537" s="16" t="str">
        <f>Décembre!FC50</f>
        <v>non</v>
      </c>
      <c r="DG537" s="315">
        <f t="shared" si="1003"/>
        <v>1</v>
      </c>
      <c r="DH537" s="129">
        <f t="shared" si="981"/>
        <v>10</v>
      </c>
      <c r="DI537" s="129">
        <f t="shared" si="1004"/>
        <v>1</v>
      </c>
      <c r="DK537" s="16">
        <f>+IF(AND(Décembre!$DP$8&lt;&gt;52,AR537=S.CAL!$BJ$4),10,1)</f>
        <v>1</v>
      </c>
      <c r="DN537" s="16">
        <f t="shared" si="982"/>
        <v>1</v>
      </c>
      <c r="DU537" s="1274" t="str">
        <f t="shared" si="1005"/>
        <v>Fiche infoA446387</v>
      </c>
      <c r="DV537" s="1362">
        <f t="shared" si="983"/>
        <v>0</v>
      </c>
      <c r="DW537" s="1363">
        <f t="shared" si="984"/>
        <v>0</v>
      </c>
      <c r="DX537" s="1363">
        <f t="shared" si="985"/>
        <v>0</v>
      </c>
      <c r="DY537" s="1363">
        <f t="shared" si="986"/>
        <v>0</v>
      </c>
      <c r="DZ537" s="1363">
        <f t="shared" si="987"/>
        <v>0</v>
      </c>
      <c r="EA537" s="1363">
        <f t="shared" si="988"/>
        <v>0</v>
      </c>
      <c r="EB537" s="1363">
        <f t="shared" si="989"/>
        <v>0</v>
      </c>
      <c r="EC537" s="1363">
        <f t="shared" si="990"/>
        <v>0</v>
      </c>
      <c r="ED537" s="1363">
        <f t="shared" si="1006"/>
        <v>0</v>
      </c>
      <c r="EE537" s="1364">
        <f t="shared" si="1007"/>
        <v>0</v>
      </c>
      <c r="EG537" s="16" t="str">
        <f t="shared" si="1008"/>
        <v>532026</v>
      </c>
      <c r="EH537" s="16" t="str">
        <f t="shared" si="991"/>
        <v>Fiche infoA4</v>
      </c>
      <c r="EI537" s="16" t="str">
        <f t="shared" si="992"/>
        <v/>
      </c>
    </row>
    <row r="538" spans="1:139" x14ac:dyDescent="0.2">
      <c r="AM538" s="536">
        <f>SUM(AM507:AM537)</f>
        <v>0</v>
      </c>
      <c r="AN538" s="500">
        <f>SUM(AN507:AN537)</f>
        <v>0</v>
      </c>
      <c r="AO538" s="500">
        <f>SUM(AO507:AO537)</f>
        <v>0</v>
      </c>
      <c r="AP538" s="501">
        <f>SUM(AP507:AP537)</f>
        <v>0</v>
      </c>
      <c r="BD538" s="537">
        <f>SUM(BD507:BD537)</f>
        <v>0</v>
      </c>
      <c r="EE538" s="1364"/>
    </row>
    <row r="539" spans="1:139" x14ac:dyDescent="0.2">
      <c r="X539" s="29" t="s">
        <v>441</v>
      </c>
      <c r="Y539" s="29"/>
      <c r="Z539" s="29"/>
      <c r="AA539" s="29"/>
      <c r="AB539" s="29"/>
      <c r="AC539" s="29"/>
      <c r="AD539" s="29"/>
      <c r="AE539" s="29"/>
      <c r="AF539" s="29"/>
      <c r="AG539" s="29"/>
      <c r="AI539" s="445">
        <f>SUM(AI507:AI537)</f>
        <v>0</v>
      </c>
      <c r="AJ539" s="19"/>
      <c r="AK539" s="19"/>
      <c r="AL539" s="19"/>
      <c r="AM539" s="19"/>
      <c r="AN539" s="19"/>
      <c r="AO539" s="19"/>
      <c r="AP539" s="19"/>
      <c r="AQ539" s="494"/>
    </row>
  </sheetData>
  <sheetProtection algorithmName="SHA-512" hashValue="9PvjIC8iIBVOy6e67jKld9+M1ONx+UHFYiSba1n/0U/b5nPx4wsDwx70nyntqUOkbSYNraUHAVsvMkSYnJ/bug==" saltValue="md12lqT5VeMQY8UdYrKzTg==" spinCount="100000" sheet="1" objects="1" scenarios="1" formatCells="0" formatColumns="0" formatRows="0" insertColumns="0" insertRows="0" insertHyperlinks="0" sort="0" autoFilter="0" pivotTables="0"/>
  <mergeCells count="180">
    <mergeCell ref="BW455:BX455"/>
    <mergeCell ref="BW456:BX456"/>
    <mergeCell ref="BW457:BX457"/>
    <mergeCell ref="BW497:BX497"/>
    <mergeCell ref="BW498:BX498"/>
    <mergeCell ref="BW499:BX499"/>
    <mergeCell ref="BW500:BX500"/>
    <mergeCell ref="BW501:BX501"/>
    <mergeCell ref="BW502:BX502"/>
    <mergeCell ref="BW407:BX407"/>
    <mergeCell ref="BW408:BX408"/>
    <mergeCell ref="BW409:BX409"/>
    <mergeCell ref="BW410:BX410"/>
    <mergeCell ref="BW411:BX411"/>
    <mergeCell ref="BW412:BX412"/>
    <mergeCell ref="BW452:BX452"/>
    <mergeCell ref="BW453:BX453"/>
    <mergeCell ref="BW454:BX454"/>
    <mergeCell ref="BW320:BX320"/>
    <mergeCell ref="BW321:BX321"/>
    <mergeCell ref="BW322:BX322"/>
    <mergeCell ref="BW362:BX362"/>
    <mergeCell ref="BW363:BX363"/>
    <mergeCell ref="BW364:BX364"/>
    <mergeCell ref="BW365:BX365"/>
    <mergeCell ref="BW366:BX366"/>
    <mergeCell ref="BW367:BX367"/>
    <mergeCell ref="BW272:BX272"/>
    <mergeCell ref="BW273:BX273"/>
    <mergeCell ref="BW274:BX274"/>
    <mergeCell ref="BW275:BX275"/>
    <mergeCell ref="BW276:BX276"/>
    <mergeCell ref="BW277:BX277"/>
    <mergeCell ref="BW317:BX317"/>
    <mergeCell ref="BW318:BX318"/>
    <mergeCell ref="BW319:BX319"/>
    <mergeCell ref="BW185:BX185"/>
    <mergeCell ref="BW186:BX186"/>
    <mergeCell ref="BW187:BX187"/>
    <mergeCell ref="BW227:BX227"/>
    <mergeCell ref="BW228:BX228"/>
    <mergeCell ref="BW229:BX229"/>
    <mergeCell ref="BW230:BX230"/>
    <mergeCell ref="BW231:BX231"/>
    <mergeCell ref="BW232:BX232"/>
    <mergeCell ref="BW137:BX137"/>
    <mergeCell ref="BW138:BX138"/>
    <mergeCell ref="BW139:BX139"/>
    <mergeCell ref="BW140:BX140"/>
    <mergeCell ref="BW141:BX141"/>
    <mergeCell ref="BW142:BX142"/>
    <mergeCell ref="BW182:BX182"/>
    <mergeCell ref="BW183:BX183"/>
    <mergeCell ref="BW184:BX184"/>
    <mergeCell ref="BW50:BX50"/>
    <mergeCell ref="BW51:BX51"/>
    <mergeCell ref="BW52:BX52"/>
    <mergeCell ref="BW92:BX92"/>
    <mergeCell ref="BW93:BX93"/>
    <mergeCell ref="BW94:BX94"/>
    <mergeCell ref="BW95:BX95"/>
    <mergeCell ref="BW96:BX96"/>
    <mergeCell ref="BW97:BX97"/>
    <mergeCell ref="BW2:BX2"/>
    <mergeCell ref="BW3:BX3"/>
    <mergeCell ref="BW4:BX4"/>
    <mergeCell ref="BW5:BX5"/>
    <mergeCell ref="BW6:BX6"/>
    <mergeCell ref="BW7:BX7"/>
    <mergeCell ref="BW47:BX47"/>
    <mergeCell ref="BW48:BX48"/>
    <mergeCell ref="BW49:BX49"/>
    <mergeCell ref="BK6:BL6"/>
    <mergeCell ref="BK50:BL50"/>
    <mergeCell ref="BK95:BL95"/>
    <mergeCell ref="BK140:BL140"/>
    <mergeCell ref="BK185:BL185"/>
    <mergeCell ref="AR137:AT139"/>
    <mergeCell ref="AR182:AT184"/>
    <mergeCell ref="AR227:AT229"/>
    <mergeCell ref="AT144:AV144"/>
    <mergeCell ref="AT459:AV459"/>
    <mergeCell ref="AT324:AV324"/>
    <mergeCell ref="AT279:AV279"/>
    <mergeCell ref="AR272:AT274"/>
    <mergeCell ref="BK455:BL455"/>
    <mergeCell ref="BK500:BL500"/>
    <mergeCell ref="BK230:BL230"/>
    <mergeCell ref="BK275:BL275"/>
    <mergeCell ref="BK320:BL320"/>
    <mergeCell ref="BK365:BL365"/>
    <mergeCell ref="BK410:BL410"/>
    <mergeCell ref="D365:E365"/>
    <mergeCell ref="D368:E368"/>
    <mergeCell ref="D278:E278"/>
    <mergeCell ref="D318:G318"/>
    <mergeCell ref="D320:E320"/>
    <mergeCell ref="D323:E323"/>
    <mergeCell ref="AL369:AP369"/>
    <mergeCell ref="AT369:AV369"/>
    <mergeCell ref="AL414:AP414"/>
    <mergeCell ref="AT414:AV414"/>
    <mergeCell ref="D498:G498"/>
    <mergeCell ref="D500:E500"/>
    <mergeCell ref="D503:E503"/>
    <mergeCell ref="R4:X6"/>
    <mergeCell ref="R49:X51"/>
    <mergeCell ref="R94:X96"/>
    <mergeCell ref="R139:X141"/>
    <mergeCell ref="R184:X186"/>
    <mergeCell ref="R229:X231"/>
    <mergeCell ref="R274:X276"/>
    <mergeCell ref="R319:X321"/>
    <mergeCell ref="R364:X366"/>
    <mergeCell ref="R409:X411"/>
    <mergeCell ref="R454:X456"/>
    <mergeCell ref="R499:X501"/>
    <mergeCell ref="D458:E458"/>
    <mergeCell ref="D408:G408"/>
    <mergeCell ref="D410:E410"/>
    <mergeCell ref="D413:E413"/>
    <mergeCell ref="D453:G453"/>
    <mergeCell ref="D455:E455"/>
    <mergeCell ref="D273:G273"/>
    <mergeCell ref="D275:E275"/>
    <mergeCell ref="D363:G363"/>
    <mergeCell ref="D185:E185"/>
    <mergeCell ref="D188:E188"/>
    <mergeCell ref="D228:G228"/>
    <mergeCell ref="D230:E230"/>
    <mergeCell ref="D233:E233"/>
    <mergeCell ref="AL9:AP9"/>
    <mergeCell ref="AT9:AV9"/>
    <mergeCell ref="D8:E8"/>
    <mergeCell ref="D5:E5"/>
    <mergeCell ref="D138:G138"/>
    <mergeCell ref="D140:E140"/>
    <mergeCell ref="D143:E143"/>
    <mergeCell ref="D183:G183"/>
    <mergeCell ref="D3:G3"/>
    <mergeCell ref="AR2:AT4"/>
    <mergeCell ref="AL54:AP54"/>
    <mergeCell ref="AT54:AV54"/>
    <mergeCell ref="AL99:AP99"/>
    <mergeCell ref="AT99:AV99"/>
    <mergeCell ref="AM5:AN5"/>
    <mergeCell ref="AM50:AN50"/>
    <mergeCell ref="AM95:AN95"/>
    <mergeCell ref="D98:E98"/>
    <mergeCell ref="D48:G48"/>
    <mergeCell ref="D50:E50"/>
    <mergeCell ref="D53:E53"/>
    <mergeCell ref="D93:G93"/>
    <mergeCell ref="D95:E95"/>
    <mergeCell ref="AR47:AT49"/>
    <mergeCell ref="AR92:AT94"/>
    <mergeCell ref="AL504:AP504"/>
    <mergeCell ref="AT504:AV504"/>
    <mergeCell ref="AM140:AN140"/>
    <mergeCell ref="AM185:AN185"/>
    <mergeCell ref="AM230:AN230"/>
    <mergeCell ref="AM275:AN275"/>
    <mergeCell ref="AM320:AN320"/>
    <mergeCell ref="AM365:AN365"/>
    <mergeCell ref="AM410:AN410"/>
    <mergeCell ref="AM455:AN455"/>
    <mergeCell ref="AM500:AN500"/>
    <mergeCell ref="AL324:AP324"/>
    <mergeCell ref="AL144:AP144"/>
    <mergeCell ref="AL189:AP189"/>
    <mergeCell ref="AT189:AV189"/>
    <mergeCell ref="AL234:AP234"/>
    <mergeCell ref="AT234:AV234"/>
    <mergeCell ref="AL279:AP279"/>
    <mergeCell ref="AR317:AT319"/>
    <mergeCell ref="AR362:AT364"/>
    <mergeCell ref="AR407:AT409"/>
    <mergeCell ref="AR452:AT454"/>
    <mergeCell ref="AR497:AT499"/>
    <mergeCell ref="AL459:AP459"/>
  </mergeCells>
  <conditionalFormatting sqref="B12:B42">
    <cfRule type="expression" dxfId="2370" priority="1269">
      <formula>VLOOKUP(B12,base_feries,1,FALSE)</formula>
    </cfRule>
    <cfRule type="expression" dxfId="2369" priority="1268">
      <formula>OR(WEEKDAY(B12,2)=6,WEEKDAY(B12,2)=7)</formula>
    </cfRule>
    <cfRule type="expression" dxfId="2368" priority="1267">
      <formula>WEEKDAY(B12,2)=7</formula>
    </cfRule>
  </conditionalFormatting>
  <conditionalFormatting sqref="B57:B87">
    <cfRule type="expression" dxfId="2367" priority="379">
      <formula>VLOOKUP(B57,base_feries,1,FALSE)</formula>
    </cfRule>
    <cfRule type="expression" dxfId="2366" priority="378">
      <formula>OR(WEEKDAY(B57,2)=6,WEEKDAY(B57,2)=7)</formula>
    </cfRule>
    <cfRule type="expression" dxfId="2365" priority="377">
      <formula>WEEKDAY(B57,2)=7</formula>
    </cfRule>
  </conditionalFormatting>
  <conditionalFormatting sqref="B102:B132">
    <cfRule type="expression" dxfId="2364" priority="376">
      <formula>VLOOKUP(B102,base_feries,1,FALSE)</formula>
    </cfRule>
    <cfRule type="expression" dxfId="2363" priority="375">
      <formula>OR(WEEKDAY(B102,2)=6,WEEKDAY(B102,2)=7)</formula>
    </cfRule>
    <cfRule type="expression" dxfId="2362" priority="374">
      <formula>WEEKDAY(B102,2)=7</formula>
    </cfRule>
  </conditionalFormatting>
  <conditionalFormatting sqref="B147:B177">
    <cfRule type="expression" dxfId="2361" priority="371">
      <formula>WEEKDAY(B147,2)=7</formula>
    </cfRule>
    <cfRule type="expression" dxfId="2360" priority="373">
      <formula>VLOOKUP(B147,base_feries,1,FALSE)</formula>
    </cfRule>
    <cfRule type="expression" dxfId="2359" priority="372">
      <formula>OR(WEEKDAY(B147,2)=6,WEEKDAY(B147,2)=7)</formula>
    </cfRule>
  </conditionalFormatting>
  <conditionalFormatting sqref="B192:B222">
    <cfRule type="expression" dxfId="2358" priority="368">
      <formula>WEEKDAY(B192,2)=7</formula>
    </cfRule>
    <cfRule type="expression" dxfId="2357" priority="369">
      <formula>OR(WEEKDAY(B192,2)=6,WEEKDAY(B192,2)=7)</formula>
    </cfRule>
    <cfRule type="expression" dxfId="2356" priority="370">
      <formula>VLOOKUP(B192,base_feries,1,FALSE)</formula>
    </cfRule>
  </conditionalFormatting>
  <conditionalFormatting sqref="B237:B267">
    <cfRule type="expression" dxfId="2355" priority="366">
      <formula>OR(WEEKDAY(B237,2)=6,WEEKDAY(B237,2)=7)</formula>
    </cfRule>
    <cfRule type="expression" dxfId="2354" priority="365">
      <formula>WEEKDAY(B237,2)=7</formula>
    </cfRule>
    <cfRule type="expression" dxfId="2353" priority="367">
      <formula>VLOOKUP(B237,base_feries,1,FALSE)</formula>
    </cfRule>
  </conditionalFormatting>
  <conditionalFormatting sqref="B282:B312">
    <cfRule type="expression" dxfId="2352" priority="362">
      <formula>WEEKDAY(B282,2)=7</formula>
    </cfRule>
    <cfRule type="expression" dxfId="2351" priority="363">
      <formula>OR(WEEKDAY(B282,2)=6,WEEKDAY(B282,2)=7)</formula>
    </cfRule>
    <cfRule type="expression" dxfId="2350" priority="364">
      <formula>VLOOKUP(B282,base_feries,1,FALSE)</formula>
    </cfRule>
  </conditionalFormatting>
  <conditionalFormatting sqref="B327:B357">
    <cfRule type="expression" dxfId="2349" priority="359">
      <formula>WEEKDAY(B327,2)=7</formula>
    </cfRule>
    <cfRule type="expression" dxfId="2348" priority="360">
      <formula>OR(WEEKDAY(B327,2)=6,WEEKDAY(B327,2)=7)</formula>
    </cfRule>
    <cfRule type="expression" dxfId="2347" priority="361">
      <formula>VLOOKUP(B327,base_feries,1,FALSE)</formula>
    </cfRule>
  </conditionalFormatting>
  <conditionalFormatting sqref="B372:B402">
    <cfRule type="expression" dxfId="2346" priority="358">
      <formula>VLOOKUP(B372,base_feries,1,FALSE)</formula>
    </cfRule>
    <cfRule type="expression" dxfId="2345" priority="357">
      <formula>OR(WEEKDAY(B372,2)=6,WEEKDAY(B372,2)=7)</formula>
    </cfRule>
    <cfRule type="expression" dxfId="2344" priority="356">
      <formula>WEEKDAY(B372,2)=7</formula>
    </cfRule>
  </conditionalFormatting>
  <conditionalFormatting sqref="B417:B447">
    <cfRule type="expression" dxfId="2343" priority="353">
      <formula>WEEKDAY(B417,2)=7</formula>
    </cfRule>
    <cfRule type="expression" dxfId="2342" priority="355">
      <formula>VLOOKUP(B417,base_feries,1,FALSE)</formula>
    </cfRule>
    <cfRule type="expression" dxfId="2341" priority="354">
      <formula>OR(WEEKDAY(B417,2)=6,WEEKDAY(B417,2)=7)</formula>
    </cfRule>
  </conditionalFormatting>
  <conditionalFormatting sqref="B462:B492">
    <cfRule type="expression" dxfId="2340" priority="351">
      <formula>OR(WEEKDAY(B462,2)=6,WEEKDAY(B462,2)=7)</formula>
    </cfRule>
    <cfRule type="expression" dxfId="2339" priority="350">
      <formula>WEEKDAY(B462,2)=7</formula>
    </cfRule>
    <cfRule type="expression" dxfId="2338" priority="352">
      <formula>VLOOKUP(B462,base_feries,1,FALSE)</formula>
    </cfRule>
  </conditionalFormatting>
  <conditionalFormatting sqref="B507:B537">
    <cfRule type="expression" dxfId="2337" priority="349">
      <formula>VLOOKUP(B507,base_feries,1,FALSE)</formula>
    </cfRule>
    <cfRule type="expression" dxfId="2336" priority="348">
      <formula>OR(WEEKDAY(B507,2)=6,WEEKDAY(B507,2)=7)</formula>
    </cfRule>
    <cfRule type="expression" dxfId="2335" priority="347">
      <formula>WEEKDAY(B507,2)=7</formula>
    </cfRule>
  </conditionalFormatting>
  <conditionalFormatting sqref="D12:M42">
    <cfRule type="expression" dxfId="2334" priority="1126">
      <formula>$DC12="oui"</formula>
    </cfRule>
    <cfRule type="cellIs" dxfId="2333" priority="1127" operator="equal">
      <formula>0</formula>
    </cfRule>
  </conditionalFormatting>
  <conditionalFormatting sqref="D57:M57">
    <cfRule type="expression" dxfId="2332" priority="1093">
      <formula>$DC57="oui"</formula>
    </cfRule>
  </conditionalFormatting>
  <conditionalFormatting sqref="D57:M87">
    <cfRule type="expression" dxfId="2331" priority="1082">
      <formula>$DC57="oui"</formula>
    </cfRule>
    <cfRule type="cellIs" dxfId="2330" priority="1083" operator="equal">
      <formula>0</formula>
    </cfRule>
  </conditionalFormatting>
  <conditionalFormatting sqref="D102:M102">
    <cfRule type="expression" dxfId="2329" priority="1049">
      <formula>$DC102="oui"</formula>
    </cfRule>
  </conditionalFormatting>
  <conditionalFormatting sqref="D102:M132">
    <cfRule type="cellIs" dxfId="2328" priority="1039" operator="equal">
      <formula>0</formula>
    </cfRule>
    <cfRule type="expression" dxfId="2327" priority="1038">
      <formula>$DC102="oui"</formula>
    </cfRule>
  </conditionalFormatting>
  <conditionalFormatting sqref="D147:M147">
    <cfRule type="expression" dxfId="2326" priority="1005">
      <formula>$DC147="oui"</formula>
    </cfRule>
  </conditionalFormatting>
  <conditionalFormatting sqref="D147:M177">
    <cfRule type="expression" dxfId="2325" priority="994">
      <formula>$DC147="oui"</formula>
    </cfRule>
    <cfRule type="cellIs" dxfId="2324" priority="995" operator="equal">
      <formula>0</formula>
    </cfRule>
  </conditionalFormatting>
  <conditionalFormatting sqref="D192:M192">
    <cfRule type="expression" dxfId="2323" priority="961">
      <formula>$DC192="oui"</formula>
    </cfRule>
  </conditionalFormatting>
  <conditionalFormatting sqref="D192:M222">
    <cfRule type="cellIs" dxfId="2322" priority="951" operator="equal">
      <formula>0</formula>
    </cfRule>
    <cfRule type="expression" dxfId="2321" priority="950">
      <formula>$DC192="oui"</formula>
    </cfRule>
  </conditionalFormatting>
  <conditionalFormatting sqref="D237:M237">
    <cfRule type="expression" dxfId="2320" priority="917">
      <formula>$DC237="oui"</formula>
    </cfRule>
  </conditionalFormatting>
  <conditionalFormatting sqref="D237:M267">
    <cfRule type="expression" dxfId="2319" priority="906">
      <formula>$DC237="oui"</formula>
    </cfRule>
    <cfRule type="cellIs" dxfId="2318" priority="907" operator="equal">
      <formula>0</formula>
    </cfRule>
  </conditionalFormatting>
  <conditionalFormatting sqref="D282:M282">
    <cfRule type="expression" dxfId="2317" priority="873">
      <formula>$DC282="oui"</formula>
    </cfRule>
  </conditionalFormatting>
  <conditionalFormatting sqref="D282:M312">
    <cfRule type="expression" dxfId="2316" priority="862">
      <formula>$DC282="oui"</formula>
    </cfRule>
    <cfRule type="cellIs" dxfId="2315" priority="863" operator="equal">
      <formula>0</formula>
    </cfRule>
  </conditionalFormatting>
  <conditionalFormatting sqref="D327:M327">
    <cfRule type="expression" dxfId="2314" priority="829">
      <formula>$DC327="oui"</formula>
    </cfRule>
  </conditionalFormatting>
  <conditionalFormatting sqref="D327:M357">
    <cfRule type="expression" dxfId="2313" priority="818">
      <formula>$DC327="oui"</formula>
    </cfRule>
    <cfRule type="cellIs" dxfId="2312" priority="819" operator="equal">
      <formula>0</formula>
    </cfRule>
  </conditionalFormatting>
  <conditionalFormatting sqref="D372:M372">
    <cfRule type="expression" dxfId="2311" priority="785">
      <formula>$DC372="oui"</formula>
    </cfRule>
  </conditionalFormatting>
  <conditionalFormatting sqref="D372:M402">
    <cfRule type="cellIs" dxfId="2310" priority="775" operator="equal">
      <formula>0</formula>
    </cfRule>
    <cfRule type="expression" dxfId="2309" priority="774">
      <formula>$DC372="oui"</formula>
    </cfRule>
  </conditionalFormatting>
  <conditionalFormatting sqref="D417:M417">
    <cfRule type="expression" dxfId="2308" priority="741">
      <formula>$DC417="oui"</formula>
    </cfRule>
  </conditionalFormatting>
  <conditionalFormatting sqref="D417:M447">
    <cfRule type="expression" dxfId="2307" priority="730">
      <formula>$DC417="oui"</formula>
    </cfRule>
    <cfRule type="cellIs" dxfId="2306" priority="731" operator="equal">
      <formula>0</formula>
    </cfRule>
  </conditionalFormatting>
  <conditionalFormatting sqref="D462:M462">
    <cfRule type="expression" dxfId="2305" priority="697">
      <formula>$DC462="oui"</formula>
    </cfRule>
  </conditionalFormatting>
  <conditionalFormatting sqref="D462:M492">
    <cfRule type="cellIs" dxfId="2304" priority="687" operator="equal">
      <formula>0</formula>
    </cfRule>
    <cfRule type="expression" dxfId="2303" priority="686">
      <formula>$DC462="oui"</formula>
    </cfRule>
  </conditionalFormatting>
  <conditionalFormatting sqref="D507:M507">
    <cfRule type="expression" dxfId="2302" priority="653">
      <formula>$DC507="oui"</formula>
    </cfRule>
  </conditionalFormatting>
  <conditionalFormatting sqref="D507:M537">
    <cfRule type="cellIs" dxfId="2301" priority="643" operator="equal">
      <formula>0</formula>
    </cfRule>
    <cfRule type="expression" dxfId="2300" priority="642">
      <formula>$DC507="oui"</formula>
    </cfRule>
  </conditionalFormatting>
  <conditionalFormatting sqref="O12:X42">
    <cfRule type="expression" dxfId="2299" priority="1104">
      <formula>$DC12="oui"</formula>
    </cfRule>
    <cfRule type="cellIs" dxfId="2298" priority="1105" operator="equal">
      <formula>0</formula>
    </cfRule>
  </conditionalFormatting>
  <conditionalFormatting sqref="O57:X87">
    <cfRule type="cellIs" dxfId="2297" priority="1061" operator="equal">
      <formula>0</formula>
    </cfRule>
    <cfRule type="expression" dxfId="2296" priority="1060">
      <formula>$DC57="oui"</formula>
    </cfRule>
  </conditionalFormatting>
  <conditionalFormatting sqref="O102:X132">
    <cfRule type="cellIs" dxfId="2295" priority="1017" operator="equal">
      <formula>0</formula>
    </cfRule>
    <cfRule type="expression" dxfId="2294" priority="1016">
      <formula>$DC102="oui"</formula>
    </cfRule>
  </conditionalFormatting>
  <conditionalFormatting sqref="O147:X177">
    <cfRule type="expression" dxfId="2293" priority="972">
      <formula>$DC147="oui"</formula>
    </cfRule>
    <cfRule type="cellIs" dxfId="2292" priority="973" operator="equal">
      <formula>0</formula>
    </cfRule>
  </conditionalFormatting>
  <conditionalFormatting sqref="O192:X222">
    <cfRule type="expression" dxfId="2291" priority="928">
      <formula>$DC192="oui"</formula>
    </cfRule>
    <cfRule type="cellIs" dxfId="2290" priority="929" operator="equal">
      <formula>0</formula>
    </cfRule>
  </conditionalFormatting>
  <conditionalFormatting sqref="O237:X267">
    <cfRule type="cellIs" dxfId="2289" priority="885" operator="equal">
      <formula>0</formula>
    </cfRule>
    <cfRule type="expression" dxfId="2288" priority="884">
      <formula>$DC237="oui"</formula>
    </cfRule>
  </conditionalFormatting>
  <conditionalFormatting sqref="O282:X312">
    <cfRule type="cellIs" dxfId="2287" priority="841" operator="equal">
      <formula>0</formula>
    </cfRule>
    <cfRule type="expression" dxfId="2286" priority="840">
      <formula>$DC282="oui"</formula>
    </cfRule>
  </conditionalFormatting>
  <conditionalFormatting sqref="O327:X357">
    <cfRule type="expression" dxfId="2285" priority="796">
      <formula>$DC327="oui"</formula>
    </cfRule>
    <cfRule type="cellIs" dxfId="2284" priority="797" operator="equal">
      <formula>0</formula>
    </cfRule>
  </conditionalFormatting>
  <conditionalFormatting sqref="O372:X402">
    <cfRule type="cellIs" dxfId="2283" priority="753" operator="equal">
      <formula>0</formula>
    </cfRule>
    <cfRule type="expression" dxfId="2282" priority="752">
      <formula>$DC372="oui"</formula>
    </cfRule>
  </conditionalFormatting>
  <conditionalFormatting sqref="O417:X447">
    <cfRule type="cellIs" dxfId="2281" priority="709" operator="equal">
      <formula>0</formula>
    </cfRule>
    <cfRule type="expression" dxfId="2280" priority="708">
      <formula>$DC417="oui"</formula>
    </cfRule>
  </conditionalFormatting>
  <conditionalFormatting sqref="O462:X492">
    <cfRule type="cellIs" dxfId="2279" priority="665" operator="equal">
      <formula>0</formula>
    </cfRule>
    <cfRule type="expression" dxfId="2278" priority="664">
      <formula>$DC462="oui"</formula>
    </cfRule>
  </conditionalFormatting>
  <conditionalFormatting sqref="O507:X537">
    <cfRule type="cellIs" dxfId="2277" priority="621" operator="equal">
      <formula>0</formula>
    </cfRule>
    <cfRule type="expression" dxfId="2276" priority="620">
      <formula>$DC507="oui"</formula>
    </cfRule>
  </conditionalFormatting>
  <conditionalFormatting sqref="Y12:AG42">
    <cfRule type="cellIs" dxfId="2275" priority="346" operator="equal">
      <formula>0</formula>
    </cfRule>
  </conditionalFormatting>
  <conditionalFormatting sqref="Y57:AG87">
    <cfRule type="cellIs" dxfId="2274" priority="344" operator="equal">
      <formula>0</formula>
    </cfRule>
  </conditionalFormatting>
  <conditionalFormatting sqref="Y102:AG132">
    <cfRule type="cellIs" dxfId="2273" priority="342" operator="equal">
      <formula>0</formula>
    </cfRule>
  </conditionalFormatting>
  <conditionalFormatting sqref="Y147:AG177">
    <cfRule type="cellIs" dxfId="2272" priority="340" operator="equal">
      <formula>0</formula>
    </cfRule>
  </conditionalFormatting>
  <conditionalFormatting sqref="Y192:AG222">
    <cfRule type="cellIs" dxfId="2271" priority="338" operator="equal">
      <formula>0</formula>
    </cfRule>
  </conditionalFormatting>
  <conditionalFormatting sqref="Y237:AG267">
    <cfRule type="cellIs" dxfId="2270" priority="336" operator="equal">
      <formula>0</formula>
    </cfRule>
  </conditionalFormatting>
  <conditionalFormatting sqref="Y282:AG312">
    <cfRule type="cellIs" dxfId="2269" priority="334" operator="equal">
      <formula>0</formula>
    </cfRule>
  </conditionalFormatting>
  <conditionalFormatting sqref="Y327:AG357">
    <cfRule type="cellIs" dxfId="2268" priority="332" operator="equal">
      <formula>0</formula>
    </cfRule>
  </conditionalFormatting>
  <conditionalFormatting sqref="Y372:AG402">
    <cfRule type="cellIs" dxfId="2267" priority="330" operator="equal">
      <formula>0</formula>
    </cfRule>
  </conditionalFormatting>
  <conditionalFormatting sqref="Y417:AG447">
    <cfRule type="cellIs" dxfId="2266" priority="328" operator="equal">
      <formula>0</formula>
    </cfRule>
  </conditionalFormatting>
  <conditionalFormatting sqref="Y462:AG492">
    <cfRule type="cellIs" dxfId="2265" priority="326" operator="equal">
      <formula>0</formula>
    </cfRule>
  </conditionalFormatting>
  <conditionalFormatting sqref="Y507:AG537">
    <cfRule type="cellIs" dxfId="2264" priority="324" operator="equal">
      <formula>0</formula>
    </cfRule>
  </conditionalFormatting>
  <conditionalFormatting sqref="AI12:AI42">
    <cfRule type="cellIs" dxfId="2263" priority="4187" operator="equal">
      <formula>0</formula>
    </cfRule>
  </conditionalFormatting>
  <conditionalFormatting sqref="AI57:AI87">
    <cfRule type="cellIs" dxfId="2262" priority="3462" operator="equal">
      <formula>0</formula>
    </cfRule>
  </conditionalFormatting>
  <conditionalFormatting sqref="AI102:AI132">
    <cfRule type="cellIs" dxfId="2261" priority="3460" operator="equal">
      <formula>0</formula>
    </cfRule>
  </conditionalFormatting>
  <conditionalFormatting sqref="AI147:AI177">
    <cfRule type="cellIs" dxfId="2260" priority="3458" operator="equal">
      <formula>0</formula>
    </cfRule>
  </conditionalFormatting>
  <conditionalFormatting sqref="AI192:AI222">
    <cfRule type="cellIs" dxfId="2259" priority="3456" operator="equal">
      <formula>0</formula>
    </cfRule>
  </conditionalFormatting>
  <conditionalFormatting sqref="AI237:AI267">
    <cfRule type="cellIs" dxfId="2258" priority="3454" operator="equal">
      <formula>0</formula>
    </cfRule>
  </conditionalFormatting>
  <conditionalFormatting sqref="AI282:AI312">
    <cfRule type="cellIs" dxfId="2257" priority="3452" operator="equal">
      <formula>0</formula>
    </cfRule>
  </conditionalFormatting>
  <conditionalFormatting sqref="AI327:AI357">
    <cfRule type="cellIs" dxfId="2256" priority="3450" operator="equal">
      <formula>0</formula>
    </cfRule>
  </conditionalFormatting>
  <conditionalFormatting sqref="AI372:AI402">
    <cfRule type="cellIs" dxfId="2255" priority="3448" operator="equal">
      <formula>0</formula>
    </cfRule>
  </conditionalFormatting>
  <conditionalFormatting sqref="AI417:AI447">
    <cfRule type="cellIs" dxfId="2254" priority="3446" operator="equal">
      <formula>0</formula>
    </cfRule>
  </conditionalFormatting>
  <conditionalFormatting sqref="AI462:AI492">
    <cfRule type="cellIs" dxfId="2253" priority="3444" operator="equal">
      <formula>0</formula>
    </cfRule>
  </conditionalFormatting>
  <conditionalFormatting sqref="AI507:AI537">
    <cfRule type="cellIs" dxfId="2252" priority="3442" operator="equal">
      <formula>0</formula>
    </cfRule>
  </conditionalFormatting>
  <conditionalFormatting sqref="AI44:AQ44">
    <cfRule type="cellIs" dxfId="2251" priority="3429" operator="equal">
      <formula>0</formula>
    </cfRule>
  </conditionalFormatting>
  <conditionalFormatting sqref="AI89:AQ89">
    <cfRule type="cellIs" dxfId="2250" priority="3428" operator="equal">
      <formula>0</formula>
    </cfRule>
  </conditionalFormatting>
  <conditionalFormatting sqref="AI134:AQ134">
    <cfRule type="cellIs" dxfId="2249" priority="3427" operator="equal">
      <formula>0</formula>
    </cfRule>
  </conditionalFormatting>
  <conditionalFormatting sqref="AI179:AQ179">
    <cfRule type="cellIs" dxfId="2248" priority="3426" operator="equal">
      <formula>0</formula>
    </cfRule>
  </conditionalFormatting>
  <conditionalFormatting sqref="AI224:AQ224">
    <cfRule type="cellIs" dxfId="2247" priority="3425" operator="equal">
      <formula>0</formula>
    </cfRule>
  </conditionalFormatting>
  <conditionalFormatting sqref="AI269:AQ269">
    <cfRule type="cellIs" dxfId="2246" priority="3424" operator="equal">
      <formula>0</formula>
    </cfRule>
  </conditionalFormatting>
  <conditionalFormatting sqref="AI314:AQ314">
    <cfRule type="cellIs" dxfId="2245" priority="3423" operator="equal">
      <formula>0</formula>
    </cfRule>
  </conditionalFormatting>
  <conditionalFormatting sqref="AI359:AQ359">
    <cfRule type="cellIs" dxfId="2244" priority="3422" operator="equal">
      <formula>0</formula>
    </cfRule>
  </conditionalFormatting>
  <conditionalFormatting sqref="AI404:AQ404">
    <cfRule type="cellIs" dxfId="2243" priority="3421" operator="equal">
      <formula>0</formula>
    </cfRule>
  </conditionalFormatting>
  <conditionalFormatting sqref="AI449:AQ449">
    <cfRule type="cellIs" dxfId="2242" priority="3420" operator="equal">
      <formula>0</formula>
    </cfRule>
  </conditionalFormatting>
  <conditionalFormatting sqref="AI494:AQ494">
    <cfRule type="cellIs" dxfId="2241" priority="3419" operator="equal">
      <formula>0</formula>
    </cfRule>
  </conditionalFormatting>
  <conditionalFormatting sqref="AI539:AQ539">
    <cfRule type="cellIs" dxfId="2240" priority="3418" operator="equal">
      <formula>0</formula>
    </cfRule>
  </conditionalFormatting>
  <conditionalFormatting sqref="AJ14:AJ42">
    <cfRule type="cellIs" dxfId="2239" priority="2481" operator="equal">
      <formula>0</formula>
    </cfRule>
  </conditionalFormatting>
  <conditionalFormatting sqref="AJ40:AJ42">
    <cfRule type="expression" dxfId="2238" priority="2480">
      <formula>AL40=""</formula>
    </cfRule>
  </conditionalFormatting>
  <conditionalFormatting sqref="AJ58:AJ87">
    <cfRule type="cellIs" dxfId="2237" priority="2412" operator="equal">
      <formula>0</formula>
    </cfRule>
  </conditionalFormatting>
  <conditionalFormatting sqref="AJ85:AJ87">
    <cfRule type="expression" dxfId="2236" priority="2411">
      <formula>AL85=""</formula>
    </cfRule>
  </conditionalFormatting>
  <conditionalFormatting sqref="AJ103:AJ132">
    <cfRule type="cellIs" dxfId="2235" priority="2341" operator="equal">
      <formula>0</formula>
    </cfRule>
  </conditionalFormatting>
  <conditionalFormatting sqref="AJ130:AJ132">
    <cfRule type="expression" dxfId="2234" priority="2340">
      <formula>AL130=""</formula>
    </cfRule>
  </conditionalFormatting>
  <conditionalFormatting sqref="AJ148:AJ177">
    <cfRule type="cellIs" dxfId="2233" priority="2270" operator="equal">
      <formula>0</formula>
    </cfRule>
  </conditionalFormatting>
  <conditionalFormatting sqref="AJ175:AJ177">
    <cfRule type="expression" dxfId="2232" priority="2269">
      <formula>AL175=""</formula>
    </cfRule>
  </conditionalFormatting>
  <conditionalFormatting sqref="AJ193:AJ222">
    <cfRule type="cellIs" dxfId="2231" priority="2199" operator="equal">
      <formula>0</formula>
    </cfRule>
  </conditionalFormatting>
  <conditionalFormatting sqref="AJ220:AJ222">
    <cfRule type="expression" dxfId="2230" priority="2198">
      <formula>AL220=""</formula>
    </cfRule>
  </conditionalFormatting>
  <conditionalFormatting sqref="AJ238:AJ267">
    <cfRule type="cellIs" dxfId="2229" priority="2128" operator="equal">
      <formula>0</formula>
    </cfRule>
  </conditionalFormatting>
  <conditionalFormatting sqref="AJ265:AJ267">
    <cfRule type="expression" dxfId="2228" priority="2127">
      <formula>AL265=""</formula>
    </cfRule>
  </conditionalFormatting>
  <conditionalFormatting sqref="AJ283:AJ312">
    <cfRule type="cellIs" dxfId="2227" priority="2057" operator="equal">
      <formula>0</formula>
    </cfRule>
  </conditionalFormatting>
  <conditionalFormatting sqref="AJ310:AJ312">
    <cfRule type="expression" dxfId="2226" priority="2056">
      <formula>AL310=""</formula>
    </cfRule>
  </conditionalFormatting>
  <conditionalFormatting sqref="AJ328:AJ357">
    <cfRule type="cellIs" dxfId="2225" priority="1986" operator="equal">
      <formula>0</formula>
    </cfRule>
  </conditionalFormatting>
  <conditionalFormatting sqref="AJ355:AJ357">
    <cfRule type="expression" dxfId="2224" priority="1985">
      <formula>AL355=""</formula>
    </cfRule>
  </conditionalFormatting>
  <conditionalFormatting sqref="AJ373:AJ402">
    <cfRule type="cellIs" dxfId="2223" priority="1915" operator="equal">
      <formula>0</formula>
    </cfRule>
  </conditionalFormatting>
  <conditionalFormatting sqref="AJ400:AJ402">
    <cfRule type="expression" dxfId="2222" priority="1914">
      <formula>AL400=""</formula>
    </cfRule>
  </conditionalFormatting>
  <conditionalFormatting sqref="AJ418:AJ447">
    <cfRule type="cellIs" dxfId="2221" priority="1844" operator="equal">
      <formula>0</formula>
    </cfRule>
  </conditionalFormatting>
  <conditionalFormatting sqref="AJ445:AJ447">
    <cfRule type="expression" dxfId="2220" priority="1843">
      <formula>AL445=""</formula>
    </cfRule>
  </conditionalFormatting>
  <conditionalFormatting sqref="AJ463:AJ492">
    <cfRule type="cellIs" dxfId="2219" priority="1773" operator="equal">
      <formula>0</formula>
    </cfRule>
  </conditionalFormatting>
  <conditionalFormatting sqref="AJ490:AJ492">
    <cfRule type="expression" dxfId="2218" priority="1772">
      <formula>AL490=""</formula>
    </cfRule>
  </conditionalFormatting>
  <conditionalFormatting sqref="AJ508:AJ537">
    <cfRule type="cellIs" dxfId="2217" priority="1702" operator="equal">
      <formula>0</formula>
    </cfRule>
  </conditionalFormatting>
  <conditionalFormatting sqref="AJ535:AJ537">
    <cfRule type="expression" dxfId="2216" priority="1701">
      <formula>AL535=""</formula>
    </cfRule>
  </conditionalFormatting>
  <conditionalFormatting sqref="AJ13:AK13 AK15 AK17 AK19 AK21 AK23 AK25 AK27 AK29 AK31 AK33 AK35 AK37 AK39 AK41">
    <cfRule type="cellIs" dxfId="2215" priority="3500" operator="equal">
      <formula>0</formula>
    </cfRule>
  </conditionalFormatting>
  <conditionalFormatting sqref="AK58 AK60 AK62 AK64 AK66 AK68 AK70 AK72 AK74 AK76 AK78 AK80 AK82 AK84 AK86">
    <cfRule type="cellIs" dxfId="2214" priority="323" operator="equal">
      <formula>0</formula>
    </cfRule>
  </conditionalFormatting>
  <conditionalFormatting sqref="AK103 AK105 AK107 AK109 AK111 AK113 AK115 AK117 AK119 AK121 AK123 AK125 AK127 AK129 AK131">
    <cfRule type="cellIs" dxfId="2213" priority="322" operator="equal">
      <formula>0</formula>
    </cfRule>
  </conditionalFormatting>
  <conditionalFormatting sqref="AK148 AK150 AK152 AK154 AK156 AK158 AK160 AK162 AK164 AK166 AK168 AK170 AK172 AK174 AK176">
    <cfRule type="cellIs" dxfId="2212" priority="321" operator="equal">
      <formula>0</formula>
    </cfRule>
  </conditionalFormatting>
  <conditionalFormatting sqref="AK193 AK195 AK197 AK199 AK201 AK203 AK205 AK207 AK209 AK211 AK213 AK215 AK217 AK219 AK221">
    <cfRule type="cellIs" dxfId="2211" priority="320" operator="equal">
      <formula>0</formula>
    </cfRule>
  </conditionalFormatting>
  <conditionalFormatting sqref="AK238 AK240 AK242 AK244 AK246 AK248 AK250 AK252 AK254 AK256 AK258 AK260 AK262 AK264 AK266">
    <cfRule type="cellIs" dxfId="2210" priority="319" operator="equal">
      <formula>0</formula>
    </cfRule>
  </conditionalFormatting>
  <conditionalFormatting sqref="AK283 AK285 AK287 AK289 AK291 AK293 AK295 AK297 AK299 AK301 AK303 AK305 AK307 AK309 AK311">
    <cfRule type="cellIs" dxfId="2209" priority="318" operator="equal">
      <formula>0</formula>
    </cfRule>
  </conditionalFormatting>
  <conditionalFormatting sqref="AK328 AK330 AK332 AK334 AK336 AK338 AK340 AK342 AK344 AK346 AK348 AK350 AK352 AK354 AK356">
    <cfRule type="cellIs" dxfId="2208" priority="317" operator="equal">
      <formula>0</formula>
    </cfRule>
  </conditionalFormatting>
  <conditionalFormatting sqref="AK373 AK375 AK377 AK379 AK381 AK383 AK385 AK387 AK389 AK391 AK393 AK395 AK397 AK399 AK401">
    <cfRule type="cellIs" dxfId="2207" priority="316" operator="equal">
      <formula>0</formula>
    </cfRule>
  </conditionalFormatting>
  <conditionalFormatting sqref="AK418 AK420 AK422 AK424 AK426 AK428 AK430 AK432 AK434 AK436 AK438 AK440 AK442 AK444 AK446">
    <cfRule type="cellIs" dxfId="2206" priority="315" operator="equal">
      <formula>0</formula>
    </cfRule>
  </conditionalFormatting>
  <conditionalFormatting sqref="AK463 AK465 AK467 AK469 AK471 AK473 AK475 AK477 AK479 AK481 AK483 AK485 AK487 AK489 AK491">
    <cfRule type="cellIs" dxfId="2205" priority="314" operator="equal">
      <formula>0</formula>
    </cfRule>
  </conditionalFormatting>
  <conditionalFormatting sqref="AK508 AK510 AK512 AK514 AK516 AK518 AK520 AK522 AK524 AK526 AK528 AK530 AK532 AK534 AK536">
    <cfRule type="cellIs" dxfId="2204" priority="313" operator="equal">
      <formula>0</formula>
    </cfRule>
  </conditionalFormatting>
  <conditionalFormatting sqref="AL12:AL42">
    <cfRule type="expression" dxfId="2203" priority="2618">
      <formula>OR(WEEKDAY(AL12,2)=6,WEEKDAY(AL12,2)=7)</formula>
    </cfRule>
    <cfRule type="expression" dxfId="2202" priority="2617">
      <formula>WEEKDAY(AL12,2)=7</formula>
    </cfRule>
    <cfRule type="expression" dxfId="2201" priority="2619">
      <formula>VLOOKUP(AL12,base_feries,1,FALSE)</formula>
    </cfRule>
  </conditionalFormatting>
  <conditionalFormatting sqref="AL57:AL87">
    <cfRule type="expression" dxfId="2200" priority="2468">
      <formula>VLOOKUP(AL57,base_feries,1,FALSE)</formula>
    </cfRule>
    <cfRule type="expression" dxfId="2199" priority="2467">
      <formula>OR(WEEKDAY(AL57,2)=6,WEEKDAY(AL57,2)=7)</formula>
    </cfRule>
    <cfRule type="expression" dxfId="2198" priority="2466">
      <formula>WEEKDAY(AL57,2)=7</formula>
    </cfRule>
  </conditionalFormatting>
  <conditionalFormatting sqref="AL102:AL132">
    <cfRule type="expression" dxfId="2197" priority="2397">
      <formula>VLOOKUP(AL102,base_feries,1,FALSE)</formula>
    </cfRule>
    <cfRule type="expression" dxfId="2196" priority="2396">
      <formula>OR(WEEKDAY(AL102,2)=6,WEEKDAY(AL102,2)=7)</formula>
    </cfRule>
    <cfRule type="expression" dxfId="2195" priority="2395">
      <formula>WEEKDAY(AL102,2)=7</formula>
    </cfRule>
  </conditionalFormatting>
  <conditionalFormatting sqref="AL147:AL177">
    <cfRule type="expression" dxfId="2194" priority="2324">
      <formula>WEEKDAY(AL147,2)=7</formula>
    </cfRule>
    <cfRule type="expression" dxfId="2193" priority="2326">
      <formula>VLOOKUP(AL147,base_feries,1,FALSE)</formula>
    </cfRule>
    <cfRule type="expression" dxfId="2192" priority="2325">
      <formula>OR(WEEKDAY(AL147,2)=6,WEEKDAY(AL147,2)=7)</formula>
    </cfRule>
  </conditionalFormatting>
  <conditionalFormatting sqref="AL192:AL222">
    <cfRule type="expression" dxfId="2191" priority="2255">
      <formula>VLOOKUP(AL192,base_feries,1,FALSE)</formula>
    </cfRule>
    <cfRule type="expression" dxfId="2190" priority="2254">
      <formula>OR(WEEKDAY(AL192,2)=6,WEEKDAY(AL192,2)=7)</formula>
    </cfRule>
    <cfRule type="expression" dxfId="2189" priority="2253">
      <formula>WEEKDAY(AL192,2)=7</formula>
    </cfRule>
  </conditionalFormatting>
  <conditionalFormatting sqref="AL237:AL267">
    <cfRule type="expression" dxfId="2188" priority="2183">
      <formula>OR(WEEKDAY(AL237,2)=6,WEEKDAY(AL237,2)=7)</formula>
    </cfRule>
    <cfRule type="expression" dxfId="2187" priority="2184">
      <formula>VLOOKUP(AL237,base_feries,1,FALSE)</formula>
    </cfRule>
    <cfRule type="expression" dxfId="2186" priority="2182">
      <formula>WEEKDAY(AL237,2)=7</formula>
    </cfRule>
  </conditionalFormatting>
  <conditionalFormatting sqref="AL282:AL312">
    <cfRule type="expression" dxfId="2185" priority="2113">
      <formula>VLOOKUP(AL282,base_feries,1,FALSE)</formula>
    </cfRule>
    <cfRule type="expression" dxfId="2184" priority="2112">
      <formula>OR(WEEKDAY(AL282,2)=6,WEEKDAY(AL282,2)=7)</formula>
    </cfRule>
    <cfRule type="expression" dxfId="2183" priority="2111">
      <formula>WEEKDAY(AL282,2)=7</formula>
    </cfRule>
  </conditionalFormatting>
  <conditionalFormatting sqref="AL327:AL357">
    <cfRule type="expression" dxfId="2182" priority="2040">
      <formula>WEEKDAY(AL327,2)=7</formula>
    </cfRule>
    <cfRule type="expression" dxfId="2181" priority="2042">
      <formula>VLOOKUP(AL327,base_feries,1,FALSE)</formula>
    </cfRule>
    <cfRule type="expression" dxfId="2180" priority="2041">
      <formula>OR(WEEKDAY(AL327,2)=6,WEEKDAY(AL327,2)=7)</formula>
    </cfRule>
  </conditionalFormatting>
  <conditionalFormatting sqref="AL372:AL402">
    <cfRule type="expression" dxfId="2179" priority="1970">
      <formula>OR(WEEKDAY(AL372,2)=6,WEEKDAY(AL372,2)=7)</formula>
    </cfRule>
    <cfRule type="expression" dxfId="2178" priority="1969">
      <formula>WEEKDAY(AL372,2)=7</formula>
    </cfRule>
    <cfRule type="expression" dxfId="2177" priority="1971">
      <formula>VLOOKUP(AL372,base_feries,1,FALSE)</formula>
    </cfRule>
  </conditionalFormatting>
  <conditionalFormatting sqref="AL417:AL447">
    <cfRule type="expression" dxfId="2176" priority="1900">
      <formula>VLOOKUP(AL417,base_feries,1,FALSE)</formula>
    </cfRule>
    <cfRule type="expression" dxfId="2175" priority="1899">
      <formula>OR(WEEKDAY(AL417,2)=6,WEEKDAY(AL417,2)=7)</formula>
    </cfRule>
    <cfRule type="expression" dxfId="2174" priority="1898">
      <formula>WEEKDAY(AL417,2)=7</formula>
    </cfRule>
  </conditionalFormatting>
  <conditionalFormatting sqref="AL462:AL492">
    <cfRule type="expression" dxfId="2173" priority="1827">
      <formula>WEEKDAY(AL462,2)=7</formula>
    </cfRule>
    <cfRule type="expression" dxfId="2172" priority="1829">
      <formula>VLOOKUP(AL462,base_feries,1,FALSE)</formula>
    </cfRule>
    <cfRule type="expression" dxfId="2171" priority="1828">
      <formula>OR(WEEKDAY(AL462,2)=6,WEEKDAY(AL462,2)=7)</formula>
    </cfRule>
  </conditionalFormatting>
  <conditionalFormatting sqref="AL507:AL537">
    <cfRule type="expression" dxfId="2170" priority="1757">
      <formula>OR(WEEKDAY(AL507,2)=6,WEEKDAY(AL507,2)=7)</formula>
    </cfRule>
    <cfRule type="expression" dxfId="2169" priority="1756">
      <formula>WEEKDAY(AL507,2)=7</formula>
    </cfRule>
    <cfRule type="expression" dxfId="2168" priority="1758">
      <formula>VLOOKUP(AL507,base_feries,1,FALSE)</formula>
    </cfRule>
  </conditionalFormatting>
  <conditionalFormatting sqref="AM12:AM42">
    <cfRule type="expression" dxfId="2167" priority="2498">
      <formula>DC12="oui"</formula>
    </cfRule>
    <cfRule type="cellIs" dxfId="2166" priority="2499" operator="equal">
      <formula>0</formula>
    </cfRule>
  </conditionalFormatting>
  <conditionalFormatting sqref="AM57:AM87">
    <cfRule type="cellIs" dxfId="2165" priority="1661" operator="equal">
      <formula>0</formula>
    </cfRule>
    <cfRule type="expression" dxfId="2164" priority="1660">
      <formula>DC57="oui"</formula>
    </cfRule>
  </conditionalFormatting>
  <conditionalFormatting sqref="AM102:AM132">
    <cfRule type="cellIs" dxfId="2163" priority="1622" operator="equal">
      <formula>0</formula>
    </cfRule>
    <cfRule type="expression" dxfId="2162" priority="1621">
      <formula>DC102="oui"</formula>
    </cfRule>
  </conditionalFormatting>
  <conditionalFormatting sqref="AM147:AM177">
    <cfRule type="cellIs" dxfId="2161" priority="1583" operator="equal">
      <formula>0</formula>
    </cfRule>
    <cfRule type="expression" dxfId="2160" priority="1582">
      <formula>DC147="oui"</formula>
    </cfRule>
  </conditionalFormatting>
  <conditionalFormatting sqref="AM192:AM222">
    <cfRule type="expression" dxfId="2159" priority="1543">
      <formula>DC192="oui"</formula>
    </cfRule>
    <cfRule type="cellIs" dxfId="2158" priority="1544" operator="equal">
      <formula>0</formula>
    </cfRule>
  </conditionalFormatting>
  <conditionalFormatting sqref="AM237:AM267">
    <cfRule type="expression" dxfId="2157" priority="1504">
      <formula>DC237="oui"</formula>
    </cfRule>
    <cfRule type="cellIs" dxfId="2156" priority="1505" operator="equal">
      <formula>0</formula>
    </cfRule>
  </conditionalFormatting>
  <conditionalFormatting sqref="AM282:AM312">
    <cfRule type="cellIs" dxfId="2155" priority="1466" operator="equal">
      <formula>0</formula>
    </cfRule>
    <cfRule type="expression" dxfId="2154" priority="1465">
      <formula>DC282="oui"</formula>
    </cfRule>
  </conditionalFormatting>
  <conditionalFormatting sqref="AM327:AM357">
    <cfRule type="expression" dxfId="2153" priority="1426">
      <formula>DC327="oui"</formula>
    </cfRule>
    <cfRule type="cellIs" dxfId="2152" priority="1427" operator="equal">
      <formula>0</formula>
    </cfRule>
  </conditionalFormatting>
  <conditionalFormatting sqref="AM372:AM402">
    <cfRule type="cellIs" dxfId="2151" priority="1388" operator="equal">
      <formula>0</formula>
    </cfRule>
    <cfRule type="expression" dxfId="2150" priority="1387">
      <formula>DC372="oui"</formula>
    </cfRule>
  </conditionalFormatting>
  <conditionalFormatting sqref="AM417:AM447">
    <cfRule type="cellIs" dxfId="2149" priority="1349" operator="equal">
      <formula>0</formula>
    </cfRule>
    <cfRule type="expression" dxfId="2148" priority="1348">
      <formula>DC417="oui"</formula>
    </cfRule>
  </conditionalFormatting>
  <conditionalFormatting sqref="AM462:AM492">
    <cfRule type="expression" dxfId="2147" priority="1309">
      <formula>DC462="oui"</formula>
    </cfRule>
    <cfRule type="cellIs" dxfId="2146" priority="1310" operator="equal">
      <formula>0</formula>
    </cfRule>
  </conditionalFormatting>
  <conditionalFormatting sqref="AM507:AM537">
    <cfRule type="cellIs" dxfId="2145" priority="1271" operator="equal">
      <formula>0</formula>
    </cfRule>
    <cfRule type="expression" dxfId="2144" priority="1270">
      <formula>DC507="oui"</formula>
    </cfRule>
  </conditionalFormatting>
  <conditionalFormatting sqref="AN12:AN42">
    <cfRule type="expression" dxfId="2143" priority="2504">
      <formula>AL12=""</formula>
    </cfRule>
    <cfRule type="expression" dxfId="2142" priority="2509">
      <formula>AQ12&lt;&gt;0</formula>
    </cfRule>
    <cfRule type="expression" dxfId="2141" priority="2506">
      <formula>DC12="oui"</formula>
    </cfRule>
  </conditionalFormatting>
  <conditionalFormatting sqref="AN57:AN87">
    <cfRule type="expression" dxfId="2140" priority="1671">
      <formula>AQ57&lt;&gt;0</formula>
    </cfRule>
    <cfRule type="expression" dxfId="2139" priority="1666">
      <formula>AL57=""</formula>
    </cfRule>
    <cfRule type="expression" dxfId="2138" priority="1668">
      <formula>DC57="oui"</formula>
    </cfRule>
  </conditionalFormatting>
  <conditionalFormatting sqref="AN102:AN132">
    <cfRule type="expression" dxfId="2137" priority="1627">
      <formula>AL102=""</formula>
    </cfRule>
    <cfRule type="expression" dxfId="2136" priority="1632">
      <formula>AQ102&lt;&gt;0</formula>
    </cfRule>
    <cfRule type="expression" dxfId="2135" priority="1629">
      <formula>DC102="oui"</formula>
    </cfRule>
  </conditionalFormatting>
  <conditionalFormatting sqref="AN147:AN177">
    <cfRule type="expression" dxfId="2134" priority="1588">
      <formula>AL147=""</formula>
    </cfRule>
    <cfRule type="expression" dxfId="2133" priority="1590">
      <formula>DC147="oui"</formula>
    </cfRule>
    <cfRule type="expression" dxfId="2132" priority="1593">
      <formula>AQ147&lt;&gt;0</formula>
    </cfRule>
  </conditionalFormatting>
  <conditionalFormatting sqref="AN192:AN222">
    <cfRule type="expression" dxfId="2131" priority="1554">
      <formula>AQ192&lt;&gt;0</formula>
    </cfRule>
    <cfRule type="expression" dxfId="2130" priority="1551">
      <formula>DC192="oui"</formula>
    </cfRule>
    <cfRule type="expression" dxfId="2129" priority="1549">
      <formula>AL192=""</formula>
    </cfRule>
  </conditionalFormatting>
  <conditionalFormatting sqref="AN237:AN267">
    <cfRule type="expression" dxfId="2128" priority="1510">
      <formula>AL237=""</formula>
    </cfRule>
    <cfRule type="expression" dxfId="2127" priority="1512">
      <formula>DC237="oui"</formula>
    </cfRule>
    <cfRule type="expression" dxfId="2126" priority="1515">
      <formula>AQ237&lt;&gt;0</formula>
    </cfRule>
  </conditionalFormatting>
  <conditionalFormatting sqref="AN282:AN312">
    <cfRule type="expression" dxfId="2125" priority="1476">
      <formula>AQ282&lt;&gt;0</formula>
    </cfRule>
    <cfRule type="expression" dxfId="2124" priority="1471">
      <formula>AL282=""</formula>
    </cfRule>
    <cfRule type="expression" dxfId="2123" priority="1473">
      <formula>DC282="oui"</formula>
    </cfRule>
  </conditionalFormatting>
  <conditionalFormatting sqref="AN327:AN357">
    <cfRule type="expression" dxfId="2122" priority="1437">
      <formula>AQ327&lt;&gt;0</formula>
    </cfRule>
    <cfRule type="expression" dxfId="2121" priority="1434">
      <formula>DC327="oui"</formula>
    </cfRule>
    <cfRule type="expression" dxfId="2120" priority="1432">
      <formula>AL327=""</formula>
    </cfRule>
  </conditionalFormatting>
  <conditionalFormatting sqref="AN372:AN402">
    <cfRule type="expression" dxfId="2119" priority="1398">
      <formula>AQ372&lt;&gt;0</formula>
    </cfRule>
    <cfRule type="expression" dxfId="2118" priority="1393">
      <formula>AL372=""</formula>
    </cfRule>
    <cfRule type="expression" dxfId="2117" priority="1395">
      <formula>DC372="oui"</formula>
    </cfRule>
  </conditionalFormatting>
  <conditionalFormatting sqref="AN417:AN447">
    <cfRule type="expression" dxfId="2116" priority="1359">
      <formula>AQ417&lt;&gt;0</formula>
    </cfRule>
    <cfRule type="expression" dxfId="2115" priority="1354">
      <formula>AL417=""</formula>
    </cfRule>
    <cfRule type="expression" dxfId="2114" priority="1356">
      <formula>DC417="oui"</formula>
    </cfRule>
  </conditionalFormatting>
  <conditionalFormatting sqref="AN462:AN492">
    <cfRule type="expression" dxfId="2113" priority="1317">
      <formula>DC462="oui"</formula>
    </cfRule>
    <cfRule type="expression" dxfId="2112" priority="1315">
      <formula>AL462=""</formula>
    </cfRule>
    <cfRule type="expression" dxfId="2111" priority="1320">
      <formula>AQ462&lt;&gt;0</formula>
    </cfRule>
  </conditionalFormatting>
  <conditionalFormatting sqref="AN507:AN537">
    <cfRule type="expression" dxfId="2110" priority="1281">
      <formula>AQ507&lt;&gt;0</formula>
    </cfRule>
    <cfRule type="expression" dxfId="2109" priority="1276">
      <formula>AL507=""</formula>
    </cfRule>
    <cfRule type="expression" dxfId="2108" priority="1278">
      <formula>DC507="oui"</formula>
    </cfRule>
  </conditionalFormatting>
  <conditionalFormatting sqref="AN12:AO42">
    <cfRule type="cellIs" dxfId="2107" priority="2510" operator="equal">
      <formula>0</formula>
    </cfRule>
  </conditionalFormatting>
  <conditionalFormatting sqref="AN57:AO87">
    <cfRule type="cellIs" dxfId="2106" priority="1672" operator="equal">
      <formula>0</formula>
    </cfRule>
  </conditionalFormatting>
  <conditionalFormatting sqref="AN102:AO132">
    <cfRule type="cellIs" dxfId="2105" priority="1633" operator="equal">
      <formula>0</formula>
    </cfRule>
  </conditionalFormatting>
  <conditionalFormatting sqref="AN147:AO177">
    <cfRule type="cellIs" dxfId="2104" priority="1594" operator="equal">
      <formula>0</formula>
    </cfRule>
  </conditionalFormatting>
  <conditionalFormatting sqref="AN192:AO222">
    <cfRule type="cellIs" dxfId="2103" priority="1555" operator="equal">
      <formula>0</formula>
    </cfRule>
  </conditionalFormatting>
  <conditionalFormatting sqref="AN237:AO267">
    <cfRule type="cellIs" dxfId="2102" priority="1516" operator="equal">
      <formula>0</formula>
    </cfRule>
  </conditionalFormatting>
  <conditionalFormatting sqref="AN282:AO312">
    <cfRule type="cellIs" dxfId="2101" priority="1477" operator="equal">
      <formula>0</formula>
    </cfRule>
  </conditionalFormatting>
  <conditionalFormatting sqref="AN327:AO357">
    <cfRule type="cellIs" dxfId="2100" priority="1438" operator="equal">
      <formula>0</formula>
    </cfRule>
  </conditionalFormatting>
  <conditionalFormatting sqref="AN372:AO402">
    <cfRule type="cellIs" dxfId="2099" priority="1399" operator="equal">
      <formula>0</formula>
    </cfRule>
  </conditionalFormatting>
  <conditionalFormatting sqref="AN417:AO447">
    <cfRule type="cellIs" dxfId="2098" priority="1360" operator="equal">
      <formula>0</formula>
    </cfRule>
  </conditionalFormatting>
  <conditionalFormatting sqref="AN462:AO492">
    <cfRule type="cellIs" dxfId="2097" priority="1321" operator="equal">
      <formula>0</formula>
    </cfRule>
  </conditionalFormatting>
  <conditionalFormatting sqref="AN507:AO537">
    <cfRule type="cellIs" dxfId="2096" priority="1282" operator="equal">
      <formula>0</formula>
    </cfRule>
  </conditionalFormatting>
  <conditionalFormatting sqref="AO12:AO42">
    <cfRule type="expression" dxfId="2095" priority="2511">
      <formula>AQ12&lt;&gt;0</formula>
    </cfRule>
    <cfRule type="expression" dxfId="2094" priority="2505">
      <formula>AL12=""</formula>
    </cfRule>
    <cfRule type="expression" dxfId="2093" priority="2503">
      <formula>DC12="oui"</formula>
    </cfRule>
  </conditionalFormatting>
  <conditionalFormatting sqref="AO57:AO87">
    <cfRule type="expression" dxfId="2092" priority="1667">
      <formula>AL57=""</formula>
    </cfRule>
    <cfRule type="expression" dxfId="2091" priority="1673">
      <formula>AQ57&lt;&gt;0</formula>
    </cfRule>
    <cfRule type="expression" dxfId="2090" priority="1665">
      <formula>DC57="oui"</formula>
    </cfRule>
  </conditionalFormatting>
  <conditionalFormatting sqref="AO102:AO132">
    <cfRule type="expression" dxfId="2089" priority="1626">
      <formula>DC102="oui"</formula>
    </cfRule>
    <cfRule type="expression" dxfId="2088" priority="1628">
      <formula>AL102=""</formula>
    </cfRule>
    <cfRule type="expression" dxfId="2087" priority="1634">
      <formula>AQ102&lt;&gt;0</formula>
    </cfRule>
  </conditionalFormatting>
  <conditionalFormatting sqref="AO147:AO177">
    <cfRule type="expression" dxfId="2086" priority="1587">
      <formula>DC147="oui"</formula>
    </cfRule>
    <cfRule type="expression" dxfId="2085" priority="1589">
      <formula>AL147=""</formula>
    </cfRule>
    <cfRule type="expression" dxfId="2084" priority="1595">
      <formula>AQ147&lt;&gt;0</formula>
    </cfRule>
  </conditionalFormatting>
  <conditionalFormatting sqref="AO192:AO222">
    <cfRule type="expression" dxfId="2083" priority="1548">
      <formula>DC192="oui"</formula>
    </cfRule>
    <cfRule type="expression" dxfId="2082" priority="1556">
      <formula>AQ192&lt;&gt;0</formula>
    </cfRule>
    <cfRule type="expression" dxfId="2081" priority="1550">
      <formula>AL192=""</formula>
    </cfRule>
  </conditionalFormatting>
  <conditionalFormatting sqref="AO237:AO267">
    <cfRule type="expression" dxfId="2080" priority="1517">
      <formula>AQ237&lt;&gt;0</formula>
    </cfRule>
    <cfRule type="expression" dxfId="2079" priority="1511">
      <formula>AL237=""</formula>
    </cfRule>
    <cfRule type="expression" dxfId="2078" priority="1509">
      <formula>DC237="oui"</formula>
    </cfRule>
  </conditionalFormatting>
  <conditionalFormatting sqref="AO282:AO312">
    <cfRule type="expression" dxfId="2077" priority="1472">
      <formula>AL282=""</formula>
    </cfRule>
    <cfRule type="expression" dxfId="2076" priority="1470">
      <formula>DC282="oui"</formula>
    </cfRule>
    <cfRule type="expression" dxfId="2075" priority="1478">
      <formula>AQ282&lt;&gt;0</formula>
    </cfRule>
  </conditionalFormatting>
  <conditionalFormatting sqref="AO327:AO357">
    <cfRule type="expression" dxfId="2074" priority="1431">
      <formula>DC327="oui"</formula>
    </cfRule>
    <cfRule type="expression" dxfId="2073" priority="1433">
      <formula>AL327=""</formula>
    </cfRule>
    <cfRule type="expression" dxfId="2072" priority="1439">
      <formula>AQ327&lt;&gt;0</formula>
    </cfRule>
  </conditionalFormatting>
  <conditionalFormatting sqref="AO372:AO402">
    <cfRule type="expression" dxfId="2071" priority="1394">
      <formula>AL372=""</formula>
    </cfRule>
    <cfRule type="expression" dxfId="2070" priority="1400">
      <formula>AQ372&lt;&gt;0</formula>
    </cfRule>
    <cfRule type="expression" dxfId="2069" priority="1392">
      <formula>DC372="oui"</formula>
    </cfRule>
  </conditionalFormatting>
  <conditionalFormatting sqref="AO417:AO447">
    <cfRule type="expression" dxfId="2068" priority="1353">
      <formula>DC417="oui"</formula>
    </cfRule>
    <cfRule type="expression" dxfId="2067" priority="1355">
      <formula>AL417=""</formula>
    </cfRule>
    <cfRule type="expression" dxfId="2066" priority="1361">
      <formula>AQ417&lt;&gt;0</formula>
    </cfRule>
  </conditionalFormatting>
  <conditionalFormatting sqref="AO462:AO492">
    <cfRule type="expression" dxfId="2065" priority="1314">
      <formula>DC462="oui"</formula>
    </cfRule>
    <cfRule type="expression" dxfId="2064" priority="1316">
      <formula>AL462=""</formula>
    </cfRule>
    <cfRule type="expression" dxfId="2063" priority="1322">
      <formula>AQ462&lt;&gt;0</formula>
    </cfRule>
  </conditionalFormatting>
  <conditionalFormatting sqref="AO507:AO537">
    <cfRule type="expression" dxfId="2062" priority="1283">
      <formula>AQ507&lt;&gt;0</formula>
    </cfRule>
    <cfRule type="expression" dxfId="2061" priority="1277">
      <formula>AL507=""</formula>
    </cfRule>
    <cfRule type="expression" dxfId="2060" priority="1275">
      <formula>DC507="oui"</formula>
    </cfRule>
  </conditionalFormatting>
  <conditionalFormatting sqref="AP12:AP42">
    <cfRule type="expression" dxfId="2059" priority="2502">
      <formula>DC12="oui"</formula>
    </cfRule>
    <cfRule type="cellIs" dxfId="2058" priority="2507" operator="equal">
      <formula>"ERREUR"</formula>
    </cfRule>
    <cfRule type="cellIs" dxfId="2057" priority="2508" operator="equal">
      <formula>0</formula>
    </cfRule>
  </conditionalFormatting>
  <conditionalFormatting sqref="AP57:AP87">
    <cfRule type="expression" dxfId="2056" priority="103">
      <formula>DC57="oui"</formula>
    </cfRule>
    <cfRule type="cellIs" dxfId="2055" priority="105" operator="equal">
      <formula>0</formula>
    </cfRule>
    <cfRule type="cellIs" dxfId="2054" priority="104" operator="equal">
      <formula>"ERREUR"</formula>
    </cfRule>
  </conditionalFormatting>
  <conditionalFormatting sqref="AP102:AP132">
    <cfRule type="cellIs" dxfId="2053" priority="96" operator="equal">
      <formula>0</formula>
    </cfRule>
    <cfRule type="cellIs" dxfId="2052" priority="95" operator="equal">
      <formula>"ERREUR"</formula>
    </cfRule>
    <cfRule type="expression" dxfId="2051" priority="94">
      <formula>DC102="oui"</formula>
    </cfRule>
  </conditionalFormatting>
  <conditionalFormatting sqref="AP147:AP177">
    <cfRule type="expression" dxfId="2050" priority="85">
      <formula>DC147="oui"</formula>
    </cfRule>
    <cfRule type="cellIs" dxfId="2049" priority="87" operator="equal">
      <formula>0</formula>
    </cfRule>
    <cfRule type="cellIs" dxfId="2048" priority="86" operator="equal">
      <formula>"ERREUR"</formula>
    </cfRule>
  </conditionalFormatting>
  <conditionalFormatting sqref="AP192:AP222">
    <cfRule type="cellIs" dxfId="2047" priority="78" operator="equal">
      <formula>0</formula>
    </cfRule>
    <cfRule type="cellIs" dxfId="2046" priority="77" operator="equal">
      <formula>"ERREUR"</formula>
    </cfRule>
    <cfRule type="expression" dxfId="2045" priority="76">
      <formula>DC192="oui"</formula>
    </cfRule>
  </conditionalFormatting>
  <conditionalFormatting sqref="AP237:AP267">
    <cfRule type="expression" dxfId="2044" priority="67">
      <formula>DC237="oui"</formula>
    </cfRule>
    <cfRule type="cellIs" dxfId="2043" priority="69" operator="equal">
      <formula>0</formula>
    </cfRule>
    <cfRule type="cellIs" dxfId="2042" priority="68" operator="equal">
      <formula>"ERREUR"</formula>
    </cfRule>
  </conditionalFormatting>
  <conditionalFormatting sqref="AP282:AP312">
    <cfRule type="cellIs" dxfId="2041" priority="59" operator="equal">
      <formula>"ERREUR"</formula>
    </cfRule>
    <cfRule type="expression" dxfId="2040" priority="58">
      <formula>DC282="oui"</formula>
    </cfRule>
    <cfRule type="cellIs" dxfId="2039" priority="60" operator="equal">
      <formula>0</formula>
    </cfRule>
  </conditionalFormatting>
  <conditionalFormatting sqref="AP327:AP357">
    <cfRule type="cellIs" dxfId="2038" priority="51" operator="equal">
      <formula>0</formula>
    </cfRule>
    <cfRule type="cellIs" dxfId="2037" priority="50" operator="equal">
      <formula>"ERREUR"</formula>
    </cfRule>
    <cfRule type="expression" dxfId="2036" priority="49">
      <formula>DC327="oui"</formula>
    </cfRule>
  </conditionalFormatting>
  <conditionalFormatting sqref="AP372:AP402">
    <cfRule type="cellIs" dxfId="2035" priority="42" operator="equal">
      <formula>0</formula>
    </cfRule>
    <cfRule type="cellIs" dxfId="2034" priority="41" operator="equal">
      <formula>"ERREUR"</formula>
    </cfRule>
    <cfRule type="expression" dxfId="2033" priority="40">
      <formula>DC372="oui"</formula>
    </cfRule>
  </conditionalFormatting>
  <conditionalFormatting sqref="AP417:AP447">
    <cfRule type="cellIs" dxfId="2032" priority="32" operator="equal">
      <formula>"ERREUR"</formula>
    </cfRule>
    <cfRule type="cellIs" dxfId="2031" priority="33" operator="equal">
      <formula>0</formula>
    </cfRule>
    <cfRule type="expression" dxfId="2030" priority="31">
      <formula>DC417="oui"</formula>
    </cfRule>
  </conditionalFormatting>
  <conditionalFormatting sqref="AP462:AP492">
    <cfRule type="expression" dxfId="2029" priority="22">
      <formula>DC462="oui"</formula>
    </cfRule>
    <cfRule type="cellIs" dxfId="2028" priority="23" operator="equal">
      <formula>"ERREUR"</formula>
    </cfRule>
    <cfRule type="cellIs" dxfId="2027" priority="24" operator="equal">
      <formula>0</formula>
    </cfRule>
  </conditionalFormatting>
  <conditionalFormatting sqref="AP507:AP537">
    <cfRule type="expression" dxfId="2026" priority="13">
      <formula>DC507="oui"</formula>
    </cfRule>
    <cfRule type="cellIs" dxfId="2025" priority="14" operator="equal">
      <formula>"ERREUR"</formula>
    </cfRule>
    <cfRule type="cellIs" dxfId="2024" priority="15" operator="equal">
      <formula>0</formula>
    </cfRule>
  </conditionalFormatting>
  <conditionalFormatting sqref="AR12:AR42">
    <cfRule type="expression" dxfId="2023" priority="618">
      <formula>AND(AR12&lt;&gt;"",AT12&lt;&gt;"")</formula>
    </cfRule>
    <cfRule type="expression" dxfId="2022" priority="617">
      <formula>DK12=10</formula>
    </cfRule>
  </conditionalFormatting>
  <conditionalFormatting sqref="AR57:AR87">
    <cfRule type="expression" dxfId="2021" priority="613">
      <formula>DK57=10</formula>
    </cfRule>
    <cfRule type="expression" dxfId="2020" priority="614">
      <formula>AND(AR57&lt;&gt;"",AT57&lt;&gt;"")</formula>
    </cfRule>
  </conditionalFormatting>
  <conditionalFormatting sqref="AR102:AR132">
    <cfRule type="expression" dxfId="2019" priority="609">
      <formula>DK102=10</formula>
    </cfRule>
    <cfRule type="expression" dxfId="2018" priority="610">
      <formula>AND(AR102&lt;&gt;"",AT102&lt;&gt;"")</formula>
    </cfRule>
  </conditionalFormatting>
  <conditionalFormatting sqref="AR147:AR177">
    <cfRule type="expression" dxfId="2017" priority="605">
      <formula>DK147=10</formula>
    </cfRule>
    <cfRule type="expression" dxfId="2016" priority="606">
      <formula>AND(AR147&lt;&gt;"",AT147&lt;&gt;"")</formula>
    </cfRule>
  </conditionalFormatting>
  <conditionalFormatting sqref="AR192:AR222">
    <cfRule type="expression" dxfId="2015" priority="601">
      <formula>DK192=10</formula>
    </cfRule>
    <cfRule type="expression" dxfId="2014" priority="602">
      <formula>AND(AR192&lt;&gt;"",AT192&lt;&gt;"")</formula>
    </cfRule>
  </conditionalFormatting>
  <conditionalFormatting sqref="AR237:AR267">
    <cfRule type="expression" dxfId="2013" priority="597">
      <formula>DK237=10</formula>
    </cfRule>
    <cfRule type="expression" dxfId="2012" priority="598">
      <formula>AND(AR237&lt;&gt;"",AT237&lt;&gt;"")</formula>
    </cfRule>
  </conditionalFormatting>
  <conditionalFormatting sqref="AR282:AR312">
    <cfRule type="expression" dxfId="2011" priority="594">
      <formula>AND(AR282&lt;&gt;"",AT282&lt;&gt;"")</formula>
    </cfRule>
    <cfRule type="expression" dxfId="2010" priority="593">
      <formula>DK282=10</formula>
    </cfRule>
  </conditionalFormatting>
  <conditionalFormatting sqref="AR327:AR357">
    <cfRule type="expression" dxfId="2009" priority="590">
      <formula>AND(AR327&lt;&gt;"",AT327&lt;&gt;"")</formula>
    </cfRule>
    <cfRule type="expression" dxfId="2008" priority="589">
      <formula>DK327=10</formula>
    </cfRule>
  </conditionalFormatting>
  <conditionalFormatting sqref="AR372:AR402">
    <cfRule type="expression" dxfId="2007" priority="586">
      <formula>AND(AR372&lt;&gt;"",AT372&lt;&gt;"")</formula>
    </cfRule>
    <cfRule type="expression" dxfId="2006" priority="585">
      <formula>DK372=10</formula>
    </cfRule>
  </conditionalFormatting>
  <conditionalFormatting sqref="AR417:AR447">
    <cfRule type="expression" dxfId="2005" priority="582">
      <formula>AND(AR417&lt;&gt;"",AT417&lt;&gt;"")</formula>
    </cfRule>
    <cfRule type="expression" dxfId="2004" priority="581">
      <formula>DK417=10</formula>
    </cfRule>
  </conditionalFormatting>
  <conditionalFormatting sqref="AR462:AR492">
    <cfRule type="expression" dxfId="2003" priority="578">
      <formula>AND(AR462&lt;&gt;"",AT462&lt;&gt;"")</formula>
    </cfRule>
    <cfRule type="expression" dxfId="2002" priority="577">
      <formula>DK462=10</formula>
    </cfRule>
  </conditionalFormatting>
  <conditionalFormatting sqref="AR507:AR537">
    <cfRule type="expression" dxfId="2001" priority="574">
      <formula>AND(AR507&lt;&gt;"",AT507&lt;&gt;"")</formula>
    </cfRule>
    <cfRule type="expression" dxfId="2000" priority="573">
      <formula>DK507=10</formula>
    </cfRule>
  </conditionalFormatting>
  <conditionalFormatting sqref="AT12:AT42">
    <cfRule type="expression" dxfId="1999" priority="1198">
      <formula>DI12=10</formula>
    </cfRule>
    <cfRule type="expression" dxfId="1998" priority="1199">
      <formula>AND(AR12&lt;&gt;"",AT12&lt;&gt;"")</formula>
    </cfRule>
  </conditionalFormatting>
  <conditionalFormatting sqref="AT57:AT87">
    <cfRule type="expression" dxfId="1997" priority="1195">
      <formula>AND(AR57&lt;&gt;"",AT57&lt;&gt;"")</formula>
    </cfRule>
    <cfRule type="expression" dxfId="1996" priority="1194">
      <formula>DI57=10</formula>
    </cfRule>
  </conditionalFormatting>
  <conditionalFormatting sqref="AT85:AT87">
    <cfRule type="expression" dxfId="1995" priority="1148">
      <formula>AL85=""</formula>
    </cfRule>
  </conditionalFormatting>
  <conditionalFormatting sqref="AT102:AT132">
    <cfRule type="expression" dxfId="1994" priority="1190">
      <formula>DI102=10</formula>
    </cfRule>
    <cfRule type="expression" dxfId="1993" priority="1191">
      <formula>AND(AR102&lt;&gt;"",AT102&lt;&gt;"")</formula>
    </cfRule>
  </conditionalFormatting>
  <conditionalFormatting sqref="AT147:AT177">
    <cfRule type="expression" dxfId="1992" priority="1183">
      <formula>AND(AR147&lt;&gt;"",AT147&lt;&gt;"")</formula>
    </cfRule>
    <cfRule type="expression" dxfId="1991" priority="1182">
      <formula>DI147=10</formula>
    </cfRule>
  </conditionalFormatting>
  <conditionalFormatting sqref="AT192:AT222">
    <cfRule type="expression" dxfId="1990" priority="1179">
      <formula>AND(AR192&lt;&gt;"",AT192&lt;&gt;"")</formula>
    </cfRule>
    <cfRule type="expression" dxfId="1989" priority="1178">
      <formula>DI192=10</formula>
    </cfRule>
  </conditionalFormatting>
  <conditionalFormatting sqref="AT237:AT267">
    <cfRule type="expression" dxfId="1988" priority="1175">
      <formula>AND(AR237&lt;&gt;"",AT237&lt;&gt;"")</formula>
    </cfRule>
    <cfRule type="expression" dxfId="1987" priority="1174">
      <formula>DI237=10</formula>
    </cfRule>
  </conditionalFormatting>
  <conditionalFormatting sqref="AT282:AT312">
    <cfRule type="expression" dxfId="1986" priority="1171">
      <formula>AND(AR282&lt;&gt;"",AT282&lt;&gt;"")</formula>
    </cfRule>
    <cfRule type="expression" dxfId="1985" priority="1170">
      <formula>DI282=10</formula>
    </cfRule>
  </conditionalFormatting>
  <conditionalFormatting sqref="AT327:AT357">
    <cfRule type="expression" dxfId="1984" priority="1167">
      <formula>AND(AR327&lt;&gt;"",AT327&lt;&gt;"")</formula>
    </cfRule>
    <cfRule type="expression" dxfId="1983" priority="1166">
      <formula>DI327=10</formula>
    </cfRule>
  </conditionalFormatting>
  <conditionalFormatting sqref="AT372:AT402">
    <cfRule type="expression" dxfId="1982" priority="1162">
      <formula>DI372=10</formula>
    </cfRule>
    <cfRule type="expression" dxfId="1981" priority="1163">
      <formula>AND(AR372&lt;&gt;"",AT372&lt;&gt;"")</formula>
    </cfRule>
  </conditionalFormatting>
  <conditionalFormatting sqref="AT417:AT447">
    <cfRule type="expression" dxfId="1980" priority="1158">
      <formula>DI417=10</formula>
    </cfRule>
    <cfRule type="expression" dxfId="1979" priority="1159">
      <formula>AND(AR417&lt;&gt;"",AT417&lt;&gt;"")</formula>
    </cfRule>
  </conditionalFormatting>
  <conditionalFormatting sqref="AT462:AT492">
    <cfRule type="expression" dxfId="1978" priority="1154">
      <formula>DI462=10</formula>
    </cfRule>
    <cfRule type="expression" dxfId="1977" priority="1155">
      <formula>AND(AR462&lt;&gt;"",AT462&lt;&gt;"")</formula>
    </cfRule>
  </conditionalFormatting>
  <conditionalFormatting sqref="AT507:AT537">
    <cfRule type="expression" dxfId="1976" priority="1150">
      <formula>DI507=10</formula>
    </cfRule>
    <cfRule type="expression" dxfId="1975" priority="1151">
      <formula>AND(AR507&lt;&gt;"",AT507&lt;&gt;"")</formula>
    </cfRule>
  </conditionalFormatting>
  <conditionalFormatting sqref="AU40:AU42">
    <cfRule type="expression" dxfId="1974" priority="2489">
      <formula>AM40=""</formula>
    </cfRule>
    <cfRule type="expression" dxfId="1973" priority="2491">
      <formula>AND(AS40&lt;&gt;"",AU40&lt;&gt;"")</formula>
    </cfRule>
  </conditionalFormatting>
  <conditionalFormatting sqref="AU85:AU87">
    <cfRule type="expression" dxfId="1972" priority="2420">
      <formula>AND(AU85&lt;&gt;"",AW85&lt;&gt;"")</formula>
    </cfRule>
    <cfRule type="expression" dxfId="1971" priority="2409">
      <formula>AL85=""</formula>
    </cfRule>
  </conditionalFormatting>
  <conditionalFormatting sqref="AU86:AU87">
    <cfRule type="expression" dxfId="1970" priority="2418">
      <formula>AM86=""</formula>
    </cfRule>
  </conditionalFormatting>
  <conditionalFormatting sqref="AU130:AU132">
    <cfRule type="expression" dxfId="1969" priority="2338">
      <formula>AL130=""</formula>
    </cfRule>
    <cfRule type="expression" dxfId="1968" priority="2349">
      <formula>AND(AU130&lt;&gt;"",AW130&lt;&gt;"")</formula>
    </cfRule>
  </conditionalFormatting>
  <conditionalFormatting sqref="AU131:AU132">
    <cfRule type="expression" dxfId="1967" priority="2347">
      <formula>AM131=""</formula>
    </cfRule>
  </conditionalFormatting>
  <conditionalFormatting sqref="AU175:AU177">
    <cfRule type="expression" dxfId="1966" priority="2267">
      <formula>AL175=""</formula>
    </cfRule>
    <cfRule type="expression" dxfId="1965" priority="2278">
      <formula>AND(AU175&lt;&gt;"",AW175&lt;&gt;"")</formula>
    </cfRule>
  </conditionalFormatting>
  <conditionalFormatting sqref="AU176:AU177">
    <cfRule type="expression" dxfId="1964" priority="2276">
      <formula>AM176=""</formula>
    </cfRule>
  </conditionalFormatting>
  <conditionalFormatting sqref="AU220:AU222">
    <cfRule type="expression" dxfId="1963" priority="2196">
      <formula>AL220=""</formula>
    </cfRule>
    <cfRule type="expression" dxfId="1962" priority="2207">
      <formula>AND(AU220&lt;&gt;"",AW220&lt;&gt;"")</formula>
    </cfRule>
  </conditionalFormatting>
  <conditionalFormatting sqref="AU221:AU222">
    <cfRule type="expression" dxfId="1961" priority="2205">
      <formula>AM221=""</formula>
    </cfRule>
  </conditionalFormatting>
  <conditionalFormatting sqref="AU265:AU267">
    <cfRule type="expression" dxfId="1960" priority="2136">
      <formula>AND(AU265&lt;&gt;"",AW265&lt;&gt;"")</formula>
    </cfRule>
    <cfRule type="expression" dxfId="1959" priority="2125">
      <formula>AL265=""</formula>
    </cfRule>
  </conditionalFormatting>
  <conditionalFormatting sqref="AU266:AU267">
    <cfRule type="expression" dxfId="1958" priority="2134">
      <formula>AM266=""</formula>
    </cfRule>
  </conditionalFormatting>
  <conditionalFormatting sqref="AU310:AU312">
    <cfRule type="expression" dxfId="1957" priority="2065">
      <formula>AND(AU310&lt;&gt;"",AW310&lt;&gt;"")</formula>
    </cfRule>
    <cfRule type="expression" dxfId="1956" priority="2054">
      <formula>AL310=""</formula>
    </cfRule>
  </conditionalFormatting>
  <conditionalFormatting sqref="AU311:AU312">
    <cfRule type="expression" dxfId="1955" priority="2063">
      <formula>AM311=""</formula>
    </cfRule>
  </conditionalFormatting>
  <conditionalFormatting sqref="AU355:AU357">
    <cfRule type="expression" dxfId="1954" priority="1994">
      <formula>AND(AU355&lt;&gt;"",AW355&lt;&gt;"")</formula>
    </cfRule>
    <cfRule type="expression" dxfId="1953" priority="1983">
      <formula>AL355=""</formula>
    </cfRule>
  </conditionalFormatting>
  <conditionalFormatting sqref="AU356:AU357">
    <cfRule type="expression" dxfId="1952" priority="1992">
      <formula>AM356=""</formula>
    </cfRule>
  </conditionalFormatting>
  <conditionalFormatting sqref="AU400:AU402">
    <cfRule type="expression" dxfId="1951" priority="1912">
      <formula>AL400=""</formula>
    </cfRule>
    <cfRule type="expression" dxfId="1950" priority="1923">
      <formula>AND(AU400&lt;&gt;"",AW400&lt;&gt;"")</formula>
    </cfRule>
  </conditionalFormatting>
  <conditionalFormatting sqref="AU401:AU402">
    <cfRule type="expression" dxfId="1949" priority="1921">
      <formula>AM401=""</formula>
    </cfRule>
  </conditionalFormatting>
  <conditionalFormatting sqref="AU445:AU447">
    <cfRule type="expression" dxfId="1948" priority="1852">
      <formula>AND(AU445&lt;&gt;"",AW445&lt;&gt;"")</formula>
    </cfRule>
    <cfRule type="expression" dxfId="1947" priority="1841">
      <formula>AL445=""</formula>
    </cfRule>
  </conditionalFormatting>
  <conditionalFormatting sqref="AU446:AU447">
    <cfRule type="expression" dxfId="1946" priority="1850">
      <formula>AM446=""</formula>
    </cfRule>
  </conditionalFormatting>
  <conditionalFormatting sqref="AU490:AU492">
    <cfRule type="expression" dxfId="1945" priority="1770">
      <formula>AL490=""</formula>
    </cfRule>
    <cfRule type="expression" dxfId="1944" priority="1781">
      <formula>AND(AU490&lt;&gt;"",AW490&lt;&gt;"")</formula>
    </cfRule>
  </conditionalFormatting>
  <conditionalFormatting sqref="AU491:AU492">
    <cfRule type="expression" dxfId="1943" priority="1779">
      <formula>AM491=""</formula>
    </cfRule>
  </conditionalFormatting>
  <conditionalFormatting sqref="AU535:AU537">
    <cfRule type="expression" dxfId="1942" priority="1699">
      <formula>AL535=""</formula>
    </cfRule>
    <cfRule type="expression" dxfId="1941" priority="1710">
      <formula>AND(AU535&lt;&gt;"",AW535&lt;&gt;"")</formula>
    </cfRule>
  </conditionalFormatting>
  <conditionalFormatting sqref="AU536:AU537">
    <cfRule type="expression" dxfId="1940" priority="1708">
      <formula>AM536=""</formula>
    </cfRule>
  </conditionalFormatting>
  <conditionalFormatting sqref="AV12:AV42">
    <cfRule type="expression" dxfId="1939" priority="415">
      <formula>VLOOKUP(AV12,base_feries,1,FALSE)</formula>
    </cfRule>
    <cfRule type="expression" dxfId="1938" priority="414">
      <formula>OR(WEEKDAY(AV12,2)=6,WEEKDAY(AV12,2)=7)</formula>
    </cfRule>
    <cfRule type="expression" dxfId="1937" priority="413">
      <formula>WEEKDAY(AV12,2)=7</formula>
    </cfRule>
  </conditionalFormatting>
  <conditionalFormatting sqref="AV57:AV87">
    <cfRule type="expression" dxfId="1936" priority="410">
      <formula>WEEKDAY(AV57,2)=7</formula>
    </cfRule>
    <cfRule type="expression" dxfId="1935" priority="411">
      <formula>OR(WEEKDAY(AV57,2)=6,WEEKDAY(AV57,2)=7)</formula>
    </cfRule>
    <cfRule type="expression" dxfId="1934" priority="412">
      <formula>VLOOKUP(AV57,base_feries,1,FALSE)</formula>
    </cfRule>
  </conditionalFormatting>
  <conditionalFormatting sqref="AV102:AV132">
    <cfRule type="expression" dxfId="1933" priority="408">
      <formula>OR(WEEKDAY(AV102,2)=6,WEEKDAY(AV102,2)=7)</formula>
    </cfRule>
    <cfRule type="expression" dxfId="1932" priority="409">
      <formula>VLOOKUP(AV102,base_feries,1,FALSE)</formula>
    </cfRule>
    <cfRule type="expression" dxfId="1931" priority="407">
      <formula>WEEKDAY(AV102,2)=7</formula>
    </cfRule>
  </conditionalFormatting>
  <conditionalFormatting sqref="AV147:AV177">
    <cfRule type="expression" dxfId="1930" priority="406">
      <formula>VLOOKUP(AV147,base_feries,1,FALSE)</formula>
    </cfRule>
    <cfRule type="expression" dxfId="1929" priority="405">
      <formula>OR(WEEKDAY(AV147,2)=6,WEEKDAY(AV147,2)=7)</formula>
    </cfRule>
    <cfRule type="expression" dxfId="1928" priority="404">
      <formula>WEEKDAY(AV147,2)=7</formula>
    </cfRule>
  </conditionalFormatting>
  <conditionalFormatting sqref="AV192:AV222">
    <cfRule type="expression" dxfId="1927" priority="403">
      <formula>VLOOKUP(AV192,base_feries,1,FALSE)</formula>
    </cfRule>
    <cfRule type="expression" dxfId="1926" priority="402">
      <formula>OR(WEEKDAY(AV192,2)=6,WEEKDAY(AV192,2)=7)</formula>
    </cfRule>
    <cfRule type="expression" dxfId="1925" priority="401">
      <formula>WEEKDAY(AV192,2)=7</formula>
    </cfRule>
  </conditionalFormatting>
  <conditionalFormatting sqref="AV237:AV267">
    <cfRule type="expression" dxfId="1924" priority="398">
      <formula>WEEKDAY(AV237,2)=7</formula>
    </cfRule>
    <cfRule type="expression" dxfId="1923" priority="400">
      <formula>VLOOKUP(AV237,base_feries,1,FALSE)</formula>
    </cfRule>
    <cfRule type="expression" dxfId="1922" priority="399">
      <formula>OR(WEEKDAY(AV237,2)=6,WEEKDAY(AV237,2)=7)</formula>
    </cfRule>
  </conditionalFormatting>
  <conditionalFormatting sqref="AV282:AV312">
    <cfRule type="expression" dxfId="1921" priority="397">
      <formula>VLOOKUP(AV282,base_feries,1,FALSE)</formula>
    </cfRule>
    <cfRule type="expression" dxfId="1920" priority="395">
      <formula>WEEKDAY(AV282,2)=7</formula>
    </cfRule>
    <cfRule type="expression" dxfId="1919" priority="396">
      <formula>OR(WEEKDAY(AV282,2)=6,WEEKDAY(AV282,2)=7)</formula>
    </cfRule>
  </conditionalFormatting>
  <conditionalFormatting sqref="AV327:AV357">
    <cfRule type="expression" dxfId="1918" priority="394">
      <formula>VLOOKUP(AV327,base_feries,1,FALSE)</formula>
    </cfRule>
    <cfRule type="expression" dxfId="1917" priority="392">
      <formula>WEEKDAY(AV327,2)=7</formula>
    </cfRule>
    <cfRule type="expression" dxfId="1916" priority="393">
      <formula>OR(WEEKDAY(AV327,2)=6,WEEKDAY(AV327,2)=7)</formula>
    </cfRule>
  </conditionalFormatting>
  <conditionalFormatting sqref="AV372:AV402">
    <cfRule type="expression" dxfId="1915" priority="389">
      <formula>WEEKDAY(AV372,2)=7</formula>
    </cfRule>
    <cfRule type="expression" dxfId="1914" priority="390">
      <formula>OR(WEEKDAY(AV372,2)=6,WEEKDAY(AV372,2)=7)</formula>
    </cfRule>
    <cfRule type="expression" dxfId="1913" priority="391">
      <formula>VLOOKUP(AV372,base_feries,1,FALSE)</formula>
    </cfRule>
  </conditionalFormatting>
  <conditionalFormatting sqref="AV417:AV447">
    <cfRule type="expression" dxfId="1912" priority="386">
      <formula>WEEKDAY(AV417,2)=7</formula>
    </cfRule>
    <cfRule type="expression" dxfId="1911" priority="387">
      <formula>OR(WEEKDAY(AV417,2)=6,WEEKDAY(AV417,2)=7)</formula>
    </cfRule>
    <cfRule type="expression" dxfId="1910" priority="388">
      <formula>VLOOKUP(AV417,base_feries,1,FALSE)</formula>
    </cfRule>
  </conditionalFormatting>
  <conditionalFormatting sqref="AV462:AV492">
    <cfRule type="expression" dxfId="1909" priority="384">
      <formula>OR(WEEKDAY(AV462,2)=6,WEEKDAY(AV462,2)=7)</formula>
    </cfRule>
    <cfRule type="expression" dxfId="1908" priority="385">
      <formula>VLOOKUP(AV462,base_feries,1,FALSE)</formula>
    </cfRule>
    <cfRule type="expression" dxfId="1907" priority="383">
      <formula>WEEKDAY(AV462,2)=7</formula>
    </cfRule>
  </conditionalFormatting>
  <conditionalFormatting sqref="AV507:AV537">
    <cfRule type="expression" dxfId="1906" priority="380">
      <formula>WEEKDAY(AV507,2)=7</formula>
    </cfRule>
    <cfRule type="expression" dxfId="1905" priority="381">
      <formula>OR(WEEKDAY(AV507,2)=6,WEEKDAY(AV507,2)=7)</formula>
    </cfRule>
    <cfRule type="expression" dxfId="1904" priority="382">
      <formula>VLOOKUP(AV507,base_feries,1,FALSE)</formula>
    </cfRule>
  </conditionalFormatting>
  <conditionalFormatting sqref="AY12:AY42">
    <cfRule type="expression" dxfId="1903" priority="3056">
      <formula>BG12="oui"</formula>
    </cfRule>
  </conditionalFormatting>
  <conditionalFormatting sqref="AY57:AY87">
    <cfRule type="expression" dxfId="1902" priority="2472">
      <formula>BG57="oui"</formula>
    </cfRule>
  </conditionalFormatting>
  <conditionalFormatting sqref="AY102:AY132">
    <cfRule type="expression" dxfId="1901" priority="2401">
      <formula>BG102="oui"</formula>
    </cfRule>
  </conditionalFormatting>
  <conditionalFormatting sqref="AY147:AY177">
    <cfRule type="expression" dxfId="1900" priority="2330">
      <formula>BG147="oui"</formula>
    </cfRule>
  </conditionalFormatting>
  <conditionalFormatting sqref="AY192:AY222">
    <cfRule type="expression" dxfId="1899" priority="2259">
      <formula>BG192="oui"</formula>
    </cfRule>
  </conditionalFormatting>
  <conditionalFormatting sqref="AY237:AY267">
    <cfRule type="expression" dxfId="1898" priority="2188">
      <formula>BG237="oui"</formula>
    </cfRule>
  </conditionalFormatting>
  <conditionalFormatting sqref="AY282:AY312">
    <cfRule type="expression" dxfId="1897" priority="2117">
      <formula>BG282="oui"</formula>
    </cfRule>
  </conditionalFormatting>
  <conditionalFormatting sqref="AY327:AY357">
    <cfRule type="expression" dxfId="1896" priority="2046">
      <formula>BG327="oui"</formula>
    </cfRule>
  </conditionalFormatting>
  <conditionalFormatting sqref="AY372:AY402">
    <cfRule type="expression" dxfId="1895" priority="1975">
      <formula>BG372="oui"</formula>
    </cfRule>
  </conditionalFormatting>
  <conditionalFormatting sqref="AY417:AY447">
    <cfRule type="expression" dxfId="1894" priority="1904">
      <formula>BG417="oui"</formula>
    </cfRule>
  </conditionalFormatting>
  <conditionalFormatting sqref="AY462:AY492">
    <cfRule type="expression" dxfId="1893" priority="1833">
      <formula>BG462="oui"</formula>
    </cfRule>
  </conditionalFormatting>
  <conditionalFormatting sqref="AY507:AY537">
    <cfRule type="expression" dxfId="1892" priority="1762">
      <formula>BG507="oui"</formula>
    </cfRule>
  </conditionalFormatting>
  <conditionalFormatting sqref="AZ12:AZ42">
    <cfRule type="expression" dxfId="1891" priority="3057">
      <formula>BF12="ERREUR"</formula>
    </cfRule>
    <cfRule type="expression" dxfId="1890" priority="3055">
      <formula>BG12="oui"</formula>
    </cfRule>
    <cfRule type="cellIs" dxfId="1889" priority="3058" operator="equal">
      <formula>"OUI"</formula>
    </cfRule>
  </conditionalFormatting>
  <conditionalFormatting sqref="AZ57:AZ87">
    <cfRule type="cellIs" dxfId="1888" priority="2474" operator="equal">
      <formula>"OUI"</formula>
    </cfRule>
    <cfRule type="expression" dxfId="1887" priority="2473">
      <formula>BF57="ERREUR"</formula>
    </cfRule>
    <cfRule type="expression" dxfId="1886" priority="2471">
      <formula>BG57="oui"</formula>
    </cfRule>
  </conditionalFormatting>
  <conditionalFormatting sqref="AZ102:AZ132">
    <cfRule type="cellIs" dxfId="1885" priority="2403" operator="equal">
      <formula>"OUI"</formula>
    </cfRule>
    <cfRule type="expression" dxfId="1884" priority="2402">
      <formula>BF102="ERREUR"</formula>
    </cfRule>
    <cfRule type="expression" dxfId="1883" priority="2400">
      <formula>BG102="oui"</formula>
    </cfRule>
  </conditionalFormatting>
  <conditionalFormatting sqref="AZ147:AZ177">
    <cfRule type="expression" dxfId="1882" priority="2329">
      <formula>BG147="oui"</formula>
    </cfRule>
    <cfRule type="expression" dxfId="1881" priority="2331">
      <formula>BF147="ERREUR"</formula>
    </cfRule>
    <cfRule type="cellIs" dxfId="1880" priority="2332" operator="equal">
      <formula>"OUI"</formula>
    </cfRule>
  </conditionalFormatting>
  <conditionalFormatting sqref="AZ192:AZ222">
    <cfRule type="expression" dxfId="1879" priority="2258">
      <formula>BG192="oui"</formula>
    </cfRule>
    <cfRule type="cellIs" dxfId="1878" priority="2261" operator="equal">
      <formula>"OUI"</formula>
    </cfRule>
    <cfRule type="expression" dxfId="1877" priority="2260">
      <formula>BF192="ERREUR"</formula>
    </cfRule>
  </conditionalFormatting>
  <conditionalFormatting sqref="AZ237:AZ267">
    <cfRule type="expression" dxfId="1876" priority="2189">
      <formula>BF237="ERREUR"</formula>
    </cfRule>
    <cfRule type="cellIs" dxfId="1875" priority="2190" operator="equal">
      <formula>"OUI"</formula>
    </cfRule>
    <cfRule type="expression" dxfId="1874" priority="2187">
      <formula>BG237="oui"</formula>
    </cfRule>
  </conditionalFormatting>
  <conditionalFormatting sqref="AZ282:AZ312">
    <cfRule type="expression" dxfId="1873" priority="2116">
      <formula>BG282="oui"</formula>
    </cfRule>
    <cfRule type="expression" dxfId="1872" priority="2118">
      <formula>BF282="ERREUR"</formula>
    </cfRule>
    <cfRule type="cellIs" dxfId="1871" priority="2119" operator="equal">
      <formula>"OUI"</formula>
    </cfRule>
  </conditionalFormatting>
  <conditionalFormatting sqref="AZ327:AZ357">
    <cfRule type="expression" dxfId="1870" priority="2045">
      <formula>BG327="oui"</formula>
    </cfRule>
    <cfRule type="expression" dxfId="1869" priority="2047">
      <formula>BF327="ERREUR"</formula>
    </cfRule>
    <cfRule type="cellIs" dxfId="1868" priority="2048" operator="equal">
      <formula>"OUI"</formula>
    </cfRule>
  </conditionalFormatting>
  <conditionalFormatting sqref="AZ372:AZ402">
    <cfRule type="cellIs" dxfId="1867" priority="1977" operator="equal">
      <formula>"OUI"</formula>
    </cfRule>
    <cfRule type="expression" dxfId="1866" priority="1976">
      <formula>BF372="ERREUR"</formula>
    </cfRule>
    <cfRule type="expression" dxfId="1865" priority="1974">
      <formula>BG372="oui"</formula>
    </cfRule>
  </conditionalFormatting>
  <conditionalFormatting sqref="AZ417:AZ447">
    <cfRule type="expression" dxfId="1864" priority="1903">
      <formula>BG417="oui"</formula>
    </cfRule>
    <cfRule type="cellIs" dxfId="1863" priority="1906" operator="equal">
      <formula>"OUI"</formula>
    </cfRule>
    <cfRule type="expression" dxfId="1862" priority="1905">
      <formula>BF417="ERREUR"</formula>
    </cfRule>
  </conditionalFormatting>
  <conditionalFormatting sqref="AZ462:AZ492">
    <cfRule type="expression" dxfId="1861" priority="1834">
      <formula>BF462="ERREUR"</formula>
    </cfRule>
    <cfRule type="cellIs" dxfId="1860" priority="1835" operator="equal">
      <formula>"OUI"</formula>
    </cfRule>
    <cfRule type="expression" dxfId="1859" priority="1832">
      <formula>BG462="oui"</formula>
    </cfRule>
  </conditionalFormatting>
  <conditionalFormatting sqref="AZ507:AZ537">
    <cfRule type="expression" dxfId="1858" priority="1763">
      <formula>BF507="ERREUR"</formula>
    </cfRule>
    <cfRule type="cellIs" dxfId="1857" priority="1764" operator="equal">
      <formula>"OUI"</formula>
    </cfRule>
    <cfRule type="expression" dxfId="1856" priority="1761">
      <formula>BG507="oui"</formula>
    </cfRule>
  </conditionalFormatting>
  <conditionalFormatting sqref="BB12:BB42">
    <cfRule type="expression" dxfId="1855" priority="2882">
      <formula>BG12="oui"</formula>
    </cfRule>
  </conditionalFormatting>
  <conditionalFormatting sqref="BB57:BB87">
    <cfRule type="expression" dxfId="1854" priority="2470">
      <formula>BG57="oui"</formula>
    </cfRule>
  </conditionalFormatting>
  <conditionalFormatting sqref="BB102:BB132">
    <cfRule type="expression" dxfId="1853" priority="2399">
      <formula>BG102="oui"</formula>
    </cfRule>
  </conditionalFormatting>
  <conditionalFormatting sqref="BB147:BB177">
    <cfRule type="expression" dxfId="1852" priority="2328">
      <formula>BG147="oui"</formula>
    </cfRule>
  </conditionalFormatting>
  <conditionalFormatting sqref="BB192:BB222">
    <cfRule type="expression" dxfId="1851" priority="2257">
      <formula>BG192="oui"</formula>
    </cfRule>
  </conditionalFormatting>
  <conditionalFormatting sqref="BB237:BB267">
    <cfRule type="expression" dxfId="1850" priority="2186">
      <formula>BG237="oui"</formula>
    </cfRule>
  </conditionalFormatting>
  <conditionalFormatting sqref="BB282:BB312">
    <cfRule type="expression" dxfId="1849" priority="2115">
      <formula>BG282="oui"</formula>
    </cfRule>
  </conditionalFormatting>
  <conditionalFormatting sqref="BB327:BB357">
    <cfRule type="expression" dxfId="1848" priority="2044">
      <formula>BG327="oui"</formula>
    </cfRule>
  </conditionalFormatting>
  <conditionalFormatting sqref="BB372:BB402">
    <cfRule type="expression" dxfId="1847" priority="1973">
      <formula>BG372="oui"</formula>
    </cfRule>
  </conditionalFormatting>
  <conditionalFormatting sqref="BB417:BB447">
    <cfRule type="expression" dxfId="1846" priority="1902">
      <formula>BG417="oui"</formula>
    </cfRule>
  </conditionalFormatting>
  <conditionalFormatting sqref="BB462:BB492">
    <cfRule type="expression" dxfId="1845" priority="1831">
      <formula>BG462="oui"</formula>
    </cfRule>
  </conditionalFormatting>
  <conditionalFormatting sqref="BB507:BB537">
    <cfRule type="expression" dxfId="1844" priority="1760">
      <formula>BG507="oui"</formula>
    </cfRule>
  </conditionalFormatting>
  <conditionalFormatting sqref="BD12:BD43">
    <cfRule type="expression" dxfId="1843" priority="2881">
      <formula>BG12="oui"</formula>
    </cfRule>
  </conditionalFormatting>
  <conditionalFormatting sqref="BD57:BD88">
    <cfRule type="expression" dxfId="1842" priority="2469">
      <formula>BG57="oui"</formula>
    </cfRule>
  </conditionalFormatting>
  <conditionalFormatting sqref="BD102:BD133">
    <cfRule type="expression" dxfId="1841" priority="2398">
      <formula>BG102="oui"</formula>
    </cfRule>
  </conditionalFormatting>
  <conditionalFormatting sqref="BD147:BD178">
    <cfRule type="expression" dxfId="1840" priority="2327">
      <formula>BG147="oui"</formula>
    </cfRule>
  </conditionalFormatting>
  <conditionalFormatting sqref="BD192:BD223">
    <cfRule type="expression" dxfId="1839" priority="2256">
      <formula>BG192="oui"</formula>
    </cfRule>
  </conditionalFormatting>
  <conditionalFormatting sqref="BD237:BD268">
    <cfRule type="expression" dxfId="1838" priority="2185">
      <formula>BG237="oui"</formula>
    </cfRule>
  </conditionalFormatting>
  <conditionalFormatting sqref="BD282:BD313">
    <cfRule type="expression" dxfId="1837" priority="2114">
      <formula>BG282="oui"</formula>
    </cfRule>
  </conditionalFormatting>
  <conditionalFormatting sqref="BD327:BD358">
    <cfRule type="expression" dxfId="1836" priority="2043">
      <formula>BG327="oui"</formula>
    </cfRule>
  </conditionalFormatting>
  <conditionalFormatting sqref="BD372:BD403">
    <cfRule type="expression" dxfId="1835" priority="1972">
      <formula>BG372="oui"</formula>
    </cfRule>
  </conditionalFormatting>
  <conditionalFormatting sqref="BD417:BD448">
    <cfRule type="expression" dxfId="1834" priority="1901">
      <formula>BG417="oui"</formula>
    </cfRule>
  </conditionalFormatting>
  <conditionalFormatting sqref="BD462:BD493">
    <cfRule type="expression" dxfId="1833" priority="1830">
      <formula>BG462="oui"</formula>
    </cfRule>
  </conditionalFormatting>
  <conditionalFormatting sqref="BD507:BD538">
    <cfRule type="expression" dxfId="1832" priority="1759">
      <formula>BG507="oui"</formula>
    </cfRule>
  </conditionalFormatting>
  <conditionalFormatting sqref="BE12:BE42">
    <cfRule type="expression" dxfId="1831" priority="2486">
      <formula>AL12=""</formula>
    </cfRule>
  </conditionalFormatting>
  <conditionalFormatting sqref="BE57:BE87">
    <cfRule type="expression" dxfId="1830" priority="2415">
      <formula>AL57=""</formula>
    </cfRule>
  </conditionalFormatting>
  <conditionalFormatting sqref="BE102:BE132">
    <cfRule type="expression" dxfId="1829" priority="2344">
      <formula>AL102=""</formula>
    </cfRule>
  </conditionalFormatting>
  <conditionalFormatting sqref="BE147:BE177">
    <cfRule type="expression" dxfId="1828" priority="2273">
      <formula>AL147=""</formula>
    </cfRule>
  </conditionalFormatting>
  <conditionalFormatting sqref="BE192:BE222">
    <cfRule type="expression" dxfId="1827" priority="2202">
      <formula>AL192=""</formula>
    </cfRule>
  </conditionalFormatting>
  <conditionalFormatting sqref="BE237:BE267">
    <cfRule type="expression" dxfId="1826" priority="2131">
      <formula>AL237=""</formula>
    </cfRule>
  </conditionalFormatting>
  <conditionalFormatting sqref="BE282:BE312">
    <cfRule type="expression" dxfId="1825" priority="2060">
      <formula>AL282=""</formula>
    </cfRule>
  </conditionalFormatting>
  <conditionalFormatting sqref="BE327:BE357">
    <cfRule type="expression" dxfId="1824" priority="1989">
      <formula>AL327=""</formula>
    </cfRule>
  </conditionalFormatting>
  <conditionalFormatting sqref="BE372:BE402">
    <cfRule type="expression" dxfId="1823" priority="1918">
      <formula>AL372=""</formula>
    </cfRule>
  </conditionalFormatting>
  <conditionalFormatting sqref="BE417:BE447">
    <cfRule type="expression" dxfId="1822" priority="1847">
      <formula>AL417=""</formula>
    </cfRule>
  </conditionalFormatting>
  <conditionalFormatting sqref="BE462:BE492">
    <cfRule type="expression" dxfId="1821" priority="1776">
      <formula>AL462=""</formula>
    </cfRule>
  </conditionalFormatting>
  <conditionalFormatting sqref="BE507:BE537">
    <cfRule type="expression" dxfId="1820" priority="1705">
      <formula>AL507=""</formula>
    </cfRule>
  </conditionalFormatting>
  <conditionalFormatting sqref="BS12:BS42">
    <cfRule type="expression" dxfId="1819" priority="449">
      <formula>WEEKDAY(BS12,2)=7</formula>
    </cfRule>
    <cfRule type="expression" dxfId="1818" priority="450">
      <formula>OR(WEEKDAY(BS12,2)=6,WEEKDAY(BS12,2)=7)</formula>
    </cfRule>
    <cfRule type="expression" dxfId="1817" priority="451">
      <formula>VLOOKUP(BS12,base_feries,1,FALSE)</formula>
    </cfRule>
  </conditionalFormatting>
  <conditionalFormatting sqref="BS57:BS87">
    <cfRule type="expression" dxfId="1816" priority="310">
      <formula>WEEKDAY(BS57,2)=7</formula>
    </cfRule>
    <cfRule type="expression" dxfId="1815" priority="311">
      <formula>OR(WEEKDAY(BS57,2)=6,WEEKDAY(BS57,2)=7)</formula>
    </cfRule>
    <cfRule type="expression" dxfId="1814" priority="312">
      <formula>VLOOKUP(BS57,base_feries,1,FALSE)</formula>
    </cfRule>
  </conditionalFormatting>
  <conditionalFormatting sqref="BS102:BS132">
    <cfRule type="expression" dxfId="1813" priority="309">
      <formula>VLOOKUP(BS102,base_feries,1,FALSE)</formula>
    </cfRule>
    <cfRule type="expression" dxfId="1812" priority="308">
      <formula>OR(WEEKDAY(BS102,2)=6,WEEKDAY(BS102,2)=7)</formula>
    </cfRule>
    <cfRule type="expression" dxfId="1811" priority="307">
      <formula>WEEKDAY(BS102,2)=7</formula>
    </cfRule>
  </conditionalFormatting>
  <conditionalFormatting sqref="BS147:BS177">
    <cfRule type="expression" dxfId="1810" priority="305">
      <formula>OR(WEEKDAY(BS147,2)=6,WEEKDAY(BS147,2)=7)</formula>
    </cfRule>
    <cfRule type="expression" dxfId="1809" priority="304">
      <formula>WEEKDAY(BS147,2)=7</formula>
    </cfRule>
    <cfRule type="expression" dxfId="1808" priority="306">
      <formula>VLOOKUP(BS147,base_feries,1,FALSE)</formula>
    </cfRule>
  </conditionalFormatting>
  <conditionalFormatting sqref="BS192:BS222">
    <cfRule type="expression" dxfId="1807" priority="301">
      <formula>WEEKDAY(BS192,2)=7</formula>
    </cfRule>
    <cfRule type="expression" dxfId="1806" priority="302">
      <formula>OR(WEEKDAY(BS192,2)=6,WEEKDAY(BS192,2)=7)</formula>
    </cfRule>
    <cfRule type="expression" dxfId="1805" priority="303">
      <formula>VLOOKUP(BS192,base_feries,1,FALSE)</formula>
    </cfRule>
  </conditionalFormatting>
  <conditionalFormatting sqref="BS237:BS267">
    <cfRule type="expression" dxfId="1804" priority="298">
      <formula>WEEKDAY(BS237,2)=7</formula>
    </cfRule>
    <cfRule type="expression" dxfId="1803" priority="299">
      <formula>OR(WEEKDAY(BS237,2)=6,WEEKDAY(BS237,2)=7)</formula>
    </cfRule>
    <cfRule type="expression" dxfId="1802" priority="300">
      <formula>VLOOKUP(BS237,base_feries,1,FALSE)</formula>
    </cfRule>
  </conditionalFormatting>
  <conditionalFormatting sqref="BS282:BS312">
    <cfRule type="expression" dxfId="1801" priority="297">
      <formula>VLOOKUP(BS282,base_feries,1,FALSE)</formula>
    </cfRule>
    <cfRule type="expression" dxfId="1800" priority="296">
      <formula>OR(WEEKDAY(BS282,2)=6,WEEKDAY(BS282,2)=7)</formula>
    </cfRule>
    <cfRule type="expression" dxfId="1799" priority="295">
      <formula>WEEKDAY(BS282,2)=7</formula>
    </cfRule>
  </conditionalFormatting>
  <conditionalFormatting sqref="BS327:BS357">
    <cfRule type="expression" dxfId="1798" priority="293">
      <formula>OR(WEEKDAY(BS327,2)=6,WEEKDAY(BS327,2)=7)</formula>
    </cfRule>
    <cfRule type="expression" dxfId="1797" priority="294">
      <formula>VLOOKUP(BS327,base_feries,1,FALSE)</formula>
    </cfRule>
    <cfRule type="expression" dxfId="1796" priority="292">
      <formula>WEEKDAY(BS327,2)=7</formula>
    </cfRule>
  </conditionalFormatting>
  <conditionalFormatting sqref="BS372:BS402">
    <cfRule type="expression" dxfId="1795" priority="289">
      <formula>WEEKDAY(BS372,2)=7</formula>
    </cfRule>
    <cfRule type="expression" dxfId="1794" priority="291">
      <formula>VLOOKUP(BS372,base_feries,1,FALSE)</formula>
    </cfRule>
    <cfRule type="expression" dxfId="1793" priority="290">
      <formula>OR(WEEKDAY(BS372,2)=6,WEEKDAY(BS372,2)=7)</formula>
    </cfRule>
  </conditionalFormatting>
  <conditionalFormatting sqref="BS417:BS447">
    <cfRule type="expression" dxfId="1792" priority="286">
      <formula>WEEKDAY(BS417,2)=7</formula>
    </cfRule>
    <cfRule type="expression" dxfId="1791" priority="288">
      <formula>VLOOKUP(BS417,base_feries,1,FALSE)</formula>
    </cfRule>
    <cfRule type="expression" dxfId="1790" priority="287">
      <formula>OR(WEEKDAY(BS417,2)=6,WEEKDAY(BS417,2)=7)</formula>
    </cfRule>
  </conditionalFormatting>
  <conditionalFormatting sqref="BS462:BS492">
    <cfRule type="expression" dxfId="1789" priority="283">
      <formula>WEEKDAY(BS462,2)=7</formula>
    </cfRule>
    <cfRule type="expression" dxfId="1788" priority="284">
      <formula>OR(WEEKDAY(BS462,2)=6,WEEKDAY(BS462,2)=7)</formula>
    </cfRule>
    <cfRule type="expression" dxfId="1787" priority="285">
      <formula>VLOOKUP(BS462,base_feries,1,FALSE)</formula>
    </cfRule>
  </conditionalFormatting>
  <conditionalFormatting sqref="BS507:BS537">
    <cfRule type="expression" dxfId="1786" priority="280">
      <formula>WEEKDAY(BS507,2)=7</formula>
    </cfRule>
    <cfRule type="expression" dxfId="1785" priority="282">
      <formula>VLOOKUP(BS507,base_feries,1,FALSE)</formula>
    </cfRule>
    <cfRule type="expression" dxfId="1784" priority="281">
      <formula>OR(WEEKDAY(BS507,2)=6,WEEKDAY(BS507,2)=7)</formula>
    </cfRule>
  </conditionalFormatting>
  <conditionalFormatting sqref="BV2:BV7">
    <cfRule type="cellIs" dxfId="1783" priority="12" operator="equal">
      <formula>"oui"</formula>
    </cfRule>
  </conditionalFormatting>
  <conditionalFormatting sqref="BV47:BV52">
    <cfRule type="cellIs" dxfId="1782" priority="11" operator="equal">
      <formula>"oui"</formula>
    </cfRule>
  </conditionalFormatting>
  <conditionalFormatting sqref="BV92:BV97">
    <cfRule type="cellIs" dxfId="1781" priority="10" operator="equal">
      <formula>"oui"</formula>
    </cfRule>
  </conditionalFormatting>
  <conditionalFormatting sqref="BV137:BV142">
    <cfRule type="cellIs" dxfId="1780" priority="9" operator="equal">
      <formula>"oui"</formula>
    </cfRule>
  </conditionalFormatting>
  <conditionalFormatting sqref="BV182:BV187">
    <cfRule type="cellIs" dxfId="1779" priority="8" operator="equal">
      <formula>"oui"</formula>
    </cfRule>
  </conditionalFormatting>
  <conditionalFormatting sqref="BV227:BV232">
    <cfRule type="cellIs" dxfId="1778" priority="7" operator="equal">
      <formula>"oui"</formula>
    </cfRule>
  </conditionalFormatting>
  <conditionalFormatting sqref="BV272:BV277">
    <cfRule type="cellIs" dxfId="1777" priority="6" operator="equal">
      <formula>"oui"</formula>
    </cfRule>
  </conditionalFormatting>
  <conditionalFormatting sqref="BV317:BV322">
    <cfRule type="cellIs" dxfId="1776" priority="5" operator="equal">
      <formula>"oui"</formula>
    </cfRule>
  </conditionalFormatting>
  <conditionalFormatting sqref="BV362:BV367">
    <cfRule type="cellIs" dxfId="1775" priority="4" operator="equal">
      <formula>"oui"</formula>
    </cfRule>
  </conditionalFormatting>
  <conditionalFormatting sqref="BV407:BV412">
    <cfRule type="cellIs" dxfId="1774" priority="3" operator="equal">
      <formula>"oui"</formula>
    </cfRule>
  </conditionalFormatting>
  <conditionalFormatting sqref="BV452:BV457">
    <cfRule type="cellIs" dxfId="1773" priority="2" operator="equal">
      <formula>"oui"</formula>
    </cfRule>
  </conditionalFormatting>
  <conditionalFormatting sqref="BV497:BV502">
    <cfRule type="cellIs" dxfId="1772" priority="1" operator="equal">
      <formula>"oui"</formula>
    </cfRule>
  </conditionalFormatting>
  <conditionalFormatting sqref="CD12:CD42">
    <cfRule type="expression" dxfId="1771" priority="276">
      <formula>$DC12="oui"</formula>
    </cfRule>
    <cfRule type="cellIs" dxfId="1770" priority="277" operator="equal">
      <formula>0</formula>
    </cfRule>
  </conditionalFormatting>
  <conditionalFormatting sqref="CD57:CD87">
    <cfRule type="expression" dxfId="1769" priority="272">
      <formula>$DC57="oui"</formula>
    </cfRule>
    <cfRule type="cellIs" dxfId="1768" priority="273" operator="equal">
      <formula>0</formula>
    </cfRule>
  </conditionalFormatting>
  <conditionalFormatting sqref="CD102:CD132">
    <cfRule type="expression" dxfId="1767" priority="268">
      <formula>$DC102="oui"</formula>
    </cfRule>
    <cfRule type="cellIs" dxfId="1766" priority="269" operator="equal">
      <formula>0</formula>
    </cfRule>
  </conditionalFormatting>
  <conditionalFormatting sqref="CD147:CD177">
    <cfRule type="expression" dxfId="1765" priority="264">
      <formula>$DC147="oui"</formula>
    </cfRule>
    <cfRule type="cellIs" dxfId="1764" priority="265" operator="equal">
      <formula>0</formula>
    </cfRule>
  </conditionalFormatting>
  <conditionalFormatting sqref="CD192:CD222">
    <cfRule type="cellIs" dxfId="1763" priority="261" operator="equal">
      <formula>0</formula>
    </cfRule>
    <cfRule type="expression" dxfId="1762" priority="260">
      <formula>$DC192="oui"</formula>
    </cfRule>
  </conditionalFormatting>
  <conditionalFormatting sqref="CD237:CD267">
    <cfRule type="cellIs" dxfId="1761" priority="257" operator="equal">
      <formula>0</formula>
    </cfRule>
    <cfRule type="expression" dxfId="1760" priority="256">
      <formula>$DC237="oui"</formula>
    </cfRule>
  </conditionalFormatting>
  <conditionalFormatting sqref="CD282:CD312">
    <cfRule type="expression" dxfId="1759" priority="252">
      <formula>$DC282="oui"</formula>
    </cfRule>
    <cfRule type="cellIs" dxfId="1758" priority="253" operator="equal">
      <formula>0</formula>
    </cfRule>
  </conditionalFormatting>
  <conditionalFormatting sqref="CD327:CD357">
    <cfRule type="cellIs" dxfId="1757" priority="249" operator="equal">
      <formula>0</formula>
    </cfRule>
    <cfRule type="expression" dxfId="1756" priority="248">
      <formula>$DC327="oui"</formula>
    </cfRule>
  </conditionalFormatting>
  <conditionalFormatting sqref="CD372:CD402">
    <cfRule type="cellIs" dxfId="1755" priority="245" operator="equal">
      <formula>0</formula>
    </cfRule>
    <cfRule type="expression" dxfId="1754" priority="244">
      <formula>$DC372="oui"</formula>
    </cfRule>
  </conditionalFormatting>
  <conditionalFormatting sqref="CD417:CD447">
    <cfRule type="cellIs" dxfId="1753" priority="241" operator="equal">
      <formula>0</formula>
    </cfRule>
    <cfRule type="expression" dxfId="1752" priority="240">
      <formula>$DC417="oui"</formula>
    </cfRule>
  </conditionalFormatting>
  <conditionalFormatting sqref="CD462:CD492">
    <cfRule type="cellIs" dxfId="1751" priority="237" operator="equal">
      <formula>0</formula>
    </cfRule>
    <cfRule type="expression" dxfId="1750" priority="236">
      <formula>$DC462="oui"</formula>
    </cfRule>
  </conditionalFormatting>
  <conditionalFormatting sqref="CD507:CD537">
    <cfRule type="cellIs" dxfId="1749" priority="233" operator="equal">
      <formula>0</formula>
    </cfRule>
    <cfRule type="expression" dxfId="1748" priority="232">
      <formula>$DC507="oui"</formula>
    </cfRule>
  </conditionalFormatting>
  <conditionalFormatting sqref="DV12:ED42">
    <cfRule type="cellIs" dxfId="1747" priority="223" operator="equal">
      <formula>0</formula>
    </cfRule>
  </conditionalFormatting>
  <conditionalFormatting sqref="DV57:ED87">
    <cfRule type="cellIs" dxfId="1746" priority="213" operator="equal">
      <formula>0</formula>
    </cfRule>
  </conditionalFormatting>
  <conditionalFormatting sqref="DV102:ED132">
    <cfRule type="cellIs" dxfId="1745" priority="203" operator="equal">
      <formula>0</formula>
    </cfRule>
  </conditionalFormatting>
  <conditionalFormatting sqref="DV147:ED177">
    <cfRule type="cellIs" dxfId="1744" priority="193" operator="equal">
      <formula>0</formula>
    </cfRule>
  </conditionalFormatting>
  <conditionalFormatting sqref="DV192:ED222">
    <cfRule type="cellIs" dxfId="1743" priority="183" operator="equal">
      <formula>0</formula>
    </cfRule>
  </conditionalFormatting>
  <conditionalFormatting sqref="DV237:ED267">
    <cfRule type="cellIs" dxfId="1742" priority="173" operator="equal">
      <formula>0</formula>
    </cfRule>
  </conditionalFormatting>
  <conditionalFormatting sqref="DV282:ED312">
    <cfRule type="cellIs" dxfId="1741" priority="163" operator="equal">
      <formula>0</formula>
    </cfRule>
  </conditionalFormatting>
  <conditionalFormatting sqref="DV327:ED357">
    <cfRule type="cellIs" dxfId="1740" priority="153" operator="equal">
      <formula>0</formula>
    </cfRule>
  </conditionalFormatting>
  <conditionalFormatting sqref="DV372:ED402">
    <cfRule type="cellIs" dxfId="1739" priority="143" operator="equal">
      <formula>0</formula>
    </cfRule>
  </conditionalFormatting>
  <conditionalFormatting sqref="DV417:ED447">
    <cfRule type="cellIs" dxfId="1738" priority="133" operator="equal">
      <formula>0</formula>
    </cfRule>
  </conditionalFormatting>
  <conditionalFormatting sqref="DV462:ED492">
    <cfRule type="cellIs" dxfId="1737" priority="123" operator="equal">
      <formula>0</formula>
    </cfRule>
  </conditionalFormatting>
  <conditionalFormatting sqref="DV507:ED537">
    <cfRule type="cellIs" dxfId="1736" priority="113" operator="equal">
      <formula>0</formula>
    </cfRule>
  </conditionalFormatting>
  <conditionalFormatting sqref="EE12:EE43">
    <cfRule type="cellIs" dxfId="1735" priority="222" operator="equal">
      <formula>0</formula>
    </cfRule>
  </conditionalFormatting>
  <conditionalFormatting sqref="EE57:EE88">
    <cfRule type="cellIs" dxfId="1734" priority="212" operator="equal">
      <formula>0</formula>
    </cfRule>
  </conditionalFormatting>
  <conditionalFormatting sqref="EE102:EE133">
    <cfRule type="cellIs" dxfId="1733" priority="202" operator="equal">
      <formula>0</formula>
    </cfRule>
  </conditionalFormatting>
  <conditionalFormatting sqref="EE147:EE178">
    <cfRule type="cellIs" dxfId="1732" priority="192" operator="equal">
      <formula>0</formula>
    </cfRule>
  </conditionalFormatting>
  <conditionalFormatting sqref="EE192:EE223">
    <cfRule type="cellIs" dxfId="1731" priority="182" operator="equal">
      <formula>0</formula>
    </cfRule>
  </conditionalFormatting>
  <conditionalFormatting sqref="EE237:EE268">
    <cfRule type="cellIs" dxfId="1730" priority="172" operator="equal">
      <formula>0</formula>
    </cfRule>
  </conditionalFormatting>
  <conditionalFormatting sqref="EE282:EE313">
    <cfRule type="cellIs" dxfId="1729" priority="162" operator="equal">
      <formula>0</formula>
    </cfRule>
  </conditionalFormatting>
  <conditionalFormatting sqref="EE327:EE358">
    <cfRule type="cellIs" dxfId="1728" priority="152" operator="equal">
      <formula>0</formula>
    </cfRule>
  </conditionalFormatting>
  <conditionalFormatting sqref="EE372:EE403">
    <cfRule type="cellIs" dxfId="1727" priority="142" operator="equal">
      <formula>0</formula>
    </cfRule>
  </conditionalFormatting>
  <conditionalFormatting sqref="EE417:EE448">
    <cfRule type="cellIs" dxfId="1726" priority="132" operator="equal">
      <formula>0</formula>
    </cfRule>
  </conditionalFormatting>
  <conditionalFormatting sqref="EE462:EE493">
    <cfRule type="cellIs" dxfId="1725" priority="122" operator="equal">
      <formula>0</formula>
    </cfRule>
  </conditionalFormatting>
  <conditionalFormatting sqref="EE507:EE538">
    <cfRule type="cellIs" dxfId="1724" priority="112" operator="equal">
      <formula>0</formula>
    </cfRule>
  </conditionalFormatting>
  <dataValidations count="5">
    <dataValidation type="list" showInputMessage="1" showErrorMessage="1" error="Vous devez choisir entre :_x000a_ - cellule vide_x000a_ - CP Acq_x000a_ - CP Ant" sqref="AR12:AR42 AR462:AR492 AR57:AR87 AR102:AR132 AR147:AR177 AR192:AR222 AR237:AR267 AR282:AR312 AR327:AR357 AR372:AR402 AR417:AR447 AR507:AR537" xr:uid="{00000000-0002-0000-1600-000000000000}">
      <formula1>Source_pose_CP</formula1>
    </dataValidation>
    <dataValidation type="list" allowBlank="1" showInputMessage="1" sqref="AT12:AT42 AT57:AT87 AT102:AT132 AT147:AT177 AT192:AT222 AT237:AT267 AT282:AT312 AT327:AT357 AT372:AT402 AT417:AT447 AT462:AT492 AT507:AT537" xr:uid="{00000000-0002-0000-1600-000001000000}">
      <formula1>liste_motif</formula1>
    </dataValidation>
    <dataValidation type="list" showInputMessage="1" showErrorMessage="1" sqref="AZ507:AZ537 AZ57:AZ87 AZ102:AZ132 AZ147:AZ177 AZ192:AZ222 AZ237:AZ267 AZ282:AZ312 AZ327:AZ357 AZ372:AZ402 AZ417:AZ447 AZ462:AZ492 AZ12:AZ42" xr:uid="{00000000-0002-0000-1600-000002000000}">
      <formula1>"NON,OUI"</formula1>
    </dataValidation>
    <dataValidation type="list" allowBlank="1" showInputMessage="1" showErrorMessage="1" sqref="AT5 AT50 AT95 AT140 AT185 AT230 AT275 AT320 AT365 AT410 AT455 AT500" xr:uid="{00000000-0002-0000-1600-000003000000}">
      <formula1>"NON,OUI"</formula1>
    </dataValidation>
    <dataValidation type="list" allowBlank="1" showInputMessage="1" showErrorMessage="1" sqref="BE12:BE42 BE462:BE492 BE57:BE87 BE102:BE132 BE147:BE177 BE192:BE222 BE237:BE267 BE282:BE312 BE327:BE357 BE372:BE402 BE417:BE447 BE507:BE537" xr:uid="{00000000-0002-0000-1600-000004000000}">
      <formula1>"OUI,NON"</formula1>
    </dataValidation>
  </dataValidations>
  <pageMargins left="0.23622047244094491" right="0.23622047244094491" top="0.74803149606299213" bottom="0.74803149606299213" header="0.31496062992125984" footer="0.31496062992125984"/>
  <pageSetup paperSize="9" scale="73" fitToHeight="0" orientation="landscape" horizontalDpi="1200" verticalDpi="1200" r:id="rId1"/>
  <rowBreaks count="11" manualBreakCount="11">
    <brk id="45" max="26" man="1"/>
    <brk id="90" max="26" man="1"/>
    <brk id="135" max="26" man="1"/>
    <brk id="180" max="26" man="1"/>
    <brk id="225" max="26" man="1"/>
    <brk id="270" max="26" man="1"/>
    <brk id="315" max="26" man="1"/>
    <brk id="360" max="26" man="1"/>
    <brk id="405" max="26" man="1"/>
    <brk id="450" max="26" man="1"/>
    <brk id="495" max="26"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1" style="196" customWidth="1"/>
    <col min="61" max="61" width="8.7109375" style="196" customWidth="1"/>
    <col min="62" max="62" width="13.28515625" style="196" hidden="1" customWidth="1"/>
    <col min="63" max="64" width="8.7109375" style="196" hidden="1" customWidth="1"/>
    <col min="65" max="65" width="11.2851562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82" width="11.42578125" style="129" customWidth="1"/>
    <col min="83" max="83" width="11.42578125" style="566"/>
    <col min="84" max="84" width="15.28515625" style="566" customWidth="1"/>
    <col min="85" max="103" width="11.42578125" style="566"/>
    <col min="104" max="104" width="11.42578125" style="566" customWidth="1"/>
    <col min="105" max="108" width="11.42578125" style="566"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11.42578125" style="402" hidden="1" customWidth="1"/>
    <col min="145" max="159" width="11.42578125" style="315" hidden="1" customWidth="1"/>
    <col min="160" max="160" width="13.140625" style="315" hidden="1" customWidth="1"/>
    <col min="161" max="162" width="11.42578125" style="315" hidden="1" customWidth="1"/>
    <col min="163" max="163" width="11.42578125" style="129" hidden="1" customWidth="1"/>
    <col min="164"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566"/>
      <c r="DJ1" s="402" t="s">
        <v>1114</v>
      </c>
      <c r="DK1" s="315" t="s">
        <v>1115</v>
      </c>
      <c r="DL1" s="789">
        <f>+ROUND(INT(DL3),0)</f>
        <v>6</v>
      </c>
      <c r="DO1" s="733" t="s">
        <v>510</v>
      </c>
      <c r="EF1" s="315" t="s">
        <v>949</v>
      </c>
      <c r="EG1" s="734">
        <f ca="1">+T35-T32-T33-T34</f>
        <v>0</v>
      </c>
      <c r="EM1" s="315" t="s">
        <v>646</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38" t="s">
        <v>1081</v>
      </c>
      <c r="CC2" s="131"/>
      <c r="CD2" s="866"/>
      <c r="DK2" s="315" t="s">
        <v>1116</v>
      </c>
      <c r="DL2" s="789">
        <f>+IF(DL4&gt;=10,DL4,"0"&amp;DL4)</f>
        <v>14</v>
      </c>
      <c r="DO2" s="402" t="s">
        <v>918</v>
      </c>
      <c r="DP2" s="315">
        <f>+VLOOKUP(DP4,base_donné_contrat,15,FALSE)</f>
        <v>0</v>
      </c>
      <c r="EF2" s="315" t="s">
        <v>947</v>
      </c>
      <c r="EG2" s="735" t="e">
        <f ca="1">+BZ68+BZ81+BZ84</f>
        <v>#DIV/0!</v>
      </c>
      <c r="EN2" s="402" t="s">
        <v>647</v>
      </c>
      <c r="EO2" s="737">
        <f>+DATE(YEAR(X3)-1,5,31)</f>
        <v>45808</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+Identification!B61</f>
        <v>46023</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1981" t="s">
        <v>1083</v>
      </c>
      <c r="AY3" s="1981"/>
      <c r="AZ3" s="1981"/>
      <c r="BJ3" s="129"/>
      <c r="BK3" s="129"/>
      <c r="BL3" s="129"/>
      <c r="BM3" s="129"/>
      <c r="BN3" s="129"/>
      <c r="CA3" s="567"/>
      <c r="CD3" s="131" t="str">
        <f>+IF(BZ8="OUI","Motif de la rupture :","")</f>
        <v/>
      </c>
      <c r="CE3" s="2229"/>
      <c r="CF3" s="2229"/>
      <c r="CG3" s="196">
        <f>+IF(CE3=S.CAL!FO1,S.CAL!FP1,IF(CE3=S.CAL!FO2,S.CAL!FP2,IF(CE3=S.CAL!FO3,S.CAL!FP30,0)))</f>
        <v>0</v>
      </c>
      <c r="DK3" s="402" t="s">
        <v>1117</v>
      </c>
      <c r="DL3" s="790">
        <f>2.65*9/CE49</f>
        <v>6.235294117647058</v>
      </c>
      <c r="DO3" s="402" t="s">
        <v>919</v>
      </c>
      <c r="DP3" s="315">
        <f>+VLOOKUP(DP4,base_donné_contrat,14,FALSE)</f>
        <v>0</v>
      </c>
      <c r="EF3" s="315" t="s">
        <v>950</v>
      </c>
      <c r="EG3" s="736" t="e">
        <f>+EG7</f>
        <v>#DIV/0!</v>
      </c>
      <c r="EN3" s="402" t="s">
        <v>648</v>
      </c>
      <c r="EO3" s="315" t="str">
        <f>+IF(AND(AH83=0,AJ4&lt;EO2),"OUI","NON")</f>
        <v>OUI</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Identification!$B$28</f>
        <v>0</v>
      </c>
      <c r="AK4" s="2185"/>
      <c r="AL4" s="2185"/>
      <c r="AM4" s="2185"/>
      <c r="AN4" s="2185"/>
      <c r="AO4" s="2186"/>
      <c r="AP4" s="204"/>
      <c r="AQ4" s="317"/>
      <c r="AR4" s="204"/>
      <c r="AS4" s="206"/>
      <c r="AT4" s="301">
        <f t="array" ref="AT4">IFERROR(INDEX($BK$20:$BK$50,MATCH(0,INDEX(COUNTIF($AT$3:AT3,$BK$20:$BK$50),0,0),0)),"")</f>
        <v>1</v>
      </c>
      <c r="AU4" s="1122" t="s">
        <v>226</v>
      </c>
      <c r="AV4" s="206"/>
      <c r="AW4" s="206"/>
      <c r="AX4" s="206"/>
      <c r="AY4" s="206"/>
      <c r="AZ4" s="637" t="s">
        <v>1074</v>
      </c>
      <c r="BJ4" s="204"/>
      <c r="BK4" s="204"/>
      <c r="BL4" s="204"/>
      <c r="BM4" s="204"/>
      <c r="BN4" s="204"/>
      <c r="BO4" s="206"/>
      <c r="BR4" s="1984" t="s">
        <v>15</v>
      </c>
      <c r="BS4" s="1984"/>
      <c r="BT4" s="1984"/>
      <c r="BU4" s="1984"/>
      <c r="BV4" s="1984"/>
      <c r="BW4" s="1984"/>
      <c r="BX4" s="1984"/>
      <c r="BY4" s="471">
        <f>IF(BZ4="",IF(Identification!B66="NON",VLOOKUP(AB20,Identification!A71:B74,2,TRUE),VLOOKUP(AB20,Identification!A78:B81,2,TRUE)),BZ4)</f>
        <v>0.88200000000000001</v>
      </c>
      <c r="BZ4" s="1113"/>
      <c r="CA4" s="566"/>
      <c r="DK4" s="315" t="s">
        <v>1116</v>
      </c>
      <c r="DL4" s="315">
        <f>+ROUNDDOWN((DL3-DL1)*60/100*100,0)</f>
        <v>14</v>
      </c>
      <c r="DO4" s="402" t="s">
        <v>200</v>
      </c>
      <c r="DP4" s="315" t="str">
        <f>+BY2</f>
        <v>Fiche info</v>
      </c>
      <c r="EF4" s="315" t="s">
        <v>1028</v>
      </c>
      <c r="EG4" s="737">
        <f>+Identification!B95</f>
        <v>0</v>
      </c>
      <c r="EN4" s="402" t="s">
        <v>649</v>
      </c>
      <c r="EO4" s="315" t="str">
        <f>+IF(AND(AL83=0,AJ4&lt;X3),"OUI","NON")</f>
        <v>OUI</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46023</v>
      </c>
      <c r="Y5" s="2206"/>
      <c r="Z5" s="1743" t="s">
        <v>451</v>
      </c>
      <c r="AA5" s="1743"/>
      <c r="AB5" s="2206">
        <f>+IF(AND(DATE(YEAR(EG4),MONTH(EG4),DAY(EG4))&gt;=DATE(YEAR(X3),MONTH(X3),DAY(X3)),DATE(YEAR(EG4),MONTH(EG4),DAY(EG4))&lt;=DATE(YEAR(X3),MONTH(X3),DAY(EOMONTH(X3,0)))),EG4,EOMONTH(X3,0))</f>
        <v>46053</v>
      </c>
      <c r="AC5" s="2210"/>
      <c r="AP5" s="209"/>
      <c r="AQ5" s="318"/>
      <c r="AR5" s="209"/>
      <c r="AS5" s="210"/>
      <c r="AT5" s="301">
        <f t="array" ref="AT5">IFERROR(INDEX($BK$20:$BK$50,MATCH(0,INDEX(COUNTIF($AT$3:AT4,$BK$20:$BK$50),0,0),0)),"")</f>
        <v>2</v>
      </c>
      <c r="AU5" s="1122" t="s">
        <v>226</v>
      </c>
      <c r="AV5" s="210"/>
      <c r="AW5" s="210"/>
      <c r="AX5" s="210"/>
      <c r="AY5" s="210"/>
      <c r="BJ5" s="209"/>
      <c r="BK5" s="209"/>
      <c r="BL5" s="209"/>
      <c r="BM5" s="209"/>
      <c r="BN5" s="209"/>
      <c r="BO5" s="210"/>
      <c r="BR5" s="1827"/>
      <c r="BS5" s="1827"/>
      <c r="BT5" s="1827"/>
      <c r="BU5" s="1827"/>
      <c r="BV5" s="1827"/>
      <c r="BW5" s="1827"/>
      <c r="BX5" s="1827"/>
      <c r="BY5" s="1641"/>
      <c r="CA5" s="566"/>
      <c r="CD5" s="131" t="str">
        <f>+IF(BZ8="OUI","Date de fin de contrat :","")</f>
        <v/>
      </c>
      <c r="CE5" s="2230"/>
      <c r="CF5" s="2230"/>
      <c r="DO5" s="402" t="s">
        <v>511</v>
      </c>
      <c r="DP5" s="315">
        <f>+VLOOKUP(DP4,base_donné_contrat,2,FALSE)</f>
        <v>0</v>
      </c>
      <c r="EF5" s="315" t="s">
        <v>1213</v>
      </c>
      <c r="EG5" s="737">
        <f>+EOMONTH(X3,0)</f>
        <v>46053</v>
      </c>
      <c r="EN5" s="402" t="s">
        <v>691</v>
      </c>
      <c r="EO5" s="315" t="str">
        <f>+IF(AND(M99=0,AJ4&lt;D99,DP8=52,OR(G99="",G99=0)),"OUI","NON")</f>
        <v>NON</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3</v>
      </c>
      <c r="AU6" s="1122" t="s">
        <v>226</v>
      </c>
      <c r="BJ6" s="129"/>
      <c r="BK6" s="129"/>
      <c r="BL6" s="129"/>
      <c r="BM6" s="129"/>
      <c r="BN6" s="129"/>
      <c r="BQ6" s="578"/>
      <c r="BR6" s="578"/>
      <c r="BS6" s="578"/>
      <c r="BT6" s="578"/>
      <c r="BU6" s="578"/>
      <c r="BV6" s="578"/>
      <c r="BW6" s="578"/>
      <c r="BX6" s="579" t="s">
        <v>509</v>
      </c>
      <c r="BY6" s="580" t="str">
        <f>+BZ6</f>
        <v>Non</v>
      </c>
      <c r="BZ6" s="581" t="s">
        <v>32</v>
      </c>
      <c r="CA6" s="566"/>
      <c r="DO6" s="402" t="s">
        <v>201</v>
      </c>
      <c r="DP6" s="738">
        <f>+IFERROR(VLOOKUP(X3,base_smic,2,TRUE),0)</f>
        <v>12.02</v>
      </c>
      <c r="EF6" s="315" t="s">
        <v>1533</v>
      </c>
      <c r="EG6" s="852">
        <f>+VLOOKUP(X3,Identification!A90:B92,2,TRUE)</f>
        <v>3022</v>
      </c>
      <c r="EN6" s="402" t="s">
        <v>922</v>
      </c>
      <c r="EO6" s="315" t="str">
        <f>+IF(AND(R87=0,R90=0,AE129="NON"),"OUI","")</f>
        <v>OUI</v>
      </c>
    </row>
    <row r="7" spans="1:226" ht="16.5" thickBot="1" x14ac:dyDescent="0.3">
      <c r="A7" s="1799" t="s">
        <v>5</v>
      </c>
      <c r="B7" s="1798"/>
      <c r="C7" s="1798"/>
      <c r="D7" s="1798"/>
      <c r="E7" s="2152">
        <f>Identification!B19</f>
        <v>0</v>
      </c>
      <c r="F7" s="2152"/>
      <c r="G7" s="2152"/>
      <c r="H7" s="2152"/>
      <c r="I7" s="2152"/>
      <c r="J7" s="2152"/>
      <c r="K7" s="2152"/>
      <c r="L7" s="2152"/>
      <c r="M7" s="2152"/>
      <c r="N7" s="2152"/>
      <c r="O7" s="2152"/>
      <c r="P7" s="2152"/>
      <c r="Q7" s="2152"/>
      <c r="R7" s="2153"/>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4</v>
      </c>
      <c r="AU7" s="1122" t="s">
        <v>226</v>
      </c>
      <c r="BG7" s="240"/>
      <c r="BH7" s="1997" t="s">
        <v>1531</v>
      </c>
      <c r="BI7" s="1997"/>
      <c r="BJ7" s="129"/>
      <c r="BK7" s="129"/>
      <c r="BL7" s="129"/>
      <c r="BM7" s="129"/>
      <c r="BN7" s="129"/>
      <c r="CA7" s="566"/>
      <c r="CB7" s="1618" t="str">
        <f>+IF(AND(BY8="NON",OR(CE3&lt;&gt;"",CE5&lt;&gt;"",CE8&lt;&gt;"")),"Si vous mettez NON dans la cellule BY8,il faut que les cellules Motifs de la rupture CE3, Date de fin de contrat CE5 , Date de notification soit vide CE8 ","")</f>
        <v/>
      </c>
      <c r="DO7" s="402" t="s">
        <v>906</v>
      </c>
      <c r="DP7" s="315" t="str">
        <f>+VLOOKUP(DP4,base_donné_contrat,4,FALSE)</f>
        <v>NON</v>
      </c>
      <c r="EF7" s="402" t="s">
        <v>950</v>
      </c>
      <c r="EG7" s="1563" t="e">
        <f>(T25/P18+T26/P19)*-1</f>
        <v>#DIV/0!</v>
      </c>
      <c r="EN7" s="402" t="s">
        <v>925</v>
      </c>
      <c r="EO7" s="315" t="str">
        <f>+IF(AND(EO6="",BY8="OUI",R90&lt;&gt;0),"OUI","")</f>
        <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5</v>
      </c>
      <c r="AU8" s="1122" t="s">
        <v>226</v>
      </c>
      <c r="BG8" s="240"/>
      <c r="BH8" s="1439" t="str">
        <f>+AT3</f>
        <v>N° Sem.</v>
      </c>
      <c r="BI8" s="1440" t="s">
        <v>1552</v>
      </c>
      <c r="BJ8" s="129"/>
      <c r="BK8" s="129"/>
      <c r="BL8" s="129"/>
      <c r="BM8" s="129"/>
      <c r="BN8" s="129"/>
      <c r="BQ8" s="1985" t="s">
        <v>210</v>
      </c>
      <c r="BR8" s="1986"/>
      <c r="BS8" s="1986"/>
      <c r="BT8" s="1986"/>
      <c r="BU8" s="1986"/>
      <c r="BV8" s="1986"/>
      <c r="BW8" s="1986"/>
      <c r="BX8" s="1986"/>
      <c r="BY8" s="965" t="str">
        <f>+BZ8</f>
        <v>NON</v>
      </c>
      <c r="BZ8" s="1114" t="s">
        <v>137</v>
      </c>
      <c r="CA8" s="566"/>
      <c r="CD8" s="131" t="str">
        <f>+IF(BZ8="OUI","Date de notification de la rupture ou de la démission :","")</f>
        <v/>
      </c>
      <c r="CE8" s="2231"/>
      <c r="CF8" s="2231"/>
      <c r="CG8" s="2223" t="s">
        <v>1389</v>
      </c>
      <c r="CH8" s="2223"/>
      <c r="CI8" s="2223"/>
      <c r="DO8" s="402" t="s">
        <v>512</v>
      </c>
      <c r="DP8" s="315">
        <f>+VLOOKUP(DP4,base_donné_contrat,5,FALSE)</f>
        <v>0</v>
      </c>
      <c r="EN8" s="402" t="s">
        <v>952</v>
      </c>
      <c r="EO8" s="315" t="str">
        <f>+IF(AND(EO6="",R89=0,R87&gt;0,OR(T30&gt;0,T32&gt;0)),"OUI","")</f>
        <v/>
      </c>
      <c r="FX8" s="129" t="str">
        <f>+IF(AND(CD8="",CE8&lt;&gt;""),"vrai","faux")</f>
        <v>faux</v>
      </c>
    </row>
    <row r="9" spans="1:226" ht="11.2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+BH9&amp;+IF(OR(BH9=52,BH9=53),$X$4-1,$X$4)</f>
        <v>12026</v>
      </c>
      <c r="BH9" s="1441">
        <f>+AT4</f>
        <v>1</v>
      </c>
      <c r="BI9" s="1442">
        <f>IF($AR$13=S.CAL!$CU$2,+SUMIF(S.CAL!$FW$3:$FW$100,BG9,S.CAL!$FX$3:$FX$100),IF($AR$13=S.CAL!$CU$3,SUMIF(Feuilles_de_présence_planning!$EG$12:$EG$100,BG9,Feuilles_de_présence_planning!$EE$12:$EE$100),"err"))</f>
        <v>0</v>
      </c>
      <c r="BJ9" s="129"/>
      <c r="BK9" s="129"/>
      <c r="BL9" s="129"/>
      <c r="BM9" s="129"/>
      <c r="BN9" s="129"/>
      <c r="BQ9" s="566"/>
      <c r="BR9" s="566"/>
      <c r="BS9" s="566"/>
      <c r="BT9" s="566"/>
      <c r="BU9" s="566"/>
      <c r="BV9" s="566"/>
      <c r="BW9" s="566"/>
      <c r="BX9" s="566"/>
      <c r="BY9" s="196" t="str">
        <f>+IF(BY8="OUI","O","")</f>
        <v/>
      </c>
      <c r="BZ9" s="635"/>
      <c r="CA9" s="566"/>
      <c r="CF9" s="871" t="str">
        <f>+IF(BZ8="OUI","Ç","")</f>
        <v/>
      </c>
      <c r="DO9" s="402" t="s">
        <v>36</v>
      </c>
      <c r="DP9" s="315">
        <f>+VLOOKUP(DP4,base_donné_contrat,6,FALSE)</f>
        <v>0</v>
      </c>
      <c r="EN9" s="402" t="s">
        <v>1038</v>
      </c>
      <c r="EO9" s="315" t="str">
        <f>+IF(OR(AND(CE54&lt;=DL3,CE53&gt;=CE47),AND(CE54&gt;DL3,CE53&gt;=CE54*CE47/DL3)),"OUI","NON")</f>
        <v>NON</v>
      </c>
      <c r="EP9" s="315" t="str">
        <f>+IF(OR(AND(CE58&lt;=DL3,CE57&gt;=CE47),AND(CE58&gt;DL3,CE57&gt;=CE58*CE47/DL3)),"OUI","NON")</f>
        <v>NON</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0">+BH10&amp;+IF(OR(BH10=52,BH10=53),$X$4-1,$X$4)</f>
        <v>22026</v>
      </c>
      <c r="BH10" s="1441">
        <f t="shared" ref="BH10:BH14" si="1">+AT5</f>
        <v>2</v>
      </c>
      <c r="BI10" s="1442">
        <f>IF($AR$13=S.CAL!$CU$2,+SUMIF(S.CAL!$FW$3:$FW$374,BG10,S.CAL!$FX$3:$FX$374),IF($AR$13=S.CAL!$CU$3,SUMIF(Feuilles_de_présence_planning!$EG$12:$EG$537,BG10,Feuilles_de_présence_planning!$EE$12:$EE$537),"err"))</f>
        <v>0</v>
      </c>
      <c r="BJ10" s="129"/>
      <c r="BK10" s="129"/>
      <c r="BL10" s="129"/>
      <c r="BM10" s="129"/>
      <c r="BN10" s="129"/>
      <c r="BQ10" s="566"/>
      <c r="BR10" s="566"/>
      <c r="BS10" s="566"/>
      <c r="BT10" s="566"/>
      <c r="BU10" s="566"/>
      <c r="BV10" s="566"/>
      <c r="BW10" s="566"/>
      <c r="BX10" s="566"/>
      <c r="BY10" s="566"/>
      <c r="BZ10" s="636" t="str">
        <f>+IF(BZ8="OUI","Saisir la date de fin du contrat et la date de notification","")</f>
        <v/>
      </c>
      <c r="CA10" s="874" t="str">
        <f>+IF(BZ8="OUI","Æ Æ Æ Æ Æ Æ Æ Æ Æ Æ Æ Æ Æ Æ Æ Æ Æ Æ Æ Æ Æ Æ Æ Æ Æ Æ Ç","")</f>
        <v/>
      </c>
      <c r="DO10" s="402" t="s">
        <v>105</v>
      </c>
      <c r="DP10" s="315">
        <f>+VLOOKUP(DP4,base_donné_contrat,7,FALSE)</f>
        <v>0</v>
      </c>
      <c r="EL10" s="739"/>
      <c r="EM10" s="739"/>
      <c r="EN10" s="402" t="s">
        <v>1039</v>
      </c>
      <c r="EO10" s="315" t="str">
        <f>+IF(OR(AND(CE54&lt;=9,CE53&gt;=CE49),AND(CE54&gt;9,CE53&gt;=CE54*CE49/9)),"OUI","NON")</f>
        <v>NON</v>
      </c>
      <c r="EP10" s="315" t="str">
        <f>+IF(OR(AND(CE58&lt;=DL3,CE57&gt;=CE47),AND(CE58&gt;DL3,CE57&gt;=CE58*CE47/DL3)),"OUI","NON")</f>
        <v>NON</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AT11" s="204"/>
      <c r="AU11" s="129"/>
      <c r="BG11" s="1430" t="str">
        <f t="shared" si="0"/>
        <v>32026</v>
      </c>
      <c r="BH11" s="1441">
        <f t="shared" si="1"/>
        <v>3</v>
      </c>
      <c r="BI11" s="1442">
        <f>IF($AR$13=S.CAL!$CU$2,+SUMIF(S.CAL!$FW$3:$FW$374,BG11,S.CAL!$FX$3:$FX$374),IF($AR$13=S.CAL!$CU$3,SUMIF(Feuilles_de_présence_planning!$EG$12:$EG$537,BG11,Feuilles_de_présence_planning!$EE$12:$EE$537),"err"))</f>
        <v>0</v>
      </c>
      <c r="BJ11" s="129"/>
      <c r="BK11" s="129"/>
      <c r="BL11" s="129"/>
      <c r="BM11" s="129"/>
      <c r="BN11" s="129"/>
      <c r="BQ11" s="566"/>
      <c r="BR11" s="566"/>
      <c r="BS11" s="566"/>
      <c r="BT11" s="566"/>
      <c r="BU11" s="566"/>
      <c r="BV11" s="566"/>
      <c r="BW11" s="566"/>
      <c r="BX11" s="566"/>
      <c r="BY11" s="566"/>
      <c r="BZ11" s="636" t="str">
        <f>+IF(BZ8="OUI","Vérifier le calcul de votre régularisation (Année incomplète ou éventuellement complète)","")</f>
        <v/>
      </c>
      <c r="CA11" s="566"/>
      <c r="DO11" s="402" t="s">
        <v>37</v>
      </c>
      <c r="DP11" s="738">
        <f>+VLOOKUP(DP4,base_donné_contrat,8,FALSE)</f>
        <v>0</v>
      </c>
      <c r="EF11" s="315" t="s">
        <v>693</v>
      </c>
      <c r="EG11" s="315" t="s">
        <v>694</v>
      </c>
      <c r="EH11" s="315" t="s">
        <v>535</v>
      </c>
      <c r="EI11" s="315" t="s">
        <v>695</v>
      </c>
      <c r="EN11" s="402"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0"/>
        <v>42026</v>
      </c>
      <c r="BH12" s="1441">
        <f t="shared" si="1"/>
        <v>4</v>
      </c>
      <c r="BI12" s="1442">
        <f>IF($AR$13=S.CAL!$CU$2,+SUMIF(S.CAL!$FW$3:$FW$374,BG12,S.CAL!$FX$3:$FX$374),IF($AR$13=S.CAL!$CU$3,SUMIF(Feuilles_de_présence_planning!$EG$12:$EG$537,BG12,Feuilles_de_présence_planning!$EE$12:$EE$537),"err"))</f>
        <v>0</v>
      </c>
      <c r="BJ12" s="129"/>
      <c r="BK12" s="129"/>
      <c r="BL12" s="129"/>
      <c r="BM12" s="129"/>
      <c r="BN12" s="129"/>
      <c r="BQ12" s="566"/>
      <c r="BR12" s="566"/>
      <c r="BS12" s="566"/>
      <c r="BT12" s="566"/>
      <c r="BU12" s="566"/>
      <c r="BV12" s="566"/>
      <c r="BW12" s="566"/>
      <c r="BX12" s="566"/>
      <c r="BY12" s="566"/>
      <c r="BZ12" s="636" t="str">
        <f>+IF(BZ8="OUI","Faites le point sur vos congés et vérifier le calcul de l'indemnité compensatrice de CP","")</f>
        <v/>
      </c>
      <c r="CA12" s="56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8</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1995" t="s">
        <v>963</v>
      </c>
      <c r="AS13" s="1995"/>
      <c r="AT13" s="1995"/>
      <c r="AU13" s="1995"/>
      <c r="AV13" s="1995"/>
      <c r="AW13" s="1995"/>
      <c r="AX13" s="1995"/>
      <c r="AY13" s="1995"/>
      <c r="AZ13" s="1995"/>
      <c r="BA13" s="1982" t="s">
        <v>1085</v>
      </c>
      <c r="BB13" s="1982"/>
      <c r="BC13" s="1982"/>
      <c r="BD13" s="950"/>
      <c r="BE13" s="129"/>
      <c r="BF13" s="129"/>
      <c r="BG13" s="1430" t="str">
        <f t="shared" si="0"/>
        <v>52026</v>
      </c>
      <c r="BH13" s="1441">
        <f t="shared" si="1"/>
        <v>5</v>
      </c>
      <c r="BI13" s="1442">
        <f>IF($AR$13=S.CAL!$CU$2,+SUMIF(S.CAL!$FW$3:$FW$374,BG13,S.CAL!$FX$3:$FX$374),IF($AR$13=S.CAL!$CU$3,SUMIF(Feuilles_de_présence_planning!$EG$12:$EG$537,BG13,Feuilles_de_présence_planning!$EE$12:$EE$537),"err"))</f>
        <v>0</v>
      </c>
      <c r="BJ13" s="129"/>
      <c r="BK13" s="129"/>
      <c r="BL13" s="129"/>
      <c r="BM13" s="129"/>
      <c r="BN13" s="129"/>
      <c r="BQ13" s="566"/>
      <c r="BR13" s="566"/>
      <c r="BS13" s="566"/>
      <c r="BT13" s="566"/>
      <c r="BU13" s="566"/>
      <c r="BV13" s="566"/>
      <c r="BW13" s="566"/>
      <c r="BX13" s="566"/>
      <c r="BY13" s="566"/>
      <c r="BZ13" s="636" t="str">
        <f>+IF(BZ8="OUI","Si nécessaire calculer l'indemnité de préavis et vérifier l'indemnité de rupture","")</f>
        <v/>
      </c>
      <c r="CA13" s="566"/>
      <c r="DO13" s="402" t="s">
        <v>347</v>
      </c>
      <c r="DP13" s="738">
        <f>+VLOOKUP(DP4,base_donné_contrat,12,FALSE)</f>
        <v>0</v>
      </c>
      <c r="EF13" s="315" t="s">
        <v>217</v>
      </c>
      <c r="EH13" s="315" t="s">
        <v>216</v>
      </c>
      <c r="EW13" s="402" t="s">
        <v>965</v>
      </c>
      <c r="EX13" s="315" t="str">
        <f>+IF(AR13=S.CAL!CU3,"oui","non")</f>
        <v>non</v>
      </c>
    </row>
    <row r="14" spans="1:226" ht="12.7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c r="AR14" s="1798"/>
      <c r="AS14" s="1798"/>
      <c r="AT14" s="1798"/>
      <c r="AU14" s="1798"/>
      <c r="AV14" s="1798"/>
      <c r="AW14" s="1798"/>
      <c r="AX14" s="1798"/>
      <c r="AY14" s="1798"/>
      <c r="AZ14" s="1798"/>
      <c r="BA14" s="1982"/>
      <c r="BB14" s="1982"/>
      <c r="BC14" s="1982"/>
      <c r="BD14" s="950"/>
      <c r="BE14" s="129"/>
      <c r="BF14" s="129"/>
      <c r="BG14" s="1430" t="str">
        <f t="shared" si="0"/>
        <v>2026</v>
      </c>
      <c r="BH14" s="1443" t="str">
        <f t="shared" si="1"/>
        <v/>
      </c>
      <c r="BI14" s="1444">
        <f>IF($AR$13=S.CAL!$CU$2,+SUMIF(S.CAL!$FW$3:$FW$374,BG14,S.CAL!$FX$3:$FX$374),IF($AR$13=S.CAL!$CU$3,SUMIF(Feuilles_de_présence_planning!$EG$12:$EG$537,BG14,Feuilles_de_présence_planning!$EE$12:$EE$537),"err"))</f>
        <v>0</v>
      </c>
      <c r="BJ14" s="129"/>
      <c r="BK14" s="129"/>
      <c r="BL14" s="129"/>
      <c r="BM14" s="129"/>
      <c r="BN14" s="129"/>
      <c r="BQ14" s="566"/>
      <c r="BR14" s="566"/>
      <c r="BS14" s="566"/>
      <c r="BT14" s="566"/>
      <c r="BU14" s="566"/>
      <c r="BV14" s="566"/>
      <c r="BW14" s="566"/>
      <c r="BX14" s="566"/>
      <c r="BY14" s="566"/>
      <c r="BZ14" s="566"/>
      <c r="CA14" s="56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197"/>
      <c r="Y15" s="2235">
        <f>+DP2</f>
        <v>0</v>
      </c>
      <c r="Z15" s="2236"/>
      <c r="AE15" s="2166" t="s">
        <v>38</v>
      </c>
      <c r="AF15" s="2167"/>
      <c r="AG15" s="2167"/>
      <c r="AH15" s="2167"/>
      <c r="AI15" s="2167"/>
      <c r="AJ15" s="2167"/>
      <c r="AK15" s="2168"/>
      <c r="AL15" s="1988">
        <f>ROUND(AL14*BY4,4)</f>
        <v>0</v>
      </c>
      <c r="AM15" s="1989"/>
      <c r="AN15" s="1989"/>
      <c r="AO15" s="1990"/>
      <c r="AP15" s="218"/>
      <c r="AQ15" s="320"/>
      <c r="AR15" s="218"/>
      <c r="AZ15" s="129"/>
      <c r="BA15" s="129"/>
      <c r="BB15" s="129"/>
      <c r="BC15" s="129"/>
      <c r="BD15" s="129"/>
      <c r="BE15" s="129"/>
      <c r="BF15" s="129"/>
      <c r="BG15" s="129"/>
      <c r="BH15" s="129"/>
      <c r="BI15" s="129"/>
      <c r="BJ15" s="129"/>
      <c r="BK15" s="129"/>
      <c r="BL15" s="129"/>
      <c r="BM15" s="129"/>
      <c r="BN15" s="129"/>
      <c r="BQ15" s="1991" t="s">
        <v>1088</v>
      </c>
      <c r="BR15" s="1991"/>
      <c r="BS15" s="1991"/>
      <c r="BT15" s="1991"/>
      <c r="BU15" s="1991"/>
      <c r="BV15" s="1991"/>
      <c r="BW15" s="1991"/>
      <c r="BX15" s="1991"/>
      <c r="BY15" s="1991"/>
      <c r="BZ15" s="1991"/>
      <c r="CA15" s="1991"/>
      <c r="CB15" s="1991"/>
      <c r="CC15" s="1991"/>
      <c r="DO15" s="315" t="s">
        <v>640</v>
      </c>
      <c r="DP15" s="315" t="e">
        <f>+DP13/DP11*12/DP8*DP11/6</f>
        <v>#DIV/0!</v>
      </c>
      <c r="DV15" s="740"/>
      <c r="DW15" s="740"/>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5" t="str">
        <f>+IF(AH92&lt;0,"Erreur vous posez trop de CP Acq","")</f>
        <v/>
      </c>
      <c r="AR16" s="218"/>
      <c r="BC16" s="1992"/>
      <c r="BD16" s="1992"/>
      <c r="BE16" s="1992"/>
      <c r="BQ16" s="1991"/>
      <c r="BR16" s="1991"/>
      <c r="BS16" s="1991"/>
      <c r="BT16" s="1991"/>
      <c r="BU16" s="1991"/>
      <c r="BV16" s="1991"/>
      <c r="BW16" s="1991"/>
      <c r="BX16" s="1991"/>
      <c r="BY16" s="1991"/>
      <c r="BZ16" s="1991"/>
      <c r="CA16" s="1991"/>
      <c r="CB16" s="1991"/>
      <c r="CC16" s="1991"/>
      <c r="DO16" s="402" t="s">
        <v>699</v>
      </c>
      <c r="DP16" s="315" t="str">
        <f>+VLOOKUP(DP4,base_donné_contrat,10,FALSE)</f>
        <v>Méthode 1</v>
      </c>
      <c r="DZ16" s="402"/>
      <c r="EA16" s="402"/>
      <c r="EB16" s="402"/>
      <c r="EC16" s="402"/>
      <c r="ED16" s="402"/>
      <c r="EE16" s="402" t="s">
        <v>215</v>
      </c>
      <c r="EF16" s="741">
        <f>+IF(DP8=52,AH83,(AH83/4))</f>
        <v>0</v>
      </c>
      <c r="EG16" s="741">
        <f>+IF(DP8=52,AH83*4,AH83)</f>
        <v>0</v>
      </c>
      <c r="EH16" s="741">
        <f>+IF(DP8=52,AL83,(AL83/4))</f>
        <v>0</v>
      </c>
      <c r="EI16" s="741">
        <f>+IF(DP8=52,AL83*4,AL83)</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204"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5" t="str">
        <f>+IF(AL92&lt;0,"Erreur vous posez trop de CP Anticipés","")</f>
        <v/>
      </c>
      <c r="AR17" s="218"/>
      <c r="BC17" s="1996" t="s">
        <v>1000</v>
      </c>
      <c r="BD17" s="1996"/>
      <c r="BE17" s="1996"/>
      <c r="BH17" s="1997" t="s">
        <v>1531</v>
      </c>
      <c r="BI17" s="1997"/>
      <c r="BQ17" s="1991"/>
      <c r="BR17" s="1991"/>
      <c r="BS17" s="1991"/>
      <c r="BT17" s="1991"/>
      <c r="BU17" s="1991"/>
      <c r="BV17" s="1991"/>
      <c r="BW17" s="1991"/>
      <c r="BX17" s="1991"/>
      <c r="BY17" s="1991"/>
      <c r="BZ17" s="1991"/>
      <c r="CA17" s="1991"/>
      <c r="CB17" s="1991"/>
      <c r="CC17" s="1991"/>
      <c r="DO17" s="402"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I17" s="216"/>
      <c r="GJ17" s="253"/>
      <c r="GM17" s="1506"/>
      <c r="GN17" s="216"/>
      <c r="GP17" s="1732" t="s">
        <v>1636</v>
      </c>
      <c r="GQ17" s="1732" t="s">
        <v>1557</v>
      </c>
      <c r="GR17" s="216"/>
      <c r="GS17" s="216"/>
      <c r="GT17" s="216"/>
      <c r="GU17" s="216"/>
      <c r="GV17" s="216"/>
    </row>
    <row r="18" spans="1:204"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1"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Q18" s="566"/>
      <c r="BR18" s="566"/>
      <c r="BS18" s="566"/>
      <c r="BT18" s="566"/>
      <c r="BU18" s="566"/>
      <c r="BV18" s="566"/>
      <c r="BW18" s="568"/>
      <c r="BX18" s="568"/>
      <c r="BY18" s="568"/>
      <c r="BZ18" s="566"/>
      <c r="CA18" s="56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I18" s="216"/>
      <c r="GJ18" s="253" t="s">
        <v>1584</v>
      </c>
      <c r="GK18" s="129" t="s">
        <v>1585</v>
      </c>
      <c r="GL18" s="129" t="s">
        <v>1586</v>
      </c>
      <c r="GM18" s="1506" t="s">
        <v>1587</v>
      </c>
      <c r="GN18" s="216"/>
      <c r="GO18" s="1523" t="s">
        <v>1495</v>
      </c>
      <c r="GP18" s="1732"/>
      <c r="GQ18" s="1732"/>
      <c r="GR18" s="216"/>
      <c r="GS18" s="216"/>
      <c r="GT18" s="216"/>
      <c r="GU18" s="216"/>
      <c r="GV18" s="216"/>
    </row>
    <row r="19" spans="1:204"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566"/>
      <c r="BR19" s="566"/>
      <c r="BS19" s="566"/>
      <c r="BT19" s="566"/>
      <c r="BU19" s="566"/>
      <c r="BV19" s="566"/>
      <c r="BW19" s="566"/>
      <c r="BX19" s="566"/>
      <c r="BY19" s="566"/>
      <c r="BZ19" s="566"/>
      <c r="CA19" s="56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315" t="str">
        <f>+"Heures entretien &gt;"&amp;DL1&amp;"h"&amp;DL2</f>
        <v>Heures entretien &gt;6h14</v>
      </c>
      <c r="EA19" s="315" t="s">
        <v>1055</v>
      </c>
      <c r="EB19" s="315" t="s">
        <v>1056</v>
      </c>
      <c r="EE19" s="402" t="s">
        <v>1154</v>
      </c>
      <c r="EF19" s="315">
        <f>IF(DP8&lt;52,(COUNTIF(AM20:AO50,"&gt;0"))+FP57,(COUNTIF(AM20:AO50,"&gt;0"))+FP57)</f>
        <v>0</v>
      </c>
      <c r="EH19" s="315" t="s">
        <v>306</v>
      </c>
      <c r="EI19" s="315">
        <f>COUNTIF('Retenue Janv'!D18:D48,"&gt;0")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129" t="s">
        <v>1267</v>
      </c>
      <c r="FJ19" s="315" t="s">
        <v>1327</v>
      </c>
      <c r="FK19" s="129" t="s">
        <v>1328</v>
      </c>
      <c r="FL19" s="129" t="s">
        <v>1330</v>
      </c>
      <c r="FN19" s="129" t="s">
        <v>1332</v>
      </c>
      <c r="GJ19" s="253"/>
      <c r="GM19" s="1506"/>
    </row>
    <row r="20" spans="1:204"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 ca="1">+IF(AND(DP14=1,OR(DP29="NON",DP29=0)),0,IF(DP29="OUI",0,CA34))</f>
        <v>0</v>
      </c>
      <c r="M20" s="2238"/>
      <c r="N20" s="2238"/>
      <c r="O20" s="2239"/>
      <c r="P20" s="1977">
        <f>+IF(AND(DP14=1,OR(DP29="NON",DP29=0)),0,IF(DP29="OUI",0,AL14*N15))</f>
        <v>0</v>
      </c>
      <c r="Q20" s="1978"/>
      <c r="R20" s="1978"/>
      <c r="S20" s="1979"/>
      <c r="T20" s="1753">
        <f t="shared" ca="1" si="2"/>
        <v>0</v>
      </c>
      <c r="U20" s="1969"/>
      <c r="V20" s="1969"/>
      <c r="W20" s="1976"/>
      <c r="X20" s="221"/>
      <c r="Y20" s="221"/>
      <c r="Z20" s="221"/>
      <c r="AA20" s="885" t="str">
        <f>IF(AND(BE20="OUI",$AR$13=S.CAL!$CU$2),"►",IF(AND(EV20="OUI",$AR$13=S.CAL!$CU$3),"►",""))</f>
        <v/>
      </c>
      <c r="AB20" s="2211">
        <f>+$X$3</f>
        <v>46023</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1</v>
      </c>
      <c r="AQ20" s="322"/>
      <c r="AR20" s="1123"/>
      <c r="AS20" s="314">
        <f t="shared" ref="AS20:AS50" si="3">SUM(AD20:AL20)</f>
        <v>0</v>
      </c>
      <c r="AT20" s="1124"/>
      <c r="AU20" s="1124"/>
      <c r="AV20" s="314"/>
      <c r="AW20" s="2150">
        <f>AB20</f>
        <v>46023</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infoA4</v>
      </c>
      <c r="BK20" s="129">
        <f>IFERROR(WEEKNUM(AB20,21),"")</f>
        <v>1</v>
      </c>
      <c r="BL20" s="129" t="str">
        <f t="shared" ref="BL20:BL50" si="4">+VLOOKUP(BK20,$AT$4:$AU$10,2,)</f>
        <v>A</v>
      </c>
      <c r="BM20" s="129">
        <f t="shared" ref="BM20:BM21" si="5">WEEKDAY(AB20,2)</f>
        <v>4</v>
      </c>
      <c r="BN20" s="223" t="str">
        <f>+DP4</f>
        <v>Fiche info</v>
      </c>
      <c r="BO20" s="223" t="str">
        <f t="shared" ref="BO20:BO21" si="6">IFERROR(+VLOOKUP(AZ20,Liste_motif_formule,5,FALSE),"")</f>
        <v/>
      </c>
      <c r="BP20" s="196" t="str">
        <f t="shared" ref="BP20:BP21" si="7">IFERROR(+VLOOKUP(AZ20,Liste_motif_formule,4,FALSE),"")</f>
        <v/>
      </c>
      <c r="BQ20" s="566"/>
      <c r="BR20" s="566"/>
      <c r="BS20" s="566"/>
      <c r="BT20" s="566"/>
      <c r="BU20" s="566"/>
      <c r="BV20" s="566"/>
      <c r="BW20" s="566"/>
      <c r="BX20" s="566"/>
      <c r="BY20" s="566"/>
      <c r="BZ20" s="566"/>
      <c r="CA20" s="566"/>
      <c r="DO20" s="315" t="s">
        <v>934</v>
      </c>
      <c r="DP20" s="791">
        <f ca="1">+T18+T19+T20+T21+T23+T24+T22+T25+T26+T27+T28+T29+T31+T34+T33+IF(DP8=52,T30,0)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48">
        <f>+AB20</f>
        <v>46023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46023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129"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v>
      </c>
      <c r="GA20" s="129">
        <f>++IF(OR(FZ20=52,FZ20=53),$X$4-1,$X$4)</f>
        <v>2026</v>
      </c>
      <c r="GB20" s="129" t="str">
        <f>+FZ20&amp;GA20</f>
        <v>12026</v>
      </c>
      <c r="GC20" s="223">
        <f>IF(AND($GD$53=S.CAL!$P$3,$GD$52=FZ20),GE20,IF(BH20="",0,BH20))</f>
        <v>0</v>
      </c>
      <c r="GD20" s="129" t="str">
        <f>IFERROR(+Février!$BY$2&amp;BL20&amp;BM20,0)</f>
        <v>Fiche infoA4</v>
      </c>
      <c r="GE20" s="129" t="str">
        <f t="shared" ref="GE20:GE50" si="19">+IFERROR(VLOOKUP(GD20,Base_heures,6,FALSE),"")</f>
        <v/>
      </c>
      <c r="GF20" s="223" t="str">
        <f>IF(FP20=1,GG20,AM20)</f>
        <v/>
      </c>
      <c r="GG20" s="1446" t="str">
        <f>+'Retenue Janv'!D18</f>
        <v/>
      </c>
      <c r="GH20" s="1446">
        <f>IF(Identification!$B$132="Non",'Retenue Janv'!BF18,'Retenue Janv'!BE18)</f>
        <v>0</v>
      </c>
      <c r="GI20" s="1446"/>
      <c r="GJ20" s="1507" t="str">
        <f>+AM20</f>
        <v/>
      </c>
      <c r="GK20" s="223" t="str">
        <f>+AG20</f>
        <v/>
      </c>
      <c r="GL20" s="223" t="str">
        <f>+AJ20</f>
        <v/>
      </c>
      <c r="GM20" s="1506">
        <f>+IF(AND(OR(ISNUMBER(GK20),ISNUMBER(GL20)),OR(GJ20="",GJ20=0,ISTEXT(GJ20))),1,0)</f>
        <v>0</v>
      </c>
      <c r="GN20" s="1446"/>
      <c r="GO20" s="1446">
        <f t="shared" ref="GO20:GO50" si="20">+IFERROR(IF(AND(VLOOKUP(EX20,Liste_motif_formule,11,FALSE)="OUI",FB20&gt;0,FB20&lt;&gt;""),1,0),0)+IFERROR(IF(AND(VLOOKUP(ER20,Liste_motif_formule,11,FALSE)="OUI",FB20&gt;0,FB20&lt;&gt;""),1,0),0)</f>
        <v>0</v>
      </c>
      <c r="GP20" s="1446" t="str">
        <f>IF(GO20=1,GG20,"")</f>
        <v/>
      </c>
      <c r="GQ20" s="1446" t="str">
        <f>+GG20</f>
        <v/>
      </c>
      <c r="GR20" s="1446"/>
      <c r="GS20" s="1446"/>
      <c r="GT20" s="1446"/>
      <c r="GU20" s="1446"/>
      <c r="GV20" s="1446"/>
    </row>
    <row r="21" spans="1:204"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si="2"/>
        <v>0</v>
      </c>
      <c r="U21" s="1969"/>
      <c r="V21" s="1969"/>
      <c r="W21" s="1970"/>
      <c r="X21" s="221"/>
      <c r="Y21" s="221"/>
      <c r="Z21" s="221"/>
      <c r="AA21" s="885" t="str">
        <f>IF(AND(BE21="OUI",$AR$13=S.CAL!$CU$2),"►",IF(AND(EV21="OUI",$AR$13=S.CAL!$CU$3),"►",""))</f>
        <v/>
      </c>
      <c r="AB21" s="1760">
        <f>+$X$3+1</f>
        <v>46024</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1">AB21</f>
        <v>46024</v>
      </c>
      <c r="AX21" s="1761"/>
      <c r="AY21" s="314"/>
      <c r="AZ21" s="1104"/>
      <c r="BA21" s="973"/>
      <c r="BB21" s="543"/>
      <c r="BC21" s="548">
        <f t="shared" ref="BC21:BC50" si="22">+IF(AND(BE21="OUI",BD21=""),IFERROR(BH21-AZ21,FS21),IF(AND(BE21="OUI",BD21&lt;&gt;""),BD21,0))</f>
        <v>0</v>
      </c>
      <c r="BD21" s="1104"/>
      <c r="BE21" s="807">
        <f t="shared" ref="BE21:BE50" si="23">+IF(OR(AND(BF21="",BO21="OUI"),AND(BF21="",FC21="oui",BO21=""),AND(BF21="",IFERROR(BH21-AZ21,0)&gt;0,AZ21&lt;&gt;"")),"OUI",BF21)</f>
        <v>0</v>
      </c>
      <c r="BF21" s="1128"/>
      <c r="BG21" s="222"/>
      <c r="BH21" s="548" t="str">
        <f t="shared" ref="BH21:BH50" si="24">IF(BI21="",+FB21,BI21)</f>
        <v/>
      </c>
      <c r="BI21" s="1128"/>
      <c r="BJ21" s="129" t="str">
        <f t="shared" ref="BJ21:BJ47" si="25">+BN21&amp;BL21&amp;BM21</f>
        <v>Fiche infoA5</v>
      </c>
      <c r="BK21" s="129">
        <f t="shared" ref="BK21" si="26">IFERROR(WEEKNUM(AB21,21),"")</f>
        <v>1</v>
      </c>
      <c r="BL21" s="129" t="str">
        <f t="shared" si="4"/>
        <v>A</v>
      </c>
      <c r="BM21" s="129">
        <f t="shared" si="5"/>
        <v>5</v>
      </c>
      <c r="BN21" s="223" t="str">
        <f>+BN20</f>
        <v>Fiche info</v>
      </c>
      <c r="BO21" s="223" t="str">
        <f t="shared" si="6"/>
        <v/>
      </c>
      <c r="BP21" s="196" t="str">
        <f t="shared" si="7"/>
        <v/>
      </c>
      <c r="BQ21" s="566"/>
      <c r="BR21" s="566"/>
      <c r="BS21" s="566"/>
      <c r="BT21" s="566"/>
      <c r="BU21" s="566"/>
      <c r="BV21" s="1949" t="s">
        <v>1624</v>
      </c>
      <c r="BW21" s="1949"/>
      <c r="BX21" s="1949"/>
      <c r="BY21" s="1949"/>
      <c r="BZ21" s="1949"/>
      <c r="CF21" s="572"/>
      <c r="CG21" s="572"/>
      <c r="CH21" s="572"/>
      <c r="CI21" s="572"/>
      <c r="CJ21" s="572"/>
      <c r="CK21" s="572"/>
      <c r="CL21" s="572"/>
      <c r="CM21" s="572"/>
      <c r="CN21" s="572"/>
      <c r="CO21" s="572"/>
      <c r="CP21" s="572"/>
      <c r="CQ21" s="572"/>
      <c r="CR21" s="572"/>
      <c r="CS21" s="572"/>
      <c r="CT21" s="572"/>
      <c r="CU21" s="572"/>
      <c r="CV21" s="572"/>
      <c r="CW21" s="572"/>
      <c r="CX21" s="572"/>
      <c r="CY21" s="572"/>
      <c r="CZ21" s="572"/>
      <c r="DA21" s="572"/>
      <c r="DB21" s="572"/>
      <c r="DC21" s="572"/>
      <c r="DD21" s="572"/>
      <c r="DE21" s="756"/>
      <c r="DF21" s="756"/>
      <c r="DG21" s="756"/>
      <c r="DH21" s="756"/>
      <c r="DI21" s="756"/>
      <c r="DJ21" s="756"/>
      <c r="DK21" s="756"/>
      <c r="DL21" s="756"/>
      <c r="DM21" s="756"/>
      <c r="DN21" s="756"/>
      <c r="DO21" s="757" t="s">
        <v>1112</v>
      </c>
      <c r="DP21" s="792">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46023</v>
      </c>
      <c r="EJ21" s="737"/>
      <c r="EK21" s="737"/>
      <c r="EQ21" s="748">
        <f t="shared" ref="EQ21" si="27">+AB21</f>
        <v>46024</v>
      </c>
      <c r="ER21" s="749">
        <f t="shared" si="10"/>
        <v>0</v>
      </c>
      <c r="ES21" s="750">
        <f t="shared" si="11"/>
        <v>0</v>
      </c>
      <c r="ET21" s="749">
        <f t="shared" si="12"/>
        <v>0</v>
      </c>
      <c r="EU21" s="750">
        <f t="shared" si="13"/>
        <v>0</v>
      </c>
      <c r="EV21" s="749" t="str">
        <f t="shared" si="14"/>
        <v/>
      </c>
      <c r="EW21" s="751">
        <f t="shared" ref="EW21:EW50" si="28">+EQ21</f>
        <v>46024</v>
      </c>
      <c r="EX21" s="759" t="str">
        <f>IFERROR(IF(AND(AZ21="",AR21&lt;&gt;S.CAL!$BJ$3,AR21&lt;&gt;S.CAL!$BJ$4),FS21-BC21,IF(AZ21&lt;&gt;0,AZ21,IF(OR(AR21=S.CAL!$BJ$3,AR21=S.CAL!$BJ$4),AR21,0))),"")</f>
        <v/>
      </c>
      <c r="EY21" s="753">
        <f t="shared" ref="EY21" si="29">+AT21</f>
        <v>0</v>
      </c>
      <c r="EZ21" s="736">
        <f t="shared" ref="EZ21" si="30">+AU21</f>
        <v>0</v>
      </c>
      <c r="FA21" s="759" t="str">
        <f t="shared" ref="FA21:FA50" si="31">+IF(AND(BA21="",BE21="OUI",AR21=""),AD21,IF(OR(AND(BA21="",BE21="NON",AR21=""),AND(BA21="",BP21="oui",AR21="")),BH21,IF(AND(BA21="",BP21="non",AR21=""),AD21,IF(AND(BA21="",BP21="",AR21=""),AD21,IF(AND($DP$8=52,BA21=""),BH21,IF(AND($DP$8&lt;52,BA21=""),AD21,BA21))))))</f>
        <v/>
      </c>
      <c r="FB21" s="754" t="str">
        <f t="shared" si="15"/>
        <v/>
      </c>
      <c r="FC21" s="315" t="str">
        <f t="shared" ref="FC21" si="32">IFERROR(+IF(OR(DATE(YEAR(AB21),MONTH(AB21),DAY(AB21))&lt;DATE(YEAR($AJ$4),MONTH($AJ$4),DAY($AJ$4)),DATE(YEAR(AB21),MONTH(AB21),DAY(AB21))&gt;IF(DATE(YEAR($EG$4),MONTH($EG$4),DAY($EG$4))=0,DATE(2100,12,30),DATE(YEAR($EG$4),MONTH($EG$4),DAY($EG$4)))),"oui","non"),"")</f>
        <v>non</v>
      </c>
      <c r="FD21" s="760">
        <f t="shared" si="16"/>
        <v>0</v>
      </c>
      <c r="FG21" s="129" t="str">
        <f t="shared" ref="FG21" si="33">IF(ISNUMBER(AD21)=TRUE,"",AD21)</f>
        <v/>
      </c>
      <c r="FJ21" s="315">
        <f t="shared" ref="FJ21" si="34">IF(OR(ISNUMBER(AZ21)=TRUE,AZ21=""),1,10)</f>
        <v>1</v>
      </c>
      <c r="FK21" s="129">
        <f t="shared" si="17"/>
        <v>10</v>
      </c>
      <c r="FL21" s="129">
        <f t="shared" ref="FL21:FL50" si="35">+IF(OR(FJ21=1,FK21=1),1,10)</f>
        <v>1</v>
      </c>
      <c r="FN21" s="129">
        <f>+IF(AND($DP$8&lt;&gt;52,AR21=S.CAL!$BJ$4),10,1)</f>
        <v>1</v>
      </c>
      <c r="FP21" s="129">
        <f t="shared" si="18"/>
        <v>0</v>
      </c>
      <c r="FS21" s="223" t="str">
        <f t="shared" ref="FS21:FS26" si="36">+BH21</f>
        <v/>
      </c>
      <c r="FZ21" s="129">
        <f t="shared" ref="FZ21:FZ50" si="37">IFERROR(WEEKNUM(AB21,21),"")</f>
        <v>1</v>
      </c>
      <c r="GA21" s="129">
        <f t="shared" ref="GA21:GA48" si="38">++IF(OR(FZ21=52,FZ21=53),$X$4-1,$X$4)</f>
        <v>2026</v>
      </c>
      <c r="GB21" s="129" t="str">
        <f t="shared" ref="GB21:GB48" si="39">+FZ21&amp;GA21</f>
        <v>12026</v>
      </c>
      <c r="GC21" s="223">
        <f>IF(AND($GD$53=S.CAL!$P$3,$GD$52=FZ21),GE21,IF(BH21="",0,BH21))</f>
        <v>0</v>
      </c>
      <c r="GD21" s="129" t="str">
        <f>IFERROR(+Février!$BY$2&amp;BL21&amp;BM21,0)</f>
        <v>Fiche infoA5</v>
      </c>
      <c r="GE21" s="129" t="str">
        <f t="shared" si="19"/>
        <v/>
      </c>
      <c r="GF21" s="223" t="str">
        <f t="shared" ref="GF21:GF48" si="40">IF(FP21=1,GG21,AM21)</f>
        <v/>
      </c>
      <c r="GG21" s="1446" t="str">
        <f>+'Retenue Janv'!D19</f>
        <v/>
      </c>
      <c r="GH21" s="1446">
        <f>IF(Identification!$B$132="Non",'Retenue Janv'!BF19,'Retenue Janv'!BE19)</f>
        <v>0</v>
      </c>
      <c r="GI21" s="1446"/>
      <c r="GJ21" s="1507" t="str">
        <f t="shared" ref="GJ21:GJ50" si="41">+AM21</f>
        <v/>
      </c>
      <c r="GK21" s="223" t="str">
        <f t="shared" ref="GK21:GK50" si="42">+AG21</f>
        <v/>
      </c>
      <c r="GL21" s="223" t="str">
        <f t="shared" ref="GL21:GL50" si="43">+AJ21</f>
        <v/>
      </c>
      <c r="GM21" s="1506">
        <f t="shared" ref="GM21:GM50" si="44">+IF(AND(OR(ISNUMBER(GK21),ISNUMBER(GL21)),OR(GJ21="",GJ21=0,ISTEXT(GJ21))),1,0)</f>
        <v>0</v>
      </c>
      <c r="GN21" s="1446"/>
      <c r="GO21" s="1446">
        <f t="shared" si="20"/>
        <v>0</v>
      </c>
      <c r="GP21" s="1446" t="str">
        <f t="shared" ref="GP21:GP50" si="45">IF(GO21=1,GG21,"")</f>
        <v/>
      </c>
      <c r="GQ21" s="1446" t="str">
        <f t="shared" ref="GQ21:GQ50" si="46">+GG21</f>
        <v/>
      </c>
      <c r="GR21" s="1446"/>
      <c r="GS21" s="1446"/>
      <c r="GT21" s="1446"/>
      <c r="GU21" s="1446"/>
      <c r="GV21" s="1446"/>
    </row>
    <row r="22" spans="1:204"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46025</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7">IFERROR(IF(WEEKDAY(AB22,11)=1,WEEKNUM(AB22,21),""),"")</f>
        <v/>
      </c>
      <c r="AQ22" s="322"/>
      <c r="AR22" s="1104"/>
      <c r="AS22" s="314">
        <f t="shared" si="3"/>
        <v>0</v>
      </c>
      <c r="AT22" s="1125"/>
      <c r="AU22" s="1125"/>
      <c r="AV22" s="314"/>
      <c r="AW22" s="1791">
        <f t="shared" si="21"/>
        <v>46025</v>
      </c>
      <c r="AX22" s="1761"/>
      <c r="AY22" s="314"/>
      <c r="AZ22" s="1104"/>
      <c r="BA22" s="973"/>
      <c r="BB22" s="543"/>
      <c r="BC22" s="548">
        <f t="shared" si="22"/>
        <v>0</v>
      </c>
      <c r="BD22" s="1104"/>
      <c r="BE22" s="807">
        <f t="shared" si="23"/>
        <v>0</v>
      </c>
      <c r="BF22" s="1128"/>
      <c r="BG22" s="222"/>
      <c r="BH22" s="548" t="str">
        <f t="shared" si="24"/>
        <v/>
      </c>
      <c r="BI22" s="1128"/>
      <c r="BJ22" s="129" t="str">
        <f t="shared" si="25"/>
        <v>Fiche infoA6</v>
      </c>
      <c r="BK22" s="129">
        <f t="shared" ref="BK22:BK50" si="48">IFERROR(WEEKNUM(AB22,21),"")</f>
        <v>1</v>
      </c>
      <c r="BL22" s="129" t="str">
        <f t="shared" si="4"/>
        <v>A</v>
      </c>
      <c r="BM22" s="129">
        <f t="shared" ref="BM22:BM47" si="49">WEEKDAY(AB22,2)</f>
        <v>6</v>
      </c>
      <c r="BN22" s="223" t="str">
        <f>+BN21</f>
        <v>Fiche info</v>
      </c>
      <c r="BO22" s="223" t="str">
        <f t="shared" ref="BO22:BO50" si="50">IFERROR(+VLOOKUP(AZ22,Liste_motif_formule,5,FALSE),"")</f>
        <v/>
      </c>
      <c r="BP22" s="196" t="str">
        <f t="shared" ref="BP22:BP50" si="51">IFERROR(+VLOOKUP(AZ22,Liste_motif_formule,4,FALSE),"")</f>
        <v/>
      </c>
      <c r="BQ22" s="566"/>
      <c r="BS22" s="566"/>
      <c r="BT22" s="566"/>
      <c r="BU22" s="566"/>
      <c r="BV22" s="1949"/>
      <c r="BW22" s="1949"/>
      <c r="BX22" s="1949"/>
      <c r="BY22" s="1949"/>
      <c r="BZ22" s="1949"/>
      <c r="CJ22" s="572"/>
      <c r="CK22" s="572"/>
      <c r="CL22" s="572"/>
      <c r="CM22" s="572"/>
      <c r="CN22" s="572"/>
      <c r="CO22" s="572"/>
      <c r="CP22" s="572"/>
      <c r="CQ22" s="572"/>
      <c r="CR22" s="572"/>
      <c r="CS22" s="572"/>
      <c r="CT22" s="572"/>
      <c r="CU22" s="572"/>
      <c r="CV22" s="572"/>
      <c r="CW22" s="572"/>
      <c r="CX22" s="572"/>
      <c r="CY22" s="572"/>
      <c r="CZ22" s="572"/>
      <c r="DA22" s="572"/>
      <c r="DB22" s="572"/>
      <c r="DC22" s="572"/>
      <c r="DD22" s="572"/>
      <c r="DE22" s="756"/>
      <c r="DF22" s="756"/>
      <c r="DG22" s="756"/>
      <c r="DH22" s="756"/>
      <c r="DI22" s="756"/>
      <c r="DJ22" s="756"/>
      <c r="DK22" s="756"/>
      <c r="DL22" s="756"/>
      <c r="DM22" s="756"/>
      <c r="DN22" s="756"/>
      <c r="DO22" s="757" t="s">
        <v>1113</v>
      </c>
      <c r="DP22" s="792">
        <f ca="1">+T19+T20+T26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46053</v>
      </c>
      <c r="EJ22" s="737"/>
      <c r="EK22" s="737"/>
      <c r="EQ22" s="748">
        <f t="shared" ref="EQ22:EQ50" si="52">+AB22</f>
        <v>46025</v>
      </c>
      <c r="ER22" s="749">
        <f t="shared" si="10"/>
        <v>0</v>
      </c>
      <c r="ES22" s="750">
        <f t="shared" si="11"/>
        <v>0</v>
      </c>
      <c r="ET22" s="749">
        <f t="shared" si="12"/>
        <v>0</v>
      </c>
      <c r="EU22" s="750">
        <f t="shared" si="13"/>
        <v>0</v>
      </c>
      <c r="EV22" s="749" t="str">
        <f t="shared" si="14"/>
        <v/>
      </c>
      <c r="EW22" s="751">
        <f t="shared" si="28"/>
        <v>46025</v>
      </c>
      <c r="EX22" s="759" t="str">
        <f>IFERROR(IF(AND(AZ22="",AR22&lt;&gt;S.CAL!$BJ$3,AR22&lt;&gt;S.CAL!$BJ$4),FS22-BC22,IF(AZ22&lt;&gt;0,AZ22,IF(OR(AR22=S.CAL!$BJ$3,AR22=S.CAL!$BJ$4),AR22,0))),"")</f>
        <v/>
      </c>
      <c r="EY22" s="753">
        <f t="shared" ref="EY22:EY50" si="53">+AT22</f>
        <v>0</v>
      </c>
      <c r="EZ22" s="736">
        <f t="shared" ref="EZ22:EZ50" si="54">+AU22</f>
        <v>0</v>
      </c>
      <c r="FA22" s="759" t="str">
        <f t="shared" si="31"/>
        <v/>
      </c>
      <c r="FB22" s="754" t="str">
        <f t="shared" si="15"/>
        <v/>
      </c>
      <c r="FC22" s="315" t="str">
        <f t="shared" ref="FC22:FC50" si="55">IFERROR(+IF(OR(DATE(YEAR(AB22),MONTH(AB22),DAY(AB22))&lt;DATE(YEAR($AJ$4),MONTH($AJ$4),DAY($AJ$4)),DATE(YEAR(AB22),MONTH(AB22),DAY(AB22))&gt;IF(DATE(YEAR($EG$4),MONTH($EG$4),DAY($EG$4))=0,DATE(2100,12,30),DATE(YEAR($EG$4),MONTH($EG$4),DAY($EG$4)))),"oui","non"),"")</f>
        <v>non</v>
      </c>
      <c r="FD22" s="760">
        <f t="shared" si="16"/>
        <v>0</v>
      </c>
      <c r="FG22" s="129" t="str">
        <f t="shared" ref="FG22:FG50" si="56">IF(ISNUMBER(AD22)=TRUE,"",AD22)</f>
        <v/>
      </c>
      <c r="FJ22" s="315">
        <f t="shared" ref="FJ22:FJ50" si="57">IF(OR(ISNUMBER(AZ22)=TRUE,AZ22=""),1,10)</f>
        <v>1</v>
      </c>
      <c r="FK22" s="129">
        <f t="shared" si="17"/>
        <v>10</v>
      </c>
      <c r="FL22" s="129">
        <f t="shared" si="35"/>
        <v>1</v>
      </c>
      <c r="FN22" s="129">
        <f>+IF(AND($DP$8&lt;&gt;52,AR22=S.CAL!$BJ$4),10,1)</f>
        <v>1</v>
      </c>
      <c r="FP22" s="129">
        <f t="shared" si="18"/>
        <v>0</v>
      </c>
      <c r="FS22" s="223" t="str">
        <f t="shared" si="36"/>
        <v/>
      </c>
      <c r="FZ22" s="129">
        <f t="shared" si="37"/>
        <v>1</v>
      </c>
      <c r="GA22" s="129">
        <f t="shared" si="38"/>
        <v>2026</v>
      </c>
      <c r="GB22" s="129" t="str">
        <f t="shared" si="39"/>
        <v>12026</v>
      </c>
      <c r="GC22" s="223">
        <f>IF(AND($GD$53=S.CAL!$P$3,$GD$52=FZ22),GE22,IF(BH22="",0,BH22))</f>
        <v>0</v>
      </c>
      <c r="GD22" s="129" t="str">
        <f>IFERROR(+Février!$BY$2&amp;BL22&amp;BM22,0)</f>
        <v>Fiche infoA6</v>
      </c>
      <c r="GE22" s="129" t="str">
        <f t="shared" si="19"/>
        <v/>
      </c>
      <c r="GF22" s="223" t="str">
        <f t="shared" si="40"/>
        <v/>
      </c>
      <c r="GG22" s="1446" t="str">
        <f>+'Retenue Janv'!D20</f>
        <v/>
      </c>
      <c r="GH22" s="1446">
        <f>IF(Identification!$B$132="Non",'Retenue Janv'!BF20,'Retenue Janv'!BE20)</f>
        <v>0</v>
      </c>
      <c r="GI22" s="1446"/>
      <c r="GJ22" s="1507" t="str">
        <f t="shared" si="41"/>
        <v/>
      </c>
      <c r="GK22" s="223" t="str">
        <f t="shared" si="42"/>
        <v/>
      </c>
      <c r="GL22" s="223" t="str">
        <f t="shared" si="43"/>
        <v/>
      </c>
      <c r="GM22" s="1506">
        <f t="shared" si="44"/>
        <v>0</v>
      </c>
      <c r="GN22" s="1446"/>
      <c r="GO22" s="1446">
        <f t="shared" si="20"/>
        <v>0</v>
      </c>
      <c r="GP22" s="1446" t="str">
        <f t="shared" si="45"/>
        <v/>
      </c>
      <c r="GQ22" s="1446" t="str">
        <f t="shared" si="46"/>
        <v/>
      </c>
      <c r="GR22" s="1446"/>
      <c r="GS22" s="1446"/>
      <c r="GT22" s="1446"/>
      <c r="GU22" s="1446"/>
      <c r="GV22" s="1446"/>
    </row>
    <row r="23" spans="1:204"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8">+ROUND(P23*L23,2)</f>
        <v>0</v>
      </c>
      <c r="U23" s="1969"/>
      <c r="V23" s="1969"/>
      <c r="W23" s="1970"/>
      <c r="X23" s="221"/>
      <c r="Y23" s="221"/>
      <c r="Z23" s="221"/>
      <c r="AA23" s="885" t="str">
        <f>IF(AND(BE23="OUI",$AR$13=S.CAL!$CU$2),"►",IF(AND(EV23="OUI",$AR$13=S.CAL!$CU$3),"►",""))</f>
        <v/>
      </c>
      <c r="AB23" s="1760">
        <f>+$X$3+3</f>
        <v>46026</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7"/>
        <v/>
      </c>
      <c r="AQ23" s="322"/>
      <c r="AR23" s="1104"/>
      <c r="AS23" s="314">
        <f t="shared" si="3"/>
        <v>0</v>
      </c>
      <c r="AT23" s="1125"/>
      <c r="AU23" s="1125"/>
      <c r="AV23" s="314"/>
      <c r="AW23" s="1791">
        <f t="shared" si="21"/>
        <v>46026</v>
      </c>
      <c r="AX23" s="1761"/>
      <c r="AY23" s="314"/>
      <c r="AZ23" s="1104"/>
      <c r="BA23" s="973"/>
      <c r="BB23" s="543"/>
      <c r="BC23" s="548">
        <f t="shared" si="22"/>
        <v>0</v>
      </c>
      <c r="BD23" s="1104"/>
      <c r="BE23" s="807">
        <f t="shared" si="23"/>
        <v>0</v>
      </c>
      <c r="BF23" s="1128"/>
      <c r="BG23" s="222"/>
      <c r="BH23" s="548" t="str">
        <f t="shared" si="24"/>
        <v/>
      </c>
      <c r="BI23" s="1128"/>
      <c r="BJ23" s="129" t="str">
        <f t="shared" si="25"/>
        <v>Fiche infoA7</v>
      </c>
      <c r="BK23" s="129">
        <f t="shared" si="48"/>
        <v>1</v>
      </c>
      <c r="BL23" s="129" t="str">
        <f t="shared" si="4"/>
        <v>A</v>
      </c>
      <c r="BM23" s="129">
        <f t="shared" si="49"/>
        <v>7</v>
      </c>
      <c r="BN23" s="223" t="str">
        <f t="shared" ref="BN23:BN50" si="59">+BN22</f>
        <v>Fiche info</v>
      </c>
      <c r="BO23" s="314" t="str">
        <f t="shared" si="50"/>
        <v/>
      </c>
      <c r="BP23" s="196" t="str">
        <f t="shared" si="51"/>
        <v/>
      </c>
      <c r="BQ23" s="566"/>
      <c r="BR23" s="566"/>
      <c r="BS23" s="566"/>
      <c r="BT23" s="566"/>
      <c r="BU23" s="566"/>
      <c r="BV23" s="1949"/>
      <c r="BW23" s="1949"/>
      <c r="BX23" s="1949"/>
      <c r="BY23" s="1949"/>
      <c r="BZ23" s="1949"/>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2"/>
        <v>46026</v>
      </c>
      <c r="ER23" s="749">
        <f t="shared" si="10"/>
        <v>0</v>
      </c>
      <c r="ES23" s="750">
        <f t="shared" si="11"/>
        <v>0</v>
      </c>
      <c r="ET23" s="749">
        <f t="shared" si="12"/>
        <v>0</v>
      </c>
      <c r="EU23" s="750">
        <f t="shared" si="13"/>
        <v>0</v>
      </c>
      <c r="EV23" s="749" t="str">
        <f t="shared" si="14"/>
        <v/>
      </c>
      <c r="EW23" s="751">
        <f t="shared" si="28"/>
        <v>46026</v>
      </c>
      <c r="EX23" s="759" t="str">
        <f>IFERROR(IF(AND(AZ23="",AR23&lt;&gt;S.CAL!$BJ$3,AR23&lt;&gt;S.CAL!$BJ$4),FS23-BC23,IF(AZ23&lt;&gt;0,AZ23,IF(OR(AR23=S.CAL!$BJ$3,AR23=S.CAL!$BJ$4),AR23,0))),"")</f>
        <v/>
      </c>
      <c r="EY23" s="753">
        <f t="shared" si="53"/>
        <v>0</v>
      </c>
      <c r="EZ23" s="736">
        <f t="shared" si="54"/>
        <v>0</v>
      </c>
      <c r="FA23" s="759" t="str">
        <f t="shared" si="31"/>
        <v/>
      </c>
      <c r="FB23" s="754" t="str">
        <f t="shared" si="15"/>
        <v/>
      </c>
      <c r="FC23" s="315" t="str">
        <f t="shared" si="55"/>
        <v>non</v>
      </c>
      <c r="FD23" s="760">
        <f t="shared" si="16"/>
        <v>0</v>
      </c>
      <c r="FG23" s="129" t="str">
        <f t="shared" si="56"/>
        <v/>
      </c>
      <c r="FJ23" s="315">
        <f t="shared" si="57"/>
        <v>1</v>
      </c>
      <c r="FK23" s="129">
        <f t="shared" si="17"/>
        <v>10</v>
      </c>
      <c r="FL23" s="129">
        <f t="shared" si="35"/>
        <v>1</v>
      </c>
      <c r="FN23" s="129">
        <f>+IF(AND($DP$8&lt;&gt;52,AR23=S.CAL!$BJ$4),10,1)</f>
        <v>1</v>
      </c>
      <c r="FP23" s="129">
        <f t="shared" si="18"/>
        <v>0</v>
      </c>
      <c r="FS23" s="223" t="str">
        <f t="shared" si="36"/>
        <v/>
      </c>
      <c r="FZ23" s="129">
        <f t="shared" si="37"/>
        <v>1</v>
      </c>
      <c r="GA23" s="129">
        <f t="shared" si="38"/>
        <v>2026</v>
      </c>
      <c r="GB23" s="129" t="str">
        <f t="shared" si="39"/>
        <v>12026</v>
      </c>
      <c r="GC23" s="223">
        <f>IF(AND($GD$53=S.CAL!$P$3,$GD$52=FZ23),GE23,IF(BH23="",0,BH23))</f>
        <v>0</v>
      </c>
      <c r="GD23" s="129" t="str">
        <f>IFERROR(+Février!$BY$2&amp;BL23&amp;BM23,0)</f>
        <v>Fiche infoA7</v>
      </c>
      <c r="GE23" s="129" t="str">
        <f t="shared" si="19"/>
        <v/>
      </c>
      <c r="GF23" s="223" t="str">
        <f t="shared" si="40"/>
        <v/>
      </c>
      <c r="GG23" s="1446" t="str">
        <f>+'Retenue Janv'!D21</f>
        <v/>
      </c>
      <c r="GH23" s="1446">
        <f>IF(Identification!$B$132="Non",'Retenue Janv'!BF21,'Retenue Janv'!BE21)</f>
        <v>0</v>
      </c>
      <c r="GI23" s="1446"/>
      <c r="GJ23" s="1507" t="str">
        <f t="shared" si="41"/>
        <v/>
      </c>
      <c r="GK23" s="223" t="str">
        <f t="shared" si="42"/>
        <v/>
      </c>
      <c r="GL23" s="223" t="str">
        <f t="shared" si="43"/>
        <v/>
      </c>
      <c r="GM23" s="1506">
        <f t="shared" si="44"/>
        <v>0</v>
      </c>
      <c r="GN23" s="1446"/>
      <c r="GO23" s="1446">
        <f t="shared" si="20"/>
        <v>0</v>
      </c>
      <c r="GP23" s="1446" t="str">
        <f t="shared" si="45"/>
        <v/>
      </c>
      <c r="GQ23" s="1446" t="str">
        <f t="shared" si="46"/>
        <v/>
      </c>
      <c r="GR23" s="1446"/>
      <c r="GS23" s="1446"/>
      <c r="GT23" s="1446"/>
      <c r="GU23" s="1446"/>
      <c r="GV23" s="1446"/>
    </row>
    <row r="24" spans="1:204"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8"/>
        <v>0</v>
      </c>
      <c r="U24" s="1969"/>
      <c r="V24" s="1969"/>
      <c r="W24" s="1970"/>
      <c r="X24" s="221"/>
      <c r="Y24" s="221"/>
      <c r="Z24" s="221"/>
      <c r="AA24" s="885" t="str">
        <f>IF(AND(BE24="OUI",$AR$13=S.CAL!$CU$2),"►",IF(AND(EV24="OUI",$AR$13=S.CAL!$CU$3),"►",""))</f>
        <v/>
      </c>
      <c r="AB24" s="1760">
        <f>+$X$3+4</f>
        <v>46027</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f t="shared" si="47"/>
        <v>2</v>
      </c>
      <c r="AQ24" s="322"/>
      <c r="AR24" s="1104"/>
      <c r="AS24" s="314">
        <f t="shared" si="3"/>
        <v>0</v>
      </c>
      <c r="AT24" s="1125"/>
      <c r="AU24" s="1125"/>
      <c r="AV24" s="314"/>
      <c r="AW24" s="1791">
        <f t="shared" si="21"/>
        <v>46027</v>
      </c>
      <c r="AX24" s="1761"/>
      <c r="AY24" s="314"/>
      <c r="AZ24" s="1104"/>
      <c r="BA24" s="973"/>
      <c r="BB24" s="543"/>
      <c r="BC24" s="548">
        <f t="shared" si="22"/>
        <v>0</v>
      </c>
      <c r="BD24" s="1104"/>
      <c r="BE24" s="807">
        <f t="shared" si="23"/>
        <v>0</v>
      </c>
      <c r="BF24" s="1128"/>
      <c r="BG24" s="222"/>
      <c r="BH24" s="548" t="str">
        <f t="shared" si="24"/>
        <v/>
      </c>
      <c r="BI24" s="1128"/>
      <c r="BJ24" s="129" t="str">
        <f t="shared" si="25"/>
        <v>Fiche infoA1</v>
      </c>
      <c r="BK24" s="129">
        <f t="shared" si="48"/>
        <v>2</v>
      </c>
      <c r="BL24" s="129" t="str">
        <f t="shared" si="4"/>
        <v>A</v>
      </c>
      <c r="BM24" s="129">
        <f t="shared" si="49"/>
        <v>1</v>
      </c>
      <c r="BN24" s="223" t="str">
        <f t="shared" si="59"/>
        <v>Fiche info</v>
      </c>
      <c r="BO24" s="314" t="str">
        <f t="shared" si="50"/>
        <v/>
      </c>
      <c r="BP24" s="196" t="str">
        <f t="shared" si="51"/>
        <v/>
      </c>
      <c r="BQ24" s="569"/>
      <c r="BV24" s="217" t="s">
        <v>439</v>
      </c>
      <c r="BW24" s="566"/>
      <c r="BX24" s="566"/>
      <c r="BY24" s="566"/>
      <c r="BZ24" s="566"/>
      <c r="DO24" s="402" t="s">
        <v>1407</v>
      </c>
      <c r="DP24" s="792">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2"/>
        <v>46027</v>
      </c>
      <c r="ER24" s="749">
        <f t="shared" si="10"/>
        <v>0</v>
      </c>
      <c r="ES24" s="750">
        <f t="shared" si="11"/>
        <v>0</v>
      </c>
      <c r="ET24" s="749">
        <f t="shared" si="12"/>
        <v>0</v>
      </c>
      <c r="EU24" s="750">
        <f t="shared" si="13"/>
        <v>0</v>
      </c>
      <c r="EV24" s="749" t="str">
        <f t="shared" si="14"/>
        <v/>
      </c>
      <c r="EW24" s="751">
        <f t="shared" si="28"/>
        <v>46027</v>
      </c>
      <c r="EX24" s="759" t="str">
        <f>IFERROR(IF(AND(AZ24="",AR24&lt;&gt;S.CAL!$BJ$3,AR24&lt;&gt;S.CAL!$BJ$4),FS24-BC24,IF(AZ24&lt;&gt;0,AZ24,IF(OR(AR24=S.CAL!$BJ$3,AR24=S.CAL!$BJ$4),AR24,0))),"")</f>
        <v/>
      </c>
      <c r="EY24" s="753">
        <f t="shared" si="53"/>
        <v>0</v>
      </c>
      <c r="EZ24" s="736">
        <f t="shared" si="54"/>
        <v>0</v>
      </c>
      <c r="FA24" s="759" t="str">
        <f t="shared" si="31"/>
        <v/>
      </c>
      <c r="FB24" s="754" t="str">
        <f t="shared" si="15"/>
        <v/>
      </c>
      <c r="FC24" s="315" t="str">
        <f t="shared" si="55"/>
        <v>non</v>
      </c>
      <c r="FD24" s="760">
        <f t="shared" si="16"/>
        <v>0</v>
      </c>
      <c r="FG24" s="129" t="str">
        <f t="shared" si="56"/>
        <v/>
      </c>
      <c r="FJ24" s="315">
        <f t="shared" si="57"/>
        <v>1</v>
      </c>
      <c r="FK24" s="129">
        <f t="shared" si="17"/>
        <v>10</v>
      </c>
      <c r="FL24" s="129">
        <f t="shared" si="35"/>
        <v>1</v>
      </c>
      <c r="FN24" s="129">
        <f>+IF(AND($DP$8&lt;&gt;52,AR24=S.CAL!$BJ$4),10,1)</f>
        <v>1</v>
      </c>
      <c r="FP24" s="129">
        <f t="shared" si="18"/>
        <v>0</v>
      </c>
      <c r="FS24" s="223" t="str">
        <f t="shared" si="36"/>
        <v/>
      </c>
      <c r="FZ24" s="129">
        <f t="shared" si="37"/>
        <v>2</v>
      </c>
      <c r="GA24" s="129">
        <f t="shared" si="38"/>
        <v>2026</v>
      </c>
      <c r="GB24" s="129" t="str">
        <f t="shared" si="39"/>
        <v>22026</v>
      </c>
      <c r="GC24" s="223">
        <f>IF(AND($GD$53=S.CAL!$P$3,$GD$52=FZ24),GE24,IF(BH24="",0,BH24))</f>
        <v>0</v>
      </c>
      <c r="GD24" s="129" t="str">
        <f>IFERROR(+Février!$BY$2&amp;BL24&amp;BM24,0)</f>
        <v>Fiche infoA1</v>
      </c>
      <c r="GE24" s="129" t="str">
        <f t="shared" si="19"/>
        <v/>
      </c>
      <c r="GF24" s="223" t="str">
        <f t="shared" si="40"/>
        <v/>
      </c>
      <c r="GG24" s="1446" t="str">
        <f>+'Retenue Janv'!D22</f>
        <v/>
      </c>
      <c r="GH24" s="1446">
        <f>IF(Identification!$B$132="Non",'Retenue Janv'!BF22,'Retenue Janv'!BE22)</f>
        <v>0</v>
      </c>
      <c r="GI24" s="1446"/>
      <c r="GJ24" s="1507" t="str">
        <f t="shared" si="41"/>
        <v/>
      </c>
      <c r="GK24" s="223" t="str">
        <f t="shared" si="42"/>
        <v/>
      </c>
      <c r="GL24" s="223" t="str">
        <f t="shared" si="43"/>
        <v/>
      </c>
      <c r="GM24" s="1506">
        <f t="shared" si="44"/>
        <v>0</v>
      </c>
      <c r="GN24" s="1446"/>
      <c r="GO24" s="1446">
        <f t="shared" si="20"/>
        <v>0</v>
      </c>
      <c r="GP24" s="1446" t="str">
        <f t="shared" si="45"/>
        <v/>
      </c>
      <c r="GQ24" s="1446" t="str">
        <f t="shared" si="46"/>
        <v/>
      </c>
      <c r="GR24" s="1446"/>
      <c r="GS24" s="1446"/>
      <c r="GT24" s="1446"/>
      <c r="GU24" s="1446"/>
      <c r="GV24" s="1446"/>
    </row>
    <row r="25" spans="1:204" ht="12.75" customHeight="1" x14ac:dyDescent="0.2">
      <c r="A25" s="2243" t="s">
        <v>48</v>
      </c>
      <c r="B25" s="2253" t="s">
        <v>1233</v>
      </c>
      <c r="C25" s="2254"/>
      <c r="D25" s="2254"/>
      <c r="E25" s="2254"/>
      <c r="F25" s="2254"/>
      <c r="G25" s="2254"/>
      <c r="H25" s="2254"/>
      <c r="I25" s="2254"/>
      <c r="J25" s="2254"/>
      <c r="K25" s="2255"/>
      <c r="L25" s="1756" t="e">
        <f>IF(A18="Salaire heures normales réelles",0,'Retenue Janv'!R48*-1)</f>
        <v>#DIV/0!</v>
      </c>
      <c r="M25" s="2142"/>
      <c r="N25" s="2142"/>
      <c r="O25" s="2143"/>
      <c r="P25" s="1753" t="e">
        <f>+IF(L25,T25/L25,0)</f>
        <v>#DIV/0!</v>
      </c>
      <c r="Q25" s="1969"/>
      <c r="R25" s="1969"/>
      <c r="S25" s="1970"/>
      <c r="T25" s="1966">
        <f>IF(A18="Salaire heures normales réelles",0,'Retenue Janv'!R52*-1)</f>
        <v>0</v>
      </c>
      <c r="U25" s="1967"/>
      <c r="V25" s="1967"/>
      <c r="W25" s="1968"/>
      <c r="X25" s="224"/>
      <c r="Y25" s="224"/>
      <c r="Z25" s="224"/>
      <c r="AA25" s="885" t="str">
        <f>IF(AND(BE25="OUI",$AR$13=S.CAL!$CU$2),"►",IF(AND(EV25="OUI",$AR$13=S.CAL!$CU$3),"►",""))</f>
        <v/>
      </c>
      <c r="AB25" s="1760">
        <f>+$X$3+5</f>
        <v>46028</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7"/>
        <v/>
      </c>
      <c r="AQ25" s="322"/>
      <c r="AR25" s="1104"/>
      <c r="AS25" s="314">
        <f t="shared" si="3"/>
        <v>0</v>
      </c>
      <c r="AT25" s="1125"/>
      <c r="AU25" s="1125"/>
      <c r="AV25" s="314"/>
      <c r="AW25" s="1791">
        <f t="shared" si="21"/>
        <v>46028</v>
      </c>
      <c r="AX25" s="1761"/>
      <c r="AY25" s="314"/>
      <c r="AZ25" s="1104"/>
      <c r="BA25" s="973"/>
      <c r="BB25" s="543"/>
      <c r="BC25" s="548">
        <f t="shared" si="22"/>
        <v>0</v>
      </c>
      <c r="BD25" s="1104"/>
      <c r="BE25" s="807">
        <f t="shared" si="23"/>
        <v>0</v>
      </c>
      <c r="BF25" s="1128"/>
      <c r="BG25" s="222"/>
      <c r="BH25" s="548" t="str">
        <f t="shared" si="24"/>
        <v/>
      </c>
      <c r="BI25" s="1128"/>
      <c r="BJ25" s="129" t="str">
        <f t="shared" si="25"/>
        <v>Fiche infoA2</v>
      </c>
      <c r="BK25" s="129">
        <f t="shared" si="48"/>
        <v>2</v>
      </c>
      <c r="BL25" s="129" t="str">
        <f t="shared" si="4"/>
        <v>A</v>
      </c>
      <c r="BM25" s="129">
        <f t="shared" si="49"/>
        <v>2</v>
      </c>
      <c r="BN25" s="223" t="str">
        <f t="shared" si="59"/>
        <v>Fiche info</v>
      </c>
      <c r="BO25" s="314" t="str">
        <f t="shared" si="50"/>
        <v/>
      </c>
      <c r="BP25" s="196" t="str">
        <f t="shared" si="51"/>
        <v/>
      </c>
      <c r="BQ25" s="570"/>
      <c r="BV25" s="566"/>
      <c r="BW25" s="566"/>
      <c r="BX25" s="566"/>
      <c r="BY25" s="566"/>
      <c r="BZ25" s="566"/>
      <c r="DD25" s="570"/>
      <c r="DE25" s="740"/>
      <c r="DF25" s="740"/>
      <c r="DJ25" s="761" t="s">
        <v>155</v>
      </c>
      <c r="DK25" s="738">
        <f ca="1">IF(Identification!B126="Net",(IF(H59&gt;0,(((N62*BY4)-((T32+T33+T34)*BY4*BY4))+(K59*(DK29)*DK26))/(BY4+K59),(N62-((T32+T33+T34)*BY4)))),IF(Identification!B126="Brut",(IF(H59&gt;0,(T35-(T32+T33+T34)),(T35-((T32+T33+T34))))),"erreur"))</f>
        <v>0</v>
      </c>
      <c r="DO25" s="402" t="s">
        <v>1570</v>
      </c>
      <c r="DP25" s="792">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2"/>
        <v>46028</v>
      </c>
      <c r="ER25" s="749">
        <f t="shared" si="10"/>
        <v>0</v>
      </c>
      <c r="ES25" s="750">
        <f t="shared" si="11"/>
        <v>0</v>
      </c>
      <c r="ET25" s="749">
        <f t="shared" si="12"/>
        <v>0</v>
      </c>
      <c r="EU25" s="750">
        <f t="shared" si="13"/>
        <v>0</v>
      </c>
      <c r="EV25" s="749" t="str">
        <f t="shared" si="14"/>
        <v/>
      </c>
      <c r="EW25" s="751">
        <f t="shared" si="28"/>
        <v>46028</v>
      </c>
      <c r="EX25" s="759" t="str">
        <f>IFERROR(IF(AND(AZ25="",AR25&lt;&gt;S.CAL!$BJ$3,AR25&lt;&gt;S.CAL!$BJ$4),FS25-BC25,IF(AZ25&lt;&gt;0,AZ25,IF(OR(AR25=S.CAL!$BJ$3,AR25=S.CAL!$BJ$4),AR25,0))),"")</f>
        <v/>
      </c>
      <c r="EY25" s="753">
        <f t="shared" si="53"/>
        <v>0</v>
      </c>
      <c r="EZ25" s="736">
        <f t="shared" si="54"/>
        <v>0</v>
      </c>
      <c r="FA25" s="759" t="str">
        <f t="shared" si="31"/>
        <v/>
      </c>
      <c r="FB25" s="754" t="str">
        <f t="shared" si="15"/>
        <v/>
      </c>
      <c r="FC25" s="315" t="str">
        <f t="shared" si="55"/>
        <v>non</v>
      </c>
      <c r="FD25" s="760">
        <f t="shared" si="16"/>
        <v>0</v>
      </c>
      <c r="FG25" s="129" t="str">
        <f t="shared" si="56"/>
        <v/>
      </c>
      <c r="FJ25" s="315">
        <f t="shared" si="57"/>
        <v>1</v>
      </c>
      <c r="FK25" s="129">
        <f t="shared" si="17"/>
        <v>10</v>
      </c>
      <c r="FL25" s="129">
        <f t="shared" si="35"/>
        <v>1</v>
      </c>
      <c r="FN25" s="129">
        <f>+IF(AND($DP$8&lt;&gt;52,AR25=S.CAL!$BJ$4),10,1)</f>
        <v>1</v>
      </c>
      <c r="FP25" s="129">
        <f t="shared" si="18"/>
        <v>0</v>
      </c>
      <c r="FS25" s="223" t="str">
        <f t="shared" si="36"/>
        <v/>
      </c>
      <c r="FZ25" s="129">
        <f t="shared" si="37"/>
        <v>2</v>
      </c>
      <c r="GA25" s="129">
        <f t="shared" si="38"/>
        <v>2026</v>
      </c>
      <c r="GB25" s="129" t="str">
        <f t="shared" si="39"/>
        <v>22026</v>
      </c>
      <c r="GC25" s="223">
        <f>IF(AND($GD$53=S.CAL!$P$3,$GD$52=FZ25),GE25,IF(BH25="",0,BH25))</f>
        <v>0</v>
      </c>
      <c r="GD25" s="129" t="str">
        <f>IFERROR(+Février!$BY$2&amp;BL25&amp;BM25,0)</f>
        <v>Fiche infoA2</v>
      </c>
      <c r="GE25" s="129" t="str">
        <f t="shared" si="19"/>
        <v/>
      </c>
      <c r="GF25" s="223" t="str">
        <f t="shared" si="40"/>
        <v/>
      </c>
      <c r="GG25" s="1446" t="str">
        <f>+'Retenue Janv'!D23</f>
        <v/>
      </c>
      <c r="GH25" s="1446">
        <f>IF(Identification!$B$132="Non",'Retenue Janv'!BF23,'Retenue Janv'!BE23)</f>
        <v>0</v>
      </c>
      <c r="GI25" s="1446"/>
      <c r="GJ25" s="1507" t="str">
        <f t="shared" si="41"/>
        <v/>
      </c>
      <c r="GK25" s="223" t="str">
        <f t="shared" si="42"/>
        <v/>
      </c>
      <c r="GL25" s="223" t="str">
        <f t="shared" si="43"/>
        <v/>
      </c>
      <c r="GM25" s="1506">
        <f t="shared" si="44"/>
        <v>0</v>
      </c>
      <c r="GN25" s="1446"/>
      <c r="GO25" s="1446">
        <f t="shared" si="20"/>
        <v>0</v>
      </c>
      <c r="GP25" s="1446" t="str">
        <f t="shared" si="45"/>
        <v/>
      </c>
      <c r="GQ25" s="1446" t="str">
        <f t="shared" si="46"/>
        <v/>
      </c>
      <c r="GR25" s="1446"/>
      <c r="GS25" s="1446"/>
      <c r="GT25" s="1446"/>
      <c r="GU25" s="1446"/>
      <c r="GV25" s="1446"/>
    </row>
    <row r="26" spans="1:204" ht="12.75" customHeight="1" x14ac:dyDescent="0.2">
      <c r="A26" s="2244"/>
      <c r="B26" s="2256" t="s">
        <v>832</v>
      </c>
      <c r="C26" s="2257"/>
      <c r="D26" s="2257"/>
      <c r="E26" s="2257"/>
      <c r="F26" s="2257"/>
      <c r="G26" s="2257"/>
      <c r="H26" s="2257"/>
      <c r="I26" s="2257"/>
      <c r="J26" s="2257"/>
      <c r="K26" s="2258"/>
      <c r="L26" s="1756" t="e">
        <f>IF(A18="Salaire heures normales réelles",0,'Retenue Janv'!R50*-1)</f>
        <v>#DIV/0!</v>
      </c>
      <c r="M26" s="2142"/>
      <c r="N26" s="2142"/>
      <c r="O26" s="2143"/>
      <c r="P26" s="1753" t="e">
        <f>+IF(L26,T26/L26,0)</f>
        <v>#DIV/0!</v>
      </c>
      <c r="Q26" s="1969"/>
      <c r="R26" s="1969"/>
      <c r="S26" s="1970"/>
      <c r="T26" s="1966">
        <f>IF(A18="Salaire heures normales réelles",0,'Retenue Janv'!R54*-1)</f>
        <v>0</v>
      </c>
      <c r="U26" s="1967"/>
      <c r="V26" s="1967"/>
      <c r="W26" s="1968"/>
      <c r="X26" s="221"/>
      <c r="Y26" s="221"/>
      <c r="Z26" s="221"/>
      <c r="AA26" s="885" t="str">
        <f>IF(AND(BE26="OUI",$AR$13=S.CAL!$CU$2),"►",IF(AND(EV26="OUI",$AR$13=S.CAL!$CU$3),"►",""))</f>
        <v/>
      </c>
      <c r="AB26" s="1760">
        <f>+$X$3+6</f>
        <v>46029</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7"/>
        <v/>
      </c>
      <c r="AQ26" s="322"/>
      <c r="AR26" s="1104"/>
      <c r="AS26" s="314">
        <f t="shared" si="3"/>
        <v>0</v>
      </c>
      <c r="AT26" s="1125"/>
      <c r="AU26" s="1125"/>
      <c r="AV26" s="314"/>
      <c r="AW26" s="1791">
        <f t="shared" si="21"/>
        <v>46029</v>
      </c>
      <c r="AX26" s="1761"/>
      <c r="AY26" s="314"/>
      <c r="AZ26" s="1104"/>
      <c r="BA26" s="973"/>
      <c r="BB26" s="543"/>
      <c r="BC26" s="548">
        <f t="shared" si="22"/>
        <v>0</v>
      </c>
      <c r="BD26" s="1104"/>
      <c r="BE26" s="807">
        <f t="shared" si="23"/>
        <v>0</v>
      </c>
      <c r="BF26" s="1128"/>
      <c r="BG26" s="222"/>
      <c r="BH26" s="548" t="str">
        <f t="shared" si="24"/>
        <v/>
      </c>
      <c r="BI26" s="1128"/>
      <c r="BJ26" s="129" t="str">
        <f t="shared" si="25"/>
        <v>Fiche infoA3</v>
      </c>
      <c r="BK26" s="129">
        <f t="shared" si="48"/>
        <v>2</v>
      </c>
      <c r="BL26" s="129" t="str">
        <f t="shared" si="4"/>
        <v>A</v>
      </c>
      <c r="BM26" s="129">
        <f t="shared" si="49"/>
        <v>3</v>
      </c>
      <c r="BN26" s="223" t="str">
        <f t="shared" si="59"/>
        <v>Fiche info</v>
      </c>
      <c r="BO26" s="314" t="str">
        <f t="shared" si="50"/>
        <v/>
      </c>
      <c r="BP26" s="196" t="str">
        <f t="shared" si="51"/>
        <v/>
      </c>
      <c r="BQ26" s="570"/>
      <c r="BX26" s="577"/>
      <c r="BY26" s="1951" t="s">
        <v>1098</v>
      </c>
      <c r="BZ26" s="1951" t="s">
        <v>440</v>
      </c>
      <c r="CA26" s="2013" t="s">
        <v>1099</v>
      </c>
      <c r="CB26" s="447"/>
      <c r="CC26" s="447"/>
      <c r="CD26" s="447"/>
      <c r="CJ26" s="573"/>
      <c r="CK26" s="573"/>
      <c r="CL26" s="573"/>
      <c r="CM26" s="573"/>
      <c r="CN26" s="573"/>
      <c r="CO26" s="573"/>
      <c r="CP26" s="573"/>
      <c r="CQ26" s="573"/>
      <c r="CR26" s="573"/>
      <c r="CS26" s="573"/>
      <c r="CT26" s="573"/>
      <c r="CU26" s="573"/>
      <c r="CV26" s="573"/>
      <c r="CW26" s="573"/>
      <c r="CX26" s="573"/>
      <c r="CY26" s="573"/>
      <c r="CZ26" s="573"/>
      <c r="DA26" s="573"/>
      <c r="DB26" s="573"/>
      <c r="DC26" s="573"/>
      <c r="DD26" s="570"/>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2"/>
        <v>46029</v>
      </c>
      <c r="ER26" s="749">
        <f t="shared" si="10"/>
        <v>0</v>
      </c>
      <c r="ES26" s="750">
        <f t="shared" si="11"/>
        <v>0</v>
      </c>
      <c r="ET26" s="749">
        <f t="shared" si="12"/>
        <v>0</v>
      </c>
      <c r="EU26" s="750">
        <f t="shared" si="13"/>
        <v>0</v>
      </c>
      <c r="EV26" s="749" t="str">
        <f t="shared" si="14"/>
        <v/>
      </c>
      <c r="EW26" s="751">
        <f t="shared" si="28"/>
        <v>46029</v>
      </c>
      <c r="EX26" s="759" t="str">
        <f>IFERROR(IF(AND(AZ26="",AR26&lt;&gt;S.CAL!$BJ$3,AR26&lt;&gt;S.CAL!$BJ$4),FS26-BC26,IF(AZ26&lt;&gt;0,AZ26,IF(OR(AR26=S.CAL!$BJ$3,AR26=S.CAL!$BJ$4),AR26,0))),"")</f>
        <v/>
      </c>
      <c r="EY26" s="753">
        <f t="shared" si="53"/>
        <v>0</v>
      </c>
      <c r="EZ26" s="736">
        <f t="shared" si="54"/>
        <v>0</v>
      </c>
      <c r="FA26" s="759" t="str">
        <f t="shared" si="31"/>
        <v/>
      </c>
      <c r="FB26" s="754" t="str">
        <f t="shared" si="15"/>
        <v/>
      </c>
      <c r="FC26" s="315" t="str">
        <f t="shared" si="55"/>
        <v>non</v>
      </c>
      <c r="FD26" s="760">
        <f t="shared" si="16"/>
        <v>0</v>
      </c>
      <c r="FG26" s="129" t="str">
        <f t="shared" si="56"/>
        <v/>
      </c>
      <c r="FJ26" s="315">
        <f t="shared" si="57"/>
        <v>1</v>
      </c>
      <c r="FK26" s="129">
        <f t="shared" si="17"/>
        <v>10</v>
      </c>
      <c r="FL26" s="129">
        <f t="shared" si="35"/>
        <v>1</v>
      </c>
      <c r="FN26" s="129">
        <f>+IF(AND($DP$8&lt;&gt;52,AR26=S.CAL!$BJ$4),10,1)</f>
        <v>1</v>
      </c>
      <c r="FP26" s="129">
        <f t="shared" si="18"/>
        <v>0</v>
      </c>
      <c r="FS26" s="223" t="str">
        <f t="shared" si="36"/>
        <v/>
      </c>
      <c r="FZ26" s="129">
        <f t="shared" si="37"/>
        <v>2</v>
      </c>
      <c r="GA26" s="129">
        <f t="shared" si="38"/>
        <v>2026</v>
      </c>
      <c r="GB26" s="129" t="str">
        <f t="shared" si="39"/>
        <v>22026</v>
      </c>
      <c r="GC26" s="223">
        <f>IF(AND($GD$53=S.CAL!$P$3,$GD$52=FZ26),GE26,IF(BH26="",0,BH26))</f>
        <v>0</v>
      </c>
      <c r="GD26" s="129" t="str">
        <f>IFERROR(+Février!$BY$2&amp;BL26&amp;BM26,0)</f>
        <v>Fiche infoA3</v>
      </c>
      <c r="GE26" s="129" t="str">
        <f t="shared" si="19"/>
        <v/>
      </c>
      <c r="GF26" s="223" t="str">
        <f t="shared" si="40"/>
        <v/>
      </c>
      <c r="GG26" s="1446" t="str">
        <f>+'Retenue Janv'!D24</f>
        <v/>
      </c>
      <c r="GH26" s="1446">
        <f>IF(Identification!$B$132="Non",'Retenue Janv'!BF24,'Retenue Janv'!BE24)</f>
        <v>0</v>
      </c>
      <c r="GI26" s="1446"/>
      <c r="GJ26" s="1507" t="str">
        <f t="shared" si="41"/>
        <v/>
      </c>
      <c r="GK26" s="223" t="str">
        <f t="shared" si="42"/>
        <v/>
      </c>
      <c r="GL26" s="223" t="str">
        <f t="shared" si="43"/>
        <v/>
      </c>
      <c r="GM26" s="1506">
        <f t="shared" si="44"/>
        <v>0</v>
      </c>
      <c r="GN26" s="1446"/>
      <c r="GO26" s="1446">
        <f t="shared" si="20"/>
        <v>0</v>
      </c>
      <c r="GP26" s="1446" t="str">
        <f t="shared" si="45"/>
        <v/>
      </c>
      <c r="GQ26" s="1446" t="str">
        <f t="shared" si="46"/>
        <v/>
      </c>
      <c r="GR26" s="1446"/>
      <c r="GS26" s="1446"/>
      <c r="GT26" s="1446"/>
      <c r="GU26" s="1446"/>
      <c r="GV26" s="1446"/>
    </row>
    <row r="27" spans="1:204"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46030</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7"/>
        <v/>
      </c>
      <c r="AQ27" s="322"/>
      <c r="AR27" s="1104"/>
      <c r="AS27" s="314">
        <f t="shared" si="3"/>
        <v>0</v>
      </c>
      <c r="AT27" s="1125"/>
      <c r="AU27" s="1125"/>
      <c r="AV27" s="314"/>
      <c r="AW27" s="1791">
        <f t="shared" si="21"/>
        <v>46030</v>
      </c>
      <c r="AX27" s="1761"/>
      <c r="AY27" s="314"/>
      <c r="AZ27" s="1104"/>
      <c r="BA27" s="973"/>
      <c r="BB27" s="543"/>
      <c r="BC27" s="548">
        <f t="shared" si="22"/>
        <v>0</v>
      </c>
      <c r="BD27" s="1104"/>
      <c r="BE27" s="807">
        <f t="shared" si="23"/>
        <v>0</v>
      </c>
      <c r="BF27" s="1128"/>
      <c r="BG27" s="222"/>
      <c r="BH27" s="548" t="str">
        <f t="shared" si="24"/>
        <v/>
      </c>
      <c r="BI27" s="1128"/>
      <c r="BJ27" s="129" t="str">
        <f t="shared" si="25"/>
        <v>Fiche infoA4</v>
      </c>
      <c r="BK27" s="129">
        <f t="shared" si="48"/>
        <v>2</v>
      </c>
      <c r="BL27" s="129" t="str">
        <f t="shared" si="4"/>
        <v>A</v>
      </c>
      <c r="BM27" s="129">
        <f t="shared" si="49"/>
        <v>4</v>
      </c>
      <c r="BN27" s="223" t="str">
        <f t="shared" si="59"/>
        <v>Fiche info</v>
      </c>
      <c r="BO27" s="314" t="str">
        <f t="shared" si="50"/>
        <v/>
      </c>
      <c r="BP27" s="196" t="str">
        <f t="shared" si="51"/>
        <v/>
      </c>
      <c r="BQ27" s="570"/>
      <c r="BX27" s="577"/>
      <c r="BY27" s="2015"/>
      <c r="BZ27" s="1952"/>
      <c r="CA27" s="2014"/>
      <c r="CB27" s="196" t="s">
        <v>1095</v>
      </c>
      <c r="CC27" s="196" t="s">
        <v>1096</v>
      </c>
      <c r="CD27" s="196" t="s">
        <v>1097</v>
      </c>
      <c r="CE27" s="196" t="s">
        <v>1228</v>
      </c>
      <c r="CF27" s="196"/>
      <c r="CG27" s="196"/>
      <c r="CH27" s="196"/>
      <c r="CJ27" s="573"/>
      <c r="CK27" s="573"/>
      <c r="CL27" s="573"/>
      <c r="CM27" s="573"/>
      <c r="CN27" s="573"/>
      <c r="CO27" s="573"/>
      <c r="CP27" s="573"/>
      <c r="CQ27" s="573"/>
      <c r="CR27" s="573"/>
      <c r="CS27" s="573"/>
      <c r="CT27" s="573"/>
      <c r="CU27" s="573"/>
      <c r="CV27" s="573"/>
      <c r="CW27" s="573"/>
      <c r="CX27" s="573"/>
      <c r="CY27" s="573"/>
      <c r="CZ27" s="573"/>
      <c r="DA27" s="573"/>
      <c r="DB27" s="573"/>
      <c r="DC27" s="573"/>
      <c r="DD27" s="570"/>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2"/>
        <v>46030</v>
      </c>
      <c r="ER27" s="749">
        <f t="shared" si="10"/>
        <v>0</v>
      </c>
      <c r="ES27" s="750">
        <f t="shared" si="11"/>
        <v>0</v>
      </c>
      <c r="ET27" s="749">
        <f t="shared" si="12"/>
        <v>0</v>
      </c>
      <c r="EU27" s="750">
        <f t="shared" si="13"/>
        <v>0</v>
      </c>
      <c r="EV27" s="749" t="str">
        <f t="shared" si="14"/>
        <v/>
      </c>
      <c r="EW27" s="751">
        <f t="shared" si="28"/>
        <v>46030</v>
      </c>
      <c r="EX27" s="759" t="str">
        <f>IFERROR(IF(AND(AZ27="",AR27&lt;&gt;S.CAL!$BJ$3,AR27&lt;&gt;S.CAL!$BJ$4),FS27-BC27,IF(AZ27&lt;&gt;0,AZ27,IF(OR(AR27=S.CAL!$BJ$3,AR27=S.CAL!$BJ$4),AR27,0))),"")</f>
        <v/>
      </c>
      <c r="EY27" s="753">
        <f t="shared" si="53"/>
        <v>0</v>
      </c>
      <c r="EZ27" s="736">
        <f t="shared" si="54"/>
        <v>0</v>
      </c>
      <c r="FA27" s="759" t="str">
        <f t="shared" si="31"/>
        <v/>
      </c>
      <c r="FB27" s="754" t="str">
        <f t="shared" si="15"/>
        <v/>
      </c>
      <c r="FC27" s="315" t="str">
        <f t="shared" si="55"/>
        <v>non</v>
      </c>
      <c r="FD27" s="760">
        <f t="shared" si="16"/>
        <v>0</v>
      </c>
      <c r="FG27" s="129" t="str">
        <f t="shared" si="56"/>
        <v/>
      </c>
      <c r="FJ27" s="315">
        <f t="shared" si="57"/>
        <v>1</v>
      </c>
      <c r="FK27" s="129">
        <f t="shared" si="17"/>
        <v>10</v>
      </c>
      <c r="FL27" s="129">
        <f t="shared" si="35"/>
        <v>1</v>
      </c>
      <c r="FN27" s="129">
        <f>+IF(AND($DP$8&lt;&gt;52,AR27=S.CAL!$BJ$4),10,1)</f>
        <v>1</v>
      </c>
      <c r="FP27" s="129">
        <f t="shared" si="18"/>
        <v>0</v>
      </c>
      <c r="FS27" s="223" t="str">
        <f t="shared" ref="FS27:FS50" si="60">+BH27</f>
        <v/>
      </c>
      <c r="FZ27" s="129">
        <f t="shared" si="37"/>
        <v>2</v>
      </c>
      <c r="GA27" s="129">
        <f t="shared" si="38"/>
        <v>2026</v>
      </c>
      <c r="GB27" s="129" t="str">
        <f t="shared" si="39"/>
        <v>22026</v>
      </c>
      <c r="GC27" s="223">
        <f>IF(AND($GD$53=S.CAL!$P$3,$GD$52=FZ27),GE27,IF(BH27="",0,BH27))</f>
        <v>0</v>
      </c>
      <c r="GD27" s="129" t="str">
        <f>IFERROR(+Février!$BY$2&amp;BL27&amp;BM27,0)</f>
        <v>Fiche infoA4</v>
      </c>
      <c r="GE27" s="129" t="str">
        <f t="shared" si="19"/>
        <v/>
      </c>
      <c r="GF27" s="223" t="str">
        <f t="shared" si="40"/>
        <v/>
      </c>
      <c r="GG27" s="1446" t="str">
        <f>+'Retenue Janv'!D25</f>
        <v/>
      </c>
      <c r="GH27" s="1446">
        <f>IF(Identification!$B$132="Non",'Retenue Janv'!BF25,'Retenue Janv'!BE25)</f>
        <v>0</v>
      </c>
      <c r="GI27" s="1446"/>
      <c r="GJ27" s="1507" t="str">
        <f t="shared" si="41"/>
        <v/>
      </c>
      <c r="GK27" s="223" t="str">
        <f t="shared" si="42"/>
        <v/>
      </c>
      <c r="GL27" s="223" t="str">
        <f t="shared" si="43"/>
        <v/>
      </c>
      <c r="GM27" s="1506">
        <f t="shared" si="44"/>
        <v>0</v>
      </c>
      <c r="GN27" s="1446"/>
      <c r="GO27" s="1446">
        <f t="shared" si="20"/>
        <v>0</v>
      </c>
      <c r="GP27" s="1446" t="str">
        <f t="shared" si="45"/>
        <v/>
      </c>
      <c r="GQ27" s="1446" t="str">
        <f t="shared" si="46"/>
        <v/>
      </c>
      <c r="GR27" s="1446"/>
      <c r="GS27" s="1446"/>
      <c r="GT27" s="1446"/>
      <c r="GU27" s="1446"/>
      <c r="GV27" s="1446"/>
    </row>
    <row r="28" spans="1:204"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73"/>
      <c r="Y28" s="273"/>
      <c r="Z28" s="273"/>
      <c r="AA28" s="885" t="str">
        <f>IF(AND(BE28="OUI",$AR$13=S.CAL!$CU$2),"►",IF(AND(EV28="OUI",$AR$13=S.CAL!$CU$3),"►",""))</f>
        <v/>
      </c>
      <c r="AB28" s="1760">
        <f>+$X$3+8</f>
        <v>46031</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7"/>
        <v/>
      </c>
      <c r="AQ28" s="322"/>
      <c r="AR28" s="1104"/>
      <c r="AS28" s="314">
        <f t="shared" si="3"/>
        <v>0</v>
      </c>
      <c r="AT28" s="1125"/>
      <c r="AU28" s="1125"/>
      <c r="AV28" s="314"/>
      <c r="AW28" s="1791">
        <f t="shared" si="21"/>
        <v>46031</v>
      </c>
      <c r="AX28" s="1761"/>
      <c r="AY28" s="314"/>
      <c r="AZ28" s="1104"/>
      <c r="BA28" s="973"/>
      <c r="BB28" s="543"/>
      <c r="BC28" s="548">
        <f t="shared" si="22"/>
        <v>0</v>
      </c>
      <c r="BD28" s="1104"/>
      <c r="BE28" s="807">
        <f t="shared" si="23"/>
        <v>0</v>
      </c>
      <c r="BF28" s="1128"/>
      <c r="BG28" s="222"/>
      <c r="BH28" s="548" t="str">
        <f t="shared" si="24"/>
        <v/>
      </c>
      <c r="BI28" s="1128"/>
      <c r="BJ28" s="129" t="str">
        <f t="shared" si="25"/>
        <v>Fiche infoA5</v>
      </c>
      <c r="BK28" s="129">
        <f t="shared" si="48"/>
        <v>2</v>
      </c>
      <c r="BL28" s="129" t="str">
        <f t="shared" si="4"/>
        <v>A</v>
      </c>
      <c r="BM28" s="129">
        <f t="shared" si="49"/>
        <v>5</v>
      </c>
      <c r="BN28" s="223" t="str">
        <f t="shared" si="59"/>
        <v>Fiche info</v>
      </c>
      <c r="BO28" s="314" t="str">
        <f t="shared" si="50"/>
        <v/>
      </c>
      <c r="BP28" s="196" t="str">
        <f t="shared" si="51"/>
        <v/>
      </c>
      <c r="BQ28" s="566"/>
      <c r="BS28" s="2100" t="str">
        <f>+"Semaine numéro : "&amp;AT4</f>
        <v>Semaine numéro : 1</v>
      </c>
      <c r="BT28" s="2101"/>
      <c r="BU28" s="2101"/>
      <c r="BV28" s="2101"/>
      <c r="BW28" s="2101"/>
      <c r="BX28" s="2102"/>
      <c r="BY28" s="657"/>
      <c r="BZ28" s="656">
        <f ca="1">+IF(BY28="",IF(AND(CC28&gt;0,CB28&gt;0),CC28+CB28,IF(CD28&gt;0,0,CB28)),BY28)</f>
        <v>0</v>
      </c>
      <c r="CA28" s="655">
        <f t="shared" ref="CA28:CA33" ca="1" si="61">IF(BZ28&gt;45,BZ28-45,0)</f>
        <v>0</v>
      </c>
      <c r="CB28" s="196">
        <f t="shared" ref="CB28:CB33" si="62">+SUMIF($BK$20:$BK$50,AT4,$AM$20:$AO$50)</f>
        <v>0</v>
      </c>
      <c r="CC28" s="196">
        <f ca="1">+SUMIF(CE28:CE32,Report!D36,Report!D35)</f>
        <v>0</v>
      </c>
      <c r="CD28" s="196">
        <f>+SUMIF(Février!$BK$20:$BK$50,AT4,Février!$AM$20:$AO$50)</f>
        <v>0</v>
      </c>
      <c r="CE28" s="196">
        <f>+AT4</f>
        <v>1</v>
      </c>
      <c r="CF28" s="196"/>
      <c r="CG28" s="196"/>
      <c r="CH28" s="196"/>
      <c r="CJ28" s="571"/>
      <c r="CK28" s="571"/>
      <c r="CL28" s="571"/>
      <c r="CM28" s="571"/>
      <c r="CN28" s="571"/>
      <c r="CO28" s="571"/>
      <c r="CP28" s="571"/>
      <c r="CQ28" s="571"/>
      <c r="CR28" s="571"/>
      <c r="CS28" s="571"/>
      <c r="CT28" s="571"/>
      <c r="CU28" s="571"/>
      <c r="CV28" s="571"/>
      <c r="CW28" s="571"/>
      <c r="CX28" s="571"/>
      <c r="CY28" s="571"/>
      <c r="CZ28" s="571"/>
      <c r="DA28" s="571"/>
      <c r="DB28" s="571"/>
      <c r="DC28" s="571"/>
      <c r="DD28" s="570"/>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402" t="s">
        <v>1643</v>
      </c>
      <c r="EI28" s="741">
        <f>+GO57</f>
        <v>0</v>
      </c>
      <c r="EQ28" s="748">
        <f t="shared" si="52"/>
        <v>46031</v>
      </c>
      <c r="ER28" s="749">
        <f t="shared" si="10"/>
        <v>0</v>
      </c>
      <c r="ES28" s="750">
        <f t="shared" si="11"/>
        <v>0</v>
      </c>
      <c r="ET28" s="749">
        <f t="shared" si="12"/>
        <v>0</v>
      </c>
      <c r="EU28" s="750">
        <f t="shared" si="13"/>
        <v>0</v>
      </c>
      <c r="EV28" s="749" t="str">
        <f t="shared" si="14"/>
        <v/>
      </c>
      <c r="EW28" s="751">
        <f t="shared" si="28"/>
        <v>46031</v>
      </c>
      <c r="EX28" s="759" t="str">
        <f>IFERROR(IF(AND(AZ28="",AR28&lt;&gt;S.CAL!$BJ$3,AR28&lt;&gt;S.CAL!$BJ$4),FS28-BC28,IF(AZ28&lt;&gt;0,AZ28,IF(OR(AR28=S.CAL!$BJ$3,AR28=S.CAL!$BJ$4),AR28,0))),"")</f>
        <v/>
      </c>
      <c r="EY28" s="753">
        <f t="shared" si="53"/>
        <v>0</v>
      </c>
      <c r="EZ28" s="736">
        <f t="shared" si="54"/>
        <v>0</v>
      </c>
      <c r="FA28" s="759" t="str">
        <f t="shared" si="31"/>
        <v/>
      </c>
      <c r="FB28" s="754" t="str">
        <f t="shared" si="15"/>
        <v/>
      </c>
      <c r="FC28" s="315" t="str">
        <f t="shared" si="55"/>
        <v>non</v>
      </c>
      <c r="FD28" s="760">
        <f t="shared" si="16"/>
        <v>0</v>
      </c>
      <c r="FG28" s="129" t="str">
        <f t="shared" si="56"/>
        <v/>
      </c>
      <c r="FJ28" s="315">
        <f t="shared" si="57"/>
        <v>1</v>
      </c>
      <c r="FK28" s="129">
        <f t="shared" si="17"/>
        <v>10</v>
      </c>
      <c r="FL28" s="129">
        <f t="shared" si="35"/>
        <v>1</v>
      </c>
      <c r="FN28" s="129">
        <f>+IF(AND($DP$8&lt;&gt;52,AR28=S.CAL!$BJ$4),10,1)</f>
        <v>1</v>
      </c>
      <c r="FP28" s="129">
        <f t="shared" si="18"/>
        <v>0</v>
      </c>
      <c r="FS28" s="223" t="str">
        <f t="shared" si="60"/>
        <v/>
      </c>
      <c r="FZ28" s="129">
        <f t="shared" si="37"/>
        <v>2</v>
      </c>
      <c r="GA28" s="129">
        <f t="shared" si="38"/>
        <v>2026</v>
      </c>
      <c r="GB28" s="129" t="str">
        <f t="shared" si="39"/>
        <v>22026</v>
      </c>
      <c r="GC28" s="223">
        <f>IF(AND($GD$53=S.CAL!$P$3,$GD$52=FZ28),GE28,IF(BH28="",0,BH28))</f>
        <v>0</v>
      </c>
      <c r="GD28" s="129" t="str">
        <f>IFERROR(+Février!$BY$2&amp;BL28&amp;BM28,0)</f>
        <v>Fiche infoA5</v>
      </c>
      <c r="GE28" s="129" t="str">
        <f t="shared" si="19"/>
        <v/>
      </c>
      <c r="GF28" s="223" t="str">
        <f t="shared" si="40"/>
        <v/>
      </c>
      <c r="GG28" s="1446" t="str">
        <f>+'Retenue Janv'!D26</f>
        <v/>
      </c>
      <c r="GH28" s="1446">
        <f>IF(Identification!$B$132="Non",'Retenue Janv'!BF26,'Retenue Janv'!BE26)</f>
        <v>0</v>
      </c>
      <c r="GI28" s="1446"/>
      <c r="GJ28" s="1507" t="str">
        <f t="shared" si="41"/>
        <v/>
      </c>
      <c r="GK28" s="223" t="str">
        <f t="shared" si="42"/>
        <v/>
      </c>
      <c r="GL28" s="223" t="str">
        <f t="shared" si="43"/>
        <v/>
      </c>
      <c r="GM28" s="1506">
        <f t="shared" si="44"/>
        <v>0</v>
      </c>
      <c r="GN28" s="1446"/>
      <c r="GO28" s="1446">
        <f t="shared" si="20"/>
        <v>0</v>
      </c>
      <c r="GP28" s="1446" t="str">
        <f t="shared" si="45"/>
        <v/>
      </c>
      <c r="GQ28" s="1446" t="str">
        <f t="shared" si="46"/>
        <v/>
      </c>
      <c r="GR28" s="1446"/>
      <c r="GS28" s="1446"/>
      <c r="GT28" s="1446"/>
      <c r="GU28" s="1446"/>
      <c r="GV28" s="1446"/>
    </row>
    <row r="29" spans="1:204"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46032</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7"/>
        <v/>
      </c>
      <c r="AQ29" s="322"/>
      <c r="AR29" s="1104"/>
      <c r="AS29" s="314">
        <f t="shared" si="3"/>
        <v>0</v>
      </c>
      <c r="AT29" s="1125"/>
      <c r="AU29" s="1125"/>
      <c r="AV29" s="314"/>
      <c r="AW29" s="1791">
        <f t="shared" si="21"/>
        <v>46032</v>
      </c>
      <c r="AX29" s="1761"/>
      <c r="AY29" s="314"/>
      <c r="AZ29" s="1104"/>
      <c r="BA29" s="973"/>
      <c r="BB29" s="543"/>
      <c r="BC29" s="548">
        <f t="shared" si="22"/>
        <v>0</v>
      </c>
      <c r="BD29" s="1104"/>
      <c r="BE29" s="807">
        <f t="shared" si="23"/>
        <v>0</v>
      </c>
      <c r="BF29" s="1128"/>
      <c r="BG29" s="222"/>
      <c r="BH29" s="548" t="str">
        <f t="shared" si="24"/>
        <v/>
      </c>
      <c r="BI29" s="1128"/>
      <c r="BJ29" s="129" t="str">
        <f t="shared" si="25"/>
        <v>Fiche infoA6</v>
      </c>
      <c r="BK29" s="129">
        <f t="shared" si="48"/>
        <v>2</v>
      </c>
      <c r="BL29" s="129" t="str">
        <f t="shared" si="4"/>
        <v>A</v>
      </c>
      <c r="BM29" s="129">
        <f t="shared" si="49"/>
        <v>6</v>
      </c>
      <c r="BN29" s="223" t="str">
        <f t="shared" si="59"/>
        <v>Fiche info</v>
      </c>
      <c r="BO29" s="314" t="str">
        <f t="shared" si="50"/>
        <v/>
      </c>
      <c r="BP29" s="196" t="str">
        <f t="shared" si="51"/>
        <v/>
      </c>
      <c r="BQ29" s="566"/>
      <c r="BS29" s="2100" t="str">
        <f t="shared" ref="BS29:BS33" si="63">+"Semaine numéro : "&amp;AT5</f>
        <v>Semaine numéro : 2</v>
      </c>
      <c r="BT29" s="2101"/>
      <c r="BU29" s="2101"/>
      <c r="BV29" s="2101"/>
      <c r="BW29" s="2101"/>
      <c r="BX29" s="2102"/>
      <c r="BY29" s="1115"/>
      <c r="BZ29" s="656">
        <f t="shared" ref="BZ29:BZ33" si="64">+IF(BY29="",IF(AND(CC29&gt;0,CB29&gt;0),CC29+CB29,IF(CD29&gt;0,0,CB29)),BY29)</f>
        <v>0</v>
      </c>
      <c r="CA29" s="655">
        <f t="shared" si="61"/>
        <v>0</v>
      </c>
      <c r="CB29" s="196">
        <f t="shared" si="62"/>
        <v>0</v>
      </c>
      <c r="CC29" s="196"/>
      <c r="CD29" s="196">
        <f>+SUMIF(Février!$BK$20:$BK$50,AT5,Février!$AM$20:$AO$50)</f>
        <v>0</v>
      </c>
      <c r="CE29" s="196">
        <f t="shared" ref="CE29:CE33" si="65">+AT5</f>
        <v>2</v>
      </c>
      <c r="CF29" s="196"/>
      <c r="CG29" s="196"/>
      <c r="CH29" s="196"/>
      <c r="CJ29" s="571"/>
      <c r="CK29" s="571"/>
      <c r="CL29" s="571"/>
      <c r="CM29" s="571"/>
      <c r="CN29" s="571"/>
      <c r="CO29" s="571"/>
      <c r="CP29" s="571"/>
      <c r="CQ29" s="571"/>
      <c r="CR29" s="571"/>
      <c r="CS29" s="571"/>
      <c r="CT29" s="571"/>
      <c r="CU29" s="571"/>
      <c r="CV29" s="571"/>
      <c r="CW29" s="571"/>
      <c r="CX29" s="571"/>
      <c r="CY29" s="571"/>
      <c r="CZ29" s="571"/>
      <c r="DA29" s="571"/>
      <c r="DB29" s="571"/>
      <c r="DC29" s="571"/>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2"/>
        <v>46032</v>
      </c>
      <c r="ER29" s="749">
        <f t="shared" si="10"/>
        <v>0</v>
      </c>
      <c r="ES29" s="750">
        <f t="shared" si="11"/>
        <v>0</v>
      </c>
      <c r="ET29" s="749">
        <f t="shared" si="12"/>
        <v>0</v>
      </c>
      <c r="EU29" s="750">
        <f t="shared" si="13"/>
        <v>0</v>
      </c>
      <c r="EV29" s="749" t="str">
        <f t="shared" si="14"/>
        <v/>
      </c>
      <c r="EW29" s="751">
        <f t="shared" si="28"/>
        <v>46032</v>
      </c>
      <c r="EX29" s="759" t="str">
        <f>IFERROR(IF(AND(AZ29="",AR29&lt;&gt;S.CAL!$BJ$3,AR29&lt;&gt;S.CAL!$BJ$4),FS29-BC29,IF(AZ29&lt;&gt;0,AZ29,IF(OR(AR29=S.CAL!$BJ$3,AR29=S.CAL!$BJ$4),AR29,0))),"")</f>
        <v/>
      </c>
      <c r="EY29" s="753">
        <f t="shared" si="53"/>
        <v>0</v>
      </c>
      <c r="EZ29" s="736">
        <f t="shared" si="54"/>
        <v>0</v>
      </c>
      <c r="FA29" s="759" t="str">
        <f t="shared" si="31"/>
        <v/>
      </c>
      <c r="FB29" s="754" t="str">
        <f t="shared" si="15"/>
        <v/>
      </c>
      <c r="FC29" s="315" t="str">
        <f t="shared" si="55"/>
        <v>non</v>
      </c>
      <c r="FD29" s="760">
        <f t="shared" si="16"/>
        <v>0</v>
      </c>
      <c r="FG29" s="129" t="str">
        <f t="shared" si="56"/>
        <v/>
      </c>
      <c r="FJ29" s="315">
        <f t="shared" si="57"/>
        <v>1</v>
      </c>
      <c r="FK29" s="129">
        <f t="shared" si="17"/>
        <v>10</v>
      </c>
      <c r="FL29" s="129">
        <f t="shared" si="35"/>
        <v>1</v>
      </c>
      <c r="FN29" s="129">
        <f>+IF(AND($DP$8&lt;&gt;52,AR29=S.CAL!$BJ$4),10,1)</f>
        <v>1</v>
      </c>
      <c r="FP29" s="129">
        <f t="shared" si="18"/>
        <v>0</v>
      </c>
      <c r="FS29" s="223" t="str">
        <f t="shared" si="60"/>
        <v/>
      </c>
      <c r="FZ29" s="129">
        <f t="shared" si="37"/>
        <v>2</v>
      </c>
      <c r="GA29" s="129">
        <f t="shared" si="38"/>
        <v>2026</v>
      </c>
      <c r="GB29" s="129" t="str">
        <f t="shared" si="39"/>
        <v>22026</v>
      </c>
      <c r="GC29" s="223">
        <f>IF(AND($GD$53=S.CAL!$P$3,$GD$52=FZ29),GE29,IF(BH29="",0,BH29))</f>
        <v>0</v>
      </c>
      <c r="GD29" s="129" t="str">
        <f>IFERROR(+Février!$BY$2&amp;BL29&amp;BM29,0)</f>
        <v>Fiche infoA6</v>
      </c>
      <c r="GE29" s="129" t="str">
        <f t="shared" si="19"/>
        <v/>
      </c>
      <c r="GF29" s="223" t="str">
        <f t="shared" si="40"/>
        <v/>
      </c>
      <c r="GG29" s="1446" t="str">
        <f>+'Retenue Janv'!D27</f>
        <v/>
      </c>
      <c r="GH29" s="1446">
        <f>IF(Identification!$B$132="Non",'Retenue Janv'!BF27,'Retenue Janv'!BE27)</f>
        <v>0</v>
      </c>
      <c r="GI29" s="1446"/>
      <c r="GJ29" s="1507" t="str">
        <f t="shared" si="41"/>
        <v/>
      </c>
      <c r="GK29" s="223" t="str">
        <f t="shared" si="42"/>
        <v/>
      </c>
      <c r="GL29" s="223" t="str">
        <f t="shared" si="43"/>
        <v/>
      </c>
      <c r="GM29" s="1506">
        <f t="shared" si="44"/>
        <v>0</v>
      </c>
      <c r="GN29" s="1446"/>
      <c r="GO29" s="1446">
        <f t="shared" si="20"/>
        <v>0</v>
      </c>
      <c r="GP29" s="1446" t="str">
        <f t="shared" si="45"/>
        <v/>
      </c>
      <c r="GQ29" s="1446" t="str">
        <f t="shared" si="46"/>
        <v/>
      </c>
      <c r="GR29" s="1446"/>
      <c r="GS29" s="1446"/>
      <c r="GT29" s="1446"/>
      <c r="GU29" s="1446"/>
      <c r="GV29" s="1446"/>
    </row>
    <row r="30" spans="1:204"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73"/>
      <c r="Y30" s="273"/>
      <c r="Z30" s="273"/>
      <c r="AA30" s="885" t="str">
        <f>IF(AND(BE30="OUI",$AR$13=S.CAL!$CU$2),"►",IF(AND(EV30="OUI",$AR$13=S.CAL!$CU$3),"►",""))</f>
        <v/>
      </c>
      <c r="AB30" s="1760">
        <f>+$X$3+10</f>
        <v>46033</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7"/>
        <v/>
      </c>
      <c r="AQ30" s="322"/>
      <c r="AR30" s="1104"/>
      <c r="AS30" s="314">
        <f t="shared" si="3"/>
        <v>0</v>
      </c>
      <c r="AT30" s="1125"/>
      <c r="AU30" s="1125"/>
      <c r="AV30" s="314"/>
      <c r="AW30" s="1791">
        <f t="shared" si="21"/>
        <v>46033</v>
      </c>
      <c r="AX30" s="1761"/>
      <c r="AY30" s="314"/>
      <c r="AZ30" s="1104"/>
      <c r="BA30" s="973"/>
      <c r="BB30" s="543"/>
      <c r="BC30" s="548">
        <f t="shared" si="22"/>
        <v>0</v>
      </c>
      <c r="BD30" s="1104"/>
      <c r="BE30" s="807">
        <f t="shared" si="23"/>
        <v>0</v>
      </c>
      <c r="BF30" s="1128"/>
      <c r="BG30" s="222"/>
      <c r="BH30" s="548" t="str">
        <f t="shared" si="24"/>
        <v/>
      </c>
      <c r="BI30" s="1128"/>
      <c r="BJ30" s="129" t="str">
        <f t="shared" si="25"/>
        <v>Fiche infoA7</v>
      </c>
      <c r="BK30" s="129">
        <f t="shared" si="48"/>
        <v>2</v>
      </c>
      <c r="BL30" s="129" t="str">
        <f t="shared" si="4"/>
        <v>A</v>
      </c>
      <c r="BM30" s="129">
        <f t="shared" si="49"/>
        <v>7</v>
      </c>
      <c r="BN30" s="223" t="str">
        <f t="shared" si="59"/>
        <v>Fiche info</v>
      </c>
      <c r="BO30" s="314" t="str">
        <f t="shared" si="50"/>
        <v/>
      </c>
      <c r="BP30" s="196" t="str">
        <f t="shared" si="51"/>
        <v/>
      </c>
      <c r="BQ30" s="566"/>
      <c r="BS30" s="2100" t="str">
        <f t="shared" si="63"/>
        <v>Semaine numéro : 3</v>
      </c>
      <c r="BT30" s="2101"/>
      <c r="BU30" s="2101"/>
      <c r="BV30" s="2101"/>
      <c r="BW30" s="2101"/>
      <c r="BX30" s="2102"/>
      <c r="BY30" s="1115"/>
      <c r="BZ30" s="656">
        <f t="shared" si="64"/>
        <v>0</v>
      </c>
      <c r="CA30" s="655">
        <f t="shared" si="61"/>
        <v>0</v>
      </c>
      <c r="CB30" s="196">
        <f t="shared" si="62"/>
        <v>0</v>
      </c>
      <c r="CC30" s="196"/>
      <c r="CD30" s="196">
        <f>+SUMIF(Février!$BK$20:$BK$50,AT6,Février!$AM$20:$AO$50)</f>
        <v>0</v>
      </c>
      <c r="CE30" s="196">
        <f t="shared" si="65"/>
        <v>3</v>
      </c>
      <c r="CF30" s="196"/>
      <c r="CG30" s="196"/>
      <c r="CH30" s="196"/>
      <c r="CJ30" s="571"/>
      <c r="CK30" s="571"/>
      <c r="CL30" s="571"/>
      <c r="CM30" s="571"/>
      <c r="CN30" s="571"/>
      <c r="CO30" s="571"/>
      <c r="CP30" s="571"/>
      <c r="CQ30" s="571"/>
      <c r="CR30" s="571"/>
      <c r="CS30" s="571"/>
      <c r="CT30" s="571"/>
      <c r="CU30" s="571"/>
      <c r="CV30" s="571"/>
      <c r="CW30" s="571"/>
      <c r="CX30" s="571"/>
      <c r="CY30" s="571"/>
      <c r="CZ30" s="571"/>
      <c r="DA30" s="571"/>
      <c r="DB30" s="571"/>
      <c r="DC30" s="571"/>
      <c r="DF30" s="740"/>
      <c r="DG30" s="740"/>
      <c r="DH30" s="740"/>
      <c r="DJ30" s="761" t="s">
        <v>150</v>
      </c>
      <c r="DK30" s="738">
        <f ca="1">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2"/>
        <v>46033</v>
      </c>
      <c r="ER30" s="749">
        <f t="shared" si="10"/>
        <v>0</v>
      </c>
      <c r="ES30" s="750">
        <f t="shared" si="11"/>
        <v>0</v>
      </c>
      <c r="ET30" s="749">
        <f t="shared" si="12"/>
        <v>0</v>
      </c>
      <c r="EU30" s="750">
        <f t="shared" si="13"/>
        <v>0</v>
      </c>
      <c r="EV30" s="749" t="str">
        <f t="shared" si="14"/>
        <v/>
      </c>
      <c r="EW30" s="751">
        <f t="shared" si="28"/>
        <v>46033</v>
      </c>
      <c r="EX30" s="759" t="str">
        <f>IFERROR(IF(AND(AZ30="",AR30&lt;&gt;S.CAL!$BJ$3,AR30&lt;&gt;S.CAL!$BJ$4),FS30-BC30,IF(AZ30&lt;&gt;0,AZ30,IF(OR(AR30=S.CAL!$BJ$3,AR30=S.CAL!$BJ$4),AR30,0))),"")</f>
        <v/>
      </c>
      <c r="EY30" s="753">
        <f t="shared" si="53"/>
        <v>0</v>
      </c>
      <c r="EZ30" s="736">
        <f t="shared" si="54"/>
        <v>0</v>
      </c>
      <c r="FA30" s="759" t="str">
        <f t="shared" si="31"/>
        <v/>
      </c>
      <c r="FB30" s="754" t="str">
        <f t="shared" si="15"/>
        <v/>
      </c>
      <c r="FC30" s="315" t="str">
        <f t="shared" si="55"/>
        <v>non</v>
      </c>
      <c r="FD30" s="760">
        <f t="shared" si="16"/>
        <v>0</v>
      </c>
      <c r="FG30" s="129" t="str">
        <f t="shared" si="56"/>
        <v/>
      </c>
      <c r="FJ30" s="315">
        <f t="shared" si="57"/>
        <v>1</v>
      </c>
      <c r="FK30" s="129">
        <f t="shared" si="17"/>
        <v>10</v>
      </c>
      <c r="FL30" s="129">
        <f t="shared" si="35"/>
        <v>1</v>
      </c>
      <c r="FN30" s="129">
        <f>+IF(AND($DP$8&lt;&gt;52,AR30=S.CAL!$BJ$4),10,1)</f>
        <v>1</v>
      </c>
      <c r="FP30" s="129">
        <f t="shared" si="18"/>
        <v>0</v>
      </c>
      <c r="FS30" s="223" t="str">
        <f t="shared" si="60"/>
        <v/>
      </c>
      <c r="FZ30" s="129">
        <f t="shared" si="37"/>
        <v>2</v>
      </c>
      <c r="GA30" s="129">
        <f t="shared" si="38"/>
        <v>2026</v>
      </c>
      <c r="GB30" s="129" t="str">
        <f t="shared" si="39"/>
        <v>22026</v>
      </c>
      <c r="GC30" s="223">
        <f>IF(AND($GD$53=S.CAL!$P$3,$GD$52=FZ30),GE30,IF(BH30="",0,BH30))</f>
        <v>0</v>
      </c>
      <c r="GD30" s="129" t="str">
        <f>IFERROR(+Février!$BY$2&amp;BL30&amp;BM30,0)</f>
        <v>Fiche infoA7</v>
      </c>
      <c r="GE30" s="129" t="str">
        <f t="shared" si="19"/>
        <v/>
      </c>
      <c r="GF30" s="223" t="str">
        <f t="shared" si="40"/>
        <v/>
      </c>
      <c r="GG30" s="1446" t="str">
        <f>+'Retenue Janv'!D28</f>
        <v/>
      </c>
      <c r="GH30" s="1446">
        <f>IF(Identification!$B$132="Non",'Retenue Janv'!BF28,'Retenue Janv'!BE28)</f>
        <v>0</v>
      </c>
      <c r="GI30" s="1446"/>
      <c r="GJ30" s="1507" t="str">
        <f t="shared" si="41"/>
        <v/>
      </c>
      <c r="GK30" s="223" t="str">
        <f t="shared" si="42"/>
        <v/>
      </c>
      <c r="GL30" s="223" t="str">
        <f t="shared" si="43"/>
        <v/>
      </c>
      <c r="GM30" s="1506">
        <f t="shared" si="44"/>
        <v>0</v>
      </c>
      <c r="GN30" s="1446"/>
      <c r="GO30" s="1446">
        <f t="shared" si="20"/>
        <v>0</v>
      </c>
      <c r="GP30" s="1446" t="str">
        <f t="shared" si="45"/>
        <v/>
      </c>
      <c r="GQ30" s="1446" t="str">
        <f t="shared" si="46"/>
        <v/>
      </c>
      <c r="GR30" s="1446"/>
      <c r="GS30" s="1446"/>
      <c r="GT30" s="1446"/>
      <c r="GU30" s="1446"/>
      <c r="GV30" s="1446"/>
    </row>
    <row r="31" spans="1:204"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73"/>
      <c r="Y31" s="273"/>
      <c r="Z31" s="273"/>
      <c r="AA31" s="885" t="str">
        <f>IF(AND(BE31="OUI",$AR$13=S.CAL!$CU$2),"►",IF(AND(EV31="OUI",$AR$13=S.CAL!$CU$3),"►",""))</f>
        <v/>
      </c>
      <c r="AB31" s="1760">
        <f>+$X$3+11</f>
        <v>46034</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f t="shared" si="47"/>
        <v>3</v>
      </c>
      <c r="AQ31" s="322"/>
      <c r="AR31" s="1104"/>
      <c r="AS31" s="314">
        <f t="shared" si="3"/>
        <v>0</v>
      </c>
      <c r="AT31" s="1125"/>
      <c r="AU31" s="1125"/>
      <c r="AV31" s="314"/>
      <c r="AW31" s="1791">
        <f t="shared" si="21"/>
        <v>46034</v>
      </c>
      <c r="AX31" s="1761"/>
      <c r="AY31" s="314"/>
      <c r="AZ31" s="1104"/>
      <c r="BA31" s="973"/>
      <c r="BB31" s="543"/>
      <c r="BC31" s="548">
        <f t="shared" si="22"/>
        <v>0</v>
      </c>
      <c r="BD31" s="1104"/>
      <c r="BE31" s="807">
        <f t="shared" si="23"/>
        <v>0</v>
      </c>
      <c r="BF31" s="1128"/>
      <c r="BG31" s="222"/>
      <c r="BH31" s="548" t="str">
        <f t="shared" si="24"/>
        <v/>
      </c>
      <c r="BI31" s="1128"/>
      <c r="BJ31" s="129" t="str">
        <f t="shared" si="25"/>
        <v>Fiche infoA1</v>
      </c>
      <c r="BK31" s="129">
        <f t="shared" si="48"/>
        <v>3</v>
      </c>
      <c r="BL31" s="129" t="str">
        <f t="shared" si="4"/>
        <v>A</v>
      </c>
      <c r="BM31" s="129">
        <f t="shared" si="49"/>
        <v>1</v>
      </c>
      <c r="BN31" s="223" t="str">
        <f t="shared" si="59"/>
        <v>Fiche info</v>
      </c>
      <c r="BO31" s="314" t="str">
        <f t="shared" si="50"/>
        <v/>
      </c>
      <c r="BP31" s="196" t="str">
        <f t="shared" si="51"/>
        <v/>
      </c>
      <c r="BQ31" s="566"/>
      <c r="BS31" s="2100" t="str">
        <f t="shared" si="63"/>
        <v>Semaine numéro : 4</v>
      </c>
      <c r="BT31" s="2101"/>
      <c r="BU31" s="2101"/>
      <c r="BV31" s="2101"/>
      <c r="BW31" s="2101"/>
      <c r="BX31" s="2102"/>
      <c r="BY31" s="1115"/>
      <c r="BZ31" s="656">
        <f t="shared" si="64"/>
        <v>0</v>
      </c>
      <c r="CA31" s="655">
        <f t="shared" si="61"/>
        <v>0</v>
      </c>
      <c r="CB31" s="196">
        <f t="shared" si="62"/>
        <v>0</v>
      </c>
      <c r="CC31" s="196"/>
      <c r="CD31" s="196">
        <f>+SUMIF(Février!$BK$20:$BK$50,AT7,Février!$AM$20:$AO$50)</f>
        <v>0</v>
      </c>
      <c r="CE31" s="196">
        <f t="shared" si="65"/>
        <v>4</v>
      </c>
      <c r="CF31" s="196"/>
      <c r="CG31" s="196"/>
      <c r="CH31" s="196"/>
      <c r="CJ31" s="571"/>
      <c r="CK31" s="571"/>
      <c r="CL31" s="571"/>
      <c r="CM31" s="571"/>
      <c r="CN31" s="571"/>
      <c r="CO31" s="571"/>
      <c r="CP31" s="571"/>
      <c r="CQ31" s="571"/>
      <c r="CR31" s="571"/>
      <c r="CS31" s="571"/>
      <c r="CT31" s="571"/>
      <c r="CU31" s="571"/>
      <c r="CV31" s="571"/>
      <c r="CW31" s="571"/>
      <c r="CX31" s="571"/>
      <c r="CY31" s="571"/>
      <c r="CZ31" s="571"/>
      <c r="DA31" s="571"/>
      <c r="DB31" s="571"/>
      <c r="DC31" s="571"/>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2"/>
        <v>46034</v>
      </c>
      <c r="ER31" s="749">
        <f t="shared" si="10"/>
        <v>0</v>
      </c>
      <c r="ES31" s="750">
        <f t="shared" si="11"/>
        <v>0</v>
      </c>
      <c r="ET31" s="749">
        <f t="shared" si="12"/>
        <v>0</v>
      </c>
      <c r="EU31" s="750">
        <f t="shared" si="13"/>
        <v>0</v>
      </c>
      <c r="EV31" s="749" t="str">
        <f t="shared" si="14"/>
        <v/>
      </c>
      <c r="EW31" s="751">
        <f t="shared" si="28"/>
        <v>46034</v>
      </c>
      <c r="EX31" s="759" t="str">
        <f>IFERROR(IF(AND(AZ31="",AR31&lt;&gt;S.CAL!$BJ$3,AR31&lt;&gt;S.CAL!$BJ$4),FS31-BC31,IF(AZ31&lt;&gt;0,AZ31,IF(OR(AR31=S.CAL!$BJ$3,AR31=S.CAL!$BJ$4),AR31,0))),"")</f>
        <v/>
      </c>
      <c r="EY31" s="753">
        <f t="shared" si="53"/>
        <v>0</v>
      </c>
      <c r="EZ31" s="736">
        <f t="shared" si="54"/>
        <v>0</v>
      </c>
      <c r="FA31" s="759" t="str">
        <f t="shared" si="31"/>
        <v/>
      </c>
      <c r="FB31" s="754" t="str">
        <f t="shared" si="15"/>
        <v/>
      </c>
      <c r="FC31" s="315" t="str">
        <f t="shared" si="55"/>
        <v>non</v>
      </c>
      <c r="FD31" s="760">
        <f t="shared" si="16"/>
        <v>0</v>
      </c>
      <c r="FG31" s="129" t="str">
        <f t="shared" si="56"/>
        <v/>
      </c>
      <c r="FJ31" s="315">
        <f t="shared" si="57"/>
        <v>1</v>
      </c>
      <c r="FK31" s="129">
        <f t="shared" si="17"/>
        <v>10</v>
      </c>
      <c r="FL31" s="129">
        <f t="shared" si="35"/>
        <v>1</v>
      </c>
      <c r="FN31" s="129">
        <f>+IF(AND($DP$8&lt;&gt;52,AR31=S.CAL!$BJ$4),10,1)</f>
        <v>1</v>
      </c>
      <c r="FP31" s="129">
        <f t="shared" si="18"/>
        <v>0</v>
      </c>
      <c r="FS31" s="223" t="str">
        <f t="shared" si="60"/>
        <v/>
      </c>
      <c r="FZ31" s="129">
        <f t="shared" si="37"/>
        <v>3</v>
      </c>
      <c r="GA31" s="129">
        <f t="shared" si="38"/>
        <v>2026</v>
      </c>
      <c r="GB31" s="129" t="str">
        <f t="shared" si="39"/>
        <v>32026</v>
      </c>
      <c r="GC31" s="223">
        <f>IF(AND($GD$53=S.CAL!$P$3,$GD$52=FZ31),GE31,IF(BH31="",0,BH31))</f>
        <v>0</v>
      </c>
      <c r="GD31" s="129" t="str">
        <f>IFERROR(+Février!$BY$2&amp;BL31&amp;BM31,0)</f>
        <v>Fiche infoA1</v>
      </c>
      <c r="GE31" s="129" t="str">
        <f t="shared" si="19"/>
        <v/>
      </c>
      <c r="GF31" s="223" t="str">
        <f t="shared" si="40"/>
        <v/>
      </c>
      <c r="GG31" s="1446" t="str">
        <f>+'Retenue Janv'!D29</f>
        <v/>
      </c>
      <c r="GH31" s="1446">
        <f>IF(Identification!$B$132="Non",'Retenue Janv'!BF29,'Retenue Janv'!BE29)</f>
        <v>0</v>
      </c>
      <c r="GI31" s="1446"/>
      <c r="GJ31" s="1507" t="str">
        <f t="shared" si="41"/>
        <v/>
      </c>
      <c r="GK31" s="223" t="str">
        <f t="shared" si="42"/>
        <v/>
      </c>
      <c r="GL31" s="223" t="str">
        <f t="shared" si="43"/>
        <v/>
      </c>
      <c r="GM31" s="1506">
        <f t="shared" si="44"/>
        <v>0</v>
      </c>
      <c r="GN31" s="1446"/>
      <c r="GO31" s="1446">
        <f t="shared" si="20"/>
        <v>0</v>
      </c>
      <c r="GP31" s="1446" t="str">
        <f t="shared" si="45"/>
        <v/>
      </c>
      <c r="GQ31" s="1446" t="str">
        <f t="shared" si="46"/>
        <v/>
      </c>
      <c r="GR31" s="1446"/>
      <c r="GS31" s="1446"/>
      <c r="GT31" s="1446"/>
      <c r="GU31" s="1446"/>
      <c r="GV31" s="1446"/>
    </row>
    <row r="32" spans="1:204"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73"/>
      <c r="Y32" s="273"/>
      <c r="Z32" s="273"/>
      <c r="AA32" s="885" t="str">
        <f>IF(AND(BE32="OUI",$AR$13=S.CAL!$CU$2),"►",IF(AND(EV32="OUI",$AR$13=S.CAL!$CU$3),"►",""))</f>
        <v/>
      </c>
      <c r="AB32" s="1760">
        <f>+$X$3+12</f>
        <v>46035</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7"/>
        <v/>
      </c>
      <c r="AQ32" s="322"/>
      <c r="AR32" s="1104"/>
      <c r="AS32" s="314">
        <f t="shared" si="3"/>
        <v>0</v>
      </c>
      <c r="AT32" s="1125"/>
      <c r="AU32" s="1125"/>
      <c r="AV32" s="314"/>
      <c r="AW32" s="1791">
        <f t="shared" si="21"/>
        <v>46035</v>
      </c>
      <c r="AX32" s="1761"/>
      <c r="AY32" s="314"/>
      <c r="AZ32" s="1104"/>
      <c r="BA32" s="973"/>
      <c r="BB32" s="543"/>
      <c r="BC32" s="548">
        <f t="shared" si="22"/>
        <v>0</v>
      </c>
      <c r="BD32" s="1104"/>
      <c r="BE32" s="807">
        <f t="shared" si="23"/>
        <v>0</v>
      </c>
      <c r="BF32" s="1128"/>
      <c r="BG32" s="222"/>
      <c r="BH32" s="548" t="str">
        <f t="shared" si="24"/>
        <v/>
      </c>
      <c r="BI32" s="1128"/>
      <c r="BJ32" s="129" t="str">
        <f t="shared" si="25"/>
        <v>Fiche infoA2</v>
      </c>
      <c r="BK32" s="129">
        <f t="shared" si="48"/>
        <v>3</v>
      </c>
      <c r="BL32" s="129" t="str">
        <f t="shared" si="4"/>
        <v>A</v>
      </c>
      <c r="BM32" s="129">
        <f t="shared" si="49"/>
        <v>2</v>
      </c>
      <c r="BN32" s="223" t="str">
        <f t="shared" si="59"/>
        <v>Fiche info</v>
      </c>
      <c r="BO32" s="314" t="str">
        <f t="shared" si="50"/>
        <v/>
      </c>
      <c r="BP32" s="196" t="str">
        <f t="shared" si="51"/>
        <v/>
      </c>
      <c r="BQ32" s="566"/>
      <c r="BS32" s="2100" t="str">
        <f t="shared" si="63"/>
        <v>Semaine numéro : 5</v>
      </c>
      <c r="BT32" s="2101"/>
      <c r="BU32" s="2101"/>
      <c r="BV32" s="2101"/>
      <c r="BW32" s="2101"/>
      <c r="BX32" s="2102"/>
      <c r="BY32" s="1115"/>
      <c r="BZ32" s="656">
        <f t="shared" si="64"/>
        <v>0</v>
      </c>
      <c r="CA32" s="655">
        <f t="shared" si="61"/>
        <v>0</v>
      </c>
      <c r="CB32" s="196">
        <f t="shared" si="62"/>
        <v>0</v>
      </c>
      <c r="CC32" s="196"/>
      <c r="CD32" s="196">
        <f>+SUMIF(Février!$BK$20:$BK$50,AT8,Février!$AM$20:$AO$50)</f>
        <v>0</v>
      </c>
      <c r="CE32" s="196">
        <f t="shared" si="65"/>
        <v>5</v>
      </c>
      <c r="CF32" s="196"/>
      <c r="CG32" s="196"/>
      <c r="CH32" s="196"/>
      <c r="CJ32" s="571"/>
      <c r="CK32" s="571"/>
      <c r="CL32" s="571"/>
      <c r="CM32" s="571"/>
      <c r="CN32" s="571"/>
      <c r="CO32" s="571"/>
      <c r="CP32" s="571"/>
      <c r="CQ32" s="571"/>
      <c r="CR32" s="571"/>
      <c r="CS32" s="571"/>
      <c r="CT32" s="571"/>
      <c r="CU32" s="571"/>
      <c r="CV32" s="571"/>
      <c r="CW32" s="571"/>
      <c r="CX32" s="571"/>
      <c r="CY32" s="571"/>
      <c r="CZ32" s="571"/>
      <c r="DA32" s="571"/>
      <c r="DB32" s="571"/>
      <c r="DC32" s="571"/>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2"/>
        <v>46035</v>
      </c>
      <c r="ER32" s="749">
        <f t="shared" si="10"/>
        <v>0</v>
      </c>
      <c r="ES32" s="750">
        <f t="shared" si="11"/>
        <v>0</v>
      </c>
      <c r="ET32" s="749">
        <f t="shared" si="12"/>
        <v>0</v>
      </c>
      <c r="EU32" s="750">
        <f t="shared" si="13"/>
        <v>0</v>
      </c>
      <c r="EV32" s="749" t="str">
        <f t="shared" si="14"/>
        <v/>
      </c>
      <c r="EW32" s="751">
        <f t="shared" si="28"/>
        <v>46035</v>
      </c>
      <c r="EX32" s="759" t="str">
        <f>IFERROR(IF(AND(AZ32="",AR32&lt;&gt;S.CAL!$BJ$3,AR32&lt;&gt;S.CAL!$BJ$4),FS32-BC32,IF(AZ32&lt;&gt;0,AZ32,IF(OR(AR32=S.CAL!$BJ$3,AR32=S.CAL!$BJ$4),AR32,0))),"")</f>
        <v/>
      </c>
      <c r="EY32" s="753">
        <f t="shared" si="53"/>
        <v>0</v>
      </c>
      <c r="EZ32" s="736">
        <f t="shared" si="54"/>
        <v>0</v>
      </c>
      <c r="FA32" s="759" t="str">
        <f t="shared" si="31"/>
        <v/>
      </c>
      <c r="FB32" s="754" t="str">
        <f t="shared" si="15"/>
        <v/>
      </c>
      <c r="FC32" s="315" t="str">
        <f t="shared" si="55"/>
        <v>non</v>
      </c>
      <c r="FD32" s="760">
        <f t="shared" si="16"/>
        <v>0</v>
      </c>
      <c r="FG32" s="129" t="str">
        <f t="shared" si="56"/>
        <v/>
      </c>
      <c r="FJ32" s="315">
        <f t="shared" si="57"/>
        <v>1</v>
      </c>
      <c r="FK32" s="129">
        <f t="shared" si="17"/>
        <v>10</v>
      </c>
      <c r="FL32" s="129">
        <f t="shared" si="35"/>
        <v>1</v>
      </c>
      <c r="FN32" s="129">
        <f>+IF(AND($DP$8&lt;&gt;52,AR32=S.CAL!$BJ$4),10,1)</f>
        <v>1</v>
      </c>
      <c r="FP32" s="129">
        <f t="shared" si="18"/>
        <v>0</v>
      </c>
      <c r="FS32" s="223" t="str">
        <f t="shared" si="60"/>
        <v/>
      </c>
      <c r="FZ32" s="129">
        <f t="shared" si="37"/>
        <v>3</v>
      </c>
      <c r="GA32" s="129">
        <f t="shared" si="38"/>
        <v>2026</v>
      </c>
      <c r="GB32" s="129" t="str">
        <f t="shared" si="39"/>
        <v>32026</v>
      </c>
      <c r="GC32" s="223">
        <f>IF(AND($GD$53=S.CAL!$P$3,$GD$52=FZ32),GE32,IF(BH32="",0,BH32))</f>
        <v>0</v>
      </c>
      <c r="GD32" s="129" t="str">
        <f>IFERROR(+Février!$BY$2&amp;BL32&amp;BM32,0)</f>
        <v>Fiche infoA2</v>
      </c>
      <c r="GE32" s="129" t="str">
        <f t="shared" si="19"/>
        <v/>
      </c>
      <c r="GF32" s="223" t="str">
        <f t="shared" si="40"/>
        <v/>
      </c>
      <c r="GG32" s="1446" t="str">
        <f>+'Retenue Janv'!D30</f>
        <v/>
      </c>
      <c r="GH32" s="1446">
        <f>IF(Identification!$B$132="Non",'Retenue Janv'!BF30,'Retenue Janv'!BE30)</f>
        <v>0</v>
      </c>
      <c r="GI32" s="1446"/>
      <c r="GJ32" s="1507" t="str">
        <f t="shared" si="41"/>
        <v/>
      </c>
      <c r="GK32" s="223" t="str">
        <f t="shared" si="42"/>
        <v/>
      </c>
      <c r="GL32" s="223" t="str">
        <f t="shared" si="43"/>
        <v/>
      </c>
      <c r="GM32" s="1506">
        <f t="shared" si="44"/>
        <v>0</v>
      </c>
      <c r="GN32" s="1446"/>
      <c r="GO32" s="1446">
        <f t="shared" si="20"/>
        <v>0</v>
      </c>
      <c r="GP32" s="1446" t="str">
        <f t="shared" si="45"/>
        <v/>
      </c>
      <c r="GQ32" s="1446" t="str">
        <f t="shared" si="46"/>
        <v/>
      </c>
      <c r="GR32" s="1446"/>
      <c r="GS32" s="1446"/>
      <c r="GT32" s="1446"/>
      <c r="GU32" s="1446"/>
      <c r="GV32" s="1446"/>
    </row>
    <row r="33" spans="1:204"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73"/>
      <c r="Y33" s="273"/>
      <c r="Z33" s="273"/>
      <c r="AA33" s="885" t="str">
        <f>IF(AND(BE33="OUI",$AR$13=S.CAL!$CU$2),"►",IF(AND(EV33="OUI",$AR$13=S.CAL!$CU$3),"►",""))</f>
        <v/>
      </c>
      <c r="AB33" s="1760">
        <f>+$X$3+13</f>
        <v>46036</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7"/>
        <v/>
      </c>
      <c r="AQ33" s="322"/>
      <c r="AR33" s="1104"/>
      <c r="AS33" s="314">
        <f t="shared" si="3"/>
        <v>0</v>
      </c>
      <c r="AT33" s="1125"/>
      <c r="AU33" s="1125"/>
      <c r="AV33" s="314"/>
      <c r="AW33" s="1791">
        <f t="shared" si="21"/>
        <v>46036</v>
      </c>
      <c r="AX33" s="1761"/>
      <c r="AY33" s="314"/>
      <c r="AZ33" s="1104"/>
      <c r="BA33" s="973"/>
      <c r="BB33" s="543"/>
      <c r="BC33" s="548">
        <f t="shared" si="22"/>
        <v>0</v>
      </c>
      <c r="BD33" s="1104"/>
      <c r="BE33" s="807">
        <f t="shared" si="23"/>
        <v>0</v>
      </c>
      <c r="BF33" s="1128"/>
      <c r="BG33" s="222"/>
      <c r="BH33" s="548" t="str">
        <f t="shared" si="24"/>
        <v/>
      </c>
      <c r="BI33" s="1128"/>
      <c r="BJ33" s="129" t="str">
        <f t="shared" si="25"/>
        <v>Fiche infoA3</v>
      </c>
      <c r="BK33" s="129">
        <f t="shared" si="48"/>
        <v>3</v>
      </c>
      <c r="BL33" s="129" t="str">
        <f t="shared" si="4"/>
        <v>A</v>
      </c>
      <c r="BM33" s="129">
        <f t="shared" si="49"/>
        <v>3</v>
      </c>
      <c r="BN33" s="223" t="str">
        <f t="shared" si="59"/>
        <v>Fiche info</v>
      </c>
      <c r="BO33" s="314" t="str">
        <f t="shared" si="50"/>
        <v/>
      </c>
      <c r="BP33" s="196" t="str">
        <f t="shared" si="51"/>
        <v/>
      </c>
      <c r="BQ33" s="566"/>
      <c r="BS33" s="2100" t="str">
        <f t="shared" si="63"/>
        <v xml:space="preserve">Semaine numéro : </v>
      </c>
      <c r="BT33" s="2101"/>
      <c r="BU33" s="2101"/>
      <c r="BV33" s="2101"/>
      <c r="BW33" s="2101"/>
      <c r="BX33" s="2102"/>
      <c r="BY33" s="1115"/>
      <c r="BZ33" s="656">
        <f t="shared" si="64"/>
        <v>0</v>
      </c>
      <c r="CA33" s="655">
        <f t="shared" si="61"/>
        <v>0</v>
      </c>
      <c r="CB33" s="196">
        <f t="shared" si="62"/>
        <v>0</v>
      </c>
      <c r="CC33" s="196"/>
      <c r="CD33" s="196">
        <f>+SUMIF(Février!$BK$20:$BK$50,AT9,Février!$AM$20:$AO$50)</f>
        <v>0</v>
      </c>
      <c r="CE33" s="196" t="str">
        <f t="shared" si="65"/>
        <v/>
      </c>
      <c r="CF33" s="196"/>
      <c r="CG33" s="196"/>
      <c r="CH33" s="196"/>
      <c r="CJ33" s="571"/>
      <c r="CK33" s="571"/>
      <c r="CL33" s="571"/>
      <c r="CM33" s="571"/>
      <c r="CN33" s="571"/>
      <c r="CO33" s="571"/>
      <c r="CP33" s="571"/>
      <c r="CQ33" s="571"/>
      <c r="CR33" s="571"/>
      <c r="CS33" s="571"/>
      <c r="CT33" s="571"/>
      <c r="CU33" s="571"/>
      <c r="CV33" s="571"/>
      <c r="CW33" s="571"/>
      <c r="CX33" s="571"/>
      <c r="CY33" s="571"/>
      <c r="CZ33" s="571"/>
      <c r="DA33" s="571"/>
      <c r="DB33" s="571"/>
      <c r="DC33" s="571"/>
      <c r="DF33" s="740"/>
      <c r="DG33" s="740"/>
      <c r="DH33" s="740"/>
      <c r="DJ33" s="761" t="s">
        <v>153</v>
      </c>
      <c r="DK33" s="738">
        <f ca="1">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2"/>
        <v>46036</v>
      </c>
      <c r="ER33" s="749">
        <f t="shared" si="10"/>
        <v>0</v>
      </c>
      <c r="ES33" s="750">
        <f t="shared" si="11"/>
        <v>0</v>
      </c>
      <c r="ET33" s="749">
        <f t="shared" si="12"/>
        <v>0</v>
      </c>
      <c r="EU33" s="750">
        <f t="shared" si="13"/>
        <v>0</v>
      </c>
      <c r="EV33" s="749" t="str">
        <f t="shared" si="14"/>
        <v/>
      </c>
      <c r="EW33" s="751">
        <f t="shared" si="28"/>
        <v>46036</v>
      </c>
      <c r="EX33" s="759" t="str">
        <f>IFERROR(IF(AND(AZ33="",AR33&lt;&gt;S.CAL!$BJ$3,AR33&lt;&gt;S.CAL!$BJ$4),FS33-BC33,IF(AZ33&lt;&gt;0,AZ33,IF(OR(AR33=S.CAL!$BJ$3,AR33=S.CAL!$BJ$4),AR33,0))),"")</f>
        <v/>
      </c>
      <c r="EY33" s="753">
        <f t="shared" si="53"/>
        <v>0</v>
      </c>
      <c r="EZ33" s="736">
        <f t="shared" si="54"/>
        <v>0</v>
      </c>
      <c r="FA33" s="759" t="str">
        <f t="shared" si="31"/>
        <v/>
      </c>
      <c r="FB33" s="754" t="str">
        <f t="shared" si="15"/>
        <v/>
      </c>
      <c r="FC33" s="315" t="str">
        <f t="shared" si="55"/>
        <v>non</v>
      </c>
      <c r="FD33" s="760">
        <f t="shared" si="16"/>
        <v>0</v>
      </c>
      <c r="FG33" s="129" t="str">
        <f t="shared" si="56"/>
        <v/>
      </c>
      <c r="FJ33" s="315">
        <f t="shared" si="57"/>
        <v>1</v>
      </c>
      <c r="FK33" s="129">
        <f t="shared" si="17"/>
        <v>10</v>
      </c>
      <c r="FL33" s="129">
        <f t="shared" si="35"/>
        <v>1</v>
      </c>
      <c r="FN33" s="129">
        <f>+IF(AND($DP$8&lt;&gt;52,AR33=S.CAL!$BJ$4),10,1)</f>
        <v>1</v>
      </c>
      <c r="FP33" s="129">
        <f t="shared" si="18"/>
        <v>0</v>
      </c>
      <c r="FS33" s="223" t="str">
        <f t="shared" si="60"/>
        <v/>
      </c>
      <c r="FZ33" s="129">
        <f t="shared" si="37"/>
        <v>3</v>
      </c>
      <c r="GA33" s="129">
        <f t="shared" si="38"/>
        <v>2026</v>
      </c>
      <c r="GB33" s="129" t="str">
        <f t="shared" si="39"/>
        <v>32026</v>
      </c>
      <c r="GC33" s="223">
        <f>IF(AND($GD$53=S.CAL!$P$3,$GD$52=FZ33),GE33,IF(BH33="",0,BH33))</f>
        <v>0</v>
      </c>
      <c r="GD33" s="129" t="str">
        <f>IFERROR(+Février!$BY$2&amp;BL33&amp;BM33,0)</f>
        <v>Fiche infoA3</v>
      </c>
      <c r="GE33" s="129" t="str">
        <f t="shared" si="19"/>
        <v/>
      </c>
      <c r="GF33" s="223" t="str">
        <f t="shared" si="40"/>
        <v/>
      </c>
      <c r="GG33" s="1446" t="str">
        <f>+'Retenue Janv'!D31</f>
        <v/>
      </c>
      <c r="GH33" s="1446">
        <f>IF(Identification!$B$132="Non",'Retenue Janv'!BF31,'Retenue Janv'!BE31)</f>
        <v>0</v>
      </c>
      <c r="GI33" s="1446"/>
      <c r="GJ33" s="1507" t="str">
        <f t="shared" si="41"/>
        <v/>
      </c>
      <c r="GK33" s="223" t="str">
        <f t="shared" si="42"/>
        <v/>
      </c>
      <c r="GL33" s="223" t="str">
        <f t="shared" si="43"/>
        <v/>
      </c>
      <c r="GM33" s="1506">
        <f t="shared" si="44"/>
        <v>0</v>
      </c>
      <c r="GN33" s="1446"/>
      <c r="GO33" s="1446">
        <f t="shared" si="20"/>
        <v>0</v>
      </c>
      <c r="GP33" s="1446" t="str">
        <f t="shared" si="45"/>
        <v/>
      </c>
      <c r="GQ33" s="1446" t="str">
        <f t="shared" si="46"/>
        <v/>
      </c>
      <c r="GR33" s="1446"/>
      <c r="GS33" s="1446"/>
      <c r="GT33" s="1446"/>
      <c r="GU33" s="1446"/>
      <c r="GV33" s="1446"/>
    </row>
    <row r="34" spans="1:204"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73"/>
      <c r="Y34" s="273"/>
      <c r="Z34" s="273"/>
      <c r="AA34" s="885" t="str">
        <f>IF(AND(BE34="OUI",$AR$13=S.CAL!$CU$2),"►",IF(AND(EV34="OUI",$AR$13=S.CAL!$CU$3),"►",""))</f>
        <v/>
      </c>
      <c r="AB34" s="1760">
        <f>+$X$3+14</f>
        <v>46037</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7"/>
        <v/>
      </c>
      <c r="AQ34" s="322"/>
      <c r="AR34" s="1104"/>
      <c r="AS34" s="314">
        <f t="shared" si="3"/>
        <v>0</v>
      </c>
      <c r="AT34" s="1125"/>
      <c r="AU34" s="1125"/>
      <c r="AV34" s="314"/>
      <c r="AW34" s="1791">
        <f t="shared" si="21"/>
        <v>46037</v>
      </c>
      <c r="AX34" s="1761"/>
      <c r="AY34" s="314"/>
      <c r="AZ34" s="1104"/>
      <c r="BA34" s="973"/>
      <c r="BB34" s="543"/>
      <c r="BC34" s="548">
        <f t="shared" si="22"/>
        <v>0</v>
      </c>
      <c r="BD34" s="1104"/>
      <c r="BE34" s="807">
        <f t="shared" si="23"/>
        <v>0</v>
      </c>
      <c r="BF34" s="1128"/>
      <c r="BG34" s="222"/>
      <c r="BH34" s="548" t="str">
        <f t="shared" si="24"/>
        <v/>
      </c>
      <c r="BI34" s="1128"/>
      <c r="BJ34" s="129" t="str">
        <f t="shared" si="25"/>
        <v>Fiche infoA4</v>
      </c>
      <c r="BK34" s="129">
        <f t="shared" si="48"/>
        <v>3</v>
      </c>
      <c r="BL34" s="129" t="str">
        <f t="shared" si="4"/>
        <v>A</v>
      </c>
      <c r="BM34" s="129">
        <f t="shared" si="49"/>
        <v>4</v>
      </c>
      <c r="BN34" s="223" t="str">
        <f t="shared" si="59"/>
        <v>Fiche info</v>
      </c>
      <c r="BO34" s="314" t="str">
        <f t="shared" si="50"/>
        <v/>
      </c>
      <c r="BP34" s="196" t="str">
        <f t="shared" si="51"/>
        <v/>
      </c>
      <c r="BQ34" s="566"/>
      <c r="BZ34" s="658" t="s">
        <v>441</v>
      </c>
      <c r="CA34" s="659">
        <f ca="1">+IF(AND(DP14=1,OR(DP29="NON",DP29=0)),0,SUM(CA28:CA33))</f>
        <v>0</v>
      </c>
      <c r="DJ34" s="402" t="s">
        <v>156</v>
      </c>
      <c r="DK34" s="738">
        <f ca="1">+ROUND(DK30*0.9825*2.9/100,2)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2"/>
        <v>46037</v>
      </c>
      <c r="ER34" s="749">
        <f t="shared" si="10"/>
        <v>0</v>
      </c>
      <c r="ES34" s="750">
        <f t="shared" si="11"/>
        <v>0</v>
      </c>
      <c r="ET34" s="749">
        <f t="shared" si="12"/>
        <v>0</v>
      </c>
      <c r="EU34" s="750">
        <f t="shared" si="13"/>
        <v>0</v>
      </c>
      <c r="EV34" s="749" t="str">
        <f t="shared" si="14"/>
        <v/>
      </c>
      <c r="EW34" s="751">
        <f t="shared" si="28"/>
        <v>46037</v>
      </c>
      <c r="EX34" s="759" t="str">
        <f>IFERROR(IF(AND(AZ34="",AR34&lt;&gt;S.CAL!$BJ$3,AR34&lt;&gt;S.CAL!$BJ$4),FS34-BC34,IF(AZ34&lt;&gt;0,AZ34,IF(OR(AR34=S.CAL!$BJ$3,AR34=S.CAL!$BJ$4),AR34,0))),"")</f>
        <v/>
      </c>
      <c r="EY34" s="753">
        <f t="shared" si="53"/>
        <v>0</v>
      </c>
      <c r="EZ34" s="736">
        <f t="shared" si="54"/>
        <v>0</v>
      </c>
      <c r="FA34" s="759" t="str">
        <f t="shared" si="31"/>
        <v/>
      </c>
      <c r="FB34" s="754" t="str">
        <f t="shared" si="15"/>
        <v/>
      </c>
      <c r="FC34" s="315" t="str">
        <f t="shared" si="55"/>
        <v>non</v>
      </c>
      <c r="FD34" s="760">
        <f t="shared" si="16"/>
        <v>0</v>
      </c>
      <c r="FG34" s="129" t="str">
        <f t="shared" si="56"/>
        <v/>
      </c>
      <c r="FJ34" s="315">
        <f t="shared" si="57"/>
        <v>1</v>
      </c>
      <c r="FK34" s="129">
        <f t="shared" si="17"/>
        <v>10</v>
      </c>
      <c r="FL34" s="129">
        <f t="shared" si="35"/>
        <v>1</v>
      </c>
      <c r="FN34" s="129">
        <f>+IF(AND($DP$8&lt;&gt;52,AR34=S.CAL!$BJ$4),10,1)</f>
        <v>1</v>
      </c>
      <c r="FP34" s="129">
        <f t="shared" si="18"/>
        <v>0</v>
      </c>
      <c r="FS34" s="223" t="str">
        <f t="shared" si="60"/>
        <v/>
      </c>
      <c r="FZ34" s="129">
        <f t="shared" si="37"/>
        <v>3</v>
      </c>
      <c r="GA34" s="129">
        <f t="shared" si="38"/>
        <v>2026</v>
      </c>
      <c r="GB34" s="129" t="str">
        <f t="shared" si="39"/>
        <v>32026</v>
      </c>
      <c r="GC34" s="223">
        <f>IF(AND($GD$53=S.CAL!$P$3,$GD$52=FZ34),GE34,IF(BH34="",0,BH34))</f>
        <v>0</v>
      </c>
      <c r="GD34" s="129" t="str">
        <f>IFERROR(+Février!$BY$2&amp;BL34&amp;BM34,0)</f>
        <v>Fiche infoA4</v>
      </c>
      <c r="GE34" s="129" t="str">
        <f t="shared" si="19"/>
        <v/>
      </c>
      <c r="GF34" s="223" t="str">
        <f t="shared" si="40"/>
        <v/>
      </c>
      <c r="GG34" s="1446" t="str">
        <f>+'Retenue Janv'!D32</f>
        <v/>
      </c>
      <c r="GH34" s="1446">
        <f>IF(Identification!$B$132="Non",'Retenue Janv'!BF32,'Retenue Janv'!BE32)</f>
        <v>0</v>
      </c>
      <c r="GI34" s="1446"/>
      <c r="GJ34" s="1507" t="str">
        <f t="shared" si="41"/>
        <v/>
      </c>
      <c r="GK34" s="223" t="str">
        <f t="shared" si="42"/>
        <v/>
      </c>
      <c r="GL34" s="223" t="str">
        <f t="shared" si="43"/>
        <v/>
      </c>
      <c r="GM34" s="1506">
        <f t="shared" si="44"/>
        <v>0</v>
      </c>
      <c r="GN34" s="1446"/>
      <c r="GO34" s="1446">
        <f t="shared" si="20"/>
        <v>0</v>
      </c>
      <c r="GP34" s="1446" t="str">
        <f t="shared" si="45"/>
        <v/>
      </c>
      <c r="GQ34" s="1446" t="str">
        <f t="shared" si="46"/>
        <v/>
      </c>
      <c r="GR34" s="1446"/>
      <c r="GS34" s="1446"/>
      <c r="GT34" s="1446"/>
      <c r="GU34" s="1446"/>
      <c r="GV34" s="1446"/>
    </row>
    <row r="35" spans="1:204" x14ac:dyDescent="0.2">
      <c r="L35" s="2130" t="s">
        <v>51</v>
      </c>
      <c r="M35" s="2131"/>
      <c r="N35" s="2131"/>
      <c r="O35" s="2131"/>
      <c r="P35" s="2131"/>
      <c r="Q35" s="2131"/>
      <c r="R35" s="2131"/>
      <c r="S35" s="2132"/>
      <c r="T35" s="2106">
        <f ca="1">+ROUND(SUM(T18:W34),2)</f>
        <v>0</v>
      </c>
      <c r="U35" s="2107"/>
      <c r="V35" s="2107"/>
      <c r="W35" s="2108"/>
      <c r="X35" s="273"/>
      <c r="Y35" s="273"/>
      <c r="Z35" s="273"/>
      <c r="AA35" s="885" t="str">
        <f>IF(AND(BE35="OUI",$AR$13=S.CAL!$CU$2),"►",IF(AND(EV35="OUI",$AR$13=S.CAL!$CU$3),"►",""))</f>
        <v/>
      </c>
      <c r="AB35" s="1760">
        <f>+$X$3+15</f>
        <v>46038</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7"/>
        <v/>
      </c>
      <c r="AQ35" s="322"/>
      <c r="AR35" s="1104"/>
      <c r="AS35" s="314">
        <f t="shared" si="3"/>
        <v>0</v>
      </c>
      <c r="AT35" s="1125"/>
      <c r="AU35" s="1125"/>
      <c r="AV35" s="314"/>
      <c r="AW35" s="1791">
        <f t="shared" si="21"/>
        <v>46038</v>
      </c>
      <c r="AX35" s="1761"/>
      <c r="AY35" s="314"/>
      <c r="AZ35" s="1104"/>
      <c r="BA35" s="973"/>
      <c r="BB35" s="543"/>
      <c r="BC35" s="548">
        <f t="shared" si="22"/>
        <v>0</v>
      </c>
      <c r="BD35" s="1104"/>
      <c r="BE35" s="807">
        <f t="shared" si="23"/>
        <v>0</v>
      </c>
      <c r="BF35" s="1128"/>
      <c r="BG35" s="222"/>
      <c r="BH35" s="548" t="str">
        <f t="shared" si="24"/>
        <v/>
      </c>
      <c r="BI35" s="1128"/>
      <c r="BJ35" s="129" t="str">
        <f t="shared" si="25"/>
        <v>Fiche infoA5</v>
      </c>
      <c r="BK35" s="129">
        <f t="shared" si="48"/>
        <v>3</v>
      </c>
      <c r="BL35" s="129" t="str">
        <f t="shared" si="4"/>
        <v>A</v>
      </c>
      <c r="BM35" s="129">
        <f t="shared" si="49"/>
        <v>5</v>
      </c>
      <c r="BN35" s="223" t="str">
        <f t="shared" si="59"/>
        <v>Fiche info</v>
      </c>
      <c r="BO35" s="314" t="str">
        <f t="shared" si="50"/>
        <v/>
      </c>
      <c r="BP35" s="196" t="str">
        <f t="shared" si="51"/>
        <v/>
      </c>
      <c r="BQ35" s="566"/>
      <c r="CA35" s="566"/>
      <c r="CB35" s="566"/>
      <c r="CC35" s="566"/>
      <c r="CD35" s="56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2"/>
        <v>46038</v>
      </c>
      <c r="ER35" s="749">
        <f t="shared" si="10"/>
        <v>0</v>
      </c>
      <c r="ES35" s="750">
        <f t="shared" si="11"/>
        <v>0</v>
      </c>
      <c r="ET35" s="749">
        <f t="shared" si="12"/>
        <v>0</v>
      </c>
      <c r="EU35" s="750">
        <f t="shared" si="13"/>
        <v>0</v>
      </c>
      <c r="EV35" s="749" t="str">
        <f t="shared" si="14"/>
        <v/>
      </c>
      <c r="EW35" s="751">
        <f t="shared" si="28"/>
        <v>46038</v>
      </c>
      <c r="EX35" s="759" t="str">
        <f>IFERROR(IF(AND(AZ35="",AR35&lt;&gt;S.CAL!$BJ$3,AR35&lt;&gt;S.CAL!$BJ$4),FS35-BC35,IF(AZ35&lt;&gt;0,AZ35,IF(OR(AR35=S.CAL!$BJ$3,AR35=S.CAL!$BJ$4),AR35,0))),"")</f>
        <v/>
      </c>
      <c r="EY35" s="753">
        <f t="shared" si="53"/>
        <v>0</v>
      </c>
      <c r="EZ35" s="736">
        <f t="shared" si="54"/>
        <v>0</v>
      </c>
      <c r="FA35" s="759" t="str">
        <f t="shared" si="31"/>
        <v/>
      </c>
      <c r="FB35" s="754" t="str">
        <f t="shared" si="15"/>
        <v/>
      </c>
      <c r="FC35" s="315" t="str">
        <f t="shared" si="55"/>
        <v>non</v>
      </c>
      <c r="FD35" s="760">
        <f t="shared" si="16"/>
        <v>0</v>
      </c>
      <c r="FG35" s="129" t="str">
        <f t="shared" si="56"/>
        <v/>
      </c>
      <c r="FJ35" s="315">
        <f t="shared" si="57"/>
        <v>1</v>
      </c>
      <c r="FK35" s="129">
        <f t="shared" si="17"/>
        <v>10</v>
      </c>
      <c r="FL35" s="129">
        <f t="shared" si="35"/>
        <v>1</v>
      </c>
      <c r="FN35" s="129">
        <f>+IF(AND($DP$8&lt;&gt;52,AR35=S.CAL!$BJ$4),10,1)</f>
        <v>1</v>
      </c>
      <c r="FP35" s="129">
        <f t="shared" si="18"/>
        <v>0</v>
      </c>
      <c r="FS35" s="223" t="str">
        <f t="shared" si="60"/>
        <v/>
      </c>
      <c r="FZ35" s="129">
        <f t="shared" si="37"/>
        <v>3</v>
      </c>
      <c r="GA35" s="129">
        <f t="shared" si="38"/>
        <v>2026</v>
      </c>
      <c r="GB35" s="129" t="str">
        <f t="shared" si="39"/>
        <v>32026</v>
      </c>
      <c r="GC35" s="223">
        <f>IF(AND($GD$53=S.CAL!$P$3,$GD$52=FZ35),GE35,IF(BH35="",0,BH35))</f>
        <v>0</v>
      </c>
      <c r="GD35" s="129" t="str">
        <f>IFERROR(+Février!$BY$2&amp;BL35&amp;BM35,0)</f>
        <v>Fiche infoA5</v>
      </c>
      <c r="GE35" s="129" t="str">
        <f t="shared" si="19"/>
        <v/>
      </c>
      <c r="GF35" s="223" t="str">
        <f t="shared" si="40"/>
        <v/>
      </c>
      <c r="GG35" s="1446" t="str">
        <f>+'Retenue Janv'!D33</f>
        <v/>
      </c>
      <c r="GH35" s="1446">
        <f>IF(Identification!$B$132="Non",'Retenue Janv'!BF33,'Retenue Janv'!BE33)</f>
        <v>0</v>
      </c>
      <c r="GI35" s="1446"/>
      <c r="GJ35" s="1507" t="str">
        <f t="shared" si="41"/>
        <v/>
      </c>
      <c r="GK35" s="223" t="str">
        <f t="shared" si="42"/>
        <v/>
      </c>
      <c r="GL35" s="223" t="str">
        <f t="shared" si="43"/>
        <v/>
      </c>
      <c r="GM35" s="1506">
        <f t="shared" si="44"/>
        <v>0</v>
      </c>
      <c r="GN35" s="1446"/>
      <c r="GO35" s="1446">
        <f t="shared" si="20"/>
        <v>0</v>
      </c>
      <c r="GP35" s="1446" t="str">
        <f t="shared" si="45"/>
        <v/>
      </c>
      <c r="GQ35" s="1446" t="str">
        <f t="shared" si="46"/>
        <v/>
      </c>
      <c r="GR35" s="1446"/>
      <c r="GS35" s="1446"/>
      <c r="GT35" s="1446"/>
      <c r="GU35" s="1446"/>
      <c r="GV35" s="1446"/>
    </row>
    <row r="36" spans="1:204" x14ac:dyDescent="0.2">
      <c r="X36" s="226"/>
      <c r="Y36" s="226"/>
      <c r="Z36" s="226"/>
      <c r="AA36" s="885" t="str">
        <f>IF(AND(BE36="OUI",$AR$13=S.CAL!$CU$2),"►",IF(AND(EV36="OUI",$AR$13=S.CAL!$CU$3),"►",""))</f>
        <v/>
      </c>
      <c r="AB36" s="1760">
        <f>+$X$3+16</f>
        <v>46039</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7"/>
        <v/>
      </c>
      <c r="AQ36" s="322"/>
      <c r="AR36" s="1104"/>
      <c r="AS36" s="314">
        <f t="shared" si="3"/>
        <v>0</v>
      </c>
      <c r="AT36" s="1125"/>
      <c r="AU36" s="1125"/>
      <c r="AV36" s="314"/>
      <c r="AW36" s="1791">
        <f t="shared" si="21"/>
        <v>46039</v>
      </c>
      <c r="AX36" s="1761"/>
      <c r="AY36" s="314"/>
      <c r="AZ36" s="1104"/>
      <c r="BA36" s="973"/>
      <c r="BB36" s="543"/>
      <c r="BC36" s="548">
        <f t="shared" si="22"/>
        <v>0</v>
      </c>
      <c r="BD36" s="1104"/>
      <c r="BE36" s="807">
        <f t="shared" si="23"/>
        <v>0</v>
      </c>
      <c r="BF36" s="1128"/>
      <c r="BG36" s="222"/>
      <c r="BH36" s="548" t="str">
        <f t="shared" si="24"/>
        <v/>
      </c>
      <c r="BI36" s="1128"/>
      <c r="BJ36" s="129" t="str">
        <f t="shared" si="25"/>
        <v>Fiche infoA6</v>
      </c>
      <c r="BK36" s="129">
        <f t="shared" si="48"/>
        <v>3</v>
      </c>
      <c r="BL36" s="129" t="str">
        <f t="shared" si="4"/>
        <v>A</v>
      </c>
      <c r="BM36" s="129">
        <f t="shared" si="49"/>
        <v>6</v>
      </c>
      <c r="BN36" s="223" t="str">
        <f t="shared" si="59"/>
        <v>Fiche info</v>
      </c>
      <c r="BO36" s="314" t="str">
        <f t="shared" si="50"/>
        <v/>
      </c>
      <c r="BP36" s="196" t="str">
        <f t="shared" si="51"/>
        <v/>
      </c>
      <c r="BQ36" s="2105" t="s">
        <v>1051</v>
      </c>
      <c r="BR36" s="2105"/>
      <c r="BS36" s="2105"/>
      <c r="BT36" s="2105"/>
      <c r="BU36" s="2105"/>
      <c r="BV36" s="2105"/>
      <c r="BW36" s="2105"/>
      <c r="BX36" s="2105"/>
      <c r="BY36" s="2105"/>
      <c r="BZ36" s="2105"/>
      <c r="CA36" s="2105"/>
      <c r="CB36" s="566"/>
      <c r="CC36" s="566"/>
      <c r="CD36" s="566"/>
      <c r="DJ36" s="402" t="s">
        <v>158</v>
      </c>
      <c r="DK36" s="738" t="e">
        <f ca="1">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2"/>
        <v>46039</v>
      </c>
      <c r="ER36" s="749">
        <f t="shared" si="10"/>
        <v>0</v>
      </c>
      <c r="ES36" s="750">
        <f t="shared" si="11"/>
        <v>0</v>
      </c>
      <c r="ET36" s="749">
        <f t="shared" si="12"/>
        <v>0</v>
      </c>
      <c r="EU36" s="750">
        <f t="shared" si="13"/>
        <v>0</v>
      </c>
      <c r="EV36" s="749" t="str">
        <f t="shared" si="14"/>
        <v/>
      </c>
      <c r="EW36" s="751">
        <f t="shared" si="28"/>
        <v>46039</v>
      </c>
      <c r="EX36" s="759" t="str">
        <f>IFERROR(IF(AND(AZ36="",AR36&lt;&gt;S.CAL!$BJ$3,AR36&lt;&gt;S.CAL!$BJ$4),FS36-BC36,IF(AZ36&lt;&gt;0,AZ36,IF(OR(AR36=S.CAL!$BJ$3,AR36=S.CAL!$BJ$4),AR36,0))),"")</f>
        <v/>
      </c>
      <c r="EY36" s="753">
        <f t="shared" si="53"/>
        <v>0</v>
      </c>
      <c r="EZ36" s="736">
        <f t="shared" si="54"/>
        <v>0</v>
      </c>
      <c r="FA36" s="759" t="str">
        <f t="shared" si="31"/>
        <v/>
      </c>
      <c r="FB36" s="754" t="str">
        <f t="shared" si="15"/>
        <v/>
      </c>
      <c r="FC36" s="315" t="str">
        <f t="shared" si="55"/>
        <v>non</v>
      </c>
      <c r="FD36" s="760">
        <f t="shared" si="16"/>
        <v>0</v>
      </c>
      <c r="FG36" s="129" t="str">
        <f t="shared" si="56"/>
        <v/>
      </c>
      <c r="FJ36" s="315">
        <f t="shared" si="57"/>
        <v>1</v>
      </c>
      <c r="FK36" s="129">
        <f t="shared" si="17"/>
        <v>10</v>
      </c>
      <c r="FL36" s="129">
        <f t="shared" si="35"/>
        <v>1</v>
      </c>
      <c r="FN36" s="129">
        <f>+IF(AND($DP$8&lt;&gt;52,AR36=S.CAL!$BJ$4),10,1)</f>
        <v>1</v>
      </c>
      <c r="FP36" s="129">
        <f t="shared" si="18"/>
        <v>0</v>
      </c>
      <c r="FS36" s="223" t="str">
        <f t="shared" si="60"/>
        <v/>
      </c>
      <c r="FZ36" s="129">
        <f t="shared" si="37"/>
        <v>3</v>
      </c>
      <c r="GA36" s="129">
        <f t="shared" si="38"/>
        <v>2026</v>
      </c>
      <c r="GB36" s="129" t="str">
        <f t="shared" si="39"/>
        <v>32026</v>
      </c>
      <c r="GC36" s="223">
        <f>IF(AND($GD$53=S.CAL!$P$3,$GD$52=FZ36),GE36,IF(BH36="",0,BH36))</f>
        <v>0</v>
      </c>
      <c r="GD36" s="129" t="str">
        <f>IFERROR(+Février!$BY$2&amp;BL36&amp;BM36,0)</f>
        <v>Fiche infoA6</v>
      </c>
      <c r="GE36" s="129" t="str">
        <f t="shared" si="19"/>
        <v/>
      </c>
      <c r="GF36" s="223" t="str">
        <f t="shared" si="40"/>
        <v/>
      </c>
      <c r="GG36" s="1446" t="str">
        <f>+'Retenue Janv'!D34</f>
        <v/>
      </c>
      <c r="GH36" s="1446">
        <f>IF(Identification!$B$132="Non",'Retenue Janv'!BF34,'Retenue Janv'!BE34)</f>
        <v>0</v>
      </c>
      <c r="GI36" s="1446"/>
      <c r="GJ36" s="1507" t="str">
        <f t="shared" si="41"/>
        <v/>
      </c>
      <c r="GK36" s="223" t="str">
        <f t="shared" si="42"/>
        <v/>
      </c>
      <c r="GL36" s="223" t="str">
        <f t="shared" si="43"/>
        <v/>
      </c>
      <c r="GM36" s="1506">
        <f t="shared" si="44"/>
        <v>0</v>
      </c>
      <c r="GN36" s="1446"/>
      <c r="GO36" s="1446">
        <f t="shared" si="20"/>
        <v>0</v>
      </c>
      <c r="GP36" s="1446" t="str">
        <f t="shared" si="45"/>
        <v/>
      </c>
      <c r="GQ36" s="1446" t="str">
        <f t="shared" si="46"/>
        <v/>
      </c>
      <c r="GR36" s="1446"/>
      <c r="GS36" s="1446"/>
      <c r="GT36" s="1446"/>
      <c r="GU36" s="1446"/>
      <c r="GV36" s="1446"/>
    </row>
    <row r="37" spans="1:204"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46040</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7"/>
        <v/>
      </c>
      <c r="AQ37" s="322"/>
      <c r="AR37" s="1104"/>
      <c r="AS37" s="314">
        <f t="shared" si="3"/>
        <v>0</v>
      </c>
      <c r="AT37" s="1125"/>
      <c r="AU37" s="1125"/>
      <c r="AV37" s="314"/>
      <c r="AW37" s="1791">
        <f t="shared" si="21"/>
        <v>46040</v>
      </c>
      <c r="AX37" s="1761"/>
      <c r="AY37" s="314"/>
      <c r="AZ37" s="1104"/>
      <c r="BA37" s="973"/>
      <c r="BB37" s="543"/>
      <c r="BC37" s="548">
        <f t="shared" si="22"/>
        <v>0</v>
      </c>
      <c r="BD37" s="1104"/>
      <c r="BE37" s="807">
        <f t="shared" si="23"/>
        <v>0</v>
      </c>
      <c r="BF37" s="1128"/>
      <c r="BG37" s="222"/>
      <c r="BH37" s="548" t="str">
        <f t="shared" si="24"/>
        <v/>
      </c>
      <c r="BI37" s="1128"/>
      <c r="BJ37" s="129" t="str">
        <f t="shared" si="25"/>
        <v>Fiche infoA7</v>
      </c>
      <c r="BK37" s="129">
        <f t="shared" si="48"/>
        <v>3</v>
      </c>
      <c r="BL37" s="129" t="str">
        <f t="shared" si="4"/>
        <v>A</v>
      </c>
      <c r="BM37" s="129">
        <f t="shared" si="49"/>
        <v>7</v>
      </c>
      <c r="BN37" s="223" t="str">
        <f t="shared" si="59"/>
        <v>Fiche info</v>
      </c>
      <c r="BO37" s="314" t="str">
        <f t="shared" si="50"/>
        <v/>
      </c>
      <c r="BP37" s="196" t="str">
        <f t="shared" si="51"/>
        <v/>
      </c>
      <c r="BQ37" s="583"/>
      <c r="BR37" s="583"/>
      <c r="BS37" s="583"/>
      <c r="BT37" s="583"/>
      <c r="BU37" s="583"/>
      <c r="BV37" s="583"/>
      <c r="BW37" s="583"/>
      <c r="BX37" s="583"/>
      <c r="BY37" s="583"/>
      <c r="BZ37" s="583"/>
      <c r="CA37" s="583"/>
      <c r="CB37" s="566"/>
      <c r="CC37" s="566"/>
      <c r="CD37" s="56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2"/>
        <v>46040</v>
      </c>
      <c r="ER37" s="749">
        <f t="shared" si="10"/>
        <v>0</v>
      </c>
      <c r="ES37" s="750">
        <f t="shared" si="11"/>
        <v>0</v>
      </c>
      <c r="ET37" s="749">
        <f t="shared" si="12"/>
        <v>0</v>
      </c>
      <c r="EU37" s="750">
        <f t="shared" si="13"/>
        <v>0</v>
      </c>
      <c r="EV37" s="749" t="str">
        <f t="shared" si="14"/>
        <v/>
      </c>
      <c r="EW37" s="751">
        <f t="shared" si="28"/>
        <v>46040</v>
      </c>
      <c r="EX37" s="759" t="str">
        <f>IFERROR(IF(AND(AZ37="",AR37&lt;&gt;S.CAL!$BJ$3,AR37&lt;&gt;S.CAL!$BJ$4),FS37-BC37,IF(AZ37&lt;&gt;0,AZ37,IF(OR(AR37=S.CAL!$BJ$3,AR37=S.CAL!$BJ$4),AR37,0))),"")</f>
        <v/>
      </c>
      <c r="EY37" s="753">
        <f t="shared" si="53"/>
        <v>0</v>
      </c>
      <c r="EZ37" s="736">
        <f t="shared" si="54"/>
        <v>0</v>
      </c>
      <c r="FA37" s="759" t="str">
        <f t="shared" si="31"/>
        <v/>
      </c>
      <c r="FB37" s="754" t="str">
        <f t="shared" si="15"/>
        <v/>
      </c>
      <c r="FC37" s="315" t="str">
        <f t="shared" si="55"/>
        <v>non</v>
      </c>
      <c r="FD37" s="760">
        <f t="shared" si="16"/>
        <v>0</v>
      </c>
      <c r="FG37" s="129" t="str">
        <f t="shared" si="56"/>
        <v/>
      </c>
      <c r="FJ37" s="315">
        <f t="shared" si="57"/>
        <v>1</v>
      </c>
      <c r="FK37" s="129">
        <f t="shared" si="17"/>
        <v>10</v>
      </c>
      <c r="FL37" s="129">
        <f t="shared" si="35"/>
        <v>1</v>
      </c>
      <c r="FN37" s="129">
        <f>+IF(AND($DP$8&lt;&gt;52,AR37=S.CAL!$BJ$4),10,1)</f>
        <v>1</v>
      </c>
      <c r="FP37" s="129">
        <f t="shared" si="18"/>
        <v>0</v>
      </c>
      <c r="FS37" s="223" t="str">
        <f t="shared" si="60"/>
        <v/>
      </c>
      <c r="FZ37" s="129">
        <f t="shared" si="37"/>
        <v>3</v>
      </c>
      <c r="GA37" s="129">
        <f t="shared" si="38"/>
        <v>2026</v>
      </c>
      <c r="GB37" s="129" t="str">
        <f t="shared" si="39"/>
        <v>32026</v>
      </c>
      <c r="GC37" s="223">
        <f>IF(AND($GD$53=S.CAL!$P$3,$GD$52=FZ37),GE37,IF(BH37="",0,BH37))</f>
        <v>0</v>
      </c>
      <c r="GD37" s="129" t="str">
        <f>IFERROR(+Février!$BY$2&amp;BL37&amp;BM37,0)</f>
        <v>Fiche infoA7</v>
      </c>
      <c r="GE37" s="129" t="str">
        <f t="shared" si="19"/>
        <v/>
      </c>
      <c r="GF37" s="223" t="str">
        <f t="shared" si="40"/>
        <v/>
      </c>
      <c r="GG37" s="1446" t="str">
        <f>+'Retenue Janv'!D35</f>
        <v/>
      </c>
      <c r="GH37" s="1446">
        <f>IF(Identification!$B$132="Non",'Retenue Janv'!BF35,'Retenue Janv'!BE35)</f>
        <v>0</v>
      </c>
      <c r="GI37" s="1446"/>
      <c r="GJ37" s="1507" t="str">
        <f t="shared" si="41"/>
        <v/>
      </c>
      <c r="GK37" s="223" t="str">
        <f t="shared" si="42"/>
        <v/>
      </c>
      <c r="GL37" s="223" t="str">
        <f t="shared" si="43"/>
        <v/>
      </c>
      <c r="GM37" s="1506">
        <f t="shared" si="44"/>
        <v>0</v>
      </c>
      <c r="GN37" s="1446"/>
      <c r="GO37" s="1446">
        <f t="shared" si="20"/>
        <v>0</v>
      </c>
      <c r="GP37" s="1446" t="str">
        <f t="shared" si="45"/>
        <v/>
      </c>
      <c r="GQ37" s="1446" t="str">
        <f t="shared" si="46"/>
        <v/>
      </c>
      <c r="GR37" s="1446"/>
      <c r="GS37" s="1446"/>
      <c r="GT37" s="1446"/>
      <c r="GU37" s="1446"/>
      <c r="GV37" s="1446"/>
    </row>
    <row r="38" spans="1:204"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46041</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f t="shared" si="47"/>
        <v>4</v>
      </c>
      <c r="AQ38" s="322"/>
      <c r="AR38" s="1104"/>
      <c r="AS38" s="314">
        <f t="shared" si="3"/>
        <v>0</v>
      </c>
      <c r="AT38" s="1125"/>
      <c r="AU38" s="1125"/>
      <c r="AV38" s="314"/>
      <c r="AW38" s="1791">
        <f t="shared" si="21"/>
        <v>46041</v>
      </c>
      <c r="AX38" s="1761"/>
      <c r="AY38" s="314"/>
      <c r="AZ38" s="1104"/>
      <c r="BA38" s="973"/>
      <c r="BB38" s="543"/>
      <c r="BC38" s="548">
        <f t="shared" si="22"/>
        <v>0</v>
      </c>
      <c r="BD38" s="1104"/>
      <c r="BE38" s="807">
        <f t="shared" si="23"/>
        <v>0</v>
      </c>
      <c r="BF38" s="1128"/>
      <c r="BG38" s="222"/>
      <c r="BH38" s="548" t="str">
        <f t="shared" si="24"/>
        <v/>
      </c>
      <c r="BI38" s="1128"/>
      <c r="BJ38" s="129" t="str">
        <f t="shared" si="25"/>
        <v>Fiche infoA1</v>
      </c>
      <c r="BK38" s="129">
        <f t="shared" si="48"/>
        <v>4</v>
      </c>
      <c r="BL38" s="129" t="str">
        <f t="shared" si="4"/>
        <v>A</v>
      </c>
      <c r="BM38" s="129">
        <f t="shared" si="49"/>
        <v>1</v>
      </c>
      <c r="BN38" s="223" t="str">
        <f t="shared" si="59"/>
        <v>Fiche info</v>
      </c>
      <c r="BO38" s="314" t="str">
        <f t="shared" si="50"/>
        <v/>
      </c>
      <c r="BP38" s="196" t="str">
        <f t="shared" si="51"/>
        <v/>
      </c>
      <c r="BQ38" s="583" t="s">
        <v>1044</v>
      </c>
      <c r="BR38" s="583"/>
      <c r="BS38" s="583"/>
      <c r="BT38" s="583"/>
      <c r="BU38" s="583"/>
      <c r="BV38" s="583"/>
      <c r="BW38" s="583"/>
      <c r="BX38" s="583"/>
      <c r="BY38" s="583"/>
      <c r="BZ38" s="583"/>
      <c r="CA38" s="583"/>
      <c r="CB38" s="566"/>
      <c r="CC38" s="566"/>
      <c r="CD38" s="56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2"/>
        <v>46041</v>
      </c>
      <c r="ER38" s="749">
        <f t="shared" si="10"/>
        <v>0</v>
      </c>
      <c r="ES38" s="750">
        <f t="shared" si="11"/>
        <v>0</v>
      </c>
      <c r="ET38" s="749">
        <f t="shared" si="12"/>
        <v>0</v>
      </c>
      <c r="EU38" s="750">
        <f t="shared" si="13"/>
        <v>0</v>
      </c>
      <c r="EV38" s="749" t="str">
        <f t="shared" si="14"/>
        <v/>
      </c>
      <c r="EW38" s="751">
        <f t="shared" si="28"/>
        <v>46041</v>
      </c>
      <c r="EX38" s="759" t="str">
        <f>IFERROR(IF(AND(AZ38="",AR38&lt;&gt;S.CAL!$BJ$3,AR38&lt;&gt;S.CAL!$BJ$4),FS38-BC38,IF(AZ38&lt;&gt;0,AZ38,IF(OR(AR38=S.CAL!$BJ$3,AR38=S.CAL!$BJ$4),AR38,0))),"")</f>
        <v/>
      </c>
      <c r="EY38" s="753">
        <f t="shared" si="53"/>
        <v>0</v>
      </c>
      <c r="EZ38" s="736">
        <f t="shared" si="54"/>
        <v>0</v>
      </c>
      <c r="FA38" s="759" t="str">
        <f t="shared" si="31"/>
        <v/>
      </c>
      <c r="FB38" s="754" t="str">
        <f t="shared" si="15"/>
        <v/>
      </c>
      <c r="FC38" s="315" t="str">
        <f t="shared" si="55"/>
        <v>non</v>
      </c>
      <c r="FD38" s="760">
        <f t="shared" si="16"/>
        <v>0</v>
      </c>
      <c r="FG38" s="129" t="str">
        <f t="shared" si="56"/>
        <v/>
      </c>
      <c r="FJ38" s="315">
        <f t="shared" si="57"/>
        <v>1</v>
      </c>
      <c r="FK38" s="129">
        <f t="shared" si="17"/>
        <v>10</v>
      </c>
      <c r="FL38" s="129">
        <f t="shared" si="35"/>
        <v>1</v>
      </c>
      <c r="FN38" s="129">
        <f>+IF(AND($DP$8&lt;&gt;52,AR38=S.CAL!$BJ$4),10,1)</f>
        <v>1</v>
      </c>
      <c r="FP38" s="129">
        <f t="shared" si="18"/>
        <v>0</v>
      </c>
      <c r="FS38" s="223" t="str">
        <f t="shared" si="60"/>
        <v/>
      </c>
      <c r="FZ38" s="129">
        <f t="shared" si="37"/>
        <v>4</v>
      </c>
      <c r="GA38" s="129">
        <f t="shared" si="38"/>
        <v>2026</v>
      </c>
      <c r="GB38" s="129" t="str">
        <f t="shared" si="39"/>
        <v>42026</v>
      </c>
      <c r="GC38" s="223">
        <f>IF(AND($GD$53=S.CAL!$P$3,$GD$52=FZ38),GE38,IF(BH38="",0,BH38))</f>
        <v>0</v>
      </c>
      <c r="GD38" s="129" t="str">
        <f>IFERROR(+Février!$BY$2&amp;BL38&amp;BM38,0)</f>
        <v>Fiche infoA1</v>
      </c>
      <c r="GE38" s="129" t="str">
        <f t="shared" si="19"/>
        <v/>
      </c>
      <c r="GF38" s="223" t="str">
        <f t="shared" si="40"/>
        <v/>
      </c>
      <c r="GG38" s="1446" t="str">
        <f>+'Retenue Janv'!D36</f>
        <v/>
      </c>
      <c r="GH38" s="1446">
        <f>IF(Identification!$B$132="Non",'Retenue Janv'!BF36,'Retenue Janv'!BE36)</f>
        <v>0</v>
      </c>
      <c r="GI38" s="1446"/>
      <c r="GJ38" s="1507" t="str">
        <f t="shared" si="41"/>
        <v/>
      </c>
      <c r="GK38" s="223" t="str">
        <f t="shared" si="42"/>
        <v/>
      </c>
      <c r="GL38" s="223" t="str">
        <f t="shared" si="43"/>
        <v/>
      </c>
      <c r="GM38" s="1506">
        <f t="shared" si="44"/>
        <v>0</v>
      </c>
      <c r="GN38" s="1446"/>
      <c r="GO38" s="1446">
        <f t="shared" si="20"/>
        <v>0</v>
      </c>
      <c r="GP38" s="1446" t="str">
        <f t="shared" si="45"/>
        <v/>
      </c>
      <c r="GQ38" s="1446" t="str">
        <f t="shared" si="46"/>
        <v/>
      </c>
      <c r="GR38" s="1446"/>
      <c r="GS38" s="1446"/>
      <c r="GT38" s="1446"/>
      <c r="GU38" s="1446"/>
      <c r="GV38" s="1446"/>
    </row>
    <row r="39" spans="1:204"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46042</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7"/>
        <v/>
      </c>
      <c r="AQ39" s="322"/>
      <c r="AR39" s="1104"/>
      <c r="AS39" s="314">
        <f t="shared" si="3"/>
        <v>0</v>
      </c>
      <c r="AT39" s="1125"/>
      <c r="AU39" s="1125"/>
      <c r="AV39" s="314"/>
      <c r="AW39" s="1791">
        <f t="shared" si="21"/>
        <v>46042</v>
      </c>
      <c r="AX39" s="1761"/>
      <c r="AY39" s="314"/>
      <c r="AZ39" s="1104"/>
      <c r="BA39" s="973"/>
      <c r="BB39" s="543"/>
      <c r="BC39" s="548">
        <f t="shared" si="22"/>
        <v>0</v>
      </c>
      <c r="BD39" s="1104"/>
      <c r="BE39" s="807">
        <f t="shared" si="23"/>
        <v>0</v>
      </c>
      <c r="BF39" s="1128"/>
      <c r="BG39" s="222"/>
      <c r="BH39" s="548" t="str">
        <f t="shared" si="24"/>
        <v/>
      </c>
      <c r="BI39" s="1128"/>
      <c r="BJ39" s="129" t="str">
        <f t="shared" si="25"/>
        <v>Fiche infoA2</v>
      </c>
      <c r="BK39" s="129">
        <f t="shared" si="48"/>
        <v>4</v>
      </c>
      <c r="BL39" s="129" t="str">
        <f t="shared" si="4"/>
        <v>A</v>
      </c>
      <c r="BM39" s="129">
        <f t="shared" si="49"/>
        <v>2</v>
      </c>
      <c r="BN39" s="223" t="str">
        <f t="shared" si="59"/>
        <v>Fiche info</v>
      </c>
      <c r="BO39" s="314" t="str">
        <f t="shared" si="50"/>
        <v/>
      </c>
      <c r="BP39" s="196" t="str">
        <f t="shared" si="51"/>
        <v/>
      </c>
      <c r="BQ39" s="583" t="s">
        <v>1045</v>
      </c>
      <c r="BR39" s="582"/>
      <c r="BS39" s="582"/>
      <c r="BT39" s="582"/>
      <c r="BU39" s="582"/>
      <c r="BV39" s="583"/>
      <c r="BW39" s="583"/>
      <c r="BX39" s="583"/>
      <c r="BY39" s="583"/>
      <c r="BZ39" s="583"/>
      <c r="CA39" s="583"/>
      <c r="CB39" s="566"/>
      <c r="CC39" s="566"/>
      <c r="CD39" s="56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2"/>
        <v>46042</v>
      </c>
      <c r="ER39" s="749">
        <f t="shared" si="10"/>
        <v>0</v>
      </c>
      <c r="ES39" s="750">
        <f t="shared" si="11"/>
        <v>0</v>
      </c>
      <c r="ET39" s="749">
        <f t="shared" si="12"/>
        <v>0</v>
      </c>
      <c r="EU39" s="750">
        <f t="shared" si="13"/>
        <v>0</v>
      </c>
      <c r="EV39" s="749" t="str">
        <f t="shared" si="14"/>
        <v/>
      </c>
      <c r="EW39" s="751">
        <f t="shared" si="28"/>
        <v>46042</v>
      </c>
      <c r="EX39" s="759" t="str">
        <f>IFERROR(IF(AND(AZ39="",AR39&lt;&gt;S.CAL!$BJ$3,AR39&lt;&gt;S.CAL!$BJ$4),FS39-BC39,IF(AZ39&lt;&gt;0,AZ39,IF(OR(AR39=S.CAL!$BJ$3,AR39=S.CAL!$BJ$4),AR39,0))),"")</f>
        <v/>
      </c>
      <c r="EY39" s="753">
        <f t="shared" si="53"/>
        <v>0</v>
      </c>
      <c r="EZ39" s="736">
        <f t="shared" si="54"/>
        <v>0</v>
      </c>
      <c r="FA39" s="759" t="str">
        <f t="shared" si="31"/>
        <v/>
      </c>
      <c r="FB39" s="754" t="str">
        <f t="shared" si="15"/>
        <v/>
      </c>
      <c r="FC39" s="315" t="str">
        <f t="shared" si="55"/>
        <v>non</v>
      </c>
      <c r="FD39" s="760">
        <f t="shared" si="16"/>
        <v>0</v>
      </c>
      <c r="FG39" s="129" t="str">
        <f t="shared" si="56"/>
        <v/>
      </c>
      <c r="FJ39" s="315">
        <f t="shared" si="57"/>
        <v>1</v>
      </c>
      <c r="FK39" s="129">
        <f t="shared" si="17"/>
        <v>10</v>
      </c>
      <c r="FL39" s="129">
        <f t="shared" si="35"/>
        <v>1</v>
      </c>
      <c r="FN39" s="129">
        <f>+IF(AND($DP$8&lt;&gt;52,AR39=S.CAL!$BJ$4),10,1)</f>
        <v>1</v>
      </c>
      <c r="FP39" s="129">
        <f t="shared" si="18"/>
        <v>0</v>
      </c>
      <c r="FS39" s="223" t="str">
        <f t="shared" si="60"/>
        <v/>
      </c>
      <c r="FZ39" s="129">
        <f t="shared" si="37"/>
        <v>4</v>
      </c>
      <c r="GA39" s="129">
        <f t="shared" si="38"/>
        <v>2026</v>
      </c>
      <c r="GB39" s="129" t="str">
        <f t="shared" si="39"/>
        <v>42026</v>
      </c>
      <c r="GC39" s="223">
        <f>IF(AND($GD$53=S.CAL!$P$3,$GD$52=FZ39),GE39,IF(BH39="",0,BH39))</f>
        <v>0</v>
      </c>
      <c r="GD39" s="129" t="str">
        <f>IFERROR(+Février!$BY$2&amp;BL39&amp;BM39,0)</f>
        <v>Fiche infoA2</v>
      </c>
      <c r="GE39" s="129" t="str">
        <f t="shared" si="19"/>
        <v/>
      </c>
      <c r="GF39" s="223" t="str">
        <f t="shared" si="40"/>
        <v/>
      </c>
      <c r="GG39" s="1446" t="str">
        <f>+'Retenue Janv'!D37</f>
        <v/>
      </c>
      <c r="GH39" s="1446">
        <f>IF(Identification!$B$132="Non",'Retenue Janv'!BF37,'Retenue Janv'!BE37)</f>
        <v>0</v>
      </c>
      <c r="GI39" s="1446"/>
      <c r="GJ39" s="1507" t="str">
        <f t="shared" si="41"/>
        <v/>
      </c>
      <c r="GK39" s="223" t="str">
        <f t="shared" si="42"/>
        <v/>
      </c>
      <c r="GL39" s="223" t="str">
        <f t="shared" si="43"/>
        <v/>
      </c>
      <c r="GM39" s="1506">
        <f t="shared" si="44"/>
        <v>0</v>
      </c>
      <c r="GN39" s="1446"/>
      <c r="GO39" s="1446">
        <f t="shared" si="20"/>
        <v>0</v>
      </c>
      <c r="GP39" s="1446" t="str">
        <f t="shared" si="45"/>
        <v/>
      </c>
      <c r="GQ39" s="1446" t="str">
        <f t="shared" si="46"/>
        <v/>
      </c>
      <c r="GR39" s="1446"/>
      <c r="GS39" s="1446"/>
      <c r="GT39" s="1446"/>
      <c r="GU39" s="1446"/>
      <c r="GV39" s="1446"/>
    </row>
    <row r="40" spans="1:204" x14ac:dyDescent="0.2">
      <c r="A40" s="2121" t="str">
        <f>Taux_cotisations!A9</f>
        <v>Santé :</v>
      </c>
      <c r="B40" s="2122"/>
      <c r="C40" s="2122"/>
      <c r="D40" s="2122"/>
      <c r="E40" s="2122"/>
      <c r="F40" s="2122"/>
      <c r="G40" s="2123"/>
      <c r="H40" s="2118"/>
      <c r="I40" s="2119"/>
      <c r="J40" s="2120"/>
      <c r="K40" s="2109"/>
      <c r="L40" s="2110"/>
      <c r="M40" s="2111"/>
      <c r="N40" s="1788"/>
      <c r="O40" s="1789"/>
      <c r="P40" s="1790"/>
      <c r="Q40" s="204"/>
      <c r="R40" s="1745"/>
      <c r="S40" s="1746"/>
      <c r="T40" s="1747"/>
      <c r="U40" s="2215"/>
      <c r="V40" s="2216"/>
      <c r="W40" s="2217"/>
      <c r="X40" s="2218"/>
      <c r="Y40" s="2219"/>
      <c r="Z40" s="2220"/>
      <c r="AA40" s="885" t="str">
        <f>IF(AND(BE40="OUI",$AR$13=S.CAL!$CU$2),"►",IF(AND(EV40="OUI",$AR$13=S.CAL!$CU$3),"►",""))</f>
        <v/>
      </c>
      <c r="AB40" s="1760">
        <f>+$X$3+20</f>
        <v>46043</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7"/>
        <v/>
      </c>
      <c r="AQ40" s="322"/>
      <c r="AR40" s="1104"/>
      <c r="AS40" s="314">
        <f t="shared" si="3"/>
        <v>0</v>
      </c>
      <c r="AT40" s="1125"/>
      <c r="AU40" s="1125"/>
      <c r="AV40" s="314"/>
      <c r="AW40" s="1791">
        <f t="shared" si="21"/>
        <v>46043</v>
      </c>
      <c r="AX40" s="1761"/>
      <c r="AY40" s="314"/>
      <c r="AZ40" s="1104"/>
      <c r="BA40" s="973"/>
      <c r="BB40" s="543"/>
      <c r="BC40" s="548">
        <f t="shared" si="22"/>
        <v>0</v>
      </c>
      <c r="BD40" s="1104"/>
      <c r="BE40" s="807">
        <f t="shared" si="23"/>
        <v>0</v>
      </c>
      <c r="BF40" s="1128"/>
      <c r="BG40" s="222"/>
      <c r="BH40" s="548" t="str">
        <f t="shared" si="24"/>
        <v/>
      </c>
      <c r="BI40" s="1128"/>
      <c r="BJ40" s="129" t="str">
        <f t="shared" si="25"/>
        <v>Fiche infoA3</v>
      </c>
      <c r="BK40" s="129">
        <f t="shared" si="48"/>
        <v>4</v>
      </c>
      <c r="BL40" s="129" t="str">
        <f t="shared" si="4"/>
        <v>A</v>
      </c>
      <c r="BM40" s="129">
        <f t="shared" si="49"/>
        <v>3</v>
      </c>
      <c r="BN40" s="223" t="str">
        <f t="shared" si="59"/>
        <v>Fiche info</v>
      </c>
      <c r="BO40" s="314" t="str">
        <f t="shared" si="50"/>
        <v/>
      </c>
      <c r="BP40" s="196" t="str">
        <f t="shared" si="51"/>
        <v/>
      </c>
      <c r="BQ40" s="583"/>
      <c r="BR40" s="583"/>
      <c r="BS40" s="583"/>
      <c r="BT40" s="583"/>
      <c r="BU40" s="583"/>
      <c r="BV40" s="583"/>
      <c r="BW40" s="583"/>
      <c r="BX40" s="583"/>
      <c r="BY40" s="583"/>
      <c r="BZ40" s="583"/>
      <c r="CA40" s="583"/>
      <c r="DJ40" s="402" t="s">
        <v>1172</v>
      </c>
      <c r="DK40" s="741">
        <f>+'Retenue Janv'!P27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2"/>
        <v>46043</v>
      </c>
      <c r="ER40" s="749">
        <f t="shared" si="10"/>
        <v>0</v>
      </c>
      <c r="ES40" s="750">
        <f t="shared" si="11"/>
        <v>0</v>
      </c>
      <c r="ET40" s="749">
        <f t="shared" si="12"/>
        <v>0</v>
      </c>
      <c r="EU40" s="750">
        <f t="shared" si="13"/>
        <v>0</v>
      </c>
      <c r="EV40" s="749" t="str">
        <f t="shared" si="14"/>
        <v/>
      </c>
      <c r="EW40" s="751">
        <f t="shared" si="28"/>
        <v>46043</v>
      </c>
      <c r="EX40" s="759" t="str">
        <f>IFERROR(IF(AND(AZ40="",AR40&lt;&gt;S.CAL!$BJ$3,AR40&lt;&gt;S.CAL!$BJ$4),FS40-BC40,IF(AZ40&lt;&gt;0,AZ40,IF(OR(AR40=S.CAL!$BJ$3,AR40=S.CAL!$BJ$4),AR40,0))),"")</f>
        <v/>
      </c>
      <c r="EY40" s="753">
        <f t="shared" si="53"/>
        <v>0</v>
      </c>
      <c r="EZ40" s="736">
        <f t="shared" si="54"/>
        <v>0</v>
      </c>
      <c r="FA40" s="759" t="str">
        <f t="shared" si="31"/>
        <v/>
      </c>
      <c r="FB40" s="754" t="str">
        <f t="shared" si="15"/>
        <v/>
      </c>
      <c r="FC40" s="315" t="str">
        <f t="shared" si="55"/>
        <v>non</v>
      </c>
      <c r="FD40" s="760">
        <f t="shared" si="16"/>
        <v>0</v>
      </c>
      <c r="FG40" s="129" t="str">
        <f t="shared" si="56"/>
        <v/>
      </c>
      <c r="FJ40" s="315">
        <f t="shared" si="57"/>
        <v>1</v>
      </c>
      <c r="FK40" s="129">
        <f t="shared" si="17"/>
        <v>10</v>
      </c>
      <c r="FL40" s="129">
        <f t="shared" si="35"/>
        <v>1</v>
      </c>
      <c r="FN40" s="129">
        <f>+IF(AND($DP$8&lt;&gt;52,AR40=S.CAL!$BJ$4),10,1)</f>
        <v>1</v>
      </c>
      <c r="FP40" s="129">
        <f t="shared" si="18"/>
        <v>0</v>
      </c>
      <c r="FS40" s="223" t="str">
        <f t="shared" si="60"/>
        <v/>
      </c>
      <c r="FZ40" s="129">
        <f t="shared" si="37"/>
        <v>4</v>
      </c>
      <c r="GA40" s="129">
        <f t="shared" si="38"/>
        <v>2026</v>
      </c>
      <c r="GB40" s="129" t="str">
        <f t="shared" si="39"/>
        <v>42026</v>
      </c>
      <c r="GC40" s="223">
        <f>IF(AND($GD$53=S.CAL!$P$3,$GD$52=FZ40),GE40,IF(BH40="",0,BH40))</f>
        <v>0</v>
      </c>
      <c r="GD40" s="129" t="str">
        <f>IFERROR(+Février!$BY$2&amp;BL40&amp;BM40,0)</f>
        <v>Fiche infoA3</v>
      </c>
      <c r="GE40" s="129" t="str">
        <f t="shared" si="19"/>
        <v/>
      </c>
      <c r="GF40" s="223" t="str">
        <f t="shared" si="40"/>
        <v/>
      </c>
      <c r="GG40" s="1446" t="str">
        <f>+'Retenue Janv'!D38</f>
        <v/>
      </c>
      <c r="GH40" s="1446">
        <f>IF(Identification!$B$132="Non",'Retenue Janv'!BF38,'Retenue Janv'!BE38)</f>
        <v>0</v>
      </c>
      <c r="GI40" s="1446"/>
      <c r="GJ40" s="1507" t="str">
        <f t="shared" si="41"/>
        <v/>
      </c>
      <c r="GK40" s="223" t="str">
        <f t="shared" si="42"/>
        <v/>
      </c>
      <c r="GL40" s="223" t="str">
        <f t="shared" si="43"/>
        <v/>
      </c>
      <c r="GM40" s="1506">
        <f t="shared" si="44"/>
        <v>0</v>
      </c>
      <c r="GN40" s="1446"/>
      <c r="GO40" s="1446">
        <f t="shared" si="20"/>
        <v>0</v>
      </c>
      <c r="GP40" s="1446" t="str">
        <f t="shared" si="45"/>
        <v/>
      </c>
      <c r="GQ40" s="1446" t="str">
        <f t="shared" si="46"/>
        <v/>
      </c>
      <c r="GR40" s="1446"/>
      <c r="GS40" s="1446"/>
      <c r="GT40" s="1446"/>
      <c r="GU40" s="1446"/>
      <c r="GV40" s="1446"/>
    </row>
    <row r="41" spans="1:204" ht="12.75" customHeight="1" x14ac:dyDescent="0.2">
      <c r="A41" s="1850" t="str">
        <f>Taux_cotisations!A10</f>
        <v>Séc. Soc. Maladie invalidité</v>
      </c>
      <c r="B41" s="1851"/>
      <c r="C41" s="1851"/>
      <c r="D41" s="1851"/>
      <c r="E41" s="1851"/>
      <c r="F41" s="1851"/>
      <c r="G41" s="1852"/>
      <c r="H41" s="1736">
        <f ca="1">+T35*INDEX(table_base_coef_salariale,MATCH(A41,Taux_cotisations!$A$75:$A$101,0),MATCH($X$3,Taux_cotisations!$A$75:$M$75,0))</f>
        <v>0</v>
      </c>
      <c r="I41" s="1737"/>
      <c r="J41" s="1738"/>
      <c r="K41" s="1739">
        <f>INDEX(table_taux_salariales,MATCH(A41,Taux_cotisations!$A$6:$A$32,0),MATCH($X$3,Taux_cotisations!$A$6:$M$6,0))</f>
        <v>5.2200000000000003E-2</v>
      </c>
      <c r="L41" s="1740"/>
      <c r="M41" s="1741"/>
      <c r="N41" s="1773">
        <f ca="1">ROUND(K41*H41,4)</f>
        <v>0</v>
      </c>
      <c r="O41" s="1774"/>
      <c r="P41" s="1775"/>
      <c r="Q41" s="221"/>
      <c r="R41" s="1762">
        <f ca="1">+T35*INDEX(table_base_coef_patronale,MATCH(A41,Taux_cotisations!$A$110:$A$136,0),MATCH($X$3,Taux_cotisations!$A$110:$M$110,0))</f>
        <v>0</v>
      </c>
      <c r="S41" s="1763"/>
      <c r="T41" s="1764"/>
      <c r="U41" s="1765">
        <f>INDEX(table_taux_patronales,MATCH(A41,Taux_cotisations!$A$39:$A$65,0),MATCH($X$3,Taux_cotisations!$A$39:$M$39,0))</f>
        <v>5.8000000000000003E-2</v>
      </c>
      <c r="V41" s="1766"/>
      <c r="W41" s="1767"/>
      <c r="X41" s="1757">
        <f ca="1">ROUND(U41*R41,2)</f>
        <v>0</v>
      </c>
      <c r="Y41" s="1758"/>
      <c r="Z41" s="1759"/>
      <c r="AA41" s="885" t="str">
        <f>IF(AND(BE41="OUI",$AR$13=S.CAL!$CU$2),"►",IF(AND(EV41="OUI",$AR$13=S.CAL!$CU$3),"►",""))</f>
        <v/>
      </c>
      <c r="AB41" s="1760">
        <f>+$X$3+21</f>
        <v>46044</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7"/>
        <v/>
      </c>
      <c r="AQ41" s="322"/>
      <c r="AR41" s="1104"/>
      <c r="AS41" s="314">
        <f t="shared" si="3"/>
        <v>0</v>
      </c>
      <c r="AT41" s="1125"/>
      <c r="AU41" s="1125"/>
      <c r="AV41" s="314"/>
      <c r="AW41" s="1791">
        <f t="shared" si="21"/>
        <v>46044</v>
      </c>
      <c r="AX41" s="1761"/>
      <c r="AY41" s="314"/>
      <c r="AZ41" s="1104"/>
      <c r="BA41" s="973"/>
      <c r="BB41" s="543"/>
      <c r="BC41" s="548">
        <f t="shared" si="22"/>
        <v>0</v>
      </c>
      <c r="BD41" s="1104"/>
      <c r="BE41" s="807">
        <f t="shared" si="23"/>
        <v>0</v>
      </c>
      <c r="BF41" s="1128"/>
      <c r="BG41" s="222"/>
      <c r="BH41" s="548" t="str">
        <f t="shared" si="24"/>
        <v/>
      </c>
      <c r="BI41" s="1128"/>
      <c r="BJ41" s="129" t="str">
        <f t="shared" si="25"/>
        <v>Fiche infoA4</v>
      </c>
      <c r="BK41" s="129">
        <f t="shared" si="48"/>
        <v>4</v>
      </c>
      <c r="BL41" s="129" t="str">
        <f t="shared" si="4"/>
        <v>A</v>
      </c>
      <c r="BM41" s="129">
        <f t="shared" si="49"/>
        <v>4</v>
      </c>
      <c r="BN41" s="223" t="str">
        <f t="shared" si="59"/>
        <v>Fiche info</v>
      </c>
      <c r="BO41" s="314" t="str">
        <f t="shared" si="50"/>
        <v/>
      </c>
      <c r="BP41" s="196" t="str">
        <f t="shared" si="51"/>
        <v/>
      </c>
      <c r="BQ41" s="1948" t="s">
        <v>1047</v>
      </c>
      <c r="BR41" s="1948"/>
      <c r="BS41" s="1948"/>
      <c r="BT41" s="1948"/>
      <c r="BU41" s="1948"/>
      <c r="BV41" s="1948"/>
      <c r="BW41" s="603" t="str">
        <f>+BX41</f>
        <v>Non</v>
      </c>
      <c r="BX41" s="1116" t="s">
        <v>32</v>
      </c>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2"/>
        <v>46044</v>
      </c>
      <c r="ER41" s="749">
        <f t="shared" si="10"/>
        <v>0</v>
      </c>
      <c r="ES41" s="750">
        <f t="shared" si="11"/>
        <v>0</v>
      </c>
      <c r="ET41" s="749">
        <f t="shared" si="12"/>
        <v>0</v>
      </c>
      <c r="EU41" s="750">
        <f t="shared" si="13"/>
        <v>0</v>
      </c>
      <c r="EV41" s="749" t="str">
        <f t="shared" si="14"/>
        <v/>
      </c>
      <c r="EW41" s="751">
        <f t="shared" si="28"/>
        <v>46044</v>
      </c>
      <c r="EX41" s="759" t="str">
        <f>IFERROR(IF(AND(AZ41="",AR41&lt;&gt;S.CAL!$BJ$3,AR41&lt;&gt;S.CAL!$BJ$4),FS41-BC41,IF(AZ41&lt;&gt;0,AZ41,IF(OR(AR41=S.CAL!$BJ$3,AR41=S.CAL!$BJ$4),AR41,0))),"")</f>
        <v/>
      </c>
      <c r="EY41" s="753">
        <f t="shared" si="53"/>
        <v>0</v>
      </c>
      <c r="EZ41" s="736">
        <f t="shared" si="54"/>
        <v>0</v>
      </c>
      <c r="FA41" s="759" t="str">
        <f t="shared" si="31"/>
        <v/>
      </c>
      <c r="FB41" s="754" t="str">
        <f t="shared" si="15"/>
        <v/>
      </c>
      <c r="FC41" s="315" t="str">
        <f t="shared" si="55"/>
        <v>non</v>
      </c>
      <c r="FD41" s="760">
        <f t="shared" si="16"/>
        <v>0</v>
      </c>
      <c r="FG41" s="129" t="str">
        <f t="shared" si="56"/>
        <v/>
      </c>
      <c r="FJ41" s="315">
        <f t="shared" si="57"/>
        <v>1</v>
      </c>
      <c r="FK41" s="129">
        <f t="shared" si="17"/>
        <v>10</v>
      </c>
      <c r="FL41" s="129">
        <f t="shared" si="35"/>
        <v>1</v>
      </c>
      <c r="FN41" s="129">
        <f>+IF(AND($DP$8&lt;&gt;52,AR41=S.CAL!$BJ$4),10,1)</f>
        <v>1</v>
      </c>
      <c r="FP41" s="129">
        <f t="shared" si="18"/>
        <v>0</v>
      </c>
      <c r="FS41" s="223" t="str">
        <f t="shared" si="60"/>
        <v/>
      </c>
      <c r="FZ41" s="129">
        <f t="shared" si="37"/>
        <v>4</v>
      </c>
      <c r="GA41" s="129">
        <f t="shared" si="38"/>
        <v>2026</v>
      </c>
      <c r="GB41" s="129" t="str">
        <f t="shared" si="39"/>
        <v>42026</v>
      </c>
      <c r="GC41" s="223">
        <f>IF(AND($GD$53=S.CAL!$P$3,$GD$52=FZ41),GE41,IF(BH41="",0,BH41))</f>
        <v>0</v>
      </c>
      <c r="GD41" s="129" t="str">
        <f>IFERROR(+Février!$BY$2&amp;BL41&amp;BM41,0)</f>
        <v>Fiche infoA4</v>
      </c>
      <c r="GE41" s="129" t="str">
        <f t="shared" si="19"/>
        <v/>
      </c>
      <c r="GF41" s="223" t="str">
        <f t="shared" si="40"/>
        <v/>
      </c>
      <c r="GG41" s="1446" t="str">
        <f>+'Retenue Janv'!D39</f>
        <v/>
      </c>
      <c r="GH41" s="1446">
        <f>IF(Identification!$B$132="Non",'Retenue Janv'!BF39,'Retenue Janv'!BE39)</f>
        <v>0</v>
      </c>
      <c r="GI41" s="1446"/>
      <c r="GJ41" s="1507" t="str">
        <f t="shared" si="41"/>
        <v/>
      </c>
      <c r="GK41" s="223" t="str">
        <f t="shared" si="42"/>
        <v/>
      </c>
      <c r="GL41" s="223" t="str">
        <f t="shared" si="43"/>
        <v/>
      </c>
      <c r="GM41" s="1506">
        <f t="shared" si="44"/>
        <v>0</v>
      </c>
      <c r="GN41" s="1446"/>
      <c r="GO41" s="1446">
        <f t="shared" si="20"/>
        <v>0</v>
      </c>
      <c r="GP41" s="1446" t="str">
        <f t="shared" si="45"/>
        <v/>
      </c>
      <c r="GQ41" s="1446" t="str">
        <f t="shared" si="46"/>
        <v/>
      </c>
      <c r="GR41" s="1446"/>
      <c r="GS41" s="1446"/>
      <c r="GT41" s="1446"/>
      <c r="GU41" s="1446"/>
      <c r="GV41" s="1446"/>
    </row>
    <row r="42" spans="1:204" ht="12.75" customHeight="1" x14ac:dyDescent="0.2">
      <c r="A42" s="1850" t="str">
        <f>Taux_cotisations!A11</f>
        <v>Prévoyance T1</v>
      </c>
      <c r="B42" s="1851"/>
      <c r="C42" s="1851"/>
      <c r="D42" s="1851"/>
      <c r="E42" s="1851"/>
      <c r="F42" s="1851"/>
      <c r="G42" s="1852"/>
      <c r="H42" s="1859">
        <f ca="1">IF(AND(T35&gt;=EG6,T35&gt;0),EG6*INDEX(table_base_coef_salariale,MATCH(A42,Taux_cotisations!$A$75:$A$101,0),MATCH($X$3,Taux_cotisations!$A$75:$M$75,0)),+T35*INDEX(table_base_coef_salariale,MATCH(A42,Taux_cotisations!$A$75:$A$101,0),MATCH($X$3,Taux_cotisations!$A$75:$M$75,0)))</f>
        <v>0</v>
      </c>
      <c r="I42" s="1774"/>
      <c r="J42" s="1860"/>
      <c r="K42" s="1739">
        <f>INDEX(table_taux_salariales,MATCH(A42,Taux_cotisations!$A$6:$A$32,0),MATCH($X$3,Taux_cotisations!$A$6:$M$6,0))</f>
        <v>1.04E-2</v>
      </c>
      <c r="L42" s="1740"/>
      <c r="M42" s="1741"/>
      <c r="N42" s="1773">
        <f ca="1">ROUND(K42*H42,4)</f>
        <v>0</v>
      </c>
      <c r="O42" s="1774"/>
      <c r="P42" s="1775"/>
      <c r="Q42" s="221"/>
      <c r="R42" s="1762">
        <f ca="1">IF(AND($T$35&gt;=$EG$6,$T$35&gt;0),$EG$6*INDEX(table_base_coef_patronale,MATCH(A42,Taux_cotisations!$A$110:$A$136,0),MATCH($X$3,Taux_cotisations!$A$110:$M$110,0)),+$T$35*INDEX(table_base_coef_patronale,MATCH(A42,Taux_cotisations!$A$110:$A$136,0),MATCH($X$3,Taux_cotisations!$A$110:$M$110,0)))</f>
        <v>0</v>
      </c>
      <c r="S42" s="1763"/>
      <c r="T42" s="1764"/>
      <c r="U42" s="1765">
        <f>INDEX(table_taux_patronales,MATCH(A42,Taux_cotisations!$A$39:$A$65,0),MATCH($X$3,Taux_cotisations!$A$39:$M$39,0))</f>
        <v>2.4500000000000001E-2</v>
      </c>
      <c r="V42" s="1766"/>
      <c r="W42" s="1767"/>
      <c r="X42" s="1757">
        <f ca="1">ROUND(U42*R42,2)</f>
        <v>0</v>
      </c>
      <c r="Y42" s="1758"/>
      <c r="Z42" s="1759"/>
      <c r="AA42" s="885" t="str">
        <f>IF(AND(BE42="OUI",$AR$13=S.CAL!$CU$2),"►",IF(AND(EV42="OUI",$AR$13=S.CAL!$CU$3),"►",""))</f>
        <v/>
      </c>
      <c r="AB42" s="1760">
        <f>+$X$3+22</f>
        <v>46045</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7"/>
        <v/>
      </c>
      <c r="AQ42" s="322"/>
      <c r="AR42" s="1104"/>
      <c r="AS42" s="314">
        <f t="shared" si="3"/>
        <v>0</v>
      </c>
      <c r="AT42" s="1125"/>
      <c r="AU42" s="1125"/>
      <c r="AV42" s="314"/>
      <c r="AW42" s="1791">
        <f t="shared" si="21"/>
        <v>46045</v>
      </c>
      <c r="AX42" s="1761"/>
      <c r="AY42" s="314"/>
      <c r="AZ42" s="1104"/>
      <c r="BA42" s="973"/>
      <c r="BB42" s="543"/>
      <c r="BC42" s="548">
        <f t="shared" si="22"/>
        <v>0</v>
      </c>
      <c r="BD42" s="1104"/>
      <c r="BE42" s="807">
        <f t="shared" si="23"/>
        <v>0</v>
      </c>
      <c r="BF42" s="1128"/>
      <c r="BG42" s="222"/>
      <c r="BH42" s="548" t="str">
        <f t="shared" si="24"/>
        <v/>
      </c>
      <c r="BI42" s="1128"/>
      <c r="BJ42" s="129" t="str">
        <f t="shared" si="25"/>
        <v>Fiche infoA5</v>
      </c>
      <c r="BK42" s="129">
        <f t="shared" si="48"/>
        <v>4</v>
      </c>
      <c r="BL42" s="129" t="str">
        <f t="shared" si="4"/>
        <v>A</v>
      </c>
      <c r="BM42" s="129">
        <f t="shared" si="49"/>
        <v>5</v>
      </c>
      <c r="BN42" s="223" t="str">
        <f t="shared" si="59"/>
        <v>Fiche info</v>
      </c>
      <c r="BO42" s="314" t="str">
        <f t="shared" si="50"/>
        <v/>
      </c>
      <c r="BP42" s="196" t="str">
        <f t="shared" si="51"/>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2"/>
        <v>46045</v>
      </c>
      <c r="ER42" s="749">
        <f t="shared" si="10"/>
        <v>0</v>
      </c>
      <c r="ES42" s="750">
        <f t="shared" si="11"/>
        <v>0</v>
      </c>
      <c r="ET42" s="749">
        <f t="shared" si="12"/>
        <v>0</v>
      </c>
      <c r="EU42" s="750">
        <f t="shared" si="13"/>
        <v>0</v>
      </c>
      <c r="EV42" s="749" t="str">
        <f t="shared" si="14"/>
        <v/>
      </c>
      <c r="EW42" s="751">
        <f t="shared" si="28"/>
        <v>46045</v>
      </c>
      <c r="EX42" s="759" t="str">
        <f>IFERROR(IF(AND(AZ42="",AR42&lt;&gt;S.CAL!$BJ$3,AR42&lt;&gt;S.CAL!$BJ$4),FS42-BC42,IF(AZ42&lt;&gt;0,AZ42,IF(OR(AR42=S.CAL!$BJ$3,AR42=S.CAL!$BJ$4),AR42,0))),"")</f>
        <v/>
      </c>
      <c r="EY42" s="753">
        <f t="shared" si="53"/>
        <v>0</v>
      </c>
      <c r="EZ42" s="736">
        <f t="shared" si="54"/>
        <v>0</v>
      </c>
      <c r="FA42" s="759" t="str">
        <f t="shared" si="31"/>
        <v/>
      </c>
      <c r="FB42" s="754" t="str">
        <f t="shared" si="15"/>
        <v/>
      </c>
      <c r="FC42" s="315" t="str">
        <f t="shared" si="55"/>
        <v>non</v>
      </c>
      <c r="FD42" s="760">
        <f t="shared" si="16"/>
        <v>0</v>
      </c>
      <c r="FG42" s="129" t="str">
        <f t="shared" si="56"/>
        <v/>
      </c>
      <c r="FJ42" s="315">
        <f t="shared" si="57"/>
        <v>1</v>
      </c>
      <c r="FK42" s="129">
        <f t="shared" si="17"/>
        <v>10</v>
      </c>
      <c r="FL42" s="129">
        <f t="shared" si="35"/>
        <v>1</v>
      </c>
      <c r="FN42" s="129">
        <f>+IF(AND($DP$8&lt;&gt;52,AR42=S.CAL!$BJ$4),10,1)</f>
        <v>1</v>
      </c>
      <c r="FP42" s="129">
        <f t="shared" si="18"/>
        <v>0</v>
      </c>
      <c r="FS42" s="223" t="str">
        <f t="shared" si="60"/>
        <v/>
      </c>
      <c r="FZ42" s="129">
        <f t="shared" si="37"/>
        <v>4</v>
      </c>
      <c r="GA42" s="129">
        <f t="shared" si="38"/>
        <v>2026</v>
      </c>
      <c r="GB42" s="129" t="str">
        <f t="shared" si="39"/>
        <v>42026</v>
      </c>
      <c r="GC42" s="223">
        <f>IF(AND($GD$53=S.CAL!$P$3,$GD$52=FZ42),GE42,IF(BH42="",0,BH42))</f>
        <v>0</v>
      </c>
      <c r="GD42" s="129" t="str">
        <f>IFERROR(+Février!$BY$2&amp;BL42&amp;BM42,0)</f>
        <v>Fiche infoA5</v>
      </c>
      <c r="GE42" s="129" t="str">
        <f t="shared" si="19"/>
        <v/>
      </c>
      <c r="GF42" s="223" t="str">
        <f t="shared" si="40"/>
        <v/>
      </c>
      <c r="GG42" s="1446" t="str">
        <f>+'Retenue Janv'!D40</f>
        <v/>
      </c>
      <c r="GH42" s="1446">
        <f>IF(Identification!$B$132="Non",'Retenue Janv'!BF40,'Retenue Janv'!BE40)</f>
        <v>0</v>
      </c>
      <c r="GI42" s="1446"/>
      <c r="GJ42" s="1507" t="str">
        <f t="shared" si="41"/>
        <v/>
      </c>
      <c r="GK42" s="223" t="str">
        <f t="shared" si="42"/>
        <v/>
      </c>
      <c r="GL42" s="223" t="str">
        <f t="shared" si="43"/>
        <v/>
      </c>
      <c r="GM42" s="1506">
        <f t="shared" si="44"/>
        <v>0</v>
      </c>
      <c r="GN42" s="1446"/>
      <c r="GO42" s="1446">
        <f t="shared" si="20"/>
        <v>0</v>
      </c>
      <c r="GP42" s="1446" t="str">
        <f t="shared" si="45"/>
        <v/>
      </c>
      <c r="GQ42" s="1446" t="str">
        <f t="shared" si="46"/>
        <v/>
      </c>
      <c r="GR42" s="1446"/>
      <c r="GS42" s="1446"/>
      <c r="GT42" s="1446"/>
      <c r="GU42" s="1446"/>
      <c r="GV42" s="1446"/>
    </row>
    <row r="43" spans="1:204" x14ac:dyDescent="0.2">
      <c r="A43" s="1850" t="str">
        <f>Taux_cotisations!A12</f>
        <v>Prévoyance T2</v>
      </c>
      <c r="B43" s="1851"/>
      <c r="C43" s="1851"/>
      <c r="D43" s="1851"/>
      <c r="E43" s="1851"/>
      <c r="F43" s="1851"/>
      <c r="G43" s="1852"/>
      <c r="H43" s="1736"/>
      <c r="I43" s="1737"/>
      <c r="J43" s="1738"/>
      <c r="K43" s="1739"/>
      <c r="L43" s="1740"/>
      <c r="M43" s="1741"/>
      <c r="N43" s="1773"/>
      <c r="O43" s="1774"/>
      <c r="P43" s="1775"/>
      <c r="Q43" s="221"/>
      <c r="R43" s="1762">
        <f ca="1">+IF(AND(T35&gt;0,T35&gt;EG6),(T35-EG6)*INDEX(table_base_coef_patronale,MATCH(A43,Taux_cotisations!$A$110:$A$136,0),MATCH($X$3,Taux_cotisations!$A$110:$M$110,0)),0)</f>
        <v>0</v>
      </c>
      <c r="S43" s="1763"/>
      <c r="T43" s="1764"/>
      <c r="U43" s="1765">
        <f ca="1">IF(R43=0,0,INDEX(table_taux_patronales,MATCH(A43,Taux_cotisations!$A$39:$A$65,0),MATCH($X$3,Taux_cotisations!$A$39:$M$39,0)))</f>
        <v>0</v>
      </c>
      <c r="V43" s="1766"/>
      <c r="W43" s="1767"/>
      <c r="X43" s="1757">
        <f ca="1">ROUND(U43*R43,2)</f>
        <v>0</v>
      </c>
      <c r="Y43" s="1758"/>
      <c r="Z43" s="1759"/>
      <c r="AA43" s="885" t="str">
        <f>IF(AND(BE43="OUI",$AR$13=S.CAL!$CU$2),"►",IF(AND(EV43="OUI",$AR$13=S.CAL!$CU$3),"►",""))</f>
        <v/>
      </c>
      <c r="AB43" s="1760">
        <f>+$X$3+23</f>
        <v>46046</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7"/>
        <v/>
      </c>
      <c r="AQ43" s="322"/>
      <c r="AR43" s="1104"/>
      <c r="AS43" s="314">
        <f t="shared" si="3"/>
        <v>0</v>
      </c>
      <c r="AT43" s="1125"/>
      <c r="AU43" s="1125"/>
      <c r="AV43" s="314"/>
      <c r="AW43" s="1791">
        <f t="shared" si="21"/>
        <v>46046</v>
      </c>
      <c r="AX43" s="1761"/>
      <c r="AY43" s="314"/>
      <c r="AZ43" s="1104"/>
      <c r="BA43" s="973"/>
      <c r="BB43" s="543"/>
      <c r="BC43" s="548">
        <f t="shared" si="22"/>
        <v>0</v>
      </c>
      <c r="BD43" s="1104"/>
      <c r="BE43" s="807">
        <f t="shared" si="23"/>
        <v>0</v>
      </c>
      <c r="BF43" s="1128"/>
      <c r="BG43" s="222"/>
      <c r="BH43" s="548" t="str">
        <f t="shared" si="24"/>
        <v/>
      </c>
      <c r="BI43" s="1128"/>
      <c r="BJ43" s="129" t="str">
        <f t="shared" si="25"/>
        <v>Fiche infoA6</v>
      </c>
      <c r="BK43" s="129">
        <f t="shared" si="48"/>
        <v>4</v>
      </c>
      <c r="BL43" s="129" t="str">
        <f t="shared" si="4"/>
        <v>A</v>
      </c>
      <c r="BM43" s="129">
        <f t="shared" si="49"/>
        <v>6</v>
      </c>
      <c r="BN43" s="223" t="str">
        <f t="shared" si="59"/>
        <v>Fiche info</v>
      </c>
      <c r="BO43" s="314" t="str">
        <f t="shared" si="50"/>
        <v/>
      </c>
      <c r="BP43" s="196" t="str">
        <f t="shared" si="51"/>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2"/>
        <v>46046</v>
      </c>
      <c r="ER43" s="749">
        <f t="shared" si="10"/>
        <v>0</v>
      </c>
      <c r="ES43" s="750">
        <f t="shared" si="11"/>
        <v>0</v>
      </c>
      <c r="ET43" s="749">
        <f t="shared" si="12"/>
        <v>0</v>
      </c>
      <c r="EU43" s="750">
        <f t="shared" si="13"/>
        <v>0</v>
      </c>
      <c r="EV43" s="749" t="str">
        <f t="shared" si="14"/>
        <v/>
      </c>
      <c r="EW43" s="751">
        <f t="shared" si="28"/>
        <v>46046</v>
      </c>
      <c r="EX43" s="759" t="str">
        <f>IFERROR(IF(AND(AZ43="",AR43&lt;&gt;S.CAL!$BJ$3,AR43&lt;&gt;S.CAL!$BJ$4),FS43-BC43,IF(AZ43&lt;&gt;0,AZ43,IF(OR(AR43=S.CAL!$BJ$3,AR43=S.CAL!$BJ$4),AR43,0))),"")</f>
        <v/>
      </c>
      <c r="EY43" s="753">
        <f t="shared" si="53"/>
        <v>0</v>
      </c>
      <c r="EZ43" s="736">
        <f t="shared" si="54"/>
        <v>0</v>
      </c>
      <c r="FA43" s="759" t="str">
        <f t="shared" si="31"/>
        <v/>
      </c>
      <c r="FB43" s="754" t="str">
        <f t="shared" si="15"/>
        <v/>
      </c>
      <c r="FC43" s="315" t="str">
        <f t="shared" si="55"/>
        <v>non</v>
      </c>
      <c r="FD43" s="760">
        <f t="shared" si="16"/>
        <v>0</v>
      </c>
      <c r="FG43" s="129" t="str">
        <f t="shared" si="56"/>
        <v/>
      </c>
      <c r="FJ43" s="315">
        <f t="shared" si="57"/>
        <v>1</v>
      </c>
      <c r="FK43" s="129">
        <f t="shared" si="17"/>
        <v>10</v>
      </c>
      <c r="FL43" s="129">
        <f t="shared" si="35"/>
        <v>1</v>
      </c>
      <c r="FN43" s="129">
        <f>+IF(AND($DP$8&lt;&gt;52,AR43=S.CAL!$BJ$4),10,1)</f>
        <v>1</v>
      </c>
      <c r="FP43" s="129">
        <f t="shared" si="18"/>
        <v>0</v>
      </c>
      <c r="FS43" s="223" t="str">
        <f t="shared" si="60"/>
        <v/>
      </c>
      <c r="FZ43" s="129">
        <f t="shared" si="37"/>
        <v>4</v>
      </c>
      <c r="GA43" s="129">
        <f t="shared" si="38"/>
        <v>2026</v>
      </c>
      <c r="GB43" s="129" t="str">
        <f t="shared" si="39"/>
        <v>42026</v>
      </c>
      <c r="GC43" s="223">
        <f>IF(AND($GD$53=S.CAL!$P$3,$GD$52=FZ43),GE43,IF(BH43="",0,BH43))</f>
        <v>0</v>
      </c>
      <c r="GD43" s="129" t="str">
        <f>IFERROR(+Février!$BY$2&amp;BL43&amp;BM43,0)</f>
        <v>Fiche infoA6</v>
      </c>
      <c r="GE43" s="129" t="str">
        <f t="shared" si="19"/>
        <v/>
      </c>
      <c r="GF43" s="223" t="str">
        <f t="shared" si="40"/>
        <v/>
      </c>
      <c r="GG43" s="1446" t="str">
        <f>+'Retenue Janv'!D41</f>
        <v/>
      </c>
      <c r="GH43" s="1446">
        <f>IF(Identification!$B$132="Non",'Retenue Janv'!BF41,'Retenue Janv'!BE41)</f>
        <v>0</v>
      </c>
      <c r="GI43" s="1446"/>
      <c r="GJ43" s="1507" t="str">
        <f t="shared" si="41"/>
        <v/>
      </c>
      <c r="GK43" s="223" t="str">
        <f t="shared" si="42"/>
        <v/>
      </c>
      <c r="GL43" s="223" t="str">
        <f t="shared" si="43"/>
        <v/>
      </c>
      <c r="GM43" s="1506">
        <f t="shared" si="44"/>
        <v>0</v>
      </c>
      <c r="GN43" s="1446"/>
      <c r="GO43" s="1446">
        <f t="shared" si="20"/>
        <v>0</v>
      </c>
      <c r="GP43" s="1446" t="str">
        <f t="shared" si="45"/>
        <v/>
      </c>
      <c r="GQ43" s="1446" t="str">
        <f t="shared" si="46"/>
        <v/>
      </c>
      <c r="GR43" s="1446"/>
      <c r="GS43" s="1446"/>
      <c r="GT43" s="1446"/>
      <c r="GU43" s="1446"/>
      <c r="GV43" s="1446"/>
    </row>
    <row r="44" spans="1:204" x14ac:dyDescent="0.2">
      <c r="A44" s="1856"/>
      <c r="B44" s="1857"/>
      <c r="C44" s="1857"/>
      <c r="D44" s="1857"/>
      <c r="E44" s="1857"/>
      <c r="F44" s="1857"/>
      <c r="G44" s="1858"/>
      <c r="H44" s="1736"/>
      <c r="I44" s="1737"/>
      <c r="J44" s="1738"/>
      <c r="K44" s="1739"/>
      <c r="L44" s="1740"/>
      <c r="M44" s="1741"/>
      <c r="N44" s="1773"/>
      <c r="O44" s="1774"/>
      <c r="P44" s="1775"/>
      <c r="R44" s="1762"/>
      <c r="S44" s="1763"/>
      <c r="T44" s="1764"/>
      <c r="U44" s="1765"/>
      <c r="V44" s="1766"/>
      <c r="W44" s="1767"/>
      <c r="X44" s="1757"/>
      <c r="Y44" s="1758"/>
      <c r="Z44" s="1759"/>
      <c r="AA44" s="885" t="str">
        <f>IF(AND(BE44="OUI",$AR$13=S.CAL!$CU$2),"►",IF(AND(EV44="OUI",$AR$13=S.CAL!$CU$3),"►",""))</f>
        <v/>
      </c>
      <c r="AB44" s="1760">
        <f>+$X$3+24</f>
        <v>46047</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7"/>
        <v/>
      </c>
      <c r="AQ44" s="322"/>
      <c r="AR44" s="1104"/>
      <c r="AS44" s="314">
        <f t="shared" si="3"/>
        <v>0</v>
      </c>
      <c r="AT44" s="1125"/>
      <c r="AU44" s="1125"/>
      <c r="AV44" s="314"/>
      <c r="AW44" s="1791">
        <f t="shared" si="21"/>
        <v>46047</v>
      </c>
      <c r="AX44" s="1761"/>
      <c r="AY44" s="314"/>
      <c r="AZ44" s="1104"/>
      <c r="BA44" s="973"/>
      <c r="BB44" s="543"/>
      <c r="BC44" s="548">
        <f t="shared" si="22"/>
        <v>0</v>
      </c>
      <c r="BD44" s="1104"/>
      <c r="BE44" s="807">
        <f t="shared" si="23"/>
        <v>0</v>
      </c>
      <c r="BF44" s="1128"/>
      <c r="BG44" s="222"/>
      <c r="BH44" s="548" t="str">
        <f t="shared" si="24"/>
        <v/>
      </c>
      <c r="BI44" s="1128"/>
      <c r="BJ44" s="129" t="str">
        <f t="shared" si="25"/>
        <v>Fiche infoA7</v>
      </c>
      <c r="BK44" s="129">
        <f t="shared" si="48"/>
        <v>4</v>
      </c>
      <c r="BL44" s="129" t="str">
        <f t="shared" si="4"/>
        <v>A</v>
      </c>
      <c r="BM44" s="129">
        <f t="shared" si="49"/>
        <v>7</v>
      </c>
      <c r="BN44" s="223" t="str">
        <f t="shared" si="59"/>
        <v>Fiche info</v>
      </c>
      <c r="BO44" s="314" t="str">
        <f t="shared" si="50"/>
        <v/>
      </c>
      <c r="BP44" s="196" t="str">
        <f t="shared" si="51"/>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090" t="str">
        <f>+CC45</f>
        <v>Indemnité mini. obligatoire</v>
      </c>
      <c r="CD44" s="2091"/>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2"/>
        <v>46047</v>
      </c>
      <c r="ER44" s="749">
        <f t="shared" si="10"/>
        <v>0</v>
      </c>
      <c r="ES44" s="750">
        <f t="shared" si="11"/>
        <v>0</v>
      </c>
      <c r="ET44" s="749">
        <f t="shared" si="12"/>
        <v>0</v>
      </c>
      <c r="EU44" s="750">
        <f t="shared" si="13"/>
        <v>0</v>
      </c>
      <c r="EV44" s="749" t="str">
        <f t="shared" si="14"/>
        <v/>
      </c>
      <c r="EW44" s="751">
        <f t="shared" si="28"/>
        <v>46047</v>
      </c>
      <c r="EX44" s="759" t="str">
        <f>IFERROR(IF(AND(AZ44="",AR44&lt;&gt;S.CAL!$BJ$3,AR44&lt;&gt;S.CAL!$BJ$4),FS44-BC44,IF(AZ44&lt;&gt;0,AZ44,IF(OR(AR44=S.CAL!$BJ$3,AR44=S.CAL!$BJ$4),AR44,0))),"")</f>
        <v/>
      </c>
      <c r="EY44" s="753">
        <f t="shared" si="53"/>
        <v>0</v>
      </c>
      <c r="EZ44" s="736">
        <f t="shared" si="54"/>
        <v>0</v>
      </c>
      <c r="FA44" s="759" t="str">
        <f t="shared" si="31"/>
        <v/>
      </c>
      <c r="FB44" s="754" t="str">
        <f t="shared" si="15"/>
        <v/>
      </c>
      <c r="FC44" s="315" t="str">
        <f t="shared" si="55"/>
        <v>non</v>
      </c>
      <c r="FD44" s="760">
        <f t="shared" si="16"/>
        <v>0</v>
      </c>
      <c r="FG44" s="129" t="str">
        <f t="shared" si="56"/>
        <v/>
      </c>
      <c r="FJ44" s="315">
        <f t="shared" si="57"/>
        <v>1</v>
      </c>
      <c r="FK44" s="129">
        <f t="shared" si="17"/>
        <v>10</v>
      </c>
      <c r="FL44" s="129">
        <f t="shared" si="35"/>
        <v>1</v>
      </c>
      <c r="FN44" s="129">
        <f>+IF(AND($DP$8&lt;&gt;52,AR44=S.CAL!$BJ$4),10,1)</f>
        <v>1</v>
      </c>
      <c r="FP44" s="129">
        <f t="shared" si="18"/>
        <v>0</v>
      </c>
      <c r="FS44" s="223" t="str">
        <f t="shared" si="60"/>
        <v/>
      </c>
      <c r="FZ44" s="129">
        <f t="shared" si="37"/>
        <v>4</v>
      </c>
      <c r="GA44" s="129">
        <f t="shared" si="38"/>
        <v>2026</v>
      </c>
      <c r="GB44" s="129" t="str">
        <f t="shared" si="39"/>
        <v>42026</v>
      </c>
      <c r="GC44" s="223">
        <f>IF(AND($GD$53=S.CAL!$P$3,$GD$52=FZ44),GE44,IF(BH44="",0,BH44))</f>
        <v>0</v>
      </c>
      <c r="GD44" s="129" t="str">
        <f>IFERROR(+Février!$BY$2&amp;BL44&amp;BM44,0)</f>
        <v>Fiche infoA7</v>
      </c>
      <c r="GE44" s="129" t="str">
        <f t="shared" si="19"/>
        <v/>
      </c>
      <c r="GF44" s="223" t="str">
        <f t="shared" si="40"/>
        <v/>
      </c>
      <c r="GG44" s="1446" t="str">
        <f>+'Retenue Janv'!D42</f>
        <v/>
      </c>
      <c r="GH44" s="1446">
        <f>IF(Identification!$B$132="Non",'Retenue Janv'!BF42,'Retenue Janv'!BE42)</f>
        <v>0</v>
      </c>
      <c r="GI44" s="1446"/>
      <c r="GJ44" s="1507" t="str">
        <f t="shared" si="41"/>
        <v/>
      </c>
      <c r="GK44" s="223" t="str">
        <f t="shared" si="42"/>
        <v/>
      </c>
      <c r="GL44" s="223" t="str">
        <f t="shared" si="43"/>
        <v/>
      </c>
      <c r="GM44" s="1506">
        <f t="shared" si="44"/>
        <v>0</v>
      </c>
      <c r="GN44" s="1446"/>
      <c r="GO44" s="1446">
        <f t="shared" si="20"/>
        <v>0</v>
      </c>
      <c r="GP44" s="1446" t="str">
        <f t="shared" si="45"/>
        <v/>
      </c>
      <c r="GQ44" s="1446" t="str">
        <f t="shared" si="46"/>
        <v/>
      </c>
      <c r="GR44" s="1446"/>
      <c r="GS44" s="1446"/>
      <c r="GT44" s="1446"/>
      <c r="GU44" s="1446"/>
      <c r="GV44" s="1446"/>
    </row>
    <row r="45" spans="1:204" x14ac:dyDescent="0.2">
      <c r="A45" s="1856" t="str">
        <f>Taux_cotisations!A13</f>
        <v>Accident du travail :</v>
      </c>
      <c r="B45" s="1857"/>
      <c r="C45" s="1857"/>
      <c r="D45" s="1857"/>
      <c r="E45" s="1857"/>
      <c r="F45" s="1857"/>
      <c r="G45" s="1858"/>
      <c r="H45" s="1736"/>
      <c r="I45" s="1737"/>
      <c r="J45" s="1738"/>
      <c r="K45" s="1739"/>
      <c r="L45" s="1740"/>
      <c r="M45" s="1741"/>
      <c r="N45" s="1773"/>
      <c r="O45" s="1774"/>
      <c r="P45" s="1775"/>
      <c r="Q45" s="221"/>
      <c r="R45" s="1762">
        <f ca="1">IF(AND($T$35&gt;=$EG$6,$T$35&gt;0),$EG$6*INDEX(table_base_coef_patronale,MATCH(A45,Taux_cotisations!$A$110:$A$136,0),MATCH($X$3,Taux_cotisations!$A$110:$M$110,0)),+$T$35*INDEX(table_base_coef_patronale,MATCH(A45,Taux_cotisations!$A$110:$A$136,0),MATCH($X$3,Taux_cotisations!$A$110:$M$110,0)))</f>
        <v>0</v>
      </c>
      <c r="S45" s="1763"/>
      <c r="T45" s="1764"/>
      <c r="U45" s="1765">
        <f>INDEX(table_taux_patronales,MATCH(A45,Taux_cotisations!$A$39:$A$65,0),MATCH($X$3,Taux_cotisations!$A$39:$M$39,0))</f>
        <v>9.1000000000000004E-3</v>
      </c>
      <c r="V45" s="1766"/>
      <c r="W45" s="1767"/>
      <c r="X45" s="1757">
        <f ca="1">ROUND(U45*R45,2)</f>
        <v>0</v>
      </c>
      <c r="Y45" s="1758"/>
      <c r="Z45" s="1759"/>
      <c r="AA45" s="885" t="str">
        <f>IF(AND(BE45="OUI",$AR$13=S.CAL!$CU$2),"►",IF(AND(EV45="OUI",$AR$13=S.CAL!$CU$3),"►",""))</f>
        <v/>
      </c>
      <c r="AB45" s="1760">
        <f>+$X$3+25</f>
        <v>46048</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f t="shared" si="47"/>
        <v>5</v>
      </c>
      <c r="AQ45" s="322"/>
      <c r="AR45" s="1104"/>
      <c r="AS45" s="314">
        <f t="shared" si="3"/>
        <v>0</v>
      </c>
      <c r="AT45" s="1125"/>
      <c r="AU45" s="1125"/>
      <c r="AV45" s="314"/>
      <c r="AW45" s="1791">
        <f t="shared" si="21"/>
        <v>46048</v>
      </c>
      <c r="AX45" s="1761"/>
      <c r="AY45" s="314"/>
      <c r="AZ45" s="1104"/>
      <c r="BA45" s="973"/>
      <c r="BB45" s="543"/>
      <c r="BC45" s="548">
        <f t="shared" si="22"/>
        <v>0</v>
      </c>
      <c r="BD45" s="1104"/>
      <c r="BE45" s="807">
        <f t="shared" si="23"/>
        <v>0</v>
      </c>
      <c r="BF45" s="1128"/>
      <c r="BG45" s="222"/>
      <c r="BH45" s="548" t="str">
        <f t="shared" si="24"/>
        <v/>
      </c>
      <c r="BI45" s="1128"/>
      <c r="BJ45" s="129" t="str">
        <f t="shared" si="25"/>
        <v>Fiche infoA1</v>
      </c>
      <c r="BK45" s="129">
        <f t="shared" si="48"/>
        <v>5</v>
      </c>
      <c r="BL45" s="129" t="str">
        <f t="shared" si="4"/>
        <v>A</v>
      </c>
      <c r="BM45" s="129">
        <f t="shared" si="49"/>
        <v>1</v>
      </c>
      <c r="BN45" s="223" t="str">
        <f t="shared" si="59"/>
        <v>Fiche info</v>
      </c>
      <c r="BO45" s="314" t="str">
        <f t="shared" si="50"/>
        <v/>
      </c>
      <c r="BP45" s="196" t="str">
        <f t="shared" si="51"/>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t="s">
        <v>1505</v>
      </c>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2"/>
        <v>46048</v>
      </c>
      <c r="ER45" s="749">
        <f t="shared" si="10"/>
        <v>0</v>
      </c>
      <c r="ES45" s="750">
        <f t="shared" si="11"/>
        <v>0</v>
      </c>
      <c r="ET45" s="749">
        <f t="shared" si="12"/>
        <v>0</v>
      </c>
      <c r="EU45" s="750">
        <f t="shared" si="13"/>
        <v>0</v>
      </c>
      <c r="EV45" s="749" t="str">
        <f t="shared" si="14"/>
        <v/>
      </c>
      <c r="EW45" s="751">
        <f t="shared" si="28"/>
        <v>46048</v>
      </c>
      <c r="EX45" s="759" t="str">
        <f>IFERROR(IF(AND(AZ45="",AR45&lt;&gt;S.CAL!$BJ$3,AR45&lt;&gt;S.CAL!$BJ$4),FS45-BC45,IF(AZ45&lt;&gt;0,AZ45,IF(OR(AR45=S.CAL!$BJ$3,AR45=S.CAL!$BJ$4),AR45,0))),"")</f>
        <v/>
      </c>
      <c r="EY45" s="753">
        <f t="shared" si="53"/>
        <v>0</v>
      </c>
      <c r="EZ45" s="736">
        <f t="shared" si="54"/>
        <v>0</v>
      </c>
      <c r="FA45" s="759" t="str">
        <f t="shared" si="31"/>
        <v/>
      </c>
      <c r="FB45" s="754" t="str">
        <f t="shared" si="15"/>
        <v/>
      </c>
      <c r="FC45" s="315" t="str">
        <f t="shared" si="55"/>
        <v>non</v>
      </c>
      <c r="FD45" s="760">
        <f t="shared" si="16"/>
        <v>0</v>
      </c>
      <c r="FG45" s="129" t="str">
        <f t="shared" si="56"/>
        <v/>
      </c>
      <c r="FJ45" s="315">
        <f t="shared" si="57"/>
        <v>1</v>
      </c>
      <c r="FK45" s="129">
        <f t="shared" si="17"/>
        <v>10</v>
      </c>
      <c r="FL45" s="129">
        <f t="shared" si="35"/>
        <v>1</v>
      </c>
      <c r="FN45" s="129">
        <f>+IF(AND($DP$8&lt;&gt;52,AR45=S.CAL!$BJ$4),10,1)</f>
        <v>1</v>
      </c>
      <c r="FP45" s="129">
        <f t="shared" si="18"/>
        <v>0</v>
      </c>
      <c r="FS45" s="223" t="str">
        <f t="shared" si="60"/>
        <v/>
      </c>
      <c r="FZ45" s="129">
        <f t="shared" si="37"/>
        <v>5</v>
      </c>
      <c r="GA45" s="129">
        <f t="shared" si="38"/>
        <v>2026</v>
      </c>
      <c r="GB45" s="129" t="str">
        <f t="shared" si="39"/>
        <v>52026</v>
      </c>
      <c r="GC45" s="223">
        <f>IF(AND($GD$53=S.CAL!$P$3,$GD$52=FZ45),GE45,IF(BH45="",0,BH45))</f>
        <v>0</v>
      </c>
      <c r="GD45" s="129" t="str">
        <f>IFERROR(+Février!$BY$2&amp;BL45&amp;BM45,0)</f>
        <v>Fiche infoA1</v>
      </c>
      <c r="GE45" s="129" t="str">
        <f t="shared" si="19"/>
        <v/>
      </c>
      <c r="GF45" s="223" t="str">
        <f t="shared" si="40"/>
        <v/>
      </c>
      <c r="GG45" s="1446" t="str">
        <f>+'Retenue Janv'!D43</f>
        <v/>
      </c>
      <c r="GH45" s="1446">
        <f>IF(Identification!$B$132="Non",'Retenue Janv'!BF43,'Retenue Janv'!BE43)</f>
        <v>0</v>
      </c>
      <c r="GI45" s="1446"/>
      <c r="GJ45" s="1507" t="str">
        <f t="shared" si="41"/>
        <v/>
      </c>
      <c r="GK45" s="223" t="str">
        <f t="shared" si="42"/>
        <v/>
      </c>
      <c r="GL45" s="223" t="str">
        <f t="shared" si="43"/>
        <v/>
      </c>
      <c r="GM45" s="1506">
        <f t="shared" si="44"/>
        <v>0</v>
      </c>
      <c r="GN45" s="1446"/>
      <c r="GO45" s="1446">
        <f t="shared" si="20"/>
        <v>0</v>
      </c>
      <c r="GP45" s="1446" t="str">
        <f t="shared" si="45"/>
        <v/>
      </c>
      <c r="GQ45" s="1446" t="str">
        <f t="shared" si="46"/>
        <v/>
      </c>
      <c r="GR45" s="1446"/>
      <c r="GS45" s="1446"/>
      <c r="GT45" s="1446"/>
      <c r="GU45" s="1446"/>
      <c r="GV45" s="1446"/>
    </row>
    <row r="46" spans="1:204" x14ac:dyDescent="0.2">
      <c r="A46" s="1850"/>
      <c r="B46" s="1851"/>
      <c r="C46" s="1851"/>
      <c r="D46" s="1851"/>
      <c r="E46" s="1851"/>
      <c r="F46" s="1851"/>
      <c r="G46" s="1852"/>
      <c r="H46" s="1736"/>
      <c r="I46" s="1737"/>
      <c r="J46" s="1738"/>
      <c r="K46" s="1739"/>
      <c r="L46" s="1740"/>
      <c r="M46" s="1741"/>
      <c r="N46" s="1773"/>
      <c r="O46" s="1774"/>
      <c r="P46" s="1775"/>
      <c r="Q46" s="221"/>
      <c r="R46" s="1762"/>
      <c r="S46" s="1763"/>
      <c r="T46" s="1764"/>
      <c r="U46" s="1765"/>
      <c r="V46" s="1766"/>
      <c r="W46" s="1767"/>
      <c r="X46" s="1757"/>
      <c r="Y46" s="1758"/>
      <c r="Z46" s="1759"/>
      <c r="AA46" s="885" t="str">
        <f>IF(AND(BE46="OUI",$AR$13=S.CAL!$CU$2),"►",IF(AND(EV46="OUI",$AR$13=S.CAL!$CU$3),"►",""))</f>
        <v/>
      </c>
      <c r="AB46" s="1760">
        <f>+$X$3+26</f>
        <v>46049</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7"/>
        <v/>
      </c>
      <c r="AQ46" s="322"/>
      <c r="AR46" s="1104"/>
      <c r="AS46" s="314">
        <f t="shared" si="3"/>
        <v>0</v>
      </c>
      <c r="AT46" s="1125"/>
      <c r="AU46" s="1125"/>
      <c r="AV46" s="314"/>
      <c r="AW46" s="1791">
        <f t="shared" si="21"/>
        <v>46049</v>
      </c>
      <c r="AX46" s="1761"/>
      <c r="AY46" s="314"/>
      <c r="AZ46" s="1104"/>
      <c r="BA46" s="973"/>
      <c r="BB46" s="543"/>
      <c r="BC46" s="548">
        <f t="shared" si="22"/>
        <v>0</v>
      </c>
      <c r="BD46" s="1104"/>
      <c r="BE46" s="807">
        <f t="shared" si="23"/>
        <v>0</v>
      </c>
      <c r="BF46" s="1128"/>
      <c r="BG46" s="222"/>
      <c r="BH46" s="548" t="str">
        <f t="shared" si="24"/>
        <v/>
      </c>
      <c r="BI46" s="1128"/>
      <c r="BJ46" s="129" t="str">
        <f t="shared" si="25"/>
        <v>Fiche infoA2</v>
      </c>
      <c r="BK46" s="129">
        <f t="shared" si="48"/>
        <v>5</v>
      </c>
      <c r="BL46" s="129" t="str">
        <f t="shared" si="4"/>
        <v>A</v>
      </c>
      <c r="BM46" s="129">
        <f t="shared" si="49"/>
        <v>2</v>
      </c>
      <c r="BN46" s="223" t="str">
        <f t="shared" si="59"/>
        <v>Fiche info</v>
      </c>
      <c r="BO46" s="314" t="str">
        <f t="shared" si="50"/>
        <v/>
      </c>
      <c r="BP46" s="196" t="str">
        <f t="shared" si="51"/>
        <v/>
      </c>
      <c r="BQ46" s="587"/>
      <c r="BR46" s="587"/>
      <c r="BS46" s="587"/>
      <c r="BT46" s="587"/>
      <c r="BU46" s="587"/>
      <c r="BV46" s="587"/>
      <c r="BW46" s="587"/>
      <c r="BX46" s="587"/>
      <c r="BY46" s="592"/>
      <c r="BZ46" s="592"/>
      <c r="CA46" s="593"/>
      <c r="CB46" s="608"/>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2"/>
        <v>46049</v>
      </c>
      <c r="ER46" s="749">
        <f t="shared" si="10"/>
        <v>0</v>
      </c>
      <c r="ES46" s="750">
        <f t="shared" si="11"/>
        <v>0</v>
      </c>
      <c r="ET46" s="749">
        <f t="shared" si="12"/>
        <v>0</v>
      </c>
      <c r="EU46" s="750">
        <f t="shared" si="13"/>
        <v>0</v>
      </c>
      <c r="EV46" s="749" t="str">
        <f t="shared" si="14"/>
        <v/>
      </c>
      <c r="EW46" s="751">
        <f t="shared" si="28"/>
        <v>46049</v>
      </c>
      <c r="EX46" s="759" t="str">
        <f>IFERROR(IF(AND(AZ46="",AR46&lt;&gt;S.CAL!$BJ$3,AR46&lt;&gt;S.CAL!$BJ$4),FS46-BC46,IF(AZ46&lt;&gt;0,AZ46,IF(OR(AR46=S.CAL!$BJ$3,AR46=S.CAL!$BJ$4),AR46,0))),"")</f>
        <v/>
      </c>
      <c r="EY46" s="753">
        <f t="shared" si="53"/>
        <v>0</v>
      </c>
      <c r="EZ46" s="736">
        <f t="shared" si="54"/>
        <v>0</v>
      </c>
      <c r="FA46" s="759" t="str">
        <f t="shared" si="31"/>
        <v/>
      </c>
      <c r="FB46" s="754" t="str">
        <f t="shared" si="15"/>
        <v/>
      </c>
      <c r="FC46" s="315" t="str">
        <f t="shared" si="55"/>
        <v>non</v>
      </c>
      <c r="FD46" s="760">
        <f t="shared" si="16"/>
        <v>0</v>
      </c>
      <c r="FG46" s="129" t="str">
        <f t="shared" si="56"/>
        <v/>
      </c>
      <c r="FJ46" s="315">
        <f t="shared" si="57"/>
        <v>1</v>
      </c>
      <c r="FK46" s="129">
        <f t="shared" si="17"/>
        <v>10</v>
      </c>
      <c r="FL46" s="129">
        <f t="shared" si="35"/>
        <v>1</v>
      </c>
      <c r="FN46" s="129">
        <f>+IF(AND($DP$8&lt;&gt;52,AR46=S.CAL!$BJ$4),10,1)</f>
        <v>1</v>
      </c>
      <c r="FP46" s="129">
        <f t="shared" si="18"/>
        <v>0</v>
      </c>
      <c r="FS46" s="223" t="str">
        <f t="shared" si="60"/>
        <v/>
      </c>
      <c r="FZ46" s="129">
        <f t="shared" si="37"/>
        <v>5</v>
      </c>
      <c r="GA46" s="129">
        <f t="shared" si="38"/>
        <v>2026</v>
      </c>
      <c r="GB46" s="129" t="str">
        <f t="shared" si="39"/>
        <v>52026</v>
      </c>
      <c r="GC46" s="223">
        <f>IF(AND($GD$53=S.CAL!$P$3,$GD$52=FZ46),GE46,IF(BH46="",0,BH46))</f>
        <v>0</v>
      </c>
      <c r="GD46" s="129" t="str">
        <f>IFERROR(+Février!$BY$2&amp;BL46&amp;BM46,0)</f>
        <v>Fiche infoA2</v>
      </c>
      <c r="GE46" s="129" t="str">
        <f t="shared" si="19"/>
        <v/>
      </c>
      <c r="GF46" s="223" t="str">
        <f t="shared" si="40"/>
        <v/>
      </c>
      <c r="GG46" s="1446" t="str">
        <f>+'Retenue Janv'!D44</f>
        <v/>
      </c>
      <c r="GH46" s="1446">
        <f>IF(Identification!$B$132="Non",'Retenue Janv'!BF44,'Retenue Janv'!BE44)</f>
        <v>0</v>
      </c>
      <c r="GI46" s="1446"/>
      <c r="GJ46" s="1507" t="str">
        <f t="shared" si="41"/>
        <v/>
      </c>
      <c r="GK46" s="223" t="str">
        <f t="shared" si="42"/>
        <v/>
      </c>
      <c r="GL46" s="223" t="str">
        <f t="shared" si="43"/>
        <v/>
      </c>
      <c r="GM46" s="1506">
        <f t="shared" si="44"/>
        <v>0</v>
      </c>
      <c r="GN46" s="1446"/>
      <c r="GO46" s="1446">
        <f t="shared" si="20"/>
        <v>0</v>
      </c>
      <c r="GP46" s="1446" t="str">
        <f t="shared" si="45"/>
        <v/>
      </c>
      <c r="GQ46" s="1446" t="str">
        <f t="shared" si="46"/>
        <v/>
      </c>
      <c r="GR46" s="1446"/>
      <c r="GS46" s="1446"/>
      <c r="GT46" s="1446"/>
      <c r="GU46" s="1446"/>
      <c r="GV46" s="1446"/>
    </row>
    <row r="47" spans="1:204" x14ac:dyDescent="0.2">
      <c r="A47" s="1850" t="str">
        <f>Taux_cotisations!A14</f>
        <v>Retraite :</v>
      </c>
      <c r="B47" s="1851"/>
      <c r="C47" s="1851"/>
      <c r="D47" s="1851"/>
      <c r="E47" s="1851"/>
      <c r="F47" s="1851"/>
      <c r="G47" s="1852"/>
      <c r="H47" s="1736"/>
      <c r="I47" s="1737"/>
      <c r="J47" s="1738"/>
      <c r="K47" s="1739"/>
      <c r="L47" s="1740"/>
      <c r="M47" s="1741"/>
      <c r="N47" s="1773"/>
      <c r="O47" s="1774"/>
      <c r="P47" s="1775"/>
      <c r="Q47" s="221"/>
      <c r="R47" s="1762"/>
      <c r="S47" s="1763"/>
      <c r="T47" s="1764"/>
      <c r="U47" s="1765"/>
      <c r="V47" s="1766"/>
      <c r="W47" s="1767"/>
      <c r="X47" s="1757"/>
      <c r="Y47" s="1758"/>
      <c r="Z47" s="1759"/>
      <c r="AA47" s="885" t="str">
        <f>IF(AND(BE47="OUI",$AR$13=S.CAL!$CU$2),"►",IF(AND(EV47="OUI",$AR$13=S.CAL!$CU$3),"►",""))</f>
        <v/>
      </c>
      <c r="AB47" s="1760">
        <f>+$X$3+27</f>
        <v>46050</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7"/>
        <v/>
      </c>
      <c r="AQ47" s="322"/>
      <c r="AR47" s="1104"/>
      <c r="AS47" s="314">
        <f t="shared" si="3"/>
        <v>0</v>
      </c>
      <c r="AT47" s="1125"/>
      <c r="AU47" s="1125"/>
      <c r="AV47" s="314"/>
      <c r="AW47" s="1791">
        <f t="shared" si="21"/>
        <v>46050</v>
      </c>
      <c r="AX47" s="1761"/>
      <c r="AY47" s="314"/>
      <c r="AZ47" s="1104"/>
      <c r="BA47" s="973"/>
      <c r="BB47" s="543"/>
      <c r="BC47" s="548">
        <f t="shared" si="22"/>
        <v>0</v>
      </c>
      <c r="BD47" s="1104"/>
      <c r="BE47" s="807">
        <f t="shared" si="23"/>
        <v>0</v>
      </c>
      <c r="BF47" s="1128"/>
      <c r="BG47" s="222"/>
      <c r="BH47" s="548" t="str">
        <f t="shared" si="24"/>
        <v/>
      </c>
      <c r="BI47" s="1128"/>
      <c r="BJ47" s="129" t="str">
        <f t="shared" si="25"/>
        <v>Fiche infoA3</v>
      </c>
      <c r="BK47" s="129">
        <f t="shared" si="48"/>
        <v>5</v>
      </c>
      <c r="BL47" s="129" t="str">
        <f t="shared" si="4"/>
        <v>A</v>
      </c>
      <c r="BM47" s="129">
        <f t="shared" si="49"/>
        <v>3</v>
      </c>
      <c r="BN47" s="223" t="str">
        <f t="shared" si="59"/>
        <v>Fiche info</v>
      </c>
      <c r="BO47" s="314" t="str">
        <f t="shared" si="50"/>
        <v/>
      </c>
      <c r="BP47" s="196" t="str">
        <f t="shared" si="51"/>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8"/>
      <c r="CD47" s="1351" t="s">
        <v>453</v>
      </c>
      <c r="CE47" s="1041">
        <f>+CF47</f>
        <v>2.65</v>
      </c>
      <c r="CF47" s="1117">
        <v>2.65</v>
      </c>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2"/>
        <v>46050</v>
      </c>
      <c r="ER47" s="749">
        <f t="shared" si="10"/>
        <v>0</v>
      </c>
      <c r="ES47" s="750">
        <f t="shared" si="11"/>
        <v>0</v>
      </c>
      <c r="ET47" s="749">
        <f t="shared" si="12"/>
        <v>0</v>
      </c>
      <c r="EU47" s="750">
        <f t="shared" si="13"/>
        <v>0</v>
      </c>
      <c r="EV47" s="749" t="str">
        <f t="shared" si="14"/>
        <v/>
      </c>
      <c r="EW47" s="751">
        <f t="shared" si="28"/>
        <v>46050</v>
      </c>
      <c r="EX47" s="759" t="str">
        <f>IFERROR(IF(AND(AZ47="",AR47&lt;&gt;S.CAL!$BJ$3,AR47&lt;&gt;S.CAL!$BJ$4),FS47-BC47,IF(AZ47&lt;&gt;0,AZ47,IF(OR(AR47=S.CAL!$BJ$3,AR47=S.CAL!$BJ$4),AR47,0))),"")</f>
        <v/>
      </c>
      <c r="EY47" s="753">
        <f t="shared" si="53"/>
        <v>0</v>
      </c>
      <c r="EZ47" s="736">
        <f t="shared" si="54"/>
        <v>0</v>
      </c>
      <c r="FA47" s="759" t="str">
        <f t="shared" si="31"/>
        <v/>
      </c>
      <c r="FB47" s="754" t="str">
        <f t="shared" si="15"/>
        <v/>
      </c>
      <c r="FC47" s="315" t="str">
        <f t="shared" si="55"/>
        <v>non</v>
      </c>
      <c r="FD47" s="760">
        <f t="shared" si="16"/>
        <v>0</v>
      </c>
      <c r="FG47" s="129" t="str">
        <f t="shared" si="56"/>
        <v/>
      </c>
      <c r="FJ47" s="315">
        <f t="shared" si="57"/>
        <v>1</v>
      </c>
      <c r="FK47" s="129">
        <f t="shared" si="17"/>
        <v>10</v>
      </c>
      <c r="FL47" s="129">
        <f t="shared" si="35"/>
        <v>1</v>
      </c>
      <c r="FN47" s="129">
        <f>+IF(AND($DP$8&lt;&gt;52,AR47=S.CAL!$BJ$4),10,1)</f>
        <v>1</v>
      </c>
      <c r="FP47" s="129">
        <f t="shared" si="18"/>
        <v>0</v>
      </c>
      <c r="FS47" s="223" t="str">
        <f t="shared" si="60"/>
        <v/>
      </c>
      <c r="FZ47" s="129">
        <f t="shared" si="37"/>
        <v>5</v>
      </c>
      <c r="GA47" s="129">
        <f t="shared" si="38"/>
        <v>2026</v>
      </c>
      <c r="GB47" s="129" t="str">
        <f t="shared" si="39"/>
        <v>52026</v>
      </c>
      <c r="GC47" s="223">
        <f>IF(AND($GD$53=S.CAL!$P$3,$GD$52=FZ47),GE47,IF(BH47="",0,BH47))</f>
        <v>0</v>
      </c>
      <c r="GD47" s="129" t="str">
        <f>IFERROR(+Février!$BY$2&amp;BL47&amp;BM47,0)</f>
        <v>Fiche infoA3</v>
      </c>
      <c r="GE47" s="129" t="str">
        <f t="shared" si="19"/>
        <v/>
      </c>
      <c r="GF47" s="223" t="str">
        <f t="shared" si="40"/>
        <v/>
      </c>
      <c r="GG47" s="1446" t="str">
        <f>+'Retenue Janv'!D45</f>
        <v/>
      </c>
      <c r="GH47" s="1446">
        <f>IF(Identification!$B$132="Non",'Retenue Janv'!BF45,'Retenue Janv'!BE45)</f>
        <v>0</v>
      </c>
      <c r="GI47" s="1446"/>
      <c r="GJ47" s="1507" t="str">
        <f t="shared" si="41"/>
        <v/>
      </c>
      <c r="GK47" s="223" t="str">
        <f t="shared" si="42"/>
        <v/>
      </c>
      <c r="GL47" s="223" t="str">
        <f t="shared" si="43"/>
        <v/>
      </c>
      <c r="GM47" s="1506">
        <f t="shared" si="44"/>
        <v>0</v>
      </c>
      <c r="GN47" s="1446"/>
      <c r="GO47" s="1446">
        <f t="shared" si="20"/>
        <v>0</v>
      </c>
      <c r="GP47" s="1446" t="str">
        <f t="shared" si="45"/>
        <v/>
      </c>
      <c r="GQ47" s="1446" t="str">
        <f t="shared" si="46"/>
        <v/>
      </c>
      <c r="GR47" s="1446"/>
      <c r="GS47" s="1446"/>
      <c r="GT47" s="1446"/>
      <c r="GU47" s="1446"/>
      <c r="GV47" s="1446"/>
    </row>
    <row r="48" spans="1:204" x14ac:dyDescent="0.2">
      <c r="A48" s="1850" t="str">
        <f>Taux_cotisations!A15</f>
        <v>Retraite SS T1</v>
      </c>
      <c r="B48" s="1851"/>
      <c r="C48" s="1851"/>
      <c r="D48" s="1851"/>
      <c r="E48" s="1851"/>
      <c r="F48" s="1851"/>
      <c r="G48" s="1852"/>
      <c r="H48" s="1736">
        <f ca="1">IF(AND(T35&gt;=EG6,T35&gt;0),EG6*INDEX(table_base_coef_salariale,MATCH(A48,Taux_cotisations!$A$75:$A$101,0),MATCH($X$3,Taux_cotisations!$A$75:$M$75,0)),+T35*INDEX(table_base_coef_salariale,MATCH(A48,Taux_cotisations!$A$75:$A$101,0),MATCH($X$3,Taux_cotisations!$A$75:$M$75,0)))</f>
        <v>0</v>
      </c>
      <c r="I48" s="1737"/>
      <c r="J48" s="1738"/>
      <c r="K48" s="1739">
        <f>INDEX(table_taux_salariales,MATCH(A48,Taux_cotisations!$A$6:$A$32,0),MATCH($X$3,Taux_cotisations!$A$6:$M$6,0))</f>
        <v>5.5399999999999998E-2</v>
      </c>
      <c r="L48" s="1740"/>
      <c r="M48" s="1741"/>
      <c r="N48" s="1773">
        <f ca="1">ROUND(K48*H48,4)</f>
        <v>0</v>
      </c>
      <c r="O48" s="1774"/>
      <c r="P48" s="1775"/>
      <c r="Q48" s="221"/>
      <c r="R48" s="1762">
        <f ca="1">IF(AND($T$35&gt;=$EG$6,$T$35&gt;0),$EG$6*INDEX(table_base_coef_patronale,MATCH(A48,Taux_cotisations!$A$110:$A$136,0),MATCH($X$3,Taux_cotisations!$A$110:$M$110,0)),+$T$35*INDEX(table_base_coef_patronale,MATCH(A48,Taux_cotisations!$A$110:$A$136,0),MATCH($X$3,Taux_cotisations!$A$110:$M$110,0)))</f>
        <v>0</v>
      </c>
      <c r="S48" s="1763"/>
      <c r="T48" s="1764"/>
      <c r="U48" s="1765">
        <f>INDEX(table_taux_patronales,MATCH(A48,Taux_cotisations!$A$39:$A$65,0),MATCH($X$3,Taux_cotisations!$A$39:$M$39,0))</f>
        <v>9.9000000000000005E-2</v>
      </c>
      <c r="V48" s="1766"/>
      <c r="W48" s="1767"/>
      <c r="X48" s="1757">
        <f ca="1">ROUND(U48*R48,2)</f>
        <v>0</v>
      </c>
      <c r="Y48" s="1758"/>
      <c r="Z48" s="1759"/>
      <c r="AA48" s="885" t="str">
        <f>IF(AND(BE48="OUI",$AR$13=S.CAL!$CU$2),"►",IF(AND(EV48="OUI",$AR$13=S.CAL!$CU$3),"►",""))</f>
        <v/>
      </c>
      <c r="AB48" s="1760">
        <f>IF(AB20+28&lt;DATE(YEAR(AB20),MONTH(AB20)+1,DAY(AB20)),AB20+28,"")</f>
        <v>46051</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7"/>
        <v/>
      </c>
      <c r="AQ48" s="322"/>
      <c r="AR48" s="1104"/>
      <c r="AS48" s="314">
        <f t="shared" si="3"/>
        <v>0</v>
      </c>
      <c r="AT48" s="1125"/>
      <c r="AU48" s="1125"/>
      <c r="AV48" s="314"/>
      <c r="AW48" s="1791">
        <f t="shared" si="21"/>
        <v>46051</v>
      </c>
      <c r="AX48" s="1761"/>
      <c r="AY48" s="314"/>
      <c r="AZ48" s="1104"/>
      <c r="BA48" s="973"/>
      <c r="BB48" s="543"/>
      <c r="BC48" s="548">
        <f t="shared" si="22"/>
        <v>0</v>
      </c>
      <c r="BD48" s="1104"/>
      <c r="BE48" s="807">
        <f t="shared" si="23"/>
        <v>0</v>
      </c>
      <c r="BF48" s="1128"/>
      <c r="BG48" s="222"/>
      <c r="BH48" s="548" t="str">
        <f t="shared" si="24"/>
        <v/>
      </c>
      <c r="BI48" s="1128"/>
      <c r="BJ48" s="129" t="str">
        <f>IFERROR(+BN48&amp;BL48&amp;BM48,0)</f>
        <v>Fiche infoA4</v>
      </c>
      <c r="BK48" s="129">
        <f t="shared" si="48"/>
        <v>5</v>
      </c>
      <c r="BL48" s="129" t="str">
        <f t="shared" si="4"/>
        <v>A</v>
      </c>
      <c r="BM48" s="129">
        <f>IFERROR(WEEKDAY(AB48,2),0)</f>
        <v>4</v>
      </c>
      <c r="BN48" s="223" t="str">
        <f t="shared" si="59"/>
        <v>Fiche info</v>
      </c>
      <c r="BO48" s="314" t="str">
        <f t="shared" si="50"/>
        <v/>
      </c>
      <c r="BP48" s="196" t="str">
        <f t="shared" si="51"/>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8"/>
      <c r="CC48" s="606"/>
      <c r="CD48" s="1352" t="str">
        <f>+"(journée inférieure ou égale à "&amp;DL1&amp;"h"&amp;DL2&amp;")"</f>
        <v>(journée inférieure ou égale à 6h14)</v>
      </c>
      <c r="CE48" s="604"/>
      <c r="CF48" s="57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2"/>
        <v>46051</v>
      </c>
      <c r="ER48" s="749">
        <f t="shared" si="10"/>
        <v>0</v>
      </c>
      <c r="ES48" s="750">
        <f t="shared" si="11"/>
        <v>0</v>
      </c>
      <c r="ET48" s="749">
        <f t="shared" si="12"/>
        <v>0</v>
      </c>
      <c r="EU48" s="750">
        <f t="shared" si="13"/>
        <v>0</v>
      </c>
      <c r="EV48" s="749" t="str">
        <f t="shared" si="14"/>
        <v/>
      </c>
      <c r="EW48" s="751">
        <f t="shared" si="28"/>
        <v>46051</v>
      </c>
      <c r="EX48" s="759" t="str">
        <f>IFERROR(IF(AND(AZ48="",AR48&lt;&gt;S.CAL!$BJ$3,AR48&lt;&gt;S.CAL!$BJ$4),FS48-BC48,IF(AZ48&lt;&gt;0,AZ48,IF(OR(AR48=S.CAL!$BJ$3,AR48=S.CAL!$BJ$4),AR48,0))),"")</f>
        <v/>
      </c>
      <c r="EY48" s="753">
        <f t="shared" si="53"/>
        <v>0</v>
      </c>
      <c r="EZ48" s="736">
        <f t="shared" si="54"/>
        <v>0</v>
      </c>
      <c r="FA48" s="759" t="str">
        <f t="shared" si="31"/>
        <v/>
      </c>
      <c r="FB48" s="754" t="str">
        <f t="shared" si="15"/>
        <v/>
      </c>
      <c r="FC48" s="315" t="str">
        <f t="shared" si="55"/>
        <v>non</v>
      </c>
      <c r="FD48" s="760">
        <f t="shared" si="16"/>
        <v>0</v>
      </c>
      <c r="FG48" s="129" t="str">
        <f t="shared" si="56"/>
        <v/>
      </c>
      <c r="FJ48" s="315">
        <f t="shared" si="57"/>
        <v>1</v>
      </c>
      <c r="FK48" s="129">
        <f t="shared" si="17"/>
        <v>10</v>
      </c>
      <c r="FL48" s="129">
        <f t="shared" si="35"/>
        <v>1</v>
      </c>
      <c r="FN48" s="129">
        <f>+IF(AND($DP$8&lt;&gt;52,AR48=S.CAL!$BJ$4),10,1)</f>
        <v>1</v>
      </c>
      <c r="FP48" s="129">
        <f t="shared" si="18"/>
        <v>0</v>
      </c>
      <c r="FS48" s="223" t="str">
        <f t="shared" si="60"/>
        <v/>
      </c>
      <c r="FZ48" s="129">
        <f t="shared" si="37"/>
        <v>5</v>
      </c>
      <c r="GA48" s="129">
        <f t="shared" si="38"/>
        <v>2026</v>
      </c>
      <c r="GB48" s="129" t="str">
        <f t="shared" si="39"/>
        <v>52026</v>
      </c>
      <c r="GC48" s="223">
        <f>IF(AND($GD$53=S.CAL!$P$3,$GD$52=FZ48),GE48,IF(BH48="",0,BH48))</f>
        <v>0</v>
      </c>
      <c r="GD48" s="129" t="str">
        <f>IFERROR(+Février!$BY$2&amp;BL48&amp;BM48,0)</f>
        <v>Fiche infoA4</v>
      </c>
      <c r="GE48" s="129" t="str">
        <f t="shared" si="19"/>
        <v/>
      </c>
      <c r="GF48" s="223" t="str">
        <f t="shared" si="40"/>
        <v/>
      </c>
      <c r="GG48" s="1446" t="str">
        <f>+'Retenue Janv'!D46</f>
        <v/>
      </c>
      <c r="GH48" s="1446">
        <f>IF(Identification!$B$132="Non",'Retenue Janv'!BF46,'Retenue Janv'!BE46)</f>
        <v>0</v>
      </c>
      <c r="GI48" s="1446"/>
      <c r="GJ48" s="1507" t="str">
        <f t="shared" si="41"/>
        <v/>
      </c>
      <c r="GK48" s="223" t="str">
        <f t="shared" si="42"/>
        <v/>
      </c>
      <c r="GL48" s="223" t="str">
        <f t="shared" si="43"/>
        <v/>
      </c>
      <c r="GM48" s="1506">
        <f t="shared" si="44"/>
        <v>0</v>
      </c>
      <c r="GN48" s="1446"/>
      <c r="GO48" s="1446">
        <f t="shared" si="20"/>
        <v>0</v>
      </c>
      <c r="GP48" s="1446" t="str">
        <f t="shared" si="45"/>
        <v/>
      </c>
      <c r="GQ48" s="1446" t="str">
        <f t="shared" si="46"/>
        <v/>
      </c>
      <c r="GR48" s="1446"/>
      <c r="GS48" s="1446"/>
      <c r="GT48" s="1446"/>
      <c r="GU48" s="1446"/>
      <c r="GV48" s="1446"/>
    </row>
    <row r="49" spans="1:204" x14ac:dyDescent="0.2">
      <c r="A49" s="1850"/>
      <c r="B49" s="1851"/>
      <c r="C49" s="1851"/>
      <c r="D49" s="1851"/>
      <c r="E49" s="1851"/>
      <c r="F49" s="1851"/>
      <c r="G49" s="1852"/>
      <c r="H49" s="1736"/>
      <c r="I49" s="1737"/>
      <c r="J49" s="1738"/>
      <c r="K49" s="1739"/>
      <c r="L49" s="1740"/>
      <c r="M49" s="1741"/>
      <c r="N49" s="1773"/>
      <c r="O49" s="1774"/>
      <c r="P49" s="1775"/>
      <c r="Q49" s="221"/>
      <c r="R49" s="1762"/>
      <c r="S49" s="1763"/>
      <c r="T49" s="1764"/>
      <c r="U49" s="1765"/>
      <c r="V49" s="1766"/>
      <c r="W49" s="1767"/>
      <c r="X49" s="1757"/>
      <c r="Y49" s="1758"/>
      <c r="Z49" s="1759"/>
      <c r="AA49" s="885" t="str">
        <f>IF(AND(BE49="OUI",$AR$13=S.CAL!$CU$2),"►",IF(AND(EV49="OUI",$AR$13=S.CAL!$CU$3),"►",""))</f>
        <v/>
      </c>
      <c r="AB49" s="1760">
        <f>IF(AB20+29&lt;DATE(YEAR(AB20),MONTH(AB20)+1,DAY(AB20)),AB20+29,"")</f>
        <v>46052</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7"/>
        <v/>
      </c>
      <c r="AQ49" s="322"/>
      <c r="AR49" s="1104"/>
      <c r="AS49" s="314">
        <f t="shared" si="3"/>
        <v>0</v>
      </c>
      <c r="AT49" s="1125"/>
      <c r="AU49" s="1125"/>
      <c r="AV49" s="314"/>
      <c r="AW49" s="1791">
        <f t="shared" si="21"/>
        <v>46052</v>
      </c>
      <c r="AX49" s="1761"/>
      <c r="AY49" s="314"/>
      <c r="AZ49" s="1104"/>
      <c r="BA49" s="973"/>
      <c r="BB49" s="543"/>
      <c r="BC49" s="548">
        <f t="shared" si="22"/>
        <v>0</v>
      </c>
      <c r="BD49" s="1104"/>
      <c r="BE49" s="807">
        <f t="shared" si="23"/>
        <v>0</v>
      </c>
      <c r="BF49" s="1128"/>
      <c r="BG49" s="222"/>
      <c r="BH49" s="548" t="str">
        <f t="shared" si="24"/>
        <v/>
      </c>
      <c r="BI49" s="1128"/>
      <c r="BJ49" s="129" t="str">
        <f t="shared" ref="BJ49:BJ50" si="66">IFERROR(+BN49&amp;BL49&amp;BM49,0)</f>
        <v>Fiche infoA5</v>
      </c>
      <c r="BK49" s="129">
        <f t="shared" si="48"/>
        <v>5</v>
      </c>
      <c r="BL49" s="129" t="str">
        <f t="shared" si="4"/>
        <v>A</v>
      </c>
      <c r="BM49" s="129">
        <f>IFERROR(WEEKDAY(AB49,2),0)</f>
        <v>5</v>
      </c>
      <c r="BN49" s="223" t="str">
        <f t="shared" si="59"/>
        <v>Fiche info</v>
      </c>
      <c r="BO49" s="314" t="str">
        <f t="shared" si="50"/>
        <v/>
      </c>
      <c r="BP49" s="196" t="str">
        <f t="shared" si="51"/>
        <v/>
      </c>
      <c r="BQ49" s="583"/>
      <c r="BR49" s="583"/>
      <c r="BS49" s="583"/>
      <c r="BT49" s="583"/>
      <c r="BU49" s="583"/>
      <c r="BV49" s="583"/>
      <c r="BW49" s="583"/>
      <c r="BX49" s="583"/>
      <c r="BY49" s="2094" t="s">
        <v>910</v>
      </c>
      <c r="BZ49" s="2095"/>
      <c r="CA49" s="2083">
        <f>+CA47+CA44</f>
        <v>0</v>
      </c>
      <c r="CB49" s="607"/>
      <c r="CC49" s="609"/>
      <c r="CD49" s="1351" t="s">
        <v>454</v>
      </c>
      <c r="CE49" s="1041">
        <f>+CF49</f>
        <v>3.8250000000000002</v>
      </c>
      <c r="CF49" s="1117">
        <v>3.8250000000000002</v>
      </c>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2"/>
        <v>46052</v>
      </c>
      <c r="ER49" s="749">
        <f t="shared" si="10"/>
        <v>0</v>
      </c>
      <c r="ES49" s="750">
        <f t="shared" si="11"/>
        <v>0</v>
      </c>
      <c r="ET49" s="749">
        <f t="shared" si="12"/>
        <v>0</v>
      </c>
      <c r="EU49" s="750">
        <f t="shared" si="13"/>
        <v>0</v>
      </c>
      <c r="EV49" s="749" t="str">
        <f t="shared" si="14"/>
        <v/>
      </c>
      <c r="EW49" s="751">
        <f t="shared" si="28"/>
        <v>46052</v>
      </c>
      <c r="EX49" s="759" t="str">
        <f>IFERROR(IF(AND(AZ49="",AR49&lt;&gt;S.CAL!$BJ$3,AR49&lt;&gt;S.CAL!$BJ$4),FS49-BC49,IF(AZ49&lt;&gt;0,AZ49,IF(OR(AR49=S.CAL!$BJ$3,AR49=S.CAL!$BJ$4),AR49,0))),"")</f>
        <v/>
      </c>
      <c r="EY49" s="753">
        <f t="shared" si="53"/>
        <v>0</v>
      </c>
      <c r="EZ49" s="736">
        <f t="shared" si="54"/>
        <v>0</v>
      </c>
      <c r="FA49" s="759" t="str">
        <f t="shared" si="31"/>
        <v/>
      </c>
      <c r="FB49" s="754" t="str">
        <f t="shared" si="15"/>
        <v/>
      </c>
      <c r="FC49" s="315" t="str">
        <f t="shared" si="55"/>
        <v>non</v>
      </c>
      <c r="FD49" s="760">
        <f t="shared" si="16"/>
        <v>0</v>
      </c>
      <c r="FG49" s="129" t="str">
        <f t="shared" si="56"/>
        <v/>
      </c>
      <c r="FJ49" s="315">
        <f t="shared" si="57"/>
        <v>1</v>
      </c>
      <c r="FK49" s="129">
        <f t="shared" si="17"/>
        <v>10</v>
      </c>
      <c r="FL49" s="129">
        <f t="shared" si="35"/>
        <v>1</v>
      </c>
      <c r="FN49" s="129">
        <f>+IF(AND($DP$8&lt;&gt;52,AR49=S.CAL!$BJ$4),10,1)</f>
        <v>1</v>
      </c>
      <c r="FP49" s="129">
        <f t="shared" si="18"/>
        <v>0</v>
      </c>
      <c r="FS49" s="223" t="str">
        <f t="shared" si="60"/>
        <v/>
      </c>
      <c r="FZ49" s="129">
        <f t="shared" si="37"/>
        <v>5</v>
      </c>
      <c r="GA49" s="129">
        <f t="shared" ref="GA49:GA50" si="67">++IF(OR(FZ49=52,FZ49=53),$X$4-1,$X$4)</f>
        <v>2026</v>
      </c>
      <c r="GB49" s="129" t="str">
        <f t="shared" ref="GB49:GB50" si="68">+FZ49&amp;GA49</f>
        <v>52026</v>
      </c>
      <c r="GC49" s="223">
        <f>IF(AND($GD$53=S.CAL!$P$3,$GD$52=FZ49),GE49,IF(BH49="",0,BH49))</f>
        <v>0</v>
      </c>
      <c r="GD49" s="129" t="str">
        <f>IFERROR(+Février!$BY$2&amp;BL49&amp;BM49,0)</f>
        <v>Fiche infoA5</v>
      </c>
      <c r="GE49" s="129" t="str">
        <f t="shared" si="19"/>
        <v/>
      </c>
      <c r="GF49" s="223" t="str">
        <f t="shared" ref="GF49:GF50" si="69">IF(FP49=1,GG49,AM49)</f>
        <v/>
      </c>
      <c r="GG49" s="1446" t="str">
        <f>+'Retenue Janv'!D47</f>
        <v/>
      </c>
      <c r="GH49" s="1446">
        <f>IF(Identification!$B$132="Non",'Retenue Janv'!BF47,'Retenue Janv'!BE47)</f>
        <v>0</v>
      </c>
      <c r="GI49" s="1446"/>
      <c r="GJ49" s="1507" t="str">
        <f t="shared" si="41"/>
        <v/>
      </c>
      <c r="GK49" s="223" t="str">
        <f t="shared" si="42"/>
        <v/>
      </c>
      <c r="GL49" s="223" t="str">
        <f t="shared" si="43"/>
        <v/>
      </c>
      <c r="GM49" s="1506">
        <f t="shared" si="44"/>
        <v>0</v>
      </c>
      <c r="GN49" s="1446"/>
      <c r="GO49" s="1446">
        <f t="shared" si="20"/>
        <v>0</v>
      </c>
      <c r="GP49" s="1446" t="str">
        <f t="shared" si="45"/>
        <v/>
      </c>
      <c r="GQ49" s="1446" t="str">
        <f t="shared" si="46"/>
        <v/>
      </c>
      <c r="GR49" s="1446"/>
      <c r="GS49" s="1446"/>
      <c r="GT49" s="1446"/>
      <c r="GU49" s="1446"/>
      <c r="GV49" s="1446"/>
    </row>
    <row r="50" spans="1:204" x14ac:dyDescent="0.2">
      <c r="A50" s="1850" t="str">
        <f>Taux_cotisations!A24</f>
        <v>Famille</v>
      </c>
      <c r="B50" s="1851"/>
      <c r="C50" s="1851"/>
      <c r="D50" s="1851"/>
      <c r="E50" s="1851"/>
      <c r="F50" s="1851"/>
      <c r="G50" s="1852"/>
      <c r="H50" s="1736"/>
      <c r="I50" s="1737"/>
      <c r="J50" s="1738"/>
      <c r="K50" s="1739"/>
      <c r="L50" s="1740"/>
      <c r="M50" s="1741"/>
      <c r="N50" s="1773"/>
      <c r="O50" s="1774"/>
      <c r="P50" s="1775"/>
      <c r="Q50" s="221"/>
      <c r="R50" s="1757">
        <f ca="1">IF(AND($T$35&gt;=$EG$6,$T$35&gt;0),$EG$6*INDEX(table_base_coef_patronale,MATCH(A50,Taux_cotisations!$A$110:$A$136,0),MATCH($X$3,Taux_cotisations!$A$110:$M$110,0)),+$T$35*INDEX(table_base_coef_patronale,MATCH(A50,Taux_cotisations!$A$110:$A$136,0),MATCH($X$3,Taux_cotisations!$A$110:$M$110,0)))</f>
        <v>0</v>
      </c>
      <c r="S50" s="1758"/>
      <c r="T50" s="1759"/>
      <c r="U50" s="1779">
        <f>INDEX(table_taux_patronales,MATCH(A50,Taux_cotisations!$A$39:$A$65,0),MATCH($X$3,Taux_cotisations!$A$39:$M$39,0))</f>
        <v>5.3999999999999999E-2</v>
      </c>
      <c r="V50" s="1780"/>
      <c r="W50" s="1781"/>
      <c r="X50" s="1757">
        <f t="shared" ref="X50" ca="1" si="70">ROUND(U50*R50,2)</f>
        <v>0</v>
      </c>
      <c r="Y50" s="1758"/>
      <c r="Z50" s="1759"/>
      <c r="AA50" s="885" t="str">
        <f>IF(AND(BE50="OUI",$AR$13=S.CAL!$CU$2),"►",IF(AND(EV50="OUI",$AR$13=S.CAL!$CU$3),"►",""))</f>
        <v/>
      </c>
      <c r="AB50" s="1760">
        <f>IF(AB20+30&lt;DATE(YEAR(AB20),MONTH(AB20)+1,DAY(AB20)),AB20+30,"")</f>
        <v>46053</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7"/>
        <v/>
      </c>
      <c r="AQ50" s="322"/>
      <c r="AR50" s="1105"/>
      <c r="AS50" s="314">
        <f t="shared" si="3"/>
        <v>0</v>
      </c>
      <c r="AT50" s="1126"/>
      <c r="AU50" s="1126"/>
      <c r="AV50" s="314"/>
      <c r="AW50" s="2026">
        <f t="shared" si="21"/>
        <v>46053</v>
      </c>
      <c r="AX50" s="2027"/>
      <c r="AY50" s="314"/>
      <c r="AZ50" s="1105"/>
      <c r="BA50" s="974"/>
      <c r="BB50" s="543"/>
      <c r="BC50" s="546">
        <f t="shared" si="22"/>
        <v>0</v>
      </c>
      <c r="BD50" s="1105"/>
      <c r="BE50" s="808">
        <f t="shared" si="23"/>
        <v>0</v>
      </c>
      <c r="BF50" s="1129"/>
      <c r="BG50" s="222"/>
      <c r="BH50" s="546" t="str">
        <f t="shared" si="24"/>
        <v/>
      </c>
      <c r="BI50" s="1129"/>
      <c r="BJ50" s="129" t="str">
        <f t="shared" si="66"/>
        <v>Fiche infoA6</v>
      </c>
      <c r="BK50" s="129">
        <f t="shared" si="48"/>
        <v>5</v>
      </c>
      <c r="BL50" s="129" t="str">
        <f t="shared" si="4"/>
        <v>A</v>
      </c>
      <c r="BM50" s="129">
        <f>IFERROR(WEEKDAY(AB50,2),0)</f>
        <v>6</v>
      </c>
      <c r="BN50" s="223" t="str">
        <f t="shared" si="59"/>
        <v>Fiche info</v>
      </c>
      <c r="BO50" s="314" t="str">
        <f t="shared" si="50"/>
        <v/>
      </c>
      <c r="BP50" s="196" t="str">
        <f t="shared" si="51"/>
        <v/>
      </c>
      <c r="BQ50" s="583"/>
      <c r="BR50" s="583"/>
      <c r="BS50" s="583"/>
      <c r="BT50" s="583"/>
      <c r="BU50" s="583"/>
      <c r="BV50" s="583"/>
      <c r="BW50" s="583"/>
      <c r="BX50" s="600"/>
      <c r="BY50" s="2096"/>
      <c r="BZ50" s="2097"/>
      <c r="CA50" s="2093"/>
      <c r="CB50" s="607"/>
      <c r="CC50" s="607"/>
      <c r="CD50" s="1352"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2"/>
        <v>46053</v>
      </c>
      <c r="ER50" s="769">
        <f t="shared" si="10"/>
        <v>0</v>
      </c>
      <c r="ES50" s="770">
        <f t="shared" si="11"/>
        <v>0</v>
      </c>
      <c r="ET50" s="769">
        <f t="shared" si="12"/>
        <v>0</v>
      </c>
      <c r="EU50" s="770">
        <f t="shared" si="13"/>
        <v>0</v>
      </c>
      <c r="EV50" s="769" t="str">
        <f t="shared" si="14"/>
        <v/>
      </c>
      <c r="EW50" s="771">
        <f t="shared" si="28"/>
        <v>46053</v>
      </c>
      <c r="EX50" s="772" t="str">
        <f>IFERROR(IF(AND(AZ50="",AR50&lt;&gt;S.CAL!$BJ$3,AR50&lt;&gt;S.CAL!$BJ$4),FS50-BC50,IF(AZ50&lt;&gt;0,AZ50,IF(OR(AR50=S.CAL!$BJ$3,AR50=S.CAL!$BJ$4),AR50,0))),"")</f>
        <v/>
      </c>
      <c r="EY50" s="772">
        <f t="shared" si="53"/>
        <v>0</v>
      </c>
      <c r="EZ50" s="773">
        <f t="shared" si="54"/>
        <v>0</v>
      </c>
      <c r="FA50" s="772" t="str">
        <f t="shared" si="31"/>
        <v/>
      </c>
      <c r="FB50" s="774" t="str">
        <f t="shared" si="15"/>
        <v/>
      </c>
      <c r="FC50" s="315" t="str">
        <f t="shared" si="55"/>
        <v>non</v>
      </c>
      <c r="FD50" s="775">
        <f t="shared" si="16"/>
        <v>0</v>
      </c>
      <c r="FG50" s="129" t="str">
        <f t="shared" si="56"/>
        <v/>
      </c>
      <c r="FJ50" s="315">
        <f t="shared" si="57"/>
        <v>1</v>
      </c>
      <c r="FK50" s="129">
        <f t="shared" si="17"/>
        <v>10</v>
      </c>
      <c r="FL50" s="129">
        <f t="shared" si="35"/>
        <v>1</v>
      </c>
      <c r="FN50" s="129">
        <f>+IF(AND($DP$8&lt;&gt;52,AR50=S.CAL!$BJ$4),10,1)</f>
        <v>1</v>
      </c>
      <c r="FP50" s="129">
        <f t="shared" si="18"/>
        <v>0</v>
      </c>
      <c r="FS50" s="223" t="str">
        <f t="shared" si="60"/>
        <v/>
      </c>
      <c r="FZ50" s="129">
        <f t="shared" si="37"/>
        <v>5</v>
      </c>
      <c r="GA50" s="129">
        <f t="shared" si="67"/>
        <v>2026</v>
      </c>
      <c r="GB50" s="129" t="str">
        <f t="shared" si="68"/>
        <v>52026</v>
      </c>
      <c r="GC50" s="223">
        <f>IF(AND($GD$53=S.CAL!$P$3,$GD$52=FZ50),GE50,IF(BH50="",0,BH50))</f>
        <v>0</v>
      </c>
      <c r="GD50" s="129" t="str">
        <f>IFERROR(+Février!$BY$2&amp;BL50&amp;BM50,0)</f>
        <v>Fiche infoA6</v>
      </c>
      <c r="GE50" s="129" t="str">
        <f t="shared" si="19"/>
        <v/>
      </c>
      <c r="GF50" s="223" t="str">
        <f t="shared" si="69"/>
        <v/>
      </c>
      <c r="GG50" s="1446" t="str">
        <f>+'Retenue Janv'!D48</f>
        <v/>
      </c>
      <c r="GH50" s="1446">
        <f>IF(Identification!$B$132="Non",'Retenue Janv'!BF48,'Retenue Janv'!BE48)</f>
        <v>0</v>
      </c>
      <c r="GI50" s="1446"/>
      <c r="GJ50" s="1507" t="str">
        <f t="shared" si="41"/>
        <v/>
      </c>
      <c r="GK50" s="223" t="str">
        <f t="shared" si="42"/>
        <v/>
      </c>
      <c r="GL50" s="223" t="str">
        <f t="shared" si="43"/>
        <v/>
      </c>
      <c r="GM50" s="1506">
        <f t="shared" si="44"/>
        <v>0</v>
      </c>
      <c r="GN50" s="1446"/>
      <c r="GO50" s="1446">
        <f t="shared" si="20"/>
        <v>0</v>
      </c>
      <c r="GP50" s="1446" t="str">
        <f t="shared" si="45"/>
        <v/>
      </c>
      <c r="GQ50" s="1446" t="str">
        <f t="shared" si="46"/>
        <v/>
      </c>
      <c r="GR50" s="1446"/>
      <c r="GS50" s="1446"/>
      <c r="GT50" s="1446"/>
      <c r="GU50" s="1446"/>
      <c r="GV50" s="1446"/>
    </row>
    <row r="51" spans="1:204" ht="13.5" thickBot="1" x14ac:dyDescent="0.25">
      <c r="A51" s="1856"/>
      <c r="B51" s="1857"/>
      <c r="C51" s="1857"/>
      <c r="D51" s="1857"/>
      <c r="E51" s="1857"/>
      <c r="F51" s="1857"/>
      <c r="G51" s="1858"/>
      <c r="H51" s="1736"/>
      <c r="I51" s="1737"/>
      <c r="J51" s="1738"/>
      <c r="K51" s="1739"/>
      <c r="L51" s="1740"/>
      <c r="M51" s="1741"/>
      <c r="N51" s="1773"/>
      <c r="O51" s="1774"/>
      <c r="P51" s="1775"/>
      <c r="Q51" s="221"/>
      <c r="R51" s="1762"/>
      <c r="S51" s="1763"/>
      <c r="T51" s="1764"/>
      <c r="U51" s="1765"/>
      <c r="V51" s="1766"/>
      <c r="W51" s="1767"/>
      <c r="X51" s="1757"/>
      <c r="Y51" s="1758"/>
      <c r="Z51" s="1759"/>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7"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1">SUM(DV20:DV50)</f>
        <v>0</v>
      </c>
      <c r="DW51" s="1348">
        <f t="shared" si="71"/>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204" ht="13.5" thickTop="1" x14ac:dyDescent="0.2">
      <c r="A52" s="1856" t="str">
        <f>Taux_cotisations!A25</f>
        <v>Assurance Chômage</v>
      </c>
      <c r="B52" s="1857"/>
      <c r="C52" s="1857"/>
      <c r="D52" s="1857"/>
      <c r="E52" s="1857"/>
      <c r="F52" s="1857"/>
      <c r="G52" s="1858"/>
      <c r="H52" s="1736"/>
      <c r="I52" s="1737"/>
      <c r="J52" s="1738"/>
      <c r="K52" s="1739"/>
      <c r="L52" s="1740"/>
      <c r="M52" s="1741"/>
      <c r="N52" s="1773"/>
      <c r="O52" s="1774"/>
      <c r="P52" s="1775"/>
      <c r="Q52" s="221"/>
      <c r="R52" s="1762">
        <f ca="1">IF(AND($T$35&gt;=$EG$6,$T$35&gt;0),$EG$6*INDEX(table_base_coef_patronale,MATCH(A52,Taux_cotisations!$A$110:$A$136,0),MATCH($X$3,Taux_cotisations!$A$110:$M$110,0)),+$T$35*INDEX(table_base_coef_patronale,MATCH(A52,Taux_cotisations!$A$110:$A$136,0),MATCH($X$3,Taux_cotisations!$A$110:$M$110,0)))</f>
        <v>0</v>
      </c>
      <c r="S52" s="1763"/>
      <c r="T52" s="1764"/>
      <c r="U52" s="1765">
        <f>INDEX(table_taux_patronales,MATCH(A52,Taux_cotisations!$A$39:$A$65,0),MATCH($X$3,Taux_cotisations!$A$39:$M$39,0))</f>
        <v>2.8000000000000001E-2</v>
      </c>
      <c r="V52" s="1766"/>
      <c r="W52" s="1767"/>
      <c r="X52" s="1757">
        <f t="shared" ref="X52" ca="1" si="72">ROUND(U52*R52,2)</f>
        <v>0</v>
      </c>
      <c r="Y52" s="1758"/>
      <c r="Z52" s="1759"/>
      <c r="AA52" s="886"/>
      <c r="AB52" s="220"/>
      <c r="AC52" s="220"/>
      <c r="AD52" s="222"/>
      <c r="AE52" s="222"/>
      <c r="AF52" s="222"/>
      <c r="AG52" s="222"/>
      <c r="AH52" s="222"/>
      <c r="AI52" s="222"/>
      <c r="AJ52" s="222"/>
      <c r="AK52" s="222"/>
      <c r="AL52" s="222"/>
      <c r="AM52" s="222"/>
      <c r="AN52" s="222"/>
      <c r="AO52" s="222"/>
      <c r="AP52" s="222"/>
      <c r="AQ52" s="1545"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 t="array" ref="GD52">MAX(IF(GA20:GA50=Identification!B60,FZ20:FZ50))</f>
        <v>5</v>
      </c>
      <c r="GJ52" s="1508"/>
      <c r="GK52" s="212"/>
      <c r="GL52" s="212"/>
      <c r="GM52" s="1509">
        <f>SUM(GM20:GM50)</f>
        <v>0</v>
      </c>
    </row>
    <row r="53" spans="1:204" x14ac:dyDescent="0.2">
      <c r="A53" s="1856"/>
      <c r="B53" s="1857"/>
      <c r="C53" s="1857"/>
      <c r="D53" s="1857"/>
      <c r="E53" s="1857"/>
      <c r="F53" s="1857"/>
      <c r="G53" s="1858"/>
      <c r="H53" s="1736"/>
      <c r="I53" s="1737"/>
      <c r="J53" s="1738"/>
      <c r="K53" s="1739"/>
      <c r="L53" s="1740"/>
      <c r="M53" s="1741"/>
      <c r="N53" s="1773"/>
      <c r="O53" s="1774"/>
      <c r="P53" s="1775"/>
      <c r="Q53" s="221"/>
      <c r="R53" s="1762"/>
      <c r="S53" s="1763"/>
      <c r="T53" s="1764"/>
      <c r="U53" s="1765"/>
      <c r="V53" s="1766"/>
      <c r="W53" s="1767"/>
      <c r="X53" s="1757"/>
      <c r="Y53" s="1758"/>
      <c r="Z53" s="1759"/>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4" t="s">
        <v>1502</v>
      </c>
      <c r="CE53" s="1297">
        <v>0</v>
      </c>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204" x14ac:dyDescent="0.2">
      <c r="A54" s="1856" t="str">
        <f>+Taux_cotisations!A26</f>
        <v>Contribution Santé au Travail</v>
      </c>
      <c r="B54" s="1857"/>
      <c r="C54" s="1857"/>
      <c r="D54" s="1857"/>
      <c r="E54" s="1857"/>
      <c r="F54" s="1857"/>
      <c r="G54" s="1858"/>
      <c r="H54" s="1736"/>
      <c r="I54" s="1737"/>
      <c r="J54" s="1738"/>
      <c r="K54" s="1739"/>
      <c r="L54" s="1740"/>
      <c r="M54" s="1741"/>
      <c r="N54" s="1773"/>
      <c r="O54" s="1774"/>
      <c r="P54" s="1775"/>
      <c r="Q54" s="221"/>
      <c r="R54" s="1762">
        <f ca="1">+$T$35*INDEX(table_base_coef_patronale,MATCH(A54,Taux_cotisations!$A$110:$A$136,0),MATCH($X$3,Taux_cotisations!$A$110:$M$110,0))</f>
        <v>0</v>
      </c>
      <c r="S54" s="1763"/>
      <c r="T54" s="1764"/>
      <c r="U54" s="1765">
        <f>INDEX(table_taux_patronales,MATCH(A54,Taux_cotisations!$A$39:$A$65,0),MATCH($X$3,Taux_cotisations!$A$39:$M$39,0))</f>
        <v>2.7E-2</v>
      </c>
      <c r="V54" s="1766"/>
      <c r="W54" s="1767"/>
      <c r="X54" s="1757">
        <f ca="1">MIN(ROUND(U54*R54,2),5)</f>
        <v>0</v>
      </c>
      <c r="Y54" s="1758"/>
      <c r="Z54" s="1759"/>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I54" s="129"/>
      <c r="BQ54" s="1998" t="s">
        <v>1052</v>
      </c>
      <c r="BR54" s="1998"/>
      <c r="BS54" s="1998"/>
      <c r="BT54" s="1998"/>
      <c r="BU54" s="1998"/>
      <c r="BV54" s="1998"/>
      <c r="BW54" s="1998"/>
      <c r="BX54" s="1998"/>
      <c r="BY54" s="1998"/>
      <c r="BZ54" s="1998"/>
      <c r="CA54" s="610"/>
      <c r="CB54" s="604"/>
      <c r="CC54" s="604"/>
      <c r="CD54" s="1345" t="s">
        <v>1037</v>
      </c>
      <c r="CE54" s="1347">
        <v>0</v>
      </c>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204" x14ac:dyDescent="0.2">
      <c r="A55" s="1856"/>
      <c r="B55" s="1857"/>
      <c r="C55" s="1857"/>
      <c r="D55" s="1857"/>
      <c r="E55" s="1857"/>
      <c r="F55" s="1857"/>
      <c r="G55" s="1858"/>
      <c r="H55" s="1859"/>
      <c r="I55" s="1774"/>
      <c r="J55" s="1860"/>
      <c r="K55" s="1917"/>
      <c r="L55" s="1918"/>
      <c r="M55" s="1919"/>
      <c r="N55" s="1773"/>
      <c r="O55" s="1774"/>
      <c r="P55" s="1775"/>
      <c r="Q55" s="224"/>
      <c r="R55" s="1757"/>
      <c r="S55" s="1758"/>
      <c r="T55" s="1759"/>
      <c r="U55" s="1765"/>
      <c r="V55" s="1766"/>
      <c r="W55" s="1767"/>
      <c r="X55" s="1757"/>
      <c r="Y55" s="1758"/>
      <c r="Z55" s="1759"/>
      <c r="AA55" s="886"/>
      <c r="AB55" s="1776" t="s">
        <v>1207</v>
      </c>
      <c r="AC55" s="1776"/>
      <c r="AD55" s="1776"/>
      <c r="AE55" s="1776"/>
      <c r="AF55" s="1776"/>
      <c r="AG55" s="1776"/>
      <c r="AH55" s="1776"/>
      <c r="AI55" s="1776"/>
      <c r="AJ55" s="1776"/>
      <c r="AK55" s="1776"/>
      <c r="AL55" s="1776"/>
      <c r="AM55" s="1778" t="e">
        <f ca="1">+EG2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IF(CF55="",IF(CE54,CE53/CE54,0),CF55)</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204" x14ac:dyDescent="0.2">
      <c r="A56" s="1853" t="str">
        <f>Taux_cotisations!A27</f>
        <v>Autres cotisations patronales</v>
      </c>
      <c r="B56" s="1854"/>
      <c r="C56" s="1854"/>
      <c r="D56" s="1854"/>
      <c r="E56" s="1854"/>
      <c r="F56" s="1854"/>
      <c r="G56" s="1855"/>
      <c r="H56" s="1736"/>
      <c r="I56" s="1737"/>
      <c r="J56" s="1738"/>
      <c r="K56" s="1739"/>
      <c r="L56" s="1740"/>
      <c r="M56" s="1741"/>
      <c r="N56" s="1773"/>
      <c r="O56" s="1774"/>
      <c r="P56" s="1775"/>
      <c r="Q56" s="221"/>
      <c r="R56" s="1757">
        <f ca="1">+$T$35*INDEX(table_base_coef_patronale,MATCH(A56,Taux_cotisations!$A$110:$A$136,0),MATCH($X$3,Taux_cotisations!$A$110:$M$110,0))</f>
        <v>0</v>
      </c>
      <c r="S56" s="1758"/>
      <c r="T56" s="1759"/>
      <c r="U56" s="1779">
        <f>INDEX(table_taux_patronales,MATCH(A56,Taux_cotisations!$A$39:$A$65,0),MATCH($X$3,Taux_cotisations!$A$39:$M$39,0))</f>
        <v>8.6599999999999993E-3</v>
      </c>
      <c r="V56" s="1780"/>
      <c r="W56" s="1781"/>
      <c r="X56" s="1757">
        <f t="shared" ref="X56:X57" ca="1" si="73">ROUND(U56*R56,2)</f>
        <v>0</v>
      </c>
      <c r="Y56" s="1758"/>
      <c r="Z56" s="1759"/>
      <c r="AA56" s="229"/>
      <c r="AB56" s="1776" t="s">
        <v>1208</v>
      </c>
      <c r="AC56" s="1776"/>
      <c r="AD56" s="1776"/>
      <c r="AE56" s="1776"/>
      <c r="AF56" s="1776"/>
      <c r="AG56" s="1776"/>
      <c r="AH56" s="1776"/>
      <c r="AI56" s="1776"/>
      <c r="AJ56" s="1776"/>
      <c r="AK56" s="1776"/>
      <c r="AL56" s="1776"/>
      <c r="AM56" s="1924">
        <f>'Retenue Janv'!E52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+IF(BY57="","",BY57)</f>
        <v>24</v>
      </c>
      <c r="BZ56" s="611" t="s">
        <v>1049</v>
      </c>
      <c r="CA56" s="614">
        <f>+IF(CA57="",0,CA57)</f>
        <v>0</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204" x14ac:dyDescent="0.2">
      <c r="A57" s="1853" t="str">
        <f>Taux_cotisations!A28</f>
        <v>Autres cotisations patronales T1</v>
      </c>
      <c r="B57" s="1854"/>
      <c r="C57" s="1854"/>
      <c r="D57" s="1854"/>
      <c r="E57" s="1854"/>
      <c r="F57" s="1854"/>
      <c r="G57" s="1855"/>
      <c r="H57" s="1736"/>
      <c r="I57" s="1737"/>
      <c r="J57" s="1738"/>
      <c r="K57" s="1739"/>
      <c r="L57" s="1740"/>
      <c r="M57" s="1741"/>
      <c r="N57" s="1773"/>
      <c r="O57" s="1774"/>
      <c r="P57" s="1775"/>
      <c r="Q57" s="221"/>
      <c r="R57" s="1757">
        <f ca="1">IF(AND(T35&gt;=EG6,T35&gt;0),EG6*INDEX(table_base_coef_patronale,MATCH(A42,Taux_cotisations!$A$110:$A$136,0),MATCH($X$3,Taux_cotisations!$A$110:$M$110,0)),+T35*INDEX(table_base_coef_patronale,MATCH(A57,Taux_cotisations!$A$110:$A$136,0),MATCH($X$3,Taux_cotisations!$A$110:$M$110,0)))</f>
        <v>0</v>
      </c>
      <c r="S57" s="1758"/>
      <c r="T57" s="1759"/>
      <c r="U57" s="1864">
        <f>INDEX(table_taux_patronales,MATCH(A57,Taux_cotisations!$A$39:$A$65,0),MATCH($X$3,Taux_cotisations!$A$39:$M$39,0))</f>
        <v>1E-3</v>
      </c>
      <c r="V57" s="1865"/>
      <c r="W57" s="1866"/>
      <c r="X57" s="1757">
        <f t="shared" ca="1" si="73"/>
        <v>0</v>
      </c>
      <c r="Y57" s="1758"/>
      <c r="Z57" s="1759"/>
      <c r="AA57" s="229"/>
      <c r="AB57" s="1776" t="s">
        <v>1209</v>
      </c>
      <c r="AC57" s="1776"/>
      <c r="AD57" s="1776"/>
      <c r="AE57" s="1776"/>
      <c r="AF57" s="1776"/>
      <c r="AG57" s="1776"/>
      <c r="AH57" s="1776"/>
      <c r="AI57" s="1776"/>
      <c r="AJ57" s="1776"/>
      <c r="AK57" s="1776"/>
      <c r="AL57" s="1776"/>
      <c r="AM57" s="2051">
        <f ca="1">+EG1</f>
        <v>0</v>
      </c>
      <c r="AN57" s="2051"/>
      <c r="AO57" s="2051"/>
      <c r="AP57" s="274"/>
      <c r="AQ57" s="327"/>
      <c r="AR57" s="274"/>
      <c r="AS57" s="129"/>
      <c r="AZ57" s="129"/>
      <c r="BA57" s="129"/>
      <c r="BB57" s="129"/>
      <c r="BC57" s="129"/>
      <c r="BD57" s="129"/>
      <c r="BE57" s="129"/>
      <c r="BF57" s="129"/>
      <c r="BG57" s="129"/>
      <c r="BH57" s="129"/>
      <c r="BI57" s="129"/>
      <c r="BJ57" s="540"/>
      <c r="BK57" s="540"/>
      <c r="BQ57" s="610"/>
      <c r="BR57" s="610"/>
      <c r="BS57" s="610"/>
      <c r="BT57" s="610"/>
      <c r="BU57" s="610"/>
      <c r="BV57" s="610"/>
      <c r="BW57" s="2000" t="s">
        <v>1050</v>
      </c>
      <c r="BX57" s="2000"/>
      <c r="BY57" s="1118">
        <v>24</v>
      </c>
      <c r="BZ57" s="615" t="s">
        <v>492</v>
      </c>
      <c r="CA57" s="1119"/>
      <c r="CD57" s="1344" t="s">
        <v>1503</v>
      </c>
      <c r="CE57" s="1297">
        <v>0</v>
      </c>
      <c r="FP57" s="129">
        <f>SUM(FP20:FP50)</f>
        <v>0</v>
      </c>
      <c r="GO57" s="1446">
        <f>SUM(GO20:GO52)</f>
        <v>0</v>
      </c>
    </row>
    <row r="58" spans="1:204" x14ac:dyDescent="0.2">
      <c r="A58" s="1853"/>
      <c r="B58" s="1854"/>
      <c r="C58" s="1854"/>
      <c r="D58" s="1854"/>
      <c r="E58" s="1854"/>
      <c r="F58" s="1854"/>
      <c r="G58" s="1855"/>
      <c r="H58" s="1736"/>
      <c r="I58" s="1737"/>
      <c r="J58" s="1738"/>
      <c r="K58" s="1739"/>
      <c r="L58" s="1740"/>
      <c r="M58" s="1741"/>
      <c r="N58" s="1773"/>
      <c r="O58" s="1774"/>
      <c r="P58" s="1775"/>
      <c r="Q58" s="221"/>
      <c r="R58" s="1757"/>
      <c r="S58" s="1758"/>
      <c r="T58" s="1759"/>
      <c r="U58" s="1864"/>
      <c r="V58" s="1865"/>
      <c r="W58" s="1866"/>
      <c r="X58" s="1757"/>
      <c r="Y58" s="1758"/>
      <c r="Z58" s="1759"/>
      <c r="AA58" s="229"/>
      <c r="AP58" s="274"/>
      <c r="AQ58" s="327"/>
      <c r="AR58" s="274"/>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47">
        <v>0</v>
      </c>
      <c r="FG58" s="129">
        <f t="array" ref="FG58">IFERROR(+INDEX($FG$20:$FG$50,MATCH(0,INDEX(COUNTIF($FG$57:FG57,$FG$20:$FG$50),0,0),0)),0)</f>
        <v>0</v>
      </c>
    </row>
    <row r="59" spans="1:204" x14ac:dyDescent="0.2">
      <c r="A59" s="1940"/>
      <c r="B59" s="1941"/>
      <c r="C59" s="1941"/>
      <c r="D59" s="1941"/>
      <c r="E59" s="1941"/>
      <c r="F59" s="1941"/>
      <c r="G59" s="1942"/>
      <c r="H59" s="1859"/>
      <c r="I59" s="1774"/>
      <c r="J59" s="1860"/>
      <c r="K59" s="1739"/>
      <c r="L59" s="1740"/>
      <c r="M59" s="1741"/>
      <c r="N59" s="1773"/>
      <c r="O59" s="1774"/>
      <c r="P59" s="1775"/>
      <c r="Q59" s="231"/>
      <c r="R59" s="1861"/>
      <c r="S59" s="1862"/>
      <c r="T59" s="1863"/>
      <c r="U59" s="1861"/>
      <c r="V59" s="1862"/>
      <c r="W59" s="1863"/>
      <c r="X59" s="1861"/>
      <c r="Y59" s="1862"/>
      <c r="Z59" s="1863"/>
      <c r="AA59" s="229"/>
      <c r="AP59" s="274"/>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129">
        <f t="array" ref="FG59">IFERROR(+INDEX($FG$20:$FG$50,MATCH(0,INDEX(COUNTIF($FG$57:FG58,$FG$20:$FG$50),0,0),0)),0)</f>
        <v>0</v>
      </c>
    </row>
    <row r="60" spans="1:204" ht="12.75" customHeight="1" x14ac:dyDescent="0.2">
      <c r="A60" s="1878"/>
      <c r="B60" s="1879"/>
      <c r="C60" s="1879"/>
      <c r="D60" s="1879"/>
      <c r="E60" s="1879"/>
      <c r="F60" s="1879"/>
      <c r="G60" s="1880"/>
      <c r="H60" s="1920"/>
      <c r="I60" s="1915"/>
      <c r="J60" s="1921"/>
      <c r="K60" s="1875"/>
      <c r="L60" s="1876"/>
      <c r="M60" s="1877"/>
      <c r="N60" s="1914"/>
      <c r="O60" s="1915"/>
      <c r="P60" s="1916"/>
      <c r="Q60" s="231"/>
      <c r="R60" s="1884"/>
      <c r="S60" s="1885"/>
      <c r="T60" s="1886"/>
      <c r="U60" s="1884"/>
      <c r="V60" s="1885"/>
      <c r="W60" s="1886"/>
      <c r="X60" s="1884"/>
      <c r="Y60" s="1885"/>
      <c r="Z60" s="1886"/>
      <c r="AA60" s="229"/>
      <c r="AB60" s="895"/>
      <c r="AC60" s="895"/>
      <c r="AD60" s="895"/>
      <c r="AE60" s="895"/>
      <c r="AF60" s="895"/>
      <c r="AG60" s="895"/>
      <c r="AH60" s="895"/>
      <c r="AI60" s="895"/>
      <c r="AJ60" s="895"/>
      <c r="AK60" s="895"/>
      <c r="AL60" s="895"/>
      <c r="AM60" s="1019"/>
      <c r="AN60" s="1019"/>
      <c r="AO60" s="1019"/>
      <c r="AP60" s="274"/>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+IF(CA61="",0,CA61)</f>
        <v>0</v>
      </c>
      <c r="FG60" s="129">
        <f t="array" ref="FG60">IFERROR(+INDEX($FG$20:$FG$50,MATCH(0,INDEX(COUNTIF($FG$57:FG59,$FG$20:$FG$50),0,0),0)),0)</f>
        <v>0</v>
      </c>
    </row>
    <row r="61" spans="1:204" x14ac:dyDescent="0.2">
      <c r="A61" s="232"/>
      <c r="B61" s="232"/>
      <c r="C61" s="232"/>
      <c r="D61" s="232"/>
      <c r="E61" s="232"/>
      <c r="F61" s="232"/>
      <c r="G61" s="232"/>
      <c r="H61" s="1909" t="s">
        <v>125</v>
      </c>
      <c r="I61" s="1910"/>
      <c r="J61" s="1910"/>
      <c r="K61" s="1910"/>
      <c r="L61" s="1910"/>
      <c r="M61" s="1910"/>
      <c r="N61" s="1905">
        <f ca="1">ROUND(SUM(N40:P59),2)</f>
        <v>0</v>
      </c>
      <c r="O61" s="1905"/>
      <c r="P61" s="1906"/>
      <c r="Q61" s="233"/>
      <c r="R61" s="1844" t="s">
        <v>126</v>
      </c>
      <c r="S61" s="1845"/>
      <c r="T61" s="1845"/>
      <c r="U61" s="1845"/>
      <c r="V61" s="1845"/>
      <c r="W61" s="1846"/>
      <c r="X61" s="1911">
        <f ca="1">ROUND(SUM(X40:Z59),2)</f>
        <v>0</v>
      </c>
      <c r="Y61" s="1912"/>
      <c r="Z61" s="1913"/>
      <c r="AA61" s="229"/>
      <c r="AB61" s="895"/>
      <c r="AC61" s="895"/>
      <c r="AD61" s="895"/>
      <c r="AE61" s="895"/>
      <c r="AF61" s="895"/>
      <c r="AG61" s="895"/>
      <c r="AH61" s="895"/>
      <c r="AI61" s="895"/>
      <c r="AJ61" s="895"/>
      <c r="AK61" s="895"/>
      <c r="AL61" s="895"/>
      <c r="AM61" s="1019"/>
      <c r="AN61" s="1019"/>
      <c r="AO61" s="1019"/>
      <c r="AP61" s="274"/>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129">
        <f t="array" ref="FG61">IFERROR(+INDEX($FG$20:$FG$50,MATCH(0,INDEX(COUNTIF($FG$57:FG60,$FG$20:$FG$50),0,0),0)),0)</f>
        <v>0</v>
      </c>
    </row>
    <row r="62" spans="1:204" x14ac:dyDescent="0.2">
      <c r="A62" s="232"/>
      <c r="B62" s="232"/>
      <c r="C62" s="232"/>
      <c r="D62" s="232"/>
      <c r="E62" s="232"/>
      <c r="F62" s="232"/>
      <c r="G62" s="232"/>
      <c r="H62" s="1887" t="s">
        <v>55</v>
      </c>
      <c r="I62" s="1887"/>
      <c r="J62" s="1887"/>
      <c r="K62" s="1887"/>
      <c r="L62" s="1887"/>
      <c r="M62" s="1887"/>
      <c r="N62" s="1882">
        <f ca="1">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1021"/>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CE62" s="129"/>
      <c r="CF62" s="129"/>
      <c r="FG62" s="129">
        <f t="array" ref="FG62">IFERROR(+INDEX($FG$20:$FG$50,MATCH(0,INDEX(COUNTIF($FG$57:FG61,$FG$20:$FG$50),0,0),0)),0)</f>
        <v>0</v>
      </c>
    </row>
    <row r="63" spans="1:204"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1021"/>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c r="CE63" s="129"/>
      <c r="CF63" s="129"/>
    </row>
    <row r="64" spans="1:204"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4">+IF(FG59=0,"",FG59)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74"/>
      <c r="AQ64" s="905" t="s">
        <v>1079</v>
      </c>
      <c r="AR64" s="902"/>
      <c r="AZ64" s="129"/>
      <c r="BA64" s="129"/>
      <c r="BB64" s="129"/>
      <c r="BC64" s="2028"/>
      <c r="BD64" s="2028"/>
      <c r="BE64" s="2028"/>
      <c r="BF64" s="2028"/>
      <c r="BG64" s="1413"/>
      <c r="BH64" s="1413"/>
      <c r="BI64" s="129"/>
      <c r="BJ64" s="129"/>
      <c r="BK64" s="129"/>
      <c r="BL64" s="129"/>
      <c r="BM64" s="129"/>
      <c r="BN64" s="129"/>
      <c r="BO64" s="129"/>
      <c r="BP64" s="129"/>
      <c r="CE64" s="129"/>
      <c r="CF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4"/>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74"/>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4"/>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+BA65</f>
        <v>0</v>
      </c>
      <c r="L67" s="1894"/>
      <c r="M67" s="1894"/>
      <c r="N67" s="1869">
        <f>ROUND(K67*H67,2)</f>
        <v>0</v>
      </c>
      <c r="O67" s="1869"/>
      <c r="P67" s="1869"/>
      <c r="Q67" s="236"/>
      <c r="R67" s="1839" t="str">
        <f t="shared" si="74"/>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291"/>
      <c r="BF68" s="2291"/>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 ca="1">+(T35*3.15%)-((H57+H58)*1.7%)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1"/>
      <c r="BA70" s="241"/>
      <c r="BB70" s="241"/>
      <c r="BC70" s="241"/>
      <c r="BD70" s="241"/>
      <c r="BE70" s="241"/>
      <c r="BF70" s="241"/>
      <c r="BG70" s="241"/>
      <c r="BH70" s="241"/>
      <c r="BI70" s="241"/>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2306" t="s">
        <v>1260</v>
      </c>
      <c r="AV72" s="2307"/>
      <c r="AW72" s="2307"/>
      <c r="AX72" s="2307"/>
      <c r="AY72" s="2307"/>
      <c r="AZ72" s="2307"/>
      <c r="BA72" s="2307"/>
      <c r="BB72" s="2308"/>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 ca="1">+ROUND((T18+T23+T24+T25+T29+HO16+T30+T31+T32+T33+T34)-(N61-(N57+N58)),2)</f>
        <v>0</v>
      </c>
      <c r="F74" s="1774"/>
      <c r="G74" s="1931"/>
      <c r="H74" s="2286">
        <f ca="1">E74</f>
        <v>0</v>
      </c>
      <c r="I74" s="2287"/>
      <c r="J74" s="2287"/>
      <c r="K74" s="2288"/>
      <c r="L74" s="1840" t="s">
        <v>1572</v>
      </c>
      <c r="M74" s="1840"/>
      <c r="N74" s="1840"/>
      <c r="O74" s="1840"/>
      <c r="P74" s="1840"/>
      <c r="Q74" s="1841">
        <f ca="1">+N62+N71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1" t="s">
        <v>1078</v>
      </c>
      <c r="CB74" s="641" t="s">
        <v>1078</v>
      </c>
      <c r="CC74" s="1120">
        <v>0</v>
      </c>
      <c r="CD74" s="129" t="s">
        <v>1517</v>
      </c>
    </row>
    <row r="75" spans="1:83" ht="13.5" thickTop="1" x14ac:dyDescent="0.2">
      <c r="A75" s="2268" t="s">
        <v>69</v>
      </c>
      <c r="B75" s="1984"/>
      <c r="C75" s="1984"/>
      <c r="D75" s="2197"/>
      <c r="E75" s="1859">
        <f>+IF(AC133="Oui",SUM(N65:P70),SUM(N65:P69))</f>
        <v>0</v>
      </c>
      <c r="F75" s="1774"/>
      <c r="G75" s="1931"/>
      <c r="H75" s="1859">
        <f>+E75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Janv'!EH51=0,"",'Retenue Janv'!EH51),AX76)</f>
        <v/>
      </c>
      <c r="AZ75" s="1772"/>
      <c r="BA75" s="918" t="str">
        <f>+IF(BA76="",IF('Retenue Janv'!EF51=0,"",'Retenue Janv'!EF51),BA76)</f>
        <v/>
      </c>
      <c r="BB75" s="919"/>
      <c r="BC75" s="920" t="str">
        <f>IF(BC76="",IF(+'Retenue Janv'!EG51=0,"",'Retenue Janv'!EG51),BC76)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Janv'!E50&amp;" hrs / "&amp;'Retenue Janv'!D50&amp;"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 ca="1">+Q78*-1</f>
        <v>0</v>
      </c>
      <c r="F76" s="1774"/>
      <c r="G76" s="1931"/>
      <c r="H76" s="1859">
        <f ca="1">+E76</f>
        <v>0</v>
      </c>
      <c r="I76" s="1774"/>
      <c r="J76" s="1774"/>
      <c r="K76" s="1860"/>
      <c r="L76" s="1840" t="s">
        <v>65</v>
      </c>
      <c r="M76" s="1840"/>
      <c r="N76" s="1840"/>
      <c r="O76" s="1840"/>
      <c r="P76" s="1890"/>
      <c r="Q76" s="1841">
        <f ca="1">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 ca="1">ROUND(+T19+T20+T21+T22+T26,2)</f>
        <v>0</v>
      </c>
      <c r="F77" s="1915"/>
      <c r="G77" s="1921"/>
      <c r="H77" s="1920">
        <f ca="1">+E77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 ca="1">+IFERROR(IF(BY6="non",DK36,E74),0)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2" t="s">
        <v>1079</v>
      </c>
    </row>
    <row r="78" spans="1:83" ht="15" customHeight="1" x14ac:dyDescent="0.2">
      <c r="H78" s="1010"/>
      <c r="I78" s="1010"/>
      <c r="J78" s="1010"/>
      <c r="K78" s="232"/>
      <c r="L78" s="1827" t="s">
        <v>68</v>
      </c>
      <c r="M78" s="1827"/>
      <c r="N78" s="1827"/>
      <c r="O78" s="1827"/>
      <c r="P78" s="2323"/>
      <c r="Q78" s="1841">
        <f ca="1">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+IF(AR78="",Identification!B63,AR78)</f>
        <v>0</v>
      </c>
      <c r="AM78" s="2299"/>
      <c r="AN78" s="2299"/>
      <c r="AO78" s="2299"/>
      <c r="AQ78" s="420" t="s">
        <v>750</v>
      </c>
      <c r="AR78" s="2302"/>
      <c r="AS78" s="2302"/>
      <c r="AT78" s="2058" t="str">
        <f>IFERROR(VLOOKUP(AY78,'Liste des Libellés'!$A$4:$F$32,6,FALSE),"")</f>
        <v/>
      </c>
      <c r="AU78" s="2058"/>
      <c r="AV78" s="2058"/>
      <c r="AW78" s="2058"/>
      <c r="AX78" s="917"/>
      <c r="AY78" s="1772" t="str">
        <f>+IF(AX79="",IF('Retenue Janv'!EH53=0,"",'Retenue Janv'!EH53),AX79)</f>
        <v/>
      </c>
      <c r="AZ78" s="1772"/>
      <c r="BA78" s="918" t="str">
        <f>+IF(BA79="",IF('Retenue Janv'!EF53=0,"",'Retenue Janv'!EF53),BA79)</f>
        <v/>
      </c>
      <c r="BB78" s="919"/>
      <c r="BC78" s="920" t="str">
        <f>IF(BC79="",IF(+'Retenue Janv'!EG53=0,"",'Retenue Janv'!EG53),BC79)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S79" s="1560"/>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84" t="s">
        <v>141</v>
      </c>
      <c r="B80" s="1984"/>
      <c r="C80" s="1984"/>
      <c r="D80" s="1984"/>
      <c r="E80" s="1984"/>
      <c r="F80" s="2324" t="s">
        <v>1682</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06/"&amp;Identification!B60-2002&amp;" à 05/"&amp;Identification!B60-2001</f>
        <v>Année préc. de 06/24 à 05/25</v>
      </c>
      <c r="AI80" s="2062"/>
      <c r="AJ80" s="2062"/>
      <c r="AK80" s="2063"/>
      <c r="AL80" s="2061" t="str">
        <f>+"Année en cours de 06/"&amp;Identification!B60-2001&amp;" à 05/"&amp;Identification!B60-2000</f>
        <v>Année en cours de 06/25 à 05/26</v>
      </c>
      <c r="AM80" s="2062"/>
      <c r="AN80" s="2062"/>
      <c r="AO80" s="2063"/>
      <c r="AP80" s="216"/>
      <c r="AQ80" s="326"/>
      <c r="AR80" s="216"/>
      <c r="AS80" s="1560"/>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84" t="s">
        <v>142</v>
      </c>
      <c r="B81" s="1984"/>
      <c r="C81" s="1984"/>
      <c r="D81" s="1984"/>
      <c r="E81" s="1984"/>
      <c r="F81" s="1933">
        <f ca="1">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059" t="s">
        <v>749</v>
      </c>
      <c r="AR81" s="2060"/>
      <c r="AS81" s="2060"/>
      <c r="AT81" s="2057" t="str">
        <f>IFERROR(VLOOKUP(AY81,'Liste des Libellés'!$A$4:$F$32,6,FALSE),"")</f>
        <v/>
      </c>
      <c r="AU81" s="2058"/>
      <c r="AV81" s="2058"/>
      <c r="AW81" s="2058"/>
      <c r="AX81" s="917"/>
      <c r="AY81" s="1772" t="str">
        <f>+IF(AX82="",IF('Retenue Janv'!EH55=0,"",'Retenue Janv'!EH55),AX82)</f>
        <v/>
      </c>
      <c r="AZ81" s="1772"/>
      <c r="BA81" s="918" t="str">
        <f>+IF(BA82="",IF('Retenue Janv'!EF55=0,"",'Retenue Janv'!EF55),BA82)</f>
        <v/>
      </c>
      <c r="BB81" s="919"/>
      <c r="BC81" s="920" t="str">
        <f>IF(BC82="",IF(+'Retenue Janv'!EG55=0,"",'Retenue Janv'!EG55),BC82)</f>
        <v/>
      </c>
      <c r="BD81" s="952"/>
      <c r="BE81" s="129"/>
      <c r="BF81" s="129"/>
      <c r="BG81" s="129"/>
      <c r="BH81" s="129"/>
      <c r="BI81" s="129"/>
      <c r="BQ81" s="129" t="s">
        <v>70</v>
      </c>
      <c r="BZ81" s="230" t="e">
        <f ca="1">IF(AND(ROUNDUP((T19+T20+T22+T26)/(AL14*(1+N15)),Identification!B122)&gt;0,ROUNDUP((T19+T20+T22+T26)/(AL14*(1+N15)),Identification!B122)&lt;=1),ROUNDUP((T19+T20+T22+T26)/(AL14*(1+N15)),Identification!B122),ROUND((T19+T20+T22+T26)/(AL14*(1+N15)),Identification!B122))</f>
        <v>#DIV/0!</v>
      </c>
      <c r="CA81" s="647" t="s">
        <v>1079</v>
      </c>
      <c r="CB81" s="640"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1984"/>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1551"/>
      <c r="AR82" s="1561"/>
      <c r="AS82" s="1561"/>
      <c r="AT82" s="921"/>
      <c r="AU82" s="922"/>
      <c r="AV82" s="922"/>
      <c r="AW82" s="923" t="s">
        <v>492</v>
      </c>
      <c r="AX82" s="1828"/>
      <c r="AY82" s="1828"/>
      <c r="AZ82" s="922"/>
      <c r="BA82" s="1130"/>
      <c r="BB82" s="924"/>
      <c r="BC82" s="1131"/>
      <c r="BD82" s="963"/>
      <c r="BE82" s="129"/>
      <c r="BF82" s="129"/>
      <c r="BG82" s="129"/>
      <c r="BH82" s="129"/>
      <c r="BI82" s="129"/>
      <c r="BQ82" s="2072" t="str">
        <f ca="1">"Détail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2.75" customHeight="1" thickBot="1" x14ac:dyDescent="0.25">
      <c r="A83" s="1984" t="s">
        <v>144</v>
      </c>
      <c r="B83" s="1984"/>
      <c r="C83" s="1984"/>
      <c r="D83" s="1984"/>
      <c r="E83" s="1984"/>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IF(AR83="",Report!D24,AR83)</f>
        <v>0</v>
      </c>
      <c r="AI83" s="2070"/>
      <c r="AJ83" s="2070"/>
      <c r="AK83" s="2071"/>
      <c r="AL83" s="2069">
        <f>IF(AS83="",+Report!D25,AS83)</f>
        <v>0</v>
      </c>
      <c r="AM83" s="2070"/>
      <c r="AN83" s="2070"/>
      <c r="AO83" s="2071"/>
      <c r="AP83" s="237"/>
      <c r="AQ83" s="420" t="s">
        <v>750</v>
      </c>
      <c r="AR83" s="1552"/>
      <c r="AS83" s="1552"/>
      <c r="AT83" s="506"/>
      <c r="AU83" s="506"/>
      <c r="AV83" s="506"/>
      <c r="AW83" s="506"/>
      <c r="AX83" s="914"/>
      <c r="AY83" s="914"/>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1553"/>
      <c r="AR84" s="1554"/>
      <c r="AS84" s="1560"/>
      <c r="AT84" s="2057" t="str">
        <f>IFERROR(VLOOKUP(AY84,'Liste des Libellés'!$A$4:$F$32,6,FALSE),"")</f>
        <v/>
      </c>
      <c r="AU84" s="2058"/>
      <c r="AV84" s="2058"/>
      <c r="AW84" s="2058"/>
      <c r="AX84" s="917"/>
      <c r="AY84" s="1772" t="str">
        <f>+IF(AX85="",IF('Retenue Janv'!EH57=0,"",'Retenue Janv'!EH57),AX85)</f>
        <v/>
      </c>
      <c r="AZ84" s="1772"/>
      <c r="BA84" s="918" t="str">
        <f>+IF(BA85="",IF('Retenue Janv'!EF57=0,"",'Retenue Janv'!EF57),BA85)</f>
        <v/>
      </c>
      <c r="BB84" s="919"/>
      <c r="BC84" s="920" t="str">
        <f>IF(BC85="",IF(+'Retenue Janv'!EG57=0,"",'Retenue Janv'!EG57),BC85)</f>
        <v/>
      </c>
      <c r="BD84" s="952"/>
      <c r="BE84" s="129"/>
      <c r="BF84" s="129"/>
      <c r="BG84" s="129"/>
      <c r="BH84" s="129"/>
      <c r="BI84" s="129"/>
      <c r="BQ84" s="129" t="s">
        <v>72</v>
      </c>
      <c r="BZ84" s="230">
        <f>IF(AND(ROUNDUP(+L21,Identification!B123)&gt;0,ROUNDUP(+L21,Identification!B123)&lt;=1),ROUNDUP(+L21,Identification!B123),ROUND(+L21,Identification!B123))</f>
        <v>0</v>
      </c>
      <c r="CB84" s="2053" t="s">
        <v>1076</v>
      </c>
      <c r="CC84" s="248"/>
    </row>
    <row r="85" spans="1:82" ht="12.75" customHeight="1" x14ac:dyDescent="0.2">
      <c r="I85" s="2309" t="s">
        <v>1472</v>
      </c>
      <c r="J85" s="2309"/>
      <c r="K85" s="2309"/>
      <c r="L85" s="2309"/>
      <c r="M85" s="2309"/>
      <c r="N85" s="2309"/>
      <c r="O85" s="2309"/>
      <c r="P85" s="2310"/>
      <c r="Q85" s="1841">
        <f ca="1">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1553"/>
      <c r="AR85" s="1555" t="s">
        <v>1645</v>
      </c>
      <c r="AS85" s="1560"/>
      <c r="AT85" s="921"/>
      <c r="AU85" s="922"/>
      <c r="AV85" s="922"/>
      <c r="AW85" s="923" t="s">
        <v>492</v>
      </c>
      <c r="AX85" s="1828"/>
      <c r="AY85" s="1828"/>
      <c r="AZ85" s="922"/>
      <c r="BA85" s="1130"/>
      <c r="BB85" s="924"/>
      <c r="BC85" s="1131"/>
      <c r="BD85" s="963"/>
      <c r="BE85" s="129"/>
      <c r="BF85" s="129"/>
      <c r="BG85" s="129"/>
      <c r="BH85" s="129"/>
      <c r="BI85" s="129"/>
      <c r="CA85" s="639"/>
      <c r="CB85" s="2054"/>
    </row>
    <row r="86" spans="1:82" ht="14.25" customHeight="1" thickBot="1" x14ac:dyDescent="0.25">
      <c r="A86" s="1827" t="s">
        <v>73</v>
      </c>
      <c r="B86" s="1827"/>
      <c r="C86" s="1827"/>
      <c r="D86" s="1827"/>
      <c r="E86" s="1827"/>
      <c r="F86" s="1932">
        <f>+Identification!B43</f>
        <v>0</v>
      </c>
      <c r="G86" s="1932"/>
      <c r="H86" s="1932"/>
      <c r="I86" s="1932"/>
      <c r="J86" s="1932"/>
      <c r="K86" s="1932"/>
      <c r="L86" s="1932"/>
      <c r="M86" s="574"/>
      <c r="N86" s="574"/>
      <c r="O86" s="1431"/>
      <c r="P86" s="1431"/>
      <c r="Q86" s="1431"/>
      <c r="R86" s="1431"/>
      <c r="S86" s="1431"/>
      <c r="T86" s="1431"/>
      <c r="U86" s="574"/>
      <c r="V86" s="1799" t="s">
        <v>1632</v>
      </c>
      <c r="W86" s="1798"/>
      <c r="X86" s="1798"/>
      <c r="Y86" s="1798"/>
      <c r="Z86" s="1798"/>
      <c r="AA86" s="1798"/>
      <c r="AB86" s="1798"/>
      <c r="AC86" s="1798"/>
      <c r="AD86" s="1798"/>
      <c r="AE86" s="1798"/>
      <c r="AF86" s="1798"/>
      <c r="AG86" s="1800"/>
      <c r="AH86" s="1733">
        <f>IF(AR86="",Report!D44,AR86)</f>
        <v>0</v>
      </c>
      <c r="AI86" s="1734"/>
      <c r="AJ86" s="1734"/>
      <c r="AK86" s="1735"/>
      <c r="AL86" s="1733">
        <f>IF(AS86="",IF(DP8=52,Report!D45+EI29,Report!D45+EI25),IF(DP8=52,AS86+EI29,AS86+EI25))</f>
        <v>0</v>
      </c>
      <c r="AM86" s="1734"/>
      <c r="AN86" s="1734"/>
      <c r="AO86" s="1735"/>
      <c r="AP86" s="237"/>
      <c r="AQ86" s="420"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997">
        <f ca="1">+IF(Identification!B125="Net",IF(OR(BZ118="Scénario 2",BZ118="Scénario 3"),DK25+(T32*BY4),+DK25),IF(Identification!B125="Brut",IF(OR(BZ118="Scénario 2",BZ118="Scénario 3"),DK25+(T32),+DK25),"Erreur"))</f>
        <v>0</v>
      </c>
      <c r="CA86" s="639"/>
      <c r="CB86" s="2055"/>
      <c r="CC86" s="250"/>
    </row>
    <row r="87" spans="1:82" x14ac:dyDescent="0.2">
      <c r="A87" s="1827" t="s">
        <v>74</v>
      </c>
      <c r="B87" s="1827"/>
      <c r="C87" s="1827"/>
      <c r="D87" s="1827"/>
      <c r="E87" s="1827"/>
      <c r="F87" s="1826">
        <f>EOMONTH(X3,0)</f>
        <v>46053</v>
      </c>
      <c r="G87" s="1826"/>
      <c r="H87" s="1826"/>
      <c r="I87" s="1826"/>
      <c r="K87" s="574"/>
      <c r="L87" s="574"/>
      <c r="M87" s="1430"/>
      <c r="N87" s="1430"/>
      <c r="O87" s="1430"/>
      <c r="P87" s="1430"/>
      <c r="Q87" s="1430"/>
      <c r="R87" s="1927">
        <v>0</v>
      </c>
      <c r="S87" s="1927"/>
      <c r="T87" s="1927"/>
      <c r="U87" s="574"/>
      <c r="V87" s="1799" t="s">
        <v>526</v>
      </c>
      <c r="W87" s="1798"/>
      <c r="X87" s="1798"/>
      <c r="Y87" s="1798"/>
      <c r="Z87" s="1798"/>
      <c r="AA87" s="1798"/>
      <c r="AB87" s="1798"/>
      <c r="AC87" s="1798"/>
      <c r="AD87" s="1798"/>
      <c r="AE87" s="1798"/>
      <c r="AF87" s="1798"/>
      <c r="AG87" s="1800"/>
      <c r="AH87" s="1733">
        <f>IF(AR87="",Report!D28,AR87)</f>
        <v>0</v>
      </c>
      <c r="AI87" s="1734"/>
      <c r="AJ87" s="1734"/>
      <c r="AK87" s="1735"/>
      <c r="AL87" s="1733"/>
      <c r="AM87" s="1734"/>
      <c r="AN87" s="1734"/>
      <c r="AO87" s="1735"/>
      <c r="AP87" s="237"/>
      <c r="AQ87" s="420" t="s">
        <v>750</v>
      </c>
      <c r="AR87" s="1556"/>
      <c r="AS87" s="1579" t="s">
        <v>753</v>
      </c>
      <c r="AT87" s="423"/>
      <c r="AU87" s="423"/>
      <c r="AV87" s="423"/>
      <c r="AW87" s="423"/>
      <c r="AX87" s="423"/>
      <c r="AY87" s="423"/>
      <c r="AZ87" s="129"/>
      <c r="BA87" s="129"/>
      <c r="BB87" s="129"/>
      <c r="BC87" s="129"/>
      <c r="BD87" s="129"/>
      <c r="BE87" s="129"/>
      <c r="BF87" s="129"/>
      <c r="BG87" s="129"/>
      <c r="BH87" s="129"/>
      <c r="BI87" s="129"/>
    </row>
    <row r="88" spans="1:82" x14ac:dyDescent="0.2">
      <c r="A88" s="1827" t="s">
        <v>76</v>
      </c>
      <c r="B88" s="1827"/>
      <c r="C88" s="1827"/>
      <c r="D88" s="1827"/>
      <c r="E88" s="1827"/>
      <c r="K88" s="1430"/>
      <c r="L88" s="1430"/>
      <c r="M88" s="1430"/>
      <c r="N88" s="1430"/>
      <c r="O88" s="1430"/>
      <c r="P88" s="1430"/>
      <c r="Q88" s="1430"/>
      <c r="R88" s="1825">
        <v>0</v>
      </c>
      <c r="S88" s="1825"/>
      <c r="T88" s="1825"/>
      <c r="U88" s="574"/>
      <c r="V88" s="1799" t="s">
        <v>628</v>
      </c>
      <c r="W88" s="1798"/>
      <c r="X88" s="1798"/>
      <c r="Y88" s="1798"/>
      <c r="Z88" s="1798"/>
      <c r="AA88" s="1798"/>
      <c r="AB88" s="1798"/>
      <c r="AC88" s="1798"/>
      <c r="AD88" s="1798"/>
      <c r="AE88" s="1798"/>
      <c r="AF88" s="1798"/>
      <c r="AG88" s="1800"/>
      <c r="AH88" s="1808">
        <f>ROUNDUP(MIN(+AH87+AH85+AH86,30),0)</f>
        <v>0</v>
      </c>
      <c r="AI88" s="1809"/>
      <c r="AJ88" s="1809"/>
      <c r="AK88" s="1810"/>
      <c r="AL88" s="1808">
        <f>CEILING(MIN(+AL85+AL86,30),0.5)</f>
        <v>0</v>
      </c>
      <c r="AM88" s="1809"/>
      <c r="AN88" s="1809"/>
      <c r="AO88" s="1810"/>
      <c r="AP88" s="237"/>
      <c r="AQ88" s="1553"/>
      <c r="AR88" s="1562"/>
      <c r="AS88" s="739" t="s">
        <v>752</v>
      </c>
      <c r="AT88" s="506"/>
      <c r="AU88" s="506"/>
      <c r="AV88" s="506"/>
      <c r="AW88" s="506"/>
      <c r="AX88" s="506"/>
      <c r="AY88" s="506"/>
      <c r="AZ88" s="129"/>
      <c r="BA88" s="129"/>
      <c r="BB88" s="129"/>
      <c r="BC88" s="129"/>
      <c r="BD88" s="129"/>
      <c r="BE88" s="129"/>
      <c r="BF88" s="129"/>
      <c r="BG88" s="129"/>
      <c r="BH88" s="129"/>
      <c r="BI88" s="129"/>
      <c r="BQ88" s="129" t="str">
        <f>+IF(Identification!B130="Oui","Indemnités d'entretien (+ Autres) :","Indemnités d'entretien")</f>
        <v>Indemnités d'entretien (+ Autres) :</v>
      </c>
      <c r="BZ88" s="249">
        <f>+IF(Identification!B130="Oui",N65+N66+N70,N65+N66)</f>
        <v>0</v>
      </c>
      <c r="CB88" s="250"/>
      <c r="CC88" s="250"/>
    </row>
    <row r="89" spans="1:82" x14ac:dyDescent="0.2">
      <c r="K89" s="1430"/>
      <c r="L89" s="1430"/>
      <c r="M89" s="1430"/>
      <c r="N89" s="1430"/>
      <c r="O89" s="1430"/>
      <c r="P89" s="1430"/>
      <c r="Q89" s="1430"/>
      <c r="R89" s="1825">
        <v>0</v>
      </c>
      <c r="S89" s="1825"/>
      <c r="T89" s="1825"/>
      <c r="U89" s="574"/>
      <c r="V89" s="1799" t="s">
        <v>1012</v>
      </c>
      <c r="W89" s="1798"/>
      <c r="X89" s="1798"/>
      <c r="Y89" s="1798"/>
      <c r="Z89" s="1798"/>
      <c r="AA89" s="1798"/>
      <c r="AB89" s="1798"/>
      <c r="AC89" s="1798"/>
      <c r="AD89" s="1798"/>
      <c r="AE89" s="1798"/>
      <c r="AF89" s="1798"/>
      <c r="AG89" s="1800"/>
      <c r="AH89" s="1733">
        <f>+IF(AR89="",Report!D26,AR89)</f>
        <v>0</v>
      </c>
      <c r="AI89" s="1734"/>
      <c r="AJ89" s="1734"/>
      <c r="AK89" s="1735"/>
      <c r="AL89" s="1733">
        <f>+IF(AS89="",Report!D27,AS89)</f>
        <v>0</v>
      </c>
      <c r="AM89" s="1734"/>
      <c r="AN89" s="1734"/>
      <c r="AO89" s="1735"/>
      <c r="AP89" s="237"/>
      <c r="AQ89" s="420" t="s">
        <v>750</v>
      </c>
      <c r="AR89" s="1552"/>
      <c r="AS89" s="1552"/>
      <c r="AZ89" s="215" t="s">
        <v>1664</v>
      </c>
      <c r="BA89" s="943" t="s">
        <v>1665</v>
      </c>
      <c r="BB89" s="129"/>
      <c r="BC89" s="129"/>
      <c r="BD89" s="129"/>
      <c r="BE89" s="129"/>
      <c r="BF89" s="129"/>
      <c r="BG89" s="129"/>
      <c r="BH89" s="129"/>
      <c r="BI89" s="129"/>
      <c r="BZ89" s="236"/>
      <c r="CB89" s="236"/>
      <c r="CC89" s="236"/>
    </row>
    <row r="90" spans="1:82" x14ac:dyDescent="0.2">
      <c r="K90" s="2273"/>
      <c r="L90" s="2273"/>
      <c r="M90" s="2273"/>
      <c r="N90" s="2273"/>
      <c r="O90" s="2273"/>
      <c r="P90" s="2273"/>
      <c r="Q90" s="2273"/>
      <c r="R90" s="1927">
        <v>0</v>
      </c>
      <c r="S90" s="1927"/>
      <c r="T90" s="1927"/>
      <c r="U90" s="574"/>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1553"/>
      <c r="AR90" s="1557" t="s">
        <v>1398</v>
      </c>
      <c r="AS90" s="1560"/>
      <c r="AU90" s="853"/>
      <c r="AV90" s="1004"/>
      <c r="AW90" s="1004"/>
      <c r="AX90" s="1004"/>
      <c r="AY90" s="895" t="s">
        <v>668</v>
      </c>
      <c r="AZ90" s="1542"/>
      <c r="BA90" s="1542"/>
      <c r="BB90" s="129"/>
      <c r="BC90" s="129"/>
      <c r="BD90" s="129"/>
      <c r="BE90" s="129"/>
      <c r="BF90" s="129"/>
      <c r="BG90" s="129"/>
      <c r="BH90" s="129"/>
      <c r="BI90" s="129"/>
      <c r="BQ90" s="129" t="s">
        <v>79</v>
      </c>
      <c r="BZ90" s="249">
        <f>+N67+N68</f>
        <v>0</v>
      </c>
    </row>
    <row r="91" spans="1:82" x14ac:dyDescent="0.2">
      <c r="A91" s="1039" t="s">
        <v>1437</v>
      </c>
      <c r="B91" s="1040"/>
      <c r="K91" s="574"/>
      <c r="L91" s="574"/>
      <c r="M91" s="574"/>
      <c r="N91" s="574"/>
      <c r="O91" s="574"/>
      <c r="P91" s="574"/>
      <c r="Q91" s="574"/>
      <c r="R91" s="574"/>
      <c r="S91" s="574"/>
      <c r="T91" s="1206"/>
      <c r="U91" s="574"/>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558"/>
      <c r="AS91" s="1558"/>
      <c r="AZ91" s="129"/>
      <c r="BA91" s="129"/>
      <c r="BB91" s="129"/>
      <c r="BC91" s="129"/>
      <c r="BD91" s="129"/>
      <c r="BE91" s="129"/>
      <c r="BF91" s="129"/>
      <c r="BG91" s="129"/>
      <c r="BH91" s="129"/>
      <c r="BI91" s="129"/>
      <c r="CB91" s="250"/>
      <c r="CC91" s="250"/>
    </row>
    <row r="92" spans="1:82" x14ac:dyDescent="0.2">
      <c r="A92" s="1039" t="s">
        <v>1438</v>
      </c>
      <c r="B92" s="1040"/>
      <c r="K92" s="574"/>
      <c r="L92" s="574"/>
      <c r="M92" s="574"/>
      <c r="N92" s="574"/>
      <c r="O92" s="574"/>
      <c r="P92" s="574"/>
      <c r="Q92" s="574"/>
      <c r="R92" s="574"/>
      <c r="S92" s="574"/>
      <c r="T92" s="574"/>
      <c r="U92" s="574"/>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1553"/>
      <c r="AR92" s="1559" t="s">
        <v>1034</v>
      </c>
      <c r="AS92" s="1560"/>
      <c r="AZ92" s="129"/>
      <c r="BA92" s="129"/>
      <c r="BB92" s="129"/>
      <c r="BC92" s="129"/>
      <c r="BD92" s="129"/>
      <c r="BE92" s="129"/>
      <c r="BF92" s="129"/>
      <c r="BG92" s="129"/>
      <c r="BH92" s="129"/>
      <c r="BI92" s="129"/>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f>+IF(AR93="",Report!D29-(COUNTIF(AD20:AF50,'Liste des Libellés'!A18)),AR93)</f>
        <v>0</v>
      </c>
      <c r="AI93" s="1937"/>
      <c r="AJ93" s="1937"/>
      <c r="AK93" s="1938"/>
      <c r="AL93" s="1936"/>
      <c r="AM93" s="1937"/>
      <c r="AN93" s="1937"/>
      <c r="AO93" s="1938"/>
      <c r="AP93" s="1008"/>
      <c r="AQ93" s="1007" t="s">
        <v>750</v>
      </c>
      <c r="AR93" s="1552"/>
      <c r="AS93" s="1560"/>
      <c r="AZ93" s="654"/>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T94" s="1517"/>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1" t="s">
        <v>912</v>
      </c>
      <c r="AR95" s="1517"/>
      <c r="AS95" s="1517"/>
      <c r="AT95" s="507"/>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AR96" s="1836"/>
      <c r="AS96" s="1836"/>
      <c r="BQ96" s="129" t="s">
        <v>467</v>
      </c>
      <c r="BZ96" s="249">
        <f>+IF(Identification!B125="Net",T33*BY4,IF(Identification!B125="Brut",T33,"Erreur"))</f>
        <v>0</v>
      </c>
    </row>
    <row r="97" spans="2:87" x14ac:dyDescent="0.2">
      <c r="AA97" s="204"/>
      <c r="AP97" s="1009"/>
      <c r="AT97" s="854"/>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S98" s="61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31" t="s">
        <v>690</v>
      </c>
      <c r="D99" s="2321">
        <f>+DATE(YEAR(X3)-1,5,31)</f>
        <v>45808</v>
      </c>
      <c r="E99" s="1798"/>
      <c r="F99" s="1798"/>
      <c r="G99" s="2314">
        <f>+IFERROR(IF(AND(M99="",DP8=52),Report!D31,M99),0)</f>
        <v>0</v>
      </c>
      <c r="H99" s="2315"/>
      <c r="I99" s="2316"/>
      <c r="J99" s="421" t="s">
        <v>751</v>
      </c>
      <c r="L99" s="131" t="s">
        <v>492</v>
      </c>
      <c r="M99" s="2322"/>
      <c r="N99" s="2322"/>
      <c r="O99" s="232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+IFERROR(IF(AND(M100="",DP8=52),Report!D32,M100),0)</f>
        <v>0</v>
      </c>
      <c r="H100" s="2312"/>
      <c r="I100" s="2313"/>
      <c r="J100" s="421" t="s">
        <v>751</v>
      </c>
      <c r="L100" s="131" t="s">
        <v>492</v>
      </c>
      <c r="M100" s="2318"/>
      <c r="N100" s="2318"/>
      <c r="O100" s="2318"/>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c r="BT103" s="447"/>
      <c r="BU103" s="447"/>
      <c r="BV103" s="447"/>
      <c r="BW103" s="447"/>
      <c r="BX103" s="447"/>
      <c r="BY103" s="447"/>
      <c r="BZ103" s="447"/>
      <c r="CA103" s="447"/>
      <c r="CB103" s="447"/>
      <c r="CC103" s="447"/>
      <c r="CD103" s="447"/>
      <c r="CE103" s="447"/>
      <c r="CF103" s="447"/>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c r="BT104" s="447"/>
      <c r="BU104" s="447"/>
      <c r="BV104" s="447"/>
      <c r="BW104" s="447"/>
      <c r="BX104" s="447"/>
      <c r="BY104" s="447"/>
      <c r="BZ104" s="447"/>
      <c r="CA104" s="447"/>
      <c r="CB104" s="447"/>
      <c r="CC104" s="447"/>
      <c r="CD104" s="447"/>
      <c r="CE104" s="447"/>
      <c r="CF104" s="447"/>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c r="BT105" s="447"/>
      <c r="BU105" s="447"/>
      <c r="BV105" s="447"/>
      <c r="BW105" s="447"/>
      <c r="BX105" s="447"/>
      <c r="BY105" s="447"/>
      <c r="BZ105" s="447"/>
      <c r="CA105" s="447"/>
      <c r="CB105" s="447"/>
      <c r="CC105" s="447"/>
      <c r="CD105" s="447"/>
      <c r="CE105" s="447"/>
      <c r="CF105" s="447"/>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Z106" s="1447"/>
      <c r="BA106" s="1448"/>
      <c r="BB106" s="897"/>
      <c r="BC106" s="1448"/>
      <c r="BD106" s="1448"/>
      <c r="BE106" s="1448"/>
      <c r="BF106" s="315"/>
      <c r="BG106" s="315"/>
      <c r="BH106" s="315"/>
      <c r="BT106" s="447"/>
      <c r="BU106" s="447"/>
      <c r="BV106" s="447"/>
      <c r="BW106" s="447"/>
      <c r="BX106" s="447"/>
      <c r="BY106" s="447"/>
      <c r="BZ106" s="447"/>
      <c r="CA106" s="447"/>
      <c r="CB106" s="447"/>
      <c r="CC106" s="447"/>
      <c r="CD106" s="447"/>
      <c r="CE106" s="447"/>
      <c r="CF106" s="447"/>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Z107" s="1449" t="str">
        <f>+$BG$9</f>
        <v>12026</v>
      </c>
      <c r="BA107" s="1450">
        <f>+$AT$4</f>
        <v>1</v>
      </c>
      <c r="BB107" s="1451"/>
      <c r="BC107" s="1452">
        <f>+IF(BF107&gt;0,BF107,+COUNTIFS($GF$20:$GF$50,"&gt;0",$GB$20:$GB$50,AZ107)+IF($DP$8&lt;52,+COUNTIFS($GH$20:$GH$50,"&gt;0",$GB$20:$GB$50,AZ107)))</f>
        <v>0</v>
      </c>
      <c r="BD107" s="1453">
        <f>IF(BH107&gt;0,BH107,+SUMIFS(S.CAL!$G$2:$G$897,S.CAL!$B$2:$B$897,Janvier!$BY$2,S.CAL!$C$2:$C$897,$AU$4))</f>
        <v>0</v>
      </c>
      <c r="BE107" s="1454">
        <f>IFERROR(ROUND(+BC107/BD107,2),0)</f>
        <v>0</v>
      </c>
      <c r="BF107" s="1477"/>
      <c r="BG107" s="1468"/>
      <c r="BH107" s="1477"/>
      <c r="BT107" s="447"/>
      <c r="BU107" s="447"/>
      <c r="BV107" s="447"/>
      <c r="BW107" s="447"/>
      <c r="BX107" s="447"/>
      <c r="BY107" s="447"/>
      <c r="BZ107" s="447"/>
      <c r="CA107" s="447"/>
      <c r="CB107" s="447"/>
      <c r="CC107" s="447"/>
      <c r="CD107" s="447"/>
      <c r="CE107" s="447"/>
      <c r="CF107" s="44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22026</v>
      </c>
      <c r="BA108" s="1455">
        <f>+$AT$5</f>
        <v>2</v>
      </c>
      <c r="BB108" s="1456"/>
      <c r="BC108" s="1457">
        <f>+IF(BF108&gt;0,BF108,COUNTIFS($GF$20:$GF$50,"&gt;0",$GB$20:$GB$50,AZ108)+IF($DP$8&lt;52,+COUNTIFS($GH$20:$GH$50,"&gt;0",$GB$20:$GB$50,AZ108)))</f>
        <v>0</v>
      </c>
      <c r="BD108" s="1458">
        <f>IF(BH108&gt;0,BH108,COUNTIFS(S.CAL!$FX$3:$FX$374,"&gt;0",S.CAL!$FW$3:$FW$374,AZ108))</f>
        <v>0</v>
      </c>
      <c r="BE108" s="1459">
        <f t="shared" ref="BE108:BE112" si="75">IFERROR(ROUND(+BC108/BD108,2),0)</f>
        <v>0</v>
      </c>
      <c r="BF108" s="1478"/>
      <c r="BG108" s="1475"/>
      <c r="BH108" s="1478"/>
      <c r="BT108" s="447"/>
      <c r="BU108" s="447"/>
      <c r="BV108" s="447"/>
      <c r="BW108" s="447"/>
      <c r="BX108" s="447"/>
      <c r="BY108" s="447"/>
      <c r="BZ108" s="447"/>
      <c r="CA108" s="447"/>
      <c r="CB108" s="447"/>
      <c r="CC108" s="447"/>
      <c r="CD108" s="447"/>
      <c r="CE108" s="447"/>
      <c r="CF108" s="447"/>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32026</v>
      </c>
      <c r="BA109" s="1455">
        <f>+$AT$6</f>
        <v>3</v>
      </c>
      <c r="BB109" s="1456"/>
      <c r="BC109" s="1457">
        <f>IF(BF109&gt;0,BF109,+COUNTIFS($GF$20:$GF$50,"&gt;0",$GB$20:$GB$50,AZ109)+IF($DP$8&lt;52,+COUNTIFS($GH$20:$GH$50,"&gt;0",$GB$20:$GB$50,AZ109)))</f>
        <v>0</v>
      </c>
      <c r="BD109" s="1458">
        <f>IF(BH109&gt;0,BH109,+COUNTIFS(S.CAL!$FX$3:$FX$374,"&gt;0",S.CAL!$FW$3:$FW$374,AZ109))</f>
        <v>0</v>
      </c>
      <c r="BE109" s="1459">
        <f t="shared" si="75"/>
        <v>0</v>
      </c>
      <c r="BF109" s="1478"/>
      <c r="BG109" s="1475"/>
      <c r="BH109" s="1478"/>
      <c r="BT109" s="447"/>
      <c r="BU109" s="447"/>
      <c r="BV109" s="447"/>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42026</v>
      </c>
      <c r="BA110" s="1455">
        <f>+$AT$7</f>
        <v>4</v>
      </c>
      <c r="BB110" s="1456"/>
      <c r="BC110" s="1457">
        <f>IF(BF110&gt;0,BF110,+COUNTIFS($GF$20:$GF$50,"&gt;0",$GB$20:$GB$50,AZ110)+IF($DP$8&lt;52,+COUNTIFS($GH$20:$GH$50,"&gt;0",$GB$20:$GB$50,AZ110)))</f>
        <v>0</v>
      </c>
      <c r="BD110" s="1458">
        <f>IF(BH110&gt;0,BH110,+COUNTIFS(S.CAL!$FX$3:$FX$374,"&gt;0",S.CAL!$FW$3:$FW$374,AZ110))</f>
        <v>0</v>
      </c>
      <c r="BE110" s="1459">
        <f t="shared" si="75"/>
        <v>0</v>
      </c>
      <c r="BF110" s="1478"/>
      <c r="BG110" s="1475"/>
      <c r="BH110" s="1478"/>
      <c r="BT110" s="447"/>
      <c r="BU110" s="447"/>
      <c r="BV110" s="447"/>
      <c r="BW110" s="196"/>
      <c r="BX110" s="196"/>
      <c r="BY110" s="1264"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52026</v>
      </c>
      <c r="BA111" s="1455">
        <f>+$AT$8</f>
        <v>5</v>
      </c>
      <c r="BB111" s="1456"/>
      <c r="BC111" s="1457">
        <f>IF(BF111&gt;0,BF111,+COUNTIFS($GF$20:$GF$50,"&gt;0",$GB$20:$GB$50,AZ111)+IF($DP$8&lt;52,+COUNTIFS($GH$20:$GH$50,"&gt;0",$GB$20:$GB$50,AZ111)))</f>
        <v>0</v>
      </c>
      <c r="BD111" s="1458">
        <f>IF(BH111&gt;0,BH111,+COUNTIFS(S.CAL!$FX$3:$FX$374,"&gt;0",S.CAL!$FW$3:$FW$374,AZ111))</f>
        <v>0</v>
      </c>
      <c r="BE111" s="1459">
        <f t="shared" si="75"/>
        <v>0</v>
      </c>
      <c r="BF111" s="1478"/>
      <c r="BG111" s="1475"/>
      <c r="BH111" s="1478"/>
      <c r="BT111" s="447"/>
      <c r="BU111" s="447"/>
      <c r="BV111" s="447"/>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5"/>
        <v>0</v>
      </c>
      <c r="BF112" s="1479"/>
      <c r="BG112" s="1469"/>
      <c r="BH112" s="1479"/>
      <c r="BT112" s="447"/>
      <c r="BU112" s="447"/>
      <c r="BV112" s="447"/>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T113" s="447"/>
      <c r="BU113" s="447"/>
      <c r="BV113" s="447"/>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T114" s="447"/>
      <c r="BU114" s="447"/>
      <c r="BV114" s="447"/>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T115" s="447"/>
      <c r="BU115" s="447"/>
      <c r="BV115" s="447"/>
      <c r="BW115" s="196"/>
      <c r="BX115" s="196"/>
      <c r="BY115" s="574" t="s">
        <v>1008</v>
      </c>
      <c r="BZ115" s="196"/>
      <c r="CA115" s="161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T116" s="447"/>
      <c r="BU116" s="447"/>
      <c r="BV116" s="447"/>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T117" s="447"/>
      <c r="BU117" s="447"/>
      <c r="BV117" s="447"/>
      <c r="BW117" s="196"/>
      <c r="BX117" s="196"/>
      <c r="BY117" s="574"/>
      <c r="BZ117" s="196"/>
      <c r="CA117" s="1617"/>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T118" s="447"/>
      <c r="BU118" s="447"/>
      <c r="BV118" s="447"/>
      <c r="BW118" s="196"/>
      <c r="BX118" s="196"/>
      <c r="BY118" s="574" t="s">
        <v>1009</v>
      </c>
      <c r="BZ118" s="581" t="str">
        <f>+IF(Identification!B133="Oui",BZ137,Janvier!BZ140)</f>
        <v>Scénario 4</v>
      </c>
      <c r="CA118" s="1617"/>
      <c r="CB118" s="196"/>
      <c r="CC118" s="196"/>
      <c r="CD118" s="196"/>
      <c r="CE118" s="196"/>
      <c r="CF118" s="196"/>
      <c r="CG118" s="196"/>
      <c r="CH118" s="196"/>
      <c r="CI118" s="196"/>
    </row>
    <row r="119" spans="2:87" ht="13.5" customHeight="1" x14ac:dyDescent="0.2">
      <c r="BT119" s="447"/>
      <c r="BU119" s="447"/>
      <c r="BV119" s="447"/>
      <c r="BW119" s="196"/>
      <c r="BX119" s="196"/>
      <c r="BY119" s="196"/>
      <c r="BZ119" s="196"/>
      <c r="CA119" s="196"/>
      <c r="CB119" s="196"/>
      <c r="CC119" s="196"/>
      <c r="CD119" s="196"/>
      <c r="CE119" s="196"/>
      <c r="CF119" s="196"/>
      <c r="CG119" s="196"/>
      <c r="CH119" s="196"/>
      <c r="CI119" s="196"/>
    </row>
    <row r="120" spans="2:87" ht="13.5" hidden="1" customHeight="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T120" s="447"/>
      <c r="BU120" s="447"/>
      <c r="BV120" s="447"/>
      <c r="BW120" s="196"/>
      <c r="BX120" s="196"/>
      <c r="BY120" s="196"/>
      <c r="BZ120" s="196"/>
      <c r="CA120" s="196"/>
      <c r="CB120" s="196"/>
      <c r="CC120" s="196"/>
      <c r="CD120" s="196"/>
      <c r="CE120" s="196"/>
      <c r="CF120" s="196"/>
      <c r="CG120" s="196"/>
      <c r="CH120" s="196"/>
      <c r="CI120" s="196"/>
    </row>
    <row r="121" spans="2:87" ht="13.5" hidden="1" customHeight="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T121" s="447"/>
      <c r="BU121" s="447"/>
      <c r="BV121" s="447"/>
      <c r="BW121" s="196"/>
      <c r="BX121" s="196"/>
      <c r="BY121" s="196"/>
      <c r="BZ121" s="196"/>
      <c r="CA121" s="196"/>
      <c r="CB121" s="196"/>
      <c r="CC121" s="196"/>
      <c r="CD121" s="196"/>
      <c r="CE121" s="196"/>
      <c r="CF121" s="196"/>
      <c r="CG121" s="196"/>
      <c r="CH121" s="196"/>
      <c r="CI121" s="196"/>
    </row>
    <row r="122" spans="2:87" ht="12.75" hidden="1" customHeight="1" x14ac:dyDescent="0.2">
      <c r="B122" s="260"/>
      <c r="P122" s="261"/>
      <c r="U122" s="260"/>
      <c r="AQ122" s="255"/>
      <c r="AR122" s="255"/>
      <c r="AS122" s="472"/>
      <c r="BT122" s="447"/>
      <c r="BU122" s="447"/>
      <c r="BV122" s="447"/>
      <c r="BW122" s="196"/>
      <c r="BX122" s="196"/>
      <c r="BY122" s="196"/>
      <c r="BZ122" s="196"/>
      <c r="CA122" s="196"/>
      <c r="CB122" s="196"/>
      <c r="CC122" s="196"/>
      <c r="CD122" s="196"/>
      <c r="CE122" s="196"/>
      <c r="CF122" s="196"/>
      <c r="CG122" s="196"/>
      <c r="CH122" s="196"/>
      <c r="CI122" s="196"/>
    </row>
    <row r="123" spans="2:87" ht="12.75" hidden="1" customHeight="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T123" s="447"/>
      <c r="BU123" s="447"/>
      <c r="BV123" s="447"/>
      <c r="BW123" s="196"/>
      <c r="BX123" s="196"/>
      <c r="BY123" s="196"/>
      <c r="BZ123" s="196"/>
      <c r="CA123" s="196"/>
      <c r="CB123" s="196"/>
      <c r="CC123" s="196"/>
      <c r="CD123" s="196"/>
      <c r="CE123" s="196"/>
      <c r="CF123" s="196"/>
      <c r="CG123" s="196"/>
      <c r="CH123" s="196"/>
      <c r="CI123" s="196"/>
    </row>
    <row r="124" spans="2:87" ht="13.5" hidden="1" customHeight="1" thickBot="1" x14ac:dyDescent="0.25">
      <c r="B124" s="260"/>
      <c r="L124" s="262"/>
      <c r="M124" s="262"/>
      <c r="P124" s="261"/>
      <c r="U124" s="260"/>
      <c r="AQ124" s="264"/>
      <c r="AR124" s="264"/>
      <c r="AS124" s="473"/>
      <c r="BT124" s="447"/>
      <c r="BU124" s="447"/>
      <c r="BV124" s="447"/>
      <c r="BW124" s="196"/>
      <c r="BX124" s="196"/>
      <c r="BY124" s="196"/>
      <c r="BZ124" s="196"/>
      <c r="CA124" s="196"/>
      <c r="CB124" s="196"/>
      <c r="CC124" s="196"/>
      <c r="CD124" s="196"/>
      <c r="CE124" s="196"/>
      <c r="CF124" s="196"/>
      <c r="CG124" s="196"/>
      <c r="CH124" s="196"/>
      <c r="CI124" s="196"/>
    </row>
    <row r="125" spans="2:87" ht="12.75" hidden="1" customHeight="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T125" s="447"/>
      <c r="BU125" s="447"/>
      <c r="BV125" s="447"/>
      <c r="BW125" s="196"/>
      <c r="BX125" s="196"/>
      <c r="BY125" s="196"/>
      <c r="BZ125" s="196"/>
      <c r="CA125" s="196"/>
      <c r="CB125" s="196"/>
      <c r="CC125" s="196"/>
      <c r="CD125" s="196"/>
      <c r="CE125" s="196"/>
      <c r="CF125" s="196"/>
      <c r="CG125" s="196"/>
      <c r="CH125" s="196"/>
      <c r="CI125" s="196"/>
    </row>
    <row r="126" spans="2:87" ht="13.5" hidden="1" customHeight="1" thickBot="1" x14ac:dyDescent="0.25">
      <c r="B126" s="263"/>
      <c r="C126" s="264"/>
      <c r="D126" s="264"/>
      <c r="E126" s="264"/>
      <c r="F126" s="264"/>
      <c r="G126" s="264"/>
      <c r="H126" s="264"/>
      <c r="I126" s="264"/>
      <c r="J126" s="264"/>
      <c r="K126" s="264"/>
      <c r="L126" s="264"/>
      <c r="M126" s="264"/>
      <c r="N126" s="264"/>
      <c r="O126" s="264"/>
      <c r="P126" s="265"/>
      <c r="U126" s="260"/>
      <c r="AP126" s="261"/>
      <c r="BT126" s="447"/>
      <c r="BU126" s="447"/>
      <c r="BV126" s="447"/>
      <c r="BW126" s="196"/>
      <c r="BX126" s="196"/>
      <c r="BY126" s="196"/>
      <c r="BZ126" s="196"/>
      <c r="CA126" s="196"/>
      <c r="CB126" s="196"/>
      <c r="CC126" s="196"/>
      <c r="CD126" s="196"/>
      <c r="CE126" s="196"/>
      <c r="CF126" s="196"/>
      <c r="CG126" s="196"/>
      <c r="CH126" s="196"/>
      <c r="CI126" s="196"/>
    </row>
    <row r="127" spans="2:87" ht="13.5" hidden="1" customHeight="1" thickBot="1" x14ac:dyDescent="0.25">
      <c r="U127" s="260"/>
      <c r="V127" s="129" t="s">
        <v>631</v>
      </c>
      <c r="AI127" s="2289" t="s">
        <v>137</v>
      </c>
      <c r="AJ127" s="2289"/>
      <c r="AK127" s="404" t="s">
        <v>741</v>
      </c>
      <c r="AL127" s="406" t="s">
        <v>740</v>
      </c>
      <c r="AM127" s="2295"/>
      <c r="AN127" s="2295"/>
      <c r="AO127" s="2295"/>
      <c r="AP127" s="2296"/>
      <c r="AQ127" s="403"/>
      <c r="AR127" s="403"/>
      <c r="BT127" s="447"/>
      <c r="BU127" s="447"/>
      <c r="BV127" s="447"/>
      <c r="BW127" s="196"/>
      <c r="BX127" s="196"/>
      <c r="BY127" s="196"/>
      <c r="BZ127" s="196"/>
      <c r="CA127" s="196"/>
      <c r="CB127" s="196"/>
      <c r="CC127" s="196"/>
      <c r="CD127" s="196"/>
      <c r="CE127" s="196"/>
      <c r="CF127" s="196"/>
      <c r="CG127" s="196"/>
      <c r="CH127" s="196"/>
      <c r="CI127" s="196"/>
    </row>
    <row r="128" spans="2:87" ht="12.75" hidden="1" customHeight="1" x14ac:dyDescent="0.2">
      <c r="U128" s="260"/>
      <c r="AQ128" s="255"/>
      <c r="AR128" s="255"/>
      <c r="AS128" s="472"/>
      <c r="AT128" s="510"/>
      <c r="AU128" s="510"/>
      <c r="AV128" s="510"/>
      <c r="AW128" s="510"/>
      <c r="AX128" s="510"/>
      <c r="AY128" s="510"/>
      <c r="BT128" s="447"/>
      <c r="BU128" s="447"/>
      <c r="BV128" s="447"/>
      <c r="BW128" s="196"/>
      <c r="BX128" s="196"/>
      <c r="BY128" s="196"/>
      <c r="BZ128" s="196"/>
      <c r="CA128" s="196"/>
      <c r="CB128" s="196"/>
      <c r="CC128" s="196"/>
      <c r="CD128" s="196"/>
      <c r="CE128" s="196"/>
      <c r="CF128" s="196"/>
      <c r="CG128" s="196"/>
      <c r="CH128" s="196"/>
      <c r="CI128" s="196"/>
    </row>
    <row r="129" spans="21:87" ht="12.75" hidden="1" customHeight="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T129" s="447"/>
      <c r="BU129" s="447"/>
      <c r="BV129" s="447"/>
      <c r="BW129" s="196"/>
      <c r="BX129" s="196"/>
      <c r="BY129" s="196"/>
      <c r="BZ129" s="196"/>
      <c r="CA129" s="196"/>
      <c r="CB129" s="196"/>
      <c r="CC129" s="196"/>
      <c r="CD129" s="196"/>
      <c r="CE129" s="196"/>
      <c r="CF129" s="196"/>
      <c r="CG129" s="196"/>
      <c r="CH129" s="196"/>
      <c r="CI129" s="196"/>
    </row>
    <row r="130" spans="21:87" hidden="1" x14ac:dyDescent="0.2">
      <c r="U130" s="260"/>
      <c r="AS130" s="865"/>
      <c r="BT130" s="447"/>
      <c r="BU130" s="447"/>
      <c r="BV130" s="447"/>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T131" s="447"/>
      <c r="BU131" s="447"/>
      <c r="BV131" s="447"/>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T132" s="447"/>
      <c r="BU132" s="447"/>
      <c r="BV132" s="447"/>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T133" s="447"/>
      <c r="BU133" s="447"/>
      <c r="BV133" s="447"/>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T134" s="447"/>
      <c r="BU134" s="447"/>
      <c r="BV134" s="447"/>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T135" s="447"/>
      <c r="BU135" s="447"/>
      <c r="BV135" s="447"/>
      <c r="BW135" s="196"/>
      <c r="BX135" s="196"/>
      <c r="BY135" s="196"/>
      <c r="BZ135" s="196"/>
      <c r="CA135" s="196"/>
      <c r="CB135" s="196"/>
      <c r="CC135" s="196"/>
      <c r="CD135" s="196"/>
      <c r="CE135" s="196"/>
      <c r="CF135" s="196"/>
      <c r="CG135" s="196"/>
      <c r="CH135" s="196"/>
      <c r="CI135" s="196"/>
    </row>
    <row r="136" spans="21:87" x14ac:dyDescent="0.2">
      <c r="BT136" s="447"/>
      <c r="BU136" s="447"/>
      <c r="BV136" s="447"/>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BA137" s="1798" t="s">
        <v>1633</v>
      </c>
      <c r="BB137" s="1798"/>
      <c r="BC137" s="1798"/>
      <c r="BD137" s="1798"/>
      <c r="BE137" s="1798"/>
      <c r="BF137" s="1798"/>
      <c r="BG137" s="1798"/>
      <c r="BH137" s="1798"/>
      <c r="BT137" s="447"/>
      <c r="BU137" s="447"/>
      <c r="BV137" s="447"/>
      <c r="BW137" s="196"/>
      <c r="BX137" s="196"/>
      <c r="BY137" s="196"/>
      <c r="BZ137" s="196" t="s">
        <v>1709</v>
      </c>
      <c r="CA137" s="196"/>
      <c r="CB137" s="196"/>
      <c r="CC137" s="196"/>
      <c r="CD137" s="196"/>
      <c r="CE137" s="196"/>
      <c r="CF137" s="196"/>
      <c r="CG137" s="196"/>
      <c r="CH137" s="196"/>
      <c r="CI137" s="196"/>
    </row>
    <row r="138" spans="21:87" x14ac:dyDescent="0.2">
      <c r="BA138" s="1447"/>
      <c r="BB138" s="897"/>
      <c r="BC138" s="232"/>
      <c r="BD138" s="232"/>
      <c r="BE138" s="232"/>
      <c r="BT138" s="447"/>
      <c r="BU138" s="447"/>
      <c r="BV138" s="447"/>
      <c r="BW138" s="196"/>
      <c r="BX138" s="196"/>
      <c r="BY138" s="196"/>
      <c r="BZ138" s="196" t="s">
        <v>1710</v>
      </c>
      <c r="CA138" s="196"/>
      <c r="CB138" s="196"/>
      <c r="CC138" s="196"/>
      <c r="CD138" s="196"/>
      <c r="CE138" s="196"/>
      <c r="CF138" s="196"/>
      <c r="CG138" s="196"/>
      <c r="CH138" s="196"/>
      <c r="CI138" s="196"/>
    </row>
    <row r="139" spans="21:87" x14ac:dyDescent="0.2">
      <c r="BA139" s="1792" t="s">
        <v>1562</v>
      </c>
      <c r="BB139" s="1792" t="s">
        <v>1563</v>
      </c>
      <c r="BC139" s="1793"/>
      <c r="BD139" s="1796" t="s">
        <v>1564</v>
      </c>
      <c r="BE139" s="1793" t="s">
        <v>1565</v>
      </c>
      <c r="BF139" s="1470" t="s">
        <v>659</v>
      </c>
      <c r="BG139" s="1471"/>
      <c r="BH139" s="1476" t="s">
        <v>659</v>
      </c>
      <c r="BT139" s="447"/>
      <c r="BU139" s="447"/>
      <c r="BV139" s="447"/>
      <c r="BW139" s="196"/>
      <c r="BX139" s="196"/>
      <c r="BY139" s="196"/>
      <c r="BZ139" s="196" t="s">
        <v>1711</v>
      </c>
      <c r="CA139" s="196"/>
      <c r="CB139" s="196"/>
      <c r="CC139" s="196"/>
      <c r="CD139" s="196"/>
      <c r="CE139" s="196"/>
      <c r="CF139" s="196"/>
      <c r="CG139" s="196"/>
      <c r="CH139" s="196"/>
      <c r="CI139" s="196"/>
    </row>
    <row r="140" spans="21:87" x14ac:dyDescent="0.2">
      <c r="BA140" s="1794"/>
      <c r="BB140" s="1794"/>
      <c r="BC140" s="1795"/>
      <c r="BD140" s="1797"/>
      <c r="BE140" s="1795"/>
      <c r="BF140" s="1472" t="s">
        <v>1568</v>
      </c>
      <c r="BG140" s="1473" t="s">
        <v>1564</v>
      </c>
      <c r="BH140" s="1474"/>
      <c r="BT140" s="447"/>
      <c r="BU140" s="447"/>
      <c r="BV140" s="447"/>
      <c r="BW140" s="196"/>
      <c r="BX140" s="196"/>
      <c r="BY140" s="196"/>
      <c r="BZ140" s="196" t="s">
        <v>1014</v>
      </c>
      <c r="CA140" s="196"/>
      <c r="CB140" s="196"/>
      <c r="CC140" s="196"/>
      <c r="CD140" s="196"/>
      <c r="CE140" s="196"/>
      <c r="CF140" s="196"/>
      <c r="CG140" s="196"/>
      <c r="CH140" s="196"/>
      <c r="CI140" s="196"/>
    </row>
    <row r="141" spans="21:87" x14ac:dyDescent="0.2">
      <c r="BA141" s="1448"/>
      <c r="BB141" s="897"/>
      <c r="BC141" s="1448"/>
      <c r="BD141" s="1448"/>
      <c r="BE141" s="1448"/>
      <c r="BF141" s="315"/>
      <c r="BG141" s="315"/>
      <c r="BH141" s="315"/>
      <c r="BT141" s="447"/>
      <c r="BU141" s="447"/>
      <c r="BV141" s="447"/>
      <c r="BW141" s="196"/>
      <c r="BX141" s="196"/>
      <c r="BY141" s="196"/>
      <c r="BZ141" s="196"/>
      <c r="CA141" s="196"/>
      <c r="CB141" s="196"/>
      <c r="CC141" s="196"/>
      <c r="CD141" s="196"/>
      <c r="CE141" s="196"/>
      <c r="CF141" s="196"/>
      <c r="CG141" s="196"/>
      <c r="CH141" s="196"/>
      <c r="CI141" s="196"/>
    </row>
    <row r="142" spans="21:87" x14ac:dyDescent="0.2">
      <c r="AZ142" s="1449" t="str">
        <f>+$BG$9</f>
        <v>12026</v>
      </c>
      <c r="BA142" s="1450">
        <f>+$AT$4</f>
        <v>1</v>
      </c>
      <c r="BB142" s="1451"/>
      <c r="BC142" s="1452">
        <f>+IF(BF142&gt;0,BF142,+COUNTIFS($GP$20:$GP$50,"&gt;0",$GB$20:$GB$50,AZ142))</f>
        <v>0</v>
      </c>
      <c r="BD142" s="1453">
        <f>IF(BH142&gt;0,BH142,+SUMIFS(S.CAL!$G$2:$G$897,S.CAL!$B$2:$B$897,Janvier!$BY$2,S.CAL!$C$2:$C$897,$AU$4))</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22026</v>
      </c>
      <c r="BA143" s="1455">
        <f>+$AT$5</f>
        <v>2</v>
      </c>
      <c r="BB143" s="1456"/>
      <c r="BC143" s="1457">
        <f t="shared" ref="BC143:BC147" si="76">+IF(BF143&gt;0,BF143,+COUNTIFS($GP$20:$GP$50,"&gt;0",$GB$20:$GB$50,AZ143))</f>
        <v>0</v>
      </c>
      <c r="BD143" s="1458">
        <f>IF(BH143&gt;0,BH143,COUNTIFS(S.CAL!$FX$3:$FX$374,"&gt;0",S.CAL!$FW$3:$FW$374,AZ143))</f>
        <v>0</v>
      </c>
      <c r="BE143" s="1459">
        <f t="shared" ref="BE143:BE147" si="77">IFERROR(ROUND(+BC143/BD143,2),0)</f>
        <v>0</v>
      </c>
      <c r="BF143" s="1478"/>
      <c r="BG143" s="1475"/>
      <c r="BH143" s="1478"/>
    </row>
    <row r="144" spans="21:87" x14ac:dyDescent="0.2">
      <c r="AZ144" s="1449" t="str">
        <f>+$BG$11</f>
        <v>32026</v>
      </c>
      <c r="BA144" s="1455">
        <f>+$AT$6</f>
        <v>3</v>
      </c>
      <c r="BB144" s="1456"/>
      <c r="BC144" s="1457">
        <f t="shared" si="76"/>
        <v>0</v>
      </c>
      <c r="BD144" s="1458">
        <f>IF(BH144&gt;0,BH144,+COUNTIFS(S.CAL!$FX$3:$FX$374,"&gt;0",S.CAL!$FW$3:$FW$374,AZ144))</f>
        <v>0</v>
      </c>
      <c r="BE144" s="1459">
        <f t="shared" si="77"/>
        <v>0</v>
      </c>
      <c r="BF144" s="1478"/>
      <c r="BG144" s="1475"/>
      <c r="BH144" s="1478"/>
    </row>
    <row r="145" spans="52:60" x14ac:dyDescent="0.2">
      <c r="AZ145" s="1449" t="str">
        <f>+$BG$12</f>
        <v>42026</v>
      </c>
      <c r="BA145" s="1455">
        <f>+$AT$7</f>
        <v>4</v>
      </c>
      <c r="BB145" s="1456"/>
      <c r="BC145" s="1457">
        <f t="shared" si="76"/>
        <v>0</v>
      </c>
      <c r="BD145" s="1458">
        <f>IF(BH145&gt;0,BH145,+COUNTIFS(S.CAL!$FX$3:$FX$374,"&gt;0",S.CAL!$FW$3:$FW$374,AZ145))</f>
        <v>0</v>
      </c>
      <c r="BE145" s="1459">
        <f t="shared" si="77"/>
        <v>0</v>
      </c>
      <c r="BF145" s="1478"/>
      <c r="BG145" s="1475"/>
      <c r="BH145" s="1478"/>
    </row>
    <row r="146" spans="52:60" x14ac:dyDescent="0.2">
      <c r="AZ146" s="1449" t="str">
        <f>+$BG$13</f>
        <v>52026</v>
      </c>
      <c r="BA146" s="1455">
        <f>+$AT$8</f>
        <v>5</v>
      </c>
      <c r="BB146" s="1456"/>
      <c r="BC146" s="1457">
        <f t="shared" si="76"/>
        <v>0</v>
      </c>
      <c r="BD146" s="1458">
        <f>IF(BH146&gt;0,BH146,+COUNTIFS(S.CAL!$FX$3:$FX$374,"&gt;0",S.CAL!$FW$3:$FW$374,AZ146))</f>
        <v>0</v>
      </c>
      <c r="BE146" s="1459">
        <f t="shared" si="77"/>
        <v>0</v>
      </c>
      <c r="BF146" s="1478"/>
      <c r="BG146" s="1475"/>
      <c r="BH146" s="1478"/>
    </row>
    <row r="147" spans="52:60" x14ac:dyDescent="0.2">
      <c r="AZ147" s="1449" t="str">
        <f>+$BG$14</f>
        <v>2026</v>
      </c>
      <c r="BA147" s="1460" t="str">
        <f>+$AT$9</f>
        <v/>
      </c>
      <c r="BB147" s="1461"/>
      <c r="BC147" s="1462">
        <f t="shared" si="76"/>
        <v>0</v>
      </c>
      <c r="BD147" s="1463">
        <f>IF(BH147&gt;0,BH147,+COUNTIFS(S.CAL!$FX$3:$FX$374,"&gt;0",S.CAL!$FW$3:$FW$374,AZ147))</f>
        <v>0</v>
      </c>
      <c r="BE147" s="1464">
        <f t="shared" si="77"/>
        <v>0</v>
      </c>
      <c r="BF147" s="1479"/>
      <c r="BG147" s="1469"/>
      <c r="BH147" s="1479"/>
    </row>
    <row r="148" spans="52:60" x14ac:dyDescent="0.2">
      <c r="BA148" s="232"/>
      <c r="BB148" s="232"/>
      <c r="BC148" s="232"/>
      <c r="BD148" s="232"/>
      <c r="BE148" s="232"/>
    </row>
    <row r="149" spans="52:60" x14ac:dyDescent="0.2">
      <c r="BA149" s="232"/>
      <c r="BB149" s="232"/>
      <c r="BC149" s="232"/>
      <c r="BD149" s="898" t="s">
        <v>1566</v>
      </c>
      <c r="BE149" s="1465">
        <f>MROUND(SUM(BE142:BE147),0.05)</f>
        <v>0</v>
      </c>
    </row>
  </sheetData>
  <sheetProtection algorithmName="SHA-512" hashValue="uelhEKhMmcpDp9rB5tNVHqr6x53uZAAHHQECFnb0k0VCrRg2Jvu1zi59839oq7+NjSKnVY8e18bLH5P41pDZTA==" saltValue="Rtw+SGMZ0aK1IL6Z4Jjr7Q==" spinCount="100000" sheet="1" objects="1" scenarios="1" formatCells="0" formatColumns="0" formatRows="0" insertColumns="0" insertRows="0" insertHyperlinks="0" sort="0" autoFilter="0" pivotTables="0"/>
  <mergeCells count="803">
    <mergeCell ref="AU73:BB73"/>
    <mergeCell ref="AU72:BB72"/>
    <mergeCell ref="AT75:AW75"/>
    <mergeCell ref="AE123:AF123"/>
    <mergeCell ref="I85:P85"/>
    <mergeCell ref="G100:I100"/>
    <mergeCell ref="G99:I99"/>
    <mergeCell ref="AD137:AG137"/>
    <mergeCell ref="M100:O100"/>
    <mergeCell ref="H73:K73"/>
    <mergeCell ref="E73:G73"/>
    <mergeCell ref="D99:F99"/>
    <mergeCell ref="C98:O98"/>
    <mergeCell ref="M99:O99"/>
    <mergeCell ref="L78:P78"/>
    <mergeCell ref="F80:H80"/>
    <mergeCell ref="Z77:AK77"/>
    <mergeCell ref="A82:E82"/>
    <mergeCell ref="A83:E83"/>
    <mergeCell ref="A77:D77"/>
    <mergeCell ref="A87:E87"/>
    <mergeCell ref="AH89:AK89"/>
    <mergeCell ref="A81:E81"/>
    <mergeCell ref="A80:E80"/>
    <mergeCell ref="BE65:BF65"/>
    <mergeCell ref="BE68:BF68"/>
    <mergeCell ref="AD135:AE135"/>
    <mergeCell ref="AG135:AI135"/>
    <mergeCell ref="AJ135:AK135"/>
    <mergeCell ref="AC133:AD133"/>
    <mergeCell ref="AE133:AG133"/>
    <mergeCell ref="AH133:AI133"/>
    <mergeCell ref="AH87:AK87"/>
    <mergeCell ref="AH84:AK84"/>
    <mergeCell ref="AL131:AN131"/>
    <mergeCell ref="AM125:AP125"/>
    <mergeCell ref="AN129:AO129"/>
    <mergeCell ref="AN123:AO123"/>
    <mergeCell ref="AL89:AO89"/>
    <mergeCell ref="AL77:AO77"/>
    <mergeCell ref="AL78:AO78"/>
    <mergeCell ref="AL87:AO87"/>
    <mergeCell ref="AM127:AP127"/>
    <mergeCell ref="AX76:AY76"/>
    <mergeCell ref="AT78:AW78"/>
    <mergeCell ref="AY75:AZ75"/>
    <mergeCell ref="AQ77:AT77"/>
    <mergeCell ref="AR78:AS78"/>
    <mergeCell ref="A75:D75"/>
    <mergeCell ref="A76:D76"/>
    <mergeCell ref="N71:P71"/>
    <mergeCell ref="N69:P69"/>
    <mergeCell ref="T66:Z66"/>
    <mergeCell ref="AJ131:AK131"/>
    <mergeCell ref="AH88:AK88"/>
    <mergeCell ref="Q76:T76"/>
    <mergeCell ref="R90:T90"/>
    <mergeCell ref="S102:T103"/>
    <mergeCell ref="K90:Q90"/>
    <mergeCell ref="Z74:AK74"/>
    <mergeCell ref="Z75:AK75"/>
    <mergeCell ref="Z73:AK73"/>
    <mergeCell ref="V85:AG85"/>
    <mergeCell ref="Y73:Y75"/>
    <mergeCell ref="Z78:AK78"/>
    <mergeCell ref="Z71:AB71"/>
    <mergeCell ref="H74:K74"/>
    <mergeCell ref="L125:M125"/>
    <mergeCell ref="AE129:AF129"/>
    <mergeCell ref="AJ125:AK125"/>
    <mergeCell ref="AI127:AJ127"/>
    <mergeCell ref="L123:M123"/>
    <mergeCell ref="H44:J44"/>
    <mergeCell ref="H43:J43"/>
    <mergeCell ref="N42:P42"/>
    <mergeCell ref="A44:G44"/>
    <mergeCell ref="A47:G47"/>
    <mergeCell ref="A46:G46"/>
    <mergeCell ref="H46:J46"/>
    <mergeCell ref="H47:J47"/>
    <mergeCell ref="N46:P46"/>
    <mergeCell ref="K42:M42"/>
    <mergeCell ref="A45:G45"/>
    <mergeCell ref="H45:J45"/>
    <mergeCell ref="K43:M43"/>
    <mergeCell ref="N43:P43"/>
    <mergeCell ref="N47:P47"/>
    <mergeCell ref="A21:K21"/>
    <mergeCell ref="P21:S21"/>
    <mergeCell ref="L21:O21"/>
    <mergeCell ref="P30:S30"/>
    <mergeCell ref="P22:S22"/>
    <mergeCell ref="P27:S27"/>
    <mergeCell ref="P28:S28"/>
    <mergeCell ref="P23:S23"/>
    <mergeCell ref="A27:A28"/>
    <mergeCell ref="B28:K28"/>
    <mergeCell ref="L28:O28"/>
    <mergeCell ref="B29:K29"/>
    <mergeCell ref="L22:O22"/>
    <mergeCell ref="L26:O26"/>
    <mergeCell ref="Y15:Z15"/>
    <mergeCell ref="P15:X15"/>
    <mergeCell ref="L20:O20"/>
    <mergeCell ref="A20:K20"/>
    <mergeCell ref="A43:G43"/>
    <mergeCell ref="A39:G39"/>
    <mergeCell ref="B31:K31"/>
    <mergeCell ref="L30:O30"/>
    <mergeCell ref="A25:A26"/>
    <mergeCell ref="A29:A34"/>
    <mergeCell ref="B30:K30"/>
    <mergeCell ref="H42:J42"/>
    <mergeCell ref="A41:G41"/>
    <mergeCell ref="H41:J41"/>
    <mergeCell ref="K39:M39"/>
    <mergeCell ref="L31:O31"/>
    <mergeCell ref="B34:K34"/>
    <mergeCell ref="A42:G42"/>
    <mergeCell ref="B32:K32"/>
    <mergeCell ref="B25:K25"/>
    <mergeCell ref="B26:K26"/>
    <mergeCell ref="L24:O24"/>
    <mergeCell ref="B27:K27"/>
    <mergeCell ref="B24:K24"/>
    <mergeCell ref="CE3:CF3"/>
    <mergeCell ref="AH91:AK91"/>
    <mergeCell ref="AL91:AO91"/>
    <mergeCell ref="AM44:AO44"/>
    <mergeCell ref="AJ44:AL44"/>
    <mergeCell ref="AB41:AC41"/>
    <mergeCell ref="AG45:AI45"/>
    <mergeCell ref="CE5:CF5"/>
    <mergeCell ref="CE8:CF8"/>
    <mergeCell ref="AB25:AC25"/>
    <mergeCell ref="AD28:AF28"/>
    <mergeCell ref="AB31:AC31"/>
    <mergeCell ref="AJ20:AL20"/>
    <mergeCell ref="AM32:AO32"/>
    <mergeCell ref="AM33:AO33"/>
    <mergeCell ref="AM35:AO35"/>
    <mergeCell ref="AM28:AO28"/>
    <mergeCell ref="AJ42:AL42"/>
    <mergeCell ref="AB51:AC51"/>
    <mergeCell ref="AG48:AI48"/>
    <mergeCell ref="AB33:AC33"/>
    <mergeCell ref="AB34:AC34"/>
    <mergeCell ref="CC45:CD45"/>
    <mergeCell ref="AM48:AO48"/>
    <mergeCell ref="CG8:CI8"/>
    <mergeCell ref="AB36:AC36"/>
    <mergeCell ref="AD32:AF32"/>
    <mergeCell ref="AG32:AI32"/>
    <mergeCell ref="AD35:AF35"/>
    <mergeCell ref="Z9:AO9"/>
    <mergeCell ref="AL14:AO14"/>
    <mergeCell ref="AE15:AK15"/>
    <mergeCell ref="AM43:AO43"/>
    <mergeCell ref="AM39:AO39"/>
    <mergeCell ref="AG35:AI35"/>
    <mergeCell ref="AM34:AO34"/>
    <mergeCell ref="AG36:AI36"/>
    <mergeCell ref="AG37:AI37"/>
    <mergeCell ref="AG38:AI38"/>
    <mergeCell ref="AG34:AI34"/>
    <mergeCell ref="AD31:AF31"/>
    <mergeCell ref="AD21:AF21"/>
    <mergeCell ref="BJ18:BJ19"/>
    <mergeCell ref="AZ18:AZ19"/>
    <mergeCell ref="BA18:BA19"/>
    <mergeCell ref="BE18:BE19"/>
    <mergeCell ref="X42:Z42"/>
    <mergeCell ref="AD25:AF25"/>
    <mergeCell ref="A18:K18"/>
    <mergeCell ref="AG24:AI24"/>
    <mergeCell ref="AB20:AC20"/>
    <mergeCell ref="HK16:HN16"/>
    <mergeCell ref="N45:P45"/>
    <mergeCell ref="N44:P44"/>
    <mergeCell ref="R45:T45"/>
    <mergeCell ref="U44:W44"/>
    <mergeCell ref="U45:W45"/>
    <mergeCell ref="U39:W39"/>
    <mergeCell ref="U40:W40"/>
    <mergeCell ref="U42:W42"/>
    <mergeCell ref="U43:W43"/>
    <mergeCell ref="X45:Z45"/>
    <mergeCell ref="R44:T44"/>
    <mergeCell ref="X39:Z39"/>
    <mergeCell ref="X41:Z41"/>
    <mergeCell ref="X40:Z40"/>
    <mergeCell ref="AD44:AF44"/>
    <mergeCell ref="AM42:AO42"/>
    <mergeCell ref="AB29:AC29"/>
    <mergeCell ref="AM37:AO37"/>
    <mergeCell ref="A22:K22"/>
    <mergeCell ref="A23:A24"/>
    <mergeCell ref="A4:D4"/>
    <mergeCell ref="AB21:AC21"/>
    <mergeCell ref="AG22:AI22"/>
    <mergeCell ref="T27:W27"/>
    <mergeCell ref="AD22:AF22"/>
    <mergeCell ref="AM22:AO22"/>
    <mergeCell ref="AB22:AC22"/>
    <mergeCell ref="T22:W22"/>
    <mergeCell ref="AJ22:AL22"/>
    <mergeCell ref="AD26:AF26"/>
    <mergeCell ref="AD24:AF24"/>
    <mergeCell ref="AG23:AI23"/>
    <mergeCell ref="AJ23:AL23"/>
    <mergeCell ref="AJ26:AL26"/>
    <mergeCell ref="AM24:AO24"/>
    <mergeCell ref="AM26:AO26"/>
    <mergeCell ref="AJ24:AL24"/>
    <mergeCell ref="AM25:AO25"/>
    <mergeCell ref="AJ25:AL25"/>
    <mergeCell ref="AB26:AC26"/>
    <mergeCell ref="T23:W23"/>
    <mergeCell ref="AD23:AF23"/>
    <mergeCell ref="AG21:AI21"/>
    <mergeCell ref="AJ21:AL21"/>
    <mergeCell ref="A1:AO1"/>
    <mergeCell ref="AF3:AH3"/>
    <mergeCell ref="AF4:AI4"/>
    <mergeCell ref="AJ4:AO4"/>
    <mergeCell ref="X3:AC3"/>
    <mergeCell ref="X4:AC4"/>
    <mergeCell ref="AI3:AO3"/>
    <mergeCell ref="V12:Y12"/>
    <mergeCell ref="AB18:AC19"/>
    <mergeCell ref="T19:W19"/>
    <mergeCell ref="T17:W17"/>
    <mergeCell ref="Z12:AG12"/>
    <mergeCell ref="AM18:AO19"/>
    <mergeCell ref="A14:H14"/>
    <mergeCell ref="I14:L14"/>
    <mergeCell ref="L19:O19"/>
    <mergeCell ref="V8:Y8"/>
    <mergeCell ref="X5:Y5"/>
    <mergeCell ref="A3:R3"/>
    <mergeCell ref="V10:Y10"/>
    <mergeCell ref="V11:Y11"/>
    <mergeCell ref="AB5:AC5"/>
    <mergeCell ref="Z5:AA5"/>
    <mergeCell ref="A5:D5"/>
    <mergeCell ref="E6:R6"/>
    <mergeCell ref="E7:R7"/>
    <mergeCell ref="E8:R8"/>
    <mergeCell ref="Z8:AO8"/>
    <mergeCell ref="A8:D8"/>
    <mergeCell ref="AJ18:AL19"/>
    <mergeCell ref="O14:T14"/>
    <mergeCell ref="L18:O18"/>
    <mergeCell ref="L17:O17"/>
    <mergeCell ref="P17:S17"/>
    <mergeCell ref="A10:M11"/>
    <mergeCell ref="V9:Y9"/>
    <mergeCell ref="A6:D6"/>
    <mergeCell ref="P18:S18"/>
    <mergeCell ref="P19:S19"/>
    <mergeCell ref="A7:D7"/>
    <mergeCell ref="Z10:AO10"/>
    <mergeCell ref="Z11:AO11"/>
    <mergeCell ref="AE14:AK14"/>
    <mergeCell ref="U14:X14"/>
    <mergeCell ref="AD18:AF19"/>
    <mergeCell ref="T18:W18"/>
    <mergeCell ref="A17:K17"/>
    <mergeCell ref="A19:K19"/>
    <mergeCell ref="T21:W21"/>
    <mergeCell ref="AM27:AO27"/>
    <mergeCell ref="GW16:HF16"/>
    <mergeCell ref="L29:O29"/>
    <mergeCell ref="AB24:AC24"/>
    <mergeCell ref="T24:W24"/>
    <mergeCell ref="HG16:HJ16"/>
    <mergeCell ref="P29:S29"/>
    <mergeCell ref="L25:O25"/>
    <mergeCell ref="AJ27:AL27"/>
    <mergeCell ref="EQ17:EU17"/>
    <mergeCell ref="AT18:AT19"/>
    <mergeCell ref="AU18:AU19"/>
    <mergeCell ref="AG18:AI19"/>
    <mergeCell ref="BO18:BO19"/>
    <mergeCell ref="AW20:AX20"/>
    <mergeCell ref="AG20:AI20"/>
    <mergeCell ref="AM23:AO23"/>
    <mergeCell ref="AM20:AO20"/>
    <mergeCell ref="AM21:AO21"/>
    <mergeCell ref="BM18:BM19"/>
    <mergeCell ref="BN18:BN19"/>
    <mergeCell ref="AB27:AC27"/>
    <mergeCell ref="AD27:AF27"/>
    <mergeCell ref="AB28:AC28"/>
    <mergeCell ref="AJ31:AL31"/>
    <mergeCell ref="AJ30:AL30"/>
    <mergeCell ref="AJ29:AL29"/>
    <mergeCell ref="T29:W29"/>
    <mergeCell ref="P31:S31"/>
    <mergeCell ref="T31:W31"/>
    <mergeCell ref="AD29:AF29"/>
    <mergeCell ref="AG28:AI28"/>
    <mergeCell ref="AB30:AC30"/>
    <mergeCell ref="AD30:AF30"/>
    <mergeCell ref="AG29:AI29"/>
    <mergeCell ref="AG30:AI30"/>
    <mergeCell ref="AG31:AI31"/>
    <mergeCell ref="T28:W28"/>
    <mergeCell ref="T30:W30"/>
    <mergeCell ref="AJ28:AL28"/>
    <mergeCell ref="AM30:AO30"/>
    <mergeCell ref="AM31:AO31"/>
    <mergeCell ref="T35:W35"/>
    <mergeCell ref="N41:P41"/>
    <mergeCell ref="AD37:AF37"/>
    <mergeCell ref="AB38:AC38"/>
    <mergeCell ref="AB37:AC37"/>
    <mergeCell ref="K40:M40"/>
    <mergeCell ref="AD34:AF34"/>
    <mergeCell ref="AB40:AC40"/>
    <mergeCell ref="B33:K33"/>
    <mergeCell ref="P34:S34"/>
    <mergeCell ref="R39:T39"/>
    <mergeCell ref="H40:J40"/>
    <mergeCell ref="A40:G40"/>
    <mergeCell ref="T33:W33"/>
    <mergeCell ref="H39:J39"/>
    <mergeCell ref="H38:P38"/>
    <mergeCell ref="L35:S35"/>
    <mergeCell ref="AD38:AF38"/>
    <mergeCell ref="AD33:AF33"/>
    <mergeCell ref="T34:W34"/>
    <mergeCell ref="P33:S33"/>
    <mergeCell ref="L34:O34"/>
    <mergeCell ref="BS28:BX28"/>
    <mergeCell ref="BS29:BX29"/>
    <mergeCell ref="BS30:BX30"/>
    <mergeCell ref="BS32:BX32"/>
    <mergeCell ref="BQ42:BW43"/>
    <mergeCell ref="AW28:AX28"/>
    <mergeCell ref="AW29:AX29"/>
    <mergeCell ref="AW33:AX33"/>
    <mergeCell ref="AW34:AX34"/>
    <mergeCell ref="BQ36:CA36"/>
    <mergeCell ref="AW40:AX40"/>
    <mergeCell ref="BS31:BX31"/>
    <mergeCell ref="BS33:BX33"/>
    <mergeCell ref="AW38:AX38"/>
    <mergeCell ref="AW39:AX39"/>
    <mergeCell ref="AW42:AX42"/>
    <mergeCell ref="CC44:CD44"/>
    <mergeCell ref="AD41:AF41"/>
    <mergeCell ref="R51:T51"/>
    <mergeCell ref="U51:W51"/>
    <mergeCell ref="X51:Z51"/>
    <mergeCell ref="R53:T53"/>
    <mergeCell ref="U53:W53"/>
    <mergeCell ref="X53:Z53"/>
    <mergeCell ref="AM46:AO46"/>
    <mergeCell ref="AG41:AI41"/>
    <mergeCell ref="AD49:AF49"/>
    <mergeCell ref="AD47:AF47"/>
    <mergeCell ref="AJ51:AL51"/>
    <mergeCell ref="AJ50:AL50"/>
    <mergeCell ref="AD48:AF48"/>
    <mergeCell ref="CA49:CA50"/>
    <mergeCell ref="BY49:BZ50"/>
    <mergeCell ref="BY44:BY45"/>
    <mergeCell ref="AM45:AO45"/>
    <mergeCell ref="AJ45:AL45"/>
    <mergeCell ref="CA47:CA48"/>
    <mergeCell ref="AB42:AC42"/>
    <mergeCell ref="AD42:AF42"/>
    <mergeCell ref="AD51:AF51"/>
    <mergeCell ref="CA44:CA45"/>
    <mergeCell ref="AJ38:AL38"/>
    <mergeCell ref="AM50:AO50"/>
    <mergeCell ref="AM49:AO49"/>
    <mergeCell ref="BZ47:BZ48"/>
    <mergeCell ref="BY47:BY48"/>
    <mergeCell ref="AB35:AC35"/>
    <mergeCell ref="AG43:AI43"/>
    <mergeCell ref="AJ48:AL48"/>
    <mergeCell ref="AG42:AI42"/>
    <mergeCell ref="AJ46:AL46"/>
    <mergeCell ref="AJ47:AL47"/>
    <mergeCell ref="BZ44:BZ45"/>
    <mergeCell ref="AB49:AC49"/>
    <mergeCell ref="AB48:AC48"/>
    <mergeCell ref="AJ40:AL40"/>
    <mergeCell ref="AW46:AX46"/>
    <mergeCell ref="AW47:AX47"/>
    <mergeCell ref="AD46:AF46"/>
    <mergeCell ref="AJ41:AL41"/>
    <mergeCell ref="AM38:AO38"/>
    <mergeCell ref="AG47:AI47"/>
    <mergeCell ref="AJ43:AL43"/>
    <mergeCell ref="AW41:AX41"/>
    <mergeCell ref="CB84:CB86"/>
    <mergeCell ref="V82:Y82"/>
    <mergeCell ref="AT81:AW81"/>
    <mergeCell ref="AX82:AY82"/>
    <mergeCell ref="AT84:AW84"/>
    <mergeCell ref="AY84:AZ84"/>
    <mergeCell ref="AX85:AY85"/>
    <mergeCell ref="AL85:AO85"/>
    <mergeCell ref="AH85:AK85"/>
    <mergeCell ref="AQ81:AS81"/>
    <mergeCell ref="AH80:AK82"/>
    <mergeCell ref="AY81:AZ81"/>
    <mergeCell ref="AL83:AO83"/>
    <mergeCell ref="AL80:AO82"/>
    <mergeCell ref="BQ82:BY82"/>
    <mergeCell ref="AH83:AK83"/>
    <mergeCell ref="AL84:AO84"/>
    <mergeCell ref="V80:AF81"/>
    <mergeCell ref="V83:AG83"/>
    <mergeCell ref="V84:AG84"/>
    <mergeCell ref="N15:O15"/>
    <mergeCell ref="C15:M15"/>
    <mergeCell ref="V7:AO7"/>
    <mergeCell ref="AM62:AO62"/>
    <mergeCell ref="AA63:AF63"/>
    <mergeCell ref="AJ65:AL65"/>
    <mergeCell ref="AD20:AF20"/>
    <mergeCell ref="AD39:AF39"/>
    <mergeCell ref="AD40:AF40"/>
    <mergeCell ref="AB50:AC50"/>
    <mergeCell ref="AG51:AI51"/>
    <mergeCell ref="R50:T50"/>
    <mergeCell ref="N51:P51"/>
    <mergeCell ref="N53:P53"/>
    <mergeCell ref="AM51:AO51"/>
    <mergeCell ref="AG65:AI65"/>
    <mergeCell ref="AG44:AI44"/>
    <mergeCell ref="AG46:AI46"/>
    <mergeCell ref="AM57:AO57"/>
    <mergeCell ref="AG49:AI49"/>
    <mergeCell ref="AG50:AI50"/>
    <mergeCell ref="AJ49:AL49"/>
    <mergeCell ref="AM63:AO63"/>
    <mergeCell ref="AM29:AO29"/>
    <mergeCell ref="BK18:BK19"/>
    <mergeCell ref="CA26:CA27"/>
    <mergeCell ref="BY26:BY27"/>
    <mergeCell ref="AR18:AR19"/>
    <mergeCell ref="BI18:BI19"/>
    <mergeCell ref="T67:Z67"/>
    <mergeCell ref="AJ64:AL64"/>
    <mergeCell ref="AJ62:AL62"/>
    <mergeCell ref="AJ63:AL63"/>
    <mergeCell ref="BF18:BF19"/>
    <mergeCell ref="AQ63:AU63"/>
    <mergeCell ref="AW50:AX50"/>
    <mergeCell ref="BC62:BF64"/>
    <mergeCell ref="AX63:AY63"/>
    <mergeCell ref="AX60:AY60"/>
    <mergeCell ref="AU60:AW60"/>
    <mergeCell ref="AQ62:AU62"/>
    <mergeCell ref="AX62:AY62"/>
    <mergeCell ref="AW48:AX48"/>
    <mergeCell ref="AW49:AX49"/>
    <mergeCell ref="AA66:AF66"/>
    <mergeCell ref="AM65:AO65"/>
    <mergeCell ref="AG66:AI66"/>
    <mergeCell ref="AA65:AF65"/>
    <mergeCell ref="BQ54:BZ54"/>
    <mergeCell ref="BI56:BX56"/>
    <mergeCell ref="BW57:BX57"/>
    <mergeCell ref="BI59:BX59"/>
    <mergeCell ref="BI60:BX60"/>
    <mergeCell ref="AM40:AO40"/>
    <mergeCell ref="AG64:AI64"/>
    <mergeCell ref="R70:Y70"/>
    <mergeCell ref="R66:S66"/>
    <mergeCell ref="AC69:AC71"/>
    <mergeCell ref="R69:AB69"/>
    <mergeCell ref="AD69:AK69"/>
    <mergeCell ref="AL71:AO71"/>
    <mergeCell ref="AD70:AK70"/>
    <mergeCell ref="AD71:AK71"/>
    <mergeCell ref="R71:Y71"/>
    <mergeCell ref="Z70:AB70"/>
    <mergeCell ref="AL70:AO70"/>
    <mergeCell ref="AR68:AZ68"/>
    <mergeCell ref="AR69:AZ69"/>
    <mergeCell ref="AL69:AO69"/>
    <mergeCell ref="AM47:AO47"/>
    <mergeCell ref="R67:S67"/>
    <mergeCell ref="R65:S65"/>
    <mergeCell ref="BR2:BX2"/>
    <mergeCell ref="AX3:AZ3"/>
    <mergeCell ref="BA13:BC14"/>
    <mergeCell ref="BF2:BQ2"/>
    <mergeCell ref="BR4:BX4"/>
    <mergeCell ref="BQ8:BX8"/>
    <mergeCell ref="AR12:BF12"/>
    <mergeCell ref="AL15:AO15"/>
    <mergeCell ref="BQ15:CC17"/>
    <mergeCell ref="BC16:BE16"/>
    <mergeCell ref="AH12:AO12"/>
    <mergeCell ref="AR13:AZ13"/>
    <mergeCell ref="AR14:AZ14"/>
    <mergeCell ref="BC17:BE17"/>
    <mergeCell ref="BH17:BI17"/>
    <mergeCell ref="BH7:BI7"/>
    <mergeCell ref="BR5:BX5"/>
    <mergeCell ref="E4:R4"/>
    <mergeCell ref="E5:R5"/>
    <mergeCell ref="P24:S24"/>
    <mergeCell ref="BD18:BD19"/>
    <mergeCell ref="BC18:BC19"/>
    <mergeCell ref="AW26:AX26"/>
    <mergeCell ref="AW27:AX27"/>
    <mergeCell ref="AW21:AX21"/>
    <mergeCell ref="AW22:AX22"/>
    <mergeCell ref="AW23:AX23"/>
    <mergeCell ref="AW24:AX24"/>
    <mergeCell ref="AW25:AX25"/>
    <mergeCell ref="B23:K23"/>
    <mergeCell ref="T25:W25"/>
    <mergeCell ref="P25:S25"/>
    <mergeCell ref="P26:S26"/>
    <mergeCell ref="L27:O27"/>
    <mergeCell ref="L23:O23"/>
    <mergeCell ref="T26:W26"/>
    <mergeCell ref="T20:W20"/>
    <mergeCell ref="P20:S20"/>
    <mergeCell ref="AG25:AI25"/>
    <mergeCell ref="AG26:AI26"/>
    <mergeCell ref="AB23:AC23"/>
    <mergeCell ref="A86:E86"/>
    <mergeCell ref="HO16:HR16"/>
    <mergeCell ref="AB32:AC32"/>
    <mergeCell ref="H70:J70"/>
    <mergeCell ref="K70:M70"/>
    <mergeCell ref="N70:P70"/>
    <mergeCell ref="K47:M47"/>
    <mergeCell ref="H48:J48"/>
    <mergeCell ref="AW43:AX43"/>
    <mergeCell ref="AW44:AX44"/>
    <mergeCell ref="AW45:AX45"/>
    <mergeCell ref="AW35:AX35"/>
    <mergeCell ref="AW36:AX36"/>
    <mergeCell ref="AW37:AX37"/>
    <mergeCell ref="BQ41:BV41"/>
    <mergeCell ref="AW32:AX32"/>
    <mergeCell ref="AW30:AX30"/>
    <mergeCell ref="BV21:BZ23"/>
    <mergeCell ref="BP18:BP19"/>
    <mergeCell ref="BZ26:BZ27"/>
    <mergeCell ref="AG39:AI39"/>
    <mergeCell ref="AG40:AI40"/>
    <mergeCell ref="AR66:AZ66"/>
    <mergeCell ref="AR65:AZ65"/>
    <mergeCell ref="X60:Z60"/>
    <mergeCell ref="AG63:AI63"/>
    <mergeCell ref="AM56:AO56"/>
    <mergeCell ref="AV95:AY95"/>
    <mergeCell ref="R88:T88"/>
    <mergeCell ref="R87:T87"/>
    <mergeCell ref="F82:H82"/>
    <mergeCell ref="E74:G74"/>
    <mergeCell ref="F86:L86"/>
    <mergeCell ref="F83:H83"/>
    <mergeCell ref="H77:K77"/>
    <mergeCell ref="F81:H81"/>
    <mergeCell ref="E77:G77"/>
    <mergeCell ref="Q85:T85"/>
    <mergeCell ref="Q78:T78"/>
    <mergeCell ref="AH90:AK90"/>
    <mergeCell ref="AL90:AO90"/>
    <mergeCell ref="AL93:AO93"/>
    <mergeCell ref="AH93:AK93"/>
    <mergeCell ref="AM66:AO66"/>
    <mergeCell ref="AL74:AO74"/>
    <mergeCell ref="E75:G75"/>
    <mergeCell ref="E76:G76"/>
    <mergeCell ref="A59:G59"/>
    <mergeCell ref="H51:J51"/>
    <mergeCell ref="A64:G64"/>
    <mergeCell ref="H59:J59"/>
    <mergeCell ref="H57:J57"/>
    <mergeCell ref="H61:M61"/>
    <mergeCell ref="H58:J58"/>
    <mergeCell ref="K59:M59"/>
    <mergeCell ref="X61:Z61"/>
    <mergeCell ref="X59:Z59"/>
    <mergeCell ref="X55:Z55"/>
    <mergeCell ref="X56:Z56"/>
    <mergeCell ref="X58:Z58"/>
    <mergeCell ref="N58:P58"/>
    <mergeCell ref="K54:M54"/>
    <mergeCell ref="A51:G51"/>
    <mergeCell ref="U57:W57"/>
    <mergeCell ref="X57:Z57"/>
    <mergeCell ref="N60:P60"/>
    <mergeCell ref="K55:M55"/>
    <mergeCell ref="X52:Z52"/>
    <mergeCell ref="H60:J60"/>
    <mergeCell ref="K57:M57"/>
    <mergeCell ref="A58:G58"/>
    <mergeCell ref="A57:G57"/>
    <mergeCell ref="A53:G53"/>
    <mergeCell ref="R58:T58"/>
    <mergeCell ref="K71:M71"/>
    <mergeCell ref="H76:K76"/>
    <mergeCell ref="L76:P76"/>
    <mergeCell ref="B66:G66"/>
    <mergeCell ref="H75:K75"/>
    <mergeCell ref="N67:P67"/>
    <mergeCell ref="H67:J67"/>
    <mergeCell ref="N66:P66"/>
    <mergeCell ref="K67:M67"/>
    <mergeCell ref="K69:M69"/>
    <mergeCell ref="H68:J68"/>
    <mergeCell ref="A65:A70"/>
    <mergeCell ref="K66:M66"/>
    <mergeCell ref="H66:J66"/>
    <mergeCell ref="K68:M68"/>
    <mergeCell ref="B69:G69"/>
    <mergeCell ref="B68:G68"/>
    <mergeCell ref="C70:G70"/>
    <mergeCell ref="B65:G65"/>
    <mergeCell ref="T64:Z64"/>
    <mergeCell ref="N59:P59"/>
    <mergeCell ref="N61:P61"/>
    <mergeCell ref="U59:W59"/>
    <mergeCell ref="U58:W58"/>
    <mergeCell ref="R59:T59"/>
    <mergeCell ref="R64:S64"/>
    <mergeCell ref="B67:G67"/>
    <mergeCell ref="N68:P68"/>
    <mergeCell ref="H71:J71"/>
    <mergeCell ref="B71:G71"/>
    <mergeCell ref="H69:J69"/>
    <mergeCell ref="K64:M64"/>
    <mergeCell ref="K60:M60"/>
    <mergeCell ref="K58:M58"/>
    <mergeCell ref="H64:J64"/>
    <mergeCell ref="A60:G60"/>
    <mergeCell ref="T65:Z65"/>
    <mergeCell ref="R62:T62"/>
    <mergeCell ref="T63:Z63"/>
    <mergeCell ref="N62:P62"/>
    <mergeCell ref="N64:P64"/>
    <mergeCell ref="N65:P65"/>
    <mergeCell ref="R60:T60"/>
    <mergeCell ref="U60:W60"/>
    <mergeCell ref="H62:M62"/>
    <mergeCell ref="K65:M65"/>
    <mergeCell ref="A48:G48"/>
    <mergeCell ref="A56:G56"/>
    <mergeCell ref="A55:G55"/>
    <mergeCell ref="A54:G54"/>
    <mergeCell ref="H54:J54"/>
    <mergeCell ref="U48:W48"/>
    <mergeCell ref="N55:P55"/>
    <mergeCell ref="K50:M50"/>
    <mergeCell ref="U50:W50"/>
    <mergeCell ref="R56:T56"/>
    <mergeCell ref="R55:T55"/>
    <mergeCell ref="N49:P49"/>
    <mergeCell ref="H50:J50"/>
    <mergeCell ref="U49:W49"/>
    <mergeCell ref="A52:G52"/>
    <mergeCell ref="H52:J52"/>
    <mergeCell ref="K52:M52"/>
    <mergeCell ref="H49:J49"/>
    <mergeCell ref="H53:J53"/>
    <mergeCell ref="U52:W52"/>
    <mergeCell ref="R54:T54"/>
    <mergeCell ref="A49:G49"/>
    <mergeCell ref="A50:G50"/>
    <mergeCell ref="H55:J55"/>
    <mergeCell ref="AD45:AF45"/>
    <mergeCell ref="K48:M48"/>
    <mergeCell ref="U47:W47"/>
    <mergeCell ref="N48:P48"/>
    <mergeCell ref="AB46:AC46"/>
    <mergeCell ref="R46:T46"/>
    <mergeCell ref="U46:W46"/>
    <mergeCell ref="X48:Z48"/>
    <mergeCell ref="X46:Z46"/>
    <mergeCell ref="AB45:AC45"/>
    <mergeCell ref="K53:M53"/>
    <mergeCell ref="K49:M49"/>
    <mergeCell ref="K51:M51"/>
    <mergeCell ref="X54:Z54"/>
    <mergeCell ref="X50:Z50"/>
    <mergeCell ref="U54:W54"/>
    <mergeCell ref="R48:T48"/>
    <mergeCell ref="R49:T49"/>
    <mergeCell ref="N50:P50"/>
    <mergeCell ref="AU61:AW61"/>
    <mergeCell ref="AX61:AY61"/>
    <mergeCell ref="AL75:AO75"/>
    <mergeCell ref="BA139:BA140"/>
    <mergeCell ref="AR123:AS123"/>
    <mergeCell ref="B104:AO118"/>
    <mergeCell ref="R89:T89"/>
    <mergeCell ref="F87:I87"/>
    <mergeCell ref="A88:E88"/>
    <mergeCell ref="AX79:AY79"/>
    <mergeCell ref="AM64:AO64"/>
    <mergeCell ref="AJ66:AL66"/>
    <mergeCell ref="AL73:AO73"/>
    <mergeCell ref="AH92:AK92"/>
    <mergeCell ref="AL92:AO92"/>
    <mergeCell ref="AR129:AS129"/>
    <mergeCell ref="AR96:AS96"/>
    <mergeCell ref="H65:J65"/>
    <mergeCell ref="AA64:AF64"/>
    <mergeCell ref="L74:P74"/>
    <mergeCell ref="Q74:T74"/>
    <mergeCell ref="R63:S63"/>
    <mergeCell ref="R61:W61"/>
    <mergeCell ref="A74:D74"/>
    <mergeCell ref="BB139:BC140"/>
    <mergeCell ref="BD139:BD140"/>
    <mergeCell ref="BE139:BE140"/>
    <mergeCell ref="BA137:BH137"/>
    <mergeCell ref="BA102:BH102"/>
    <mergeCell ref="V86:AG86"/>
    <mergeCell ref="V87:AG87"/>
    <mergeCell ref="V88:AG88"/>
    <mergeCell ref="V89:AG89"/>
    <mergeCell ref="V90:AG90"/>
    <mergeCell ref="V91:AG91"/>
    <mergeCell ref="V92:AG92"/>
    <mergeCell ref="V93:AG93"/>
    <mergeCell ref="AH86:AK86"/>
    <mergeCell ref="AO131:AP131"/>
    <mergeCell ref="BA104:BA105"/>
    <mergeCell ref="BB104:BC105"/>
    <mergeCell ref="BD104:BD105"/>
    <mergeCell ref="BE104:BE105"/>
    <mergeCell ref="AL88:AO88"/>
    <mergeCell ref="BH18:BH19"/>
    <mergeCell ref="AG27:AI27"/>
    <mergeCell ref="AM36:AO36"/>
    <mergeCell ref="AJ39:AL39"/>
    <mergeCell ref="AJ37:AL37"/>
    <mergeCell ref="AM41:AO41"/>
    <mergeCell ref="L32:O32"/>
    <mergeCell ref="AD43:AF43"/>
    <mergeCell ref="X44:Z44"/>
    <mergeCell ref="AB44:AC44"/>
    <mergeCell ref="R43:T43"/>
    <mergeCell ref="K41:M41"/>
    <mergeCell ref="AB43:AC43"/>
    <mergeCell ref="AJ33:AL33"/>
    <mergeCell ref="AJ32:AL32"/>
    <mergeCell ref="AJ34:AL34"/>
    <mergeCell ref="AJ35:AL35"/>
    <mergeCell ref="AJ36:AL36"/>
    <mergeCell ref="K44:M44"/>
    <mergeCell ref="L33:O33"/>
    <mergeCell ref="N40:P40"/>
    <mergeCell ref="AG33:AI33"/>
    <mergeCell ref="R42:T42"/>
    <mergeCell ref="AW31:AX31"/>
    <mergeCell ref="R57:T57"/>
    <mergeCell ref="N52:P52"/>
    <mergeCell ref="N57:P57"/>
    <mergeCell ref="AB56:AL56"/>
    <mergeCell ref="AB57:AL57"/>
    <mergeCell ref="N54:P54"/>
    <mergeCell ref="AB54:AO54"/>
    <mergeCell ref="AB55:AL55"/>
    <mergeCell ref="X47:Z47"/>
    <mergeCell ref="X49:Z49"/>
    <mergeCell ref="AM55:AO55"/>
    <mergeCell ref="U56:W56"/>
    <mergeCell ref="R47:T47"/>
    <mergeCell ref="U55:W55"/>
    <mergeCell ref="R52:T52"/>
    <mergeCell ref="AD50:AF50"/>
    <mergeCell ref="N56:P56"/>
    <mergeCell ref="BL18:BL19"/>
    <mergeCell ref="GP17:GP18"/>
    <mergeCell ref="GQ17:GQ18"/>
    <mergeCell ref="AL86:AO86"/>
    <mergeCell ref="H56:J56"/>
    <mergeCell ref="K56:M56"/>
    <mergeCell ref="R38:Z38"/>
    <mergeCell ref="R40:T40"/>
    <mergeCell ref="K46:M46"/>
    <mergeCell ref="AD36:AF36"/>
    <mergeCell ref="N72:P72"/>
    <mergeCell ref="GF17:GF18"/>
    <mergeCell ref="T32:W32"/>
    <mergeCell ref="P32:S32"/>
    <mergeCell ref="X43:Z43"/>
    <mergeCell ref="AB39:AC39"/>
    <mergeCell ref="R41:T41"/>
    <mergeCell ref="U41:W41"/>
    <mergeCell ref="N39:P39"/>
    <mergeCell ref="GG17:GG18"/>
    <mergeCell ref="GH17:GH18"/>
    <mergeCell ref="K45:M45"/>
    <mergeCell ref="AB47:AC47"/>
    <mergeCell ref="AY78:AZ78"/>
  </mergeCells>
  <conditionalFormatting sqref="A20:W20">
    <cfRule type="expression" dxfId="1723" priority="39">
      <formula>$U$14=0</formula>
    </cfRule>
  </conditionalFormatting>
  <conditionalFormatting sqref="B26:K26">
    <cfRule type="expression" dxfId="1722" priority="100">
      <formula>$U$14=0</formula>
    </cfRule>
  </conditionalFormatting>
  <conditionalFormatting sqref="B29:K29">
    <cfRule type="cellIs" dxfId="1721" priority="14" operator="greaterThan">
      <formula>0</formula>
    </cfRule>
  </conditionalFormatting>
  <conditionalFormatting sqref="C70:G70">
    <cfRule type="cellIs" dxfId="1720" priority="8" operator="greaterThan">
      <formula>0</formula>
    </cfRule>
  </conditionalFormatting>
  <conditionalFormatting sqref="F87:I87">
    <cfRule type="cellIs" dxfId="1719" priority="4" operator="greaterThan">
      <formula>0</formula>
    </cfRule>
  </conditionalFormatting>
  <conditionalFormatting sqref="F86:L86">
    <cfRule type="cellIs" dxfId="1718" priority="5" operator="greaterThan">
      <formula>0</formula>
    </cfRule>
  </conditionalFormatting>
  <conditionalFormatting sqref="G99:I99">
    <cfRule type="expression" dxfId="1717" priority="358">
      <formula>$EO$5="OUI"</formula>
    </cfRule>
  </conditionalFormatting>
  <conditionalFormatting sqref="H65:J65">
    <cfRule type="expression" dxfId="1716" priority="23">
      <formula>AND($AX$60="Oui",$AZ$62="")</formula>
    </cfRule>
    <cfRule type="expression" dxfId="1715" priority="25">
      <formula>AND($AX$60="Oui",$AZ$62="hrs")</formula>
    </cfRule>
  </conditionalFormatting>
  <conditionalFormatting sqref="H65:J68">
    <cfRule type="cellIs" dxfId="1714" priority="18" operator="equal">
      <formula>0</formula>
    </cfRule>
  </conditionalFormatting>
  <conditionalFormatting sqref="H66:J66">
    <cfRule type="expression" dxfId="1713" priority="22">
      <formula>AND($BW$41="Oui",$AX$61="Non")</formula>
    </cfRule>
    <cfRule type="expression" dxfId="1712" priority="19">
      <formula>AND($AX$61="Oui",$AZ$63="")</formula>
    </cfRule>
    <cfRule type="expression" dxfId="1711" priority="20">
      <formula>AND($AX$61="Oui",$AZ$63="jrs")</formula>
    </cfRule>
    <cfRule type="expression" dxfId="1710" priority="21">
      <formula>AND($BW$41="Non",$AX$61="Non")</formula>
    </cfRule>
  </conditionalFormatting>
  <conditionalFormatting sqref="H70:J71">
    <cfRule type="cellIs" dxfId="1709" priority="7" operator="greaterThan">
      <formula>0</formula>
    </cfRule>
  </conditionalFormatting>
  <conditionalFormatting sqref="H69:M69">
    <cfRule type="cellIs" dxfId="1708" priority="9" operator="greaterThan">
      <formula>0</formula>
    </cfRule>
  </conditionalFormatting>
  <conditionalFormatting sqref="H40:Z60">
    <cfRule type="cellIs" dxfId="1707" priority="17" operator="equal">
      <formula>0</formula>
    </cfRule>
  </conditionalFormatting>
  <conditionalFormatting sqref="K65:K66">
    <cfRule type="cellIs" dxfId="1706" priority="398" operator="equal">
      <formula>0</formula>
    </cfRule>
  </conditionalFormatting>
  <conditionalFormatting sqref="K67:M68">
    <cfRule type="cellIs" dxfId="1705" priority="399" operator="equal">
      <formula>0</formula>
    </cfRule>
  </conditionalFormatting>
  <conditionalFormatting sqref="K88:T89">
    <cfRule type="expression" dxfId="1704" priority="346">
      <formula>$EO$6="OUI"</formula>
    </cfRule>
  </conditionalFormatting>
  <conditionalFormatting sqref="K90:T90 M87:T87 K81:K82 L82:T83 K87">
    <cfRule type="expression" dxfId="1703" priority="351">
      <formula>$EO$6="OUI"</formula>
    </cfRule>
  </conditionalFormatting>
  <conditionalFormatting sqref="L18:O19">
    <cfRule type="cellIs" dxfId="1702" priority="56" operator="equal">
      <formula>0</formula>
    </cfRule>
  </conditionalFormatting>
  <conditionalFormatting sqref="L21:O22">
    <cfRule type="cellIs" dxfId="1701" priority="222" operator="equal">
      <formula>0</formula>
    </cfRule>
  </conditionalFormatting>
  <conditionalFormatting sqref="L27:O28">
    <cfRule type="cellIs" dxfId="1700" priority="15" operator="greaterThan">
      <formula>0</formula>
    </cfRule>
  </conditionalFormatting>
  <conditionalFormatting sqref="L30:O32">
    <cfRule type="cellIs" dxfId="1699" priority="13" operator="greaterThan">
      <formula>0</formula>
    </cfRule>
  </conditionalFormatting>
  <conditionalFormatting sqref="L34:O34">
    <cfRule type="cellIs" dxfId="1698" priority="11" operator="greaterThan">
      <formula>0</formula>
    </cfRule>
  </conditionalFormatting>
  <conditionalFormatting sqref="L23:S24">
    <cfRule type="cellIs" dxfId="1697" priority="16" operator="greaterThan">
      <formula>0</formula>
    </cfRule>
  </conditionalFormatting>
  <conditionalFormatting sqref="L25:S26">
    <cfRule type="cellIs" dxfId="1696" priority="73" operator="equal">
      <formula>0</formula>
    </cfRule>
    <cfRule type="containsErrors" dxfId="1695" priority="70">
      <formula>ISERROR(L25)</formula>
    </cfRule>
  </conditionalFormatting>
  <conditionalFormatting sqref="N65:P71">
    <cfRule type="cellIs" dxfId="1694" priority="29" operator="equal">
      <formula>0</formula>
    </cfRule>
  </conditionalFormatting>
  <conditionalFormatting sqref="O86">
    <cfRule type="expression" dxfId="1693" priority="352">
      <formula>EO6="OUI"</formula>
    </cfRule>
  </conditionalFormatting>
  <conditionalFormatting sqref="O14:T14">
    <cfRule type="expression" dxfId="1692" priority="101">
      <formula>$U$14=0</formula>
    </cfRule>
  </conditionalFormatting>
  <conditionalFormatting sqref="P20">
    <cfRule type="expression" dxfId="1691" priority="42">
      <formula>$DP$14=1</formula>
    </cfRule>
  </conditionalFormatting>
  <conditionalFormatting sqref="P18:S18">
    <cfRule type="expression" dxfId="1690" priority="57">
      <formula>$L$18=0</formula>
    </cfRule>
  </conditionalFormatting>
  <conditionalFormatting sqref="P19:S19">
    <cfRule type="expression" dxfId="1689" priority="55">
      <formula>$L$19=0</formula>
    </cfRule>
  </conditionalFormatting>
  <conditionalFormatting sqref="P21:S21">
    <cfRule type="expression" dxfId="1688" priority="221">
      <formula>$L$21=0</formula>
    </cfRule>
  </conditionalFormatting>
  <conditionalFormatting sqref="P22:S22">
    <cfRule type="expression" dxfId="1687" priority="220">
      <formula>$L$22=0</formula>
    </cfRule>
  </conditionalFormatting>
  <conditionalFormatting sqref="R87:T87">
    <cfRule type="expression" dxfId="1686" priority="349">
      <formula>$EO$7="OUI"</formula>
    </cfRule>
  </conditionalFormatting>
  <conditionalFormatting sqref="R89:T89">
    <cfRule type="expression" dxfId="1685" priority="345">
      <formula>$EO$8="OUI"</formula>
    </cfRule>
  </conditionalFormatting>
  <conditionalFormatting sqref="R90:T90">
    <cfRule type="expression" dxfId="1684" priority="350">
      <formula>$EO$7="OUI"</formula>
    </cfRule>
  </conditionalFormatting>
  <conditionalFormatting sqref="T20">
    <cfRule type="expression" dxfId="1683" priority="43">
      <formula>$DP$14=1</formula>
    </cfRule>
  </conditionalFormatting>
  <conditionalFormatting sqref="T30:T32">
    <cfRule type="cellIs" dxfId="1682" priority="214" operator="equal">
      <formula>0</formula>
    </cfRule>
  </conditionalFormatting>
  <conditionalFormatting sqref="T18:W19">
    <cfRule type="cellIs" dxfId="1681" priority="58" operator="equal">
      <formula>0</formula>
    </cfRule>
  </conditionalFormatting>
  <conditionalFormatting sqref="T21:W28">
    <cfRule type="cellIs" dxfId="1680" priority="117" operator="equal">
      <formula>0</formula>
    </cfRule>
  </conditionalFormatting>
  <conditionalFormatting sqref="T29:W29">
    <cfRule type="cellIs" dxfId="1679" priority="12" operator="greaterThan">
      <formula>0</formula>
    </cfRule>
  </conditionalFormatting>
  <conditionalFormatting sqref="T33:W33">
    <cfRule type="cellIs" dxfId="1678" priority="10" operator="greaterThan">
      <formula>0</formula>
    </cfRule>
  </conditionalFormatting>
  <conditionalFormatting sqref="T34:W34">
    <cfRule type="cellIs" dxfId="1677" priority="60" operator="equal">
      <formula>0</formula>
    </cfRule>
  </conditionalFormatting>
  <conditionalFormatting sqref="U14:X14">
    <cfRule type="cellIs" dxfId="1676" priority="102" operator="equal">
      <formula>0</formula>
    </cfRule>
  </conditionalFormatting>
  <conditionalFormatting sqref="V80:AF81">
    <cfRule type="cellIs" dxfId="1675" priority="1" operator="notEqual">
      <formula>"Commentaires :"</formula>
    </cfRule>
  </conditionalFormatting>
  <conditionalFormatting sqref="Y73:AO75">
    <cfRule type="expression" dxfId="1674" priority="30">
      <formula>$DP$8=52</formula>
    </cfRule>
  </conditionalFormatting>
  <conditionalFormatting sqref="AB20:AC50 AW20:AX50">
    <cfRule type="expression" dxfId="1673" priority="305">
      <formula>VLOOKUP(AB20,base_feries,1,FALSE)</formula>
    </cfRule>
    <cfRule type="expression" dxfId="1672" priority="303">
      <formula>OR(WEEKDAY(AB20,2)=6,WEEKDAY(AB20,2)=7)</formula>
    </cfRule>
  </conditionalFormatting>
  <conditionalFormatting sqref="AD20:AF50">
    <cfRule type="cellIs" dxfId="1671" priority="182" operator="equal">
      <formula>0</formula>
    </cfRule>
    <cfRule type="expression" dxfId="1670" priority="165">
      <formula>FC20="oui"</formula>
    </cfRule>
  </conditionalFormatting>
  <conditionalFormatting sqref="AG20:AI50">
    <cfRule type="expression" dxfId="1669" priority="184">
      <formula>FC20="oui"</formula>
    </cfRule>
  </conditionalFormatting>
  <conditionalFormatting sqref="AH80">
    <cfRule type="expression" dxfId="1668" priority="3769">
      <formula>EO3="OUI"</formula>
    </cfRule>
  </conditionalFormatting>
  <conditionalFormatting sqref="AH89:AH91">
    <cfRule type="cellIs" dxfId="1667" priority="34" stopIfTrue="1" operator="equal">
      <formula>0</formula>
    </cfRule>
  </conditionalFormatting>
  <conditionalFormatting sqref="AH93:AK93">
    <cfRule type="cellIs" dxfId="1666" priority="353" operator="equal">
      <formula>0</formula>
    </cfRule>
  </conditionalFormatting>
  <conditionalFormatting sqref="AH86:AL87">
    <cfRule type="cellIs" dxfId="1665" priority="356" stopIfTrue="1" operator="equal">
      <formula>0</formula>
    </cfRule>
  </conditionalFormatting>
  <conditionalFormatting sqref="AH92:AO92">
    <cfRule type="cellIs" dxfId="1664" priority="129" operator="lessThan">
      <formula>-0.001</formula>
    </cfRule>
  </conditionalFormatting>
  <conditionalFormatting sqref="AJ20:AL50">
    <cfRule type="expression" dxfId="1663" priority="185">
      <formula>FC20="oui"</formula>
    </cfRule>
  </conditionalFormatting>
  <conditionalFormatting sqref="AL80">
    <cfRule type="expression" dxfId="1662" priority="359">
      <formula>$EO$4="OUI"</formula>
    </cfRule>
  </conditionalFormatting>
  <conditionalFormatting sqref="AL89:AL91">
    <cfRule type="cellIs" dxfId="1661" priority="33" stopIfTrue="1" operator="equal">
      <formula>0</formula>
    </cfRule>
  </conditionalFormatting>
  <conditionalFormatting sqref="AM20:AO50">
    <cfRule type="expression" dxfId="1660" priority="186">
      <formula>FC20="oui"</formula>
    </cfRule>
  </conditionalFormatting>
  <conditionalFormatting sqref="AP20:AP50">
    <cfRule type="expression" dxfId="1659" priority="264">
      <formula>BL20="B"</formula>
    </cfRule>
    <cfRule type="expression" dxfId="1658" priority="262">
      <formula>BL20="D"</formula>
    </cfRule>
    <cfRule type="expression" dxfId="1657" priority="261">
      <formula>BL20="E"</formula>
    </cfRule>
    <cfRule type="expression" dxfId="1656" priority="260">
      <formula>BL20="F"</formula>
    </cfRule>
    <cfRule type="expression" dxfId="1655" priority="259">
      <formula>BL20="G"</formula>
    </cfRule>
    <cfRule type="expression" dxfId="1654" priority="258">
      <formula>BL20="H"</formula>
    </cfRule>
    <cfRule type="expression" dxfId="1653" priority="263">
      <formula>BL20="C"</formula>
    </cfRule>
  </conditionalFormatting>
  <conditionalFormatting sqref="AQ62:AU62">
    <cfRule type="expression" dxfId="1652" priority="111">
      <formula>$AT$60="Non"</formula>
    </cfRule>
  </conditionalFormatting>
  <conditionalFormatting sqref="AQ63:AU63">
    <cfRule type="expression" dxfId="1651" priority="108">
      <formula>$AT$61="Non"</formula>
    </cfRule>
  </conditionalFormatting>
  <conditionalFormatting sqref="AR20:AR50">
    <cfRule type="expression" dxfId="1650" priority="205">
      <formula>AND(AR20&lt;&gt;"",AZ20&lt;&gt;"")</formula>
    </cfRule>
    <cfRule type="expression" dxfId="1649" priority="166">
      <formula>FC20="oui"</formula>
    </cfRule>
    <cfRule type="expression" dxfId="1648" priority="177">
      <formula>FN20=10</formula>
    </cfRule>
    <cfRule type="expression" dxfId="1647" priority="130">
      <formula>AB20=""</formula>
    </cfRule>
  </conditionalFormatting>
  <conditionalFormatting sqref="AR17:BJ50 AS51:BJ51 DK51">
    <cfRule type="expression" dxfId="1646" priority="87">
      <formula>$EX$13="oui"</formula>
    </cfRule>
  </conditionalFormatting>
  <conditionalFormatting sqref="AT4:AT10">
    <cfRule type="expression" dxfId="1645" priority="241">
      <formula>AU4="D"</formula>
    </cfRule>
    <cfRule type="expression" dxfId="1644" priority="242">
      <formula>AU4="C"</formula>
    </cfRule>
    <cfRule type="expression" dxfId="1643" priority="240">
      <formula>AU4="E"</formula>
    </cfRule>
    <cfRule type="expression" dxfId="1642" priority="243">
      <formula>AU4="B"</formula>
    </cfRule>
    <cfRule type="expression" dxfId="1641" priority="237">
      <formula>AU4="H"</formula>
    </cfRule>
    <cfRule type="expression" dxfId="1640" priority="238">
      <formula>AU4="G"</formula>
    </cfRule>
    <cfRule type="expression" dxfId="1639" priority="239">
      <formula>AU4="F"</formula>
    </cfRule>
  </conditionalFormatting>
  <conditionalFormatting sqref="AT20:AT50">
    <cfRule type="expression" dxfId="1638" priority="176">
      <formula>FC20="oui"</formula>
    </cfRule>
    <cfRule type="expression" dxfId="1637" priority="164">
      <formula>AB20=""</formula>
    </cfRule>
  </conditionalFormatting>
  <conditionalFormatting sqref="AU4:AU10">
    <cfRule type="expression" dxfId="1636" priority="201">
      <formula>FG4="rouge"</formula>
    </cfRule>
    <cfRule type="expression" dxfId="1635" priority="200">
      <formula>AT4=""</formula>
    </cfRule>
  </conditionalFormatting>
  <conditionalFormatting sqref="AU20:AU50">
    <cfRule type="expression" dxfId="1634" priority="163">
      <formula>AB20=""</formula>
    </cfRule>
    <cfRule type="expression" dxfId="1633" priority="204">
      <formula>FC20="oui"</formula>
    </cfRule>
  </conditionalFormatting>
  <conditionalFormatting sqref="AW20:AX50 AB20:AC50">
    <cfRule type="expression" dxfId="1632" priority="302">
      <formula>WEEKDAY(AB20,2)=7</formula>
    </cfRule>
  </conditionalFormatting>
  <conditionalFormatting sqref="AX62:AZ62">
    <cfRule type="expression" dxfId="1631" priority="110">
      <formula>$AX$60="Non"</formula>
    </cfRule>
  </conditionalFormatting>
  <conditionalFormatting sqref="AX63:AZ63">
    <cfRule type="expression" dxfId="1630" priority="107">
      <formula>$AX$61="Non"</formula>
    </cfRule>
  </conditionalFormatting>
  <conditionalFormatting sqref="AZ20:AZ50">
    <cfRule type="expression" dxfId="1629" priority="230">
      <formula>AND(AR20&lt;&gt;"",AZ20&lt;&gt;"")</formula>
    </cfRule>
    <cfRule type="expression" dxfId="1628" priority="174">
      <formula>FL20=10</formula>
    </cfRule>
    <cfRule type="expression" dxfId="1627" priority="131">
      <formula>AB20=""</formula>
    </cfRule>
    <cfRule type="expression" dxfId="1626" priority="148">
      <formula>FC20="oui"</formula>
    </cfRule>
  </conditionalFormatting>
  <conditionalFormatting sqref="BA20:BA50">
    <cfRule type="expression" dxfId="1625" priority="173">
      <formula>FC20="oui"</formula>
    </cfRule>
    <cfRule type="expression" dxfId="1624" priority="160">
      <formula>AB20=""</formula>
    </cfRule>
  </conditionalFormatting>
  <conditionalFormatting sqref="BA62">
    <cfRule type="expression" dxfId="1623" priority="109">
      <formula>$BA$60="Non"</formula>
    </cfRule>
  </conditionalFormatting>
  <conditionalFormatting sqref="BA63">
    <cfRule type="expression" dxfId="1622" priority="106">
      <formula>$BA$61="Non"</formula>
    </cfRule>
  </conditionalFormatting>
  <conditionalFormatting sqref="BA102 BA103:BH115">
    <cfRule type="expression" dxfId="1621" priority="32">
      <formula>$DP$8=52</formula>
    </cfRule>
  </conditionalFormatting>
  <conditionalFormatting sqref="BA137 BA138:BH149">
    <cfRule type="expression" dxfId="1620" priority="31">
      <formula>$DP$8=52</formula>
    </cfRule>
  </conditionalFormatting>
  <conditionalFormatting sqref="BC20:BC55">
    <cfRule type="expression" dxfId="1619" priority="136">
      <formula>AJ20=""</formula>
    </cfRule>
    <cfRule type="cellIs" dxfId="1618" priority="195" operator="equal">
      <formula>0</formula>
    </cfRule>
  </conditionalFormatting>
  <conditionalFormatting sqref="BC112:BH112">
    <cfRule type="expression" dxfId="1617" priority="65">
      <formula>$BA$112=""</formula>
    </cfRule>
  </conditionalFormatting>
  <conditionalFormatting sqref="BC147:BH147">
    <cfRule type="expression" dxfId="1616" priority="64">
      <formula>$BA$112=""</formula>
    </cfRule>
  </conditionalFormatting>
  <conditionalFormatting sqref="BD20:BD50">
    <cfRule type="expression" dxfId="1615" priority="137">
      <formula>FL20="oui"</formula>
    </cfRule>
  </conditionalFormatting>
  <conditionalFormatting sqref="BE20:BE50">
    <cfRule type="expression" dxfId="1614" priority="194">
      <formula>OR(BE20=0,BE20="")</formula>
    </cfRule>
  </conditionalFormatting>
  <conditionalFormatting sqref="BH20:BH50">
    <cfRule type="expression" dxfId="1613" priority="89">
      <formula>AO20=""</formula>
    </cfRule>
    <cfRule type="cellIs" dxfId="1612" priority="128" operator="equal">
      <formula>0</formula>
    </cfRule>
  </conditionalFormatting>
  <conditionalFormatting sqref="BI9:BI14">
    <cfRule type="cellIs" dxfId="1611" priority="66" operator="equal">
      <formula>0</formula>
    </cfRule>
  </conditionalFormatting>
  <conditionalFormatting sqref="BQ54">
    <cfRule type="expression" dxfId="1610" priority="233">
      <formula>$BW$41="Non"</formula>
    </cfRule>
  </conditionalFormatting>
  <conditionalFormatting sqref="BQ36:CA36">
    <cfRule type="expression" dxfId="1609" priority="234">
      <formula>$BW$41="Oui"</formula>
    </cfRule>
  </conditionalFormatting>
  <conditionalFormatting sqref="BS21:CA34">
    <cfRule type="expression" dxfId="1608" priority="228">
      <formula>$EO$12="NON"</formula>
    </cfRule>
  </conditionalFormatting>
  <conditionalFormatting sqref="BY28:BY33">
    <cfRule type="notContainsBlanks" dxfId="1607" priority="229">
      <formula>LEN(TRIM(BY28))&gt;0</formula>
    </cfRule>
  </conditionalFormatting>
  <conditionalFormatting sqref="BY56 BY60">
    <cfRule type="expression" dxfId="1606" priority="311">
      <formula>$BW$41="Oui"</formula>
    </cfRule>
  </conditionalFormatting>
  <conditionalFormatting sqref="BY60 BY56">
    <cfRule type="duplicateValues" dxfId="1605" priority="314"/>
  </conditionalFormatting>
  <conditionalFormatting sqref="BY60">
    <cfRule type="cellIs" dxfId="1604" priority="313" operator="lessThan">
      <formula>$BY$59</formula>
    </cfRule>
  </conditionalFormatting>
  <conditionalFormatting sqref="CA56">
    <cfRule type="expression" dxfId="1603" priority="235">
      <formula>AND($CA$56&lt;$CE$47,$BW$41="Non")</formula>
    </cfRule>
  </conditionalFormatting>
  <conditionalFormatting sqref="CB78">
    <cfRule type="cellIs" dxfId="1602" priority="408" stopIfTrue="1" operator="equal">
      <formula>"OUI"</formula>
    </cfRule>
    <cfRule type="cellIs" dxfId="1601" priority="407" stopIfTrue="1" operator="equal">
      <formula>"NON"</formula>
    </cfRule>
  </conditionalFormatting>
  <conditionalFormatting sqref="CE53:CE54">
    <cfRule type="expression" dxfId="1599" priority="96">
      <formula>$BW$41="Non"</formula>
    </cfRule>
  </conditionalFormatting>
  <conditionalFormatting sqref="CE57:CE58">
    <cfRule type="expression" dxfId="1597" priority="95">
      <formula>$BW$41="Non"</formula>
    </cfRule>
  </conditionalFormatting>
  <conditionalFormatting sqref="CE3:CF3">
    <cfRule type="expression" dxfId="1596" priority="74">
      <formula>$FX$3="vrai"</formula>
    </cfRule>
    <cfRule type="expression" dxfId="1595" priority="75">
      <formula>AND($CE$3="",$CE$5&lt;&gt;"")</formula>
    </cfRule>
    <cfRule type="expression" dxfId="1594" priority="76">
      <formula>$CD$3=""</formula>
    </cfRule>
  </conditionalFormatting>
  <conditionalFormatting sqref="CE5:CF5">
    <cfRule type="expression" dxfId="1593" priority="81">
      <formula>$FX$5="vrai"</formula>
    </cfRule>
    <cfRule type="expression" dxfId="1592" priority="82">
      <formula>CD5=""</formula>
    </cfRule>
    <cfRule type="expression" dxfId="1591" priority="83">
      <formula>OR(AND(CE5&lt;&gt;0,CE5&lt;AJ4),AND(CE5&lt;&gt;0,CE5&gt;EG5),AND(CE5&lt;&gt;0,CE5&lt;AB20))</formula>
    </cfRule>
  </conditionalFormatting>
  <conditionalFormatting sqref="CE8:CF8">
    <cfRule type="expression" dxfId="1590" priority="77">
      <formula>$FX$8="vrai"</formula>
    </cfRule>
    <cfRule type="expression" dxfId="1589" priority="78">
      <formula>CD8=""</formula>
    </cfRule>
    <cfRule type="expression" dxfId="1588" priority="79">
      <formula>AND(CE8&lt;&gt;0,CE8&lt;AJ4)</formula>
    </cfRule>
    <cfRule type="cellIs" dxfId="1587" priority="80" operator="greaterThan">
      <formula>$CE$5</formula>
    </cfRule>
  </conditionalFormatting>
  <conditionalFormatting sqref="CF47">
    <cfRule type="notContainsBlanks" dxfId="1586" priority="227">
      <formula>LEN(TRIM(CF47))&gt;0</formula>
    </cfRule>
  </conditionalFormatting>
  <conditionalFormatting sqref="CF49">
    <cfRule type="notContainsBlanks" dxfId="1585" priority="226">
      <formula>LEN(TRIM(CF49))&gt;0</formula>
    </cfRule>
  </conditionalFormatting>
  <conditionalFormatting sqref="CG8:CI8">
    <cfRule type="expression" dxfId="1583" priority="126">
      <formula>CD8=""</formula>
    </cfRule>
  </conditionalFormatting>
  <conditionalFormatting sqref="GW16:HR16">
    <cfRule type="expression" dxfId="1582" priority="344">
      <formula>$AE$123="NON"</formula>
    </cfRule>
  </conditionalFormatting>
  <conditionalFormatting sqref="HG16:HJ16">
    <cfRule type="expression" dxfId="1581" priority="4855">
      <formula>AR123&gt;0</formula>
    </cfRule>
  </conditionalFormatting>
  <conditionalFormatting sqref="HK16:HN16">
    <cfRule type="expression" dxfId="1580" priority="4856">
      <formula>AR123&gt;0</formula>
    </cfRule>
  </conditionalFormatting>
  <dataValidations disablePrompts="1" count="19">
    <dataValidation operator="lessThanOrEqual" allowBlank="1" showErrorMessage="1" errorTitle="erreur plafond" error="Le bulletin n'est pas adapté pour les salaires suppérieurs à la première tranche du plafond de la CPAM soit 3377 €" sqref="P37 T35" xr:uid="{00000000-0002-0000-1700-000000000000}">
      <formula1>0</formula1>
      <formula2>0</formula2>
    </dataValidation>
    <dataValidation type="list" allowBlank="1" showInputMessage="1" showErrorMessage="1" sqref="F80:H80" xr:uid="{00000000-0002-0000-1700-000001000000}">
      <formula1>"Chèque,Espèce,Virement,Pajemploi +,CESU"</formula1>
    </dataValidation>
    <dataValidation type="list" allowBlank="1" showInputMessage="1" showErrorMessage="1" sqref="F82:H82" xr:uid="{00000000-0002-0000-1700-000002000000}">
      <formula1>"' ,Chèque,Espèce,Virement,Pajemploi +,CESU"</formula1>
    </dataValidation>
    <dataValidation type="list" allowBlank="1" showInputMessage="1" showErrorMessage="1" sqref="AU4:AU10" xr:uid="{00000000-0002-0000-1700-000003000000}">
      <formula1>"A,B,C,D,E,F,G,H"</formula1>
    </dataValidation>
    <dataValidation type="list" allowBlank="1" showInputMessage="1" showErrorMessage="1" sqref="BX41 BA60:BA61 AT60:AT61 AX60:AY61" xr:uid="{00000000-0002-0000-1700-000004000000}">
      <formula1>"Non,Oui"</formula1>
    </dataValidation>
    <dataValidation type="list" allowBlank="1" showInputMessage="1" showErrorMessage="1" sqref="L123:M123 L125:M125 AI127:AJ127 AJ125:AK125 CC132 BF20:BF50" xr:uid="{00000000-0002-0000-1700-000006000000}">
      <formula1>"OUI,NON"</formula1>
    </dataValidation>
    <dataValidation type="list" allowBlank="1" showInputMessage="1" showErrorMessage="1" sqref="BZ2" xr:uid="{00000000-0002-0000-1700-000007000000}">
      <formula1>Source_liste_fiche2</formula1>
    </dataValidation>
    <dataValidation type="list" showInputMessage="1" showErrorMessage="1" sqref="BZ118" xr:uid="{00000000-0002-0000-1700-000008000000}">
      <formula1>"Scénario 1,Scénario 2,Scénario 3,Scénario 4,"</formula1>
    </dataValidation>
    <dataValidation type="list" allowBlank="1" showInputMessage="1" sqref="CE58 CE54" xr:uid="{00000000-0002-0000-1700-000009000000}">
      <formula1>"1,2,3,4,5,6,7,8,9,10,11,12,13"</formula1>
    </dataValidation>
    <dataValidation allowBlank="1" showInputMessage="1" sqref="BY56 BY60 DJ51:DK52 DH48:DP50 DH56:DP56" xr:uid="{00000000-0002-0000-1700-00000A000000}"/>
    <dataValidation type="list" allowBlank="1" showInputMessage="1" sqref="BY57" xr:uid="{00000000-0002-0000-1700-00000B000000}">
      <formula1>"0,1,2,3,4,5,6,7,8,9,10,11,12,13,14,24"</formula1>
    </dataValidation>
    <dataValidation type="list" allowBlank="1" showInputMessage="1" showErrorMessage="1" sqref="AX76:AY76 AX79:AY79 AX82:AY82 AX85:AY85" xr:uid="{00000000-0002-0000-1700-00000C000000}">
      <formula1>liste_attestation_modif_pole</formula1>
    </dataValidation>
    <dataValidation type="list" allowBlank="1" showInputMessage="1" showErrorMessage="1" sqref="CE3:CF3" xr:uid="{00000000-0002-0000-1700-00000D000000}">
      <formula1>motif_rupture</formula1>
    </dataValidation>
    <dataValidation type="list" showInputMessage="1" showErrorMessage="1" error="Vous devez choisir entre :_x000a_ - cellule vide_x000a_ - CP Acq_x000a_ - CP Ant" sqref="AR20:AR50" xr:uid="{00000000-0002-0000-1700-00000E000000}">
      <formula1>Source_pose_CP</formula1>
    </dataValidation>
    <dataValidation allowBlank="1" showInputMessage="1" showErrorMessage="1" prompt="Vous pouvez choisir avec la petite flèche à droite &quot;Salaires heures normales réelles &quot;" sqref="A18:K18" xr:uid="{00000000-0002-0000-1700-000005000000}"/>
    <dataValidation type="list" errorStyle="information" allowBlank="1" showInputMessage="1" showErrorMessage="1" error="Faites Entrée pour valider le nombre d'heures" sqref="AZ20:AZ50" xr:uid="{7F119A79-1A7A-4992-9D16-02F9B24964A7}">
      <formula1>liste_motif</formula1>
    </dataValidation>
    <dataValidation type="list" allowBlank="1" showInputMessage="1" showErrorMessage="1" sqref="AZ62:AZ63" xr:uid="{0DB0842E-AB81-4AF4-9A08-95183B819658}">
      <formula1>liste_hrs_jrs</formula1>
    </dataValidation>
    <dataValidation type="list" allowBlank="1" showInputMessage="1" showErrorMessage="1" sqref="AO131:AP133 AH133:AI133" xr:uid="{5A5C1A12-042E-4C44-94D0-5F862659BFC5}">
      <formula1>"Oui,Non"</formula1>
    </dataValidation>
    <dataValidation type="list" allowBlank="1" showInputMessage="1" showErrorMessage="1" sqref="AJ135:AK135" xr:uid="{175C8DC0-91C1-4A74-8716-ED6CB2BE52F4}">
      <formula1>liste_vide_oui_non</formula1>
    </dataValidation>
  </dataValidations>
  <printOptions horizontalCentered="1" verticalCentered="1"/>
  <pageMargins left="0.19685039370078741" right="0.19685039370078741" top="0.19685039370078741" bottom="0.19685039370078741" header="0.51181102362204722" footer="0.51181102362204722"/>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8" id="{66BFD1E7-954F-4464-AC3C-755A74961C68}">
            <xm:f>AND($EO$11="NON",$CC$44=S.CAL!$BC$4)</xm:f>
            <x14:dxf>
              <fill>
                <patternFill>
                  <bgColor rgb="FFFF0000"/>
                </patternFill>
              </fill>
            </x14:dxf>
          </x14:cfRule>
          <xm:sqref>CE53:CE54</xm:sqref>
        </x14:conditionalFormatting>
        <x14:conditionalFormatting xmlns:xm="http://schemas.microsoft.com/office/excel/2006/main">
          <x14:cfRule type="expression" priority="97" id="{357F7E8D-255A-40BD-9F90-1E75B20D378D}">
            <xm:f>AND($EP$11="NON",$CC$44=S.CAL!$BC$5)</xm:f>
            <x14:dxf>
              <fill>
                <patternFill>
                  <bgColor rgb="FFFF0000"/>
                </patternFill>
              </fill>
            </x14:dxf>
          </x14:cfRule>
          <xm:sqref>CE57:CE58</xm:sqref>
        </x14:conditionalFormatting>
        <x14:conditionalFormatting xmlns:xm="http://schemas.microsoft.com/office/excel/2006/main">
          <x14:cfRule type="expression" priority="92" id="{BE968C7C-A761-4030-A4A1-C2FD8BAB70E4}">
            <xm:f>AND($CF$55&lt;$CE$49/9,$CF$55&lt;&gt;"",$BW$41="Oui",$CC$44=S.CAL!$BC$4)</xm:f>
            <x14:dxf>
              <fill>
                <patternFill>
                  <bgColor rgb="FFFF0000"/>
                </patternFill>
              </fill>
            </x14:dxf>
          </x14:cfRule>
          <xm:sqref>CF55</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00000000-0002-0000-1700-000011000000}">
          <x14:formula1>
            <xm:f>S.CAL!$V$3:$V$4</xm:f>
          </x14:formula1>
          <xm:sqref>BZ8</xm:sqref>
        </x14:dataValidation>
        <x14:dataValidation type="list" allowBlank="1" showInputMessage="1" showErrorMessage="1" xr:uid="{00000000-0002-0000-1700-000012000000}">
          <x14:formula1>
            <xm:f>S.CAL!$S$3:$S$4</xm:f>
          </x14:formula1>
          <xm:sqref>BZ6</xm:sqref>
        </x14:dataValidation>
        <x14:dataValidation type="list" allowBlank="1" showInputMessage="1" showErrorMessage="1" xr:uid="{00000000-0002-0000-1700-000013000000}">
          <x14:formula1>
            <xm:f>S.CAL!$V$2:$V$4</xm:f>
          </x14:formula1>
          <xm:sqref>AN123:AO123 AN129:AO129</xm:sqref>
        </x14:dataValidation>
        <x14:dataValidation type="list" showInputMessage="1" showErrorMessage="1" xr:uid="{00000000-0002-0000-1700-000014000000}">
          <x14:formula1>
            <xm:f>S.CAL!$CU$2:$CU$3</xm:f>
          </x14:formula1>
          <xm:sqref>AR13:AZ13</xm:sqref>
        </x14:dataValidation>
        <x14:dataValidation type="list" allowBlank="1" showInputMessage="1" showErrorMessage="1" xr:uid="{938DB401-8242-424A-A7A7-F104C3DC0BD4}">
          <x14:formula1>
            <xm:f>S.CAL!$BC$3:$BC$5</xm:f>
          </x14:formula1>
          <xm:sqref>CC45:CD45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DATE(YEAR(Janvier!X3),MONTH(Janvier!X3)+1,DAY(Janvier!X3))</f>
        <v>46054</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5</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IF(Janvier!BY8="OUI","Contrat fini",BY2)</f>
        <v>Fiche info</v>
      </c>
      <c r="EF4" s="315" t="s">
        <v>1028</v>
      </c>
      <c r="EG4" s="737">
        <f>+Identification!B95</f>
        <v>0</v>
      </c>
      <c r="FG4" s="315" t="str">
        <f>IFERROR(IF(VLOOKUP(AT4,Janvier!$AT$4:$AU$10,2,FALSE)&lt;&gt;Février!AU4,"rouge","ok"),0)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46054</v>
      </c>
      <c r="Y5" s="2206"/>
      <c r="Z5" s="1743" t="s">
        <v>451</v>
      </c>
      <c r="AA5" s="1743"/>
      <c r="AB5" s="2206">
        <f>+IF(AND(DATE(YEAR(EG4),MONTH(EG4),DAY(EG4))&gt;=DATE(YEAR(X3),MONTH(X3),DAY(X3)),DATE(YEAR(EG4),MONTH(EG4),DAY(EG4))&lt;=DATE(YEAR(X3),MONTH(X3),DAY(EOMONTH(X3,0)))),EG4,EOMONTH(X3,0))</f>
        <v>46081</v>
      </c>
      <c r="AC5" s="2210"/>
      <c r="AP5" s="209"/>
      <c r="AQ5" s="318"/>
      <c r="AR5" s="209"/>
      <c r="AS5" s="210"/>
      <c r="AT5" s="301">
        <f t="array" ref="AT5">IFERROR(INDEX($BK$20:$BK$50,MATCH(0,INDEX(COUNTIF($AT$3:AT4,$BK$20:$BK$50),0,0),0)),"")</f>
        <v>6</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46081</v>
      </c>
      <c r="FG5" s="315">
        <f>IFERROR(IF(VLOOKUP(AT5,Janvier!$AT$4:$AU$10,2,FALSE)&lt;&gt;Février!AU5,"rouge","ok"),0)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7</v>
      </c>
      <c r="AU6" s="1122" t="s">
        <v>226</v>
      </c>
      <c r="BQ6" s="578"/>
      <c r="BR6" s="578"/>
      <c r="BS6" s="578"/>
      <c r="BT6" s="578"/>
      <c r="BU6" s="578"/>
      <c r="BV6" s="578"/>
      <c r="BW6" s="578"/>
      <c r="BX6" s="579" t="s">
        <v>509</v>
      </c>
      <c r="BY6" s="580" t="str">
        <f>+IF(BZ6="",Janvier!BY6,BZ6)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IFERROR(IF(VLOOKUP(AT6,Janvier!$AT$4:$AU$10,2,FALSE)&lt;&gt;Février!AU6,"rouge","ok"),0)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8</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IFERROR(IF(VLOOKUP(AT7,Janvier!$AT$4:$AU$10,2,FALSE)&lt;&gt;Février!AU7,"rouge","ok"),0)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9</v>
      </c>
      <c r="AU8" s="1122" t="s">
        <v>226</v>
      </c>
      <c r="BG8" s="240"/>
      <c r="BH8" s="1439" t="str">
        <f>+AT3</f>
        <v>N° Sem.</v>
      </c>
      <c r="BI8" s="1440" t="s">
        <v>1552</v>
      </c>
      <c r="BQ8" s="1985" t="s">
        <v>210</v>
      </c>
      <c r="BR8" s="1986"/>
      <c r="BS8" s="1986"/>
      <c r="BT8" s="1986"/>
      <c r="BU8" s="1986"/>
      <c r="BV8" s="1986"/>
      <c r="BW8" s="1986"/>
      <c r="BX8" s="1986"/>
      <c r="BY8" s="965" t="str">
        <f>IF(BZ8="",Janvier!BY8,BZ8)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IFERROR(IF(VLOOKUP(AT8,Janvier!$AT$4:$AU$10,2,FALSE)&lt;&gt;Février!AU8,"rouge","ok"),0)</f>
        <v>0</v>
      </c>
      <c r="FX8" s="129" t="str">
        <f>+IF(AND(CD8="",CE8&lt;&gt;""),"vrai","faux")</f>
        <v>faux</v>
      </c>
    </row>
    <row r="9" spans="1:226" ht="11.2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52026</v>
      </c>
      <c r="BH9" s="1441">
        <f t="shared" ref="BH9:BH14" si="0">+AT4</f>
        <v>5</v>
      </c>
      <c r="BI9" s="1442">
        <f>IF($AR$13=S.CAL!$CU$2,+SUMIF(S.CAL!$FW$3:$FW$374,BG9,S.CAL!$FX$3:$FX$374),IF($AR$13=S.CAL!$CU$3,SUMIF(Feuilles_de_présence_planning!$EG$12:$EG$537,BG9,Feuilles_de_présence_planning!$EE$12:$EE$537),"err"))</f>
        <v>0</v>
      </c>
      <c r="BY9" s="196" t="str">
        <f>+IF(Janvier!BY8="OUI","FIN","O")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IFERROR(IF(VLOOKUP(AT9,Janvier!$AT$4:$AU$10,2,FALSE)&lt;&gt;Février!AU9,"rouge","ok"),0)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62026</v>
      </c>
      <c r="BH10" s="1441">
        <f t="shared" si="0"/>
        <v>6</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IFERROR(IF(VLOOKUP(AT10,Janvier!$AT$4:$AU$10,2,FALSE)&lt;&gt;Février!AU10,"rouge","ok"),0)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72026</v>
      </c>
      <c r="BH11" s="1441">
        <f t="shared" si="0"/>
        <v>7</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315"/>
      <c r="CB11" s="315"/>
      <c r="CC11" s="315"/>
      <c r="CD11" s="315"/>
      <c r="CE11" s="315"/>
      <c r="CF11" s="315"/>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82026</v>
      </c>
      <c r="BH12" s="1441">
        <f t="shared" si="0"/>
        <v>8</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315"/>
      <c r="CB12" s="315"/>
      <c r="CC12" s="315"/>
      <c r="CD12" s="315"/>
      <c r="CE12" s="315"/>
      <c r="CF12" s="315"/>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9</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IF(AR14="",Janvier!AR13,AR14)</f>
        <v>à partir du tableau ci-dessous</v>
      </c>
      <c r="AS13" s="2372"/>
      <c r="AT13" s="2372"/>
      <c r="AU13" s="2372"/>
      <c r="AV13" s="2372"/>
      <c r="AW13" s="2372"/>
      <c r="AX13" s="2372"/>
      <c r="AY13" s="2372"/>
      <c r="AZ13" s="2372"/>
      <c r="BA13" s="2355" t="s">
        <v>1086</v>
      </c>
      <c r="BB13" s="2355"/>
      <c r="BC13" s="2355"/>
      <c r="BD13" s="951"/>
      <c r="BG13" s="1430" t="str">
        <f t="shared" si="1"/>
        <v>92026</v>
      </c>
      <c r="BH13" s="1441">
        <f t="shared" si="0"/>
        <v>9</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315"/>
      <c r="CB13" s="315"/>
      <c r="CC13" s="315"/>
      <c r="CD13" s="315"/>
      <c r="CE13" s="315"/>
      <c r="CF13" s="315"/>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315"/>
      <c r="CB14" s="315"/>
      <c r="CC14" s="315"/>
      <c r="CD14" s="315"/>
      <c r="CE14" s="315"/>
      <c r="CF14" s="315"/>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+Janvier!EF16</f>
        <v>0</v>
      </c>
      <c r="EG16" s="741">
        <f>+Janvier!EG16</f>
        <v>0</v>
      </c>
      <c r="EH16" s="741">
        <f>+Janvier!EH16+Janvier!EH17</f>
        <v>0</v>
      </c>
      <c r="EI16" s="741">
        <f>+Janvier!EI16+Janvier!EI17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204"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I17" s="216"/>
      <c r="GJ17" s="253"/>
      <c r="GM17" s="1506"/>
      <c r="GN17" s="216"/>
      <c r="GP17" s="1732" t="s">
        <v>1636</v>
      </c>
      <c r="GQ17" s="1732" t="s">
        <v>1557</v>
      </c>
      <c r="GR17" s="216"/>
      <c r="GS17" s="216"/>
      <c r="GT17" s="216"/>
      <c r="GU17" s="216"/>
      <c r="GV17" s="216"/>
    </row>
    <row r="18" spans="1:204"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I18" s="216"/>
      <c r="GJ18" s="253" t="s">
        <v>1584</v>
      </c>
      <c r="GK18" s="129" t="s">
        <v>1585</v>
      </c>
      <c r="GL18" s="129" t="s">
        <v>1586</v>
      </c>
      <c r="GM18" s="1506" t="s">
        <v>1587</v>
      </c>
      <c r="GN18" s="216"/>
      <c r="GO18" s="1523" t="s">
        <v>1495</v>
      </c>
      <c r="GP18" s="1732"/>
      <c r="GQ18" s="1732"/>
      <c r="GR18" s="216"/>
      <c r="GS18" s="216"/>
      <c r="GT18" s="216"/>
      <c r="GU18" s="216"/>
      <c r="GV18" s="216"/>
    </row>
    <row r="19" spans="1:204"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Fev'!D18:D48,"&gt;0")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204"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46054</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5</v>
      </c>
      <c r="AQ20" s="322"/>
      <c r="AR20" s="1123"/>
      <c r="AS20" s="314">
        <f t="shared" ref="AS20:AS50" si="3">SUM(AD20:AL20)</f>
        <v>0</v>
      </c>
      <c r="AT20" s="1124"/>
      <c r="AU20" s="1124"/>
      <c r="AV20" s="314"/>
      <c r="AW20" s="2150">
        <f>AB20</f>
        <v>46054</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infoA7</v>
      </c>
      <c r="BK20" s="129">
        <f>IFERROR(WEEKNUM(AB20,21),"")</f>
        <v>5</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24</v>
      </c>
      <c r="EQ20" s="748">
        <f>+AB20</f>
        <v>46054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46054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5</v>
      </c>
      <c r="GA20" s="129">
        <f>+$X$4</f>
        <v>2026</v>
      </c>
      <c r="GB20" s="129" t="str">
        <f>+FZ20&amp;GA20</f>
        <v>52026</v>
      </c>
      <c r="GC20" s="223">
        <f>IF(AND($GD$53=S.CAL!$P$3,$GD$52=FZ20),GE20,IF(BH20="",0,BH20))</f>
        <v>0</v>
      </c>
      <c r="GD20" s="129" t="str">
        <f>IFERROR(+Mars!$BY$2&amp;BL20&amp;BM20,0)</f>
        <v>Fiche infoA7</v>
      </c>
      <c r="GE20" s="129" t="str">
        <f t="shared" ref="GE20:GE50" si="19">+IFERROR(VLOOKUP(GD20,Base_heures,6,FALSE),"")</f>
        <v/>
      </c>
      <c r="GF20" s="223" t="str">
        <f>IF(FP20=1,GG20,AM20)</f>
        <v/>
      </c>
      <c r="GG20" s="1446" t="str">
        <f>+'Retenue Fev'!D18</f>
        <v/>
      </c>
      <c r="GH20" s="1446">
        <f>IF(Identification!$B$132="Non",+'Retenue Fev'!BF18,+'Retenue Fev'!BE18)</f>
        <v>0</v>
      </c>
      <c r="GI20" s="1446"/>
      <c r="GJ20" s="1507" t="str">
        <f>+AM20</f>
        <v/>
      </c>
      <c r="GK20" s="223" t="str">
        <f>+AG20</f>
        <v/>
      </c>
      <c r="GL20" s="223" t="str">
        <f>+AJ20</f>
        <v/>
      </c>
      <c r="GM20" s="1506">
        <f>+IF(AND(OR(ISNUMBER(GK20),ISNUMBER(GL20)),OR(GJ20="",GJ20=0,ISTEXT(GJ20))),1,0)</f>
        <v>0</v>
      </c>
      <c r="GN20" s="1446"/>
      <c r="GO20" s="1446">
        <f t="shared" ref="GO20:GO50" si="20">+IFERROR(IF(AND(VLOOKUP(EX20,Liste_motif_formule,11,FALSE)="OUI",FB20&gt;0,FB20&lt;&gt;""),1,0),0)+IFERROR(IF(AND(VLOOKUP(ER20,Liste_motif_formule,11,FALSE)="OUI",FB20&gt;0,FB20&lt;&gt;""),1,0),0)</f>
        <v>0</v>
      </c>
      <c r="GP20" s="1446" t="str">
        <f>IF(GO20=1,GG20,"")</f>
        <v/>
      </c>
      <c r="GQ20" s="1446" t="str">
        <f>+GG20</f>
        <v/>
      </c>
      <c r="GR20" s="1446"/>
      <c r="GS20" s="1446"/>
      <c r="GT20" s="1446"/>
      <c r="GU20" s="1446"/>
      <c r="GV20" s="1446"/>
    </row>
    <row r="21" spans="1:204"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46055</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f>IFERROR(IF(WEEKDAY(AB21,11)=1,WEEKNUM(AB21,21),""),"")</f>
        <v>6</v>
      </c>
      <c r="AQ21" s="322"/>
      <c r="AR21" s="1104"/>
      <c r="AS21" s="314">
        <f t="shared" si="3"/>
        <v>0</v>
      </c>
      <c r="AT21" s="1125"/>
      <c r="AU21" s="1125"/>
      <c r="AV21" s="314"/>
      <c r="AW21" s="1791">
        <f t="shared" ref="AW21:AW50" si="22">AB21</f>
        <v>46055</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infoA1</v>
      </c>
      <c r="BK21" s="129">
        <f t="shared" ref="BK21" si="27">IFERROR(WEEKNUM(AB21,21),"")</f>
        <v>6</v>
      </c>
      <c r="BL21" s="129" t="str">
        <f t="shared" si="4"/>
        <v>A</v>
      </c>
      <c r="BM21" s="129">
        <f t="shared" si="5"/>
        <v>1</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46054</v>
      </c>
      <c r="EJ21" s="737"/>
      <c r="EK21" s="737"/>
      <c r="EQ21" s="748">
        <f t="shared" ref="EQ21" si="28">+AB21</f>
        <v>46055</v>
      </c>
      <c r="ER21" s="749">
        <f t="shared" si="10"/>
        <v>0</v>
      </c>
      <c r="ES21" s="750">
        <f t="shared" si="11"/>
        <v>0</v>
      </c>
      <c r="ET21" s="749">
        <f t="shared" si="12"/>
        <v>0</v>
      </c>
      <c r="EU21" s="750">
        <f t="shared" si="13"/>
        <v>0</v>
      </c>
      <c r="EV21" s="749" t="str">
        <f t="shared" si="14"/>
        <v/>
      </c>
      <c r="EW21" s="751">
        <f t="shared" ref="EW21:EW50" si="29">+EQ21</f>
        <v>46055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6</v>
      </c>
      <c r="GA21" s="129">
        <f t="shared" ref="GA21:GA50" si="39">+$X$4</f>
        <v>2026</v>
      </c>
      <c r="GB21" s="129" t="str">
        <f t="shared" ref="GB21:GB48" si="40">+FZ21&amp;GA21</f>
        <v>62026</v>
      </c>
      <c r="GC21" s="223">
        <f>IF(AND($GD$53=S.CAL!$P$3,$GD$52=FZ21),GE21,IF(BH21="",0,BH21))</f>
        <v>0</v>
      </c>
      <c r="GD21" s="129" t="str">
        <f>IFERROR(+Mars!$BY$2&amp;BL21&amp;BM21,0)</f>
        <v>Fiche infoA1</v>
      </c>
      <c r="GE21" s="129" t="str">
        <f t="shared" si="19"/>
        <v/>
      </c>
      <c r="GF21" s="223" t="str">
        <f t="shared" ref="GF21:GF48" si="41">IF(FP21=1,GG21,AM21)</f>
        <v/>
      </c>
      <c r="GG21" s="1446" t="str">
        <f>+'Retenue Fev'!D19</f>
        <v/>
      </c>
      <c r="GH21" s="1446">
        <f>IF(Identification!$B$132="Non",+'Retenue Fev'!BF19,+'Retenue Fev'!BE19)</f>
        <v>0</v>
      </c>
      <c r="GI21" s="1446"/>
      <c r="GJ21" s="1507" t="str">
        <f t="shared" ref="GJ21:GJ50" si="42">+AM21</f>
        <v/>
      </c>
      <c r="GK21" s="223" t="str">
        <f t="shared" ref="GK21:GK50" si="43">+AG21</f>
        <v/>
      </c>
      <c r="GL21" s="223" t="str">
        <f t="shared" ref="GL21:GL50" si="44">+AJ21</f>
        <v/>
      </c>
      <c r="GM21" s="1506">
        <f t="shared" ref="GM21:GM50" si="45">+IF(AND(OR(ISNUMBER(GK21),ISNUMBER(GL21)),OR(GJ21="",GJ21=0,ISTEXT(GJ21))),1,0)</f>
        <v>0</v>
      </c>
      <c r="GN21" s="1446"/>
      <c r="GO21" s="1446">
        <f t="shared" si="20"/>
        <v>0</v>
      </c>
      <c r="GP21" s="1446" t="str">
        <f t="shared" ref="GP21:GP50" si="46">IF(GO21=1,GG21,"")</f>
        <v/>
      </c>
      <c r="GQ21" s="1446" t="str">
        <f t="shared" ref="GQ21:GQ50" si="47">+GG21</f>
        <v/>
      </c>
      <c r="GR21" s="1446"/>
      <c r="GS21" s="1446"/>
      <c r="GT21" s="1446"/>
      <c r="GU21" s="1446"/>
      <c r="GV21" s="1446"/>
    </row>
    <row r="22" spans="1:204"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46056</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46056</v>
      </c>
      <c r="AX22" s="1761"/>
      <c r="AY22" s="314"/>
      <c r="AZ22" s="1104"/>
      <c r="BA22" s="973"/>
      <c r="BB22" s="543"/>
      <c r="BC22" s="548">
        <f t="shared" si="23"/>
        <v>0</v>
      </c>
      <c r="BD22" s="1104"/>
      <c r="BE22" s="807">
        <f t="shared" si="24"/>
        <v>0</v>
      </c>
      <c r="BF22" s="1128"/>
      <c r="BG22" s="222"/>
      <c r="BH22" s="548" t="str">
        <f t="shared" si="25"/>
        <v/>
      </c>
      <c r="BI22" s="1128"/>
      <c r="BJ22" s="129" t="str">
        <f t="shared" si="26"/>
        <v>Fiche infoA2</v>
      </c>
      <c r="BK22" s="129">
        <f t="shared" ref="BK22:BK50" si="49">IFERROR(WEEKNUM(AB22,21),"")</f>
        <v>6</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46081</v>
      </c>
      <c r="EJ22" s="737"/>
      <c r="EK22" s="737"/>
      <c r="EQ22" s="748">
        <f t="shared" ref="EQ22:EQ50" si="53">+AB22</f>
        <v>46056</v>
      </c>
      <c r="ER22" s="749">
        <f t="shared" si="10"/>
        <v>0</v>
      </c>
      <c r="ES22" s="750">
        <f t="shared" si="11"/>
        <v>0</v>
      </c>
      <c r="ET22" s="749">
        <f t="shared" si="12"/>
        <v>0</v>
      </c>
      <c r="EU22" s="750">
        <f t="shared" si="13"/>
        <v>0</v>
      </c>
      <c r="EV22" s="749" t="str">
        <f t="shared" si="14"/>
        <v/>
      </c>
      <c r="EW22" s="751">
        <f t="shared" si="29"/>
        <v>46056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6</v>
      </c>
      <c r="GA22" s="129">
        <f t="shared" si="39"/>
        <v>2026</v>
      </c>
      <c r="GB22" s="129" t="str">
        <f t="shared" si="40"/>
        <v>62026</v>
      </c>
      <c r="GC22" s="223">
        <f>IF(AND($GD$53=S.CAL!$P$3,$GD$52=FZ22),GE22,IF(BH22="",0,BH22))</f>
        <v>0</v>
      </c>
      <c r="GD22" s="129" t="str">
        <f>IFERROR(+Mars!$BY$2&amp;BL22&amp;BM22,0)</f>
        <v>Fiche infoA2</v>
      </c>
      <c r="GE22" s="129" t="str">
        <f t="shared" si="19"/>
        <v/>
      </c>
      <c r="GF22" s="223" t="str">
        <f t="shared" si="41"/>
        <v/>
      </c>
      <c r="GG22" s="1446" t="str">
        <f>+'Retenue Fev'!D20</f>
        <v/>
      </c>
      <c r="GH22" s="1446">
        <f>IF(Identification!$B$132="Non",+'Retenue Fev'!BF20,+'Retenue Fev'!BE20)</f>
        <v>0</v>
      </c>
      <c r="GI22" s="1446"/>
      <c r="GJ22" s="1507" t="str">
        <f t="shared" si="42"/>
        <v/>
      </c>
      <c r="GK22" s="223" t="str">
        <f t="shared" si="43"/>
        <v/>
      </c>
      <c r="GL22" s="223" t="str">
        <f t="shared" si="44"/>
        <v/>
      </c>
      <c r="GM22" s="1506">
        <f t="shared" si="45"/>
        <v>0</v>
      </c>
      <c r="GN22" s="1446"/>
      <c r="GO22" s="1446">
        <f t="shared" si="20"/>
        <v>0</v>
      </c>
      <c r="GP22" s="1446" t="str">
        <f t="shared" si="46"/>
        <v/>
      </c>
      <c r="GQ22" s="1446" t="str">
        <f t="shared" si="47"/>
        <v/>
      </c>
      <c r="GR22" s="1446"/>
      <c r="GS22" s="1446"/>
      <c r="GT22" s="1446"/>
      <c r="GU22" s="1446"/>
      <c r="GV22" s="1446"/>
    </row>
    <row r="23" spans="1:204"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46057</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46057</v>
      </c>
      <c r="AX23" s="1761"/>
      <c r="AY23" s="314"/>
      <c r="AZ23" s="1104"/>
      <c r="BA23" s="973"/>
      <c r="BB23" s="543"/>
      <c r="BC23" s="548">
        <f t="shared" si="23"/>
        <v>0</v>
      </c>
      <c r="BD23" s="1104"/>
      <c r="BE23" s="807">
        <f t="shared" si="24"/>
        <v>0</v>
      </c>
      <c r="BF23" s="1128"/>
      <c r="BG23" s="222"/>
      <c r="BH23" s="548" t="str">
        <f t="shared" si="25"/>
        <v/>
      </c>
      <c r="BI23" s="1128"/>
      <c r="BJ23" s="129" t="str">
        <f t="shared" si="26"/>
        <v>Fiche infoA3</v>
      </c>
      <c r="BK23" s="129">
        <f t="shared" si="49"/>
        <v>6</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46057</v>
      </c>
      <c r="ER23" s="749">
        <f t="shared" si="10"/>
        <v>0</v>
      </c>
      <c r="ES23" s="750">
        <f t="shared" si="11"/>
        <v>0</v>
      </c>
      <c r="ET23" s="749">
        <f t="shared" si="12"/>
        <v>0</v>
      </c>
      <c r="EU23" s="750">
        <f t="shared" si="13"/>
        <v>0</v>
      </c>
      <c r="EV23" s="749" t="str">
        <f t="shared" si="14"/>
        <v/>
      </c>
      <c r="EW23" s="751">
        <f t="shared" si="29"/>
        <v>46057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6</v>
      </c>
      <c r="GA23" s="129">
        <f t="shared" si="39"/>
        <v>2026</v>
      </c>
      <c r="GB23" s="129" t="str">
        <f t="shared" si="40"/>
        <v>62026</v>
      </c>
      <c r="GC23" s="223">
        <f>IF(AND($GD$53=S.CAL!$P$3,$GD$52=FZ23),GE23,IF(BH23="",0,BH23))</f>
        <v>0</v>
      </c>
      <c r="GD23" s="129" t="str">
        <f>IFERROR(+Mars!$BY$2&amp;BL23&amp;BM23,0)</f>
        <v>Fiche infoA3</v>
      </c>
      <c r="GE23" s="129" t="str">
        <f t="shared" si="19"/>
        <v/>
      </c>
      <c r="GF23" s="223" t="str">
        <f t="shared" si="41"/>
        <v/>
      </c>
      <c r="GG23" s="1446" t="str">
        <f>+'Retenue Fev'!D21</f>
        <v/>
      </c>
      <c r="GH23" s="1446">
        <f>IF(Identification!$B$132="Non",+'Retenue Fev'!BF21,+'Retenue Fev'!BE21)</f>
        <v>0</v>
      </c>
      <c r="GI23" s="1446"/>
      <c r="GJ23" s="1507" t="str">
        <f t="shared" si="42"/>
        <v/>
      </c>
      <c r="GK23" s="223" t="str">
        <f t="shared" si="43"/>
        <v/>
      </c>
      <c r="GL23" s="223" t="str">
        <f t="shared" si="44"/>
        <v/>
      </c>
      <c r="GM23" s="1506">
        <f t="shared" si="45"/>
        <v>0</v>
      </c>
      <c r="GN23" s="1446"/>
      <c r="GO23" s="1446">
        <f t="shared" si="20"/>
        <v>0</v>
      </c>
      <c r="GP23" s="1446" t="str">
        <f t="shared" si="46"/>
        <v/>
      </c>
      <c r="GQ23" s="1446" t="str">
        <f t="shared" si="47"/>
        <v/>
      </c>
      <c r="GR23" s="1446"/>
      <c r="GS23" s="1446"/>
      <c r="GT23" s="1446"/>
      <c r="GU23" s="1446"/>
      <c r="GV23" s="1446"/>
    </row>
    <row r="24" spans="1:204"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46058</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46058</v>
      </c>
      <c r="AX24" s="1761"/>
      <c r="AY24" s="314"/>
      <c r="AZ24" s="1104"/>
      <c r="BA24" s="973"/>
      <c r="BB24" s="543"/>
      <c r="BC24" s="548">
        <f t="shared" si="23"/>
        <v>0</v>
      </c>
      <c r="BD24" s="1104"/>
      <c r="BE24" s="807">
        <f t="shared" si="24"/>
        <v>0</v>
      </c>
      <c r="BF24" s="1128"/>
      <c r="BG24" s="222"/>
      <c r="BH24" s="548" t="str">
        <f t="shared" si="25"/>
        <v/>
      </c>
      <c r="BI24" s="1128"/>
      <c r="BJ24" s="129" t="str">
        <f t="shared" si="26"/>
        <v>Fiche infoA4</v>
      </c>
      <c r="BK24" s="129">
        <f t="shared" si="49"/>
        <v>6</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46058</v>
      </c>
      <c r="ER24" s="749">
        <f t="shared" si="10"/>
        <v>0</v>
      </c>
      <c r="ES24" s="750">
        <f t="shared" si="11"/>
        <v>0</v>
      </c>
      <c r="ET24" s="749">
        <f t="shared" si="12"/>
        <v>0</v>
      </c>
      <c r="EU24" s="750">
        <f t="shared" si="13"/>
        <v>0</v>
      </c>
      <c r="EV24" s="749" t="str">
        <f t="shared" si="14"/>
        <v/>
      </c>
      <c r="EW24" s="751">
        <f t="shared" si="29"/>
        <v>46058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6</v>
      </c>
      <c r="GA24" s="129">
        <f t="shared" si="39"/>
        <v>2026</v>
      </c>
      <c r="GB24" s="129" t="str">
        <f t="shared" si="40"/>
        <v>62026</v>
      </c>
      <c r="GC24" s="223">
        <f>IF(AND($GD$53=S.CAL!$P$3,$GD$52=FZ24),GE24,IF(BH24="",0,BH24))</f>
        <v>0</v>
      </c>
      <c r="GD24" s="129" t="str">
        <f>IFERROR(+Mars!$BY$2&amp;BL24&amp;BM24,0)</f>
        <v>Fiche infoA4</v>
      </c>
      <c r="GE24" s="129" t="str">
        <f t="shared" si="19"/>
        <v/>
      </c>
      <c r="GF24" s="223" t="str">
        <f t="shared" si="41"/>
        <v/>
      </c>
      <c r="GG24" s="1446" t="str">
        <f>+'Retenue Fev'!D22</f>
        <v/>
      </c>
      <c r="GH24" s="1446">
        <f>IF(Identification!$B$132="Non",+'Retenue Fev'!BF22,+'Retenue Fev'!BE22)</f>
        <v>0</v>
      </c>
      <c r="GI24" s="1446"/>
      <c r="GJ24" s="1507" t="str">
        <f t="shared" si="42"/>
        <v/>
      </c>
      <c r="GK24" s="223" t="str">
        <f t="shared" si="43"/>
        <v/>
      </c>
      <c r="GL24" s="223" t="str">
        <f t="shared" si="44"/>
        <v/>
      </c>
      <c r="GM24" s="1506">
        <f t="shared" si="45"/>
        <v>0</v>
      </c>
      <c r="GN24" s="1446"/>
      <c r="GO24" s="1446">
        <f t="shared" si="20"/>
        <v>0</v>
      </c>
      <c r="GP24" s="1446" t="str">
        <f t="shared" si="46"/>
        <v/>
      </c>
      <c r="GQ24" s="1446" t="str">
        <f t="shared" si="47"/>
        <v/>
      </c>
      <c r="GR24" s="1446"/>
      <c r="GS24" s="1446"/>
      <c r="GT24" s="1446"/>
      <c r="GU24" s="1446"/>
      <c r="GV24" s="1446"/>
    </row>
    <row r="25" spans="1:204" ht="12.75" customHeight="1" x14ac:dyDescent="0.2">
      <c r="A25" s="2243" t="s">
        <v>48</v>
      </c>
      <c r="B25" s="2253" t="s">
        <v>1233</v>
      </c>
      <c r="C25" s="2254"/>
      <c r="D25" s="2254"/>
      <c r="E25" s="2254"/>
      <c r="F25" s="2254"/>
      <c r="G25" s="2254"/>
      <c r="H25" s="2254"/>
      <c r="I25" s="2254"/>
      <c r="J25" s="2254"/>
      <c r="K25" s="2255"/>
      <c r="L25" s="1756" t="e">
        <f>IF(A18="Salaire heures normales réelles",0,'Retenue Fev'!R48*-1)</f>
        <v>#DIV/0!</v>
      </c>
      <c r="M25" s="2142"/>
      <c r="N25" s="2142"/>
      <c r="O25" s="2143"/>
      <c r="P25" s="1753" t="e">
        <f>+IF(L25,T25/L25,0)</f>
        <v>#DIV/0!</v>
      </c>
      <c r="Q25" s="1969"/>
      <c r="R25" s="1969"/>
      <c r="S25" s="1970"/>
      <c r="T25" s="1966">
        <f>IF(A18="Salaire heures normales réelles",0,'Retenue Fev'!R52*-1)</f>
        <v>0</v>
      </c>
      <c r="U25" s="1967"/>
      <c r="V25" s="1967"/>
      <c r="W25" s="1968"/>
      <c r="X25" s="224"/>
      <c r="Y25" s="224"/>
      <c r="Z25" s="224"/>
      <c r="AA25" s="885" t="str">
        <f>IF(AND(BE25="OUI",$AR$13=S.CAL!$CU$2),"►",IF(AND(EV25="OUI",$AR$13=S.CAL!$CU$3),"►",""))</f>
        <v/>
      </c>
      <c r="AB25" s="1760">
        <f>+$X$3+5</f>
        <v>46059</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46059</v>
      </c>
      <c r="AX25" s="1761"/>
      <c r="AY25" s="314"/>
      <c r="AZ25" s="1104"/>
      <c r="BA25" s="973"/>
      <c r="BB25" s="543"/>
      <c r="BC25" s="548">
        <f t="shared" si="23"/>
        <v>0</v>
      </c>
      <c r="BD25" s="1104"/>
      <c r="BE25" s="807">
        <f t="shared" si="24"/>
        <v>0</v>
      </c>
      <c r="BF25" s="1128"/>
      <c r="BG25" s="222"/>
      <c r="BH25" s="548" t="str">
        <f t="shared" si="25"/>
        <v/>
      </c>
      <c r="BI25" s="1128"/>
      <c r="BJ25" s="129" t="str">
        <f t="shared" si="26"/>
        <v>Fiche infoA5</v>
      </c>
      <c r="BK25" s="129">
        <f t="shared" si="49"/>
        <v>6</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46059</v>
      </c>
      <c r="ER25" s="749">
        <f t="shared" si="10"/>
        <v>0</v>
      </c>
      <c r="ES25" s="750">
        <f t="shared" si="11"/>
        <v>0</v>
      </c>
      <c r="ET25" s="749">
        <f t="shared" si="12"/>
        <v>0</v>
      </c>
      <c r="EU25" s="750">
        <f t="shared" si="13"/>
        <v>0</v>
      </c>
      <c r="EV25" s="749" t="str">
        <f t="shared" si="14"/>
        <v/>
      </c>
      <c r="EW25" s="751">
        <f t="shared" si="29"/>
        <v>46059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6</v>
      </c>
      <c r="GA25" s="129">
        <f t="shared" si="39"/>
        <v>2026</v>
      </c>
      <c r="GB25" s="129" t="str">
        <f t="shared" si="40"/>
        <v>62026</v>
      </c>
      <c r="GC25" s="223">
        <f>IF(AND($GD$53=S.CAL!$P$3,$GD$52=FZ25),GE25,IF(BH25="",0,BH25))</f>
        <v>0</v>
      </c>
      <c r="GD25" s="129" t="str">
        <f>IFERROR(+Mars!$BY$2&amp;BL25&amp;BM25,0)</f>
        <v>Fiche infoA5</v>
      </c>
      <c r="GE25" s="129" t="str">
        <f t="shared" si="19"/>
        <v/>
      </c>
      <c r="GF25" s="223" t="str">
        <f t="shared" si="41"/>
        <v/>
      </c>
      <c r="GG25" s="1446" t="str">
        <f>+'Retenue Fev'!D23</f>
        <v/>
      </c>
      <c r="GH25" s="1446">
        <f>IF(Identification!$B$132="Non",+'Retenue Fev'!BF23,+'Retenue Fev'!BE23)</f>
        <v>0</v>
      </c>
      <c r="GI25" s="1446"/>
      <c r="GJ25" s="1507" t="str">
        <f t="shared" si="42"/>
        <v/>
      </c>
      <c r="GK25" s="223" t="str">
        <f t="shared" si="43"/>
        <v/>
      </c>
      <c r="GL25" s="223" t="str">
        <f t="shared" si="44"/>
        <v/>
      </c>
      <c r="GM25" s="1506">
        <f t="shared" si="45"/>
        <v>0</v>
      </c>
      <c r="GN25" s="1446"/>
      <c r="GO25" s="1446">
        <f t="shared" si="20"/>
        <v>0</v>
      </c>
      <c r="GP25" s="1446" t="str">
        <f t="shared" si="46"/>
        <v/>
      </c>
      <c r="GQ25" s="1446" t="str">
        <f t="shared" si="47"/>
        <v/>
      </c>
      <c r="GR25" s="1446"/>
      <c r="GS25" s="1446"/>
      <c r="GT25" s="1446"/>
      <c r="GU25" s="1446"/>
      <c r="GV25" s="1446"/>
    </row>
    <row r="26" spans="1:204" ht="12.75" customHeight="1" x14ac:dyDescent="0.2">
      <c r="A26" s="2244"/>
      <c r="B26" s="2256" t="s">
        <v>832</v>
      </c>
      <c r="C26" s="2257"/>
      <c r="D26" s="2257"/>
      <c r="E26" s="2257"/>
      <c r="F26" s="2257"/>
      <c r="G26" s="2257"/>
      <c r="H26" s="2257"/>
      <c r="I26" s="2257"/>
      <c r="J26" s="2257"/>
      <c r="K26" s="2258"/>
      <c r="L26" s="1756" t="e">
        <f>IF(A18="Salaire heures normales réelles",0,'Retenue Fev'!R50*-1)</f>
        <v>#DIV/0!</v>
      </c>
      <c r="M26" s="2142"/>
      <c r="N26" s="2142"/>
      <c r="O26" s="2143"/>
      <c r="P26" s="1753" t="e">
        <f>+IF(L26,T26/L26,0)</f>
        <v>#DIV/0!</v>
      </c>
      <c r="Q26" s="1969"/>
      <c r="R26" s="1969"/>
      <c r="S26" s="1970"/>
      <c r="T26" s="1966">
        <f>IF(A18="Salaire heures normales réelles",0,'Retenue Fev'!R54*-1)</f>
        <v>0</v>
      </c>
      <c r="U26" s="1967"/>
      <c r="V26" s="1967"/>
      <c r="W26" s="1968"/>
      <c r="X26" s="221"/>
      <c r="Y26" s="221"/>
      <c r="Z26" s="221"/>
      <c r="AA26" s="885" t="str">
        <f>IF(AND(BE26="OUI",$AR$13=S.CAL!$CU$2),"►",IF(AND(EV26="OUI",$AR$13=S.CAL!$CU$3),"►",""))</f>
        <v/>
      </c>
      <c r="AB26" s="1760">
        <f>+$X$3+6</f>
        <v>46060</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46060</v>
      </c>
      <c r="AX26" s="1761"/>
      <c r="AY26" s="314"/>
      <c r="AZ26" s="1104"/>
      <c r="BA26" s="973"/>
      <c r="BB26" s="543"/>
      <c r="BC26" s="548">
        <f t="shared" si="23"/>
        <v>0</v>
      </c>
      <c r="BD26" s="1104"/>
      <c r="BE26" s="807">
        <f t="shared" si="24"/>
        <v>0</v>
      </c>
      <c r="BF26" s="1128"/>
      <c r="BG26" s="222"/>
      <c r="BH26" s="548" t="str">
        <f t="shared" si="25"/>
        <v/>
      </c>
      <c r="BI26" s="1128"/>
      <c r="BJ26" s="129" t="str">
        <f t="shared" si="26"/>
        <v>Fiche infoA6</v>
      </c>
      <c r="BK26" s="129">
        <f t="shared" si="49"/>
        <v>6</v>
      </c>
      <c r="BL26" s="129" t="str">
        <f t="shared" si="4"/>
        <v>A</v>
      </c>
      <c r="BM26" s="129">
        <f t="shared" si="50"/>
        <v>6</v>
      </c>
      <c r="BN26" s="223" t="str">
        <f t="shared" si="60"/>
        <v>Fiche info</v>
      </c>
      <c r="BO26" s="314" t="str">
        <f t="shared" si="51"/>
        <v/>
      </c>
      <c r="BP26" s="196" t="str">
        <f t="shared" si="52"/>
        <v/>
      </c>
      <c r="BQ26" s="206"/>
      <c r="BX26" s="577"/>
      <c r="BY26" s="1951" t="s">
        <v>1098</v>
      </c>
      <c r="BZ26" s="1951" t="s">
        <v>440</v>
      </c>
      <c r="CA26" s="2013" t="s">
        <v>1099</v>
      </c>
      <c r="CB26" s="447"/>
      <c r="CC26" s="447"/>
      <c r="CD26" s="447"/>
      <c r="CE26" s="447"/>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46060</v>
      </c>
      <c r="ER26" s="749">
        <f t="shared" si="10"/>
        <v>0</v>
      </c>
      <c r="ES26" s="750">
        <f t="shared" si="11"/>
        <v>0</v>
      </c>
      <c r="ET26" s="749">
        <f t="shared" si="12"/>
        <v>0</v>
      </c>
      <c r="EU26" s="750">
        <f t="shared" si="13"/>
        <v>0</v>
      </c>
      <c r="EV26" s="749" t="str">
        <f t="shared" si="14"/>
        <v/>
      </c>
      <c r="EW26" s="751">
        <f t="shared" si="29"/>
        <v>46060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6</v>
      </c>
      <c r="GA26" s="129">
        <f t="shared" si="39"/>
        <v>2026</v>
      </c>
      <c r="GB26" s="129" t="str">
        <f t="shared" si="40"/>
        <v>62026</v>
      </c>
      <c r="GC26" s="223">
        <f>IF(AND($GD$53=S.CAL!$P$3,$GD$52=FZ26),GE26,IF(BH26="",0,BH26))</f>
        <v>0</v>
      </c>
      <c r="GD26" s="129" t="str">
        <f>IFERROR(+Mars!$BY$2&amp;BL26&amp;BM26,0)</f>
        <v>Fiche infoA6</v>
      </c>
      <c r="GE26" s="129" t="str">
        <f t="shared" si="19"/>
        <v/>
      </c>
      <c r="GF26" s="223" t="str">
        <f t="shared" si="41"/>
        <v/>
      </c>
      <c r="GG26" s="1446" t="str">
        <f>+'Retenue Fev'!D24</f>
        <v/>
      </c>
      <c r="GH26" s="1446">
        <f>IF(Identification!$B$132="Non",+'Retenue Fev'!BF24,+'Retenue Fev'!BE24)</f>
        <v>0</v>
      </c>
      <c r="GI26" s="1446"/>
      <c r="GJ26" s="1507" t="str">
        <f t="shared" si="42"/>
        <v/>
      </c>
      <c r="GK26" s="223" t="str">
        <f t="shared" si="43"/>
        <v/>
      </c>
      <c r="GL26" s="223" t="str">
        <f t="shared" si="44"/>
        <v/>
      </c>
      <c r="GM26" s="1506">
        <f t="shared" si="45"/>
        <v>0</v>
      </c>
      <c r="GN26" s="1446"/>
      <c r="GO26" s="1446">
        <f t="shared" si="20"/>
        <v>0</v>
      </c>
      <c r="GP26" s="1446" t="str">
        <f t="shared" si="46"/>
        <v/>
      </c>
      <c r="GQ26" s="1446" t="str">
        <f t="shared" si="47"/>
        <v/>
      </c>
      <c r="GR26" s="1446"/>
      <c r="GS26" s="1446"/>
      <c r="GT26" s="1446"/>
      <c r="GU26" s="1446"/>
      <c r="GV26" s="1446"/>
    </row>
    <row r="27" spans="1:204"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46061</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46061</v>
      </c>
      <c r="AX27" s="1761"/>
      <c r="AY27" s="314"/>
      <c r="AZ27" s="1104"/>
      <c r="BA27" s="973"/>
      <c r="BB27" s="543"/>
      <c r="BC27" s="548">
        <f t="shared" si="23"/>
        <v>0</v>
      </c>
      <c r="BD27" s="1104"/>
      <c r="BE27" s="807">
        <f t="shared" si="24"/>
        <v>0</v>
      </c>
      <c r="BF27" s="1128"/>
      <c r="BG27" s="222"/>
      <c r="BH27" s="548" t="str">
        <f t="shared" si="25"/>
        <v/>
      </c>
      <c r="BI27" s="1128"/>
      <c r="BJ27" s="129" t="str">
        <f t="shared" si="26"/>
        <v>Fiche infoA7</v>
      </c>
      <c r="BK27" s="129">
        <f t="shared" si="49"/>
        <v>6</v>
      </c>
      <c r="BL27" s="129" t="str">
        <f t="shared" si="4"/>
        <v>A</v>
      </c>
      <c r="BM27" s="129">
        <f t="shared" si="50"/>
        <v>7</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46061</v>
      </c>
      <c r="ER27" s="749">
        <f t="shared" si="10"/>
        <v>0</v>
      </c>
      <c r="ES27" s="750">
        <f t="shared" si="11"/>
        <v>0</v>
      </c>
      <c r="ET27" s="749">
        <f t="shared" si="12"/>
        <v>0</v>
      </c>
      <c r="EU27" s="750">
        <f t="shared" si="13"/>
        <v>0</v>
      </c>
      <c r="EV27" s="749" t="str">
        <f t="shared" si="14"/>
        <v/>
      </c>
      <c r="EW27" s="751">
        <f t="shared" si="29"/>
        <v>46061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6</v>
      </c>
      <c r="GA27" s="129">
        <f t="shared" si="39"/>
        <v>2026</v>
      </c>
      <c r="GB27" s="129" t="str">
        <f t="shared" si="40"/>
        <v>62026</v>
      </c>
      <c r="GC27" s="223">
        <f>IF(AND($GD$53=S.CAL!$P$3,$GD$52=FZ27),GE27,IF(BH27="",0,BH27))</f>
        <v>0</v>
      </c>
      <c r="GD27" s="129" t="str">
        <f>IFERROR(+Mars!$BY$2&amp;BL27&amp;BM27,0)</f>
        <v>Fiche infoA7</v>
      </c>
      <c r="GE27" s="129" t="str">
        <f t="shared" si="19"/>
        <v/>
      </c>
      <c r="GF27" s="223" t="str">
        <f t="shared" si="41"/>
        <v/>
      </c>
      <c r="GG27" s="1446" t="str">
        <f>+'Retenue Fev'!D25</f>
        <v/>
      </c>
      <c r="GH27" s="1446">
        <f>IF(Identification!$B$132="Non",+'Retenue Fev'!BF25,+'Retenue Fev'!BE25)</f>
        <v>0</v>
      </c>
      <c r="GI27" s="1446"/>
      <c r="GJ27" s="1507" t="str">
        <f t="shared" si="42"/>
        <v/>
      </c>
      <c r="GK27" s="223" t="str">
        <f t="shared" si="43"/>
        <v/>
      </c>
      <c r="GL27" s="223" t="str">
        <f t="shared" si="44"/>
        <v/>
      </c>
      <c r="GM27" s="1506">
        <f t="shared" si="45"/>
        <v>0</v>
      </c>
      <c r="GN27" s="1446"/>
      <c r="GO27" s="1446">
        <f t="shared" si="20"/>
        <v>0</v>
      </c>
      <c r="GP27" s="1446" t="str">
        <f t="shared" si="46"/>
        <v/>
      </c>
      <c r="GQ27" s="1446" t="str">
        <f t="shared" si="47"/>
        <v/>
      </c>
      <c r="GR27" s="1446"/>
      <c r="GS27" s="1446"/>
      <c r="GT27" s="1446"/>
      <c r="GU27" s="1446"/>
      <c r="GV27" s="1446"/>
    </row>
    <row r="28" spans="1:204"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46062</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f t="shared" si="48"/>
        <v>7</v>
      </c>
      <c r="AQ28" s="322"/>
      <c r="AR28" s="1104"/>
      <c r="AS28" s="314">
        <f t="shared" si="3"/>
        <v>0</v>
      </c>
      <c r="AT28" s="1125"/>
      <c r="AU28" s="1125"/>
      <c r="AV28" s="314"/>
      <c r="AW28" s="1791">
        <f t="shared" si="22"/>
        <v>46062</v>
      </c>
      <c r="AX28" s="1761"/>
      <c r="AY28" s="314"/>
      <c r="AZ28" s="1104"/>
      <c r="BA28" s="973"/>
      <c r="BB28" s="543"/>
      <c r="BC28" s="548">
        <f t="shared" si="23"/>
        <v>0</v>
      </c>
      <c r="BD28" s="1104"/>
      <c r="BE28" s="807">
        <f t="shared" si="24"/>
        <v>0</v>
      </c>
      <c r="BF28" s="1128"/>
      <c r="BG28" s="222"/>
      <c r="BH28" s="548" t="str">
        <f t="shared" si="25"/>
        <v/>
      </c>
      <c r="BI28" s="1128"/>
      <c r="BJ28" s="129" t="str">
        <f t="shared" si="26"/>
        <v>Fiche infoA1</v>
      </c>
      <c r="BK28" s="129">
        <f t="shared" si="49"/>
        <v>7</v>
      </c>
      <c r="BL28" s="129" t="str">
        <f t="shared" si="4"/>
        <v>A</v>
      </c>
      <c r="BM28" s="129">
        <f t="shared" si="50"/>
        <v>1</v>
      </c>
      <c r="BN28" s="223" t="str">
        <f t="shared" si="60"/>
        <v>Fiche info</v>
      </c>
      <c r="BO28" s="314" t="str">
        <f t="shared" si="51"/>
        <v/>
      </c>
      <c r="BP28" s="196" t="str">
        <f t="shared" si="52"/>
        <v/>
      </c>
      <c r="BQ28" s="196"/>
      <c r="BS28" s="2100" t="str">
        <f>+"Semaine numéro : "&amp;AT4</f>
        <v>Semaine numéro : 5</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+SUMIF(Janvier!$BK$20:$BK$50,AT4,Janvier!$AM$20:$AO$50)</f>
        <v>0</v>
      </c>
      <c r="CD28" s="196">
        <f>+SUMIF(Mars!$BK$20:$BK$50,AT4,Mars!$AM$20:$AO$50)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741">
        <f>+GO57</f>
        <v>0</v>
      </c>
      <c r="EQ28" s="748">
        <f t="shared" si="53"/>
        <v>46062</v>
      </c>
      <c r="ER28" s="749">
        <f t="shared" si="10"/>
        <v>0</v>
      </c>
      <c r="ES28" s="750">
        <f t="shared" si="11"/>
        <v>0</v>
      </c>
      <c r="ET28" s="749">
        <f t="shared" si="12"/>
        <v>0</v>
      </c>
      <c r="EU28" s="750">
        <f t="shared" si="13"/>
        <v>0</v>
      </c>
      <c r="EV28" s="749" t="str">
        <f t="shared" si="14"/>
        <v/>
      </c>
      <c r="EW28" s="751">
        <f t="shared" si="29"/>
        <v>46062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7</v>
      </c>
      <c r="GA28" s="129">
        <f t="shared" si="39"/>
        <v>2026</v>
      </c>
      <c r="GB28" s="129" t="str">
        <f t="shared" si="40"/>
        <v>72026</v>
      </c>
      <c r="GC28" s="223">
        <f>IF(AND($GD$53=S.CAL!$P$3,$GD$52=FZ28),GE28,IF(BH28="",0,BH28))</f>
        <v>0</v>
      </c>
      <c r="GD28" s="129" t="str">
        <f>IFERROR(+Mars!$BY$2&amp;BL28&amp;BM28,0)</f>
        <v>Fiche infoA1</v>
      </c>
      <c r="GE28" s="129" t="str">
        <f t="shared" si="19"/>
        <v/>
      </c>
      <c r="GF28" s="223" t="str">
        <f t="shared" si="41"/>
        <v/>
      </c>
      <c r="GG28" s="1446" t="str">
        <f>+'Retenue Fev'!D26</f>
        <v/>
      </c>
      <c r="GH28" s="1446">
        <f>IF(Identification!$B$132="Non",+'Retenue Fev'!BF26,+'Retenue Fev'!BE26)</f>
        <v>0</v>
      </c>
      <c r="GI28" s="1446"/>
      <c r="GJ28" s="1507" t="str">
        <f t="shared" si="42"/>
        <v/>
      </c>
      <c r="GK28" s="223" t="str">
        <f t="shared" si="43"/>
        <v/>
      </c>
      <c r="GL28" s="223" t="str">
        <f t="shared" si="44"/>
        <v/>
      </c>
      <c r="GM28" s="1506">
        <f t="shared" si="45"/>
        <v>0</v>
      </c>
      <c r="GN28" s="1446"/>
      <c r="GO28" s="1446">
        <f t="shared" si="20"/>
        <v>0</v>
      </c>
      <c r="GP28" s="1446" t="str">
        <f t="shared" si="46"/>
        <v/>
      </c>
      <c r="GQ28" s="1446" t="str">
        <f t="shared" si="47"/>
        <v/>
      </c>
      <c r="GR28" s="1446"/>
      <c r="GS28" s="1446"/>
      <c r="GT28" s="1446"/>
      <c r="GU28" s="1446"/>
      <c r="GV28" s="1446"/>
    </row>
    <row r="29" spans="1:204"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46063</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46063</v>
      </c>
      <c r="AX29" s="1761"/>
      <c r="AY29" s="314"/>
      <c r="AZ29" s="1104"/>
      <c r="BA29" s="973"/>
      <c r="BB29" s="543"/>
      <c r="BC29" s="548">
        <f t="shared" si="23"/>
        <v>0</v>
      </c>
      <c r="BD29" s="1104"/>
      <c r="BE29" s="807">
        <f t="shared" si="24"/>
        <v>0</v>
      </c>
      <c r="BF29" s="1128"/>
      <c r="BG29" s="222"/>
      <c r="BH29" s="548" t="str">
        <f t="shared" si="25"/>
        <v/>
      </c>
      <c r="BI29" s="1128"/>
      <c r="BJ29" s="129" t="str">
        <f t="shared" si="26"/>
        <v>Fiche infoA2</v>
      </c>
      <c r="BK29" s="129">
        <f t="shared" si="49"/>
        <v>7</v>
      </c>
      <c r="BL29" s="129" t="str">
        <f t="shared" si="4"/>
        <v>A</v>
      </c>
      <c r="BM29" s="129">
        <f t="shared" si="50"/>
        <v>2</v>
      </c>
      <c r="BN29" s="223" t="str">
        <f t="shared" si="60"/>
        <v>Fiche info</v>
      </c>
      <c r="BO29" s="314" t="str">
        <f t="shared" si="51"/>
        <v/>
      </c>
      <c r="BP29" s="196" t="str">
        <f t="shared" si="52"/>
        <v/>
      </c>
      <c r="BQ29" s="196"/>
      <c r="BS29" s="2100" t="str">
        <f t="shared" ref="BS29:BS33" si="64">+"Semaine numéro : "&amp;AT5</f>
        <v>Semaine numéro : 6</v>
      </c>
      <c r="BT29" s="2101"/>
      <c r="BU29" s="2101"/>
      <c r="BV29" s="2101"/>
      <c r="BW29" s="2101"/>
      <c r="BX29" s="2102"/>
      <c r="BY29" s="1115"/>
      <c r="BZ29" s="656">
        <f t="shared" ref="BZ29:BZ33" si="65">+IF(BY29="",IF(AND(CC29&gt;0,CB29&gt;0),CC29+CB29,IF(CD29&gt;0,0,CB29)),BY29)</f>
        <v>0</v>
      </c>
      <c r="CA29" s="655">
        <f t="shared" si="62"/>
        <v>0</v>
      </c>
      <c r="CB29" s="196">
        <f t="shared" si="63"/>
        <v>0</v>
      </c>
      <c r="CC29" s="196">
        <f>+SUMIF(Janvier!$BK$20:$BK$50,AT5,Janvier!$AM$20:$AO$50)</f>
        <v>0</v>
      </c>
      <c r="CD29" s="196">
        <f>+SUMIF(Mars!$BK$20:$BK$50,AT5,Mars!$AM$20:$AO$50)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46063</v>
      </c>
      <c r="ER29" s="749">
        <f t="shared" si="10"/>
        <v>0</v>
      </c>
      <c r="ES29" s="750">
        <f t="shared" si="11"/>
        <v>0</v>
      </c>
      <c r="ET29" s="749">
        <f t="shared" si="12"/>
        <v>0</v>
      </c>
      <c r="EU29" s="750">
        <f t="shared" si="13"/>
        <v>0</v>
      </c>
      <c r="EV29" s="749" t="str">
        <f t="shared" si="14"/>
        <v/>
      </c>
      <c r="EW29" s="751">
        <f t="shared" si="29"/>
        <v>46063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7</v>
      </c>
      <c r="GA29" s="129">
        <f t="shared" si="39"/>
        <v>2026</v>
      </c>
      <c r="GB29" s="129" t="str">
        <f t="shared" si="40"/>
        <v>72026</v>
      </c>
      <c r="GC29" s="223">
        <f>IF(AND($GD$53=S.CAL!$P$3,$GD$52=FZ29),GE29,IF(BH29="",0,BH29))</f>
        <v>0</v>
      </c>
      <c r="GD29" s="129" t="str">
        <f>IFERROR(+Mars!$BY$2&amp;BL29&amp;BM29,0)</f>
        <v>Fiche infoA2</v>
      </c>
      <c r="GE29" s="129" t="str">
        <f t="shared" si="19"/>
        <v/>
      </c>
      <c r="GF29" s="223" t="str">
        <f t="shared" si="41"/>
        <v/>
      </c>
      <c r="GG29" s="1446" t="str">
        <f>+'Retenue Fev'!D27</f>
        <v/>
      </c>
      <c r="GH29" s="1446">
        <f>IF(Identification!$B$132="Non",+'Retenue Fev'!BF27,+'Retenue Fev'!BE27)</f>
        <v>0</v>
      </c>
      <c r="GI29" s="1446"/>
      <c r="GJ29" s="1507" t="str">
        <f t="shared" si="42"/>
        <v/>
      </c>
      <c r="GK29" s="223" t="str">
        <f t="shared" si="43"/>
        <v/>
      </c>
      <c r="GL29" s="223" t="str">
        <f t="shared" si="44"/>
        <v/>
      </c>
      <c r="GM29" s="1506">
        <f t="shared" si="45"/>
        <v>0</v>
      </c>
      <c r="GN29" s="1446"/>
      <c r="GO29" s="1446">
        <f t="shared" si="20"/>
        <v>0</v>
      </c>
      <c r="GP29" s="1446" t="str">
        <f t="shared" si="46"/>
        <v/>
      </c>
      <c r="GQ29" s="1446" t="str">
        <f t="shared" si="47"/>
        <v/>
      </c>
      <c r="GR29" s="1446"/>
      <c r="GS29" s="1446"/>
      <c r="GT29" s="1446"/>
      <c r="GU29" s="1446"/>
      <c r="GV29" s="1446"/>
    </row>
    <row r="30" spans="1:204"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46064</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46064</v>
      </c>
      <c r="AX30" s="1761"/>
      <c r="AY30" s="314"/>
      <c r="AZ30" s="1104"/>
      <c r="BA30" s="973"/>
      <c r="BB30" s="543"/>
      <c r="BC30" s="548">
        <f t="shared" si="23"/>
        <v>0</v>
      </c>
      <c r="BD30" s="1104"/>
      <c r="BE30" s="807">
        <f t="shared" si="24"/>
        <v>0</v>
      </c>
      <c r="BF30" s="1128"/>
      <c r="BG30" s="222"/>
      <c r="BH30" s="548" t="str">
        <f t="shared" si="25"/>
        <v/>
      </c>
      <c r="BI30" s="1128"/>
      <c r="BJ30" s="129" t="str">
        <f t="shared" si="26"/>
        <v>Fiche infoA3</v>
      </c>
      <c r="BK30" s="129">
        <f t="shared" si="49"/>
        <v>7</v>
      </c>
      <c r="BL30" s="129" t="str">
        <f t="shared" si="4"/>
        <v>A</v>
      </c>
      <c r="BM30" s="129">
        <f t="shared" si="50"/>
        <v>3</v>
      </c>
      <c r="BN30" s="223" t="str">
        <f t="shared" si="60"/>
        <v>Fiche info</v>
      </c>
      <c r="BO30" s="314" t="str">
        <f t="shared" si="51"/>
        <v/>
      </c>
      <c r="BP30" s="196" t="str">
        <f t="shared" si="52"/>
        <v/>
      </c>
      <c r="BQ30" s="196"/>
      <c r="BS30" s="2100" t="str">
        <f t="shared" si="64"/>
        <v>Semaine numéro : 7</v>
      </c>
      <c r="BT30" s="2101"/>
      <c r="BU30" s="2101"/>
      <c r="BV30" s="2101"/>
      <c r="BW30" s="2101"/>
      <c r="BX30" s="2102"/>
      <c r="BY30" s="1115"/>
      <c r="BZ30" s="656">
        <f t="shared" si="65"/>
        <v>0</v>
      </c>
      <c r="CA30" s="655">
        <f t="shared" si="62"/>
        <v>0</v>
      </c>
      <c r="CB30" s="196">
        <f t="shared" si="63"/>
        <v>0</v>
      </c>
      <c r="CC30" s="196">
        <f>+SUMIF(Janvier!$BK$20:$BK$50,AT6,Janvier!$AM$20:$AO$50)</f>
        <v>0</v>
      </c>
      <c r="CD30" s="196">
        <f>+SUMIF(Mars!$BK$20:$BK$50,AT6,Mars!$AM$20:$AO$50)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46064</v>
      </c>
      <c r="ER30" s="749">
        <f t="shared" si="10"/>
        <v>0</v>
      </c>
      <c r="ES30" s="750">
        <f t="shared" si="11"/>
        <v>0</v>
      </c>
      <c r="ET30" s="749">
        <f t="shared" si="12"/>
        <v>0</v>
      </c>
      <c r="EU30" s="750">
        <f t="shared" si="13"/>
        <v>0</v>
      </c>
      <c r="EV30" s="749" t="str">
        <f t="shared" si="14"/>
        <v/>
      </c>
      <c r="EW30" s="751">
        <f t="shared" si="29"/>
        <v>46064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7</v>
      </c>
      <c r="GA30" s="129">
        <f t="shared" si="39"/>
        <v>2026</v>
      </c>
      <c r="GB30" s="129" t="str">
        <f t="shared" si="40"/>
        <v>72026</v>
      </c>
      <c r="GC30" s="223">
        <f>IF(AND($GD$53=S.CAL!$P$3,$GD$52=FZ30),GE30,IF(BH30="",0,BH30))</f>
        <v>0</v>
      </c>
      <c r="GD30" s="129" t="str">
        <f>IFERROR(+Mars!$BY$2&amp;BL30&amp;BM30,0)</f>
        <v>Fiche infoA3</v>
      </c>
      <c r="GE30" s="129" t="str">
        <f t="shared" si="19"/>
        <v/>
      </c>
      <c r="GF30" s="223" t="str">
        <f t="shared" si="41"/>
        <v/>
      </c>
      <c r="GG30" s="1446" t="str">
        <f>+'Retenue Fev'!D28</f>
        <v/>
      </c>
      <c r="GH30" s="1446">
        <f>IF(Identification!$B$132="Non",+'Retenue Fev'!BF28,+'Retenue Fev'!BE28)</f>
        <v>0</v>
      </c>
      <c r="GI30" s="1446"/>
      <c r="GJ30" s="1507" t="str">
        <f t="shared" si="42"/>
        <v/>
      </c>
      <c r="GK30" s="223" t="str">
        <f t="shared" si="43"/>
        <v/>
      </c>
      <c r="GL30" s="223" t="str">
        <f t="shared" si="44"/>
        <v/>
      </c>
      <c r="GM30" s="1506">
        <f t="shared" si="45"/>
        <v>0</v>
      </c>
      <c r="GN30" s="1446"/>
      <c r="GO30" s="1446">
        <f t="shared" si="20"/>
        <v>0</v>
      </c>
      <c r="GP30" s="1446" t="str">
        <f t="shared" si="46"/>
        <v/>
      </c>
      <c r="GQ30" s="1446" t="str">
        <f t="shared" si="47"/>
        <v/>
      </c>
      <c r="GR30" s="1446"/>
      <c r="GS30" s="1446"/>
      <c r="GT30" s="1446"/>
      <c r="GU30" s="1446"/>
      <c r="GV30" s="1446"/>
    </row>
    <row r="31" spans="1:204"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46065</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46065</v>
      </c>
      <c r="AX31" s="1761"/>
      <c r="AY31" s="314"/>
      <c r="AZ31" s="1104"/>
      <c r="BA31" s="973"/>
      <c r="BB31" s="543"/>
      <c r="BC31" s="548">
        <f t="shared" si="23"/>
        <v>0</v>
      </c>
      <c r="BD31" s="1104"/>
      <c r="BE31" s="807">
        <f t="shared" si="24"/>
        <v>0</v>
      </c>
      <c r="BF31" s="1128"/>
      <c r="BG31" s="222"/>
      <c r="BH31" s="548" t="str">
        <f t="shared" si="25"/>
        <v/>
      </c>
      <c r="BI31" s="1128"/>
      <c r="BJ31" s="129" t="str">
        <f t="shared" si="26"/>
        <v>Fiche infoA4</v>
      </c>
      <c r="BK31" s="129">
        <f t="shared" si="49"/>
        <v>7</v>
      </c>
      <c r="BL31" s="129" t="str">
        <f t="shared" si="4"/>
        <v>A</v>
      </c>
      <c r="BM31" s="129">
        <f t="shared" si="50"/>
        <v>4</v>
      </c>
      <c r="BN31" s="223" t="str">
        <f t="shared" si="60"/>
        <v>Fiche info</v>
      </c>
      <c r="BO31" s="314" t="str">
        <f t="shared" si="51"/>
        <v/>
      </c>
      <c r="BP31" s="196" t="str">
        <f t="shared" si="52"/>
        <v/>
      </c>
      <c r="BQ31" s="196"/>
      <c r="BS31" s="2100" t="str">
        <f t="shared" si="64"/>
        <v>Semaine numéro : 8</v>
      </c>
      <c r="BT31" s="2101"/>
      <c r="BU31" s="2101"/>
      <c r="BV31" s="2101"/>
      <c r="BW31" s="2101"/>
      <c r="BX31" s="2102"/>
      <c r="BY31" s="1115"/>
      <c r="BZ31" s="656">
        <f t="shared" si="65"/>
        <v>0</v>
      </c>
      <c r="CA31" s="655">
        <f t="shared" si="62"/>
        <v>0</v>
      </c>
      <c r="CB31" s="196">
        <f t="shared" si="63"/>
        <v>0</v>
      </c>
      <c r="CC31" s="196">
        <f>+SUMIF(Janvier!$BK$20:$BK$50,AT7,Janvier!$AM$20:$AO$50)</f>
        <v>0</v>
      </c>
      <c r="CD31" s="196">
        <f>+SUMIF(Mars!$BK$20:$BK$50,AT7,Mars!$AM$20:$AO$50)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46065</v>
      </c>
      <c r="ER31" s="749">
        <f t="shared" si="10"/>
        <v>0</v>
      </c>
      <c r="ES31" s="750">
        <f t="shared" si="11"/>
        <v>0</v>
      </c>
      <c r="ET31" s="749">
        <f t="shared" si="12"/>
        <v>0</v>
      </c>
      <c r="EU31" s="750">
        <f t="shared" si="13"/>
        <v>0</v>
      </c>
      <c r="EV31" s="749" t="str">
        <f t="shared" si="14"/>
        <v/>
      </c>
      <c r="EW31" s="751">
        <f t="shared" si="29"/>
        <v>46065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7</v>
      </c>
      <c r="GA31" s="129">
        <f t="shared" si="39"/>
        <v>2026</v>
      </c>
      <c r="GB31" s="129" t="str">
        <f t="shared" si="40"/>
        <v>72026</v>
      </c>
      <c r="GC31" s="223">
        <f>IF(AND($GD$53=S.CAL!$P$3,$GD$52=FZ31),GE31,IF(BH31="",0,BH31))</f>
        <v>0</v>
      </c>
      <c r="GD31" s="129" t="str">
        <f>IFERROR(+Mars!$BY$2&amp;BL31&amp;BM31,0)</f>
        <v>Fiche infoA4</v>
      </c>
      <c r="GE31" s="129" t="str">
        <f t="shared" si="19"/>
        <v/>
      </c>
      <c r="GF31" s="223" t="str">
        <f t="shared" si="41"/>
        <v/>
      </c>
      <c r="GG31" s="1446" t="str">
        <f>+'Retenue Fev'!D29</f>
        <v/>
      </c>
      <c r="GH31" s="1446">
        <f>IF(Identification!$B$132="Non",+'Retenue Fev'!BF29,+'Retenue Fev'!BE29)</f>
        <v>0</v>
      </c>
      <c r="GI31" s="1446"/>
      <c r="GJ31" s="1507" t="str">
        <f t="shared" si="42"/>
        <v/>
      </c>
      <c r="GK31" s="223" t="str">
        <f t="shared" si="43"/>
        <v/>
      </c>
      <c r="GL31" s="223" t="str">
        <f t="shared" si="44"/>
        <v/>
      </c>
      <c r="GM31" s="1506">
        <f t="shared" si="45"/>
        <v>0</v>
      </c>
      <c r="GN31" s="1446"/>
      <c r="GO31" s="1446">
        <f t="shared" si="20"/>
        <v>0</v>
      </c>
      <c r="GP31" s="1446" t="str">
        <f t="shared" si="46"/>
        <v/>
      </c>
      <c r="GQ31" s="1446" t="str">
        <f t="shared" si="47"/>
        <v/>
      </c>
      <c r="GR31" s="1446"/>
      <c r="GS31" s="1446"/>
      <c r="GT31" s="1446"/>
      <c r="GU31" s="1446"/>
      <c r="GV31" s="1446"/>
    </row>
    <row r="32" spans="1:204"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46066</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46066</v>
      </c>
      <c r="AX32" s="1761"/>
      <c r="AY32" s="314"/>
      <c r="AZ32" s="1104"/>
      <c r="BA32" s="973"/>
      <c r="BB32" s="543"/>
      <c r="BC32" s="548">
        <f t="shared" si="23"/>
        <v>0</v>
      </c>
      <c r="BD32" s="1104"/>
      <c r="BE32" s="807">
        <f t="shared" si="24"/>
        <v>0</v>
      </c>
      <c r="BF32" s="1128"/>
      <c r="BG32" s="222"/>
      <c r="BH32" s="548" t="str">
        <f t="shared" si="25"/>
        <v/>
      </c>
      <c r="BI32" s="1128"/>
      <c r="BJ32" s="129" t="str">
        <f t="shared" si="26"/>
        <v>Fiche infoA5</v>
      </c>
      <c r="BK32" s="129">
        <f t="shared" si="49"/>
        <v>7</v>
      </c>
      <c r="BL32" s="129" t="str">
        <f t="shared" si="4"/>
        <v>A</v>
      </c>
      <c r="BM32" s="129">
        <f t="shared" si="50"/>
        <v>5</v>
      </c>
      <c r="BN32" s="223" t="str">
        <f t="shared" si="60"/>
        <v>Fiche info</v>
      </c>
      <c r="BO32" s="314" t="str">
        <f t="shared" si="51"/>
        <v/>
      </c>
      <c r="BP32" s="196" t="str">
        <f t="shared" si="52"/>
        <v/>
      </c>
      <c r="BQ32" s="196"/>
      <c r="BS32" s="2100" t="str">
        <f t="shared" si="64"/>
        <v>Semaine numéro : 9</v>
      </c>
      <c r="BT32" s="2101"/>
      <c r="BU32" s="2101"/>
      <c r="BV32" s="2101"/>
      <c r="BW32" s="2101"/>
      <c r="BX32" s="2102"/>
      <c r="BY32" s="1115"/>
      <c r="BZ32" s="656">
        <f t="shared" si="65"/>
        <v>0</v>
      </c>
      <c r="CA32" s="655">
        <f t="shared" si="62"/>
        <v>0</v>
      </c>
      <c r="CB32" s="196">
        <f t="shared" si="63"/>
        <v>0</v>
      </c>
      <c r="CC32" s="196">
        <f>+SUMIF(Janvier!$BK$20:$BK$50,AT8,Janvier!$AM$20:$AO$50)</f>
        <v>0</v>
      </c>
      <c r="CD32" s="196">
        <f>+SUMIF(Mars!$BK$20:$BK$50,AT8,Mars!$AM$20:$AO$50)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46066</v>
      </c>
      <c r="ER32" s="749">
        <f t="shared" si="10"/>
        <v>0</v>
      </c>
      <c r="ES32" s="750">
        <f t="shared" si="11"/>
        <v>0</v>
      </c>
      <c r="ET32" s="749">
        <f t="shared" si="12"/>
        <v>0</v>
      </c>
      <c r="EU32" s="750">
        <f t="shared" si="13"/>
        <v>0</v>
      </c>
      <c r="EV32" s="749" t="str">
        <f t="shared" si="14"/>
        <v/>
      </c>
      <c r="EW32" s="751">
        <f t="shared" si="29"/>
        <v>46066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7</v>
      </c>
      <c r="GA32" s="129">
        <f t="shared" si="39"/>
        <v>2026</v>
      </c>
      <c r="GB32" s="129" t="str">
        <f t="shared" si="40"/>
        <v>72026</v>
      </c>
      <c r="GC32" s="223">
        <f>IF(AND($GD$53=S.CAL!$P$3,$GD$52=FZ32),GE32,IF(BH32="",0,BH32))</f>
        <v>0</v>
      </c>
      <c r="GD32" s="129" t="str">
        <f>IFERROR(+Mars!$BY$2&amp;BL32&amp;BM32,0)</f>
        <v>Fiche infoA5</v>
      </c>
      <c r="GE32" s="129" t="str">
        <f t="shared" si="19"/>
        <v/>
      </c>
      <c r="GF32" s="223" t="str">
        <f t="shared" si="41"/>
        <v/>
      </c>
      <c r="GG32" s="1446" t="str">
        <f>+'Retenue Fev'!D30</f>
        <v/>
      </c>
      <c r="GH32" s="1446">
        <f>IF(Identification!$B$132="Non",+'Retenue Fev'!BF30,+'Retenue Fev'!BE30)</f>
        <v>0</v>
      </c>
      <c r="GI32" s="1446"/>
      <c r="GJ32" s="1507" t="str">
        <f t="shared" si="42"/>
        <v/>
      </c>
      <c r="GK32" s="223" t="str">
        <f t="shared" si="43"/>
        <v/>
      </c>
      <c r="GL32" s="223" t="str">
        <f t="shared" si="44"/>
        <v/>
      </c>
      <c r="GM32" s="1506">
        <f t="shared" si="45"/>
        <v>0</v>
      </c>
      <c r="GN32" s="1446"/>
      <c r="GO32" s="1446">
        <f t="shared" si="20"/>
        <v>0</v>
      </c>
      <c r="GP32" s="1446" t="str">
        <f t="shared" si="46"/>
        <v/>
      </c>
      <c r="GQ32" s="1446" t="str">
        <f t="shared" si="47"/>
        <v/>
      </c>
      <c r="GR32" s="1446"/>
      <c r="GS32" s="1446"/>
      <c r="GT32" s="1446"/>
      <c r="GU32" s="1446"/>
      <c r="GV32" s="1446"/>
    </row>
    <row r="33" spans="1:204"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46067</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46067</v>
      </c>
      <c r="AX33" s="1761"/>
      <c r="AY33" s="314"/>
      <c r="AZ33" s="1104"/>
      <c r="BA33" s="973"/>
      <c r="BB33" s="543"/>
      <c r="BC33" s="548">
        <f t="shared" si="23"/>
        <v>0</v>
      </c>
      <c r="BD33" s="1104"/>
      <c r="BE33" s="807">
        <f t="shared" si="24"/>
        <v>0</v>
      </c>
      <c r="BF33" s="1128"/>
      <c r="BG33" s="222"/>
      <c r="BH33" s="548" t="str">
        <f t="shared" si="25"/>
        <v/>
      </c>
      <c r="BI33" s="1128"/>
      <c r="BJ33" s="129" t="str">
        <f t="shared" si="26"/>
        <v>Fiche infoA6</v>
      </c>
      <c r="BK33" s="129">
        <f t="shared" si="49"/>
        <v>7</v>
      </c>
      <c r="BL33" s="129" t="str">
        <f t="shared" si="4"/>
        <v>A</v>
      </c>
      <c r="BM33" s="129">
        <f t="shared" si="50"/>
        <v>6</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+SUMIF(Janvier!$BK$20:$BK$50,AT9,Janvier!$AM$20:$AO$50)</f>
        <v>0</v>
      </c>
      <c r="CD33" s="196">
        <f>+SUMIF(Mars!$BK$20:$BK$50,AT9,Mars!$AM$20:$AO$50)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46067</v>
      </c>
      <c r="ER33" s="749">
        <f t="shared" si="10"/>
        <v>0</v>
      </c>
      <c r="ES33" s="750">
        <f t="shared" si="11"/>
        <v>0</v>
      </c>
      <c r="ET33" s="749">
        <f t="shared" si="12"/>
        <v>0</v>
      </c>
      <c r="EU33" s="750">
        <f t="shared" si="13"/>
        <v>0</v>
      </c>
      <c r="EV33" s="749" t="str">
        <f t="shared" si="14"/>
        <v/>
      </c>
      <c r="EW33" s="751">
        <f t="shared" si="29"/>
        <v>46067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7</v>
      </c>
      <c r="GA33" s="129">
        <f t="shared" si="39"/>
        <v>2026</v>
      </c>
      <c r="GB33" s="129" t="str">
        <f t="shared" si="40"/>
        <v>72026</v>
      </c>
      <c r="GC33" s="223">
        <f>IF(AND($GD$53=S.CAL!$P$3,$GD$52=FZ33),GE33,IF(BH33="",0,BH33))</f>
        <v>0</v>
      </c>
      <c r="GD33" s="129" t="str">
        <f>IFERROR(+Mars!$BY$2&amp;BL33&amp;BM33,0)</f>
        <v>Fiche infoA6</v>
      </c>
      <c r="GE33" s="129" t="str">
        <f t="shared" si="19"/>
        <v/>
      </c>
      <c r="GF33" s="223" t="str">
        <f t="shared" si="41"/>
        <v/>
      </c>
      <c r="GG33" s="1446" t="str">
        <f>+'Retenue Fev'!D31</f>
        <v/>
      </c>
      <c r="GH33" s="1446">
        <f>IF(Identification!$B$132="Non",+'Retenue Fev'!BF31,+'Retenue Fev'!BE31)</f>
        <v>0</v>
      </c>
      <c r="GI33" s="1446"/>
      <c r="GJ33" s="1507" t="str">
        <f t="shared" si="42"/>
        <v/>
      </c>
      <c r="GK33" s="223" t="str">
        <f t="shared" si="43"/>
        <v/>
      </c>
      <c r="GL33" s="223" t="str">
        <f t="shared" si="44"/>
        <v/>
      </c>
      <c r="GM33" s="1506">
        <f t="shared" si="45"/>
        <v>0</v>
      </c>
      <c r="GN33" s="1446"/>
      <c r="GO33" s="1446">
        <f t="shared" si="20"/>
        <v>0</v>
      </c>
      <c r="GP33" s="1446" t="str">
        <f t="shared" si="46"/>
        <v/>
      </c>
      <c r="GQ33" s="1446" t="str">
        <f t="shared" si="47"/>
        <v/>
      </c>
      <c r="GR33" s="1446"/>
      <c r="GS33" s="1446"/>
      <c r="GT33" s="1446"/>
      <c r="GU33" s="1446"/>
      <c r="GV33" s="1446"/>
    </row>
    <row r="34" spans="1:204"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46068</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46068</v>
      </c>
      <c r="AX34" s="1761"/>
      <c r="AY34" s="314"/>
      <c r="AZ34" s="1104"/>
      <c r="BA34" s="973"/>
      <c r="BB34" s="543"/>
      <c r="BC34" s="548">
        <f t="shared" si="23"/>
        <v>0</v>
      </c>
      <c r="BD34" s="1104"/>
      <c r="BE34" s="807">
        <f t="shared" si="24"/>
        <v>0</v>
      </c>
      <c r="BF34" s="1128"/>
      <c r="BG34" s="222"/>
      <c r="BH34" s="548" t="str">
        <f t="shared" si="25"/>
        <v/>
      </c>
      <c r="BI34" s="1128"/>
      <c r="BJ34" s="129" t="str">
        <f t="shared" si="26"/>
        <v>Fiche infoA7</v>
      </c>
      <c r="BK34" s="129">
        <f t="shared" si="49"/>
        <v>7</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CB34" s="447"/>
      <c r="CC34" s="447"/>
      <c r="CD34" s="447"/>
      <c r="CE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46068</v>
      </c>
      <c r="ER34" s="749">
        <f t="shared" si="10"/>
        <v>0</v>
      </c>
      <c r="ES34" s="750">
        <f t="shared" si="11"/>
        <v>0</v>
      </c>
      <c r="ET34" s="749">
        <f t="shared" si="12"/>
        <v>0</v>
      </c>
      <c r="EU34" s="750">
        <f t="shared" si="13"/>
        <v>0</v>
      </c>
      <c r="EV34" s="749" t="str">
        <f t="shared" si="14"/>
        <v/>
      </c>
      <c r="EW34" s="751">
        <f t="shared" si="29"/>
        <v>46068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7</v>
      </c>
      <c r="GA34" s="129">
        <f t="shared" si="39"/>
        <v>2026</v>
      </c>
      <c r="GB34" s="129" t="str">
        <f t="shared" si="40"/>
        <v>72026</v>
      </c>
      <c r="GC34" s="223">
        <f>IF(AND($GD$53=S.CAL!$P$3,$GD$52=FZ34),GE34,IF(BH34="",0,BH34))</f>
        <v>0</v>
      </c>
      <c r="GD34" s="129" t="str">
        <f>IFERROR(+Mars!$BY$2&amp;BL34&amp;BM34,0)</f>
        <v>Fiche infoA7</v>
      </c>
      <c r="GE34" s="129" t="str">
        <f t="shared" si="19"/>
        <v/>
      </c>
      <c r="GF34" s="223" t="str">
        <f t="shared" si="41"/>
        <v/>
      </c>
      <c r="GG34" s="1446" t="str">
        <f>+'Retenue Fev'!D32</f>
        <v/>
      </c>
      <c r="GH34" s="1446">
        <f>IF(Identification!$B$132="Non",+'Retenue Fev'!BF32,+'Retenue Fev'!BE32)</f>
        <v>0</v>
      </c>
      <c r="GI34" s="1446"/>
      <c r="GJ34" s="1507" t="str">
        <f t="shared" si="42"/>
        <v/>
      </c>
      <c r="GK34" s="223" t="str">
        <f t="shared" si="43"/>
        <v/>
      </c>
      <c r="GL34" s="223" t="str">
        <f t="shared" si="44"/>
        <v/>
      </c>
      <c r="GM34" s="1506">
        <f t="shared" si="45"/>
        <v>0</v>
      </c>
      <c r="GN34" s="1446"/>
      <c r="GO34" s="1446">
        <f t="shared" si="20"/>
        <v>0</v>
      </c>
      <c r="GP34" s="1446" t="str">
        <f t="shared" si="46"/>
        <v/>
      </c>
      <c r="GQ34" s="1446" t="str">
        <f t="shared" si="47"/>
        <v/>
      </c>
      <c r="GR34" s="1446"/>
      <c r="GS34" s="1446"/>
      <c r="GT34" s="1446"/>
      <c r="GU34" s="1446"/>
      <c r="GV34" s="1446"/>
    </row>
    <row r="35" spans="1:204"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46069</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f t="shared" si="48"/>
        <v>8</v>
      </c>
      <c r="AQ35" s="322"/>
      <c r="AR35" s="1104"/>
      <c r="AS35" s="314">
        <f t="shared" si="3"/>
        <v>0</v>
      </c>
      <c r="AT35" s="1125"/>
      <c r="AU35" s="1125"/>
      <c r="AV35" s="314"/>
      <c r="AW35" s="1791">
        <f t="shared" si="22"/>
        <v>46069</v>
      </c>
      <c r="AX35" s="1761"/>
      <c r="AY35" s="314"/>
      <c r="AZ35" s="1104"/>
      <c r="BA35" s="973"/>
      <c r="BB35" s="543"/>
      <c r="BC35" s="548">
        <f t="shared" si="23"/>
        <v>0</v>
      </c>
      <c r="BD35" s="1104"/>
      <c r="BE35" s="807">
        <f t="shared" si="24"/>
        <v>0</v>
      </c>
      <c r="BF35" s="1128"/>
      <c r="BG35" s="222"/>
      <c r="BH35" s="548" t="str">
        <f t="shared" si="25"/>
        <v/>
      </c>
      <c r="BI35" s="1128"/>
      <c r="BJ35" s="129" t="str">
        <f t="shared" si="26"/>
        <v>Fiche infoA1</v>
      </c>
      <c r="BK35" s="129">
        <f t="shared" si="49"/>
        <v>8</v>
      </c>
      <c r="BL35" s="129" t="str">
        <f t="shared" si="4"/>
        <v>A</v>
      </c>
      <c r="BM35" s="129">
        <f t="shared" si="50"/>
        <v>1</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46069</v>
      </c>
      <c r="ER35" s="749">
        <f t="shared" si="10"/>
        <v>0</v>
      </c>
      <c r="ES35" s="750">
        <f t="shared" si="11"/>
        <v>0</v>
      </c>
      <c r="ET35" s="749">
        <f t="shared" si="12"/>
        <v>0</v>
      </c>
      <c r="EU35" s="750">
        <f t="shared" si="13"/>
        <v>0</v>
      </c>
      <c r="EV35" s="749" t="str">
        <f t="shared" si="14"/>
        <v/>
      </c>
      <c r="EW35" s="751">
        <f t="shared" si="29"/>
        <v>46069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8</v>
      </c>
      <c r="GA35" s="129">
        <f t="shared" si="39"/>
        <v>2026</v>
      </c>
      <c r="GB35" s="129" t="str">
        <f t="shared" si="40"/>
        <v>82026</v>
      </c>
      <c r="GC35" s="223">
        <f>IF(AND($GD$53=S.CAL!$P$3,$GD$52=FZ35),GE35,IF(BH35="",0,BH35))</f>
        <v>0</v>
      </c>
      <c r="GD35" s="129" t="str">
        <f>IFERROR(+Mars!$BY$2&amp;BL35&amp;BM35,0)</f>
        <v>Fiche infoA1</v>
      </c>
      <c r="GE35" s="129" t="str">
        <f t="shared" si="19"/>
        <v/>
      </c>
      <c r="GF35" s="223" t="str">
        <f t="shared" si="41"/>
        <v/>
      </c>
      <c r="GG35" s="1446" t="str">
        <f>+'Retenue Fev'!D33</f>
        <v/>
      </c>
      <c r="GH35" s="1446">
        <f>IF(Identification!$B$132="Non",+'Retenue Fev'!BF33,+'Retenue Fev'!BE33)</f>
        <v>0</v>
      </c>
      <c r="GI35" s="1446"/>
      <c r="GJ35" s="1507" t="str">
        <f t="shared" si="42"/>
        <v/>
      </c>
      <c r="GK35" s="223" t="str">
        <f t="shared" si="43"/>
        <v/>
      </c>
      <c r="GL35" s="223" t="str">
        <f t="shared" si="44"/>
        <v/>
      </c>
      <c r="GM35" s="1506">
        <f t="shared" si="45"/>
        <v>0</v>
      </c>
      <c r="GN35" s="1446"/>
      <c r="GO35" s="1446">
        <f t="shared" si="20"/>
        <v>0</v>
      </c>
      <c r="GP35" s="1446" t="str">
        <f t="shared" si="46"/>
        <v/>
      </c>
      <c r="GQ35" s="1446" t="str">
        <f t="shared" si="47"/>
        <v/>
      </c>
      <c r="GR35" s="1446"/>
      <c r="GS35" s="1446"/>
      <c r="GT35" s="1446"/>
      <c r="GU35" s="1446"/>
      <c r="GV35" s="1446"/>
    </row>
    <row r="36" spans="1:204" x14ac:dyDescent="0.2">
      <c r="X36" s="226"/>
      <c r="Y36" s="226"/>
      <c r="Z36" s="226"/>
      <c r="AA36" s="885" t="str">
        <f>IF(AND(BE36="OUI",$AR$13=S.CAL!$CU$2),"►",IF(AND(EV36="OUI",$AR$13=S.CAL!$CU$3),"►",""))</f>
        <v/>
      </c>
      <c r="AB36" s="1760">
        <f>+$X$3+16</f>
        <v>46070</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46070</v>
      </c>
      <c r="AX36" s="1761"/>
      <c r="AY36" s="314"/>
      <c r="AZ36" s="1104"/>
      <c r="BA36" s="973"/>
      <c r="BB36" s="543"/>
      <c r="BC36" s="548">
        <f t="shared" si="23"/>
        <v>0</v>
      </c>
      <c r="BD36" s="1104"/>
      <c r="BE36" s="807">
        <f t="shared" si="24"/>
        <v>0</v>
      </c>
      <c r="BF36" s="1128"/>
      <c r="BG36" s="222"/>
      <c r="BH36" s="548" t="str">
        <f t="shared" si="25"/>
        <v/>
      </c>
      <c r="BI36" s="1128"/>
      <c r="BJ36" s="129" t="str">
        <f t="shared" si="26"/>
        <v>Fiche infoA2</v>
      </c>
      <c r="BK36" s="129">
        <f t="shared" si="49"/>
        <v>8</v>
      </c>
      <c r="BL36" s="129" t="str">
        <f t="shared" si="4"/>
        <v>A</v>
      </c>
      <c r="BM36" s="129">
        <f t="shared" si="50"/>
        <v>2</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46070</v>
      </c>
      <c r="ER36" s="749">
        <f t="shared" si="10"/>
        <v>0</v>
      </c>
      <c r="ES36" s="750">
        <f t="shared" si="11"/>
        <v>0</v>
      </c>
      <c r="ET36" s="749">
        <f t="shared" si="12"/>
        <v>0</v>
      </c>
      <c r="EU36" s="750">
        <f t="shared" si="13"/>
        <v>0</v>
      </c>
      <c r="EV36" s="749" t="str">
        <f t="shared" si="14"/>
        <v/>
      </c>
      <c r="EW36" s="751">
        <f t="shared" si="29"/>
        <v>46070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8</v>
      </c>
      <c r="GA36" s="129">
        <f t="shared" si="39"/>
        <v>2026</v>
      </c>
      <c r="GB36" s="129" t="str">
        <f t="shared" si="40"/>
        <v>82026</v>
      </c>
      <c r="GC36" s="223">
        <f>IF(AND($GD$53=S.CAL!$P$3,$GD$52=FZ36),GE36,IF(BH36="",0,BH36))</f>
        <v>0</v>
      </c>
      <c r="GD36" s="129" t="str">
        <f>IFERROR(+Mars!$BY$2&amp;BL36&amp;BM36,0)</f>
        <v>Fiche infoA2</v>
      </c>
      <c r="GE36" s="129" t="str">
        <f t="shared" si="19"/>
        <v/>
      </c>
      <c r="GF36" s="223" t="str">
        <f t="shared" si="41"/>
        <v/>
      </c>
      <c r="GG36" s="1446" t="str">
        <f>+'Retenue Fev'!D34</f>
        <v/>
      </c>
      <c r="GH36" s="1446">
        <f>IF(Identification!$B$132="Non",+'Retenue Fev'!BF34,+'Retenue Fev'!BE34)</f>
        <v>0</v>
      </c>
      <c r="GI36" s="1446"/>
      <c r="GJ36" s="1507" t="str">
        <f t="shared" si="42"/>
        <v/>
      </c>
      <c r="GK36" s="223" t="str">
        <f t="shared" si="43"/>
        <v/>
      </c>
      <c r="GL36" s="223" t="str">
        <f t="shared" si="44"/>
        <v/>
      </c>
      <c r="GM36" s="1506">
        <f t="shared" si="45"/>
        <v>0</v>
      </c>
      <c r="GN36" s="1446"/>
      <c r="GO36" s="1446">
        <f t="shared" si="20"/>
        <v>0</v>
      </c>
      <c r="GP36" s="1446" t="str">
        <f t="shared" si="46"/>
        <v/>
      </c>
      <c r="GQ36" s="1446" t="str">
        <f t="shared" si="47"/>
        <v/>
      </c>
      <c r="GR36" s="1446"/>
      <c r="GS36" s="1446"/>
      <c r="GT36" s="1446"/>
      <c r="GU36" s="1446"/>
      <c r="GV36" s="1446"/>
    </row>
    <row r="37" spans="1:204"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46071</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46071</v>
      </c>
      <c r="AX37" s="1761"/>
      <c r="AY37" s="314"/>
      <c r="AZ37" s="1104"/>
      <c r="BA37" s="973"/>
      <c r="BB37" s="543"/>
      <c r="BC37" s="548">
        <f t="shared" si="23"/>
        <v>0</v>
      </c>
      <c r="BD37" s="1104"/>
      <c r="BE37" s="807">
        <f t="shared" si="24"/>
        <v>0</v>
      </c>
      <c r="BF37" s="1128"/>
      <c r="BG37" s="222"/>
      <c r="BH37" s="548" t="str">
        <f t="shared" si="25"/>
        <v/>
      </c>
      <c r="BI37" s="1128"/>
      <c r="BJ37" s="129" t="str">
        <f t="shared" si="26"/>
        <v>Fiche infoA3</v>
      </c>
      <c r="BK37" s="129">
        <f t="shared" si="49"/>
        <v>8</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46071</v>
      </c>
      <c r="ER37" s="749">
        <f t="shared" si="10"/>
        <v>0</v>
      </c>
      <c r="ES37" s="750">
        <f t="shared" si="11"/>
        <v>0</v>
      </c>
      <c r="ET37" s="749">
        <f t="shared" si="12"/>
        <v>0</v>
      </c>
      <c r="EU37" s="750">
        <f t="shared" si="13"/>
        <v>0</v>
      </c>
      <c r="EV37" s="749" t="str">
        <f t="shared" si="14"/>
        <v/>
      </c>
      <c r="EW37" s="751">
        <f t="shared" si="29"/>
        <v>46071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8</v>
      </c>
      <c r="GA37" s="129">
        <f t="shared" si="39"/>
        <v>2026</v>
      </c>
      <c r="GB37" s="129" t="str">
        <f t="shared" si="40"/>
        <v>82026</v>
      </c>
      <c r="GC37" s="223">
        <f>IF(AND($GD$53=S.CAL!$P$3,$GD$52=FZ37),GE37,IF(BH37="",0,BH37))</f>
        <v>0</v>
      </c>
      <c r="GD37" s="129" t="str">
        <f>IFERROR(+Mars!$BY$2&amp;BL37&amp;BM37,0)</f>
        <v>Fiche infoA3</v>
      </c>
      <c r="GE37" s="129" t="str">
        <f t="shared" si="19"/>
        <v/>
      </c>
      <c r="GF37" s="223" t="str">
        <f t="shared" si="41"/>
        <v/>
      </c>
      <c r="GG37" s="1446" t="str">
        <f>+'Retenue Fev'!D35</f>
        <v/>
      </c>
      <c r="GH37" s="1446">
        <f>IF(Identification!$B$132="Non",+'Retenue Fev'!BF35,+'Retenue Fev'!BE35)</f>
        <v>0</v>
      </c>
      <c r="GI37" s="1446"/>
      <c r="GJ37" s="1507" t="str">
        <f t="shared" si="42"/>
        <v/>
      </c>
      <c r="GK37" s="223" t="str">
        <f t="shared" si="43"/>
        <v/>
      </c>
      <c r="GL37" s="223" t="str">
        <f t="shared" si="44"/>
        <v/>
      </c>
      <c r="GM37" s="1506">
        <f t="shared" si="45"/>
        <v>0</v>
      </c>
      <c r="GN37" s="1446"/>
      <c r="GO37" s="1446">
        <f t="shared" si="20"/>
        <v>0</v>
      </c>
      <c r="GP37" s="1446" t="str">
        <f t="shared" si="46"/>
        <v/>
      </c>
      <c r="GQ37" s="1446" t="str">
        <f t="shared" si="47"/>
        <v/>
      </c>
      <c r="GR37" s="1446"/>
      <c r="GS37" s="1446"/>
      <c r="GT37" s="1446"/>
      <c r="GU37" s="1446"/>
      <c r="GV37" s="1446"/>
    </row>
    <row r="38" spans="1:204"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46072</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46072</v>
      </c>
      <c r="AX38" s="1761"/>
      <c r="AY38" s="314"/>
      <c r="AZ38" s="1104"/>
      <c r="BA38" s="973"/>
      <c r="BB38" s="543"/>
      <c r="BC38" s="548">
        <f t="shared" si="23"/>
        <v>0</v>
      </c>
      <c r="BD38" s="1104"/>
      <c r="BE38" s="807">
        <f t="shared" si="24"/>
        <v>0</v>
      </c>
      <c r="BF38" s="1128"/>
      <c r="BG38" s="222"/>
      <c r="BH38" s="548" t="str">
        <f t="shared" si="25"/>
        <v/>
      </c>
      <c r="BI38" s="1128"/>
      <c r="BJ38" s="129" t="str">
        <f t="shared" si="26"/>
        <v>Fiche infoA4</v>
      </c>
      <c r="BK38" s="129">
        <f t="shared" si="49"/>
        <v>8</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46072</v>
      </c>
      <c r="ER38" s="749">
        <f t="shared" si="10"/>
        <v>0</v>
      </c>
      <c r="ES38" s="750">
        <f t="shared" si="11"/>
        <v>0</v>
      </c>
      <c r="ET38" s="749">
        <f t="shared" si="12"/>
        <v>0</v>
      </c>
      <c r="EU38" s="750">
        <f t="shared" si="13"/>
        <v>0</v>
      </c>
      <c r="EV38" s="749" t="str">
        <f t="shared" si="14"/>
        <v/>
      </c>
      <c r="EW38" s="751">
        <f t="shared" si="29"/>
        <v>46072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8</v>
      </c>
      <c r="GA38" s="129">
        <f t="shared" si="39"/>
        <v>2026</v>
      </c>
      <c r="GB38" s="129" t="str">
        <f t="shared" si="40"/>
        <v>82026</v>
      </c>
      <c r="GC38" s="223">
        <f>IF(AND($GD$53=S.CAL!$P$3,$GD$52=FZ38),GE38,IF(BH38="",0,BH38))</f>
        <v>0</v>
      </c>
      <c r="GD38" s="129" t="str">
        <f>IFERROR(+Mars!$BY$2&amp;BL38&amp;BM38,0)</f>
        <v>Fiche infoA4</v>
      </c>
      <c r="GE38" s="129" t="str">
        <f t="shared" si="19"/>
        <v/>
      </c>
      <c r="GF38" s="223" t="str">
        <f t="shared" si="41"/>
        <v/>
      </c>
      <c r="GG38" s="1446" t="str">
        <f>+'Retenue Fev'!D36</f>
        <v/>
      </c>
      <c r="GH38" s="1446">
        <f>IF(Identification!$B$132="Non",+'Retenue Fev'!BF36,+'Retenue Fev'!BE36)</f>
        <v>0</v>
      </c>
      <c r="GI38" s="1446"/>
      <c r="GJ38" s="1507" t="str">
        <f t="shared" si="42"/>
        <v/>
      </c>
      <c r="GK38" s="223" t="str">
        <f t="shared" si="43"/>
        <v/>
      </c>
      <c r="GL38" s="223" t="str">
        <f t="shared" si="44"/>
        <v/>
      </c>
      <c r="GM38" s="1506">
        <f t="shared" si="45"/>
        <v>0</v>
      </c>
      <c r="GN38" s="1446"/>
      <c r="GO38" s="1446">
        <f t="shared" si="20"/>
        <v>0</v>
      </c>
      <c r="GP38" s="1446" t="str">
        <f t="shared" si="46"/>
        <v/>
      </c>
      <c r="GQ38" s="1446" t="str">
        <f t="shared" si="47"/>
        <v/>
      </c>
      <c r="GR38" s="1446"/>
      <c r="GS38" s="1446"/>
      <c r="GT38" s="1446"/>
      <c r="GU38" s="1446"/>
      <c r="GV38" s="1446"/>
    </row>
    <row r="39" spans="1:204"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46073</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46073</v>
      </c>
      <c r="AX39" s="1761"/>
      <c r="AY39" s="314"/>
      <c r="AZ39" s="1104"/>
      <c r="BA39" s="973"/>
      <c r="BB39" s="543"/>
      <c r="BC39" s="548">
        <f t="shared" si="23"/>
        <v>0</v>
      </c>
      <c r="BD39" s="1104"/>
      <c r="BE39" s="807">
        <f t="shared" si="24"/>
        <v>0</v>
      </c>
      <c r="BF39" s="1128"/>
      <c r="BG39" s="222"/>
      <c r="BH39" s="548" t="str">
        <f t="shared" si="25"/>
        <v/>
      </c>
      <c r="BI39" s="1128"/>
      <c r="BJ39" s="129" t="str">
        <f t="shared" si="26"/>
        <v>Fiche infoA5</v>
      </c>
      <c r="BK39" s="129">
        <f t="shared" si="49"/>
        <v>8</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46073</v>
      </c>
      <c r="ER39" s="749">
        <f t="shared" si="10"/>
        <v>0</v>
      </c>
      <c r="ES39" s="750">
        <f t="shared" si="11"/>
        <v>0</v>
      </c>
      <c r="ET39" s="749">
        <f t="shared" si="12"/>
        <v>0</v>
      </c>
      <c r="EU39" s="750">
        <f t="shared" si="13"/>
        <v>0</v>
      </c>
      <c r="EV39" s="749" t="str">
        <f t="shared" si="14"/>
        <v/>
      </c>
      <c r="EW39" s="751">
        <f t="shared" si="29"/>
        <v>46073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8</v>
      </c>
      <c r="GA39" s="129">
        <f t="shared" si="39"/>
        <v>2026</v>
      </c>
      <c r="GB39" s="129" t="str">
        <f t="shared" si="40"/>
        <v>82026</v>
      </c>
      <c r="GC39" s="223">
        <f>IF(AND($GD$53=S.CAL!$P$3,$GD$52=FZ39),GE39,IF(BH39="",0,BH39))</f>
        <v>0</v>
      </c>
      <c r="GD39" s="129" t="str">
        <f>IFERROR(+Mars!$BY$2&amp;BL39&amp;BM39,0)</f>
        <v>Fiche infoA5</v>
      </c>
      <c r="GE39" s="129" t="str">
        <f t="shared" si="19"/>
        <v/>
      </c>
      <c r="GF39" s="223" t="str">
        <f t="shared" si="41"/>
        <v/>
      </c>
      <c r="GG39" s="1446" t="str">
        <f>+'Retenue Fev'!D37</f>
        <v/>
      </c>
      <c r="GH39" s="1446">
        <f>IF(Identification!$B$132="Non",+'Retenue Fev'!BF37,+'Retenue Fev'!BE37)</f>
        <v>0</v>
      </c>
      <c r="GI39" s="1446"/>
      <c r="GJ39" s="1507" t="str">
        <f t="shared" si="42"/>
        <v/>
      </c>
      <c r="GK39" s="223" t="str">
        <f t="shared" si="43"/>
        <v/>
      </c>
      <c r="GL39" s="223" t="str">
        <f t="shared" si="44"/>
        <v/>
      </c>
      <c r="GM39" s="1506">
        <f t="shared" si="45"/>
        <v>0</v>
      </c>
      <c r="GN39" s="1446"/>
      <c r="GO39" s="1446">
        <f t="shared" si="20"/>
        <v>0</v>
      </c>
      <c r="GP39" s="1446" t="str">
        <f t="shared" si="46"/>
        <v/>
      </c>
      <c r="GQ39" s="1446" t="str">
        <f t="shared" si="47"/>
        <v/>
      </c>
      <c r="GR39" s="1446"/>
      <c r="GS39" s="1446"/>
      <c r="GT39" s="1446"/>
      <c r="GU39" s="1446"/>
      <c r="GV39" s="1446"/>
    </row>
    <row r="40" spans="1:204"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46074</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46074</v>
      </c>
      <c r="AX40" s="1761"/>
      <c r="AY40" s="314"/>
      <c r="AZ40" s="1104"/>
      <c r="BA40" s="973"/>
      <c r="BB40" s="543"/>
      <c r="BC40" s="548">
        <f t="shared" si="23"/>
        <v>0</v>
      </c>
      <c r="BD40" s="1104"/>
      <c r="BE40" s="807">
        <f t="shared" si="24"/>
        <v>0</v>
      </c>
      <c r="BF40" s="1128"/>
      <c r="BG40" s="222"/>
      <c r="BH40" s="548" t="str">
        <f t="shared" si="25"/>
        <v/>
      </c>
      <c r="BI40" s="1128"/>
      <c r="BJ40" s="129" t="str">
        <f t="shared" si="26"/>
        <v>Fiche infoA6</v>
      </c>
      <c r="BK40" s="129">
        <f t="shared" si="49"/>
        <v>8</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Fev'!P27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46074</v>
      </c>
      <c r="ER40" s="749">
        <f t="shared" si="10"/>
        <v>0</v>
      </c>
      <c r="ES40" s="750">
        <f t="shared" si="11"/>
        <v>0</v>
      </c>
      <c r="ET40" s="749">
        <f t="shared" si="12"/>
        <v>0</v>
      </c>
      <c r="EU40" s="750">
        <f t="shared" si="13"/>
        <v>0</v>
      </c>
      <c r="EV40" s="749" t="str">
        <f t="shared" si="14"/>
        <v/>
      </c>
      <c r="EW40" s="751">
        <f t="shared" si="29"/>
        <v>46074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8</v>
      </c>
      <c r="GA40" s="129">
        <f t="shared" si="39"/>
        <v>2026</v>
      </c>
      <c r="GB40" s="129" t="str">
        <f t="shared" si="40"/>
        <v>82026</v>
      </c>
      <c r="GC40" s="223">
        <f>IF(AND($GD$53=S.CAL!$P$3,$GD$52=FZ40),GE40,IF(BH40="",0,BH40))</f>
        <v>0</v>
      </c>
      <c r="GD40" s="129" t="str">
        <f>IFERROR(+Mars!$BY$2&amp;BL40&amp;BM40,0)</f>
        <v>Fiche infoA6</v>
      </c>
      <c r="GE40" s="129" t="str">
        <f t="shared" si="19"/>
        <v/>
      </c>
      <c r="GF40" s="223" t="str">
        <f t="shared" si="41"/>
        <v/>
      </c>
      <c r="GG40" s="1446" t="str">
        <f>+'Retenue Fev'!D38</f>
        <v/>
      </c>
      <c r="GH40" s="1446">
        <f>IF(Identification!$B$132="Non",+'Retenue Fev'!BF38,+'Retenue Fev'!BE38)</f>
        <v>0</v>
      </c>
      <c r="GI40" s="1446"/>
      <c r="GJ40" s="1507" t="str">
        <f t="shared" si="42"/>
        <v/>
      </c>
      <c r="GK40" s="223" t="str">
        <f t="shared" si="43"/>
        <v/>
      </c>
      <c r="GL40" s="223" t="str">
        <f t="shared" si="44"/>
        <v/>
      </c>
      <c r="GM40" s="1506">
        <f t="shared" si="45"/>
        <v>0</v>
      </c>
      <c r="GN40" s="1446"/>
      <c r="GO40" s="1446">
        <f t="shared" si="20"/>
        <v>0</v>
      </c>
      <c r="GP40" s="1446" t="str">
        <f t="shared" si="46"/>
        <v/>
      </c>
      <c r="GQ40" s="1446" t="str">
        <f t="shared" si="47"/>
        <v/>
      </c>
      <c r="GR40" s="1446"/>
      <c r="GS40" s="1446"/>
      <c r="GT40" s="1446"/>
      <c r="GU40" s="1446"/>
      <c r="GV40" s="1446"/>
    </row>
    <row r="41" spans="1:204"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46075</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46075</v>
      </c>
      <c r="AX41" s="1761"/>
      <c r="AY41" s="314"/>
      <c r="AZ41" s="1104"/>
      <c r="BA41" s="973"/>
      <c r="BB41" s="543"/>
      <c r="BC41" s="548">
        <f t="shared" si="23"/>
        <v>0</v>
      </c>
      <c r="BD41" s="1104"/>
      <c r="BE41" s="807">
        <f t="shared" si="24"/>
        <v>0</v>
      </c>
      <c r="BF41" s="1128"/>
      <c r="BG41" s="222"/>
      <c r="BH41" s="548" t="str">
        <f t="shared" si="25"/>
        <v/>
      </c>
      <c r="BI41" s="1128"/>
      <c r="BJ41" s="129" t="str">
        <f t="shared" si="26"/>
        <v>Fiche infoA7</v>
      </c>
      <c r="BK41" s="129">
        <f t="shared" si="49"/>
        <v>8</v>
      </c>
      <c r="BL41" s="129" t="str">
        <f t="shared" si="4"/>
        <v>A</v>
      </c>
      <c r="BM41" s="129">
        <f t="shared" si="50"/>
        <v>7</v>
      </c>
      <c r="BN41" s="223" t="str">
        <f t="shared" si="60"/>
        <v>Fiche info</v>
      </c>
      <c r="BO41" s="314" t="str">
        <f t="shared" si="51"/>
        <v/>
      </c>
      <c r="BP41" s="196" t="str">
        <f t="shared" si="52"/>
        <v/>
      </c>
      <c r="BQ41" s="1948" t="s">
        <v>1047</v>
      </c>
      <c r="BR41" s="1948"/>
      <c r="BS41" s="1948"/>
      <c r="BT41" s="1948"/>
      <c r="BU41" s="1948"/>
      <c r="BV41" s="1948"/>
      <c r="BW41" s="603" t="str">
        <f>+IF(BX41="",Janvier!BW41,BX41)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46075</v>
      </c>
      <c r="ER41" s="749">
        <f t="shared" si="10"/>
        <v>0</v>
      </c>
      <c r="ES41" s="750">
        <f t="shared" si="11"/>
        <v>0</v>
      </c>
      <c r="ET41" s="749">
        <f t="shared" si="12"/>
        <v>0</v>
      </c>
      <c r="EU41" s="750">
        <f t="shared" si="13"/>
        <v>0</v>
      </c>
      <c r="EV41" s="749" t="str">
        <f t="shared" si="14"/>
        <v/>
      </c>
      <c r="EW41" s="751">
        <f t="shared" si="29"/>
        <v>46075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8</v>
      </c>
      <c r="GA41" s="129">
        <f t="shared" si="39"/>
        <v>2026</v>
      </c>
      <c r="GB41" s="129" t="str">
        <f t="shared" si="40"/>
        <v>82026</v>
      </c>
      <c r="GC41" s="223">
        <f>IF(AND($GD$53=S.CAL!$P$3,$GD$52=FZ41),GE41,IF(BH41="",0,BH41))</f>
        <v>0</v>
      </c>
      <c r="GD41" s="129" t="str">
        <f>IFERROR(+Mars!$BY$2&amp;BL41&amp;BM41,0)</f>
        <v>Fiche infoA7</v>
      </c>
      <c r="GE41" s="129" t="str">
        <f t="shared" si="19"/>
        <v/>
      </c>
      <c r="GF41" s="223" t="str">
        <f t="shared" si="41"/>
        <v/>
      </c>
      <c r="GG41" s="1446" t="str">
        <f>+'Retenue Fev'!D39</f>
        <v/>
      </c>
      <c r="GH41" s="1446">
        <f>IF(Identification!$B$132="Non",+'Retenue Fev'!BF39,+'Retenue Fev'!BE39)</f>
        <v>0</v>
      </c>
      <c r="GI41" s="1446"/>
      <c r="GJ41" s="1507" t="str">
        <f t="shared" si="42"/>
        <v/>
      </c>
      <c r="GK41" s="223" t="str">
        <f t="shared" si="43"/>
        <v/>
      </c>
      <c r="GL41" s="223" t="str">
        <f t="shared" si="44"/>
        <v/>
      </c>
      <c r="GM41" s="1506">
        <f t="shared" si="45"/>
        <v>0</v>
      </c>
      <c r="GN41" s="1446"/>
      <c r="GO41" s="1446">
        <f t="shared" si="20"/>
        <v>0</v>
      </c>
      <c r="GP41" s="1446" t="str">
        <f t="shared" si="46"/>
        <v/>
      </c>
      <c r="GQ41" s="1446" t="str">
        <f t="shared" si="47"/>
        <v/>
      </c>
      <c r="GR41" s="1446"/>
      <c r="GS41" s="1446"/>
      <c r="GT41" s="1446"/>
      <c r="GU41" s="1446"/>
      <c r="GV41" s="1446"/>
    </row>
    <row r="42" spans="1:204"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46076</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f t="shared" si="48"/>
        <v>9</v>
      </c>
      <c r="AQ42" s="322"/>
      <c r="AR42" s="1104"/>
      <c r="AS42" s="314">
        <f t="shared" si="3"/>
        <v>0</v>
      </c>
      <c r="AT42" s="1125"/>
      <c r="AU42" s="1125"/>
      <c r="AV42" s="314"/>
      <c r="AW42" s="1791">
        <f t="shared" si="22"/>
        <v>46076</v>
      </c>
      <c r="AX42" s="1761"/>
      <c r="AY42" s="314"/>
      <c r="AZ42" s="1104"/>
      <c r="BA42" s="973"/>
      <c r="BB42" s="543"/>
      <c r="BC42" s="548">
        <f t="shared" si="23"/>
        <v>0</v>
      </c>
      <c r="BD42" s="1104"/>
      <c r="BE42" s="807">
        <f t="shared" si="24"/>
        <v>0</v>
      </c>
      <c r="BF42" s="1128"/>
      <c r="BG42" s="222"/>
      <c r="BH42" s="548" t="str">
        <f t="shared" si="25"/>
        <v/>
      </c>
      <c r="BI42" s="1128"/>
      <c r="BJ42" s="129" t="str">
        <f t="shared" si="26"/>
        <v>Fiche infoA1</v>
      </c>
      <c r="BK42" s="129">
        <f t="shared" si="49"/>
        <v>9</v>
      </c>
      <c r="BL42" s="129" t="str">
        <f t="shared" si="4"/>
        <v>A</v>
      </c>
      <c r="BM42" s="129">
        <f t="shared" si="50"/>
        <v>1</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46076</v>
      </c>
      <c r="ER42" s="749">
        <f t="shared" si="10"/>
        <v>0</v>
      </c>
      <c r="ES42" s="750">
        <f t="shared" si="11"/>
        <v>0</v>
      </c>
      <c r="ET42" s="749">
        <f t="shared" si="12"/>
        <v>0</v>
      </c>
      <c r="EU42" s="750">
        <f t="shared" si="13"/>
        <v>0</v>
      </c>
      <c r="EV42" s="749" t="str">
        <f t="shared" si="14"/>
        <v/>
      </c>
      <c r="EW42" s="751">
        <f t="shared" si="29"/>
        <v>46076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9</v>
      </c>
      <c r="GA42" s="129">
        <f t="shared" si="39"/>
        <v>2026</v>
      </c>
      <c r="GB42" s="129" t="str">
        <f t="shared" si="40"/>
        <v>92026</v>
      </c>
      <c r="GC42" s="223">
        <f>IF(AND($GD$53=S.CAL!$P$3,$GD$52=FZ42),GE42,IF(BH42="",0,BH42))</f>
        <v>0</v>
      </c>
      <c r="GD42" s="129" t="str">
        <f>IFERROR(+Mars!$BY$2&amp;BL42&amp;BM42,0)</f>
        <v>Fiche infoA1</v>
      </c>
      <c r="GE42" s="129" t="str">
        <f t="shared" si="19"/>
        <v/>
      </c>
      <c r="GF42" s="223" t="str">
        <f t="shared" si="41"/>
        <v/>
      </c>
      <c r="GG42" s="1446" t="str">
        <f>+'Retenue Fev'!D40</f>
        <v/>
      </c>
      <c r="GH42" s="1446">
        <f>IF(Identification!$B$132="Non",+'Retenue Fev'!BF40,+'Retenue Fev'!BE40)</f>
        <v>0</v>
      </c>
      <c r="GI42" s="1446"/>
      <c r="GJ42" s="1507" t="str">
        <f t="shared" si="42"/>
        <v/>
      </c>
      <c r="GK42" s="223" t="str">
        <f t="shared" si="43"/>
        <v/>
      </c>
      <c r="GL42" s="223" t="str">
        <f t="shared" si="44"/>
        <v/>
      </c>
      <c r="GM42" s="1506">
        <f t="shared" si="45"/>
        <v>0</v>
      </c>
      <c r="GN42" s="1446"/>
      <c r="GO42" s="1446">
        <f t="shared" si="20"/>
        <v>0</v>
      </c>
      <c r="GP42" s="1446" t="str">
        <f t="shared" si="46"/>
        <v/>
      </c>
      <c r="GQ42" s="1446" t="str">
        <f t="shared" si="47"/>
        <v/>
      </c>
      <c r="GR42" s="1446"/>
      <c r="GS42" s="1446"/>
      <c r="GT42" s="1446"/>
      <c r="GU42" s="1446"/>
      <c r="GV42" s="1446"/>
    </row>
    <row r="43" spans="1:204"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46077</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46077</v>
      </c>
      <c r="AX43" s="1761"/>
      <c r="AY43" s="314"/>
      <c r="AZ43" s="1104"/>
      <c r="BA43" s="973"/>
      <c r="BB43" s="543"/>
      <c r="BC43" s="548">
        <f t="shared" si="23"/>
        <v>0</v>
      </c>
      <c r="BD43" s="1104"/>
      <c r="BE43" s="807">
        <f t="shared" si="24"/>
        <v>0</v>
      </c>
      <c r="BF43" s="1128"/>
      <c r="BG43" s="222"/>
      <c r="BH43" s="548" t="str">
        <f t="shared" si="25"/>
        <v/>
      </c>
      <c r="BI43" s="1128"/>
      <c r="BJ43" s="129" t="str">
        <f t="shared" si="26"/>
        <v>Fiche infoA2</v>
      </c>
      <c r="BK43" s="129">
        <f t="shared" si="49"/>
        <v>9</v>
      </c>
      <c r="BL43" s="129" t="str">
        <f t="shared" si="4"/>
        <v>A</v>
      </c>
      <c r="BM43" s="129">
        <f t="shared" si="50"/>
        <v>2</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46077</v>
      </c>
      <c r="ER43" s="749">
        <f t="shared" si="10"/>
        <v>0</v>
      </c>
      <c r="ES43" s="750">
        <f t="shared" si="11"/>
        <v>0</v>
      </c>
      <c r="ET43" s="749">
        <f t="shared" si="12"/>
        <v>0</v>
      </c>
      <c r="EU43" s="750">
        <f t="shared" si="13"/>
        <v>0</v>
      </c>
      <c r="EV43" s="749" t="str">
        <f t="shared" si="14"/>
        <v/>
      </c>
      <c r="EW43" s="751">
        <f t="shared" si="29"/>
        <v>46077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9</v>
      </c>
      <c r="GA43" s="129">
        <f t="shared" si="39"/>
        <v>2026</v>
      </c>
      <c r="GB43" s="129" t="str">
        <f t="shared" si="40"/>
        <v>92026</v>
      </c>
      <c r="GC43" s="223">
        <f>IF(AND($GD$53=S.CAL!$P$3,$GD$52=FZ43),GE43,IF(BH43="",0,BH43))</f>
        <v>0</v>
      </c>
      <c r="GD43" s="129" t="str">
        <f>IFERROR(+Mars!$BY$2&amp;BL43&amp;BM43,0)</f>
        <v>Fiche infoA2</v>
      </c>
      <c r="GE43" s="129" t="str">
        <f t="shared" si="19"/>
        <v/>
      </c>
      <c r="GF43" s="223" t="str">
        <f t="shared" si="41"/>
        <v/>
      </c>
      <c r="GG43" s="1446" t="str">
        <f>+'Retenue Fev'!D41</f>
        <v/>
      </c>
      <c r="GH43" s="1446">
        <f>IF(Identification!$B$132="Non",+'Retenue Fev'!BF41,+'Retenue Fev'!BE41)</f>
        <v>0</v>
      </c>
      <c r="GI43" s="1446"/>
      <c r="GJ43" s="1507" t="str">
        <f t="shared" si="42"/>
        <v/>
      </c>
      <c r="GK43" s="223" t="str">
        <f t="shared" si="43"/>
        <v/>
      </c>
      <c r="GL43" s="223" t="str">
        <f t="shared" si="44"/>
        <v/>
      </c>
      <c r="GM43" s="1506">
        <f t="shared" si="45"/>
        <v>0</v>
      </c>
      <c r="GN43" s="1446"/>
      <c r="GO43" s="1446">
        <f t="shared" si="20"/>
        <v>0</v>
      </c>
      <c r="GP43" s="1446" t="str">
        <f t="shared" si="46"/>
        <v/>
      </c>
      <c r="GQ43" s="1446" t="str">
        <f t="shared" si="47"/>
        <v/>
      </c>
      <c r="GR43" s="1446"/>
      <c r="GS43" s="1446"/>
      <c r="GT43" s="1446"/>
      <c r="GU43" s="1446"/>
      <c r="GV43" s="1446"/>
    </row>
    <row r="44" spans="1:204"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46078</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46078</v>
      </c>
      <c r="AX44" s="1761"/>
      <c r="AY44" s="314"/>
      <c r="AZ44" s="1104"/>
      <c r="BA44" s="973"/>
      <c r="BB44" s="543"/>
      <c r="BC44" s="548">
        <f t="shared" si="23"/>
        <v>0</v>
      </c>
      <c r="BD44" s="1104"/>
      <c r="BE44" s="807">
        <f t="shared" si="24"/>
        <v>0</v>
      </c>
      <c r="BF44" s="1128"/>
      <c r="BG44" s="222"/>
      <c r="BH44" s="548" t="str">
        <f t="shared" si="25"/>
        <v/>
      </c>
      <c r="BI44" s="1128"/>
      <c r="BJ44" s="129" t="str">
        <f t="shared" si="26"/>
        <v>Fiche infoA3</v>
      </c>
      <c r="BK44" s="129">
        <f t="shared" si="49"/>
        <v>9</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+IF(CC45="",Janvier!CC44,CC45)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46078</v>
      </c>
      <c r="ER44" s="749">
        <f t="shared" si="10"/>
        <v>0</v>
      </c>
      <c r="ES44" s="750">
        <f t="shared" si="11"/>
        <v>0</v>
      </c>
      <c r="ET44" s="749">
        <f t="shared" si="12"/>
        <v>0</v>
      </c>
      <c r="EU44" s="750">
        <f t="shared" si="13"/>
        <v>0</v>
      </c>
      <c r="EV44" s="749" t="str">
        <f t="shared" si="14"/>
        <v/>
      </c>
      <c r="EW44" s="751">
        <f t="shared" si="29"/>
        <v>46078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9</v>
      </c>
      <c r="GA44" s="129">
        <f t="shared" si="39"/>
        <v>2026</v>
      </c>
      <c r="GB44" s="129" t="str">
        <f t="shared" si="40"/>
        <v>92026</v>
      </c>
      <c r="GC44" s="223">
        <f>IF(AND($GD$53=S.CAL!$P$3,$GD$52=FZ44),GE44,IF(BH44="",0,BH44))</f>
        <v>0</v>
      </c>
      <c r="GD44" s="129" t="str">
        <f>IFERROR(+Mars!$BY$2&amp;BL44&amp;BM44,0)</f>
        <v>Fiche infoA3</v>
      </c>
      <c r="GE44" s="129" t="str">
        <f t="shared" si="19"/>
        <v/>
      </c>
      <c r="GF44" s="223" t="str">
        <f t="shared" si="41"/>
        <v/>
      </c>
      <c r="GG44" s="1446" t="str">
        <f>+'Retenue Fev'!D42</f>
        <v/>
      </c>
      <c r="GH44" s="1446">
        <f>IF(Identification!$B$132="Non",+'Retenue Fev'!BF42,+'Retenue Fev'!BE42)</f>
        <v>0</v>
      </c>
      <c r="GI44" s="1446"/>
      <c r="GJ44" s="1507" t="str">
        <f t="shared" si="42"/>
        <v/>
      </c>
      <c r="GK44" s="223" t="str">
        <f t="shared" si="43"/>
        <v/>
      </c>
      <c r="GL44" s="223" t="str">
        <f t="shared" si="44"/>
        <v/>
      </c>
      <c r="GM44" s="1506">
        <f t="shared" si="45"/>
        <v>0</v>
      </c>
      <c r="GN44" s="1446"/>
      <c r="GO44" s="1446">
        <f t="shared" si="20"/>
        <v>0</v>
      </c>
      <c r="GP44" s="1446" t="str">
        <f t="shared" si="46"/>
        <v/>
      </c>
      <c r="GQ44" s="1446" t="str">
        <f t="shared" si="47"/>
        <v/>
      </c>
      <c r="GR44" s="1446"/>
      <c r="GS44" s="1446"/>
      <c r="GT44" s="1446"/>
      <c r="GU44" s="1446"/>
      <c r="GV44" s="1446"/>
    </row>
    <row r="45" spans="1:204"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46079</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46079</v>
      </c>
      <c r="AX45" s="1761"/>
      <c r="AY45" s="314"/>
      <c r="AZ45" s="1104"/>
      <c r="BA45" s="973"/>
      <c r="BB45" s="543"/>
      <c r="BC45" s="548">
        <f t="shared" si="23"/>
        <v>0</v>
      </c>
      <c r="BD45" s="1104"/>
      <c r="BE45" s="807">
        <f t="shared" si="24"/>
        <v>0</v>
      </c>
      <c r="BF45" s="1128"/>
      <c r="BG45" s="222"/>
      <c r="BH45" s="548" t="str">
        <f t="shared" si="25"/>
        <v/>
      </c>
      <c r="BI45" s="1128"/>
      <c r="BJ45" s="129" t="str">
        <f t="shared" si="26"/>
        <v>Fiche infoA4</v>
      </c>
      <c r="BK45" s="129">
        <f t="shared" si="49"/>
        <v>9</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46079</v>
      </c>
      <c r="ER45" s="749">
        <f t="shared" si="10"/>
        <v>0</v>
      </c>
      <c r="ES45" s="750">
        <f t="shared" si="11"/>
        <v>0</v>
      </c>
      <c r="ET45" s="749">
        <f t="shared" si="12"/>
        <v>0</v>
      </c>
      <c r="EU45" s="750">
        <f t="shared" si="13"/>
        <v>0</v>
      </c>
      <c r="EV45" s="749" t="str">
        <f t="shared" si="14"/>
        <v/>
      </c>
      <c r="EW45" s="751">
        <f t="shared" si="29"/>
        <v>46079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9</v>
      </c>
      <c r="GA45" s="129">
        <f t="shared" si="39"/>
        <v>2026</v>
      </c>
      <c r="GB45" s="129" t="str">
        <f t="shared" si="40"/>
        <v>92026</v>
      </c>
      <c r="GC45" s="223">
        <f>IF(AND($GD$53=S.CAL!$P$3,$GD$52=FZ45),GE45,IF(BH45="",0,BH45))</f>
        <v>0</v>
      </c>
      <c r="GD45" s="129" t="str">
        <f>IFERROR(+Mars!$BY$2&amp;BL45&amp;BM45,0)</f>
        <v>Fiche infoA4</v>
      </c>
      <c r="GE45" s="129" t="str">
        <f t="shared" si="19"/>
        <v/>
      </c>
      <c r="GF45" s="223" t="str">
        <f t="shared" si="41"/>
        <v/>
      </c>
      <c r="GG45" s="1446" t="str">
        <f>+'Retenue Fev'!D43</f>
        <v/>
      </c>
      <c r="GH45" s="1446">
        <f>IF(Identification!$B$132="Non",+'Retenue Fev'!BF43,+'Retenue Fev'!BE43)</f>
        <v>0</v>
      </c>
      <c r="GI45" s="1446"/>
      <c r="GJ45" s="1507" t="str">
        <f t="shared" si="42"/>
        <v/>
      </c>
      <c r="GK45" s="223" t="str">
        <f t="shared" si="43"/>
        <v/>
      </c>
      <c r="GL45" s="223" t="str">
        <f t="shared" si="44"/>
        <v/>
      </c>
      <c r="GM45" s="1506">
        <f t="shared" si="45"/>
        <v>0</v>
      </c>
      <c r="GN45" s="1446"/>
      <c r="GO45" s="1446">
        <f t="shared" si="20"/>
        <v>0</v>
      </c>
      <c r="GP45" s="1446" t="str">
        <f t="shared" si="46"/>
        <v/>
      </c>
      <c r="GQ45" s="1446" t="str">
        <f t="shared" si="47"/>
        <v/>
      </c>
      <c r="GR45" s="1446"/>
      <c r="GS45" s="1446"/>
      <c r="GT45" s="1446"/>
      <c r="GU45" s="1446"/>
      <c r="GV45" s="1446"/>
    </row>
    <row r="46" spans="1:204"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46080</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46080</v>
      </c>
      <c r="AX46" s="1761"/>
      <c r="AY46" s="314"/>
      <c r="AZ46" s="1104"/>
      <c r="BA46" s="973"/>
      <c r="BB46" s="543"/>
      <c r="BC46" s="548">
        <f t="shared" si="23"/>
        <v>0</v>
      </c>
      <c r="BD46" s="1104"/>
      <c r="BE46" s="807">
        <f t="shared" si="24"/>
        <v>0</v>
      </c>
      <c r="BF46" s="1128"/>
      <c r="BG46" s="222"/>
      <c r="BH46" s="548" t="str">
        <f t="shared" si="25"/>
        <v/>
      </c>
      <c r="BI46" s="1128"/>
      <c r="BJ46" s="129" t="str">
        <f t="shared" si="26"/>
        <v>Fiche infoA5</v>
      </c>
      <c r="BK46" s="129">
        <f t="shared" si="49"/>
        <v>9</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46080</v>
      </c>
      <c r="ER46" s="749">
        <f t="shared" si="10"/>
        <v>0</v>
      </c>
      <c r="ES46" s="750">
        <f t="shared" si="11"/>
        <v>0</v>
      </c>
      <c r="ET46" s="749">
        <f t="shared" si="12"/>
        <v>0</v>
      </c>
      <c r="EU46" s="750">
        <f t="shared" si="13"/>
        <v>0</v>
      </c>
      <c r="EV46" s="749" t="str">
        <f t="shared" si="14"/>
        <v/>
      </c>
      <c r="EW46" s="751">
        <f t="shared" si="29"/>
        <v>46080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9</v>
      </c>
      <c r="GA46" s="129">
        <f t="shared" si="39"/>
        <v>2026</v>
      </c>
      <c r="GB46" s="129" t="str">
        <f t="shared" si="40"/>
        <v>92026</v>
      </c>
      <c r="GC46" s="223">
        <f>IF(AND($GD$53=S.CAL!$P$3,$GD$52=FZ46),GE46,IF(BH46="",0,BH46))</f>
        <v>0</v>
      </c>
      <c r="GD46" s="129" t="str">
        <f>IFERROR(+Mars!$BY$2&amp;BL46&amp;BM46,0)</f>
        <v>Fiche infoA5</v>
      </c>
      <c r="GE46" s="129" t="str">
        <f t="shared" si="19"/>
        <v/>
      </c>
      <c r="GF46" s="223" t="str">
        <f t="shared" si="41"/>
        <v/>
      </c>
      <c r="GG46" s="1446" t="str">
        <f>+'Retenue Fev'!D44</f>
        <v/>
      </c>
      <c r="GH46" s="1446">
        <f>IF(Identification!$B$132="Non",+'Retenue Fev'!BF44,+'Retenue Fev'!BE44)</f>
        <v>0</v>
      </c>
      <c r="GI46" s="1446"/>
      <c r="GJ46" s="1507" t="str">
        <f t="shared" si="42"/>
        <v/>
      </c>
      <c r="GK46" s="223" t="str">
        <f t="shared" si="43"/>
        <v/>
      </c>
      <c r="GL46" s="223" t="str">
        <f t="shared" si="44"/>
        <v/>
      </c>
      <c r="GM46" s="1506">
        <f t="shared" si="45"/>
        <v>0</v>
      </c>
      <c r="GN46" s="1446"/>
      <c r="GO46" s="1446">
        <f t="shared" si="20"/>
        <v>0</v>
      </c>
      <c r="GP46" s="1446" t="str">
        <f t="shared" si="46"/>
        <v/>
      </c>
      <c r="GQ46" s="1446" t="str">
        <f t="shared" si="47"/>
        <v/>
      </c>
      <c r="GR46" s="1446"/>
      <c r="GS46" s="1446"/>
      <c r="GT46" s="1446"/>
      <c r="GU46" s="1446"/>
      <c r="GV46" s="1446"/>
    </row>
    <row r="47" spans="1:204"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46081</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46081</v>
      </c>
      <c r="AX47" s="1761"/>
      <c r="AY47" s="314"/>
      <c r="AZ47" s="1104"/>
      <c r="BA47" s="973"/>
      <c r="BB47" s="543"/>
      <c r="BC47" s="548">
        <f t="shared" si="23"/>
        <v>0</v>
      </c>
      <c r="BD47" s="1104"/>
      <c r="BE47" s="807">
        <f t="shared" si="24"/>
        <v>0</v>
      </c>
      <c r="BF47" s="1128"/>
      <c r="BG47" s="222"/>
      <c r="BH47" s="548" t="str">
        <f t="shared" si="25"/>
        <v/>
      </c>
      <c r="BI47" s="1128"/>
      <c r="BJ47" s="129" t="str">
        <f t="shared" si="26"/>
        <v>Fiche infoA6</v>
      </c>
      <c r="BK47" s="129">
        <f t="shared" si="49"/>
        <v>9</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IF(CF47="",Janvier!CE47,CF47)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46081</v>
      </c>
      <c r="ER47" s="749">
        <f t="shared" si="10"/>
        <v>0</v>
      </c>
      <c r="ES47" s="750">
        <f t="shared" si="11"/>
        <v>0</v>
      </c>
      <c r="ET47" s="749">
        <f t="shared" si="12"/>
        <v>0</v>
      </c>
      <c r="EU47" s="750">
        <f t="shared" si="13"/>
        <v>0</v>
      </c>
      <c r="EV47" s="749" t="str">
        <f t="shared" si="14"/>
        <v/>
      </c>
      <c r="EW47" s="751">
        <f t="shared" si="29"/>
        <v>46081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9</v>
      </c>
      <c r="GA47" s="129">
        <f t="shared" si="39"/>
        <v>2026</v>
      </c>
      <c r="GB47" s="129" t="str">
        <f t="shared" si="40"/>
        <v>92026</v>
      </c>
      <c r="GC47" s="223">
        <f>IF(AND($GD$53=S.CAL!$P$3,$GD$52=FZ47),GE47,IF(BH47="",0,BH47))</f>
        <v>0</v>
      </c>
      <c r="GD47" s="129" t="str">
        <f>IFERROR(+Mars!$BY$2&amp;BL47&amp;BM47,0)</f>
        <v>Fiche infoA6</v>
      </c>
      <c r="GE47" s="129" t="str">
        <f t="shared" si="19"/>
        <v/>
      </c>
      <c r="GF47" s="223" t="str">
        <f t="shared" si="41"/>
        <v/>
      </c>
      <c r="GG47" s="1446" t="str">
        <f>+'Retenue Fev'!D45</f>
        <v/>
      </c>
      <c r="GH47" s="1446">
        <f>IF(Identification!$B$132="Non",+'Retenue Fev'!BF45,+'Retenue Fev'!BE45)</f>
        <v>0</v>
      </c>
      <c r="GI47" s="1446"/>
      <c r="GJ47" s="1507" t="str">
        <f t="shared" si="42"/>
        <v/>
      </c>
      <c r="GK47" s="223" t="str">
        <f t="shared" si="43"/>
        <v/>
      </c>
      <c r="GL47" s="223" t="str">
        <f t="shared" si="44"/>
        <v/>
      </c>
      <c r="GM47" s="1506">
        <f t="shared" si="45"/>
        <v>0</v>
      </c>
      <c r="GN47" s="1446"/>
      <c r="GO47" s="1446">
        <f t="shared" si="20"/>
        <v>0</v>
      </c>
      <c r="GP47" s="1446" t="str">
        <f t="shared" si="46"/>
        <v/>
      </c>
      <c r="GQ47" s="1446" t="str">
        <f t="shared" si="47"/>
        <v/>
      </c>
      <c r="GR47" s="1446"/>
      <c r="GS47" s="1446"/>
      <c r="GT47" s="1446"/>
      <c r="GU47" s="1446"/>
      <c r="GV47" s="1446"/>
    </row>
    <row r="48" spans="1:204"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t="str">
        <f>IF(AB20+28&lt;DATE(YEAR(AB20),MONTH(AB20)+1,DAY(AB20)),AB20+28,"")</f>
        <v/>
      </c>
      <c r="AC48" s="1761"/>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t="str">
        <f t="shared" si="22"/>
        <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infoA0</v>
      </c>
      <c r="BK48" s="129" t="str">
        <f t="shared" si="49"/>
        <v/>
      </c>
      <c r="BL48" s="129" t="str">
        <f t="shared" si="4"/>
        <v>A</v>
      </c>
      <c r="BM48" s="129">
        <f>IFERROR(WEEKDAY(AB48,2),0)</f>
        <v>0</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t="str">
        <f t="shared" si="53"/>
        <v/>
      </c>
      <c r="ER48" s="749">
        <f t="shared" si="10"/>
        <v>0</v>
      </c>
      <c r="ES48" s="750">
        <f t="shared" si="11"/>
        <v>0</v>
      </c>
      <c r="ET48" s="749">
        <f t="shared" si="12"/>
        <v>0</v>
      </c>
      <c r="EU48" s="750">
        <f t="shared" si="13"/>
        <v>0</v>
      </c>
      <c r="EV48" s="749" t="str">
        <f t="shared" si="14"/>
        <v/>
      </c>
      <c r="EW48" s="751" t="str">
        <f t="shared" si="29"/>
        <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t="str">
        <f t="shared" si="38"/>
        <v/>
      </c>
      <c r="GA48" s="129">
        <f t="shared" si="39"/>
        <v>2026</v>
      </c>
      <c r="GB48" s="129" t="str">
        <f t="shared" si="40"/>
        <v>2026</v>
      </c>
      <c r="GC48" s="223">
        <f>IF(AND($GD$53=S.CAL!$P$3,$GD$52=FZ48),GE48,IF(BH48="",0,BH48))</f>
        <v>0</v>
      </c>
      <c r="GD48" s="129" t="str">
        <f>IFERROR(+Mars!$BY$2&amp;BL48&amp;BM48,0)</f>
        <v>Fiche infoA0</v>
      </c>
      <c r="GE48" s="129" t="str">
        <f t="shared" si="19"/>
        <v/>
      </c>
      <c r="GF48" s="223" t="str">
        <f t="shared" si="41"/>
        <v/>
      </c>
      <c r="GG48" s="1446" t="str">
        <f>+'Retenue Fev'!D46</f>
        <v/>
      </c>
      <c r="GH48" s="1446">
        <f>IF(Identification!$B$132="Non",+'Retenue Fev'!BF46,+'Retenue Fev'!BE46)</f>
        <v>0</v>
      </c>
      <c r="GI48" s="1446"/>
      <c r="GJ48" s="1507" t="str">
        <f t="shared" si="42"/>
        <v/>
      </c>
      <c r="GK48" s="223" t="str">
        <f t="shared" si="43"/>
        <v/>
      </c>
      <c r="GL48" s="223" t="str">
        <f t="shared" si="44"/>
        <v/>
      </c>
      <c r="GM48" s="1506">
        <f t="shared" si="45"/>
        <v>0</v>
      </c>
      <c r="GN48" s="1446"/>
      <c r="GO48" s="1446">
        <f t="shared" si="20"/>
        <v>0</v>
      </c>
      <c r="GP48" s="1446" t="str">
        <f t="shared" si="46"/>
        <v/>
      </c>
      <c r="GQ48" s="1446" t="str">
        <f t="shared" si="47"/>
        <v/>
      </c>
      <c r="GR48" s="1446"/>
      <c r="GS48" s="1446"/>
      <c r="GT48" s="1446"/>
      <c r="GU48" s="1446"/>
      <c r="GV48" s="1446"/>
    </row>
    <row r="49" spans="1:204"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t="str">
        <f>IF(AB20+29&lt;DATE(YEAR(AB20),MONTH(AB20)+1,DAY(AB20)),AB20+29,"")</f>
        <v/>
      </c>
      <c r="AC49" s="1761"/>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t="str">
        <f t="shared" si="22"/>
        <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infoA0</v>
      </c>
      <c r="BK49" s="129" t="str">
        <f t="shared" si="49"/>
        <v/>
      </c>
      <c r="BL49" s="129" t="str">
        <f t="shared" si="4"/>
        <v>A</v>
      </c>
      <c r="BM49" s="129">
        <f>IFERROR(WEEKDAY(AB49,2),0)</f>
        <v>0</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IF(CF49="",Janvier!CE49,CF49)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t="str">
        <f t="shared" si="53"/>
        <v/>
      </c>
      <c r="ER49" s="749">
        <f t="shared" si="10"/>
        <v>0</v>
      </c>
      <c r="ES49" s="750">
        <f t="shared" si="11"/>
        <v>0</v>
      </c>
      <c r="ET49" s="749">
        <f t="shared" si="12"/>
        <v>0</v>
      </c>
      <c r="EU49" s="750">
        <f t="shared" si="13"/>
        <v>0</v>
      </c>
      <c r="EV49" s="749" t="str">
        <f t="shared" si="14"/>
        <v/>
      </c>
      <c r="EW49" s="751" t="str">
        <f t="shared" si="29"/>
        <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t="str">
        <f t="shared" si="38"/>
        <v/>
      </c>
      <c r="GA49" s="129">
        <f t="shared" si="39"/>
        <v>2026</v>
      </c>
      <c r="GB49" s="129" t="str">
        <f t="shared" ref="GB49:GB50" si="67">+FZ49&amp;GA49</f>
        <v>2026</v>
      </c>
      <c r="GC49" s="223">
        <f>IF(AND($GD$53=S.CAL!$P$3,$GD$52=FZ49),GE49,IF(BH49="",0,BH49))</f>
        <v>0</v>
      </c>
      <c r="GD49" s="129" t="str">
        <f>IFERROR(+Mars!$BY$2&amp;BL49&amp;BM49,0)</f>
        <v>Fiche infoA0</v>
      </c>
      <c r="GE49" s="129" t="str">
        <f t="shared" si="19"/>
        <v/>
      </c>
      <c r="GF49" s="223" t="str">
        <f t="shared" ref="GF49:GF50" si="68">IF(FP49=1,GG49,AM49)</f>
        <v/>
      </c>
      <c r="GG49" s="1446" t="str">
        <f>+'Retenue Fev'!D47</f>
        <v/>
      </c>
      <c r="GH49" s="1446">
        <f>IF(Identification!$B$132="Non",+'Retenue Fev'!BF47,+'Retenue Fev'!BE47)</f>
        <v>0</v>
      </c>
      <c r="GI49" s="1446"/>
      <c r="GJ49" s="1507" t="str">
        <f t="shared" si="42"/>
        <v/>
      </c>
      <c r="GK49" s="223" t="str">
        <f t="shared" si="43"/>
        <v/>
      </c>
      <c r="GL49" s="223" t="str">
        <f t="shared" si="44"/>
        <v/>
      </c>
      <c r="GM49" s="1506">
        <f t="shared" si="45"/>
        <v>0</v>
      </c>
      <c r="GN49" s="1446"/>
      <c r="GO49" s="1446">
        <f t="shared" si="20"/>
        <v>0</v>
      </c>
      <c r="GP49" s="1446" t="str">
        <f t="shared" si="46"/>
        <v/>
      </c>
      <c r="GQ49" s="1446" t="str">
        <f t="shared" si="47"/>
        <v/>
      </c>
      <c r="GR49" s="1446"/>
      <c r="GS49" s="1446"/>
      <c r="GT49" s="1446"/>
      <c r="GU49" s="1446"/>
      <c r="GV49" s="1446"/>
    </row>
    <row r="50" spans="1:204"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t="str">
        <f>IF(AB20+30&lt;DATE(YEAR(AB20),MONTH(AB20)+1,DAY(AB20)),AB20+30,"")</f>
        <v/>
      </c>
      <c r="AC50" s="1761"/>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t="str">
        <f t="shared" si="22"/>
        <v/>
      </c>
      <c r="AX50" s="2027"/>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7"/>
        <v>2026</v>
      </c>
      <c r="GC50" s="223">
        <f>IF(AND($GD$53=S.CAL!$P$3,$GD$52=FZ50),GE50,IF(BH50="",0,BH50))</f>
        <v>0</v>
      </c>
      <c r="GD50" s="129" t="str">
        <f>IFERROR(+Mars!$BY$2&amp;BL50&amp;BM50,0)</f>
        <v>Fiche infoA0</v>
      </c>
      <c r="GE50" s="129" t="str">
        <f t="shared" si="19"/>
        <v/>
      </c>
      <c r="GF50" s="223" t="str">
        <f t="shared" si="68"/>
        <v/>
      </c>
      <c r="GG50" s="1446" t="str">
        <f>+'Retenue Fev'!D48</f>
        <v/>
      </c>
      <c r="GH50" s="1446">
        <f>IF(Identification!$B$132="Non",+'Retenue Fev'!BF48,+'Retenue Fev'!BE48)</f>
        <v>0</v>
      </c>
      <c r="GI50" s="1446"/>
      <c r="GJ50" s="1507" t="str">
        <f t="shared" si="42"/>
        <v/>
      </c>
      <c r="GK50" s="223" t="str">
        <f t="shared" si="43"/>
        <v/>
      </c>
      <c r="GL50" s="223" t="str">
        <f t="shared" si="44"/>
        <v/>
      </c>
      <c r="GM50" s="1506">
        <f t="shared" si="45"/>
        <v>0</v>
      </c>
      <c r="GN50" s="1446"/>
      <c r="GO50" s="1446">
        <f t="shared" si="20"/>
        <v>0</v>
      </c>
      <c r="GP50" s="1446" t="str">
        <f t="shared" si="46"/>
        <v/>
      </c>
      <c r="GQ50" s="1446" t="str">
        <f t="shared" si="47"/>
        <v/>
      </c>
      <c r="GR50" s="1446"/>
      <c r="GS50" s="1446"/>
      <c r="GT50" s="1446"/>
      <c r="GU50" s="1446"/>
      <c r="GV50" s="1446"/>
    </row>
    <row r="51" spans="1:204"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204"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9</v>
      </c>
      <c r="GJ52" s="1508"/>
      <c r="GK52" s="212"/>
      <c r="GL52" s="212"/>
      <c r="GM52" s="1509">
        <f>SUM(GM20:GM50)</f>
        <v>0</v>
      </c>
    </row>
    <row r="53" spans="1:204"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IF(CF53="",+Janvier!CE53,CF53)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204"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IF(CF54="",Janvier!CE54,CF54)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204"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IF(CF55&gt;0,CF55,IF(AND(CE53=Janvier!CE53,CE54=Janvier!CE54),Janvier!CE55,IF(OR(CE53&lt;&gt;Janvier!CE53,CE54&lt;&gt;Janvier!CE54),CE53/CE54)))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204"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Fev'!E52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+IF(BY57="",Janvier!BY56,BY57)</f>
        <v>24</v>
      </c>
      <c r="BZ56" s="611" t="s">
        <v>1049</v>
      </c>
      <c r="CA56" s="614">
        <f>+IF(CA57="",Janvier!CA56,CA57)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204"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IF(CF57="",+Janvier!CE57,CF57)</f>
        <v>0</v>
      </c>
      <c r="CF57" s="1297"/>
      <c r="FP57" s="129">
        <f>SUM(FP20:FP50)</f>
        <v>0</v>
      </c>
      <c r="GO57" s="1446">
        <f>SUM(GO20:GO52)</f>
        <v>0</v>
      </c>
    </row>
    <row r="58" spans="1:204"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IF(CF58="",Janvier!CE58,CF58)</f>
        <v>0</v>
      </c>
      <c r="CF58" s="1347"/>
      <c r="FG58" s="315">
        <f t="array" ref="FG58">IFERROR(+INDEX($FG$20:$FG$50,MATCH(0,INDEX(COUNTIF($FG$57:FG57,$FG$20:$FG$50),0,0),0)),0)</f>
        <v>0</v>
      </c>
    </row>
    <row r="59" spans="1:204"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204"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+IF(CA61="",Janvier!CA60,CA61)</f>
        <v>0</v>
      </c>
      <c r="FG60" s="315">
        <f t="array" ref="FG60">IFERROR(+INDEX($FG$20:$FG$50,MATCH(0,INDEX(COUNTIF($FG$57:FG59,$FG$20:$FG$50),0,0),0)),0)</f>
        <v>0</v>
      </c>
    </row>
    <row r="61" spans="1:204"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204"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204"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204"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+IF(BA65="",Janvier!K67,BA65)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943"/>
      <c r="AB67" s="220"/>
      <c r="AC67" s="943"/>
      <c r="AD67" s="943"/>
      <c r="AE67" s="943"/>
      <c r="AF67" s="943"/>
      <c r="AG67" s="943"/>
      <c r="AH67" s="943"/>
      <c r="AI67" s="943"/>
      <c r="AJ67" s="943"/>
      <c r="AK67" s="943"/>
      <c r="AL67" s="943"/>
      <c r="AM67" s="943"/>
      <c r="AN67" s="943"/>
      <c r="AO67" s="943"/>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+IF(BA68="",Janvier!K68,BA68)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2306" t="s">
        <v>1260</v>
      </c>
      <c r="AV72" s="2307"/>
      <c r="AW72" s="2307"/>
      <c r="AX72" s="2307"/>
      <c r="AY72" s="2307"/>
      <c r="AZ72" s="2307"/>
      <c r="BA72" s="2307"/>
      <c r="BB72" s="2308"/>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E74+Janvier!H74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897"/>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E75+Janvier!H75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Fev'!EH51=0,"",'Retenue Fev'!EH51),AX76)</f>
        <v/>
      </c>
      <c r="AZ75" s="1772"/>
      <c r="BA75" s="918" t="str">
        <f>+IF(BA76="",IF('Retenue Fev'!EF51=0,"",'Retenue Fev'!EF51),BA76)</f>
        <v/>
      </c>
      <c r="BB75" s="919"/>
      <c r="BC75" s="920" t="str">
        <f>IF(BC76="",IF(+'Retenue Fev'!EG51=0,"",'Retenue Fev'!EG51),BC76)</f>
        <v/>
      </c>
      <c r="BD75" s="952"/>
      <c r="BE75" s="232"/>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Fev'!E50&amp;" hrs / "&amp;'Retenue Fev'!D50&amp;"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E76+Janvier!H76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232"/>
      <c r="BF76" s="129"/>
      <c r="BG76" s="129"/>
      <c r="BH76" s="129"/>
      <c r="BI76" s="129"/>
    </row>
    <row r="77" spans="1:83" ht="15.75" customHeight="1" x14ac:dyDescent="0.2">
      <c r="A77" s="2327" t="s">
        <v>66</v>
      </c>
      <c r="B77" s="2328"/>
      <c r="C77" s="2328"/>
      <c r="D77" s="2329"/>
      <c r="E77" s="1920">
        <f>ROUND(+T19+T20+T21+T22+T26,2)</f>
        <v>0</v>
      </c>
      <c r="F77" s="1915"/>
      <c r="G77" s="1921"/>
      <c r="H77" s="1920">
        <f ca="1">+E77+Janvier!H77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8"/>
      <c r="AV77" s="898"/>
      <c r="AW77" s="898"/>
      <c r="AX77" s="915"/>
      <c r="AY77" s="915"/>
      <c r="AZ77" s="909"/>
      <c r="BA77" s="916"/>
      <c r="BB77" s="916"/>
      <c r="BC77" s="916"/>
      <c r="BD77" s="916"/>
      <c r="BE77" s="232"/>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+IF(AR78="",Janvier!AL78,AR78)</f>
        <v>0</v>
      </c>
      <c r="AM78" s="2299"/>
      <c r="AN78" s="2299"/>
      <c r="AO78" s="2299"/>
      <c r="AQ78" s="420" t="s">
        <v>750</v>
      </c>
      <c r="AR78" s="2344"/>
      <c r="AS78" s="2344"/>
      <c r="AT78" s="2058" t="str">
        <f>IFERROR(VLOOKUP(AY78,'Liste des Libellés'!$A$4:$F$32,6,FALSE),"")</f>
        <v/>
      </c>
      <c r="AU78" s="2058"/>
      <c r="AV78" s="2058"/>
      <c r="AW78" s="2058"/>
      <c r="AX78" s="917"/>
      <c r="AY78" s="1772" t="str">
        <f>+IF(AX79="",IF('Retenue Fev'!EH53=0,"",'Retenue Fev'!EH53),AX79)</f>
        <v/>
      </c>
      <c r="AZ78" s="1772"/>
      <c r="BA78" s="918" t="str">
        <f>+IF(BA79="",IF('Retenue Fev'!EF53=0,"",'Retenue Fev'!EF53),BA79)</f>
        <v/>
      </c>
      <c r="BB78" s="919"/>
      <c r="BC78" s="920" t="str">
        <f>IF(BC79="",IF(+'Retenue Fev'!EG53=0,"",'Retenue Fev'!EG53),BC79)</f>
        <v/>
      </c>
      <c r="BD78" s="952"/>
      <c r="BE78" s="232"/>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232"/>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84" t="s">
        <v>141</v>
      </c>
      <c r="B80" s="1984"/>
      <c r="C80" s="1984"/>
      <c r="D80" s="1984"/>
      <c r="E80" s="2366"/>
      <c r="F80" s="2324" t="str">
        <f>+Janvier!F80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06/"&amp;Identification!B60-2002&amp;" à 05/"&amp;Identification!B60-2001</f>
        <v>Année préc. de 06/24 à 05/25</v>
      </c>
      <c r="AI80" s="2062"/>
      <c r="AJ80" s="2062"/>
      <c r="AK80" s="2063"/>
      <c r="AL80" s="2061" t="str">
        <f>+"Année en cours de 06/"&amp;Identification!B60-2001&amp;" à 05/"&amp;Identification!B60-2000</f>
        <v>Année en cours de 06/25 à 05/26</v>
      </c>
      <c r="AM80" s="2062"/>
      <c r="AN80" s="2062"/>
      <c r="AO80" s="2063"/>
      <c r="AP80" s="216"/>
      <c r="AQ80" s="326"/>
      <c r="AR80" s="216"/>
      <c r="AU80" s="232"/>
      <c r="AV80" s="899"/>
      <c r="AW80" s="899"/>
      <c r="AX80" s="909"/>
      <c r="AY80" s="909"/>
      <c r="AZ80" s="909"/>
      <c r="BA80" s="916"/>
      <c r="BB80" s="916"/>
      <c r="BC80" s="916"/>
      <c r="BD80" s="916"/>
      <c r="BE80" s="232"/>
      <c r="BF80" s="129"/>
      <c r="BG80" s="129"/>
      <c r="BH80" s="129"/>
      <c r="BI80" s="129"/>
      <c r="CA80" s="645"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Fev'!EH55=0,"",'Retenue Fev'!EH55),AX82)</f>
        <v/>
      </c>
      <c r="AZ81" s="1772"/>
      <c r="BA81" s="918" t="str">
        <f>+IF(BA82="",IF('Retenue Fev'!EF55=0,"",'Retenue Fev'!EF55),BA82)</f>
        <v/>
      </c>
      <c r="BB81" s="919"/>
      <c r="BC81" s="920" t="str">
        <f>IF(BC82="",IF(+'Retenue Fev'!EG55=0,"",'Retenue Fev'!EG55),BC82)</f>
        <v/>
      </c>
      <c r="BD81" s="952"/>
      <c r="BE81" s="232"/>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232"/>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232"/>
      <c r="AV83" s="899"/>
      <c r="AW83" s="899"/>
      <c r="AX83" s="909"/>
      <c r="AY83" s="909"/>
      <c r="AZ83" s="909"/>
      <c r="BA83" s="916"/>
      <c r="BB83" s="916"/>
      <c r="BC83" s="916"/>
      <c r="BD83" s="916"/>
      <c r="BE83" s="232"/>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Fev'!EH57=0,"",'Retenue Fev'!EH57),AX85)</f>
        <v/>
      </c>
      <c r="AZ84" s="1772"/>
      <c r="BA84" s="918" t="str">
        <f>+IF(BA85="",IF('Retenue Fev'!EF57=0,"",'Retenue Fev'!EF57),BA85)</f>
        <v/>
      </c>
      <c r="BB84" s="919"/>
      <c r="BC84" s="920" t="str">
        <f>IF(BC85="",IF(+'Retenue Fev'!EG57=0,"",'Retenue Fev'!EG57),BC85)</f>
        <v/>
      </c>
      <c r="BD84" s="952"/>
      <c r="BE84" s="232"/>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232"/>
      <c r="BF85" s="129"/>
      <c r="BG85" s="129"/>
      <c r="BH85" s="129"/>
      <c r="BI85" s="129"/>
      <c r="CB85" s="2349"/>
    </row>
    <row r="86" spans="1:82" ht="14.25" customHeight="1" thickBot="1" x14ac:dyDescent="0.25">
      <c r="A86" s="1827" t="s">
        <v>73</v>
      </c>
      <c r="B86" s="1827"/>
      <c r="C86" s="1827"/>
      <c r="D86" s="1827"/>
      <c r="E86" s="1827"/>
      <c r="F86" s="1932">
        <f>+Janvier!F86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IF(AR86="",+Janvier!AH86,AR86)</f>
        <v>0</v>
      </c>
      <c r="AI86" s="1734"/>
      <c r="AJ86" s="1734"/>
      <c r="AK86" s="1735"/>
      <c r="AL86" s="1733">
        <f>IF(AS86="",IF(DP8=52,+EI29+Janvier!AL86,+EI25+Janvier!AL86),IF(DP8=52,+EI29+Janvier!AL86+AS86,+EI25+Janvier!AL86+AS86))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46081</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+Janvier!AH87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+Janvier!AH89+Janvier!AH90</f>
        <v>0</v>
      </c>
      <c r="AI89" s="1734"/>
      <c r="AJ89" s="1734"/>
      <c r="AK89" s="1735"/>
      <c r="AL89" s="1733">
        <f>+Janvier!AL89+Janvier!AL90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f>+IF(AR93="",Janvier!AH93-COUNTIF(AD20:AF50,'Liste des Libellés'!A18),AR93)</f>
        <v>0</v>
      </c>
      <c r="AI93" s="1937"/>
      <c r="AJ93" s="1937"/>
      <c r="AK93" s="1938"/>
      <c r="AL93" s="1936"/>
      <c r="AM93" s="1937"/>
      <c r="AN93" s="1937"/>
      <c r="AO93" s="1938"/>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+DATE(YEAR(X3)-1,5,31)</f>
        <v>45808</v>
      </c>
      <c r="E99" s="2368"/>
      <c r="F99" s="2368"/>
      <c r="G99" s="2369">
        <f>+Janvier!G99</f>
        <v>0</v>
      </c>
      <c r="H99" s="2167"/>
      <c r="I99" s="2168"/>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+Janvier!G100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Z107" s="1449" t="str">
        <f>+$BG$9</f>
        <v>52026</v>
      </c>
      <c r="BA107" s="1450">
        <f>+$AT$4</f>
        <v>5</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62026</v>
      </c>
      <c r="BA108" s="1455">
        <f>+$AT$5</f>
        <v>6</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72026</v>
      </c>
      <c r="BA109" s="1455">
        <f>+$AT$6</f>
        <v>7</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82026</v>
      </c>
      <c r="BA110" s="1455">
        <f>+$AT$7</f>
        <v>8</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92026</v>
      </c>
      <c r="BA111" s="1455">
        <f>+$AT$8</f>
        <v>9</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52026</v>
      </c>
      <c r="BA142" s="1450">
        <f>+$AT$4</f>
        <v>5</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62026</v>
      </c>
      <c r="BA143" s="1455">
        <f>+$AT$5</f>
        <v>6</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72026</v>
      </c>
      <c r="BA144" s="1455">
        <f>+$AT$6</f>
        <v>7</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82026</v>
      </c>
      <c r="BA145" s="1455">
        <f>+$AT$7</f>
        <v>8</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92026</v>
      </c>
      <c r="BA146" s="1455">
        <f>+$AT$8</f>
        <v>9</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u0QWIuv/jUlqcQ8s92gY5uBM/j6S/CJKPAJnWlylWz5MxOZNOPA7PWaF/rAiDE3EWuhtmKbnnCvMc68mgNh6ww==" saltValue="U7ceha4HV+I22pQD7ywIxg==" spinCount="100000" sheet="1" objects="1" scenarios="1" formatCells="0" formatColumns="0" formatRows="0" insertColumns="0" insertRows="0" insertHyperlinks="0" sort="0" autoFilter="0" pivotTables="0"/>
  <mergeCells count="799">
    <mergeCell ref="AD137:AG137"/>
    <mergeCell ref="BE65:BF65"/>
    <mergeCell ref="BE68:BF68"/>
    <mergeCell ref="AD135:AE135"/>
    <mergeCell ref="AG135:AI135"/>
    <mergeCell ref="AJ135:AK135"/>
    <mergeCell ref="AC133:AD133"/>
    <mergeCell ref="AE133:AG133"/>
    <mergeCell ref="AH133:AI133"/>
    <mergeCell ref="AL80:AO82"/>
    <mergeCell ref="AH84:AK84"/>
    <mergeCell ref="AJ65:AL65"/>
    <mergeCell ref="AM66:AO66"/>
    <mergeCell ref="AD69:AK69"/>
    <mergeCell ref="AL69:AO69"/>
    <mergeCell ref="Z75:AK75"/>
    <mergeCell ref="CE3:CF3"/>
    <mergeCell ref="H42:J42"/>
    <mergeCell ref="R45:T45"/>
    <mergeCell ref="K46:M46"/>
    <mergeCell ref="K43:M43"/>
    <mergeCell ref="H46:J46"/>
    <mergeCell ref="AB41:AC41"/>
    <mergeCell ref="AG45:AI45"/>
    <mergeCell ref="AG46:AI46"/>
    <mergeCell ref="AD45:AF45"/>
    <mergeCell ref="AD43:AF43"/>
    <mergeCell ref="AG42:AI42"/>
    <mergeCell ref="N46:P46"/>
    <mergeCell ref="N44:P44"/>
    <mergeCell ref="CE5:CF5"/>
    <mergeCell ref="AG33:AI33"/>
    <mergeCell ref="BV21:BZ23"/>
    <mergeCell ref="BS28:BX28"/>
    <mergeCell ref="B31:K31"/>
    <mergeCell ref="U46:W46"/>
    <mergeCell ref="P33:S33"/>
    <mergeCell ref="AB44:AC44"/>
    <mergeCell ref="T30:W30"/>
    <mergeCell ref="CE8:CF8"/>
    <mergeCell ref="L32:O32"/>
    <mergeCell ref="B34:K34"/>
    <mergeCell ref="T35:W35"/>
    <mergeCell ref="R40:T40"/>
    <mergeCell ref="A39:G39"/>
    <mergeCell ref="AB32:AC32"/>
    <mergeCell ref="AM47:AO47"/>
    <mergeCell ref="R53:T53"/>
    <mergeCell ref="AJ131:AK131"/>
    <mergeCell ref="AL131:AN131"/>
    <mergeCell ref="AO131:AP131"/>
    <mergeCell ref="AM51:AO51"/>
    <mergeCell ref="AM49:AO49"/>
    <mergeCell ref="AM50:AO50"/>
    <mergeCell ref="AD47:AF47"/>
    <mergeCell ref="AH80:AK82"/>
    <mergeCell ref="Z78:AK78"/>
    <mergeCell ref="AA66:AF66"/>
    <mergeCell ref="AM64:AO64"/>
    <mergeCell ref="T65:Z65"/>
    <mergeCell ref="AL70:AO70"/>
    <mergeCell ref="AD71:AK71"/>
    <mergeCell ref="AD70:AK70"/>
    <mergeCell ref="Q78:T78"/>
    <mergeCell ref="AM41:AO41"/>
    <mergeCell ref="AJ45:AL45"/>
    <mergeCell ref="AJ44:AL44"/>
    <mergeCell ref="AG44:AI44"/>
    <mergeCell ref="AM44:AO44"/>
    <mergeCell ref="AM45:AO45"/>
    <mergeCell ref="AJ41:AL41"/>
    <mergeCell ref="AM42:AO42"/>
    <mergeCell ref="AJ40:AL40"/>
    <mergeCell ref="AJ43:AL43"/>
    <mergeCell ref="AJ42:AL42"/>
    <mergeCell ref="AB31:AC31"/>
    <mergeCell ref="X43:Z43"/>
    <mergeCell ref="X41:Z41"/>
    <mergeCell ref="X42:Z42"/>
    <mergeCell ref="AB40:AC40"/>
    <mergeCell ref="AB42:AC42"/>
    <mergeCell ref="AD38:AF38"/>
    <mergeCell ref="AG37:AI37"/>
    <mergeCell ref="AD37:AF37"/>
    <mergeCell ref="AD33:AF33"/>
    <mergeCell ref="AD39:AF39"/>
    <mergeCell ref="AB38:AC38"/>
    <mergeCell ref="R38:Z38"/>
    <mergeCell ref="P34:S34"/>
    <mergeCell ref="T33:W33"/>
    <mergeCell ref="AB34:AC34"/>
    <mergeCell ref="AD36:AF36"/>
    <mergeCell ref="AD35:AF35"/>
    <mergeCell ref="X39:Z39"/>
    <mergeCell ref="AB37:AC37"/>
    <mergeCell ref="AG38:AI38"/>
    <mergeCell ref="AD40:AF40"/>
    <mergeCell ref="X40:Z40"/>
    <mergeCell ref="AG43:AI43"/>
    <mergeCell ref="R42:T42"/>
    <mergeCell ref="L35:S35"/>
    <mergeCell ref="AG47:AI47"/>
    <mergeCell ref="AB48:AC48"/>
    <mergeCell ref="AM37:AO37"/>
    <mergeCell ref="AM38:AO38"/>
    <mergeCell ref="AJ37:AL37"/>
    <mergeCell ref="AJ38:AL38"/>
    <mergeCell ref="AB46:AC46"/>
    <mergeCell ref="AD46:AF46"/>
    <mergeCell ref="AD44:AF44"/>
    <mergeCell ref="AB39:AC39"/>
    <mergeCell ref="U47:W47"/>
    <mergeCell ref="AB47:AC47"/>
    <mergeCell ref="AJ48:AL48"/>
    <mergeCell ref="AM48:AO48"/>
    <mergeCell ref="AD48:AF48"/>
    <mergeCell ref="AM43:AO43"/>
    <mergeCell ref="AM39:AO39"/>
    <mergeCell ref="AM46:AO46"/>
    <mergeCell ref="AG39:AI39"/>
    <mergeCell ref="AG40:AI40"/>
    <mergeCell ref="AM40:AO40"/>
    <mergeCell ref="AG41:AI41"/>
    <mergeCell ref="AM26:AO26"/>
    <mergeCell ref="AM27:AO27"/>
    <mergeCell ref="AD34:AF34"/>
    <mergeCell ref="AJ30:AL30"/>
    <mergeCell ref="AB29:AC29"/>
    <mergeCell ref="A40:G40"/>
    <mergeCell ref="P30:S30"/>
    <mergeCell ref="P31:S31"/>
    <mergeCell ref="AD30:AF30"/>
    <mergeCell ref="AB36:AC36"/>
    <mergeCell ref="AB35:AC35"/>
    <mergeCell ref="AD29:AF29"/>
    <mergeCell ref="T29:W29"/>
    <mergeCell ref="AJ29:AL29"/>
    <mergeCell ref="AG29:AI29"/>
    <mergeCell ref="AM33:AO33"/>
    <mergeCell ref="AD31:AF31"/>
    <mergeCell ref="AD32:AF32"/>
    <mergeCell ref="T31:W31"/>
    <mergeCell ref="AG34:AI34"/>
    <mergeCell ref="AJ34:AL34"/>
    <mergeCell ref="R39:T39"/>
    <mergeCell ref="AM35:AO35"/>
    <mergeCell ref="AJ35:AL35"/>
    <mergeCell ref="AG24:AI24"/>
    <mergeCell ref="AJ26:AL26"/>
    <mergeCell ref="AG27:AI27"/>
    <mergeCell ref="AM25:AO25"/>
    <mergeCell ref="AD22:AF22"/>
    <mergeCell ref="AD27:AF27"/>
    <mergeCell ref="N39:P39"/>
    <mergeCell ref="AG32:AI32"/>
    <mergeCell ref="AG30:AI30"/>
    <mergeCell ref="L33:O33"/>
    <mergeCell ref="H38:P38"/>
    <mergeCell ref="AM29:AO29"/>
    <mergeCell ref="AD26:AF26"/>
    <mergeCell ref="AG26:AI26"/>
    <mergeCell ref="AJ28:AL28"/>
    <mergeCell ref="AG28:AI28"/>
    <mergeCell ref="AM28:AO28"/>
    <mergeCell ref="B33:K33"/>
    <mergeCell ref="H39:J39"/>
    <mergeCell ref="AG25:AI25"/>
    <mergeCell ref="AD25:AF25"/>
    <mergeCell ref="AJ39:AL39"/>
    <mergeCell ref="AB30:AC30"/>
    <mergeCell ref="AB33:AC33"/>
    <mergeCell ref="AF3:AH3"/>
    <mergeCell ref="Z5:AA5"/>
    <mergeCell ref="AI3:AO3"/>
    <mergeCell ref="AF4:AI4"/>
    <mergeCell ref="AB5:AC5"/>
    <mergeCell ref="A3:R3"/>
    <mergeCell ref="X3:AC3"/>
    <mergeCell ref="AB18:AC19"/>
    <mergeCell ref="AB20:AC20"/>
    <mergeCell ref="Y15:Z15"/>
    <mergeCell ref="A4:D4"/>
    <mergeCell ref="E4:R4"/>
    <mergeCell ref="A5:D5"/>
    <mergeCell ref="A17:K17"/>
    <mergeCell ref="L18:O18"/>
    <mergeCell ref="E5:R5"/>
    <mergeCell ref="A18:K18"/>
    <mergeCell ref="A8:D8"/>
    <mergeCell ref="L17:O17"/>
    <mergeCell ref="P18:S18"/>
    <mergeCell ref="A19:K19"/>
    <mergeCell ref="A14:H14"/>
    <mergeCell ref="I14:L14"/>
    <mergeCell ref="P19:S19"/>
    <mergeCell ref="A1:AO1"/>
    <mergeCell ref="B27:K27"/>
    <mergeCell ref="AJ4:AO4"/>
    <mergeCell ref="AM18:AO19"/>
    <mergeCell ref="AG18:AI19"/>
    <mergeCell ref="X4:AC4"/>
    <mergeCell ref="V8:Y8"/>
    <mergeCell ref="V9:Y9"/>
    <mergeCell ref="V7:AO7"/>
    <mergeCell ref="AB23:AC23"/>
    <mergeCell ref="AD23:AF23"/>
    <mergeCell ref="T17:W17"/>
    <mergeCell ref="AD20:AF20"/>
    <mergeCell ref="AM20:AO20"/>
    <mergeCell ref="X5:Y5"/>
    <mergeCell ref="Z12:AG12"/>
    <mergeCell ref="AH12:AO12"/>
    <mergeCell ref="V12:Y12"/>
    <mergeCell ref="AJ23:AL23"/>
    <mergeCell ref="AD24:AF24"/>
    <mergeCell ref="AG23:AI23"/>
    <mergeCell ref="E6:R6"/>
    <mergeCell ref="E7:R7"/>
    <mergeCell ref="L19:O19"/>
    <mergeCell ref="A6:D6"/>
    <mergeCell ref="A7:D7"/>
    <mergeCell ref="P15:X15"/>
    <mergeCell ref="N15:O15"/>
    <mergeCell ref="C15:M15"/>
    <mergeCell ref="O14:T14"/>
    <mergeCell ref="E8:R8"/>
    <mergeCell ref="V10:Y10"/>
    <mergeCell ref="V11:Y11"/>
    <mergeCell ref="U14:X14"/>
    <mergeCell ref="A10:M11"/>
    <mergeCell ref="A23:A24"/>
    <mergeCell ref="B23:K23"/>
    <mergeCell ref="B24:K24"/>
    <mergeCell ref="GF17:GF18"/>
    <mergeCell ref="L23:O23"/>
    <mergeCell ref="L24:O24"/>
    <mergeCell ref="P23:S23"/>
    <mergeCell ref="P24:S24"/>
    <mergeCell ref="L22:O22"/>
    <mergeCell ref="AM24:AO24"/>
    <mergeCell ref="AJ24:AL24"/>
    <mergeCell ref="T22:W22"/>
    <mergeCell ref="T23:W23"/>
    <mergeCell ref="T24:W24"/>
    <mergeCell ref="AB24:AC24"/>
    <mergeCell ref="P22:S22"/>
    <mergeCell ref="A22:K22"/>
    <mergeCell ref="P20:S20"/>
    <mergeCell ref="T20:W20"/>
    <mergeCell ref="T21:W21"/>
    <mergeCell ref="P21:S21"/>
    <mergeCell ref="A21:K21"/>
    <mergeCell ref="AB22:AC22"/>
    <mergeCell ref="AG20:AI20"/>
    <mergeCell ref="CG8:CI8"/>
    <mergeCell ref="BQ8:BX8"/>
    <mergeCell ref="AR12:BF12"/>
    <mergeCell ref="AR13:AZ13"/>
    <mergeCell ref="AR14:AZ14"/>
    <mergeCell ref="L21:O21"/>
    <mergeCell ref="P17:S17"/>
    <mergeCell ref="L20:O20"/>
    <mergeCell ref="A20:K20"/>
    <mergeCell ref="Z8:AO8"/>
    <mergeCell ref="Z9:AO9"/>
    <mergeCell ref="Z10:AO10"/>
    <mergeCell ref="Z11:AO11"/>
    <mergeCell ref="T19:W19"/>
    <mergeCell ref="AW20:AX20"/>
    <mergeCell ref="BM18:BM19"/>
    <mergeCell ref="AB21:AC21"/>
    <mergeCell ref="T18:W18"/>
    <mergeCell ref="AL14:AO14"/>
    <mergeCell ref="AJ20:AL20"/>
    <mergeCell ref="AJ18:AL19"/>
    <mergeCell ref="AL15:AO15"/>
    <mergeCell ref="AE14:AK14"/>
    <mergeCell ref="AE15:AK15"/>
    <mergeCell ref="EQ17:EU17"/>
    <mergeCell ref="AT18:AT19"/>
    <mergeCell ref="AU18:AU19"/>
    <mergeCell ref="AD18:AF19"/>
    <mergeCell ref="AM21:AO21"/>
    <mergeCell ref="AM22:AO22"/>
    <mergeCell ref="AM23:AO23"/>
    <mergeCell ref="AJ22:AL22"/>
    <mergeCell ref="BH17:BI17"/>
    <mergeCell ref="BK18:BK19"/>
    <mergeCell ref="AG21:AI21"/>
    <mergeCell ref="AJ21:AL21"/>
    <mergeCell ref="AG22:AI22"/>
    <mergeCell ref="AW22:AX22"/>
    <mergeCell ref="AD21:AF21"/>
    <mergeCell ref="HO16:HR16"/>
    <mergeCell ref="GW16:HF16"/>
    <mergeCell ref="HG16:HJ16"/>
    <mergeCell ref="AW21:AX21"/>
    <mergeCell ref="HK16:HN16"/>
    <mergeCell ref="AE129:AF129"/>
    <mergeCell ref="AN129:AO129"/>
    <mergeCell ref="AL85:AO85"/>
    <mergeCell ref="AI127:AJ127"/>
    <mergeCell ref="AM125:AP125"/>
    <mergeCell ref="AM127:AP127"/>
    <mergeCell ref="AL89:AO89"/>
    <mergeCell ref="AL93:AO93"/>
    <mergeCell ref="AL90:AO90"/>
    <mergeCell ref="AL88:AO88"/>
    <mergeCell ref="AH85:AK85"/>
    <mergeCell ref="AE123:AF123"/>
    <mergeCell ref="GG17:GG18"/>
    <mergeCell ref="GH17:GH18"/>
    <mergeCell ref="BN18:BN19"/>
    <mergeCell ref="BD18:BD19"/>
    <mergeCell ref="BL18:BL19"/>
    <mergeCell ref="BC17:BE17"/>
    <mergeCell ref="AW23:AX23"/>
    <mergeCell ref="L125:M125"/>
    <mergeCell ref="A87:E87"/>
    <mergeCell ref="L123:M123"/>
    <mergeCell ref="S102:T103"/>
    <mergeCell ref="AL92:AO92"/>
    <mergeCell ref="AH92:AK92"/>
    <mergeCell ref="AH91:AK91"/>
    <mergeCell ref="AL91:AO91"/>
    <mergeCell ref="AJ125:AK125"/>
    <mergeCell ref="G100:I100"/>
    <mergeCell ref="C98:O98"/>
    <mergeCell ref="D99:F99"/>
    <mergeCell ref="G99:I99"/>
    <mergeCell ref="R89:T89"/>
    <mergeCell ref="B104:AO118"/>
    <mergeCell ref="AN123:AO123"/>
    <mergeCell ref="AL87:AO87"/>
    <mergeCell ref="A88:E88"/>
    <mergeCell ref="R90:T90"/>
    <mergeCell ref="AH93:AK93"/>
    <mergeCell ref="AH88:AK88"/>
    <mergeCell ref="AH89:AK89"/>
    <mergeCell ref="R87:T87"/>
    <mergeCell ref="R88:T88"/>
    <mergeCell ref="K90:Q90"/>
    <mergeCell ref="AH90:AK90"/>
    <mergeCell ref="F87:I87"/>
    <mergeCell ref="V88:AG88"/>
    <mergeCell ref="V89:AG89"/>
    <mergeCell ref="V90:AG90"/>
    <mergeCell ref="V91:AG91"/>
    <mergeCell ref="V92:AG92"/>
    <mergeCell ref="V93:AG93"/>
    <mergeCell ref="V87:AG87"/>
    <mergeCell ref="AH87:AK87"/>
    <mergeCell ref="AJ51:AL51"/>
    <mergeCell ref="AB57:AL57"/>
    <mergeCell ref="U54:W54"/>
    <mergeCell ref="X54:Z54"/>
    <mergeCell ref="AB54:AO54"/>
    <mergeCell ref="AB55:AL55"/>
    <mergeCell ref="AM55:AO55"/>
    <mergeCell ref="AM57:AO57"/>
    <mergeCell ref="A86:E86"/>
    <mergeCell ref="F86:L86"/>
    <mergeCell ref="V86:AG86"/>
    <mergeCell ref="AH86:AK86"/>
    <mergeCell ref="AJ62:AL62"/>
    <mergeCell ref="AM56:AO56"/>
    <mergeCell ref="U53:W53"/>
    <mergeCell ref="X57:Z57"/>
    <mergeCell ref="U57:W57"/>
    <mergeCell ref="N51:P51"/>
    <mergeCell ref="AL74:AO74"/>
    <mergeCell ref="R70:Y70"/>
    <mergeCell ref="AG66:AI66"/>
    <mergeCell ref="AM62:AO62"/>
    <mergeCell ref="AB51:AC51"/>
    <mergeCell ref="AD51:AF51"/>
    <mergeCell ref="AM63:AO63"/>
    <mergeCell ref="AA63:AF63"/>
    <mergeCell ref="AM65:AO65"/>
    <mergeCell ref="AA65:AF65"/>
    <mergeCell ref="N52:P52"/>
    <mergeCell ref="R69:AB69"/>
    <mergeCell ref="AG64:AI64"/>
    <mergeCell ref="AG65:AI65"/>
    <mergeCell ref="U59:W59"/>
    <mergeCell ref="X59:Z59"/>
    <mergeCell ref="T67:Z67"/>
    <mergeCell ref="T66:Z66"/>
    <mergeCell ref="AG63:AI63"/>
    <mergeCell ref="AA64:AF64"/>
    <mergeCell ref="V82:Y82"/>
    <mergeCell ref="V80:AF81"/>
    <mergeCell ref="Q76:T76"/>
    <mergeCell ref="E75:G75"/>
    <mergeCell ref="AG51:AI51"/>
    <mergeCell ref="Q74:T74"/>
    <mergeCell ref="AX82:AY82"/>
    <mergeCell ref="AY78:AZ78"/>
    <mergeCell ref="AX79:AY79"/>
    <mergeCell ref="N72:P72"/>
    <mergeCell ref="N70:P70"/>
    <mergeCell ref="N71:P71"/>
    <mergeCell ref="R71:Y71"/>
    <mergeCell ref="Z70:AB70"/>
    <mergeCell ref="AL71:AO71"/>
    <mergeCell ref="Z71:AB71"/>
    <mergeCell ref="R67:S67"/>
    <mergeCell ref="AJ66:AL66"/>
    <mergeCell ref="AU60:AW60"/>
    <mergeCell ref="U56:W56"/>
    <mergeCell ref="R56:T56"/>
    <mergeCell ref="AB56:AL56"/>
    <mergeCell ref="AU73:BB73"/>
    <mergeCell ref="X60:Z60"/>
    <mergeCell ref="B67:G67"/>
    <mergeCell ref="H64:J64"/>
    <mergeCell ref="H68:J68"/>
    <mergeCell ref="K68:M68"/>
    <mergeCell ref="I85:P85"/>
    <mergeCell ref="Q85:T85"/>
    <mergeCell ref="AL75:AO75"/>
    <mergeCell ref="AL77:AO77"/>
    <mergeCell ref="Z77:AK77"/>
    <mergeCell ref="L78:P78"/>
    <mergeCell ref="L76:P76"/>
    <mergeCell ref="H77:K77"/>
    <mergeCell ref="F81:H81"/>
    <mergeCell ref="F80:H80"/>
    <mergeCell ref="H76:K76"/>
    <mergeCell ref="H75:K75"/>
    <mergeCell ref="F82:H82"/>
    <mergeCell ref="V84:AG84"/>
    <mergeCell ref="V85:AG85"/>
    <mergeCell ref="V83:AG83"/>
    <mergeCell ref="AL84:AO84"/>
    <mergeCell ref="AL83:AO83"/>
    <mergeCell ref="AL78:AO78"/>
    <mergeCell ref="AH83:AK83"/>
    <mergeCell ref="N67:P67"/>
    <mergeCell ref="H66:J66"/>
    <mergeCell ref="H67:J67"/>
    <mergeCell ref="K67:M67"/>
    <mergeCell ref="K65:M65"/>
    <mergeCell ref="R64:S64"/>
    <mergeCell ref="X56:Z56"/>
    <mergeCell ref="B71:G71"/>
    <mergeCell ref="C70:G70"/>
    <mergeCell ref="N69:P69"/>
    <mergeCell ref="K71:M71"/>
    <mergeCell ref="K69:M69"/>
    <mergeCell ref="H71:J71"/>
    <mergeCell ref="H70:J70"/>
    <mergeCell ref="T63:Z63"/>
    <mergeCell ref="N68:P68"/>
    <mergeCell ref="N66:P66"/>
    <mergeCell ref="N65:P65"/>
    <mergeCell ref="R66:S66"/>
    <mergeCell ref="T64:Z64"/>
    <mergeCell ref="H69:J69"/>
    <mergeCell ref="K70:M70"/>
    <mergeCell ref="B68:G68"/>
    <mergeCell ref="N58:P58"/>
    <mergeCell ref="B66:G66"/>
    <mergeCell ref="B65:G65"/>
    <mergeCell ref="A64:G64"/>
    <mergeCell ref="A65:A70"/>
    <mergeCell ref="B69:G69"/>
    <mergeCell ref="A57:G57"/>
    <mergeCell ref="A60:G60"/>
    <mergeCell ref="A83:E83"/>
    <mergeCell ref="K66:M66"/>
    <mergeCell ref="A82:E82"/>
    <mergeCell ref="A74:D74"/>
    <mergeCell ref="A77:D77"/>
    <mergeCell ref="H74:K74"/>
    <mergeCell ref="H73:K73"/>
    <mergeCell ref="E74:G74"/>
    <mergeCell ref="E77:G77"/>
    <mergeCell ref="A81:E81"/>
    <mergeCell ref="A80:E80"/>
    <mergeCell ref="A76:D76"/>
    <mergeCell ref="E76:G76"/>
    <mergeCell ref="A75:D75"/>
    <mergeCell ref="E73:G73"/>
    <mergeCell ref="F83:H83"/>
    <mergeCell ref="L74:P74"/>
    <mergeCell ref="K60:M60"/>
    <mergeCell ref="N55:P55"/>
    <mergeCell ref="N57:P57"/>
    <mergeCell ref="N56:P56"/>
    <mergeCell ref="A55:G55"/>
    <mergeCell ref="A51:G51"/>
    <mergeCell ref="A53:G53"/>
    <mergeCell ref="A50:G50"/>
    <mergeCell ref="U55:W55"/>
    <mergeCell ref="U52:W52"/>
    <mergeCell ref="R51:T51"/>
    <mergeCell ref="R54:T54"/>
    <mergeCell ref="R55:T55"/>
    <mergeCell ref="R52:T52"/>
    <mergeCell ref="U51:W51"/>
    <mergeCell ref="K55:M55"/>
    <mergeCell ref="H50:J50"/>
    <mergeCell ref="N50:P50"/>
    <mergeCell ref="A59:G59"/>
    <mergeCell ref="A56:G56"/>
    <mergeCell ref="A58:G58"/>
    <mergeCell ref="U39:W39"/>
    <mergeCell ref="U41:W41"/>
    <mergeCell ref="U40:W40"/>
    <mergeCell ref="B32:K32"/>
    <mergeCell ref="H65:J65"/>
    <mergeCell ref="R65:S65"/>
    <mergeCell ref="H62:M62"/>
    <mergeCell ref="H61:M61"/>
    <mergeCell ref="H56:J56"/>
    <mergeCell ref="K53:M53"/>
    <mergeCell ref="R63:S63"/>
    <mergeCell ref="N62:P62"/>
    <mergeCell ref="K59:M59"/>
    <mergeCell ref="H57:J57"/>
    <mergeCell ref="R61:W61"/>
    <mergeCell ref="N59:P59"/>
    <mergeCell ref="R59:T59"/>
    <mergeCell ref="R57:T57"/>
    <mergeCell ref="R58:T58"/>
    <mergeCell ref="U58:W58"/>
    <mergeCell ref="N60:P60"/>
    <mergeCell ref="R60:T60"/>
    <mergeCell ref="U60:W60"/>
    <mergeCell ref="H60:J60"/>
    <mergeCell ref="AJ27:AL27"/>
    <mergeCell ref="AB28:AC28"/>
    <mergeCell ref="P25:S25"/>
    <mergeCell ref="AB27:AC27"/>
    <mergeCell ref="A41:G41"/>
    <mergeCell ref="H40:J40"/>
    <mergeCell ref="N40:P40"/>
    <mergeCell ref="K39:M39"/>
    <mergeCell ref="A29:A34"/>
    <mergeCell ref="T32:W32"/>
    <mergeCell ref="T34:W34"/>
    <mergeCell ref="B29:K29"/>
    <mergeCell ref="L30:O30"/>
    <mergeCell ref="P29:S29"/>
    <mergeCell ref="L29:O29"/>
    <mergeCell ref="L31:O31"/>
    <mergeCell ref="H41:J41"/>
    <mergeCell ref="B30:K30"/>
    <mergeCell ref="K41:M41"/>
    <mergeCell ref="R41:T41"/>
    <mergeCell ref="P32:S32"/>
    <mergeCell ref="N41:P41"/>
    <mergeCell ref="K40:M40"/>
    <mergeCell ref="L34:O34"/>
    <mergeCell ref="AJ33:AL33"/>
    <mergeCell ref="AG35:AI35"/>
    <mergeCell ref="AJ36:AL36"/>
    <mergeCell ref="AG36:AI36"/>
    <mergeCell ref="AJ25:AL25"/>
    <mergeCell ref="A27:A28"/>
    <mergeCell ref="T26:W26"/>
    <mergeCell ref="AD28:AF28"/>
    <mergeCell ref="A25:A26"/>
    <mergeCell ref="B26:K26"/>
    <mergeCell ref="T25:W25"/>
    <mergeCell ref="L26:O26"/>
    <mergeCell ref="P26:S26"/>
    <mergeCell ref="T28:W28"/>
    <mergeCell ref="L25:O25"/>
    <mergeCell ref="B25:K25"/>
    <mergeCell ref="B28:K28"/>
    <mergeCell ref="L28:O28"/>
    <mergeCell ref="T27:W27"/>
    <mergeCell ref="L27:O27"/>
    <mergeCell ref="P28:S28"/>
    <mergeCell ref="AB25:AC25"/>
    <mergeCell ref="P27:S27"/>
    <mergeCell ref="AB26:AC26"/>
    <mergeCell ref="H43:J43"/>
    <mergeCell ref="A48:G48"/>
    <mergeCell ref="X46:Z46"/>
    <mergeCell ref="N42:P42"/>
    <mergeCell ref="H47:J47"/>
    <mergeCell ref="R47:T47"/>
    <mergeCell ref="R43:T43"/>
    <mergeCell ref="K42:M42"/>
    <mergeCell ref="R46:T46"/>
    <mergeCell ref="A43:G43"/>
    <mergeCell ref="A42:G42"/>
    <mergeCell ref="H45:J45"/>
    <mergeCell ref="A44:G44"/>
    <mergeCell ref="K44:M44"/>
    <mergeCell ref="A46:G46"/>
    <mergeCell ref="H44:J44"/>
    <mergeCell ref="N45:P45"/>
    <mergeCell ref="N43:P43"/>
    <mergeCell ref="A45:G45"/>
    <mergeCell ref="H48:J48"/>
    <mergeCell ref="K48:M48"/>
    <mergeCell ref="K45:M45"/>
    <mergeCell ref="R44:T44"/>
    <mergeCell ref="A47:G47"/>
    <mergeCell ref="BR2:BX2"/>
    <mergeCell ref="AX3:AZ3"/>
    <mergeCell ref="BA13:BC14"/>
    <mergeCell ref="BF2:BQ2"/>
    <mergeCell ref="AW37:AX37"/>
    <mergeCell ref="AW38:AX38"/>
    <mergeCell ref="AW39:AX39"/>
    <mergeCell ref="AW40:AX40"/>
    <mergeCell ref="AW41:AX41"/>
    <mergeCell ref="AW28:AX28"/>
    <mergeCell ref="AW29:AX29"/>
    <mergeCell ref="AW30:AX30"/>
    <mergeCell ref="AW31:AX31"/>
    <mergeCell ref="AW32:AX32"/>
    <mergeCell ref="AW33:AX33"/>
    <mergeCell ref="AW34:AX34"/>
    <mergeCell ref="BE18:BE19"/>
    <mergeCell ref="BR4:BX4"/>
    <mergeCell ref="BS32:BX32"/>
    <mergeCell ref="BS33:BX33"/>
    <mergeCell ref="BS31:BX31"/>
    <mergeCell ref="BQ41:BV41"/>
    <mergeCell ref="AW35:AX35"/>
    <mergeCell ref="AW26:AX26"/>
    <mergeCell ref="BH7:BI7"/>
    <mergeCell ref="AV95:AY95"/>
    <mergeCell ref="AW46:AX46"/>
    <mergeCell ref="AW47:AX47"/>
    <mergeCell ref="AW48:AX48"/>
    <mergeCell ref="AW49:AX49"/>
    <mergeCell ref="AW50:AX50"/>
    <mergeCell ref="AR129:AS129"/>
    <mergeCell ref="AR123:AS123"/>
    <mergeCell ref="BA104:BA105"/>
    <mergeCell ref="BB104:BC105"/>
    <mergeCell ref="BD104:BD105"/>
    <mergeCell ref="AW36:AX36"/>
    <mergeCell ref="AU72:BB72"/>
    <mergeCell ref="AR65:AZ65"/>
    <mergeCell ref="AR68:AZ68"/>
    <mergeCell ref="BE104:BE105"/>
    <mergeCell ref="AX76:AY76"/>
    <mergeCell ref="AY75:AZ75"/>
    <mergeCell ref="AX60:AY60"/>
    <mergeCell ref="AR66:AZ66"/>
    <mergeCell ref="AY81:AZ81"/>
    <mergeCell ref="AQ62:AU62"/>
    <mergeCell ref="AQ63:AU63"/>
    <mergeCell ref="AG49:AI49"/>
    <mergeCell ref="AJ47:AL47"/>
    <mergeCell ref="AD50:AF50"/>
    <mergeCell ref="U50:W50"/>
    <mergeCell ref="AJ50:AL50"/>
    <mergeCell ref="AB50:AC50"/>
    <mergeCell ref="AG48:AI48"/>
    <mergeCell ref="AG50:AI50"/>
    <mergeCell ref="X45:Z45"/>
    <mergeCell ref="U45:W45"/>
    <mergeCell ref="X50:Z50"/>
    <mergeCell ref="AB45:AC45"/>
    <mergeCell ref="AJ49:AL49"/>
    <mergeCell ref="AB49:AC49"/>
    <mergeCell ref="AD49:AF49"/>
    <mergeCell ref="N48:P48"/>
    <mergeCell ref="X55:Z55"/>
    <mergeCell ref="R49:T49"/>
    <mergeCell ref="H49:J49"/>
    <mergeCell ref="H51:J51"/>
    <mergeCell ref="K51:M51"/>
    <mergeCell ref="H53:J53"/>
    <mergeCell ref="K49:M49"/>
    <mergeCell ref="N54:P54"/>
    <mergeCell ref="X53:Z53"/>
    <mergeCell ref="U49:W49"/>
    <mergeCell ref="X49:Z49"/>
    <mergeCell ref="R50:T50"/>
    <mergeCell ref="N53:P53"/>
    <mergeCell ref="U48:W48"/>
    <mergeCell ref="X48:Z48"/>
    <mergeCell ref="R48:T48"/>
    <mergeCell ref="K50:M50"/>
    <mergeCell ref="K54:M54"/>
    <mergeCell ref="X52:Z52"/>
    <mergeCell ref="X51:Z51"/>
    <mergeCell ref="N47:P47"/>
    <mergeCell ref="X47:Z47"/>
    <mergeCell ref="K47:M47"/>
    <mergeCell ref="BY26:BY27"/>
    <mergeCell ref="CA26:CA27"/>
    <mergeCell ref="BY44:BY45"/>
    <mergeCell ref="BS30:BX30"/>
    <mergeCell ref="BS29:BX29"/>
    <mergeCell ref="AW27:AX27"/>
    <mergeCell ref="AB43:AC43"/>
    <mergeCell ref="AD42:AF42"/>
    <mergeCell ref="AD41:AF41"/>
    <mergeCell ref="X44:Z44"/>
    <mergeCell ref="U43:W43"/>
    <mergeCell ref="U42:W42"/>
    <mergeCell ref="U44:W44"/>
    <mergeCell ref="AJ32:AL32"/>
    <mergeCell ref="AM30:AO30"/>
    <mergeCell ref="AM36:AO36"/>
    <mergeCell ref="AM32:AO32"/>
    <mergeCell ref="AG31:AI31"/>
    <mergeCell ref="AM34:AO34"/>
    <mergeCell ref="AM31:AO31"/>
    <mergeCell ref="AJ31:AL31"/>
    <mergeCell ref="K56:M56"/>
    <mergeCell ref="K57:M57"/>
    <mergeCell ref="X58:Z58"/>
    <mergeCell ref="AJ46:AL46"/>
    <mergeCell ref="CB84:CB86"/>
    <mergeCell ref="BZ44:BZ45"/>
    <mergeCell ref="CA44:CA45"/>
    <mergeCell ref="AX85:AY85"/>
    <mergeCell ref="BY49:BZ50"/>
    <mergeCell ref="CA49:CA50"/>
    <mergeCell ref="BZ47:BZ48"/>
    <mergeCell ref="CA47:CA48"/>
    <mergeCell ref="BQ82:BY82"/>
    <mergeCell ref="BC62:BF64"/>
    <mergeCell ref="BY47:BY48"/>
    <mergeCell ref="AY84:AZ84"/>
    <mergeCell ref="AX61:AY61"/>
    <mergeCell ref="BQ54:BZ54"/>
    <mergeCell ref="BI56:BX56"/>
    <mergeCell ref="BW57:BX57"/>
    <mergeCell ref="BI59:BX59"/>
    <mergeCell ref="BI60:BX60"/>
    <mergeCell ref="AW44:AX44"/>
    <mergeCell ref="AT78:AW78"/>
    <mergeCell ref="BA139:BA140"/>
    <mergeCell ref="BB139:BC140"/>
    <mergeCell ref="BD139:BD140"/>
    <mergeCell ref="BE139:BE140"/>
    <mergeCell ref="BA137:BH137"/>
    <mergeCell ref="BA102:BH102"/>
    <mergeCell ref="AR69:AZ69"/>
    <mergeCell ref="AT75:AW75"/>
    <mergeCell ref="AU61:AW61"/>
    <mergeCell ref="AX62:AY62"/>
    <mergeCell ref="AX63:AY63"/>
    <mergeCell ref="AT81:AW81"/>
    <mergeCell ref="AR78:AS78"/>
    <mergeCell ref="AQ81:AS81"/>
    <mergeCell ref="AT84:AW84"/>
    <mergeCell ref="AQ77:AT77"/>
    <mergeCell ref="AJ64:AL64"/>
    <mergeCell ref="AJ63:AL63"/>
    <mergeCell ref="BQ36:CA36"/>
    <mergeCell ref="A49:G49"/>
    <mergeCell ref="A52:G52"/>
    <mergeCell ref="H52:J52"/>
    <mergeCell ref="K52:M52"/>
    <mergeCell ref="AL73:AO73"/>
    <mergeCell ref="Z74:AK74"/>
    <mergeCell ref="Z73:AK73"/>
    <mergeCell ref="Y73:Y75"/>
    <mergeCell ref="AC69:AC71"/>
    <mergeCell ref="A54:G54"/>
    <mergeCell ref="H54:J54"/>
    <mergeCell ref="N49:P49"/>
    <mergeCell ref="H55:J55"/>
    <mergeCell ref="H59:J59"/>
    <mergeCell ref="H58:J58"/>
    <mergeCell ref="K58:M58"/>
    <mergeCell ref="R62:T62"/>
    <mergeCell ref="X61:Z61"/>
    <mergeCell ref="N64:P64"/>
    <mergeCell ref="N61:P61"/>
    <mergeCell ref="K64:M64"/>
    <mergeCell ref="BR5:BX5"/>
    <mergeCell ref="GP17:GP18"/>
    <mergeCell ref="GQ17:GQ18"/>
    <mergeCell ref="AL86:AO86"/>
    <mergeCell ref="BQ15:CC17"/>
    <mergeCell ref="AR18:AR19"/>
    <mergeCell ref="AW24:AX24"/>
    <mergeCell ref="AW25:AX25"/>
    <mergeCell ref="CC44:CD44"/>
    <mergeCell ref="CC45:CD45"/>
    <mergeCell ref="BI18:BI19"/>
    <mergeCell ref="BF18:BF19"/>
    <mergeCell ref="BC18:BC19"/>
    <mergeCell ref="BO18:BO19"/>
    <mergeCell ref="BJ18:BJ19"/>
    <mergeCell ref="BH18:BH19"/>
    <mergeCell ref="BP18:BP19"/>
    <mergeCell ref="AZ18:AZ19"/>
    <mergeCell ref="BA18:BA19"/>
    <mergeCell ref="AW42:AX42"/>
    <mergeCell ref="AW43:AX43"/>
    <mergeCell ref="AW45:AX45"/>
    <mergeCell ref="BQ42:BW43"/>
    <mergeCell ref="BZ26:BZ27"/>
  </mergeCells>
  <conditionalFormatting sqref="A20:W20">
    <cfRule type="expression" dxfId="1579" priority="16">
      <formula>$U$14=0</formula>
    </cfRule>
  </conditionalFormatting>
  <conditionalFormatting sqref="B26:K26">
    <cfRule type="expression" dxfId="1578" priority="26">
      <formula>$U$14=0</formula>
    </cfRule>
  </conditionalFormatting>
  <conditionalFormatting sqref="B29:K29">
    <cfRule type="cellIs" dxfId="1577" priority="13" operator="greaterThan">
      <formula>0</formula>
    </cfRule>
  </conditionalFormatting>
  <conditionalFormatting sqref="C70:G70">
    <cfRule type="cellIs" dxfId="1576" priority="7" operator="greaterThan">
      <formula>0</formula>
    </cfRule>
  </conditionalFormatting>
  <conditionalFormatting sqref="F87:I87">
    <cfRule type="cellIs" dxfId="1575" priority="2" operator="greaterThan">
      <formula>0</formula>
    </cfRule>
  </conditionalFormatting>
  <conditionalFormatting sqref="F86:L86">
    <cfRule type="cellIs" dxfId="1574" priority="3" operator="greaterThan">
      <formula>0</formula>
    </cfRule>
  </conditionalFormatting>
  <conditionalFormatting sqref="H65:J65">
    <cfRule type="expression" dxfId="1573" priority="40">
      <formula>AND($AX$60="Oui",$AZ$62="hrs")</formula>
    </cfRule>
    <cfRule type="expression" dxfId="1572" priority="38">
      <formula>AND($AX$60="Oui",$AZ$62="")</formula>
    </cfRule>
  </conditionalFormatting>
  <conditionalFormatting sqref="H66:J66">
    <cfRule type="expression" dxfId="1571" priority="37">
      <formula>AND($BW$41="Oui",$AX$61="Non")</formula>
    </cfRule>
    <cfRule type="expression" dxfId="1570" priority="36">
      <formula>AND($BW$41="Non",$AX$61="Non")</formula>
    </cfRule>
    <cfRule type="expression" dxfId="1569" priority="35">
      <formula>AND($AX$61="Oui",$AZ$63="jrs")</formula>
    </cfRule>
    <cfRule type="expression" dxfId="1568" priority="34">
      <formula>AND($AX$61="Oui",$AZ$63="")</formula>
    </cfRule>
  </conditionalFormatting>
  <conditionalFormatting sqref="H70:J71">
    <cfRule type="cellIs" dxfId="1567" priority="6" operator="greaterThan">
      <formula>0</formula>
    </cfRule>
  </conditionalFormatting>
  <conditionalFormatting sqref="H65:K66">
    <cfRule type="cellIs" dxfId="1566" priority="33" operator="equal">
      <formula>0</formula>
    </cfRule>
  </conditionalFormatting>
  <conditionalFormatting sqref="H67:M68">
    <cfRule type="cellIs" dxfId="1565" priority="54" operator="equal">
      <formula>0</formula>
    </cfRule>
  </conditionalFormatting>
  <conditionalFormatting sqref="H69:M69">
    <cfRule type="cellIs" dxfId="1564" priority="8" operator="greaterThan">
      <formula>0</formula>
    </cfRule>
  </conditionalFormatting>
  <conditionalFormatting sqref="H40:Z60">
    <cfRule type="cellIs" dxfId="1563" priority="32" operator="equal">
      <formula>0</formula>
    </cfRule>
  </conditionalFormatting>
  <conditionalFormatting sqref="K81:K82 L82:T83 K88:T88 K89:Q90">
    <cfRule type="expression" dxfId="1562" priority="618">
      <formula>$EO$6="OUI"</formula>
    </cfRule>
  </conditionalFormatting>
  <conditionalFormatting sqref="K87">
    <cfRule type="expression" dxfId="1561" priority="4">
      <formula>$EO$6="OUI"</formula>
    </cfRule>
  </conditionalFormatting>
  <conditionalFormatting sqref="L18:O19">
    <cfRule type="cellIs" dxfId="1560" priority="20" operator="equal">
      <formula>0</formula>
    </cfRule>
  </conditionalFormatting>
  <conditionalFormatting sqref="L21:O22">
    <cfRule type="cellIs" dxfId="1559" priority="31" operator="equal">
      <formula>0</formula>
    </cfRule>
  </conditionalFormatting>
  <conditionalFormatting sqref="L27:O28">
    <cfRule type="cellIs" dxfId="1558" priority="14" operator="greaterThan">
      <formula>0</formula>
    </cfRule>
  </conditionalFormatting>
  <conditionalFormatting sqref="L30:O32">
    <cfRule type="cellIs" dxfId="1557" priority="12" operator="greaterThan">
      <formula>0</formula>
    </cfRule>
  </conditionalFormatting>
  <conditionalFormatting sqref="L34:O34">
    <cfRule type="cellIs" dxfId="1556" priority="10" operator="greaterThan">
      <formula>0</formula>
    </cfRule>
  </conditionalFormatting>
  <conditionalFormatting sqref="L23:S24">
    <cfRule type="cellIs" dxfId="1555" priority="15" operator="greaterThan">
      <formula>0</formula>
    </cfRule>
  </conditionalFormatting>
  <conditionalFormatting sqref="L25:S26">
    <cfRule type="containsErrors" dxfId="1554" priority="24">
      <formula>ISERROR(L25)</formula>
    </cfRule>
    <cfRule type="cellIs" dxfId="1553" priority="25" operator="equal">
      <formula>0</formula>
    </cfRule>
  </conditionalFormatting>
  <conditionalFormatting sqref="M87:T87">
    <cfRule type="expression" dxfId="1552" priority="615">
      <formula>$EO$6="OUI"</formula>
    </cfRule>
  </conditionalFormatting>
  <conditionalFormatting sqref="N65:P71">
    <cfRule type="cellIs" dxfId="1551" priority="60" operator="equal">
      <formula>0</formula>
    </cfRule>
  </conditionalFormatting>
  <conditionalFormatting sqref="O86">
    <cfRule type="expression" dxfId="1550" priority="619">
      <formula>EO6="OUI"</formula>
    </cfRule>
  </conditionalFormatting>
  <conditionalFormatting sqref="O14:T14">
    <cfRule type="expression" dxfId="1549" priority="201">
      <formula>$U$14=0</formula>
    </cfRule>
  </conditionalFormatting>
  <conditionalFormatting sqref="P20">
    <cfRule type="expression" dxfId="1548" priority="17">
      <formula>$DP$14=1</formula>
    </cfRule>
  </conditionalFormatting>
  <conditionalFormatting sqref="P18:S18">
    <cfRule type="expression" dxfId="1547" priority="21">
      <formula>$L$18=0</formula>
    </cfRule>
  </conditionalFormatting>
  <conditionalFormatting sqref="P19:S19">
    <cfRule type="expression" dxfId="1546" priority="19">
      <formula>$L$19=0</formula>
    </cfRule>
  </conditionalFormatting>
  <conditionalFormatting sqref="P21:S21">
    <cfRule type="expression" dxfId="1545" priority="30">
      <formula>$L$21=0</formula>
    </cfRule>
  </conditionalFormatting>
  <conditionalFormatting sqref="P22:S22">
    <cfRule type="expression" dxfId="1544" priority="29">
      <formula>$L$22=0</formula>
    </cfRule>
  </conditionalFormatting>
  <conditionalFormatting sqref="R87:T87">
    <cfRule type="expression" dxfId="1543" priority="614">
      <formula>$EO$7="OUI"</formula>
    </cfRule>
  </conditionalFormatting>
  <conditionalFormatting sqref="R89:T89">
    <cfRule type="expression" dxfId="1542" priority="610">
      <formula>$EO$6="OUI"</formula>
    </cfRule>
    <cfRule type="expression" dxfId="1541" priority="609">
      <formula>$EO$8="OUI"</formula>
    </cfRule>
  </conditionalFormatting>
  <conditionalFormatting sqref="R90:T90">
    <cfRule type="expression" dxfId="1540" priority="616">
      <formula>$EO$7="OUI"</formula>
    </cfRule>
    <cfRule type="expression" dxfId="1539" priority="617">
      <formula>$EO$6="OUI"</formula>
    </cfRule>
  </conditionalFormatting>
  <conditionalFormatting sqref="T20">
    <cfRule type="expression" dxfId="1538" priority="18">
      <formula>$DP$14=1</formula>
    </cfRule>
  </conditionalFormatting>
  <conditionalFormatting sqref="T30:T32">
    <cfRule type="cellIs" dxfId="1537" priority="28" operator="equal">
      <formula>0</formula>
    </cfRule>
  </conditionalFormatting>
  <conditionalFormatting sqref="T18:W19">
    <cfRule type="cellIs" dxfId="1536" priority="22" operator="equal">
      <formula>0</formula>
    </cfRule>
  </conditionalFormatting>
  <conditionalFormatting sqref="T21:W28">
    <cfRule type="cellIs" dxfId="1535" priority="27" operator="equal">
      <formula>0</formula>
    </cfRule>
  </conditionalFormatting>
  <conditionalFormatting sqref="T29:W29">
    <cfRule type="cellIs" dxfId="1534" priority="11" operator="greaterThan">
      <formula>0</formula>
    </cfRule>
  </conditionalFormatting>
  <conditionalFormatting sqref="T33:W33">
    <cfRule type="cellIs" dxfId="1533" priority="9" operator="greaterThan">
      <formula>0</formula>
    </cfRule>
  </conditionalFormatting>
  <conditionalFormatting sqref="T34:W34">
    <cfRule type="cellIs" dxfId="1532" priority="23" operator="equal">
      <formula>0</formula>
    </cfRule>
  </conditionalFormatting>
  <conditionalFormatting sqref="U14:X14">
    <cfRule type="cellIs" dxfId="1531" priority="199" operator="equal">
      <formula>0</formula>
    </cfRule>
  </conditionalFormatting>
  <conditionalFormatting sqref="V80:AF81">
    <cfRule type="cellIs" dxfId="1530" priority="1" operator="notEqual">
      <formula>"Commentaires :"</formula>
    </cfRule>
  </conditionalFormatting>
  <conditionalFormatting sqref="Y73:AO75">
    <cfRule type="expression" dxfId="1529" priority="64">
      <formula>$DP$8=52</formula>
    </cfRule>
  </conditionalFormatting>
  <conditionalFormatting sqref="AB20:AC50">
    <cfRule type="expression" dxfId="1528" priority="525">
      <formula>WEEKDAY(AB20,2)=7</formula>
    </cfRule>
    <cfRule type="expression" dxfId="1527" priority="526">
      <formula>OR(WEEKDAY(AB20,2)=6,WEEKDAY(AB20,2)=7)</formula>
    </cfRule>
    <cfRule type="expression" dxfId="1526" priority="527">
      <formula>VLOOKUP(AB20,base_feries,1,FALSE)</formula>
    </cfRule>
  </conditionalFormatting>
  <conditionalFormatting sqref="AD20:AF50">
    <cfRule type="expression" dxfId="1525" priority="294">
      <formula>FC20="oui"</formula>
    </cfRule>
    <cfRule type="cellIs" dxfId="1524" priority="295" operator="equal">
      <formula>0</formula>
    </cfRule>
  </conditionalFormatting>
  <conditionalFormatting sqref="AG20:AI50">
    <cfRule type="expression" dxfId="1523" priority="296">
      <formula>FC20="oui"</formula>
    </cfRule>
  </conditionalFormatting>
  <conditionalFormatting sqref="AH83:AH84">
    <cfRule type="cellIs" dxfId="1522" priority="631" stopIfTrue="1" operator="equal">
      <formula>0</formula>
    </cfRule>
  </conditionalFormatting>
  <conditionalFormatting sqref="AH89:AH91">
    <cfRule type="cellIs" dxfId="1521" priority="69" stopIfTrue="1" operator="equal">
      <formula>0</formula>
    </cfRule>
  </conditionalFormatting>
  <conditionalFormatting sqref="AH93:AK93">
    <cfRule type="cellIs" dxfId="1520" priority="623" operator="equal">
      <formula>0</formula>
    </cfRule>
  </conditionalFormatting>
  <conditionalFormatting sqref="AH86:AL87">
    <cfRule type="cellIs" dxfId="1519" priority="65" stopIfTrue="1" operator="equal">
      <formula>0</formula>
    </cfRule>
  </conditionalFormatting>
  <conditionalFormatting sqref="AH92:AO92">
    <cfRule type="cellIs" dxfId="1518" priority="231" operator="lessThan">
      <formula>-0.001</formula>
    </cfRule>
  </conditionalFormatting>
  <conditionalFormatting sqref="AJ20:AL50">
    <cfRule type="expression" dxfId="1517" priority="297">
      <formula>FC20="oui"</formula>
    </cfRule>
  </conditionalFormatting>
  <conditionalFormatting sqref="AL83">
    <cfRule type="cellIs" dxfId="1516" priority="630" stopIfTrue="1" operator="equal">
      <formula>0</formula>
    </cfRule>
  </conditionalFormatting>
  <conditionalFormatting sqref="AL89:AL91">
    <cfRule type="cellIs" dxfId="1515" priority="68" stopIfTrue="1" operator="equal">
      <formula>0</formula>
    </cfRule>
  </conditionalFormatting>
  <conditionalFormatting sqref="AL93">
    <cfRule type="cellIs" dxfId="1514" priority="632" stopIfTrue="1" operator="equal">
      <formula>0</formula>
    </cfRule>
  </conditionalFormatting>
  <conditionalFormatting sqref="AM20:AO50">
    <cfRule type="expression" dxfId="1513" priority="298">
      <formula>FC20="oui"</formula>
    </cfRule>
  </conditionalFormatting>
  <conditionalFormatting sqref="AP20:AP50">
    <cfRule type="expression" dxfId="1512" priority="152">
      <formula>BL20="E"</formula>
    </cfRule>
    <cfRule type="expression" dxfId="1511" priority="155">
      <formula>BL20="B"</formula>
    </cfRule>
    <cfRule type="expression" dxfId="1510" priority="154">
      <formula>BL20="C"</formula>
    </cfRule>
    <cfRule type="expression" dxfId="1509" priority="153">
      <formula>BL20="D"</formula>
    </cfRule>
    <cfRule type="expression" dxfId="1508" priority="150">
      <formula>BL20="G"</formula>
    </cfRule>
    <cfRule type="expression" dxfId="1507" priority="151">
      <formula>BL20="F"</formula>
    </cfRule>
    <cfRule type="expression" dxfId="1506" priority="149">
      <formula>BL20="H"</formula>
    </cfRule>
  </conditionalFormatting>
  <conditionalFormatting sqref="AQ62:AU62">
    <cfRule type="expression" dxfId="1505" priority="46">
      <formula>$AT$60="Non"</formula>
    </cfRule>
  </conditionalFormatting>
  <conditionalFormatting sqref="AQ63:AU63">
    <cfRule type="expression" dxfId="1504" priority="43">
      <formula>$AT$61="Non"</formula>
    </cfRule>
  </conditionalFormatting>
  <conditionalFormatting sqref="AR20:AR50">
    <cfRule type="expression" dxfId="1503" priority="184">
      <formula>AND(AR20&lt;&gt;"",AZ20&lt;&gt;"")</formula>
    </cfRule>
    <cfRule type="expression" dxfId="1502" priority="180">
      <formula>FN20=10</formula>
    </cfRule>
    <cfRule type="expression" dxfId="1501" priority="176">
      <formula>FC20="oui"</formula>
    </cfRule>
    <cfRule type="expression" dxfId="1500" priority="168">
      <formula>AB20=""</formula>
    </cfRule>
  </conditionalFormatting>
  <conditionalFormatting sqref="AR17:BJ50">
    <cfRule type="expression" dxfId="1499" priority="49">
      <formula>$EX$13="oui"</formula>
    </cfRule>
  </conditionalFormatting>
  <conditionalFormatting sqref="AS51:BJ51 DK51">
    <cfRule type="expression" dxfId="1498" priority="139">
      <formula>$EX$13="oui"</formula>
    </cfRule>
  </conditionalFormatting>
  <conditionalFormatting sqref="AT4:AT10">
    <cfRule type="expression" dxfId="1497" priority="549">
      <formula>AU4="D"</formula>
    </cfRule>
    <cfRule type="expression" dxfId="1496" priority="550">
      <formula>AU4="C"</formula>
    </cfRule>
    <cfRule type="expression" dxfId="1495" priority="551">
      <formula>AU4="B"</formula>
    </cfRule>
    <cfRule type="expression" dxfId="1494" priority="545">
      <formula>AU4="H"</formula>
    </cfRule>
    <cfRule type="expression" dxfId="1493" priority="546">
      <formula>AU4="G"</formula>
    </cfRule>
    <cfRule type="expression" dxfId="1492" priority="547">
      <formula>AU4="F"</formula>
    </cfRule>
    <cfRule type="expression" dxfId="1491" priority="548">
      <formula>AU4="E"</formula>
    </cfRule>
  </conditionalFormatting>
  <conditionalFormatting sqref="AT20:AT50">
    <cfRule type="expression" dxfId="1490" priority="179">
      <formula>FC20="oui"</formula>
    </cfRule>
    <cfRule type="expression" dxfId="1489" priority="175">
      <formula>AB20=""</formula>
    </cfRule>
  </conditionalFormatting>
  <conditionalFormatting sqref="AU4:AU10">
    <cfRule type="expression" dxfId="1488" priority="470">
      <formula>AT4=""</formula>
    </cfRule>
    <cfRule type="expression" dxfId="1487" priority="640">
      <formula>FG4="rouge"</formula>
    </cfRule>
  </conditionalFormatting>
  <conditionalFormatting sqref="AU20:AU50">
    <cfRule type="expression" dxfId="1486" priority="174">
      <formula>AB20=""</formula>
    </cfRule>
    <cfRule type="expression" dxfId="1485" priority="183">
      <formula>FC20="oui"</formula>
    </cfRule>
  </conditionalFormatting>
  <conditionalFormatting sqref="AW20:AX50">
    <cfRule type="expression" dxfId="1484" priority="188">
      <formula>VLOOKUP(AW20,base_feries,1,FALSE)</formula>
    </cfRule>
    <cfRule type="expression" dxfId="1483" priority="187">
      <formula>OR(WEEKDAY(AW20,2)=6,WEEKDAY(AW20,2)=7)</formula>
    </cfRule>
    <cfRule type="expression" dxfId="1482" priority="186">
      <formula>WEEKDAY(AW20,2)=7</formula>
    </cfRule>
  </conditionalFormatting>
  <conditionalFormatting sqref="AX62:AZ62">
    <cfRule type="expression" dxfId="1481" priority="45">
      <formula>$AX$60="Non"</formula>
    </cfRule>
  </conditionalFormatting>
  <conditionalFormatting sqref="AX63:AZ63">
    <cfRule type="expression" dxfId="1480" priority="42">
      <formula>$AX$61="Non"</formula>
    </cfRule>
  </conditionalFormatting>
  <conditionalFormatting sqref="AZ20:AZ50">
    <cfRule type="expression" dxfId="1479" priority="51">
      <formula>FC20="oui"</formula>
    </cfRule>
    <cfRule type="expression" dxfId="1478" priority="50">
      <formula>AB20=""</formula>
    </cfRule>
    <cfRule type="expression" dxfId="1477" priority="53">
      <formula>AND(AR20&lt;&gt;"",AZ20&lt;&gt;"")</formula>
    </cfRule>
    <cfRule type="expression" dxfId="1476" priority="52">
      <formula>FL20=10</formula>
    </cfRule>
  </conditionalFormatting>
  <conditionalFormatting sqref="BA20:BA50">
    <cfRule type="expression" dxfId="1475" priority="173">
      <formula>AB20=""</formula>
    </cfRule>
    <cfRule type="expression" dxfId="1474" priority="177">
      <formula>FC20="oui"</formula>
    </cfRule>
  </conditionalFormatting>
  <conditionalFormatting sqref="BA62">
    <cfRule type="expression" dxfId="1473" priority="44">
      <formula>$BA$60="Non"</formula>
    </cfRule>
  </conditionalFormatting>
  <conditionalFormatting sqref="BA63">
    <cfRule type="expression" dxfId="1472" priority="41">
      <formula>$BA$61="Non"</formula>
    </cfRule>
  </conditionalFormatting>
  <conditionalFormatting sqref="BA102 BA103:BH115">
    <cfRule type="expression" dxfId="1471" priority="66">
      <formula>$DP$8=52</formula>
    </cfRule>
  </conditionalFormatting>
  <conditionalFormatting sqref="BA137 BA138:BH149">
    <cfRule type="expression" dxfId="1470" priority="67">
      <formula>$DP$8=52</formula>
    </cfRule>
  </conditionalFormatting>
  <conditionalFormatting sqref="BC20:BC55">
    <cfRule type="expression" dxfId="1469" priority="170">
      <formula>AJ20=""</formula>
    </cfRule>
    <cfRule type="cellIs" dxfId="1468" priority="182" operator="equal">
      <formula>0</formula>
    </cfRule>
  </conditionalFormatting>
  <conditionalFormatting sqref="BC112:BH112">
    <cfRule type="expression" dxfId="1467" priority="98">
      <formula>$BA$112=""</formula>
    </cfRule>
  </conditionalFormatting>
  <conditionalFormatting sqref="BC147:BH147">
    <cfRule type="expression" dxfId="1466" priority="97">
      <formula>$BA$112=""</formula>
    </cfRule>
  </conditionalFormatting>
  <conditionalFormatting sqref="BD20:BD50">
    <cfRule type="expression" dxfId="1465" priority="171">
      <formula>FL20="oui"</formula>
    </cfRule>
  </conditionalFormatting>
  <conditionalFormatting sqref="BE20:BE50">
    <cfRule type="expression" dxfId="1464" priority="181">
      <formula>OR(BE20=0,BE20="")</formula>
    </cfRule>
  </conditionalFormatting>
  <conditionalFormatting sqref="BH20:BH50">
    <cfRule type="cellIs" dxfId="1463" priority="167" operator="equal">
      <formula>0</formula>
    </cfRule>
    <cfRule type="expression" dxfId="1462" priority="140">
      <formula>AO20=""</formula>
    </cfRule>
  </conditionalFormatting>
  <conditionalFormatting sqref="BI9:BI14">
    <cfRule type="cellIs" dxfId="1461" priority="106" operator="equal">
      <formula>0</formula>
    </cfRule>
  </conditionalFormatting>
  <conditionalFormatting sqref="BQ54">
    <cfRule type="expression" dxfId="1460" priority="522">
      <formula>$BW$41="Non"</formula>
    </cfRule>
  </conditionalFormatting>
  <conditionalFormatting sqref="BQ36:CA36">
    <cfRule type="expression" dxfId="1459" priority="523">
      <formula>$BW$41="Oui"</formula>
    </cfRule>
  </conditionalFormatting>
  <conditionalFormatting sqref="BS21:CA34">
    <cfRule type="expression" dxfId="1458" priority="84">
      <formula>$EO$12="NON"</formula>
    </cfRule>
  </conditionalFormatting>
  <conditionalFormatting sqref="BY28:BY33">
    <cfRule type="notContainsBlanks" dxfId="1457" priority="85">
      <formula>LEN(TRIM(BY28))&gt;0</formula>
    </cfRule>
  </conditionalFormatting>
  <conditionalFormatting sqref="BY56">
    <cfRule type="expression" dxfId="1456" priority="575">
      <formula>$BW$41="Oui"</formula>
    </cfRule>
    <cfRule type="duplicateValues" dxfId="1455" priority="576"/>
  </conditionalFormatting>
  <conditionalFormatting sqref="BY60">
    <cfRule type="expression" dxfId="1454" priority="569">
      <formula>$BW$41="Oui"</formula>
    </cfRule>
    <cfRule type="cellIs" dxfId="1453" priority="570" operator="lessThan">
      <formula>$BY$59</formula>
    </cfRule>
    <cfRule type="duplicateValues" dxfId="1452" priority="571"/>
  </conditionalFormatting>
  <conditionalFormatting sqref="CA56">
    <cfRule type="expression" dxfId="1450" priority="271">
      <formula>AND($CA$56&lt;$CE$47,$BW$41="Non")</formula>
    </cfRule>
  </conditionalFormatting>
  <conditionalFormatting sqref="CB78">
    <cfRule type="cellIs" dxfId="1449" priority="671" stopIfTrue="1" operator="equal">
      <formula>"NON"</formula>
    </cfRule>
    <cfRule type="cellIs" dxfId="1448" priority="672" stopIfTrue="1" operator="equal">
      <formula>"OUI"</formula>
    </cfRule>
  </conditionalFormatting>
  <conditionalFormatting sqref="CE53:CE54">
    <cfRule type="expression" dxfId="1447" priority="166">
      <formula>$BW$41="Non"</formula>
    </cfRule>
  </conditionalFormatting>
  <conditionalFormatting sqref="CE57:CE58">
    <cfRule type="expression" dxfId="1446" priority="165">
      <formula>$BW$41="Non"</formula>
    </cfRule>
  </conditionalFormatting>
  <conditionalFormatting sqref="CE3:CF3">
    <cfRule type="expression" dxfId="1445" priority="119">
      <formula>$CD$3=""</formula>
    </cfRule>
    <cfRule type="expression" dxfId="1444" priority="118">
      <formula>AND($CE$3="",$CE$5&lt;&gt;"")</formula>
    </cfRule>
    <cfRule type="expression" dxfId="1443" priority="117">
      <formula>$FX$3="vrai"</formula>
    </cfRule>
  </conditionalFormatting>
  <conditionalFormatting sqref="CE5:CF5">
    <cfRule type="expression" dxfId="1442" priority="126">
      <formula>OR(AND(CE5&lt;&gt;0,CE5&lt;AJ4),AND(CE5&lt;&gt;0,CE5&gt;EG5),AND(CE5&lt;&gt;0,CE5&lt;AB20))</formula>
    </cfRule>
    <cfRule type="expression" dxfId="1441" priority="125">
      <formula>CD5=""</formula>
    </cfRule>
    <cfRule type="expression" dxfId="1440" priority="124">
      <formula>$FX$5="vrai"</formula>
    </cfRule>
  </conditionalFormatting>
  <conditionalFormatting sqref="CE8:CF8">
    <cfRule type="cellIs" dxfId="1439" priority="123" operator="greaterThan">
      <formula>$CE$5</formula>
    </cfRule>
    <cfRule type="expression" dxfId="1438" priority="122">
      <formula>AND(CE8&lt;&gt;0,CE8&lt;AJ4)</formula>
    </cfRule>
    <cfRule type="expression" dxfId="1437" priority="121">
      <formula>CD8=""</formula>
    </cfRule>
    <cfRule type="expression" dxfId="1436" priority="120">
      <formula>$FX$8="vrai"</formula>
    </cfRule>
  </conditionalFormatting>
  <conditionalFormatting sqref="CF47">
    <cfRule type="notContainsBlanks" dxfId="1435" priority="504">
      <formula>LEN(TRIM(CF47))&gt;0</formula>
    </cfRule>
  </conditionalFormatting>
  <conditionalFormatting sqref="CF49">
    <cfRule type="notContainsBlanks" dxfId="1434" priority="503">
      <formula>LEN(TRIM(CF49))&gt;0</formula>
    </cfRule>
  </conditionalFormatting>
  <conditionalFormatting sqref="CF53:CF54">
    <cfRule type="expression" dxfId="1432" priority="160">
      <formula>$BW$41="Non"</formula>
    </cfRule>
  </conditionalFormatting>
  <conditionalFormatting sqref="CF57:CF58">
    <cfRule type="expression" dxfId="1430" priority="158">
      <formula>$BW$41="Non"</formula>
    </cfRule>
  </conditionalFormatting>
  <conditionalFormatting sqref="CG8:CI8">
    <cfRule type="expression" dxfId="1428" priority="239">
      <formula>CD8=""</formula>
    </cfRule>
  </conditionalFormatting>
  <conditionalFormatting sqref="GW16:HR16">
    <cfRule type="expression" dxfId="1427" priority="494">
      <formula>$AE$123="NON"</formula>
    </cfRule>
  </conditionalFormatting>
  <conditionalFormatting sqref="HG16:HJ16">
    <cfRule type="expression" dxfId="1426" priority="4956">
      <formula>AR123&gt;0</formula>
    </cfRule>
  </conditionalFormatting>
  <conditionalFormatting sqref="HK16:HN16">
    <cfRule type="expression" dxfId="1425" priority="4957">
      <formula>AR123&gt;0</formula>
    </cfRule>
  </conditionalFormatting>
  <dataValidations disablePrompts="1" count="22">
    <dataValidation showInputMessage="1" showErrorMessage="1" sqref="BY6" xr:uid="{00000000-0002-0000-1800-000000000000}"/>
    <dataValidation operator="lessThanOrEqual" allowBlank="1" showErrorMessage="1" errorTitle="erreur plafond" error="Le bulletin n'est pas adapté pour les salaires suppérieurs à la première tranche du plafond de la CPAM soit 3377 €" sqref="T35" xr:uid="{00000000-0002-0000-1800-000001000000}">
      <formula1>0</formula1>
      <formula2>0</formula2>
    </dataValidation>
    <dataValidation type="list" allowBlank="1" showInputMessage="1" showErrorMessage="1" sqref="F80:H80" xr:uid="{00000000-0002-0000-1800-000002000000}">
      <formula1>"Chèque,Espèce,Virement,Pajemploi +,CESU"</formula1>
    </dataValidation>
    <dataValidation type="list" allowBlank="1" showInputMessage="1" showErrorMessage="1" sqref="F82:H82" xr:uid="{00000000-0002-0000-1800-000003000000}">
      <formula1>"' ,Chèque,Espèce,Virement,Pajemploi +,CESU"</formula1>
    </dataValidation>
    <dataValidation type="list" allowBlank="1" showInputMessage="1" showErrorMessage="1" sqref="AU4:AU10" xr:uid="{00000000-0002-0000-1800-000004000000}">
      <formula1>"A,B,C,D,E,F,G,H"</formula1>
    </dataValidation>
    <dataValidation type="list" allowBlank="1" showInputMessage="1" showErrorMessage="1" sqref="L123:M123 L125:M125 AI127:AJ127 AJ125:AK125 CC132 BF20:BF50" xr:uid="{00000000-0002-0000-1800-000006000000}">
      <formula1>"OUI,NON"</formula1>
    </dataValidation>
    <dataValidation type="list" allowBlank="1" showInputMessage="1" showErrorMessage="1" sqref="BX41" xr:uid="{00000000-0002-0000-1800-000007000000}">
      <formula1>Table_utilisation_tab_entretien</formula1>
    </dataValidation>
    <dataValidation type="list" allowBlank="1" showInputMessage="1" showErrorMessage="1" sqref="BZ2" xr:uid="{00000000-0002-0000-1800-000009000000}">
      <formula1>Source_liste_fiche2</formula1>
    </dataValidation>
    <dataValidation type="list" showInputMessage="1" showErrorMessage="1" sqref="AR14:AZ14" xr:uid="{00000000-0002-0000-1800-00000A000000}">
      <formula1>calendrier_bs</formula1>
    </dataValidation>
    <dataValidation type="list" showInputMessage="1" showErrorMessage="1" sqref="BZ118" xr:uid="{00000000-0002-0000-1800-00000B000000}">
      <formula1>"Scénario 1,Scénario 2,Scénario 3,Scénario 4,"</formula1>
    </dataValidation>
    <dataValidation type="list" allowBlank="1" showInputMessage="1" sqref="CF54 CF58" xr:uid="{00000000-0002-0000-1800-00000C000000}">
      <formula1>"1,2,3,4,5,6,7,8,9,10,11,12,13"</formula1>
    </dataValidation>
    <dataValidation allowBlank="1" showInputMessage="1" sqref="BY56 BY60 CE54 CE58 DJ51:DK52 DG47:DP50" xr:uid="{00000000-0002-0000-1800-00000D000000}"/>
    <dataValidation type="list" allowBlank="1" showInputMessage="1" sqref="BY57" xr:uid="{00000000-0002-0000-1800-00000E000000}">
      <formula1>"0,1,2,3,4,5,6,7,8,9,10,11,12,13,14,24"</formula1>
    </dataValidation>
    <dataValidation type="list" allowBlank="1" showInputMessage="1" showErrorMessage="1" sqref="AX76:AY76 AX79:AY79 AX82:AY82 AX85:AY85" xr:uid="{00000000-0002-0000-1800-00000F000000}">
      <formula1>liste_attestation_modif_pole</formula1>
    </dataValidation>
    <dataValidation type="list" allowBlank="1" showInputMessage="1" showErrorMessage="1" sqref="CE3:CF3" xr:uid="{00000000-0002-0000-1800-000010000000}">
      <formula1>motif_rupture</formula1>
    </dataValidation>
    <dataValidation type="list" showInputMessage="1" showErrorMessage="1" error="Vous devez choisir entre :_x000a_ - cellule vide_x000a_ - CP Acq_x000a_ - CP Ant" sqref="AR20:AR50" xr:uid="{00000000-0002-0000-1800-000011000000}">
      <formula1>Source_pose_CP</formula1>
    </dataValidation>
    <dataValidation type="list" allowBlank="1" showInputMessage="1" showErrorMessage="1" sqref="BA60:BA61 AT60:AT61 AX60:AY61" xr:uid="{D2BFCA61-0EFA-4C9E-81BC-57ACE6E5F0C4}">
      <formula1>"Non,Oui"</formula1>
    </dataValidation>
    <dataValidation allowBlank="1" showInputMessage="1" showErrorMessage="1" prompt="Vous pouvez choisir avec la petite flèche à droite &quot;Salaires heures normales réelles &quot;" sqref="A18:K18" xr:uid="{25D20708-5555-4439-9C05-88A399755C2E}"/>
    <dataValidation type="list" errorStyle="information" allowBlank="1" showInputMessage="1" showErrorMessage="1" error="Faites Entrée pour valider le nombre d'heures" sqref="AZ20:AZ50" xr:uid="{8AD4CE65-0E47-4F6D-BA4F-DD2141A80ED7}">
      <formula1>liste_motif</formula1>
    </dataValidation>
    <dataValidation type="list" allowBlank="1" showInputMessage="1" showErrorMessage="1" sqref="AZ62:AZ63" xr:uid="{619D5793-6676-42D4-B0E8-5AF6A5D787D3}">
      <formula1>liste_hrs_jrs</formula1>
    </dataValidation>
    <dataValidation type="list" allowBlank="1" showInputMessage="1" showErrorMessage="1" sqref="AO131:AP133 AH133:AI133" xr:uid="{9C4FB1EB-5297-4D13-89A9-9159D69FF512}">
      <formula1>"Oui,Non"</formula1>
    </dataValidation>
    <dataValidation type="list" allowBlank="1" showInputMessage="1" showErrorMessage="1" sqref="AJ135:AK135" xr:uid="{9219DC96-CC0B-4CE1-B1D7-24D3DCB79F04}">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90" id="{D66D8240-51F6-408A-A9B1-BEA1D9EFCEFA}">
            <xm:f>Janvier!$BY$8="OUI"</xm:f>
            <x14:dxf>
              <font>
                <color theme="0"/>
              </font>
              <fill>
                <patternFill>
                  <bgColor theme="0"/>
                </patternFill>
              </fill>
            </x14:dxf>
          </x14:cfRule>
          <xm:sqref>BZ8</xm:sqref>
        </x14:conditionalFormatting>
        <x14:conditionalFormatting xmlns:xm="http://schemas.microsoft.com/office/excel/2006/main">
          <x14:cfRule type="expression" priority="161" id="{3984280D-02A4-4A13-8866-9ABEEC924AAD}">
            <xm:f>AND($EO$11="NON",$CC$44=S.CAL!$BC$4)</xm:f>
            <x14:dxf>
              <fill>
                <patternFill>
                  <bgColor rgb="FFFF0000"/>
                </patternFill>
              </fill>
            </x14:dxf>
          </x14:cfRule>
          <xm:sqref>CF53:CF54</xm:sqref>
        </x14:conditionalFormatting>
        <x14:conditionalFormatting xmlns:xm="http://schemas.microsoft.com/office/excel/2006/main">
          <x14:cfRule type="expression" priority="156" id="{23920D29-B774-4D5D-8A22-846D344D22A6}">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DCA15B03-7421-4495-9150-1DD1130B22DC}">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800-000013000000}">
          <x14:formula1>
            <xm:f>S.CAL!$S$2:$S$4</xm:f>
          </x14:formula1>
          <xm:sqref>BZ6</xm:sqref>
        </x14:dataValidation>
        <x14:dataValidation type="list" allowBlank="1" showInputMessage="1" showErrorMessage="1" xr:uid="{00000000-0002-0000-1800-000014000000}">
          <x14:formula1>
            <xm:f>S.CAL!$V$2:$V$4</xm:f>
          </x14:formula1>
          <xm:sqref>BZ8 AN123:AO123 AN129:AO129</xm:sqref>
        </x14:dataValidation>
        <x14:dataValidation type="list" allowBlank="1" showInputMessage="1" showErrorMessage="1" xr:uid="{E5B2A1E0-16EA-4497-B83E-FDB63B811BDE}">
          <x14:formula1>
            <xm:f>S.CAL!$BC$2:$BC$5</xm:f>
          </x14:formula1>
          <xm:sqref>CC45:CD45</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DATE(YEAR(Janvier!X3),MONTH(Janvier!X3)+2,DAY(Janvier!X3))</f>
        <v>46082</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9</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IF(Février!BY8="OUI","Contrat fini",BY2)</f>
        <v>Fiche info</v>
      </c>
      <c r="EF4" s="315" t="s">
        <v>1028</v>
      </c>
      <c r="EG4" s="737">
        <f>Identification!B95</f>
        <v>0</v>
      </c>
      <c r="FG4" s="315" t="str">
        <f>IFERROR(IF(VLOOKUP(AT4,Février!$AT$4:$AU$10,2,FALSE)&lt;&gt;Mars!AU4,"rouge","ok"),0)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46082</v>
      </c>
      <c r="Y5" s="2206"/>
      <c r="Z5" s="1743" t="s">
        <v>451</v>
      </c>
      <c r="AA5" s="1743"/>
      <c r="AB5" s="2206">
        <f>+IF(AND(DATE(YEAR(EG4),MONTH(EG4),DAY(EG4))&gt;=DATE(YEAR(X3),MONTH(X3),DAY(X3)),DATE(YEAR(EG4),MONTH(EG4),DAY(EG4))&lt;=DATE(YEAR(X3),MONTH(X3),DAY(EOMONTH(X3,0)))),EG4,EOMONTH(X3,0))</f>
        <v>46112</v>
      </c>
      <c r="AC5" s="2210"/>
      <c r="AP5" s="209"/>
      <c r="AQ5" s="318"/>
      <c r="AR5" s="209"/>
      <c r="AS5" s="210"/>
      <c r="AT5" s="301">
        <f t="array" ref="AT5">IFERROR(INDEX($BK$20:$BK$50,MATCH(0,INDEX(COUNTIF($AT$3:AT4,$BK$20:$BK$50),0,0),0)),"")</f>
        <v>10</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46112</v>
      </c>
      <c r="FG5" s="315">
        <f>IFERROR(IF(VLOOKUP(AT5,Février!$AT$4:$AU$10,2,FALSE)&lt;&gt;Mars!AU5,"rouge","ok"),0)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11</v>
      </c>
      <c r="AU6" s="1122" t="s">
        <v>226</v>
      </c>
      <c r="BQ6" s="578"/>
      <c r="BR6" s="578"/>
      <c r="BS6" s="578"/>
      <c r="BT6" s="578"/>
      <c r="BU6" s="578"/>
      <c r="BV6" s="578"/>
      <c r="BW6" s="578"/>
      <c r="BX6" s="579" t="s">
        <v>509</v>
      </c>
      <c r="BY6" s="580" t="str">
        <f>+IF(BZ6="",Février!BY6,BZ6)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IFERROR(IF(VLOOKUP(AT6,Février!$AT$4:$AU$10,2,FALSE)&lt;&gt;Mars!AU6,"rouge","ok"),0)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12</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IFERROR(IF(VLOOKUP(AT7,Février!$AT$4:$AU$10,2,FALSE)&lt;&gt;Mars!AU7,"rouge","ok"),0)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13</v>
      </c>
      <c r="AU8" s="1122" t="s">
        <v>226</v>
      </c>
      <c r="BG8" s="240"/>
      <c r="BH8" s="1439" t="str">
        <f>+AT3</f>
        <v>N° Sem.</v>
      </c>
      <c r="BI8" s="1440" t="s">
        <v>1552</v>
      </c>
      <c r="BQ8" s="1985" t="s">
        <v>210</v>
      </c>
      <c r="BR8" s="1986"/>
      <c r="BS8" s="1986"/>
      <c r="BT8" s="1986"/>
      <c r="BU8" s="1986"/>
      <c r="BV8" s="1986"/>
      <c r="BW8" s="1986"/>
      <c r="BX8" s="1986"/>
      <c r="BY8" s="965" t="str">
        <f>IF(BZ8="",Février!BY8,BZ8)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C8" s="737"/>
      <c r="FG8" s="315">
        <f>IFERROR(IF(VLOOKUP(AT8,Février!$AT$4:$AU$10,2,FALSE)&lt;&gt;Mars!AU8,"rouge","ok"),0)</f>
        <v>0</v>
      </c>
      <c r="FX8" s="129" t="str">
        <f>+IF(AND(CD8="",CE8&lt;&gt;""),"vrai","faux")</f>
        <v>faux</v>
      </c>
    </row>
    <row r="9" spans="1:226" ht="11.2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f t="array" ref="AT9">IFERROR(INDEX($BK$20:$BK$50,MATCH(0,INDEX(COUNTIF($AT$3:AT8,$BK$20:$BK$50),0,0),0)),"")</f>
        <v>14</v>
      </c>
      <c r="AU9" s="1122" t="s">
        <v>226</v>
      </c>
      <c r="BG9" s="1430" t="str">
        <f>+BH9&amp;$X$4</f>
        <v>92026</v>
      </c>
      <c r="BH9" s="1441">
        <f t="shared" ref="BH9:BH14" si="0">+AT4</f>
        <v>9</v>
      </c>
      <c r="BI9" s="1442">
        <f>IF($AR$13=S.CAL!$CU$2,+SUMIF(S.CAL!$FW$3:$FW$374,BG9,S.CAL!$FX$3:$FX$374),IF($AR$13=S.CAL!$CU$3,SUMIF(Feuilles_de_présence_planning!$EG$12:$EG$537,BG9,Feuilles_de_présence_planning!$EE$12:$EE$537),"err"))</f>
        <v>0</v>
      </c>
      <c r="BY9" s="196" t="str">
        <f>+IF(Février!BY8="OUI","FIN","O")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IFERROR(IF(VLOOKUP(AT9,Février!$AT$4:$AU$10,2,FALSE)&lt;&gt;Mars!AU9,"rouge","ok"),0)</f>
        <v>0</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102026</v>
      </c>
      <c r="BH10" s="1441">
        <f t="shared" si="0"/>
        <v>10</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IFERROR(IF(VLOOKUP(AT10,Février!$AT$4:$AU$10,2,FALSE)&lt;&gt;Mars!AU10,"rouge","ok"),0)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112026</v>
      </c>
      <c r="BH11" s="1441">
        <f t="shared" si="0"/>
        <v>11</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122026</v>
      </c>
      <c r="BH12" s="1441">
        <f t="shared" si="0"/>
        <v>12</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10</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IF(AR14="",Février!AR13,AR14)</f>
        <v>à partir du tableau ci-dessous</v>
      </c>
      <c r="AS13" s="2372"/>
      <c r="AT13" s="2372"/>
      <c r="AU13" s="2372"/>
      <c r="AV13" s="2372"/>
      <c r="AW13" s="2372"/>
      <c r="AX13" s="2372"/>
      <c r="AY13" s="2372"/>
      <c r="AZ13" s="2372"/>
      <c r="BA13" s="2355" t="s">
        <v>1086</v>
      </c>
      <c r="BB13" s="2355"/>
      <c r="BC13" s="2355"/>
      <c r="BD13" s="951"/>
      <c r="BG13" s="1430" t="str">
        <f t="shared" si="1"/>
        <v>132026</v>
      </c>
      <c r="BH13" s="1441">
        <f t="shared" si="0"/>
        <v>13</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142026</v>
      </c>
      <c r="BH14" s="1443">
        <f t="shared" si="0"/>
        <v>14</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+Février!EF16</f>
        <v>0</v>
      </c>
      <c r="EG16" s="741">
        <f>+Février!EG16</f>
        <v>0</v>
      </c>
      <c r="EH16" s="741">
        <f>+Février!EH16+Février!EH17</f>
        <v>0</v>
      </c>
      <c r="EI16" s="741">
        <f>+Février!EI16+Février!EI17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Mars'!D18:D48,"&gt;0")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46082</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9</v>
      </c>
      <c r="AQ20" s="322"/>
      <c r="AR20" s="1123"/>
      <c r="AS20" s="314">
        <f t="shared" ref="AS20:AS50" si="3">SUM(AD20:AL20)</f>
        <v>0</v>
      </c>
      <c r="AT20" s="1124"/>
      <c r="AU20" s="1124"/>
      <c r="AV20" s="314"/>
      <c r="AW20" s="2150">
        <f>AB20</f>
        <v>46082</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infoA7</v>
      </c>
      <c r="BK20" s="129">
        <f>IFERROR(WEEKNUM(AB20,21),"")</f>
        <v>9</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46082</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46082</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9</v>
      </c>
      <c r="GA20" s="129">
        <f>+$X$4</f>
        <v>2026</v>
      </c>
      <c r="GB20" s="129" t="str">
        <f>+FZ20&amp;GA20</f>
        <v>92026</v>
      </c>
      <c r="GC20" s="223">
        <f>IF(AND($GD$53=S.CAL!$P$3,$GD$52=FZ20),GE20,IF(BH20="",0,BH20))</f>
        <v>0</v>
      </c>
      <c r="GD20" s="129" t="str">
        <f>IFERROR(+Avril!$BY$2&amp;BL20&amp;BM20,0)</f>
        <v>Fiche infoA7</v>
      </c>
      <c r="GE20" s="129" t="str">
        <f t="shared" ref="GE20:GE50" si="19">+IFERROR(VLOOKUP(GD20,Base_heures,6,FALSE),"")</f>
        <v/>
      </c>
      <c r="GF20" s="223" t="str">
        <f>IF(FP20=1,GG20,AM20)</f>
        <v/>
      </c>
      <c r="GG20" s="1446" t="str">
        <f>+'Retenue Mars'!D18</f>
        <v/>
      </c>
      <c r="GH20" s="1446">
        <f>IF(Identification!$B$132="Non",+'Retenue Mars'!BF18,+'Retenue Mars'!BE18)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46083</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f>IFERROR(IF(WEEKDAY(AB21,11)=1,WEEKNUM(AB21,21),""),"")</f>
        <v>10</v>
      </c>
      <c r="AQ21" s="322"/>
      <c r="AR21" s="1104"/>
      <c r="AS21" s="314">
        <f t="shared" si="3"/>
        <v>0</v>
      </c>
      <c r="AT21" s="1125"/>
      <c r="AU21" s="1125"/>
      <c r="AV21" s="314"/>
      <c r="AW21" s="1791">
        <f t="shared" ref="AW21:AW50" si="22">AB21</f>
        <v>46083</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infoA1</v>
      </c>
      <c r="BK21" s="129">
        <f t="shared" ref="BK21" si="27">IFERROR(WEEKNUM(AB21,21),"")</f>
        <v>10</v>
      </c>
      <c r="BL21" s="129" t="str">
        <f t="shared" si="4"/>
        <v>A</v>
      </c>
      <c r="BM21" s="129">
        <f t="shared" si="5"/>
        <v>1</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46082</v>
      </c>
      <c r="EJ21" s="737"/>
      <c r="EK21" s="737"/>
      <c r="EQ21" s="748">
        <f t="shared" ref="EQ21" si="28">+AB21</f>
        <v>46083</v>
      </c>
      <c r="ER21" s="749">
        <f t="shared" si="10"/>
        <v>0</v>
      </c>
      <c r="ES21" s="750">
        <f t="shared" si="11"/>
        <v>0</v>
      </c>
      <c r="ET21" s="749">
        <f t="shared" si="12"/>
        <v>0</v>
      </c>
      <c r="EU21" s="750">
        <f t="shared" si="13"/>
        <v>0</v>
      </c>
      <c r="EV21" s="749" t="str">
        <f t="shared" si="14"/>
        <v/>
      </c>
      <c r="EW21" s="751">
        <f t="shared" ref="EW21:EW50" si="29">+EQ21</f>
        <v>46083</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10</v>
      </c>
      <c r="GA21" s="129">
        <f t="shared" ref="GA21:GA50" si="39">+$X$4</f>
        <v>2026</v>
      </c>
      <c r="GB21" s="129" t="str">
        <f t="shared" ref="GB21:GB48" si="40">+FZ21&amp;GA21</f>
        <v>102026</v>
      </c>
      <c r="GC21" s="223">
        <f>IF(AND($GD$53=S.CAL!$P$3,$GD$52=FZ21),GE21,IF(BH21="",0,BH21))</f>
        <v>0</v>
      </c>
      <c r="GD21" s="129" t="str">
        <f>IFERROR(+Avril!$BY$2&amp;BL21&amp;BM21,0)</f>
        <v>Fiche infoA1</v>
      </c>
      <c r="GE21" s="129" t="str">
        <f t="shared" si="19"/>
        <v/>
      </c>
      <c r="GF21" s="223" t="str">
        <f t="shared" ref="GF21:GF48" si="41">IF(FP21=1,GG21,AM21)</f>
        <v/>
      </c>
      <c r="GG21" s="1446" t="str">
        <f>+'Retenue Mars'!D19</f>
        <v/>
      </c>
      <c r="GH21" s="1446">
        <f>IF(Identification!$B$132="Non",+'Retenue Mars'!BF19,+'Retenue Mars'!BE19)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46084</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46084</v>
      </c>
      <c r="AX22" s="1761"/>
      <c r="AY22" s="314"/>
      <c r="AZ22" s="1104"/>
      <c r="BA22" s="973"/>
      <c r="BB22" s="543"/>
      <c r="BC22" s="548">
        <f t="shared" si="23"/>
        <v>0</v>
      </c>
      <c r="BD22" s="1104"/>
      <c r="BE22" s="807">
        <f t="shared" si="24"/>
        <v>0</v>
      </c>
      <c r="BF22" s="1128"/>
      <c r="BG22" s="222"/>
      <c r="BH22" s="548" t="str">
        <f t="shared" si="25"/>
        <v/>
      </c>
      <c r="BI22" s="1128"/>
      <c r="BJ22" s="129" t="str">
        <f t="shared" si="26"/>
        <v>Fiche infoA2</v>
      </c>
      <c r="BK22" s="129">
        <f t="shared" ref="BK22:BK50" si="49">IFERROR(WEEKNUM(AB22,21),"")</f>
        <v>10</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46112</v>
      </c>
      <c r="EJ22" s="737"/>
      <c r="EK22" s="737"/>
      <c r="EQ22" s="748">
        <f t="shared" ref="EQ22:EQ50" si="53">+AB22</f>
        <v>46084</v>
      </c>
      <c r="ER22" s="749">
        <f t="shared" si="10"/>
        <v>0</v>
      </c>
      <c r="ES22" s="750">
        <f t="shared" si="11"/>
        <v>0</v>
      </c>
      <c r="ET22" s="749">
        <f t="shared" si="12"/>
        <v>0</v>
      </c>
      <c r="EU22" s="750">
        <f t="shared" si="13"/>
        <v>0</v>
      </c>
      <c r="EV22" s="749" t="str">
        <f t="shared" si="14"/>
        <v/>
      </c>
      <c r="EW22" s="751">
        <f t="shared" si="29"/>
        <v>46084</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10</v>
      </c>
      <c r="GA22" s="129">
        <f t="shared" si="39"/>
        <v>2026</v>
      </c>
      <c r="GB22" s="129" t="str">
        <f t="shared" si="40"/>
        <v>102026</v>
      </c>
      <c r="GC22" s="223">
        <f>IF(AND($GD$53=S.CAL!$P$3,$GD$52=FZ22),GE22,IF(BH22="",0,BH22))</f>
        <v>0</v>
      </c>
      <c r="GD22" s="129" t="str">
        <f>IFERROR(+Avril!$BY$2&amp;BL22&amp;BM22,0)</f>
        <v>Fiche infoA2</v>
      </c>
      <c r="GE22" s="129" t="str">
        <f t="shared" si="19"/>
        <v/>
      </c>
      <c r="GF22" s="223" t="str">
        <f t="shared" si="41"/>
        <v/>
      </c>
      <c r="GG22" s="1446" t="str">
        <f>+'Retenue Mars'!D20</f>
        <v/>
      </c>
      <c r="GH22" s="1446">
        <f>IF(Identification!$B$132="Non",+'Retenue Mars'!BF20,+'Retenue Mars'!BE20)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46085</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46085</v>
      </c>
      <c r="AX23" s="1761"/>
      <c r="AY23" s="314"/>
      <c r="AZ23" s="1104"/>
      <c r="BA23" s="973"/>
      <c r="BB23" s="543"/>
      <c r="BC23" s="548">
        <f t="shared" si="23"/>
        <v>0</v>
      </c>
      <c r="BD23" s="1104"/>
      <c r="BE23" s="807">
        <f t="shared" si="24"/>
        <v>0</v>
      </c>
      <c r="BF23" s="1128"/>
      <c r="BG23" s="222"/>
      <c r="BH23" s="548" t="str">
        <f t="shared" si="25"/>
        <v/>
      </c>
      <c r="BI23" s="1128"/>
      <c r="BJ23" s="129" t="str">
        <f t="shared" si="26"/>
        <v>Fiche infoA3</v>
      </c>
      <c r="BK23" s="129">
        <f t="shared" si="49"/>
        <v>10</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46085</v>
      </c>
      <c r="ER23" s="749">
        <f t="shared" si="10"/>
        <v>0</v>
      </c>
      <c r="ES23" s="750">
        <f t="shared" si="11"/>
        <v>0</v>
      </c>
      <c r="ET23" s="749">
        <f t="shared" si="12"/>
        <v>0</v>
      </c>
      <c r="EU23" s="750">
        <f t="shared" si="13"/>
        <v>0</v>
      </c>
      <c r="EV23" s="749" t="str">
        <f t="shared" si="14"/>
        <v/>
      </c>
      <c r="EW23" s="751">
        <f t="shared" si="29"/>
        <v>46085</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10</v>
      </c>
      <c r="GA23" s="129">
        <f t="shared" si="39"/>
        <v>2026</v>
      </c>
      <c r="GB23" s="129" t="str">
        <f t="shared" si="40"/>
        <v>102026</v>
      </c>
      <c r="GC23" s="223">
        <f>IF(AND($GD$53=S.CAL!$P$3,$GD$52=FZ23),GE23,IF(BH23="",0,BH23))</f>
        <v>0</v>
      </c>
      <c r="GD23" s="129" t="str">
        <f>IFERROR(+Avril!$BY$2&amp;BL23&amp;BM23,0)</f>
        <v>Fiche infoA3</v>
      </c>
      <c r="GE23" s="129" t="str">
        <f t="shared" si="19"/>
        <v/>
      </c>
      <c r="GF23" s="223" t="str">
        <f t="shared" si="41"/>
        <v/>
      </c>
      <c r="GG23" s="1446" t="str">
        <f>+'Retenue Mars'!D21</f>
        <v/>
      </c>
      <c r="GH23" s="1446">
        <f>IF(Identification!$B$132="Non",+'Retenue Mars'!BF21,+'Retenue Mars'!BE21)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46086</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46086</v>
      </c>
      <c r="AX24" s="1761"/>
      <c r="AY24" s="314"/>
      <c r="AZ24" s="1104"/>
      <c r="BA24" s="973"/>
      <c r="BB24" s="543"/>
      <c r="BC24" s="548">
        <f t="shared" si="23"/>
        <v>0</v>
      </c>
      <c r="BD24" s="1104"/>
      <c r="BE24" s="807">
        <f t="shared" si="24"/>
        <v>0</v>
      </c>
      <c r="BF24" s="1128"/>
      <c r="BG24" s="222"/>
      <c r="BH24" s="548" t="str">
        <f t="shared" si="25"/>
        <v/>
      </c>
      <c r="BI24" s="1128"/>
      <c r="BJ24" s="129" t="str">
        <f t="shared" si="26"/>
        <v>Fiche infoA4</v>
      </c>
      <c r="BK24" s="129">
        <f t="shared" si="49"/>
        <v>10</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46086</v>
      </c>
      <c r="ER24" s="749">
        <f t="shared" si="10"/>
        <v>0</v>
      </c>
      <c r="ES24" s="750">
        <f t="shared" si="11"/>
        <v>0</v>
      </c>
      <c r="ET24" s="749">
        <f t="shared" si="12"/>
        <v>0</v>
      </c>
      <c r="EU24" s="750">
        <f t="shared" si="13"/>
        <v>0</v>
      </c>
      <c r="EV24" s="749" t="str">
        <f t="shared" si="14"/>
        <v/>
      </c>
      <c r="EW24" s="751">
        <f t="shared" si="29"/>
        <v>46086</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10</v>
      </c>
      <c r="GA24" s="129">
        <f t="shared" si="39"/>
        <v>2026</v>
      </c>
      <c r="GB24" s="129" t="str">
        <f t="shared" si="40"/>
        <v>102026</v>
      </c>
      <c r="GC24" s="223">
        <f>IF(AND($GD$53=S.CAL!$P$3,$GD$52=FZ24),GE24,IF(BH24="",0,BH24))</f>
        <v>0</v>
      </c>
      <c r="GD24" s="129" t="str">
        <f>IFERROR(+Avril!$BY$2&amp;BL24&amp;BM24,0)</f>
        <v>Fiche infoA4</v>
      </c>
      <c r="GE24" s="129" t="str">
        <f t="shared" si="19"/>
        <v/>
      </c>
      <c r="GF24" s="223" t="str">
        <f t="shared" si="41"/>
        <v/>
      </c>
      <c r="GG24" s="1446" t="str">
        <f>+'Retenue Mars'!D22</f>
        <v/>
      </c>
      <c r="GH24" s="1446">
        <f>IF(Identification!$B$132="Non",+'Retenue Mars'!BF22,+'Retenue Mars'!BE22)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Mars'!R48*-1)</f>
        <v>#DIV/0!</v>
      </c>
      <c r="M25" s="2142"/>
      <c r="N25" s="2142"/>
      <c r="O25" s="2143"/>
      <c r="P25" s="1753" t="e">
        <f>+IF(L25,T25/L25,0)</f>
        <v>#DIV/0!</v>
      </c>
      <c r="Q25" s="1969"/>
      <c r="R25" s="1969"/>
      <c r="S25" s="1970"/>
      <c r="T25" s="1966">
        <f>IF(A18="Salaire heures normales réelles",0,'Retenue Mars'!R52*-1)</f>
        <v>0</v>
      </c>
      <c r="U25" s="1967"/>
      <c r="V25" s="1967"/>
      <c r="W25" s="1968"/>
      <c r="X25" s="224"/>
      <c r="Y25" s="224"/>
      <c r="Z25" s="224"/>
      <c r="AA25" s="885" t="str">
        <f>IF(AND(BE25="OUI",$AR$13=S.CAL!$CU$2),"►",IF(AND(EV25="OUI",$AR$13=S.CAL!$CU$3),"►",""))</f>
        <v/>
      </c>
      <c r="AB25" s="1760">
        <f>+$X$3+5</f>
        <v>46087</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46087</v>
      </c>
      <c r="AX25" s="1761"/>
      <c r="AY25" s="314"/>
      <c r="AZ25" s="1104"/>
      <c r="BA25" s="973"/>
      <c r="BB25" s="543"/>
      <c r="BC25" s="548">
        <f t="shared" si="23"/>
        <v>0</v>
      </c>
      <c r="BD25" s="1104"/>
      <c r="BE25" s="807">
        <f t="shared" si="24"/>
        <v>0</v>
      </c>
      <c r="BF25" s="1128"/>
      <c r="BG25" s="222"/>
      <c r="BH25" s="548" t="str">
        <f t="shared" si="25"/>
        <v/>
      </c>
      <c r="BI25" s="1128"/>
      <c r="BJ25" s="129" t="str">
        <f t="shared" si="26"/>
        <v>Fiche infoA5</v>
      </c>
      <c r="BK25" s="129">
        <f t="shared" si="49"/>
        <v>10</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46087</v>
      </c>
      <c r="ER25" s="749">
        <f t="shared" si="10"/>
        <v>0</v>
      </c>
      <c r="ES25" s="750">
        <f t="shared" si="11"/>
        <v>0</v>
      </c>
      <c r="ET25" s="749">
        <f t="shared" si="12"/>
        <v>0</v>
      </c>
      <c r="EU25" s="750">
        <f t="shared" si="13"/>
        <v>0</v>
      </c>
      <c r="EV25" s="749" t="str">
        <f t="shared" si="14"/>
        <v/>
      </c>
      <c r="EW25" s="751">
        <f t="shared" si="29"/>
        <v>46087</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10</v>
      </c>
      <c r="GA25" s="129">
        <f t="shared" si="39"/>
        <v>2026</v>
      </c>
      <c r="GB25" s="129" t="str">
        <f t="shared" si="40"/>
        <v>102026</v>
      </c>
      <c r="GC25" s="223">
        <f>IF(AND($GD$53=S.CAL!$P$3,$GD$52=FZ25),GE25,IF(BH25="",0,BH25))</f>
        <v>0</v>
      </c>
      <c r="GD25" s="129" t="str">
        <f>IFERROR(+Avril!$BY$2&amp;BL25&amp;BM25,0)</f>
        <v>Fiche infoA5</v>
      </c>
      <c r="GE25" s="129" t="str">
        <f t="shared" si="19"/>
        <v/>
      </c>
      <c r="GF25" s="223" t="str">
        <f t="shared" si="41"/>
        <v/>
      </c>
      <c r="GG25" s="1446" t="str">
        <f>+'Retenue Mars'!D23</f>
        <v/>
      </c>
      <c r="GH25" s="1446">
        <f>IF(Identification!$B$132="Non",+'Retenue Mars'!BF23,+'Retenue Mars'!BE23)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Mars'!R50*-1)</f>
        <v>#DIV/0!</v>
      </c>
      <c r="M26" s="2142"/>
      <c r="N26" s="2142"/>
      <c r="O26" s="2143"/>
      <c r="P26" s="1753" t="e">
        <f>+IF(L26,T26/L26,0)</f>
        <v>#DIV/0!</v>
      </c>
      <c r="Q26" s="1969"/>
      <c r="R26" s="1969"/>
      <c r="S26" s="1970"/>
      <c r="T26" s="1966">
        <f>IF(A18="Salaire heures normales réelles",0,'Retenue Mars'!R54*-1)</f>
        <v>0</v>
      </c>
      <c r="U26" s="1967"/>
      <c r="V26" s="1967"/>
      <c r="W26" s="1968"/>
      <c r="X26" s="221"/>
      <c r="Y26" s="221"/>
      <c r="Z26" s="221"/>
      <c r="AA26" s="885" t="str">
        <f>IF(AND(BE26="OUI",$AR$13=S.CAL!$CU$2),"►",IF(AND(EV26="OUI",$AR$13=S.CAL!$CU$3),"►",""))</f>
        <v/>
      </c>
      <c r="AB26" s="1760">
        <f>+$X$3+6</f>
        <v>46088</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46088</v>
      </c>
      <c r="AX26" s="1761"/>
      <c r="AY26" s="314"/>
      <c r="AZ26" s="1104"/>
      <c r="BA26" s="973"/>
      <c r="BB26" s="543"/>
      <c r="BC26" s="548">
        <f t="shared" si="23"/>
        <v>0</v>
      </c>
      <c r="BD26" s="1104"/>
      <c r="BE26" s="807">
        <f t="shared" si="24"/>
        <v>0</v>
      </c>
      <c r="BF26" s="1128"/>
      <c r="BG26" s="222"/>
      <c r="BH26" s="548" t="str">
        <f t="shared" si="25"/>
        <v/>
      </c>
      <c r="BI26" s="1128"/>
      <c r="BJ26" s="129" t="str">
        <f t="shared" si="26"/>
        <v>Fiche infoA6</v>
      </c>
      <c r="BK26" s="129">
        <f t="shared" si="49"/>
        <v>10</v>
      </c>
      <c r="BL26" s="129" t="str">
        <f t="shared" si="4"/>
        <v>A</v>
      </c>
      <c r="BM26" s="129">
        <f t="shared" si="50"/>
        <v>6</v>
      </c>
      <c r="BN26" s="223" t="str">
        <f t="shared" si="60"/>
        <v>Fiche info</v>
      </c>
      <c r="BO26" s="314" t="str">
        <f t="shared" si="51"/>
        <v/>
      </c>
      <c r="BP26" s="196" t="str">
        <f t="shared" si="52"/>
        <v/>
      </c>
      <c r="BQ26" s="206"/>
      <c r="BX26" s="577"/>
      <c r="BY26" s="1951" t="s">
        <v>1098</v>
      </c>
      <c r="BZ26" s="1951" t="s">
        <v>440</v>
      </c>
      <c r="CA26" s="2013" t="s">
        <v>1099</v>
      </c>
      <c r="CB26" s="196"/>
      <c r="CC26" s="196"/>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46088</v>
      </c>
      <c r="ER26" s="749">
        <f t="shared" si="10"/>
        <v>0</v>
      </c>
      <c r="ES26" s="750">
        <f t="shared" si="11"/>
        <v>0</v>
      </c>
      <c r="ET26" s="749">
        <f t="shared" si="12"/>
        <v>0</v>
      </c>
      <c r="EU26" s="750">
        <f t="shared" si="13"/>
        <v>0</v>
      </c>
      <c r="EV26" s="749" t="str">
        <f t="shared" si="14"/>
        <v/>
      </c>
      <c r="EW26" s="751">
        <f t="shared" si="29"/>
        <v>46088</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10</v>
      </c>
      <c r="GA26" s="129">
        <f t="shared" si="39"/>
        <v>2026</v>
      </c>
      <c r="GB26" s="129" t="str">
        <f t="shared" si="40"/>
        <v>102026</v>
      </c>
      <c r="GC26" s="223">
        <f>IF(AND($GD$53=S.CAL!$P$3,$GD$52=FZ26),GE26,IF(BH26="",0,BH26))</f>
        <v>0</v>
      </c>
      <c r="GD26" s="129" t="str">
        <f>IFERROR(+Avril!$BY$2&amp;BL26&amp;BM26,0)</f>
        <v>Fiche infoA6</v>
      </c>
      <c r="GE26" s="129" t="str">
        <f t="shared" si="19"/>
        <v/>
      </c>
      <c r="GF26" s="223" t="str">
        <f t="shared" si="41"/>
        <v/>
      </c>
      <c r="GG26" s="1446" t="str">
        <f>+'Retenue Mars'!D24</f>
        <v/>
      </c>
      <c r="GH26" s="1446">
        <f>IF(Identification!$B$132="Non",+'Retenue Mars'!BF24,+'Retenue Mars'!BE24)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46089</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46089</v>
      </c>
      <c r="AX27" s="1761"/>
      <c r="AY27" s="314"/>
      <c r="AZ27" s="1104"/>
      <c r="BA27" s="973"/>
      <c r="BB27" s="543"/>
      <c r="BC27" s="548">
        <f t="shared" si="23"/>
        <v>0</v>
      </c>
      <c r="BD27" s="1104"/>
      <c r="BE27" s="807">
        <f t="shared" si="24"/>
        <v>0</v>
      </c>
      <c r="BF27" s="1128"/>
      <c r="BG27" s="222"/>
      <c r="BH27" s="548" t="str">
        <f t="shared" si="25"/>
        <v/>
      </c>
      <c r="BI27" s="1128"/>
      <c r="BJ27" s="129" t="str">
        <f t="shared" si="26"/>
        <v>Fiche infoA7</v>
      </c>
      <c r="BK27" s="129">
        <f t="shared" si="49"/>
        <v>10</v>
      </c>
      <c r="BL27" s="129" t="str">
        <f t="shared" si="4"/>
        <v>A</v>
      </c>
      <c r="BM27" s="129">
        <f t="shared" si="50"/>
        <v>7</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46089</v>
      </c>
      <c r="ER27" s="749">
        <f t="shared" si="10"/>
        <v>0</v>
      </c>
      <c r="ES27" s="750">
        <f t="shared" si="11"/>
        <v>0</v>
      </c>
      <c r="ET27" s="749">
        <f t="shared" si="12"/>
        <v>0</v>
      </c>
      <c r="EU27" s="750">
        <f t="shared" si="13"/>
        <v>0</v>
      </c>
      <c r="EV27" s="749" t="str">
        <f t="shared" si="14"/>
        <v/>
      </c>
      <c r="EW27" s="751">
        <f t="shared" si="29"/>
        <v>46089</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10</v>
      </c>
      <c r="GA27" s="129">
        <f t="shared" si="39"/>
        <v>2026</v>
      </c>
      <c r="GB27" s="129" t="str">
        <f t="shared" si="40"/>
        <v>102026</v>
      </c>
      <c r="GC27" s="223">
        <f>IF(AND($GD$53=S.CAL!$P$3,$GD$52=FZ27),GE27,IF(BH27="",0,BH27))</f>
        <v>0</v>
      </c>
      <c r="GD27" s="129" t="str">
        <f>IFERROR(+Avril!$BY$2&amp;BL27&amp;BM27,0)</f>
        <v>Fiche infoA7</v>
      </c>
      <c r="GE27" s="129" t="str">
        <f t="shared" si="19"/>
        <v/>
      </c>
      <c r="GF27" s="223" t="str">
        <f t="shared" si="41"/>
        <v/>
      </c>
      <c r="GG27" s="1446" t="str">
        <f>+'Retenue Mars'!D25</f>
        <v/>
      </c>
      <c r="GH27" s="1446">
        <f>IF(Identification!$B$132="Non",+'Retenue Mars'!BF25,+'Retenue Mars'!BE25)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46090</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f t="shared" si="48"/>
        <v>11</v>
      </c>
      <c r="AQ28" s="322"/>
      <c r="AR28" s="1104"/>
      <c r="AS28" s="314">
        <f t="shared" si="3"/>
        <v>0</v>
      </c>
      <c r="AT28" s="1125"/>
      <c r="AU28" s="1125"/>
      <c r="AV28" s="314"/>
      <c r="AW28" s="1791">
        <f t="shared" si="22"/>
        <v>46090</v>
      </c>
      <c r="AX28" s="1761"/>
      <c r="AY28" s="314"/>
      <c r="AZ28" s="1104"/>
      <c r="BA28" s="973"/>
      <c r="BB28" s="543"/>
      <c r="BC28" s="548">
        <f t="shared" si="23"/>
        <v>0</v>
      </c>
      <c r="BD28" s="1104"/>
      <c r="BE28" s="807">
        <f t="shared" si="24"/>
        <v>0</v>
      </c>
      <c r="BF28" s="1128"/>
      <c r="BG28" s="222"/>
      <c r="BH28" s="548" t="str">
        <f t="shared" si="25"/>
        <v/>
      </c>
      <c r="BI28" s="1128"/>
      <c r="BJ28" s="129" t="str">
        <f t="shared" si="26"/>
        <v>Fiche infoA1</v>
      </c>
      <c r="BK28" s="129">
        <f t="shared" si="49"/>
        <v>11</v>
      </c>
      <c r="BL28" s="129" t="str">
        <f t="shared" si="4"/>
        <v>A</v>
      </c>
      <c r="BM28" s="129">
        <f t="shared" si="50"/>
        <v>1</v>
      </c>
      <c r="BN28" s="223" t="str">
        <f t="shared" si="60"/>
        <v>Fiche info</v>
      </c>
      <c r="BO28" s="314" t="str">
        <f t="shared" si="51"/>
        <v/>
      </c>
      <c r="BP28" s="196" t="str">
        <f t="shared" si="52"/>
        <v/>
      </c>
      <c r="BQ28" s="196"/>
      <c r="BS28" s="2100" t="str">
        <f>+"Semaine numéro : "&amp;AT4</f>
        <v>Semaine numéro : 9</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+SUMIF(Février!$BK$20:$BK$50,AT4,Février!$AM$20:$AO$50)</f>
        <v>0</v>
      </c>
      <c r="CD28" s="196">
        <f>+SUMIF(Avril!$BK$20:$BK$50,AT4,Avril!$AM$20:$AO$50)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46090</v>
      </c>
      <c r="ER28" s="749">
        <f t="shared" si="10"/>
        <v>0</v>
      </c>
      <c r="ES28" s="750">
        <f t="shared" si="11"/>
        <v>0</v>
      </c>
      <c r="ET28" s="749">
        <f t="shared" si="12"/>
        <v>0</v>
      </c>
      <c r="EU28" s="750">
        <f t="shared" si="13"/>
        <v>0</v>
      </c>
      <c r="EV28" s="749" t="str">
        <f t="shared" si="14"/>
        <v/>
      </c>
      <c r="EW28" s="751">
        <f t="shared" si="29"/>
        <v>46090</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11</v>
      </c>
      <c r="GA28" s="129">
        <f t="shared" si="39"/>
        <v>2026</v>
      </c>
      <c r="GB28" s="129" t="str">
        <f t="shared" si="40"/>
        <v>112026</v>
      </c>
      <c r="GC28" s="223">
        <f>IF(AND($GD$53=S.CAL!$P$3,$GD$52=FZ28),GE28,IF(BH28="",0,BH28))</f>
        <v>0</v>
      </c>
      <c r="GD28" s="129" t="str">
        <f>IFERROR(+Avril!$BY$2&amp;BL28&amp;BM28,0)</f>
        <v>Fiche infoA1</v>
      </c>
      <c r="GE28" s="129" t="str">
        <f t="shared" si="19"/>
        <v/>
      </c>
      <c r="GF28" s="223" t="str">
        <f t="shared" si="41"/>
        <v/>
      </c>
      <c r="GG28" s="1446" t="str">
        <f>+'Retenue Mars'!D26</f>
        <v/>
      </c>
      <c r="GH28" s="1446">
        <f>IF(Identification!$B$132="Non",+'Retenue Mars'!BF26,+'Retenue Mars'!BE26)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46091</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46091</v>
      </c>
      <c r="AX29" s="1761"/>
      <c r="AY29" s="314"/>
      <c r="AZ29" s="1104"/>
      <c r="BA29" s="973"/>
      <c r="BB29" s="543"/>
      <c r="BC29" s="548">
        <f t="shared" si="23"/>
        <v>0</v>
      </c>
      <c r="BD29" s="1104"/>
      <c r="BE29" s="807">
        <f t="shared" si="24"/>
        <v>0</v>
      </c>
      <c r="BF29" s="1128"/>
      <c r="BG29" s="222"/>
      <c r="BH29" s="548" t="str">
        <f t="shared" si="25"/>
        <v/>
      </c>
      <c r="BI29" s="1128"/>
      <c r="BJ29" s="129" t="str">
        <f t="shared" si="26"/>
        <v>Fiche infoA2</v>
      </c>
      <c r="BK29" s="129">
        <f t="shared" si="49"/>
        <v>11</v>
      </c>
      <c r="BL29" s="129" t="str">
        <f t="shared" si="4"/>
        <v>A</v>
      </c>
      <c r="BM29" s="129">
        <f t="shared" si="50"/>
        <v>2</v>
      </c>
      <c r="BN29" s="223" t="str">
        <f t="shared" si="60"/>
        <v>Fiche info</v>
      </c>
      <c r="BO29" s="314" t="str">
        <f t="shared" si="51"/>
        <v/>
      </c>
      <c r="BP29" s="196" t="str">
        <f t="shared" si="52"/>
        <v/>
      </c>
      <c r="BQ29" s="196"/>
      <c r="BS29" s="2100" t="str">
        <f t="shared" ref="BS29:BS33" si="64">+"Semaine numéro : "&amp;AT5</f>
        <v>Semaine numéro : 10</v>
      </c>
      <c r="BT29" s="2101"/>
      <c r="BU29" s="2101"/>
      <c r="BV29" s="2101"/>
      <c r="BW29" s="2101"/>
      <c r="BX29" s="2102"/>
      <c r="BY29" s="1115"/>
      <c r="BZ29" s="656">
        <f t="shared" ref="BZ29:BZ33" si="65">+IF(BY29="",IF(AND(CC29&gt;0,CB29&gt;0),CC29+CB29,IF(CD29&gt;0,0,CB29)),BY29)</f>
        <v>0</v>
      </c>
      <c r="CA29" s="655">
        <f t="shared" si="62"/>
        <v>0</v>
      </c>
      <c r="CB29" s="196">
        <f t="shared" si="63"/>
        <v>0</v>
      </c>
      <c r="CC29" s="196">
        <f>+SUMIF(Février!$BK$20:$BK$50,AT5,Février!$AM$20:$AO$50)</f>
        <v>0</v>
      </c>
      <c r="CD29" s="196">
        <f>+SUMIF(Avril!$BK$20:$BK$50,AT5,Avril!$AM$20:$AO$50)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46091</v>
      </c>
      <c r="ER29" s="749">
        <f t="shared" si="10"/>
        <v>0</v>
      </c>
      <c r="ES29" s="750">
        <f t="shared" si="11"/>
        <v>0</v>
      </c>
      <c r="ET29" s="749">
        <f t="shared" si="12"/>
        <v>0</v>
      </c>
      <c r="EU29" s="750">
        <f t="shared" si="13"/>
        <v>0</v>
      </c>
      <c r="EV29" s="749" t="str">
        <f t="shared" si="14"/>
        <v/>
      </c>
      <c r="EW29" s="751">
        <f t="shared" si="29"/>
        <v>46091</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11</v>
      </c>
      <c r="GA29" s="129">
        <f t="shared" si="39"/>
        <v>2026</v>
      </c>
      <c r="GB29" s="129" t="str">
        <f t="shared" si="40"/>
        <v>112026</v>
      </c>
      <c r="GC29" s="223">
        <f>IF(AND($GD$53=S.CAL!$P$3,$GD$52=FZ29),GE29,IF(BH29="",0,BH29))</f>
        <v>0</v>
      </c>
      <c r="GD29" s="129" t="str">
        <f>IFERROR(+Avril!$BY$2&amp;BL29&amp;BM29,0)</f>
        <v>Fiche infoA2</v>
      </c>
      <c r="GE29" s="129" t="str">
        <f t="shared" si="19"/>
        <v/>
      </c>
      <c r="GF29" s="223" t="str">
        <f t="shared" si="41"/>
        <v/>
      </c>
      <c r="GG29" s="1446" t="str">
        <f>+'Retenue Mars'!D27</f>
        <v/>
      </c>
      <c r="GH29" s="1446">
        <f>IF(Identification!$B$132="Non",+'Retenue Mars'!BF27,+'Retenue Mars'!BE27)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46092</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46092</v>
      </c>
      <c r="AX30" s="1761"/>
      <c r="AY30" s="314"/>
      <c r="AZ30" s="1104"/>
      <c r="BA30" s="973"/>
      <c r="BB30" s="543"/>
      <c r="BC30" s="548">
        <f t="shared" si="23"/>
        <v>0</v>
      </c>
      <c r="BD30" s="1104"/>
      <c r="BE30" s="807">
        <f t="shared" si="24"/>
        <v>0</v>
      </c>
      <c r="BF30" s="1128"/>
      <c r="BG30" s="222"/>
      <c r="BH30" s="548" t="str">
        <f t="shared" si="25"/>
        <v/>
      </c>
      <c r="BI30" s="1128"/>
      <c r="BJ30" s="129" t="str">
        <f t="shared" si="26"/>
        <v>Fiche infoA3</v>
      </c>
      <c r="BK30" s="129">
        <f t="shared" si="49"/>
        <v>11</v>
      </c>
      <c r="BL30" s="129" t="str">
        <f t="shared" si="4"/>
        <v>A</v>
      </c>
      <c r="BM30" s="129">
        <f t="shared" si="50"/>
        <v>3</v>
      </c>
      <c r="BN30" s="223" t="str">
        <f t="shared" si="60"/>
        <v>Fiche info</v>
      </c>
      <c r="BO30" s="314" t="str">
        <f t="shared" si="51"/>
        <v/>
      </c>
      <c r="BP30" s="196" t="str">
        <f t="shared" si="52"/>
        <v/>
      </c>
      <c r="BQ30" s="196"/>
      <c r="BS30" s="2100" t="str">
        <f t="shared" si="64"/>
        <v>Semaine numéro : 11</v>
      </c>
      <c r="BT30" s="2101"/>
      <c r="BU30" s="2101"/>
      <c r="BV30" s="2101"/>
      <c r="BW30" s="2101"/>
      <c r="BX30" s="2102"/>
      <c r="BY30" s="1115"/>
      <c r="BZ30" s="656">
        <f t="shared" si="65"/>
        <v>0</v>
      </c>
      <c r="CA30" s="655">
        <f t="shared" si="62"/>
        <v>0</v>
      </c>
      <c r="CB30" s="196">
        <f t="shared" si="63"/>
        <v>0</v>
      </c>
      <c r="CC30" s="196">
        <f>+SUMIF(Février!$BK$20:$BK$50,AT6,Février!$AM$20:$AO$50)</f>
        <v>0</v>
      </c>
      <c r="CD30" s="196">
        <f>+SUMIF(Avril!$BK$20:$BK$50,AT6,Avril!$AM$20:$AO$50)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46092</v>
      </c>
      <c r="ER30" s="749">
        <f t="shared" si="10"/>
        <v>0</v>
      </c>
      <c r="ES30" s="750">
        <f t="shared" si="11"/>
        <v>0</v>
      </c>
      <c r="ET30" s="749">
        <f t="shared" si="12"/>
        <v>0</v>
      </c>
      <c r="EU30" s="750">
        <f t="shared" si="13"/>
        <v>0</v>
      </c>
      <c r="EV30" s="749" t="str">
        <f t="shared" si="14"/>
        <v/>
      </c>
      <c r="EW30" s="751">
        <f t="shared" si="29"/>
        <v>46092</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11</v>
      </c>
      <c r="GA30" s="129">
        <f t="shared" si="39"/>
        <v>2026</v>
      </c>
      <c r="GB30" s="129" t="str">
        <f t="shared" si="40"/>
        <v>112026</v>
      </c>
      <c r="GC30" s="223">
        <f>IF(AND($GD$53=S.CAL!$P$3,$GD$52=FZ30),GE30,IF(BH30="",0,BH30))</f>
        <v>0</v>
      </c>
      <c r="GD30" s="129" t="str">
        <f>IFERROR(+Avril!$BY$2&amp;BL30&amp;BM30,0)</f>
        <v>Fiche infoA3</v>
      </c>
      <c r="GE30" s="129" t="str">
        <f t="shared" si="19"/>
        <v/>
      </c>
      <c r="GF30" s="223" t="str">
        <f t="shared" si="41"/>
        <v/>
      </c>
      <c r="GG30" s="1446" t="str">
        <f>+'Retenue Mars'!D28</f>
        <v/>
      </c>
      <c r="GH30" s="1446">
        <f>IF(Identification!$B$132="Non",+'Retenue Mars'!BF28,+'Retenue Mars'!BE28)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46093</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46093</v>
      </c>
      <c r="AX31" s="1761"/>
      <c r="AY31" s="314"/>
      <c r="AZ31" s="1104"/>
      <c r="BA31" s="973"/>
      <c r="BB31" s="543"/>
      <c r="BC31" s="548">
        <f t="shared" si="23"/>
        <v>0</v>
      </c>
      <c r="BD31" s="1104"/>
      <c r="BE31" s="807">
        <f t="shared" si="24"/>
        <v>0</v>
      </c>
      <c r="BF31" s="1128"/>
      <c r="BG31" s="222"/>
      <c r="BH31" s="548" t="str">
        <f t="shared" si="25"/>
        <v/>
      </c>
      <c r="BI31" s="1128"/>
      <c r="BJ31" s="129" t="str">
        <f t="shared" si="26"/>
        <v>Fiche infoA4</v>
      </c>
      <c r="BK31" s="129">
        <f t="shared" si="49"/>
        <v>11</v>
      </c>
      <c r="BL31" s="129" t="str">
        <f t="shared" si="4"/>
        <v>A</v>
      </c>
      <c r="BM31" s="129">
        <f t="shared" si="50"/>
        <v>4</v>
      </c>
      <c r="BN31" s="223" t="str">
        <f t="shared" si="60"/>
        <v>Fiche info</v>
      </c>
      <c r="BO31" s="314" t="str">
        <f t="shared" si="51"/>
        <v/>
      </c>
      <c r="BP31" s="196" t="str">
        <f t="shared" si="52"/>
        <v/>
      </c>
      <c r="BQ31" s="196"/>
      <c r="BS31" s="2100" t="str">
        <f t="shared" si="64"/>
        <v>Semaine numéro : 12</v>
      </c>
      <c r="BT31" s="2101"/>
      <c r="BU31" s="2101"/>
      <c r="BV31" s="2101"/>
      <c r="BW31" s="2101"/>
      <c r="BX31" s="2102"/>
      <c r="BY31" s="1115"/>
      <c r="BZ31" s="656">
        <f t="shared" si="65"/>
        <v>0</v>
      </c>
      <c r="CA31" s="655">
        <f t="shared" si="62"/>
        <v>0</v>
      </c>
      <c r="CB31" s="196">
        <f t="shared" si="63"/>
        <v>0</v>
      </c>
      <c r="CC31" s="196">
        <f>+SUMIF(Février!$BK$20:$BK$50,AT7,Février!$AM$20:$AO$50)</f>
        <v>0</v>
      </c>
      <c r="CD31" s="196">
        <f>+SUMIF(Avril!$BK$20:$BK$50,AT7,Avril!$AM$20:$AO$50)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46093</v>
      </c>
      <c r="ER31" s="749">
        <f t="shared" si="10"/>
        <v>0</v>
      </c>
      <c r="ES31" s="750">
        <f t="shared" si="11"/>
        <v>0</v>
      </c>
      <c r="ET31" s="749">
        <f t="shared" si="12"/>
        <v>0</v>
      </c>
      <c r="EU31" s="750">
        <f t="shared" si="13"/>
        <v>0</v>
      </c>
      <c r="EV31" s="749" t="str">
        <f t="shared" si="14"/>
        <v/>
      </c>
      <c r="EW31" s="751">
        <f t="shared" si="29"/>
        <v>46093</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11</v>
      </c>
      <c r="GA31" s="129">
        <f t="shared" si="39"/>
        <v>2026</v>
      </c>
      <c r="GB31" s="129" t="str">
        <f t="shared" si="40"/>
        <v>112026</v>
      </c>
      <c r="GC31" s="223">
        <f>IF(AND($GD$53=S.CAL!$P$3,$GD$52=FZ31),GE31,IF(BH31="",0,BH31))</f>
        <v>0</v>
      </c>
      <c r="GD31" s="129" t="str">
        <f>IFERROR(+Avril!$BY$2&amp;BL31&amp;BM31,0)</f>
        <v>Fiche infoA4</v>
      </c>
      <c r="GE31" s="129" t="str">
        <f t="shared" si="19"/>
        <v/>
      </c>
      <c r="GF31" s="223" t="str">
        <f t="shared" si="41"/>
        <v/>
      </c>
      <c r="GG31" s="1446" t="str">
        <f>+'Retenue Mars'!D29</f>
        <v/>
      </c>
      <c r="GH31" s="1446">
        <f>IF(Identification!$B$132="Non",+'Retenue Mars'!BF29,+'Retenue Mars'!BE29)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46094</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46094</v>
      </c>
      <c r="AX32" s="1761"/>
      <c r="AY32" s="314"/>
      <c r="AZ32" s="1104"/>
      <c r="BA32" s="973"/>
      <c r="BB32" s="543"/>
      <c r="BC32" s="548">
        <f t="shared" si="23"/>
        <v>0</v>
      </c>
      <c r="BD32" s="1104"/>
      <c r="BE32" s="807">
        <f t="shared" si="24"/>
        <v>0</v>
      </c>
      <c r="BF32" s="1128"/>
      <c r="BG32" s="222"/>
      <c r="BH32" s="548" t="str">
        <f t="shared" si="25"/>
        <v/>
      </c>
      <c r="BI32" s="1128"/>
      <c r="BJ32" s="129" t="str">
        <f t="shared" si="26"/>
        <v>Fiche infoA5</v>
      </c>
      <c r="BK32" s="129">
        <f t="shared" si="49"/>
        <v>11</v>
      </c>
      <c r="BL32" s="129" t="str">
        <f t="shared" si="4"/>
        <v>A</v>
      </c>
      <c r="BM32" s="129">
        <f t="shared" si="50"/>
        <v>5</v>
      </c>
      <c r="BN32" s="223" t="str">
        <f t="shared" si="60"/>
        <v>Fiche info</v>
      </c>
      <c r="BO32" s="314" t="str">
        <f t="shared" si="51"/>
        <v/>
      </c>
      <c r="BP32" s="196" t="str">
        <f t="shared" si="52"/>
        <v/>
      </c>
      <c r="BQ32" s="196"/>
      <c r="BS32" s="2100" t="str">
        <f t="shared" si="64"/>
        <v>Semaine numéro : 13</v>
      </c>
      <c r="BT32" s="2101"/>
      <c r="BU32" s="2101"/>
      <c r="BV32" s="2101"/>
      <c r="BW32" s="2101"/>
      <c r="BX32" s="2102"/>
      <c r="BY32" s="1115"/>
      <c r="BZ32" s="656">
        <f t="shared" si="65"/>
        <v>0</v>
      </c>
      <c r="CA32" s="655">
        <f t="shared" si="62"/>
        <v>0</v>
      </c>
      <c r="CB32" s="196">
        <f t="shared" si="63"/>
        <v>0</v>
      </c>
      <c r="CC32" s="196">
        <f>+SUMIF(Février!$BK$20:$BK$50,AT8,Février!$AM$20:$AO$50)</f>
        <v>0</v>
      </c>
      <c r="CD32" s="196">
        <f>+SUMIF(Avril!$BK$20:$BK$50,AT8,Avril!$AM$20:$AO$50)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46094</v>
      </c>
      <c r="ER32" s="749">
        <f t="shared" si="10"/>
        <v>0</v>
      </c>
      <c r="ES32" s="750">
        <f t="shared" si="11"/>
        <v>0</v>
      </c>
      <c r="ET32" s="749">
        <f t="shared" si="12"/>
        <v>0</v>
      </c>
      <c r="EU32" s="750">
        <f t="shared" si="13"/>
        <v>0</v>
      </c>
      <c r="EV32" s="749" t="str">
        <f t="shared" si="14"/>
        <v/>
      </c>
      <c r="EW32" s="751">
        <f t="shared" si="29"/>
        <v>46094</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11</v>
      </c>
      <c r="GA32" s="129">
        <f t="shared" si="39"/>
        <v>2026</v>
      </c>
      <c r="GB32" s="129" t="str">
        <f t="shared" si="40"/>
        <v>112026</v>
      </c>
      <c r="GC32" s="223">
        <f>IF(AND($GD$53=S.CAL!$P$3,$GD$52=FZ32),GE32,IF(BH32="",0,BH32))</f>
        <v>0</v>
      </c>
      <c r="GD32" s="129" t="str">
        <f>IFERROR(+Avril!$BY$2&amp;BL32&amp;BM32,0)</f>
        <v>Fiche infoA5</v>
      </c>
      <c r="GE32" s="129" t="str">
        <f t="shared" si="19"/>
        <v/>
      </c>
      <c r="GF32" s="223" t="str">
        <f t="shared" si="41"/>
        <v/>
      </c>
      <c r="GG32" s="1446" t="str">
        <f>+'Retenue Mars'!D30</f>
        <v/>
      </c>
      <c r="GH32" s="1446">
        <f>IF(Identification!$B$132="Non",+'Retenue Mars'!BF30,+'Retenue Mars'!BE30)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46095</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46095</v>
      </c>
      <c r="AX33" s="1761"/>
      <c r="AY33" s="314"/>
      <c r="AZ33" s="1104"/>
      <c r="BA33" s="973"/>
      <c r="BB33" s="543"/>
      <c r="BC33" s="548">
        <f t="shared" si="23"/>
        <v>0</v>
      </c>
      <c r="BD33" s="1104"/>
      <c r="BE33" s="807">
        <f t="shared" si="24"/>
        <v>0</v>
      </c>
      <c r="BF33" s="1128"/>
      <c r="BG33" s="222"/>
      <c r="BH33" s="548" t="str">
        <f t="shared" si="25"/>
        <v/>
      </c>
      <c r="BI33" s="1128"/>
      <c r="BJ33" s="129" t="str">
        <f t="shared" si="26"/>
        <v>Fiche infoA6</v>
      </c>
      <c r="BK33" s="129">
        <f t="shared" si="49"/>
        <v>11</v>
      </c>
      <c r="BL33" s="129" t="str">
        <f t="shared" si="4"/>
        <v>A</v>
      </c>
      <c r="BM33" s="129">
        <f t="shared" si="50"/>
        <v>6</v>
      </c>
      <c r="BN33" s="223" t="str">
        <f t="shared" si="60"/>
        <v>Fiche info</v>
      </c>
      <c r="BO33" s="314" t="str">
        <f t="shared" si="51"/>
        <v/>
      </c>
      <c r="BP33" s="196" t="str">
        <f t="shared" si="52"/>
        <v/>
      </c>
      <c r="BQ33" s="196"/>
      <c r="BS33" s="2100" t="str">
        <f t="shared" si="64"/>
        <v>Semaine numéro : 14</v>
      </c>
      <c r="BT33" s="2101"/>
      <c r="BU33" s="2101"/>
      <c r="BV33" s="2101"/>
      <c r="BW33" s="2101"/>
      <c r="BX33" s="2102"/>
      <c r="BY33" s="1115"/>
      <c r="BZ33" s="656">
        <f t="shared" si="65"/>
        <v>0</v>
      </c>
      <c r="CA33" s="655">
        <f t="shared" si="62"/>
        <v>0</v>
      </c>
      <c r="CB33" s="196">
        <f t="shared" si="63"/>
        <v>0</v>
      </c>
      <c r="CC33" s="196">
        <f>+SUMIF(Février!$BK$20:$BK$50,AT9,Février!$AM$20:$AO$50)</f>
        <v>0</v>
      </c>
      <c r="CD33" s="196">
        <f>+SUMIF(Avril!$BK$20:$BK$50,AT9,Avril!$AM$20:$AO$50)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46095</v>
      </c>
      <c r="ER33" s="749">
        <f t="shared" si="10"/>
        <v>0</v>
      </c>
      <c r="ES33" s="750">
        <f t="shared" si="11"/>
        <v>0</v>
      </c>
      <c r="ET33" s="749">
        <f t="shared" si="12"/>
        <v>0</v>
      </c>
      <c r="EU33" s="750">
        <f t="shared" si="13"/>
        <v>0</v>
      </c>
      <c r="EV33" s="749" t="str">
        <f t="shared" si="14"/>
        <v/>
      </c>
      <c r="EW33" s="751">
        <f t="shared" si="29"/>
        <v>46095</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11</v>
      </c>
      <c r="GA33" s="129">
        <f t="shared" si="39"/>
        <v>2026</v>
      </c>
      <c r="GB33" s="129" t="str">
        <f t="shared" si="40"/>
        <v>112026</v>
      </c>
      <c r="GC33" s="223">
        <f>IF(AND($GD$53=S.CAL!$P$3,$GD$52=FZ33),GE33,IF(BH33="",0,BH33))</f>
        <v>0</v>
      </c>
      <c r="GD33" s="129" t="str">
        <f>IFERROR(+Avril!$BY$2&amp;BL33&amp;BM33,0)</f>
        <v>Fiche infoA6</v>
      </c>
      <c r="GE33" s="129" t="str">
        <f t="shared" si="19"/>
        <v/>
      </c>
      <c r="GF33" s="223" t="str">
        <f t="shared" si="41"/>
        <v/>
      </c>
      <c r="GG33" s="1446" t="str">
        <f>+'Retenue Mars'!D31</f>
        <v/>
      </c>
      <c r="GH33" s="1446">
        <f>IF(Identification!$B$132="Non",+'Retenue Mars'!BF31,+'Retenue Mars'!BE31)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46096</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46096</v>
      </c>
      <c r="AX34" s="1761"/>
      <c r="AY34" s="314"/>
      <c r="AZ34" s="1104"/>
      <c r="BA34" s="973"/>
      <c r="BB34" s="543"/>
      <c r="BC34" s="548">
        <f t="shared" si="23"/>
        <v>0</v>
      </c>
      <c r="BD34" s="1104"/>
      <c r="BE34" s="807">
        <f t="shared" si="24"/>
        <v>0</v>
      </c>
      <c r="BF34" s="1128"/>
      <c r="BG34" s="222"/>
      <c r="BH34" s="548" t="str">
        <f t="shared" si="25"/>
        <v/>
      </c>
      <c r="BI34" s="1128"/>
      <c r="BJ34" s="129" t="str">
        <f t="shared" si="26"/>
        <v>Fiche infoA7</v>
      </c>
      <c r="BK34" s="129">
        <f t="shared" si="49"/>
        <v>11</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CB34" s="447"/>
      <c r="CC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46096</v>
      </c>
      <c r="ER34" s="749">
        <f t="shared" si="10"/>
        <v>0</v>
      </c>
      <c r="ES34" s="750">
        <f t="shared" si="11"/>
        <v>0</v>
      </c>
      <c r="ET34" s="749">
        <f t="shared" si="12"/>
        <v>0</v>
      </c>
      <c r="EU34" s="750">
        <f t="shared" si="13"/>
        <v>0</v>
      </c>
      <c r="EV34" s="749" t="str">
        <f t="shared" si="14"/>
        <v/>
      </c>
      <c r="EW34" s="751">
        <f t="shared" si="29"/>
        <v>46096</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11</v>
      </c>
      <c r="GA34" s="129">
        <f t="shared" si="39"/>
        <v>2026</v>
      </c>
      <c r="GB34" s="129" t="str">
        <f t="shared" si="40"/>
        <v>112026</v>
      </c>
      <c r="GC34" s="223">
        <f>IF(AND($GD$53=S.CAL!$P$3,$GD$52=FZ34),GE34,IF(BH34="",0,BH34))</f>
        <v>0</v>
      </c>
      <c r="GD34" s="129" t="str">
        <f>IFERROR(+Avril!$BY$2&amp;BL34&amp;BM34,0)</f>
        <v>Fiche infoA7</v>
      </c>
      <c r="GE34" s="129" t="str">
        <f t="shared" si="19"/>
        <v/>
      </c>
      <c r="GF34" s="223" t="str">
        <f t="shared" si="41"/>
        <v/>
      </c>
      <c r="GG34" s="1446" t="str">
        <f>+'Retenue Mars'!D32</f>
        <v/>
      </c>
      <c r="GH34" s="1446">
        <f>IF(Identification!$B$132="Non",+'Retenue Mars'!BF32,+'Retenue Mars'!BE32)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46097</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f t="shared" si="48"/>
        <v>12</v>
      </c>
      <c r="AQ35" s="322"/>
      <c r="AR35" s="1104"/>
      <c r="AS35" s="314">
        <f t="shared" si="3"/>
        <v>0</v>
      </c>
      <c r="AT35" s="1125"/>
      <c r="AU35" s="1125"/>
      <c r="AV35" s="314"/>
      <c r="AW35" s="1791">
        <f t="shared" si="22"/>
        <v>46097</v>
      </c>
      <c r="AX35" s="1761"/>
      <c r="AY35" s="314"/>
      <c r="AZ35" s="1104"/>
      <c r="BA35" s="973"/>
      <c r="BB35" s="543"/>
      <c r="BC35" s="548">
        <f t="shared" si="23"/>
        <v>0</v>
      </c>
      <c r="BD35" s="1104"/>
      <c r="BE35" s="807">
        <f t="shared" si="24"/>
        <v>0</v>
      </c>
      <c r="BF35" s="1128"/>
      <c r="BG35" s="222"/>
      <c r="BH35" s="548" t="str">
        <f t="shared" si="25"/>
        <v/>
      </c>
      <c r="BI35" s="1128"/>
      <c r="BJ35" s="129" t="str">
        <f t="shared" si="26"/>
        <v>Fiche infoA1</v>
      </c>
      <c r="BK35" s="129">
        <f t="shared" si="49"/>
        <v>12</v>
      </c>
      <c r="BL35" s="129" t="str">
        <f t="shared" si="4"/>
        <v>A</v>
      </c>
      <c r="BM35" s="129">
        <f t="shared" si="50"/>
        <v>1</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46097</v>
      </c>
      <c r="ER35" s="749">
        <f t="shared" si="10"/>
        <v>0</v>
      </c>
      <c r="ES35" s="750">
        <f t="shared" si="11"/>
        <v>0</v>
      </c>
      <c r="ET35" s="749">
        <f t="shared" si="12"/>
        <v>0</v>
      </c>
      <c r="EU35" s="750">
        <f t="shared" si="13"/>
        <v>0</v>
      </c>
      <c r="EV35" s="749" t="str">
        <f t="shared" si="14"/>
        <v/>
      </c>
      <c r="EW35" s="751">
        <f t="shared" si="29"/>
        <v>46097</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12</v>
      </c>
      <c r="GA35" s="129">
        <f t="shared" si="39"/>
        <v>2026</v>
      </c>
      <c r="GB35" s="129" t="str">
        <f t="shared" si="40"/>
        <v>122026</v>
      </c>
      <c r="GC35" s="223">
        <f>IF(AND($GD$53=S.CAL!$P$3,$GD$52=FZ35),GE35,IF(BH35="",0,BH35))</f>
        <v>0</v>
      </c>
      <c r="GD35" s="129" t="str">
        <f>IFERROR(+Avril!$BY$2&amp;BL35&amp;BM35,0)</f>
        <v>Fiche infoA1</v>
      </c>
      <c r="GE35" s="129" t="str">
        <f t="shared" si="19"/>
        <v/>
      </c>
      <c r="GF35" s="223" t="str">
        <f t="shared" si="41"/>
        <v/>
      </c>
      <c r="GG35" s="1446" t="str">
        <f>+'Retenue Mars'!D33</f>
        <v/>
      </c>
      <c r="GH35" s="1446">
        <f>IF(Identification!$B$132="Non",+'Retenue Mars'!BF33,+'Retenue Mars'!BE33)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46098</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46098</v>
      </c>
      <c r="AX36" s="1761"/>
      <c r="AY36" s="314"/>
      <c r="AZ36" s="1104"/>
      <c r="BA36" s="973"/>
      <c r="BB36" s="543"/>
      <c r="BC36" s="548">
        <f t="shared" si="23"/>
        <v>0</v>
      </c>
      <c r="BD36" s="1104"/>
      <c r="BE36" s="807">
        <f t="shared" si="24"/>
        <v>0</v>
      </c>
      <c r="BF36" s="1128"/>
      <c r="BG36" s="222"/>
      <c r="BH36" s="548" t="str">
        <f t="shared" si="25"/>
        <v/>
      </c>
      <c r="BI36" s="1128"/>
      <c r="BJ36" s="129" t="str">
        <f t="shared" si="26"/>
        <v>Fiche infoA2</v>
      </c>
      <c r="BK36" s="129">
        <f t="shared" si="49"/>
        <v>12</v>
      </c>
      <c r="BL36" s="129" t="str">
        <f t="shared" si="4"/>
        <v>A</v>
      </c>
      <c r="BM36" s="129">
        <f t="shared" si="50"/>
        <v>2</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46098</v>
      </c>
      <c r="ER36" s="749">
        <f t="shared" si="10"/>
        <v>0</v>
      </c>
      <c r="ES36" s="750">
        <f t="shared" si="11"/>
        <v>0</v>
      </c>
      <c r="ET36" s="749">
        <f t="shared" si="12"/>
        <v>0</v>
      </c>
      <c r="EU36" s="750">
        <f t="shared" si="13"/>
        <v>0</v>
      </c>
      <c r="EV36" s="749" t="str">
        <f t="shared" si="14"/>
        <v/>
      </c>
      <c r="EW36" s="751">
        <f t="shared" si="29"/>
        <v>46098</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12</v>
      </c>
      <c r="GA36" s="129">
        <f t="shared" si="39"/>
        <v>2026</v>
      </c>
      <c r="GB36" s="129" t="str">
        <f t="shared" si="40"/>
        <v>122026</v>
      </c>
      <c r="GC36" s="223">
        <f>IF(AND($GD$53=S.CAL!$P$3,$GD$52=FZ36),GE36,IF(BH36="",0,BH36))</f>
        <v>0</v>
      </c>
      <c r="GD36" s="129" t="str">
        <f>IFERROR(+Avril!$BY$2&amp;BL36&amp;BM36,0)</f>
        <v>Fiche infoA2</v>
      </c>
      <c r="GE36" s="129" t="str">
        <f t="shared" si="19"/>
        <v/>
      </c>
      <c r="GF36" s="223" t="str">
        <f t="shared" si="41"/>
        <v/>
      </c>
      <c r="GG36" s="1446" t="str">
        <f>+'Retenue Mars'!D34</f>
        <v/>
      </c>
      <c r="GH36" s="1446">
        <f>IF(Identification!$B$132="Non",+'Retenue Mars'!BF34,+'Retenue Mars'!BE34)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46099</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46099</v>
      </c>
      <c r="AX37" s="1761"/>
      <c r="AY37" s="314"/>
      <c r="AZ37" s="1104"/>
      <c r="BA37" s="973"/>
      <c r="BB37" s="543"/>
      <c r="BC37" s="548">
        <f t="shared" si="23"/>
        <v>0</v>
      </c>
      <c r="BD37" s="1104"/>
      <c r="BE37" s="807">
        <f t="shared" si="24"/>
        <v>0</v>
      </c>
      <c r="BF37" s="1128"/>
      <c r="BG37" s="222"/>
      <c r="BH37" s="548" t="str">
        <f t="shared" si="25"/>
        <v/>
      </c>
      <c r="BI37" s="1128"/>
      <c r="BJ37" s="129" t="str">
        <f t="shared" si="26"/>
        <v>Fiche infoA3</v>
      </c>
      <c r="BK37" s="129">
        <f t="shared" si="49"/>
        <v>12</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46099</v>
      </c>
      <c r="ER37" s="749">
        <f t="shared" si="10"/>
        <v>0</v>
      </c>
      <c r="ES37" s="750">
        <f t="shared" si="11"/>
        <v>0</v>
      </c>
      <c r="ET37" s="749">
        <f t="shared" si="12"/>
        <v>0</v>
      </c>
      <c r="EU37" s="750">
        <f t="shared" si="13"/>
        <v>0</v>
      </c>
      <c r="EV37" s="749" t="str">
        <f t="shared" si="14"/>
        <v/>
      </c>
      <c r="EW37" s="751">
        <f t="shared" si="29"/>
        <v>46099</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12</v>
      </c>
      <c r="GA37" s="129">
        <f t="shared" si="39"/>
        <v>2026</v>
      </c>
      <c r="GB37" s="129" t="str">
        <f t="shared" si="40"/>
        <v>122026</v>
      </c>
      <c r="GC37" s="223">
        <f>IF(AND($GD$53=S.CAL!$P$3,$GD$52=FZ37),GE37,IF(BH37="",0,BH37))</f>
        <v>0</v>
      </c>
      <c r="GD37" s="129" t="str">
        <f>IFERROR(+Avril!$BY$2&amp;BL37&amp;BM37,0)</f>
        <v>Fiche infoA3</v>
      </c>
      <c r="GE37" s="129" t="str">
        <f t="shared" si="19"/>
        <v/>
      </c>
      <c r="GF37" s="223" t="str">
        <f t="shared" si="41"/>
        <v/>
      </c>
      <c r="GG37" s="1446" t="str">
        <f>+'Retenue Mars'!D35</f>
        <v/>
      </c>
      <c r="GH37" s="1446">
        <f>IF(Identification!$B$132="Non",+'Retenue Mars'!BF35,+'Retenue Mars'!BE35)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46100</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46100</v>
      </c>
      <c r="AX38" s="1761"/>
      <c r="AY38" s="314"/>
      <c r="AZ38" s="1104"/>
      <c r="BA38" s="973"/>
      <c r="BB38" s="543"/>
      <c r="BC38" s="548">
        <f t="shared" si="23"/>
        <v>0</v>
      </c>
      <c r="BD38" s="1104"/>
      <c r="BE38" s="807">
        <f t="shared" si="24"/>
        <v>0</v>
      </c>
      <c r="BF38" s="1128"/>
      <c r="BG38" s="222"/>
      <c r="BH38" s="548" t="str">
        <f t="shared" si="25"/>
        <v/>
      </c>
      <c r="BI38" s="1128"/>
      <c r="BJ38" s="129" t="str">
        <f t="shared" si="26"/>
        <v>Fiche infoA4</v>
      </c>
      <c r="BK38" s="129">
        <f t="shared" si="49"/>
        <v>12</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46100</v>
      </c>
      <c r="ER38" s="749">
        <f t="shared" si="10"/>
        <v>0</v>
      </c>
      <c r="ES38" s="750">
        <f t="shared" si="11"/>
        <v>0</v>
      </c>
      <c r="ET38" s="749">
        <f t="shared" si="12"/>
        <v>0</v>
      </c>
      <c r="EU38" s="750">
        <f t="shared" si="13"/>
        <v>0</v>
      </c>
      <c r="EV38" s="749" t="str">
        <f t="shared" si="14"/>
        <v/>
      </c>
      <c r="EW38" s="751">
        <f t="shared" si="29"/>
        <v>46100</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12</v>
      </c>
      <c r="GA38" s="129">
        <f t="shared" si="39"/>
        <v>2026</v>
      </c>
      <c r="GB38" s="129" t="str">
        <f t="shared" si="40"/>
        <v>122026</v>
      </c>
      <c r="GC38" s="223">
        <f>IF(AND($GD$53=S.CAL!$P$3,$GD$52=FZ38),GE38,IF(BH38="",0,BH38))</f>
        <v>0</v>
      </c>
      <c r="GD38" s="129" t="str">
        <f>IFERROR(+Avril!$BY$2&amp;BL38&amp;BM38,0)</f>
        <v>Fiche infoA4</v>
      </c>
      <c r="GE38" s="129" t="str">
        <f t="shared" si="19"/>
        <v/>
      </c>
      <c r="GF38" s="223" t="str">
        <f t="shared" si="41"/>
        <v/>
      </c>
      <c r="GG38" s="1446" t="str">
        <f>+'Retenue Mars'!D36</f>
        <v/>
      </c>
      <c r="GH38" s="1446">
        <f>IF(Identification!$B$132="Non",+'Retenue Mars'!BF36,+'Retenue Mars'!BE36)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46101</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46101</v>
      </c>
      <c r="AX39" s="1761"/>
      <c r="AY39" s="314"/>
      <c r="AZ39" s="1104"/>
      <c r="BA39" s="973"/>
      <c r="BB39" s="543"/>
      <c r="BC39" s="548">
        <f t="shared" si="23"/>
        <v>0</v>
      </c>
      <c r="BD39" s="1104"/>
      <c r="BE39" s="807">
        <f t="shared" si="24"/>
        <v>0</v>
      </c>
      <c r="BF39" s="1128"/>
      <c r="BG39" s="222"/>
      <c r="BH39" s="548" t="str">
        <f t="shared" si="25"/>
        <v/>
      </c>
      <c r="BI39" s="1128"/>
      <c r="BJ39" s="129" t="str">
        <f t="shared" si="26"/>
        <v>Fiche infoA5</v>
      </c>
      <c r="BK39" s="129">
        <f t="shared" si="49"/>
        <v>12</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46101</v>
      </c>
      <c r="ER39" s="749">
        <f t="shared" si="10"/>
        <v>0</v>
      </c>
      <c r="ES39" s="750">
        <f t="shared" si="11"/>
        <v>0</v>
      </c>
      <c r="ET39" s="749">
        <f t="shared" si="12"/>
        <v>0</v>
      </c>
      <c r="EU39" s="750">
        <f t="shared" si="13"/>
        <v>0</v>
      </c>
      <c r="EV39" s="749" t="str">
        <f t="shared" si="14"/>
        <v/>
      </c>
      <c r="EW39" s="751">
        <f t="shared" si="29"/>
        <v>46101</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12</v>
      </c>
      <c r="GA39" s="129">
        <f t="shared" si="39"/>
        <v>2026</v>
      </c>
      <c r="GB39" s="129" t="str">
        <f t="shared" si="40"/>
        <v>122026</v>
      </c>
      <c r="GC39" s="223">
        <f>IF(AND($GD$53=S.CAL!$P$3,$GD$52=FZ39),GE39,IF(BH39="",0,BH39))</f>
        <v>0</v>
      </c>
      <c r="GD39" s="129" t="str">
        <f>IFERROR(+Avril!$BY$2&amp;BL39&amp;BM39,0)</f>
        <v>Fiche infoA5</v>
      </c>
      <c r="GE39" s="129" t="str">
        <f t="shared" si="19"/>
        <v/>
      </c>
      <c r="GF39" s="223" t="str">
        <f t="shared" si="41"/>
        <v/>
      </c>
      <c r="GG39" s="1446" t="str">
        <f>+'Retenue Mars'!D37</f>
        <v/>
      </c>
      <c r="GH39" s="1446">
        <f>IF(Identification!$B$132="Non",+'Retenue Mars'!BF37,+'Retenue Mars'!BE37)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46102</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46102</v>
      </c>
      <c r="AX40" s="1761"/>
      <c r="AY40" s="314"/>
      <c r="AZ40" s="1104"/>
      <c r="BA40" s="973"/>
      <c r="BB40" s="543"/>
      <c r="BC40" s="548">
        <f t="shared" si="23"/>
        <v>0</v>
      </c>
      <c r="BD40" s="1104"/>
      <c r="BE40" s="807">
        <f t="shared" si="24"/>
        <v>0</v>
      </c>
      <c r="BF40" s="1128"/>
      <c r="BG40" s="222"/>
      <c r="BH40" s="548" t="str">
        <f t="shared" si="25"/>
        <v/>
      </c>
      <c r="BI40" s="1128"/>
      <c r="BJ40" s="129" t="str">
        <f t="shared" si="26"/>
        <v>Fiche infoA6</v>
      </c>
      <c r="BK40" s="129">
        <f t="shared" si="49"/>
        <v>12</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Mars'!P27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46102</v>
      </c>
      <c r="ER40" s="749">
        <f t="shared" si="10"/>
        <v>0</v>
      </c>
      <c r="ES40" s="750">
        <f t="shared" si="11"/>
        <v>0</v>
      </c>
      <c r="ET40" s="749">
        <f t="shared" si="12"/>
        <v>0</v>
      </c>
      <c r="EU40" s="750">
        <f t="shared" si="13"/>
        <v>0</v>
      </c>
      <c r="EV40" s="749" t="str">
        <f t="shared" si="14"/>
        <v/>
      </c>
      <c r="EW40" s="751">
        <f t="shared" si="29"/>
        <v>46102</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12</v>
      </c>
      <c r="GA40" s="129">
        <f t="shared" si="39"/>
        <v>2026</v>
      </c>
      <c r="GB40" s="129" t="str">
        <f t="shared" si="40"/>
        <v>122026</v>
      </c>
      <c r="GC40" s="223">
        <f>IF(AND($GD$53=S.CAL!$P$3,$GD$52=FZ40),GE40,IF(BH40="",0,BH40))</f>
        <v>0</v>
      </c>
      <c r="GD40" s="129" t="str">
        <f>IFERROR(+Avril!$BY$2&amp;BL40&amp;BM40,0)</f>
        <v>Fiche infoA6</v>
      </c>
      <c r="GE40" s="129" t="str">
        <f t="shared" si="19"/>
        <v/>
      </c>
      <c r="GF40" s="223" t="str">
        <f t="shared" si="41"/>
        <v/>
      </c>
      <c r="GG40" s="1446" t="str">
        <f>+'Retenue Mars'!D38</f>
        <v/>
      </c>
      <c r="GH40" s="1446">
        <f>IF(Identification!$B$132="Non",+'Retenue Mars'!BF38,+'Retenue Mars'!BE38)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46103</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46103</v>
      </c>
      <c r="AX41" s="1761"/>
      <c r="AY41" s="314"/>
      <c r="AZ41" s="1104"/>
      <c r="BA41" s="973"/>
      <c r="BB41" s="543"/>
      <c r="BC41" s="548">
        <f t="shared" si="23"/>
        <v>0</v>
      </c>
      <c r="BD41" s="1104"/>
      <c r="BE41" s="807">
        <f t="shared" si="24"/>
        <v>0</v>
      </c>
      <c r="BF41" s="1128"/>
      <c r="BG41" s="222"/>
      <c r="BH41" s="548" t="str">
        <f t="shared" si="25"/>
        <v/>
      </c>
      <c r="BI41" s="1128"/>
      <c r="BJ41" s="129" t="str">
        <f t="shared" si="26"/>
        <v>Fiche infoA7</v>
      </c>
      <c r="BK41" s="129">
        <f t="shared" si="49"/>
        <v>12</v>
      </c>
      <c r="BL41" s="129" t="str">
        <f t="shared" si="4"/>
        <v>A</v>
      </c>
      <c r="BM41" s="129">
        <f t="shared" si="50"/>
        <v>7</v>
      </c>
      <c r="BN41" s="223" t="str">
        <f t="shared" si="60"/>
        <v>Fiche info</v>
      </c>
      <c r="BO41" s="314" t="str">
        <f t="shared" si="51"/>
        <v/>
      </c>
      <c r="BP41" s="196" t="str">
        <f t="shared" si="52"/>
        <v/>
      </c>
      <c r="BQ41" s="1948" t="s">
        <v>1047</v>
      </c>
      <c r="BR41" s="1948"/>
      <c r="BS41" s="1948"/>
      <c r="BT41" s="1948"/>
      <c r="BU41" s="1948"/>
      <c r="BV41" s="1948"/>
      <c r="BW41" s="583" t="str">
        <f>+IF(BX41="",Février!BW41,BX41)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46103</v>
      </c>
      <c r="ER41" s="749">
        <f t="shared" si="10"/>
        <v>0</v>
      </c>
      <c r="ES41" s="750">
        <f t="shared" si="11"/>
        <v>0</v>
      </c>
      <c r="ET41" s="749">
        <f t="shared" si="12"/>
        <v>0</v>
      </c>
      <c r="EU41" s="750">
        <f t="shared" si="13"/>
        <v>0</v>
      </c>
      <c r="EV41" s="749" t="str">
        <f t="shared" si="14"/>
        <v/>
      </c>
      <c r="EW41" s="751">
        <f t="shared" si="29"/>
        <v>46103</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12</v>
      </c>
      <c r="GA41" s="129">
        <f t="shared" si="39"/>
        <v>2026</v>
      </c>
      <c r="GB41" s="129" t="str">
        <f t="shared" si="40"/>
        <v>122026</v>
      </c>
      <c r="GC41" s="223">
        <f>IF(AND($GD$53=S.CAL!$P$3,$GD$52=FZ41),GE41,IF(BH41="",0,BH41))</f>
        <v>0</v>
      </c>
      <c r="GD41" s="129" t="str">
        <f>IFERROR(+Avril!$BY$2&amp;BL41&amp;BM41,0)</f>
        <v>Fiche infoA7</v>
      </c>
      <c r="GE41" s="129" t="str">
        <f t="shared" si="19"/>
        <v/>
      </c>
      <c r="GF41" s="223" t="str">
        <f t="shared" si="41"/>
        <v/>
      </c>
      <c r="GG41" s="1446" t="str">
        <f>+'Retenue Mars'!D39</f>
        <v/>
      </c>
      <c r="GH41" s="1446">
        <f>IF(Identification!$B$132="Non",+'Retenue Mars'!BF39,+'Retenue Mars'!BE39)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46104</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f t="shared" si="48"/>
        <v>13</v>
      </c>
      <c r="AQ42" s="322"/>
      <c r="AR42" s="1104"/>
      <c r="AS42" s="314">
        <f t="shared" si="3"/>
        <v>0</v>
      </c>
      <c r="AT42" s="1125"/>
      <c r="AU42" s="1125"/>
      <c r="AV42" s="314"/>
      <c r="AW42" s="1791">
        <f t="shared" si="22"/>
        <v>46104</v>
      </c>
      <c r="AX42" s="1761"/>
      <c r="AY42" s="314"/>
      <c r="AZ42" s="1104"/>
      <c r="BA42" s="973"/>
      <c r="BB42" s="543"/>
      <c r="BC42" s="548">
        <f t="shared" si="23"/>
        <v>0</v>
      </c>
      <c r="BD42" s="1104"/>
      <c r="BE42" s="807">
        <f t="shared" si="24"/>
        <v>0</v>
      </c>
      <c r="BF42" s="1128"/>
      <c r="BG42" s="222"/>
      <c r="BH42" s="548" t="str">
        <f t="shared" si="25"/>
        <v/>
      </c>
      <c r="BI42" s="1128"/>
      <c r="BJ42" s="129" t="str">
        <f t="shared" si="26"/>
        <v>Fiche infoA1</v>
      </c>
      <c r="BK42" s="129">
        <f t="shared" si="49"/>
        <v>13</v>
      </c>
      <c r="BL42" s="129" t="str">
        <f t="shared" si="4"/>
        <v>A</v>
      </c>
      <c r="BM42" s="129">
        <f t="shared" si="50"/>
        <v>1</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46104</v>
      </c>
      <c r="ER42" s="749">
        <f t="shared" si="10"/>
        <v>0</v>
      </c>
      <c r="ES42" s="750">
        <f t="shared" si="11"/>
        <v>0</v>
      </c>
      <c r="ET42" s="749">
        <f t="shared" si="12"/>
        <v>0</v>
      </c>
      <c r="EU42" s="750">
        <f t="shared" si="13"/>
        <v>0</v>
      </c>
      <c r="EV42" s="749" t="str">
        <f t="shared" si="14"/>
        <v/>
      </c>
      <c r="EW42" s="751">
        <f t="shared" si="29"/>
        <v>46104</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13</v>
      </c>
      <c r="GA42" s="129">
        <f t="shared" si="39"/>
        <v>2026</v>
      </c>
      <c r="GB42" s="129" t="str">
        <f t="shared" si="40"/>
        <v>132026</v>
      </c>
      <c r="GC42" s="223">
        <f>IF(AND($GD$53=S.CAL!$P$3,$GD$52=FZ42),GE42,IF(BH42="",0,BH42))</f>
        <v>0</v>
      </c>
      <c r="GD42" s="129" t="str">
        <f>IFERROR(+Avril!$BY$2&amp;BL42&amp;BM42,0)</f>
        <v>Fiche infoA1</v>
      </c>
      <c r="GE42" s="129" t="str">
        <f t="shared" si="19"/>
        <v/>
      </c>
      <c r="GF42" s="223" t="str">
        <f t="shared" si="41"/>
        <v/>
      </c>
      <c r="GG42" s="1446" t="str">
        <f>+'Retenue Mars'!D40</f>
        <v/>
      </c>
      <c r="GH42" s="1446">
        <f>IF(Identification!$B$132="Non",+'Retenue Mars'!BF40,+'Retenue Mars'!BE40)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46105</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46105</v>
      </c>
      <c r="AX43" s="1761"/>
      <c r="AY43" s="314"/>
      <c r="AZ43" s="1104"/>
      <c r="BA43" s="973"/>
      <c r="BB43" s="543"/>
      <c r="BC43" s="548">
        <f t="shared" si="23"/>
        <v>0</v>
      </c>
      <c r="BD43" s="1104"/>
      <c r="BE43" s="807">
        <f t="shared" si="24"/>
        <v>0</v>
      </c>
      <c r="BF43" s="1128"/>
      <c r="BG43" s="222"/>
      <c r="BH43" s="548" t="str">
        <f t="shared" si="25"/>
        <v/>
      </c>
      <c r="BI43" s="1128"/>
      <c r="BJ43" s="129" t="str">
        <f t="shared" si="26"/>
        <v>Fiche infoA2</v>
      </c>
      <c r="BK43" s="129">
        <f t="shared" si="49"/>
        <v>13</v>
      </c>
      <c r="BL43" s="129" t="str">
        <f t="shared" si="4"/>
        <v>A</v>
      </c>
      <c r="BM43" s="129">
        <f t="shared" si="50"/>
        <v>2</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46105</v>
      </c>
      <c r="ER43" s="749">
        <f t="shared" si="10"/>
        <v>0</v>
      </c>
      <c r="ES43" s="750">
        <f t="shared" si="11"/>
        <v>0</v>
      </c>
      <c r="ET43" s="749">
        <f t="shared" si="12"/>
        <v>0</v>
      </c>
      <c r="EU43" s="750">
        <f t="shared" si="13"/>
        <v>0</v>
      </c>
      <c r="EV43" s="749" t="str">
        <f t="shared" si="14"/>
        <v/>
      </c>
      <c r="EW43" s="751">
        <f t="shared" si="29"/>
        <v>46105</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13</v>
      </c>
      <c r="GA43" s="129">
        <f t="shared" si="39"/>
        <v>2026</v>
      </c>
      <c r="GB43" s="129" t="str">
        <f t="shared" si="40"/>
        <v>132026</v>
      </c>
      <c r="GC43" s="223">
        <f>IF(AND($GD$53=S.CAL!$P$3,$GD$52=FZ43),GE43,IF(BH43="",0,BH43))</f>
        <v>0</v>
      </c>
      <c r="GD43" s="129" t="str">
        <f>IFERROR(+Avril!$BY$2&amp;BL43&amp;BM43,0)</f>
        <v>Fiche infoA2</v>
      </c>
      <c r="GE43" s="129" t="str">
        <f t="shared" si="19"/>
        <v/>
      </c>
      <c r="GF43" s="223" t="str">
        <f t="shared" si="41"/>
        <v/>
      </c>
      <c r="GG43" s="1446" t="str">
        <f>+'Retenue Mars'!D41</f>
        <v/>
      </c>
      <c r="GH43" s="1446">
        <f>IF(Identification!$B$132="Non",+'Retenue Mars'!BF41,+'Retenue Mars'!BE41)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46106</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46106</v>
      </c>
      <c r="AX44" s="1761"/>
      <c r="AY44" s="314"/>
      <c r="AZ44" s="1104"/>
      <c r="BA44" s="973"/>
      <c r="BB44" s="543"/>
      <c r="BC44" s="548">
        <f t="shared" si="23"/>
        <v>0</v>
      </c>
      <c r="BD44" s="1104"/>
      <c r="BE44" s="807">
        <f t="shared" si="24"/>
        <v>0</v>
      </c>
      <c r="BF44" s="1128"/>
      <c r="BG44" s="222"/>
      <c r="BH44" s="548" t="str">
        <f t="shared" si="25"/>
        <v/>
      </c>
      <c r="BI44" s="1128"/>
      <c r="BJ44" s="129" t="str">
        <f t="shared" si="26"/>
        <v>Fiche infoA3</v>
      </c>
      <c r="BK44" s="129">
        <f t="shared" si="49"/>
        <v>13</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+IF(CC45="",Février!CC44,CC45)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46106</v>
      </c>
      <c r="ER44" s="749">
        <f t="shared" si="10"/>
        <v>0</v>
      </c>
      <c r="ES44" s="750">
        <f t="shared" si="11"/>
        <v>0</v>
      </c>
      <c r="ET44" s="749">
        <f t="shared" si="12"/>
        <v>0</v>
      </c>
      <c r="EU44" s="750">
        <f t="shared" si="13"/>
        <v>0</v>
      </c>
      <c r="EV44" s="749" t="str">
        <f t="shared" si="14"/>
        <v/>
      </c>
      <c r="EW44" s="751">
        <f t="shared" si="29"/>
        <v>46106</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13</v>
      </c>
      <c r="GA44" s="129">
        <f t="shared" si="39"/>
        <v>2026</v>
      </c>
      <c r="GB44" s="129" t="str">
        <f t="shared" si="40"/>
        <v>132026</v>
      </c>
      <c r="GC44" s="223">
        <f>IF(AND($GD$53=S.CAL!$P$3,$GD$52=FZ44),GE44,IF(BH44="",0,BH44))</f>
        <v>0</v>
      </c>
      <c r="GD44" s="129" t="str">
        <f>IFERROR(+Avril!$BY$2&amp;BL44&amp;BM44,0)</f>
        <v>Fiche infoA3</v>
      </c>
      <c r="GE44" s="129" t="str">
        <f t="shared" si="19"/>
        <v/>
      </c>
      <c r="GF44" s="223" t="str">
        <f t="shared" si="41"/>
        <v/>
      </c>
      <c r="GG44" s="1446" t="str">
        <f>+'Retenue Mars'!D42</f>
        <v/>
      </c>
      <c r="GH44" s="1446">
        <f>IF(Identification!$B$132="Non",+'Retenue Mars'!BF42,+'Retenue Mars'!BE42)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46107</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46107</v>
      </c>
      <c r="AX45" s="1761"/>
      <c r="AY45" s="314"/>
      <c r="AZ45" s="1104"/>
      <c r="BA45" s="973"/>
      <c r="BB45" s="543"/>
      <c r="BC45" s="548">
        <f t="shared" si="23"/>
        <v>0</v>
      </c>
      <c r="BD45" s="1104"/>
      <c r="BE45" s="807">
        <f t="shared" si="24"/>
        <v>0</v>
      </c>
      <c r="BF45" s="1128"/>
      <c r="BG45" s="222"/>
      <c r="BH45" s="548" t="str">
        <f t="shared" si="25"/>
        <v/>
      </c>
      <c r="BI45" s="1128"/>
      <c r="BJ45" s="129" t="str">
        <f t="shared" si="26"/>
        <v>Fiche infoA4</v>
      </c>
      <c r="BK45" s="129">
        <f t="shared" si="49"/>
        <v>13</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46107</v>
      </c>
      <c r="ER45" s="749">
        <f t="shared" si="10"/>
        <v>0</v>
      </c>
      <c r="ES45" s="750">
        <f t="shared" si="11"/>
        <v>0</v>
      </c>
      <c r="ET45" s="749">
        <f t="shared" si="12"/>
        <v>0</v>
      </c>
      <c r="EU45" s="750">
        <f t="shared" si="13"/>
        <v>0</v>
      </c>
      <c r="EV45" s="749" t="str">
        <f t="shared" si="14"/>
        <v/>
      </c>
      <c r="EW45" s="751">
        <f t="shared" si="29"/>
        <v>46107</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13</v>
      </c>
      <c r="GA45" s="129">
        <f t="shared" si="39"/>
        <v>2026</v>
      </c>
      <c r="GB45" s="129" t="str">
        <f t="shared" si="40"/>
        <v>132026</v>
      </c>
      <c r="GC45" s="223">
        <f>IF(AND($GD$53=S.CAL!$P$3,$GD$52=FZ45),GE45,IF(BH45="",0,BH45))</f>
        <v>0</v>
      </c>
      <c r="GD45" s="129" t="str">
        <f>IFERROR(+Avril!$BY$2&amp;BL45&amp;BM45,0)</f>
        <v>Fiche infoA4</v>
      </c>
      <c r="GE45" s="129" t="str">
        <f t="shared" si="19"/>
        <v/>
      </c>
      <c r="GF45" s="223" t="str">
        <f t="shared" si="41"/>
        <v/>
      </c>
      <c r="GG45" s="1446" t="str">
        <f>+'Retenue Mars'!D43</f>
        <v/>
      </c>
      <c r="GH45" s="1446">
        <f>IF(Identification!$B$132="Non",+'Retenue Mars'!BF43,+'Retenue Mars'!BE43)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46108</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46108</v>
      </c>
      <c r="AX46" s="1761"/>
      <c r="AY46" s="314"/>
      <c r="AZ46" s="1104"/>
      <c r="BA46" s="973"/>
      <c r="BB46" s="543"/>
      <c r="BC46" s="548">
        <f t="shared" si="23"/>
        <v>0</v>
      </c>
      <c r="BD46" s="1104"/>
      <c r="BE46" s="807">
        <f t="shared" si="24"/>
        <v>0</v>
      </c>
      <c r="BF46" s="1128"/>
      <c r="BG46" s="222"/>
      <c r="BH46" s="548" t="str">
        <f t="shared" si="25"/>
        <v/>
      </c>
      <c r="BI46" s="1128"/>
      <c r="BJ46" s="129" t="str">
        <f t="shared" si="26"/>
        <v>Fiche infoA5</v>
      </c>
      <c r="BK46" s="129">
        <f t="shared" si="49"/>
        <v>13</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46108</v>
      </c>
      <c r="ER46" s="749">
        <f t="shared" si="10"/>
        <v>0</v>
      </c>
      <c r="ES46" s="750">
        <f t="shared" si="11"/>
        <v>0</v>
      </c>
      <c r="ET46" s="749">
        <f t="shared" si="12"/>
        <v>0</v>
      </c>
      <c r="EU46" s="750">
        <f t="shared" si="13"/>
        <v>0</v>
      </c>
      <c r="EV46" s="749" t="str">
        <f t="shared" si="14"/>
        <v/>
      </c>
      <c r="EW46" s="751">
        <f t="shared" si="29"/>
        <v>46108</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13</v>
      </c>
      <c r="GA46" s="129">
        <f t="shared" si="39"/>
        <v>2026</v>
      </c>
      <c r="GB46" s="129" t="str">
        <f t="shared" si="40"/>
        <v>132026</v>
      </c>
      <c r="GC46" s="223">
        <f>IF(AND($GD$53=S.CAL!$P$3,$GD$52=FZ46),GE46,IF(BH46="",0,BH46))</f>
        <v>0</v>
      </c>
      <c r="GD46" s="129" t="str">
        <f>IFERROR(+Avril!$BY$2&amp;BL46&amp;BM46,0)</f>
        <v>Fiche infoA5</v>
      </c>
      <c r="GE46" s="129" t="str">
        <f t="shared" si="19"/>
        <v/>
      </c>
      <c r="GF46" s="223" t="str">
        <f t="shared" si="41"/>
        <v/>
      </c>
      <c r="GG46" s="1446" t="str">
        <f>+'Retenue Mars'!D44</f>
        <v/>
      </c>
      <c r="GH46" s="1446">
        <f>IF(Identification!$B$132="Non",+'Retenue Mars'!BF44,+'Retenue Mars'!BE44)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46109</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46109</v>
      </c>
      <c r="AX47" s="1761"/>
      <c r="AY47" s="314"/>
      <c r="AZ47" s="1104"/>
      <c r="BA47" s="973"/>
      <c r="BB47" s="543"/>
      <c r="BC47" s="548">
        <f t="shared" si="23"/>
        <v>0</v>
      </c>
      <c r="BD47" s="1104"/>
      <c r="BE47" s="807">
        <f t="shared" si="24"/>
        <v>0</v>
      </c>
      <c r="BF47" s="1128"/>
      <c r="BG47" s="222"/>
      <c r="BH47" s="548" t="str">
        <f t="shared" si="25"/>
        <v/>
      </c>
      <c r="BI47" s="1128"/>
      <c r="BJ47" s="129" t="str">
        <f t="shared" si="26"/>
        <v>Fiche infoA6</v>
      </c>
      <c r="BK47" s="129">
        <f t="shared" si="49"/>
        <v>13</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IF(CF47="",Février!CE47,CF47)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46109</v>
      </c>
      <c r="ER47" s="749">
        <f t="shared" si="10"/>
        <v>0</v>
      </c>
      <c r="ES47" s="750">
        <f t="shared" si="11"/>
        <v>0</v>
      </c>
      <c r="ET47" s="749">
        <f t="shared" si="12"/>
        <v>0</v>
      </c>
      <c r="EU47" s="750">
        <f t="shared" si="13"/>
        <v>0</v>
      </c>
      <c r="EV47" s="749" t="str">
        <f t="shared" si="14"/>
        <v/>
      </c>
      <c r="EW47" s="751">
        <f t="shared" si="29"/>
        <v>46109</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13</v>
      </c>
      <c r="GA47" s="129">
        <f t="shared" si="39"/>
        <v>2026</v>
      </c>
      <c r="GB47" s="129" t="str">
        <f t="shared" si="40"/>
        <v>132026</v>
      </c>
      <c r="GC47" s="223">
        <f>IF(AND($GD$53=S.CAL!$P$3,$GD$52=FZ47),GE47,IF(BH47="",0,BH47))</f>
        <v>0</v>
      </c>
      <c r="GD47" s="129" t="str">
        <f>IFERROR(+Avril!$BY$2&amp;BL47&amp;BM47,0)</f>
        <v>Fiche infoA6</v>
      </c>
      <c r="GE47" s="129" t="str">
        <f t="shared" si="19"/>
        <v/>
      </c>
      <c r="GF47" s="223" t="str">
        <f t="shared" si="41"/>
        <v/>
      </c>
      <c r="GG47" s="1446" t="str">
        <f>+'Retenue Mars'!D45</f>
        <v/>
      </c>
      <c r="GH47" s="1446">
        <f>IF(Identification!$B$132="Non",+'Retenue Mars'!BF45,+'Retenue Mars'!BE45)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46110</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46110</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infoA7</v>
      </c>
      <c r="BK48" s="129">
        <f t="shared" si="49"/>
        <v>13</v>
      </c>
      <c r="BL48" s="129" t="str">
        <f t="shared" si="4"/>
        <v>A</v>
      </c>
      <c r="BM48" s="129">
        <f>IFERROR(WEEKDAY(AB48,2),0)</f>
        <v>7</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46110</v>
      </c>
      <c r="ER48" s="749">
        <f t="shared" si="10"/>
        <v>0</v>
      </c>
      <c r="ES48" s="750">
        <f t="shared" si="11"/>
        <v>0</v>
      </c>
      <c r="ET48" s="749">
        <f t="shared" si="12"/>
        <v>0</v>
      </c>
      <c r="EU48" s="750">
        <f t="shared" si="13"/>
        <v>0</v>
      </c>
      <c r="EV48" s="749" t="str">
        <f t="shared" si="14"/>
        <v/>
      </c>
      <c r="EW48" s="751">
        <f t="shared" si="29"/>
        <v>46110</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13</v>
      </c>
      <c r="GA48" s="129">
        <f t="shared" si="39"/>
        <v>2026</v>
      </c>
      <c r="GB48" s="129" t="str">
        <f t="shared" si="40"/>
        <v>132026</v>
      </c>
      <c r="GC48" s="223">
        <f>IF(AND($GD$53=S.CAL!$P$3,$GD$52=FZ48),GE48,IF(BH48="",0,BH48))</f>
        <v>0</v>
      </c>
      <c r="GD48" s="129" t="str">
        <f>IFERROR(+Avril!$BY$2&amp;BL48&amp;BM48,0)</f>
        <v>Fiche infoA7</v>
      </c>
      <c r="GE48" s="129" t="str">
        <f t="shared" si="19"/>
        <v/>
      </c>
      <c r="GF48" s="223" t="str">
        <f t="shared" si="41"/>
        <v/>
      </c>
      <c r="GG48" s="1446" t="str">
        <f>+'Retenue Mars'!D46</f>
        <v/>
      </c>
      <c r="GH48" s="1446">
        <f>IF(Identification!$B$132="Non",+'Retenue Mars'!BF46,+'Retenue Mars'!BE46)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46111</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f t="shared" si="48"/>
        <v>14</v>
      </c>
      <c r="AQ49" s="322"/>
      <c r="AR49" s="1104"/>
      <c r="AS49" s="314">
        <f t="shared" si="3"/>
        <v>0</v>
      </c>
      <c r="AT49" s="1125"/>
      <c r="AU49" s="1125"/>
      <c r="AV49" s="314"/>
      <c r="AW49" s="1791">
        <f t="shared" si="22"/>
        <v>46111</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infoA1</v>
      </c>
      <c r="BK49" s="129">
        <f t="shared" si="49"/>
        <v>14</v>
      </c>
      <c r="BL49" s="129" t="str">
        <f t="shared" si="4"/>
        <v>A</v>
      </c>
      <c r="BM49" s="129">
        <f>IFERROR(WEEKDAY(AB49,2),0)</f>
        <v>1</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IF(CF49="",Février!CE49,CF49)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46111</v>
      </c>
      <c r="ER49" s="749">
        <f t="shared" si="10"/>
        <v>0</v>
      </c>
      <c r="ES49" s="750">
        <f t="shared" si="11"/>
        <v>0</v>
      </c>
      <c r="ET49" s="749">
        <f t="shared" si="12"/>
        <v>0</v>
      </c>
      <c r="EU49" s="750">
        <f t="shared" si="13"/>
        <v>0</v>
      </c>
      <c r="EV49" s="749" t="str">
        <f t="shared" si="14"/>
        <v/>
      </c>
      <c r="EW49" s="751">
        <f t="shared" si="29"/>
        <v>46111</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14</v>
      </c>
      <c r="GA49" s="129">
        <f t="shared" si="39"/>
        <v>2026</v>
      </c>
      <c r="GB49" s="129" t="str">
        <f t="shared" ref="GB49:GB50" si="67">+FZ49&amp;GA49</f>
        <v>142026</v>
      </c>
      <c r="GC49" s="223">
        <f>IF(AND($GD$53=S.CAL!$P$3,$GD$52=FZ49),GE49,IF(BH49="",0,BH49))</f>
        <v>0</v>
      </c>
      <c r="GD49" s="129" t="str">
        <f>IFERROR(+Avril!$BY$2&amp;BL49&amp;BM49,0)</f>
        <v>Fiche infoA1</v>
      </c>
      <c r="GE49" s="129" t="str">
        <f t="shared" si="19"/>
        <v/>
      </c>
      <c r="GF49" s="223" t="str">
        <f t="shared" ref="GF49:GF50" si="68">IF(FP49=1,GG49,AM49)</f>
        <v/>
      </c>
      <c r="GG49" s="1446" t="str">
        <f>+'Retenue Mars'!D47</f>
        <v/>
      </c>
      <c r="GH49" s="1446">
        <f>IF(Identification!$B$132="Non",+'Retenue Mars'!BF47,+'Retenue Mars'!BE47)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f>IF(AB20+30&lt;DATE(YEAR(AB20),MONTH(AB20)+1,DAY(AB20)),AB20+30,"")</f>
        <v>46112</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f t="shared" si="22"/>
        <v>46112</v>
      </c>
      <c r="AX50" s="2027"/>
      <c r="AY50" s="314"/>
      <c r="AZ50" s="1105"/>
      <c r="BA50" s="974"/>
      <c r="BB50" s="543"/>
      <c r="BC50" s="546">
        <f t="shared" si="23"/>
        <v>0</v>
      </c>
      <c r="BD50" s="1105"/>
      <c r="BE50" s="808">
        <f t="shared" si="24"/>
        <v>0</v>
      </c>
      <c r="BF50" s="1129"/>
      <c r="BG50" s="222"/>
      <c r="BH50" s="546" t="str">
        <f t="shared" si="25"/>
        <v/>
      </c>
      <c r="BI50" s="1129"/>
      <c r="BJ50" s="129" t="str">
        <f t="shared" si="66"/>
        <v>Fiche infoA2</v>
      </c>
      <c r="BK50" s="129">
        <f t="shared" si="49"/>
        <v>14</v>
      </c>
      <c r="BL50" s="129" t="str">
        <f t="shared" si="4"/>
        <v>A</v>
      </c>
      <c r="BM50" s="129">
        <f>IFERROR(WEEKDAY(AB50,2),0)</f>
        <v>2</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46112</v>
      </c>
      <c r="ER50" s="769">
        <f t="shared" si="10"/>
        <v>0</v>
      </c>
      <c r="ES50" s="770">
        <f t="shared" si="11"/>
        <v>0</v>
      </c>
      <c r="ET50" s="769">
        <f t="shared" si="12"/>
        <v>0</v>
      </c>
      <c r="EU50" s="770">
        <f t="shared" si="13"/>
        <v>0</v>
      </c>
      <c r="EV50" s="769" t="str">
        <f t="shared" si="14"/>
        <v/>
      </c>
      <c r="EW50" s="771">
        <f t="shared" si="29"/>
        <v>46112</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14</v>
      </c>
      <c r="GA50" s="129">
        <f t="shared" si="39"/>
        <v>2026</v>
      </c>
      <c r="GB50" s="129" t="str">
        <f t="shared" si="67"/>
        <v>142026</v>
      </c>
      <c r="GC50" s="223">
        <f>IF(AND($GD$53=S.CAL!$P$3,$GD$52=FZ50),GE50,IF(BH50="",0,BH50))</f>
        <v>0</v>
      </c>
      <c r="GD50" s="129" t="str">
        <f>IFERROR(+Avril!$BY$2&amp;BL50&amp;BM50,0)</f>
        <v>Fiche infoA2</v>
      </c>
      <c r="GE50" s="129" t="str">
        <f t="shared" si="19"/>
        <v/>
      </c>
      <c r="GF50" s="223" t="str">
        <f t="shared" si="68"/>
        <v/>
      </c>
      <c r="GG50" s="1446" t="str">
        <f>+'Retenue Mars'!D48</f>
        <v/>
      </c>
      <c r="GH50" s="1446">
        <f>IF(Identification!$B$132="Non",+'Retenue Mars'!BF48,+'Retenue Mars'!BE48)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14</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IF(CF53="",+Février!CE53,CF53)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IF(CF54="",Février!CE54,CF54)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IF(CF55&gt;0,CF55,IF(AND(CE53=Février!CE53,CE54=Février!CE54),Février!CE55,IF(OR(CE53&lt;&gt;Février!CE53,CE54&lt;&gt;Février!CE54),CE53/CE54)))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Mars'!E52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+IF(BY57="",Février!BY56,BY57)</f>
        <v>24</v>
      </c>
      <c r="BZ56" s="611" t="s">
        <v>1049</v>
      </c>
      <c r="CA56" s="614">
        <f>+IF(CA57="",Février!CA56,CA57)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IF(CF57="",+Février!CE57,CF57)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IF(CF58="",Février!CE58,CF58)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+IF(CA61="",Février!CA60,CA61)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+IF(BA65="",Février!K67,BA65)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+IF(BA68="",Février!K68,BA68)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E74+Février!H74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E75+Février!H75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Mars'!EH51=0,"",'Retenue Mars'!EH51),AX76)</f>
        <v/>
      </c>
      <c r="AZ75" s="1772"/>
      <c r="BA75" s="918" t="str">
        <f>+IF(BA76="",IF('Retenue Mars'!EF51=0,"",'Retenue Mars'!EF51),BA76)</f>
        <v/>
      </c>
      <c r="BB75" s="919"/>
      <c r="BC75" s="920" t="str">
        <f>IF(BC76="",IF(+'Retenue Mars'!EG51=0,"",'Retenue Mars'!EG51),BC76)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Mars'!E50&amp;" hrs / "&amp;'Retenue Mars'!D50&amp;"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E76+Février!H76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+E77+Février!H77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+IF(AR78="",Février!AL78,AR78)</f>
        <v>0</v>
      </c>
      <c r="AM78" s="2299"/>
      <c r="AN78" s="2299"/>
      <c r="AO78" s="2299"/>
      <c r="AQ78" s="420" t="s">
        <v>750</v>
      </c>
      <c r="AR78" s="2344"/>
      <c r="AS78" s="2344"/>
      <c r="AT78" s="2058" t="str">
        <f>IFERROR(VLOOKUP(AY78,'Liste des Libellés'!$A$4:$F$32,6,FALSE),"")</f>
        <v/>
      </c>
      <c r="AU78" s="2058"/>
      <c r="AV78" s="2058"/>
      <c r="AW78" s="2058"/>
      <c r="AX78" s="917"/>
      <c r="AY78" s="1772" t="str">
        <f>+IF(AX79="",IF('Retenue Mars'!EH53=0,"",'Retenue Mars'!EH53),AX79)</f>
        <v/>
      </c>
      <c r="AZ78" s="1772"/>
      <c r="BA78" s="918" t="str">
        <f>+IF(BA79="",IF('Retenue Mars'!EF53=0,"",'Retenue Mars'!EF53),BA79)</f>
        <v/>
      </c>
      <c r="BB78" s="919"/>
      <c r="BC78" s="920" t="str">
        <f>IF(BC79="",IF(+'Retenue Mars'!EG53=0,"",'Retenue Mars'!EG53),BC79)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84" t="s">
        <v>141</v>
      </c>
      <c r="B80" s="1984"/>
      <c r="C80" s="1984"/>
      <c r="D80" s="1984"/>
      <c r="E80" s="2366"/>
      <c r="F80" s="2324" t="str">
        <f>+Février!F80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06/"&amp;Identification!B60-2002&amp;" à 05/"&amp;Identification!B60-2001</f>
        <v>Année préc. de 06/24 à 05/25</v>
      </c>
      <c r="AI80" s="2062"/>
      <c r="AJ80" s="2062"/>
      <c r="AK80" s="2063"/>
      <c r="AL80" s="2061" t="str">
        <f>+"Année en cours de 06/"&amp;Identification!B60-2001&amp;" à 05/"&amp;Identification!B60-2000</f>
        <v>Année en cours de 06/25 à 05/26</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Mars'!EH55=0,"",'Retenue Mars'!EH55),AX82)</f>
        <v/>
      </c>
      <c r="AZ81" s="1772"/>
      <c r="BA81" s="918" t="str">
        <f>+IF(BA82="",IF('Retenue Mars'!EF55=0,"",'Retenue Mars'!EF55),BA82)</f>
        <v/>
      </c>
      <c r="BB81" s="919"/>
      <c r="BC81" s="920" t="str">
        <f>IF(BC82="",IF(+'Retenue Mars'!EG55=0,"",'Retenue Mars'!EG55),BC82)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Mars'!EH57=0,"",'Retenue Mars'!EH57),AX85)</f>
        <v/>
      </c>
      <c r="AZ84" s="1772"/>
      <c r="BA84" s="918" t="str">
        <f>+IF(BA85="",IF('Retenue Mars'!EF57=0,"",'Retenue Mars'!EF57),BA85)</f>
        <v/>
      </c>
      <c r="BB84" s="919"/>
      <c r="BC84" s="920" t="str">
        <f>IF(BC85="",IF(+'Retenue Mars'!EG57=0,"",'Retenue Mars'!EG57),BC85)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Février!F86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+IF(AR86="",+Février!AH86,AR86)</f>
        <v>0</v>
      </c>
      <c r="AI86" s="1734"/>
      <c r="AJ86" s="1734"/>
      <c r="AK86" s="1735"/>
      <c r="AL86" s="1733">
        <f>IF(AS86="",IF(DP8=52,+EI29+Février!AL86,+EI25+Février!AL86),IF(DP8=52,+EI29+Février!AL86+AS86,+EI25+Février!AL86+AS86))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46112</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+Février!AH87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+Février!AH89+Février!AH90</f>
        <v>0</v>
      </c>
      <c r="AI89" s="1734"/>
      <c r="AJ89" s="1734"/>
      <c r="AK89" s="1735"/>
      <c r="AL89" s="1733">
        <f>+Février!AL89+Février!AL90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f>+IF(AR93="",Février!AH93-COUNTIF(AD20:AF50,'Liste des Libellés'!A18),AR93)</f>
        <v>0</v>
      </c>
      <c r="AI93" s="1937"/>
      <c r="AJ93" s="1937"/>
      <c r="AK93" s="1938"/>
      <c r="AL93" s="1936"/>
      <c r="AM93" s="1937"/>
      <c r="AN93" s="1937"/>
      <c r="AO93" s="1938"/>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+DATE(YEAR(X3)-1,5,31)</f>
        <v>45808</v>
      </c>
      <c r="E99" s="2368"/>
      <c r="F99" s="2368"/>
      <c r="G99" s="2369">
        <f>+Janvier!G99</f>
        <v>0</v>
      </c>
      <c r="H99" s="2167"/>
      <c r="I99" s="2168"/>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+Février!G100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Z107" s="1449" t="str">
        <f>+$BG$9</f>
        <v>92026</v>
      </c>
      <c r="BA107" s="1450">
        <f>+$AT$4</f>
        <v>9</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102026</v>
      </c>
      <c r="BA108" s="1455">
        <f>+$AT$5</f>
        <v>10</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112026</v>
      </c>
      <c r="BA109" s="1455">
        <f>+$AT$6</f>
        <v>11</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122026</v>
      </c>
      <c r="BA110" s="1455">
        <f>+$AT$7</f>
        <v>12</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132026</v>
      </c>
      <c r="BA111" s="1455">
        <f>+$AT$8</f>
        <v>13</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142026</v>
      </c>
      <c r="BA112" s="1460">
        <f>+$AT$9</f>
        <v>14</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92026</v>
      </c>
      <c r="BA142" s="1450">
        <f>+$AT$4</f>
        <v>9</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102026</v>
      </c>
      <c r="BA143" s="1455">
        <f>+$AT$5</f>
        <v>10</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112026</v>
      </c>
      <c r="BA144" s="1455">
        <f>+$AT$6</f>
        <v>11</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122026</v>
      </c>
      <c r="BA145" s="1455">
        <f>+$AT$7</f>
        <v>12</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132026</v>
      </c>
      <c r="BA146" s="1455">
        <f>+$AT$8</f>
        <v>13</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142026</v>
      </c>
      <c r="BA147" s="1460">
        <f>+$AT$9</f>
        <v>14</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iXNW0S5izn+JA1D2zsaQLRy8YSKyJc7S2fo1vwqT1TzuzNq1TTFf5HWDZ7hyhd2uzTiuwWLi70I/f43xnraPWQ==" saltValue="/e84BX/5TTjnOiysCAGikw=="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424" priority="16">
      <formula>$U$14=0</formula>
    </cfRule>
  </conditionalFormatting>
  <conditionalFormatting sqref="B26:K26">
    <cfRule type="expression" dxfId="1423" priority="26">
      <formula>$U$14=0</formula>
    </cfRule>
  </conditionalFormatting>
  <conditionalFormatting sqref="B29:K29">
    <cfRule type="cellIs" dxfId="1422" priority="13" operator="greaterThan">
      <formula>0</formula>
    </cfRule>
  </conditionalFormatting>
  <conditionalFormatting sqref="C70:G70">
    <cfRule type="cellIs" dxfId="1421" priority="7" operator="greaterThan">
      <formula>0</formula>
    </cfRule>
  </conditionalFormatting>
  <conditionalFormatting sqref="F87:I87">
    <cfRule type="cellIs" dxfId="1420" priority="2" operator="greaterThan">
      <formula>0</formula>
    </cfRule>
  </conditionalFormatting>
  <conditionalFormatting sqref="F86:L86">
    <cfRule type="cellIs" dxfId="1419" priority="3" operator="greaterThan">
      <formula>0</formula>
    </cfRule>
  </conditionalFormatting>
  <conditionalFormatting sqref="H65:J65">
    <cfRule type="expression" dxfId="1418" priority="38">
      <formula>AND($AX$60="Oui",$AZ$62="")</formula>
    </cfRule>
    <cfRule type="expression" dxfId="1417" priority="40">
      <formula>AND($AX$60="Oui",$AZ$62="hrs")</formula>
    </cfRule>
  </conditionalFormatting>
  <conditionalFormatting sqref="H66:J66">
    <cfRule type="expression" dxfId="1416" priority="36">
      <formula>AND($BW$41="Non",$AX$61="Non")</formula>
    </cfRule>
    <cfRule type="expression" dxfId="1415" priority="35">
      <formula>AND($AX$61="Oui",$AZ$63="jrs")</formula>
    </cfRule>
    <cfRule type="expression" dxfId="1414" priority="37">
      <formula>AND($BW$41="Oui",$AX$61="Non")</formula>
    </cfRule>
    <cfRule type="expression" dxfId="1413" priority="34">
      <formula>AND($AX$61="Oui",$AZ$63="")</formula>
    </cfRule>
  </conditionalFormatting>
  <conditionalFormatting sqref="H70:J71">
    <cfRule type="cellIs" dxfId="1412" priority="6" operator="greaterThan">
      <formula>0</formula>
    </cfRule>
  </conditionalFormatting>
  <conditionalFormatting sqref="H65:K66">
    <cfRule type="cellIs" dxfId="1411" priority="33" operator="equal">
      <formula>0</formula>
    </cfRule>
  </conditionalFormatting>
  <conditionalFormatting sqref="H67:M68">
    <cfRule type="cellIs" dxfId="1410" priority="54" operator="equal">
      <formula>0</formula>
    </cfRule>
  </conditionalFormatting>
  <conditionalFormatting sqref="H69:M69">
    <cfRule type="cellIs" dxfId="1409" priority="8" operator="greaterThan">
      <formula>0</formula>
    </cfRule>
  </conditionalFormatting>
  <conditionalFormatting sqref="H40:Z60">
    <cfRule type="cellIs" dxfId="1408" priority="32" operator="equal">
      <formula>0</formula>
    </cfRule>
  </conditionalFormatting>
  <conditionalFormatting sqref="K81:K82 L82:T83 K88:T88 K89:Q90">
    <cfRule type="expression" dxfId="1407" priority="580">
      <formula>$EO$6="OUI"</formula>
    </cfRule>
  </conditionalFormatting>
  <conditionalFormatting sqref="K87">
    <cfRule type="expression" dxfId="1406" priority="4">
      <formula>$EO$6="OUI"</formula>
    </cfRule>
  </conditionalFormatting>
  <conditionalFormatting sqref="L18:O19">
    <cfRule type="cellIs" dxfId="1405" priority="20" operator="equal">
      <formula>0</formula>
    </cfRule>
  </conditionalFormatting>
  <conditionalFormatting sqref="L21:O22">
    <cfRule type="cellIs" dxfId="1404" priority="31" operator="equal">
      <formula>0</formula>
    </cfRule>
  </conditionalFormatting>
  <conditionalFormatting sqref="L27:O28">
    <cfRule type="cellIs" dxfId="1403" priority="14" operator="greaterThan">
      <formula>0</formula>
    </cfRule>
  </conditionalFormatting>
  <conditionalFormatting sqref="L30:O32">
    <cfRule type="cellIs" dxfId="1402" priority="12" operator="greaterThan">
      <formula>0</formula>
    </cfRule>
  </conditionalFormatting>
  <conditionalFormatting sqref="L34:O34">
    <cfRule type="cellIs" dxfId="1401" priority="10" operator="greaterThan">
      <formula>0</formula>
    </cfRule>
  </conditionalFormatting>
  <conditionalFormatting sqref="L23:S24">
    <cfRule type="cellIs" dxfId="1400" priority="15" operator="greaterThan">
      <formula>0</formula>
    </cfRule>
  </conditionalFormatting>
  <conditionalFormatting sqref="L25:S26">
    <cfRule type="containsErrors" dxfId="1399" priority="24">
      <formula>ISERROR(L25)</formula>
    </cfRule>
    <cfRule type="cellIs" dxfId="1398" priority="25" operator="equal">
      <formula>0</formula>
    </cfRule>
  </conditionalFormatting>
  <conditionalFormatting sqref="M87:T87">
    <cfRule type="expression" dxfId="1397" priority="577">
      <formula>$EO$6="OUI"</formula>
    </cfRule>
  </conditionalFormatting>
  <conditionalFormatting sqref="N65:P71">
    <cfRule type="cellIs" dxfId="1396" priority="60" operator="equal">
      <formula>0</formula>
    </cfRule>
  </conditionalFormatting>
  <conditionalFormatting sqref="O86">
    <cfRule type="expression" dxfId="1395" priority="581">
      <formula>EO6="OUI"</formula>
    </cfRule>
  </conditionalFormatting>
  <conditionalFormatting sqref="O14:T14">
    <cfRule type="expression" dxfId="1394" priority="214">
      <formula>$U$14=0</formula>
    </cfRule>
  </conditionalFormatting>
  <conditionalFormatting sqref="P20">
    <cfRule type="expression" dxfId="1393" priority="17">
      <formula>$DP$14=1</formula>
    </cfRule>
  </conditionalFormatting>
  <conditionalFormatting sqref="P18:S18">
    <cfRule type="expression" dxfId="1392" priority="21">
      <formula>$L$18=0</formula>
    </cfRule>
  </conditionalFormatting>
  <conditionalFormatting sqref="P19:S19">
    <cfRule type="expression" dxfId="1391" priority="19">
      <formula>$L$19=0</formula>
    </cfRule>
  </conditionalFormatting>
  <conditionalFormatting sqref="P21:S21">
    <cfRule type="expression" dxfId="1390" priority="30">
      <formula>$L$21=0</formula>
    </cfRule>
  </conditionalFormatting>
  <conditionalFormatting sqref="P22:S22">
    <cfRule type="expression" dxfId="1389" priority="29">
      <formula>$L$22=0</formula>
    </cfRule>
  </conditionalFormatting>
  <conditionalFormatting sqref="R87:T87">
    <cfRule type="expression" dxfId="1388" priority="576">
      <formula>$EO$7="OUI"</formula>
    </cfRule>
  </conditionalFormatting>
  <conditionalFormatting sqref="R89:T89">
    <cfRule type="expression" dxfId="1387" priority="571">
      <formula>$EO$8="OUI"</formula>
    </cfRule>
    <cfRule type="expression" dxfId="1386" priority="572">
      <formula>$EO$6="OUI"</formula>
    </cfRule>
  </conditionalFormatting>
  <conditionalFormatting sqref="R90:T90">
    <cfRule type="expression" dxfId="1385" priority="578">
      <formula>$EO$7="OUI"</formula>
    </cfRule>
    <cfRule type="expression" dxfId="1384" priority="579">
      <formula>$EO$6="OUI"</formula>
    </cfRule>
  </conditionalFormatting>
  <conditionalFormatting sqref="T20">
    <cfRule type="expression" dxfId="1383" priority="18">
      <formula>$DP$14=1</formula>
    </cfRule>
  </conditionalFormatting>
  <conditionalFormatting sqref="T30:T32">
    <cfRule type="cellIs" dxfId="1382" priority="28" operator="equal">
      <formula>0</formula>
    </cfRule>
  </conditionalFormatting>
  <conditionalFormatting sqref="T18:W19">
    <cfRule type="cellIs" dxfId="1381" priority="22" operator="equal">
      <formula>0</formula>
    </cfRule>
  </conditionalFormatting>
  <conditionalFormatting sqref="T21:W28">
    <cfRule type="cellIs" dxfId="1380" priority="27" operator="equal">
      <formula>0</formula>
    </cfRule>
  </conditionalFormatting>
  <conditionalFormatting sqref="T29:W29">
    <cfRule type="cellIs" dxfId="1379" priority="11" operator="greaterThan">
      <formula>0</formula>
    </cfRule>
  </conditionalFormatting>
  <conditionalFormatting sqref="T33:W33">
    <cfRule type="cellIs" dxfId="1378" priority="9" operator="greaterThan">
      <formula>0</formula>
    </cfRule>
  </conditionalFormatting>
  <conditionalFormatting sqref="T34:W34">
    <cfRule type="cellIs" dxfId="1377" priority="23" operator="equal">
      <formula>0</formula>
    </cfRule>
  </conditionalFormatting>
  <conditionalFormatting sqref="U14:X14">
    <cfRule type="cellIs" dxfId="1376" priority="212" operator="equal">
      <formula>0</formula>
    </cfRule>
  </conditionalFormatting>
  <conditionalFormatting sqref="V80:AF81">
    <cfRule type="cellIs" dxfId="1375" priority="1" operator="notEqual">
      <formula>"Commentaires :"</formula>
    </cfRule>
  </conditionalFormatting>
  <conditionalFormatting sqref="Y73:AO75">
    <cfRule type="expression" dxfId="1374" priority="64">
      <formula>$DP$8=52</formula>
    </cfRule>
  </conditionalFormatting>
  <conditionalFormatting sqref="AB20:AC50">
    <cfRule type="expression" dxfId="1373" priority="486">
      <formula>WEEKDAY(AB20,2)=7</formula>
    </cfRule>
    <cfRule type="expression" dxfId="1372" priority="487">
      <formula>OR(WEEKDAY(AB20,2)=6,WEEKDAY(AB20,2)=7)</formula>
    </cfRule>
    <cfRule type="expression" dxfId="1371" priority="488">
      <formula>VLOOKUP(AB20,base_feries,1,FALSE)</formula>
    </cfRule>
  </conditionalFormatting>
  <conditionalFormatting sqref="AD20:AF50">
    <cfRule type="cellIs" dxfId="1370" priority="309" operator="equal">
      <formula>0</formula>
    </cfRule>
    <cfRule type="expression" dxfId="1369" priority="308">
      <formula>FC20="oui"</formula>
    </cfRule>
  </conditionalFormatting>
  <conditionalFormatting sqref="AG20:AI50">
    <cfRule type="expression" dxfId="1368" priority="310">
      <formula>FC20="oui"</formula>
    </cfRule>
  </conditionalFormatting>
  <conditionalFormatting sqref="AH83:AH84">
    <cfRule type="cellIs" dxfId="1367" priority="590" stopIfTrue="1" operator="equal">
      <formula>0</formula>
    </cfRule>
  </conditionalFormatting>
  <conditionalFormatting sqref="AH89:AH91">
    <cfRule type="cellIs" dxfId="1366" priority="70" stopIfTrue="1" operator="equal">
      <formula>0</formula>
    </cfRule>
  </conditionalFormatting>
  <conditionalFormatting sqref="AH93:AK93">
    <cfRule type="cellIs" dxfId="1365" priority="582" operator="equal">
      <formula>0</formula>
    </cfRule>
  </conditionalFormatting>
  <conditionalFormatting sqref="AH86:AL87">
    <cfRule type="cellIs" dxfId="1364" priority="65" stopIfTrue="1" operator="equal">
      <formula>0</formula>
    </cfRule>
  </conditionalFormatting>
  <conditionalFormatting sqref="AH92:AO92">
    <cfRule type="cellIs" dxfId="1363" priority="244" operator="lessThan">
      <formula>-0.001</formula>
    </cfRule>
  </conditionalFormatting>
  <conditionalFormatting sqref="AJ20:AL50">
    <cfRule type="expression" dxfId="1362" priority="311">
      <formula>FC20="oui"</formula>
    </cfRule>
  </conditionalFormatting>
  <conditionalFormatting sqref="AL83">
    <cfRule type="cellIs" dxfId="1361" priority="589" stopIfTrue="1" operator="equal">
      <formula>0</formula>
    </cfRule>
  </conditionalFormatting>
  <conditionalFormatting sqref="AL89:AL91">
    <cfRule type="cellIs" dxfId="1360" priority="69" stopIfTrue="1" operator="equal">
      <formula>0</formula>
    </cfRule>
  </conditionalFormatting>
  <conditionalFormatting sqref="AL93">
    <cfRule type="cellIs" dxfId="1359" priority="591" stopIfTrue="1" operator="equal">
      <formula>0</formula>
    </cfRule>
  </conditionalFormatting>
  <conditionalFormatting sqref="AM20:AO50">
    <cfRule type="expression" dxfId="1358" priority="312">
      <formula>FC20="oui"</formula>
    </cfRule>
  </conditionalFormatting>
  <conditionalFormatting sqref="AP20:AP50">
    <cfRule type="expression" dxfId="1357" priority="152">
      <formula>BL20="E"</formula>
    </cfRule>
    <cfRule type="expression" dxfId="1356" priority="155">
      <formula>BL20="B"</formula>
    </cfRule>
    <cfRule type="expression" dxfId="1355" priority="154">
      <formula>BL20="C"</formula>
    </cfRule>
    <cfRule type="expression" dxfId="1354" priority="153">
      <formula>BL20="D"</formula>
    </cfRule>
    <cfRule type="expression" dxfId="1353" priority="149">
      <formula>BL20="H"</formula>
    </cfRule>
    <cfRule type="expression" dxfId="1352" priority="150">
      <formula>BL20="G"</formula>
    </cfRule>
    <cfRule type="expression" dxfId="1351" priority="151">
      <formula>BL20="F"</formula>
    </cfRule>
  </conditionalFormatting>
  <conditionalFormatting sqref="AQ62:AU62">
    <cfRule type="expression" dxfId="1350" priority="46">
      <formula>$AT$60="Non"</formula>
    </cfRule>
  </conditionalFormatting>
  <conditionalFormatting sqref="AQ63:AU63">
    <cfRule type="expression" dxfId="1349" priority="43">
      <formula>$AT$61="Non"</formula>
    </cfRule>
  </conditionalFormatting>
  <conditionalFormatting sqref="AR20:AR50">
    <cfRule type="expression" dxfId="1348" priority="190">
      <formula>FN20=10</formula>
    </cfRule>
    <cfRule type="expression" dxfId="1347" priority="194">
      <formula>AND(AR20&lt;&gt;"",AZ20&lt;&gt;"")</formula>
    </cfRule>
    <cfRule type="expression" dxfId="1346" priority="186">
      <formula>FC20="oui"</formula>
    </cfRule>
    <cfRule type="expression" dxfId="1345" priority="178">
      <formula>AB20=""</formula>
    </cfRule>
  </conditionalFormatting>
  <conditionalFormatting sqref="AR17:BJ50">
    <cfRule type="expression" dxfId="1344" priority="49">
      <formula>$EX$13="oui"</formula>
    </cfRule>
  </conditionalFormatting>
  <conditionalFormatting sqref="AS51:BJ51 DK51">
    <cfRule type="expression" dxfId="1343" priority="139">
      <formula>$EX$13="oui"</formula>
    </cfRule>
  </conditionalFormatting>
  <conditionalFormatting sqref="AT4:AT10">
    <cfRule type="expression" dxfId="1342" priority="506">
      <formula>AU4="H"</formula>
    </cfRule>
    <cfRule type="expression" dxfId="1341" priority="507">
      <formula>AU4="G"</formula>
    </cfRule>
    <cfRule type="expression" dxfId="1340" priority="508">
      <formula>AU4="F"</formula>
    </cfRule>
    <cfRule type="expression" dxfId="1339" priority="509">
      <formula>AU4="E"</formula>
    </cfRule>
    <cfRule type="expression" dxfId="1338" priority="510">
      <formula>AU4="D"</formula>
    </cfRule>
    <cfRule type="expression" dxfId="1337" priority="512">
      <formula>AU4="B"</formula>
    </cfRule>
    <cfRule type="expression" dxfId="1336" priority="511">
      <formula>AU4="C"</formula>
    </cfRule>
  </conditionalFormatting>
  <conditionalFormatting sqref="AT20:AT50">
    <cfRule type="expression" dxfId="1335" priority="189">
      <formula>FC20="oui"</formula>
    </cfRule>
    <cfRule type="expression" dxfId="1334" priority="185">
      <formula>AB20=""</formula>
    </cfRule>
  </conditionalFormatting>
  <conditionalFormatting sqref="AU4:AU10">
    <cfRule type="expression" dxfId="1333" priority="437">
      <formula>AT4=""</formula>
    </cfRule>
    <cfRule type="expression" dxfId="1332" priority="438">
      <formula>FG4="rouge"</formula>
    </cfRule>
  </conditionalFormatting>
  <conditionalFormatting sqref="AU20:AU50">
    <cfRule type="expression" dxfId="1331" priority="193">
      <formula>FC20="oui"</formula>
    </cfRule>
    <cfRule type="expression" dxfId="1330" priority="184">
      <formula>AB20=""</formula>
    </cfRule>
  </conditionalFormatting>
  <conditionalFormatting sqref="AW20:AX50">
    <cfRule type="expression" dxfId="1329" priority="198">
      <formula>VLOOKUP(AW20,base_feries,1,FALSE)</formula>
    </cfRule>
    <cfRule type="expression" dxfId="1328" priority="197">
      <formula>OR(WEEKDAY(AW20,2)=6,WEEKDAY(AW20,2)=7)</formula>
    </cfRule>
    <cfRule type="expression" dxfId="1327" priority="196">
      <formula>WEEKDAY(AW20,2)=7</formula>
    </cfRule>
  </conditionalFormatting>
  <conditionalFormatting sqref="AX62:AZ62">
    <cfRule type="expression" dxfId="1326" priority="45">
      <formula>$AX$60="Non"</formula>
    </cfRule>
  </conditionalFormatting>
  <conditionalFormatting sqref="AX63:AZ63">
    <cfRule type="expression" dxfId="1325" priority="42">
      <formula>$AX$61="Non"</formula>
    </cfRule>
  </conditionalFormatting>
  <conditionalFormatting sqref="AZ20:AZ50">
    <cfRule type="expression" dxfId="1324" priority="50">
      <formula>AB20=""</formula>
    </cfRule>
    <cfRule type="expression" dxfId="1323" priority="53">
      <formula>AND(AR20&lt;&gt;"",AZ20&lt;&gt;"")</formula>
    </cfRule>
    <cfRule type="expression" dxfId="1322" priority="52">
      <formula>FL20=10</formula>
    </cfRule>
    <cfRule type="expression" dxfId="1321" priority="51">
      <formula>FC20="oui"</formula>
    </cfRule>
  </conditionalFormatting>
  <conditionalFormatting sqref="BA20:BA50">
    <cfRule type="expression" dxfId="1320" priority="187">
      <formula>FC20="oui"</formula>
    </cfRule>
    <cfRule type="expression" dxfId="1319" priority="183">
      <formula>AB20=""</formula>
    </cfRule>
  </conditionalFormatting>
  <conditionalFormatting sqref="BA62">
    <cfRule type="expression" dxfId="1318" priority="44">
      <formula>$BA$60="Non"</formula>
    </cfRule>
  </conditionalFormatting>
  <conditionalFormatting sqref="BA63">
    <cfRule type="expression" dxfId="1317" priority="41">
      <formula>$BA$61="Non"</formula>
    </cfRule>
  </conditionalFormatting>
  <conditionalFormatting sqref="BA102 BA103:BH115">
    <cfRule type="expression" dxfId="1316" priority="66">
      <formula>$DP$8=52</formula>
    </cfRule>
  </conditionalFormatting>
  <conditionalFormatting sqref="BA137">
    <cfRule type="expression" dxfId="1315" priority="98">
      <formula>$DP$8=52</formula>
    </cfRule>
  </conditionalFormatting>
  <conditionalFormatting sqref="BA138:BH149">
    <cfRule type="expression" dxfId="1314" priority="67">
      <formula>$DP$8=52</formula>
    </cfRule>
  </conditionalFormatting>
  <conditionalFormatting sqref="BC20:BC55">
    <cfRule type="cellIs" dxfId="1313" priority="192" operator="equal">
      <formula>0</formula>
    </cfRule>
    <cfRule type="expression" dxfId="1312" priority="180">
      <formula>AJ20=""</formula>
    </cfRule>
  </conditionalFormatting>
  <conditionalFormatting sqref="BC112:BH112">
    <cfRule type="expression" dxfId="1311" priority="99">
      <formula>$BA$112=""</formula>
    </cfRule>
  </conditionalFormatting>
  <conditionalFormatting sqref="BC147:BH147">
    <cfRule type="expression" dxfId="1310" priority="68">
      <formula>$BA$112=""</formula>
    </cfRule>
  </conditionalFormatting>
  <conditionalFormatting sqref="BD20:BD50">
    <cfRule type="expression" dxfId="1309" priority="181">
      <formula>FL20="oui"</formula>
    </cfRule>
  </conditionalFormatting>
  <conditionalFormatting sqref="BE20:BE50">
    <cfRule type="expression" dxfId="1308" priority="191">
      <formula>OR(BE20=0,BE20="")</formula>
    </cfRule>
  </conditionalFormatting>
  <conditionalFormatting sqref="BH20:BH50">
    <cfRule type="expression" dxfId="1307" priority="140">
      <formula>AO20=""</formula>
    </cfRule>
    <cfRule type="cellIs" dxfId="1306" priority="177" operator="equal">
      <formula>0</formula>
    </cfRule>
  </conditionalFormatting>
  <conditionalFormatting sqref="BI9:BI14">
    <cfRule type="cellIs" dxfId="1305" priority="106" operator="equal">
      <formula>0</formula>
    </cfRule>
  </conditionalFormatting>
  <conditionalFormatting sqref="BQ54">
    <cfRule type="expression" dxfId="1304" priority="483">
      <formula>$BW$41="Non"</formula>
    </cfRule>
  </conditionalFormatting>
  <conditionalFormatting sqref="BQ36:CA36">
    <cfRule type="expression" dxfId="1303" priority="484">
      <formula>$BW$41="Oui"</formula>
    </cfRule>
  </conditionalFormatting>
  <conditionalFormatting sqref="BS21:CA34">
    <cfRule type="expression" dxfId="1302" priority="85">
      <formula>$EO$12="NON"</formula>
    </cfRule>
  </conditionalFormatting>
  <conditionalFormatting sqref="BY28:BY33">
    <cfRule type="notContainsBlanks" dxfId="1301" priority="86">
      <formula>LEN(TRIM(BY28))&gt;0</formula>
    </cfRule>
  </conditionalFormatting>
  <conditionalFormatting sqref="BY56">
    <cfRule type="duplicateValues" dxfId="1300" priority="537"/>
    <cfRule type="expression" dxfId="1299" priority="536">
      <formula>$BW$41="Oui"</formula>
    </cfRule>
  </conditionalFormatting>
  <conditionalFormatting sqref="BY60">
    <cfRule type="expression" dxfId="1298" priority="527">
      <formula>$BW$41="Oui"</formula>
    </cfRule>
    <cfRule type="cellIs" dxfId="1297" priority="528" operator="lessThan">
      <formula>$BY$59</formula>
    </cfRule>
    <cfRule type="duplicateValues" dxfId="1296" priority="529"/>
  </conditionalFormatting>
  <conditionalFormatting sqref="CA56">
    <cfRule type="expression" dxfId="1294" priority="285">
      <formula>AND($CA$56&lt;$CE$47,$BW$41="Non")</formula>
    </cfRule>
  </conditionalFormatting>
  <conditionalFormatting sqref="CB78">
    <cfRule type="cellIs" dxfId="1293" priority="630" stopIfTrue="1" operator="equal">
      <formula>"NON"</formula>
    </cfRule>
    <cfRule type="cellIs" dxfId="1292" priority="631" stopIfTrue="1" operator="equal">
      <formula>"OUI"</formula>
    </cfRule>
  </conditionalFormatting>
  <conditionalFormatting sqref="CE53:CE54">
    <cfRule type="expression" dxfId="1291" priority="158">
      <formula>$BW$41="Non"</formula>
    </cfRule>
  </conditionalFormatting>
  <conditionalFormatting sqref="CE57:CE58">
    <cfRule type="expression" dxfId="1290" priority="157">
      <formula>$BW$41="Non"</formula>
    </cfRule>
  </conditionalFormatting>
  <conditionalFormatting sqref="CE3:CF3">
    <cfRule type="expression" dxfId="1289" priority="119">
      <formula>$CD$3=""</formula>
    </cfRule>
    <cfRule type="expression" dxfId="1288" priority="118">
      <formula>AND($CE$3="",$CE$5&lt;&gt;"")</formula>
    </cfRule>
    <cfRule type="expression" dxfId="1287" priority="117">
      <formula>$FX$3="vrai"</formula>
    </cfRule>
  </conditionalFormatting>
  <conditionalFormatting sqref="CE5:CF5">
    <cfRule type="expression" dxfId="1286" priority="126">
      <formula>OR(AND(CE5&lt;&gt;0,CE5&lt;AJ4),AND(CE5&lt;&gt;0,CE5&gt;EG5),AND(CE5&lt;&gt;0,CE5&lt;AB20))</formula>
    </cfRule>
    <cfRule type="expression" dxfId="1285" priority="125">
      <formula>CD5=""</formula>
    </cfRule>
    <cfRule type="expression" dxfId="1284" priority="124">
      <formula>$FX$5="vrai"</formula>
    </cfRule>
  </conditionalFormatting>
  <conditionalFormatting sqref="CE8:CF8">
    <cfRule type="cellIs" dxfId="1283" priority="123" operator="greaterThan">
      <formula>$CE$5</formula>
    </cfRule>
    <cfRule type="expression" dxfId="1282" priority="122">
      <formula>AND(CE8&lt;&gt;0,CE8&lt;AJ4)</formula>
    </cfRule>
    <cfRule type="expression" dxfId="1281" priority="121">
      <formula>CD8=""</formula>
    </cfRule>
    <cfRule type="expression" dxfId="1280" priority="120">
      <formula>$FX$8="vrai"</formula>
    </cfRule>
  </conditionalFormatting>
  <conditionalFormatting sqref="CF47">
    <cfRule type="notContainsBlanks" dxfId="1279" priority="470">
      <formula>LEN(TRIM(CF47))&gt;0</formula>
    </cfRule>
  </conditionalFormatting>
  <conditionalFormatting sqref="CF49">
    <cfRule type="notContainsBlanks" dxfId="1278" priority="469">
      <formula>LEN(TRIM(CF49))&gt;0</formula>
    </cfRule>
  </conditionalFormatting>
  <conditionalFormatting sqref="CF53:CF54">
    <cfRule type="expression" dxfId="1276" priority="161">
      <formula>$BW$41="Non"</formula>
    </cfRule>
  </conditionalFormatting>
  <conditionalFormatting sqref="CF57:CF58">
    <cfRule type="expression" dxfId="1274" priority="159">
      <formula>$BW$41="Non"</formula>
    </cfRule>
  </conditionalFormatting>
  <conditionalFormatting sqref="CG8:CI8">
    <cfRule type="expression" dxfId="1272" priority="253">
      <formula>CD8=""</formula>
    </cfRule>
  </conditionalFormatting>
  <conditionalFormatting sqref="GW16:HR16">
    <cfRule type="expression" dxfId="1271" priority="460">
      <formula>$AE$123="NON"</formula>
    </cfRule>
  </conditionalFormatting>
  <conditionalFormatting sqref="HG16:HJ16">
    <cfRule type="expression" dxfId="1270" priority="4951">
      <formula>AR123&gt;0</formula>
    </cfRule>
  </conditionalFormatting>
  <conditionalFormatting sqref="HK16:HN16">
    <cfRule type="expression" dxfId="1269" priority="4952">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900-000000000000}">
      <formula1>0</formula1>
      <formula2>0</formula2>
    </dataValidation>
    <dataValidation type="list" allowBlank="1" showInputMessage="1" showErrorMessage="1" sqref="F80:H80" xr:uid="{00000000-0002-0000-1900-000001000000}">
      <formula1>"Chèque,Espèce,Virement,Pajemploi +,CESU"</formula1>
    </dataValidation>
    <dataValidation type="list" allowBlank="1" showInputMessage="1" showErrorMessage="1" sqref="F82:H82" xr:uid="{00000000-0002-0000-1900-000002000000}">
      <formula1>"' ,Chèque,Espèce,Virement,Pajemploi +,CESU"</formula1>
    </dataValidation>
    <dataValidation type="list" allowBlank="1" showInputMessage="1" showErrorMessage="1" sqref="AU4:AU10" xr:uid="{00000000-0002-0000-1900-000003000000}">
      <formula1>"A,B,C,D,E,F,G,H"</formula1>
    </dataValidation>
    <dataValidation showInputMessage="1" showErrorMessage="1" sqref="BY6" xr:uid="{00000000-0002-0000-1900-000004000000}"/>
    <dataValidation type="list" allowBlank="1" showInputMessage="1" showErrorMessage="1" sqref="L123:M123 L125:M125 AI127:AJ127 AJ125:AK125 CC132 BF20:BF50" xr:uid="{00000000-0002-0000-1900-000006000000}">
      <formula1>"OUI,NON"</formula1>
    </dataValidation>
    <dataValidation type="list" allowBlank="1" showInputMessage="1" showErrorMessage="1" sqref="BX41" xr:uid="{00000000-0002-0000-1900-000007000000}">
      <formula1>Table_utilisation_tab_entretien</formula1>
    </dataValidation>
    <dataValidation type="list" showInputMessage="1" showErrorMessage="1" sqref="AR14:AZ14" xr:uid="{00000000-0002-0000-1900-000009000000}">
      <formula1>calendrier_bs</formula1>
    </dataValidation>
    <dataValidation type="list" showInputMessage="1" showErrorMessage="1" sqref="BZ118" xr:uid="{00000000-0002-0000-1900-00000A000000}">
      <formula1>"Scénario 1,Scénario 2,Scénario 3,Scénario 4,"</formula1>
    </dataValidation>
    <dataValidation type="list" allowBlank="1" showInputMessage="1" showErrorMessage="1" sqref="BZ2" xr:uid="{00000000-0002-0000-1900-00000B000000}">
      <formula1>Source_liste_fiche2</formula1>
    </dataValidation>
    <dataValidation type="list" allowBlank="1" showInputMessage="1" sqref="CF58 CF54 DJ51:DK52" xr:uid="{00000000-0002-0000-1900-00000C000000}">
      <formula1>"1,2,3,4,5,6,7,8,9,10,11,12,13"</formula1>
    </dataValidation>
    <dataValidation allowBlank="1" showInputMessage="1" sqref="BY56 BY60 CE54 CE58" xr:uid="{00000000-0002-0000-1900-00000D000000}"/>
    <dataValidation type="list" allowBlank="1" showInputMessage="1" sqref="BY57" xr:uid="{00000000-0002-0000-1900-00000E000000}">
      <formula1>"0,1,2,3,4,5,6,7,8,9,10,11,12,13,14,24"</formula1>
    </dataValidation>
    <dataValidation type="list" allowBlank="1" showInputMessage="1" showErrorMessage="1" sqref="AX76:AY76 AX79:AY79 AX82:AY82 AX85:AY85" xr:uid="{00000000-0002-0000-1900-00000F000000}">
      <formula1>liste_attestation_modif_pole</formula1>
    </dataValidation>
    <dataValidation type="list" allowBlank="1" showInputMessage="1" showErrorMessage="1" sqref="CE3:CF3" xr:uid="{00000000-0002-0000-1900-000010000000}">
      <formula1>motif_rupture</formula1>
    </dataValidation>
    <dataValidation type="list" showInputMessage="1" showErrorMessage="1" error="Vous devez choisir entre :_x000a_ - cellule vide_x000a_ - CP Acq_x000a_ - CP Ant" sqref="AR20:AR50" xr:uid="{00000000-0002-0000-1900-000011000000}">
      <formula1>Source_pose_CP</formula1>
    </dataValidation>
    <dataValidation type="list" allowBlank="1" showInputMessage="1" showErrorMessage="1" sqref="BA60:BA61 AT60:AT61 AX60:AY61" xr:uid="{0697C166-3741-438F-8080-0B5D2E04A894}">
      <formula1>"Non,Oui"</formula1>
    </dataValidation>
    <dataValidation allowBlank="1" showInputMessage="1" showErrorMessage="1" prompt="Vous pouvez choisir avec la petite flèche à droite &quot;Salaires heures normales réelles &quot;" sqref="A18:K18" xr:uid="{436DC858-A967-42FB-999A-30639C46C5B4}"/>
    <dataValidation type="list" errorStyle="information" allowBlank="1" showInputMessage="1" showErrorMessage="1" error="Faites Entrée pour valider le nombre d'heures" sqref="AZ20:AZ50" xr:uid="{B7756878-7071-405C-A8EE-8671B96817AA}">
      <formula1>liste_motif</formula1>
    </dataValidation>
    <dataValidation type="list" allowBlank="1" showInputMessage="1" showErrorMessage="1" sqref="AZ62:AZ63" xr:uid="{FE466860-86FD-4636-9865-9AA695710D89}">
      <formula1>liste_hrs_jrs</formula1>
    </dataValidation>
    <dataValidation type="list" allowBlank="1" showInputMessage="1" showErrorMessage="1" sqref="AO131:AP133 AH133:AI133" xr:uid="{3D6F0346-3AED-4B48-9757-E4DB19D6CCEC}">
      <formula1>"Oui,Non"</formula1>
    </dataValidation>
    <dataValidation type="list" allowBlank="1" showInputMessage="1" showErrorMessage="1" sqref="AJ135:AK135" xr:uid="{EDF1C65F-E775-428F-B3FA-A3F37F6E7E93}">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52" id="{06D3A24A-EAB6-466A-BDB9-E4AE1497CD79}">
            <xm:f>Février!$BY$8="OUI"</xm:f>
            <x14:dxf>
              <font>
                <color theme="0"/>
              </font>
              <fill>
                <patternFill>
                  <bgColor theme="0"/>
                </patternFill>
              </fill>
            </x14:dxf>
          </x14:cfRule>
          <xm:sqref>BZ8</xm:sqref>
        </x14:conditionalFormatting>
        <x14:conditionalFormatting xmlns:xm="http://schemas.microsoft.com/office/excel/2006/main">
          <x14:cfRule type="expression" priority="162" id="{D3923488-921D-4069-A835-9516153DC15F}">
            <xm:f>AND($EO$11="NON",$CC$44=S.CAL!$BC$4)</xm:f>
            <x14:dxf>
              <fill>
                <patternFill>
                  <bgColor rgb="FFFF0000"/>
                </patternFill>
              </fill>
            </x14:dxf>
          </x14:cfRule>
          <xm:sqref>CF53:CF54</xm:sqref>
        </x14:conditionalFormatting>
        <x14:conditionalFormatting xmlns:xm="http://schemas.microsoft.com/office/excel/2006/main">
          <x14:cfRule type="expression" priority="156" id="{D219436E-9463-4CA9-A132-15236960FB3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3AD7C7FE-5B0C-46C3-9332-86BA57B2E293}">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13000000}">
          <x14:formula1>
            <xm:f>S.CAL!$V$2:$V$4</xm:f>
          </x14:formula1>
          <xm:sqref>BZ8 AN123:AO123 AN129:AO129</xm:sqref>
        </x14:dataValidation>
        <x14:dataValidation type="list" allowBlank="1" showInputMessage="1" showErrorMessage="1" xr:uid="{00000000-0002-0000-1900-000014000000}">
          <x14:formula1>
            <xm:f>S.CAL!$S$2:$S$4</xm:f>
          </x14:formula1>
          <xm:sqref>BZ6</xm:sqref>
        </x14:dataValidation>
        <x14:dataValidation type="list" allowBlank="1" showInputMessage="1" showErrorMessage="1" xr:uid="{FB4E01C3-EAFF-4118-81DA-727A86F12227}">
          <x14:formula1>
            <xm:f>S.CAL!$BC$2:$BC$5</xm:f>
          </x14:formula1>
          <xm:sqref>CC45:CD45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DATE(YEAR(Janvier!X3),MONTH(Janvier!X3)+3,DAY(Janvier!X3))</f>
        <v>46113</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14</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IF(Mars!BY8="OUI","Contrat fini",BY2)</f>
        <v>Fiche info</v>
      </c>
      <c r="EF4" s="315" t="s">
        <v>1028</v>
      </c>
      <c r="EG4" s="737">
        <f>+Identification!B95</f>
        <v>0</v>
      </c>
      <c r="FG4" s="315" t="str">
        <f>IFERROR(IF(VLOOKUP(AT4,Mars!$AT$4:$AU$10,2,FALSE)&lt;&gt;Avril!AU4,"rouge","ok"),0)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46113</v>
      </c>
      <c r="Y5" s="2206"/>
      <c r="Z5" s="1743" t="s">
        <v>451</v>
      </c>
      <c r="AA5" s="1743"/>
      <c r="AB5" s="2206">
        <f>+IF(AND(DATE(YEAR(EG4),MONTH(EG4),DAY(EG4))&gt;=DATE(YEAR(X3),MONTH(X3),DAY(X3)),DATE(YEAR(EG4),MONTH(EG4),DAY(EG4))&lt;=DATE(YEAR(X3),MONTH(X3),DAY(EOMONTH(X3,0)))),EG4,EOMONTH(X3,0))</f>
        <v>46142</v>
      </c>
      <c r="AC5" s="2210"/>
      <c r="AP5" s="209"/>
      <c r="AQ5" s="318"/>
      <c r="AR5" s="209"/>
      <c r="AS5" s="210"/>
      <c r="AT5" s="301">
        <f t="array" ref="AT5">IFERROR(INDEX($BK$20:$BK$50,MATCH(0,INDEX(COUNTIF($AT$3:AT4,$BK$20:$BK$50),0,0),0)),"")</f>
        <v>15</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46142</v>
      </c>
      <c r="FG5" s="315">
        <f>IFERROR(IF(VLOOKUP(AT5,Mars!$AT$4:$AU$10,2,FALSE)&lt;&gt;Avril!AU5,"rouge","ok"),0)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16</v>
      </c>
      <c r="AU6" s="1122" t="s">
        <v>226</v>
      </c>
      <c r="BQ6" s="578"/>
      <c r="BR6" s="578"/>
      <c r="BS6" s="578"/>
      <c r="BT6" s="578"/>
      <c r="BU6" s="578"/>
      <c r="BV6" s="578"/>
      <c r="BW6" s="578"/>
      <c r="BX6" s="579" t="s">
        <v>509</v>
      </c>
      <c r="BY6" s="580" t="str">
        <f>+IF(BZ6="",Mars!BY6,BZ6)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IFERROR(IF(VLOOKUP(AT6,Mars!$AT$4:$AU$10,2,FALSE)&lt;&gt;Avril!AU6,"rouge","ok"),0)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17</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IFERROR(IF(VLOOKUP(AT7,Mars!$AT$4:$AU$10,2,FALSE)&lt;&gt;Avril!AU7,"rouge","ok"),0)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18</v>
      </c>
      <c r="AU8" s="1122" t="s">
        <v>226</v>
      </c>
      <c r="BG8" s="240"/>
      <c r="BH8" s="1439" t="str">
        <f>+AT3</f>
        <v>N° Sem.</v>
      </c>
      <c r="BI8" s="1440" t="s">
        <v>1552</v>
      </c>
      <c r="BQ8" s="1985" t="s">
        <v>210</v>
      </c>
      <c r="BR8" s="1986"/>
      <c r="BS8" s="1986"/>
      <c r="BT8" s="1986"/>
      <c r="BU8" s="1986"/>
      <c r="BV8" s="1986"/>
      <c r="BW8" s="1986"/>
      <c r="BX8" s="1986"/>
      <c r="BY8" s="965" t="str">
        <f>IF(BZ8="",Mars!BY8,BZ8)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IFERROR(IF(VLOOKUP(AT8,Mars!$AT$4:$AU$10,2,FALSE)&lt;&gt;Avril!AU8,"rouge","ok"),0)</f>
        <v>0</v>
      </c>
      <c r="FX8" s="129" t="str">
        <f>+IF(AND(CD8="",CE8&lt;&gt;""),"vrai","faux")</f>
        <v>faux</v>
      </c>
    </row>
    <row r="9" spans="1:226" ht="11.2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142026</v>
      </c>
      <c r="BH9" s="1441">
        <f t="shared" ref="BH9:BH14" si="0">+AT4</f>
        <v>14</v>
      </c>
      <c r="BI9" s="1442">
        <f>IF($AR$13=S.CAL!$CU$2,+SUMIF(S.CAL!$FW$3:$FW$374,BG9,S.CAL!$FX$3:$FX$374),IF($AR$13=S.CAL!$CU$3,SUMIF(Feuilles_de_présence_planning!$EG$12:$EG$537,BG9,Feuilles_de_présence_planning!$EE$12:$EE$537),"err"))</f>
        <v>0</v>
      </c>
      <c r="BY9" s="196" t="str">
        <f>+IF(Mars!BY8="OUI","FIN","O")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IFERROR(IF(VLOOKUP(AT9,Mars!$AT$4:$AU$10,2,FALSE)&lt;&gt;Avril!AU9,"rouge","ok"),0)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152026</v>
      </c>
      <c r="BH10" s="1441">
        <f t="shared" si="0"/>
        <v>15</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IFERROR(IF(VLOOKUP(AT10,Mars!$AT$4:$AU$10,2,FALSE)&lt;&gt;Avril!AU10,"rouge","ok"),0)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162026</v>
      </c>
      <c r="BH11" s="1441">
        <f t="shared" si="0"/>
        <v>16</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172026</v>
      </c>
      <c r="BH12" s="1441">
        <f t="shared" si="0"/>
        <v>17</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11</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IF(AR14="",Mars!AR13,AR14)</f>
        <v>à partir du tableau ci-dessous</v>
      </c>
      <c r="AS13" s="2372"/>
      <c r="AT13" s="2372"/>
      <c r="AU13" s="2372"/>
      <c r="AV13" s="2372"/>
      <c r="AW13" s="2372"/>
      <c r="AX13" s="2372"/>
      <c r="AY13" s="2372"/>
      <c r="AZ13" s="2372"/>
      <c r="BA13" s="2355" t="s">
        <v>1086</v>
      </c>
      <c r="BB13" s="2355"/>
      <c r="BC13" s="2355"/>
      <c r="BD13" s="951"/>
      <c r="BG13" s="1430" t="str">
        <f t="shared" si="1"/>
        <v>182026</v>
      </c>
      <c r="BH13" s="1441">
        <f t="shared" si="0"/>
        <v>18</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+Mars!EF16</f>
        <v>0</v>
      </c>
      <c r="EG16" s="741">
        <f>+Mars!EG16</f>
        <v>0</v>
      </c>
      <c r="EH16" s="741">
        <f>+Mars!EH16+Mars!EH17</f>
        <v>0</v>
      </c>
      <c r="EI16" s="741">
        <f>+Mars!EI16+Mars!EI17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Avril'!D18:D48,"&gt;0")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46113</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14</v>
      </c>
      <c r="AQ20" s="322"/>
      <c r="AR20" s="1123"/>
      <c r="AS20" s="314">
        <f t="shared" ref="AS20:AS50" si="3">SUM(AD20:AL20)</f>
        <v>0</v>
      </c>
      <c r="AT20" s="1124"/>
      <c r="AU20" s="1124"/>
      <c r="AV20" s="314"/>
      <c r="AW20" s="2150">
        <f>AB20</f>
        <v>46113</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infoA3</v>
      </c>
      <c r="BK20" s="129">
        <f>IFERROR(WEEKNUM(AB20,21),"")</f>
        <v>14</v>
      </c>
      <c r="BL20" s="129" t="str">
        <f t="shared" ref="BL20:BL50" si="4">+VLOOKUP(BK20,$AT$4:$AU$10,2,)</f>
        <v>A</v>
      </c>
      <c r="BM20" s="129">
        <f t="shared" ref="BM20:BM21" si="5">WEEKDAY(AB20,2)</f>
        <v>3</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46113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46113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14</v>
      </c>
      <c r="GA20" s="129">
        <f>+$X$4</f>
        <v>2026</v>
      </c>
      <c r="GB20" s="129" t="str">
        <f>+FZ20&amp;GA20</f>
        <v>142026</v>
      </c>
      <c r="GC20" s="223">
        <f>IF(AND($GD$53=S.CAL!$P$3,$GD$52=FZ20),GE20,IF(BH20="",0,BH20))</f>
        <v>0</v>
      </c>
      <c r="GD20" s="129" t="str">
        <f>IFERROR(+Mai!$BY$2&amp;BL20&amp;BM20,0)</f>
        <v>Fiche infoA3</v>
      </c>
      <c r="GE20" s="129" t="str">
        <f t="shared" ref="GE20:GE50" si="19">+IFERROR(VLOOKUP(GD20,Base_heures,6,FALSE),"")</f>
        <v/>
      </c>
      <c r="GF20" s="223" t="str">
        <f>IF(FP20=1,GG20,AM20)</f>
        <v/>
      </c>
      <c r="GG20" s="1446" t="str">
        <f>+'Retenue Avril'!D18</f>
        <v/>
      </c>
      <c r="GH20" s="1446">
        <f>IF(Identification!$B$132="Non",+'Retenue Avril'!BF18,+'Retenue Avril'!BE18)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46114</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46114</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infoA4</v>
      </c>
      <c r="BK21" s="129">
        <f t="shared" ref="BK21" si="27">IFERROR(WEEKNUM(AB21,21),"")</f>
        <v>14</v>
      </c>
      <c r="BL21" s="129" t="str">
        <f t="shared" si="4"/>
        <v>A</v>
      </c>
      <c r="BM21" s="129">
        <f t="shared" si="5"/>
        <v>4</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46113</v>
      </c>
      <c r="EJ21" s="737"/>
      <c r="EK21" s="737"/>
      <c r="EQ21" s="748">
        <f t="shared" ref="EQ21" si="28">+AB21</f>
        <v>46114</v>
      </c>
      <c r="ER21" s="749">
        <f t="shared" si="10"/>
        <v>0</v>
      </c>
      <c r="ES21" s="750">
        <f t="shared" si="11"/>
        <v>0</v>
      </c>
      <c r="ET21" s="749">
        <f t="shared" si="12"/>
        <v>0</v>
      </c>
      <c r="EU21" s="750">
        <f t="shared" si="13"/>
        <v>0</v>
      </c>
      <c r="EV21" s="749" t="str">
        <f t="shared" si="14"/>
        <v/>
      </c>
      <c r="EW21" s="751">
        <f t="shared" ref="EW21:EW50" si="29">+EQ21</f>
        <v>46114</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14</v>
      </c>
      <c r="GA21" s="129">
        <f t="shared" ref="GA21:GA50" si="39">+$X$4</f>
        <v>2026</v>
      </c>
      <c r="GB21" s="129" t="str">
        <f t="shared" ref="GB21:GB48" si="40">+FZ21&amp;GA21</f>
        <v>142026</v>
      </c>
      <c r="GC21" s="223">
        <f>IF(AND($GD$53=S.CAL!$P$3,$GD$52=FZ21),GE21,IF(BH21="",0,BH21))</f>
        <v>0</v>
      </c>
      <c r="GD21" s="129" t="str">
        <f>IFERROR(+Mai!$BY$2&amp;BL21&amp;BM21,0)</f>
        <v>Fiche infoA4</v>
      </c>
      <c r="GE21" s="129" t="str">
        <f t="shared" si="19"/>
        <v/>
      </c>
      <c r="GF21" s="223" t="str">
        <f t="shared" ref="GF21:GF48" si="41">IF(FP21=1,GG21,AM21)</f>
        <v/>
      </c>
      <c r="GG21" s="1446" t="str">
        <f>+'Retenue Avril'!D19</f>
        <v/>
      </c>
      <c r="GH21" s="1446">
        <f>IF(Identification!$B$132="Non",+'Retenue Avril'!BF19,+'Retenue Avril'!BE19)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46115</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46115</v>
      </c>
      <c r="AX22" s="1761"/>
      <c r="AY22" s="314"/>
      <c r="AZ22" s="1104"/>
      <c r="BA22" s="973"/>
      <c r="BB22" s="543"/>
      <c r="BC22" s="548">
        <f t="shared" si="23"/>
        <v>0</v>
      </c>
      <c r="BD22" s="1104"/>
      <c r="BE22" s="807">
        <f t="shared" si="24"/>
        <v>0</v>
      </c>
      <c r="BF22" s="1128"/>
      <c r="BG22" s="222"/>
      <c r="BH22" s="548" t="str">
        <f t="shared" si="25"/>
        <v/>
      </c>
      <c r="BI22" s="1128"/>
      <c r="BJ22" s="129" t="str">
        <f t="shared" si="26"/>
        <v>Fiche infoA5</v>
      </c>
      <c r="BK22" s="129">
        <f t="shared" ref="BK22:BK50" si="49">IFERROR(WEEKNUM(AB22,21),"")</f>
        <v>14</v>
      </c>
      <c r="BL22" s="129" t="str">
        <f t="shared" si="4"/>
        <v>A</v>
      </c>
      <c r="BM22" s="129">
        <f t="shared" ref="BM22:BM47" si="50">WEEKDAY(AB22,2)</f>
        <v>5</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46142</v>
      </c>
      <c r="EJ22" s="737"/>
      <c r="EK22" s="737"/>
      <c r="EQ22" s="748">
        <f t="shared" ref="EQ22:EQ50" si="53">+AB22</f>
        <v>46115</v>
      </c>
      <c r="ER22" s="749">
        <f t="shared" si="10"/>
        <v>0</v>
      </c>
      <c r="ES22" s="750">
        <f t="shared" si="11"/>
        <v>0</v>
      </c>
      <c r="ET22" s="749">
        <f t="shared" si="12"/>
        <v>0</v>
      </c>
      <c r="EU22" s="750">
        <f t="shared" si="13"/>
        <v>0</v>
      </c>
      <c r="EV22" s="749" t="str">
        <f t="shared" si="14"/>
        <v/>
      </c>
      <c r="EW22" s="751">
        <f t="shared" si="29"/>
        <v>46115</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14</v>
      </c>
      <c r="GA22" s="129">
        <f t="shared" si="39"/>
        <v>2026</v>
      </c>
      <c r="GB22" s="129" t="str">
        <f t="shared" si="40"/>
        <v>142026</v>
      </c>
      <c r="GC22" s="223">
        <f>IF(AND($GD$53=S.CAL!$P$3,$GD$52=FZ22),GE22,IF(BH22="",0,BH22))</f>
        <v>0</v>
      </c>
      <c r="GD22" s="129" t="str">
        <f>IFERROR(+Mai!$BY$2&amp;BL22&amp;BM22,0)</f>
        <v>Fiche infoA5</v>
      </c>
      <c r="GE22" s="129" t="str">
        <f t="shared" si="19"/>
        <v/>
      </c>
      <c r="GF22" s="223" t="str">
        <f t="shared" si="41"/>
        <v/>
      </c>
      <c r="GG22" s="1446" t="str">
        <f>+'Retenue Avril'!D20</f>
        <v/>
      </c>
      <c r="GH22" s="1446">
        <f>IF(Identification!$B$132="Non",+'Retenue Avril'!BF20,+'Retenue Avril'!BE20)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46116</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46116</v>
      </c>
      <c r="AX23" s="1761"/>
      <c r="AY23" s="314"/>
      <c r="AZ23" s="1104"/>
      <c r="BA23" s="973"/>
      <c r="BB23" s="543"/>
      <c r="BC23" s="548">
        <f t="shared" si="23"/>
        <v>0</v>
      </c>
      <c r="BD23" s="1104"/>
      <c r="BE23" s="807">
        <f t="shared" si="24"/>
        <v>0</v>
      </c>
      <c r="BF23" s="1128"/>
      <c r="BG23" s="222"/>
      <c r="BH23" s="548" t="str">
        <f t="shared" si="25"/>
        <v/>
      </c>
      <c r="BI23" s="1128"/>
      <c r="BJ23" s="129" t="str">
        <f t="shared" si="26"/>
        <v>Fiche infoA6</v>
      </c>
      <c r="BK23" s="129">
        <f t="shared" si="49"/>
        <v>14</v>
      </c>
      <c r="BL23" s="129" t="str">
        <f t="shared" si="4"/>
        <v>A</v>
      </c>
      <c r="BM23" s="129">
        <f t="shared" si="50"/>
        <v>6</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46116</v>
      </c>
      <c r="ER23" s="749">
        <f t="shared" si="10"/>
        <v>0</v>
      </c>
      <c r="ES23" s="750">
        <f t="shared" si="11"/>
        <v>0</v>
      </c>
      <c r="ET23" s="749">
        <f t="shared" si="12"/>
        <v>0</v>
      </c>
      <c r="EU23" s="750">
        <f t="shared" si="13"/>
        <v>0</v>
      </c>
      <c r="EV23" s="749" t="str">
        <f t="shared" si="14"/>
        <v/>
      </c>
      <c r="EW23" s="751">
        <f t="shared" si="29"/>
        <v>46116</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14</v>
      </c>
      <c r="GA23" s="129">
        <f t="shared" si="39"/>
        <v>2026</v>
      </c>
      <c r="GB23" s="129" t="str">
        <f t="shared" si="40"/>
        <v>142026</v>
      </c>
      <c r="GC23" s="223">
        <f>IF(AND($GD$53=S.CAL!$P$3,$GD$52=FZ23),GE23,IF(BH23="",0,BH23))</f>
        <v>0</v>
      </c>
      <c r="GD23" s="129" t="str">
        <f>IFERROR(+Mai!$BY$2&amp;BL23&amp;BM23,0)</f>
        <v>Fiche infoA6</v>
      </c>
      <c r="GE23" s="129" t="str">
        <f t="shared" si="19"/>
        <v/>
      </c>
      <c r="GF23" s="223" t="str">
        <f t="shared" si="41"/>
        <v/>
      </c>
      <c r="GG23" s="1446" t="str">
        <f>+'Retenue Avril'!D21</f>
        <v/>
      </c>
      <c r="GH23" s="1446">
        <f>IF(Identification!$B$132="Non",+'Retenue Avril'!BF21,+'Retenue Avril'!BE21)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46117</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46117</v>
      </c>
      <c r="AX24" s="1761"/>
      <c r="AY24" s="314"/>
      <c r="AZ24" s="1104"/>
      <c r="BA24" s="973"/>
      <c r="BB24" s="543"/>
      <c r="BC24" s="548">
        <f t="shared" si="23"/>
        <v>0</v>
      </c>
      <c r="BD24" s="1104"/>
      <c r="BE24" s="807">
        <f t="shared" si="24"/>
        <v>0</v>
      </c>
      <c r="BF24" s="1128"/>
      <c r="BG24" s="222"/>
      <c r="BH24" s="548" t="str">
        <f t="shared" si="25"/>
        <v/>
      </c>
      <c r="BI24" s="1128"/>
      <c r="BJ24" s="129" t="str">
        <f t="shared" si="26"/>
        <v>Fiche infoA7</v>
      </c>
      <c r="BK24" s="129">
        <f t="shared" si="49"/>
        <v>14</v>
      </c>
      <c r="BL24" s="129" t="str">
        <f t="shared" si="4"/>
        <v>A</v>
      </c>
      <c r="BM24" s="129">
        <f t="shared" si="50"/>
        <v>7</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46117</v>
      </c>
      <c r="ER24" s="749">
        <f t="shared" si="10"/>
        <v>0</v>
      </c>
      <c r="ES24" s="750">
        <f t="shared" si="11"/>
        <v>0</v>
      </c>
      <c r="ET24" s="749">
        <f t="shared" si="12"/>
        <v>0</v>
      </c>
      <c r="EU24" s="750">
        <f t="shared" si="13"/>
        <v>0</v>
      </c>
      <c r="EV24" s="749" t="str">
        <f t="shared" si="14"/>
        <v/>
      </c>
      <c r="EW24" s="751">
        <f t="shared" si="29"/>
        <v>46117</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14</v>
      </c>
      <c r="GA24" s="129">
        <f t="shared" si="39"/>
        <v>2026</v>
      </c>
      <c r="GB24" s="129" t="str">
        <f t="shared" si="40"/>
        <v>142026</v>
      </c>
      <c r="GC24" s="223">
        <f>IF(AND($GD$53=S.CAL!$P$3,$GD$52=FZ24),GE24,IF(BH24="",0,BH24))</f>
        <v>0</v>
      </c>
      <c r="GD24" s="129" t="str">
        <f>IFERROR(+Mai!$BY$2&amp;BL24&amp;BM24,0)</f>
        <v>Fiche infoA7</v>
      </c>
      <c r="GE24" s="129" t="str">
        <f t="shared" si="19"/>
        <v/>
      </c>
      <c r="GF24" s="223" t="str">
        <f t="shared" si="41"/>
        <v/>
      </c>
      <c r="GG24" s="1446" t="str">
        <f>+'Retenue Avril'!D22</f>
        <v/>
      </c>
      <c r="GH24" s="1446">
        <f>IF(Identification!$B$132="Non",+'Retenue Avril'!BF22,+'Retenue Avril'!BE22)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Avril'!R48*-1)</f>
        <v>#DIV/0!</v>
      </c>
      <c r="M25" s="2142"/>
      <c r="N25" s="2142"/>
      <c r="O25" s="2143"/>
      <c r="P25" s="1753" t="e">
        <f>+IF(L25,T25/L25,0)</f>
        <v>#DIV/0!</v>
      </c>
      <c r="Q25" s="1969"/>
      <c r="R25" s="1969"/>
      <c r="S25" s="1970"/>
      <c r="T25" s="1966">
        <f>IF(A18="Salaire heures normales réelles",0,'Retenue Avril'!R52*-1)</f>
        <v>0</v>
      </c>
      <c r="U25" s="1967"/>
      <c r="V25" s="1967"/>
      <c r="W25" s="1968"/>
      <c r="X25" s="224"/>
      <c r="Y25" s="224"/>
      <c r="Z25" s="224"/>
      <c r="AA25" s="885" t="str">
        <f>IF(AND(BE25="OUI",$AR$13=S.CAL!$CU$2),"►",IF(AND(EV25="OUI",$AR$13=S.CAL!$CU$3),"►",""))</f>
        <v/>
      </c>
      <c r="AB25" s="1760">
        <f>+$X$3+5</f>
        <v>46118</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f t="shared" si="48"/>
        <v>15</v>
      </c>
      <c r="AQ25" s="322"/>
      <c r="AR25" s="1104"/>
      <c r="AS25" s="314">
        <f t="shared" si="3"/>
        <v>0</v>
      </c>
      <c r="AT25" s="1125"/>
      <c r="AU25" s="1125"/>
      <c r="AV25" s="314"/>
      <c r="AW25" s="1791">
        <f t="shared" si="22"/>
        <v>46118</v>
      </c>
      <c r="AX25" s="1761"/>
      <c r="AY25" s="314"/>
      <c r="AZ25" s="1104"/>
      <c r="BA25" s="973"/>
      <c r="BB25" s="543"/>
      <c r="BC25" s="548">
        <f t="shared" si="23"/>
        <v>0</v>
      </c>
      <c r="BD25" s="1104"/>
      <c r="BE25" s="807">
        <f t="shared" si="24"/>
        <v>0</v>
      </c>
      <c r="BF25" s="1128"/>
      <c r="BG25" s="222"/>
      <c r="BH25" s="548" t="str">
        <f t="shared" si="25"/>
        <v/>
      </c>
      <c r="BI25" s="1128"/>
      <c r="BJ25" s="129" t="str">
        <f t="shared" si="26"/>
        <v>Fiche infoA1</v>
      </c>
      <c r="BK25" s="129">
        <f t="shared" si="49"/>
        <v>15</v>
      </c>
      <c r="BL25" s="129" t="str">
        <f t="shared" si="4"/>
        <v>A</v>
      </c>
      <c r="BM25" s="129">
        <f t="shared" si="50"/>
        <v>1</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46118</v>
      </c>
      <c r="ER25" s="749">
        <f t="shared" si="10"/>
        <v>0</v>
      </c>
      <c r="ES25" s="750">
        <f t="shared" si="11"/>
        <v>0</v>
      </c>
      <c r="ET25" s="749">
        <f t="shared" si="12"/>
        <v>0</v>
      </c>
      <c r="EU25" s="750">
        <f t="shared" si="13"/>
        <v>0</v>
      </c>
      <c r="EV25" s="749" t="str">
        <f t="shared" si="14"/>
        <v/>
      </c>
      <c r="EW25" s="751">
        <f t="shared" si="29"/>
        <v>46118</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15</v>
      </c>
      <c r="GA25" s="129">
        <f t="shared" si="39"/>
        <v>2026</v>
      </c>
      <c r="GB25" s="129" t="str">
        <f t="shared" si="40"/>
        <v>152026</v>
      </c>
      <c r="GC25" s="223">
        <f>IF(AND($GD$53=S.CAL!$P$3,$GD$52=FZ25),GE25,IF(BH25="",0,BH25))</f>
        <v>0</v>
      </c>
      <c r="GD25" s="129" t="str">
        <f>IFERROR(+Mai!$BY$2&amp;BL25&amp;BM25,0)</f>
        <v>Fiche infoA1</v>
      </c>
      <c r="GE25" s="129" t="str">
        <f t="shared" si="19"/>
        <v/>
      </c>
      <c r="GF25" s="223" t="str">
        <f t="shared" si="41"/>
        <v/>
      </c>
      <c r="GG25" s="1446" t="str">
        <f>+'Retenue Avril'!D23</f>
        <v/>
      </c>
      <c r="GH25" s="1446">
        <f>IF(Identification!$B$132="Non",+'Retenue Avril'!BF23,+'Retenue Avril'!BE23)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Avril'!R50*-1)</f>
        <v>#DIV/0!</v>
      </c>
      <c r="M26" s="2142"/>
      <c r="N26" s="2142"/>
      <c r="O26" s="2143"/>
      <c r="P26" s="1753" t="e">
        <f>+IF(L26,T26/L26,0)</f>
        <v>#DIV/0!</v>
      </c>
      <c r="Q26" s="1969"/>
      <c r="R26" s="1969"/>
      <c r="S26" s="1970"/>
      <c r="T26" s="1966">
        <f>IF(A18="Salaire heures normales réelles",0,'Retenue Avril'!R54*-1)</f>
        <v>0</v>
      </c>
      <c r="U26" s="1967"/>
      <c r="V26" s="1967"/>
      <c r="W26" s="1968"/>
      <c r="X26" s="221"/>
      <c r="Y26" s="221"/>
      <c r="Z26" s="221"/>
      <c r="AA26" s="885" t="str">
        <f>IF(AND(BE26="OUI",$AR$13=S.CAL!$CU$2),"►",IF(AND(EV26="OUI",$AR$13=S.CAL!$CU$3),"►",""))</f>
        <v/>
      </c>
      <c r="AB26" s="1760">
        <f>+$X$3+6</f>
        <v>46119</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46119</v>
      </c>
      <c r="AX26" s="1761"/>
      <c r="AY26" s="314"/>
      <c r="AZ26" s="1104"/>
      <c r="BA26" s="973"/>
      <c r="BB26" s="543"/>
      <c r="BC26" s="548">
        <f t="shared" si="23"/>
        <v>0</v>
      </c>
      <c r="BD26" s="1104"/>
      <c r="BE26" s="807">
        <f t="shared" si="24"/>
        <v>0</v>
      </c>
      <c r="BF26" s="1128"/>
      <c r="BG26" s="222"/>
      <c r="BH26" s="548" t="str">
        <f t="shared" si="25"/>
        <v/>
      </c>
      <c r="BI26" s="1128"/>
      <c r="BJ26" s="129" t="str">
        <f t="shared" si="26"/>
        <v>Fiche infoA2</v>
      </c>
      <c r="BK26" s="129">
        <f t="shared" si="49"/>
        <v>15</v>
      </c>
      <c r="BL26" s="129" t="str">
        <f t="shared" si="4"/>
        <v>A</v>
      </c>
      <c r="BM26" s="129">
        <f t="shared" si="50"/>
        <v>2</v>
      </c>
      <c r="BN26" s="223" t="str">
        <f t="shared" si="60"/>
        <v>Fiche info</v>
      </c>
      <c r="BO26" s="314" t="str">
        <f t="shared" si="51"/>
        <v/>
      </c>
      <c r="BP26" s="196" t="str">
        <f t="shared" si="52"/>
        <v/>
      </c>
      <c r="BQ26" s="206"/>
      <c r="BX26" s="577"/>
      <c r="BY26" s="1951" t="s">
        <v>1098</v>
      </c>
      <c r="BZ26" s="1951" t="s">
        <v>440</v>
      </c>
      <c r="CA26" s="2013" t="s">
        <v>1099</v>
      </c>
      <c r="CB26" s="447"/>
      <c r="CC26" s="447"/>
      <c r="CD26" s="447"/>
      <c r="CE26" s="447"/>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46119</v>
      </c>
      <c r="ER26" s="749">
        <f t="shared" si="10"/>
        <v>0</v>
      </c>
      <c r="ES26" s="750">
        <f t="shared" si="11"/>
        <v>0</v>
      </c>
      <c r="ET26" s="749">
        <f t="shared" si="12"/>
        <v>0</v>
      </c>
      <c r="EU26" s="750">
        <f t="shared" si="13"/>
        <v>0</v>
      </c>
      <c r="EV26" s="749" t="str">
        <f t="shared" si="14"/>
        <v/>
      </c>
      <c r="EW26" s="751">
        <f t="shared" si="29"/>
        <v>46119</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15</v>
      </c>
      <c r="GA26" s="129">
        <f t="shared" si="39"/>
        <v>2026</v>
      </c>
      <c r="GB26" s="129" t="str">
        <f t="shared" si="40"/>
        <v>152026</v>
      </c>
      <c r="GC26" s="223">
        <f>IF(AND($GD$53=S.CAL!$P$3,$GD$52=FZ26),GE26,IF(BH26="",0,BH26))</f>
        <v>0</v>
      </c>
      <c r="GD26" s="129" t="str">
        <f>IFERROR(+Mai!$BY$2&amp;BL26&amp;BM26,0)</f>
        <v>Fiche infoA2</v>
      </c>
      <c r="GE26" s="129" t="str">
        <f t="shared" si="19"/>
        <v/>
      </c>
      <c r="GF26" s="223" t="str">
        <f t="shared" si="41"/>
        <v/>
      </c>
      <c r="GG26" s="1446" t="str">
        <f>+'Retenue Avril'!D24</f>
        <v/>
      </c>
      <c r="GH26" s="1446">
        <f>IF(Identification!$B$132="Non",+'Retenue Avril'!BF24,+'Retenue Avril'!BE24)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46120</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46120</v>
      </c>
      <c r="AX27" s="1761"/>
      <c r="AY27" s="314"/>
      <c r="AZ27" s="1104"/>
      <c r="BA27" s="973"/>
      <c r="BB27" s="543"/>
      <c r="BC27" s="548">
        <f t="shared" si="23"/>
        <v>0</v>
      </c>
      <c r="BD27" s="1104"/>
      <c r="BE27" s="807">
        <f t="shared" si="24"/>
        <v>0</v>
      </c>
      <c r="BF27" s="1128"/>
      <c r="BG27" s="222"/>
      <c r="BH27" s="548" t="str">
        <f t="shared" si="25"/>
        <v/>
      </c>
      <c r="BI27" s="1128"/>
      <c r="BJ27" s="129" t="str">
        <f t="shared" si="26"/>
        <v>Fiche infoA3</v>
      </c>
      <c r="BK27" s="129">
        <f t="shared" si="49"/>
        <v>15</v>
      </c>
      <c r="BL27" s="129" t="str">
        <f t="shared" si="4"/>
        <v>A</v>
      </c>
      <c r="BM27" s="129">
        <f t="shared" si="50"/>
        <v>3</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46120</v>
      </c>
      <c r="ER27" s="749">
        <f t="shared" si="10"/>
        <v>0</v>
      </c>
      <c r="ES27" s="750">
        <f t="shared" si="11"/>
        <v>0</v>
      </c>
      <c r="ET27" s="749">
        <f t="shared" si="12"/>
        <v>0</v>
      </c>
      <c r="EU27" s="750">
        <f t="shared" si="13"/>
        <v>0</v>
      </c>
      <c r="EV27" s="749" t="str">
        <f t="shared" si="14"/>
        <v/>
      </c>
      <c r="EW27" s="751">
        <f t="shared" si="29"/>
        <v>46120</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15</v>
      </c>
      <c r="GA27" s="129">
        <f t="shared" si="39"/>
        <v>2026</v>
      </c>
      <c r="GB27" s="129" t="str">
        <f t="shared" si="40"/>
        <v>152026</v>
      </c>
      <c r="GC27" s="223">
        <f>IF(AND($GD$53=S.CAL!$P$3,$GD$52=FZ27),GE27,IF(BH27="",0,BH27))</f>
        <v>0</v>
      </c>
      <c r="GD27" s="129" t="str">
        <f>IFERROR(+Mai!$BY$2&amp;BL27&amp;BM27,0)</f>
        <v>Fiche infoA3</v>
      </c>
      <c r="GE27" s="129" t="str">
        <f t="shared" si="19"/>
        <v/>
      </c>
      <c r="GF27" s="223" t="str">
        <f t="shared" si="41"/>
        <v/>
      </c>
      <c r="GG27" s="1446" t="str">
        <f>+'Retenue Avril'!D25</f>
        <v/>
      </c>
      <c r="GH27" s="1446">
        <f>IF(Identification!$B$132="Non",+'Retenue Avril'!BF25,+'Retenue Avril'!BE25)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46121</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46121</v>
      </c>
      <c r="AX28" s="1761"/>
      <c r="AY28" s="314"/>
      <c r="AZ28" s="1104"/>
      <c r="BA28" s="973"/>
      <c r="BB28" s="543"/>
      <c r="BC28" s="548">
        <f t="shared" si="23"/>
        <v>0</v>
      </c>
      <c r="BD28" s="1104"/>
      <c r="BE28" s="807">
        <f t="shared" si="24"/>
        <v>0</v>
      </c>
      <c r="BF28" s="1128"/>
      <c r="BG28" s="222"/>
      <c r="BH28" s="548" t="str">
        <f t="shared" si="25"/>
        <v/>
      </c>
      <c r="BI28" s="1128"/>
      <c r="BJ28" s="129" t="str">
        <f t="shared" si="26"/>
        <v>Fiche infoA4</v>
      </c>
      <c r="BK28" s="129">
        <f t="shared" si="49"/>
        <v>15</v>
      </c>
      <c r="BL28" s="129" t="str">
        <f t="shared" si="4"/>
        <v>A</v>
      </c>
      <c r="BM28" s="129">
        <f t="shared" si="50"/>
        <v>4</v>
      </c>
      <c r="BN28" s="223" t="str">
        <f t="shared" si="60"/>
        <v>Fiche info</v>
      </c>
      <c r="BO28" s="314" t="str">
        <f t="shared" si="51"/>
        <v/>
      </c>
      <c r="BP28" s="196" t="str">
        <f t="shared" si="52"/>
        <v/>
      </c>
      <c r="BQ28" s="196"/>
      <c r="BS28" s="2100" t="str">
        <f>+"Semaine numéro : "&amp;AT4</f>
        <v>Semaine numéro : 14</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+SUMIF(Mars!$BK$20:$BK$50,AT4,Mars!$AM$20:$AO$50)</f>
        <v>0</v>
      </c>
      <c r="CD28" s="196">
        <f>+SUMIF(Mai!$BK$20:$BK$50,AT4,Mai!$AM$20:$AO$50)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46121</v>
      </c>
      <c r="ER28" s="749">
        <f t="shared" si="10"/>
        <v>0</v>
      </c>
      <c r="ES28" s="750">
        <f t="shared" si="11"/>
        <v>0</v>
      </c>
      <c r="ET28" s="749">
        <f t="shared" si="12"/>
        <v>0</v>
      </c>
      <c r="EU28" s="750">
        <f t="shared" si="13"/>
        <v>0</v>
      </c>
      <c r="EV28" s="749" t="str">
        <f t="shared" si="14"/>
        <v/>
      </c>
      <c r="EW28" s="751">
        <f t="shared" si="29"/>
        <v>46121</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15</v>
      </c>
      <c r="GA28" s="129">
        <f t="shared" si="39"/>
        <v>2026</v>
      </c>
      <c r="GB28" s="129" t="str">
        <f t="shared" si="40"/>
        <v>152026</v>
      </c>
      <c r="GC28" s="223">
        <f>IF(AND($GD$53=S.CAL!$P$3,$GD$52=FZ28),GE28,IF(BH28="",0,BH28))</f>
        <v>0</v>
      </c>
      <c r="GD28" s="129" t="str">
        <f>IFERROR(+Mai!$BY$2&amp;BL28&amp;BM28,0)</f>
        <v>Fiche infoA4</v>
      </c>
      <c r="GE28" s="129" t="str">
        <f t="shared" si="19"/>
        <v/>
      </c>
      <c r="GF28" s="223" t="str">
        <f t="shared" si="41"/>
        <v/>
      </c>
      <c r="GG28" s="1446" t="str">
        <f>+'Retenue Avril'!D26</f>
        <v/>
      </c>
      <c r="GH28" s="1446">
        <f>IF(Identification!$B$132="Non",+'Retenue Avril'!BF26,+'Retenue Avril'!BE26)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46122</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46122</v>
      </c>
      <c r="AX29" s="1761"/>
      <c r="AY29" s="314"/>
      <c r="AZ29" s="1104"/>
      <c r="BA29" s="973"/>
      <c r="BB29" s="543"/>
      <c r="BC29" s="548">
        <f t="shared" si="23"/>
        <v>0</v>
      </c>
      <c r="BD29" s="1104"/>
      <c r="BE29" s="807">
        <f t="shared" si="24"/>
        <v>0</v>
      </c>
      <c r="BF29" s="1128"/>
      <c r="BG29" s="222"/>
      <c r="BH29" s="548" t="str">
        <f t="shared" si="25"/>
        <v/>
      </c>
      <c r="BI29" s="1128"/>
      <c r="BJ29" s="129" t="str">
        <f t="shared" si="26"/>
        <v>Fiche infoA5</v>
      </c>
      <c r="BK29" s="129">
        <f t="shared" si="49"/>
        <v>15</v>
      </c>
      <c r="BL29" s="129" t="str">
        <f t="shared" si="4"/>
        <v>A</v>
      </c>
      <c r="BM29" s="129">
        <f t="shared" si="50"/>
        <v>5</v>
      </c>
      <c r="BN29" s="223" t="str">
        <f t="shared" si="60"/>
        <v>Fiche info</v>
      </c>
      <c r="BO29" s="314" t="str">
        <f t="shared" si="51"/>
        <v/>
      </c>
      <c r="BP29" s="196" t="str">
        <f t="shared" si="52"/>
        <v/>
      </c>
      <c r="BQ29" s="196"/>
      <c r="BS29" s="2100" t="str">
        <f t="shared" ref="BS29:BS33" si="64">+"Semaine numéro : "&amp;AT5</f>
        <v>Semaine numéro : 15</v>
      </c>
      <c r="BT29" s="2101"/>
      <c r="BU29" s="2101"/>
      <c r="BV29" s="2101"/>
      <c r="BW29" s="2101"/>
      <c r="BX29" s="2102"/>
      <c r="BY29" s="1115"/>
      <c r="BZ29" s="656">
        <f t="shared" ref="BZ29:BZ33" si="65">+IF(BY29="",IF(AND(CC29&gt;0,CB29&gt;0),CC29+CB29,IF(CD29&gt;0,0,CB29)),BY29)</f>
        <v>0</v>
      </c>
      <c r="CA29" s="655">
        <f t="shared" si="62"/>
        <v>0</v>
      </c>
      <c r="CB29" s="196">
        <f t="shared" si="63"/>
        <v>0</v>
      </c>
      <c r="CC29" s="196">
        <f>+SUMIF(Mars!$BK$20:$BK$50,AT5,Mars!$AM$20:$AO$50)</f>
        <v>0</v>
      </c>
      <c r="CD29" s="196">
        <f>+SUMIF(Mai!$BK$20:$BK$50,AT5,Mai!$AM$20:$AO$50)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46122</v>
      </c>
      <c r="ER29" s="749">
        <f t="shared" si="10"/>
        <v>0</v>
      </c>
      <c r="ES29" s="750">
        <f t="shared" si="11"/>
        <v>0</v>
      </c>
      <c r="ET29" s="749">
        <f t="shared" si="12"/>
        <v>0</v>
      </c>
      <c r="EU29" s="750">
        <f t="shared" si="13"/>
        <v>0</v>
      </c>
      <c r="EV29" s="749" t="str">
        <f t="shared" si="14"/>
        <v/>
      </c>
      <c r="EW29" s="751">
        <f t="shared" si="29"/>
        <v>46122</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15</v>
      </c>
      <c r="GA29" s="129">
        <f t="shared" si="39"/>
        <v>2026</v>
      </c>
      <c r="GB29" s="129" t="str">
        <f t="shared" si="40"/>
        <v>152026</v>
      </c>
      <c r="GC29" s="223">
        <f>IF(AND($GD$53=S.CAL!$P$3,$GD$52=FZ29),GE29,IF(BH29="",0,BH29))</f>
        <v>0</v>
      </c>
      <c r="GD29" s="129" t="str">
        <f>IFERROR(+Mai!$BY$2&amp;BL29&amp;BM29,0)</f>
        <v>Fiche infoA5</v>
      </c>
      <c r="GE29" s="129" t="str">
        <f t="shared" si="19"/>
        <v/>
      </c>
      <c r="GF29" s="223" t="str">
        <f t="shared" si="41"/>
        <v/>
      </c>
      <c r="GG29" s="1446" t="str">
        <f>+'Retenue Avril'!D27</f>
        <v/>
      </c>
      <c r="GH29" s="1446">
        <f>IF(Identification!$B$132="Non",+'Retenue Avril'!BF27,+'Retenue Avril'!BE27)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46123</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46123</v>
      </c>
      <c r="AX30" s="1761"/>
      <c r="AY30" s="314"/>
      <c r="AZ30" s="1104"/>
      <c r="BA30" s="973"/>
      <c r="BB30" s="543"/>
      <c r="BC30" s="548">
        <f t="shared" si="23"/>
        <v>0</v>
      </c>
      <c r="BD30" s="1104"/>
      <c r="BE30" s="807">
        <f t="shared" si="24"/>
        <v>0</v>
      </c>
      <c r="BF30" s="1128"/>
      <c r="BG30" s="222"/>
      <c r="BH30" s="548" t="str">
        <f t="shared" si="25"/>
        <v/>
      </c>
      <c r="BI30" s="1128"/>
      <c r="BJ30" s="129" t="str">
        <f t="shared" si="26"/>
        <v>Fiche infoA6</v>
      </c>
      <c r="BK30" s="129">
        <f t="shared" si="49"/>
        <v>15</v>
      </c>
      <c r="BL30" s="129" t="str">
        <f t="shared" si="4"/>
        <v>A</v>
      </c>
      <c r="BM30" s="129">
        <f t="shared" si="50"/>
        <v>6</v>
      </c>
      <c r="BN30" s="223" t="str">
        <f t="shared" si="60"/>
        <v>Fiche info</v>
      </c>
      <c r="BO30" s="314" t="str">
        <f t="shared" si="51"/>
        <v/>
      </c>
      <c r="BP30" s="196" t="str">
        <f t="shared" si="52"/>
        <v/>
      </c>
      <c r="BQ30" s="196"/>
      <c r="BS30" s="2100" t="str">
        <f t="shared" si="64"/>
        <v>Semaine numéro : 16</v>
      </c>
      <c r="BT30" s="2101"/>
      <c r="BU30" s="2101"/>
      <c r="BV30" s="2101"/>
      <c r="BW30" s="2101"/>
      <c r="BX30" s="2102"/>
      <c r="BY30" s="1115"/>
      <c r="BZ30" s="656">
        <f t="shared" si="65"/>
        <v>0</v>
      </c>
      <c r="CA30" s="655">
        <f t="shared" si="62"/>
        <v>0</v>
      </c>
      <c r="CB30" s="196">
        <f t="shared" si="63"/>
        <v>0</v>
      </c>
      <c r="CC30" s="196">
        <f>+SUMIF(Mars!$BK$20:$BK$50,AT6,Mars!$AM$20:$AO$50)</f>
        <v>0</v>
      </c>
      <c r="CD30" s="196">
        <f>+SUMIF(Mai!$BK$20:$BK$50,AT6,Mai!$AM$20:$AO$50)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46123</v>
      </c>
      <c r="ER30" s="749">
        <f t="shared" si="10"/>
        <v>0</v>
      </c>
      <c r="ES30" s="750">
        <f t="shared" si="11"/>
        <v>0</v>
      </c>
      <c r="ET30" s="749">
        <f t="shared" si="12"/>
        <v>0</v>
      </c>
      <c r="EU30" s="750">
        <f t="shared" si="13"/>
        <v>0</v>
      </c>
      <c r="EV30" s="749" t="str">
        <f t="shared" si="14"/>
        <v/>
      </c>
      <c r="EW30" s="751">
        <f t="shared" si="29"/>
        <v>46123</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15</v>
      </c>
      <c r="GA30" s="129">
        <f t="shared" si="39"/>
        <v>2026</v>
      </c>
      <c r="GB30" s="129" t="str">
        <f t="shared" si="40"/>
        <v>152026</v>
      </c>
      <c r="GC30" s="223">
        <f>IF(AND($GD$53=S.CAL!$P$3,$GD$52=FZ30),GE30,IF(BH30="",0,BH30))</f>
        <v>0</v>
      </c>
      <c r="GD30" s="129" t="str">
        <f>IFERROR(+Mai!$BY$2&amp;BL30&amp;BM30,0)</f>
        <v>Fiche infoA6</v>
      </c>
      <c r="GE30" s="129" t="str">
        <f t="shared" si="19"/>
        <v/>
      </c>
      <c r="GF30" s="223" t="str">
        <f t="shared" si="41"/>
        <v/>
      </c>
      <c r="GG30" s="1446" t="str">
        <f>+'Retenue Avril'!D28</f>
        <v/>
      </c>
      <c r="GH30" s="1446">
        <f>IF(Identification!$B$132="Non",+'Retenue Avril'!BF28,+'Retenue Avril'!BE28)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46124</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46124</v>
      </c>
      <c r="AX31" s="1761"/>
      <c r="AY31" s="314"/>
      <c r="AZ31" s="1104"/>
      <c r="BA31" s="973"/>
      <c r="BB31" s="543"/>
      <c r="BC31" s="548">
        <f t="shared" si="23"/>
        <v>0</v>
      </c>
      <c r="BD31" s="1104"/>
      <c r="BE31" s="807">
        <f t="shared" si="24"/>
        <v>0</v>
      </c>
      <c r="BF31" s="1128"/>
      <c r="BG31" s="222"/>
      <c r="BH31" s="548" t="str">
        <f t="shared" si="25"/>
        <v/>
      </c>
      <c r="BI31" s="1128"/>
      <c r="BJ31" s="129" t="str">
        <f t="shared" si="26"/>
        <v>Fiche infoA7</v>
      </c>
      <c r="BK31" s="129">
        <f t="shared" si="49"/>
        <v>15</v>
      </c>
      <c r="BL31" s="129" t="str">
        <f t="shared" si="4"/>
        <v>A</v>
      </c>
      <c r="BM31" s="129">
        <f t="shared" si="50"/>
        <v>7</v>
      </c>
      <c r="BN31" s="223" t="str">
        <f t="shared" si="60"/>
        <v>Fiche info</v>
      </c>
      <c r="BO31" s="314" t="str">
        <f t="shared" si="51"/>
        <v/>
      </c>
      <c r="BP31" s="196" t="str">
        <f t="shared" si="52"/>
        <v/>
      </c>
      <c r="BQ31" s="196"/>
      <c r="BS31" s="2100" t="str">
        <f t="shared" si="64"/>
        <v>Semaine numéro : 17</v>
      </c>
      <c r="BT31" s="2101"/>
      <c r="BU31" s="2101"/>
      <c r="BV31" s="2101"/>
      <c r="BW31" s="2101"/>
      <c r="BX31" s="2102"/>
      <c r="BY31" s="1115"/>
      <c r="BZ31" s="656">
        <f t="shared" si="65"/>
        <v>0</v>
      </c>
      <c r="CA31" s="655">
        <f t="shared" si="62"/>
        <v>0</v>
      </c>
      <c r="CB31" s="196">
        <f t="shared" si="63"/>
        <v>0</v>
      </c>
      <c r="CC31" s="196">
        <f>+SUMIF(Mars!$BK$20:$BK$50,AT7,Mars!$AM$20:$AO$50)</f>
        <v>0</v>
      </c>
      <c r="CD31" s="196">
        <f>+SUMIF(Mai!$BK$20:$BK$50,AT7,Mai!$AM$20:$AO$50)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46124</v>
      </c>
      <c r="ER31" s="749">
        <f t="shared" si="10"/>
        <v>0</v>
      </c>
      <c r="ES31" s="750">
        <f t="shared" si="11"/>
        <v>0</v>
      </c>
      <c r="ET31" s="749">
        <f t="shared" si="12"/>
        <v>0</v>
      </c>
      <c r="EU31" s="750">
        <f t="shared" si="13"/>
        <v>0</v>
      </c>
      <c r="EV31" s="749" t="str">
        <f t="shared" si="14"/>
        <v/>
      </c>
      <c r="EW31" s="751">
        <f t="shared" si="29"/>
        <v>46124</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15</v>
      </c>
      <c r="GA31" s="129">
        <f t="shared" si="39"/>
        <v>2026</v>
      </c>
      <c r="GB31" s="129" t="str">
        <f t="shared" si="40"/>
        <v>152026</v>
      </c>
      <c r="GC31" s="223">
        <f>IF(AND($GD$53=S.CAL!$P$3,$GD$52=FZ31),GE31,IF(BH31="",0,BH31))</f>
        <v>0</v>
      </c>
      <c r="GD31" s="129" t="str">
        <f>IFERROR(+Mai!$BY$2&amp;BL31&amp;BM31,0)</f>
        <v>Fiche infoA7</v>
      </c>
      <c r="GE31" s="129" t="str">
        <f t="shared" si="19"/>
        <v/>
      </c>
      <c r="GF31" s="223" t="str">
        <f t="shared" si="41"/>
        <v/>
      </c>
      <c r="GG31" s="1446" t="str">
        <f>+'Retenue Avril'!D29</f>
        <v/>
      </c>
      <c r="GH31" s="1446">
        <f>IF(Identification!$B$132="Non",+'Retenue Avril'!BF29,+'Retenue Avril'!BE29)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46125</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f t="shared" si="48"/>
        <v>16</v>
      </c>
      <c r="AQ32" s="322"/>
      <c r="AR32" s="1104"/>
      <c r="AS32" s="314">
        <f t="shared" si="3"/>
        <v>0</v>
      </c>
      <c r="AT32" s="1125"/>
      <c r="AU32" s="1125"/>
      <c r="AV32" s="314"/>
      <c r="AW32" s="1791">
        <f t="shared" si="22"/>
        <v>46125</v>
      </c>
      <c r="AX32" s="1761"/>
      <c r="AY32" s="314"/>
      <c r="AZ32" s="1104"/>
      <c r="BA32" s="973"/>
      <c r="BB32" s="543"/>
      <c r="BC32" s="548">
        <f t="shared" si="23"/>
        <v>0</v>
      </c>
      <c r="BD32" s="1104"/>
      <c r="BE32" s="807">
        <f t="shared" si="24"/>
        <v>0</v>
      </c>
      <c r="BF32" s="1128"/>
      <c r="BG32" s="222"/>
      <c r="BH32" s="548" t="str">
        <f t="shared" si="25"/>
        <v/>
      </c>
      <c r="BI32" s="1128"/>
      <c r="BJ32" s="129" t="str">
        <f t="shared" si="26"/>
        <v>Fiche infoA1</v>
      </c>
      <c r="BK32" s="129">
        <f t="shared" si="49"/>
        <v>16</v>
      </c>
      <c r="BL32" s="129" t="str">
        <f t="shared" si="4"/>
        <v>A</v>
      </c>
      <c r="BM32" s="129">
        <f t="shared" si="50"/>
        <v>1</v>
      </c>
      <c r="BN32" s="223" t="str">
        <f t="shared" si="60"/>
        <v>Fiche info</v>
      </c>
      <c r="BO32" s="314" t="str">
        <f t="shared" si="51"/>
        <v/>
      </c>
      <c r="BP32" s="196" t="str">
        <f t="shared" si="52"/>
        <v/>
      </c>
      <c r="BQ32" s="196"/>
      <c r="BS32" s="2100" t="str">
        <f t="shared" si="64"/>
        <v>Semaine numéro : 18</v>
      </c>
      <c r="BT32" s="2101"/>
      <c r="BU32" s="2101"/>
      <c r="BV32" s="2101"/>
      <c r="BW32" s="2101"/>
      <c r="BX32" s="2102"/>
      <c r="BY32" s="1115"/>
      <c r="BZ32" s="656">
        <f t="shared" si="65"/>
        <v>0</v>
      </c>
      <c r="CA32" s="655">
        <f t="shared" si="62"/>
        <v>0</v>
      </c>
      <c r="CB32" s="196">
        <f t="shared" si="63"/>
        <v>0</v>
      </c>
      <c r="CC32" s="196">
        <f>+SUMIF(Mars!$BK$20:$BK$50,AT8,Mars!$AM$20:$AO$50)</f>
        <v>0</v>
      </c>
      <c r="CD32" s="196">
        <f>+SUMIF(Mai!$BK$20:$BK$50,AT8,Mai!$AM$20:$AO$50)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46125</v>
      </c>
      <c r="ER32" s="749">
        <f t="shared" si="10"/>
        <v>0</v>
      </c>
      <c r="ES32" s="750">
        <f t="shared" si="11"/>
        <v>0</v>
      </c>
      <c r="ET32" s="749">
        <f t="shared" si="12"/>
        <v>0</v>
      </c>
      <c r="EU32" s="750">
        <f t="shared" si="13"/>
        <v>0</v>
      </c>
      <c r="EV32" s="749" t="str">
        <f t="shared" si="14"/>
        <v/>
      </c>
      <c r="EW32" s="751">
        <f t="shared" si="29"/>
        <v>46125</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16</v>
      </c>
      <c r="GA32" s="129">
        <f t="shared" si="39"/>
        <v>2026</v>
      </c>
      <c r="GB32" s="129" t="str">
        <f t="shared" si="40"/>
        <v>162026</v>
      </c>
      <c r="GC32" s="223">
        <f>IF(AND($GD$53=S.CAL!$P$3,$GD$52=FZ32),GE32,IF(BH32="",0,BH32))</f>
        <v>0</v>
      </c>
      <c r="GD32" s="129" t="str">
        <f>IFERROR(+Mai!$BY$2&amp;BL32&amp;BM32,0)</f>
        <v>Fiche infoA1</v>
      </c>
      <c r="GE32" s="129" t="str">
        <f t="shared" si="19"/>
        <v/>
      </c>
      <c r="GF32" s="223" t="str">
        <f t="shared" si="41"/>
        <v/>
      </c>
      <c r="GG32" s="1446" t="str">
        <f>+'Retenue Avril'!D30</f>
        <v/>
      </c>
      <c r="GH32" s="1446">
        <f>IF(Identification!$B$132="Non",+'Retenue Avril'!BF30,+'Retenue Avril'!BE30)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46126</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46126</v>
      </c>
      <c r="AX33" s="1761"/>
      <c r="AY33" s="314"/>
      <c r="AZ33" s="1104"/>
      <c r="BA33" s="973"/>
      <c r="BB33" s="543"/>
      <c r="BC33" s="548">
        <f t="shared" si="23"/>
        <v>0</v>
      </c>
      <c r="BD33" s="1104"/>
      <c r="BE33" s="807">
        <f t="shared" si="24"/>
        <v>0</v>
      </c>
      <c r="BF33" s="1128"/>
      <c r="BG33" s="222"/>
      <c r="BH33" s="548" t="str">
        <f t="shared" si="25"/>
        <v/>
      </c>
      <c r="BI33" s="1128"/>
      <c r="BJ33" s="129" t="str">
        <f t="shared" si="26"/>
        <v>Fiche infoA2</v>
      </c>
      <c r="BK33" s="129">
        <f t="shared" si="49"/>
        <v>16</v>
      </c>
      <c r="BL33" s="129" t="str">
        <f t="shared" si="4"/>
        <v>A</v>
      </c>
      <c r="BM33" s="129">
        <f t="shared" si="50"/>
        <v>2</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+SUMIF(Mars!$BK$20:$BK$50,AT9,Mars!$AM$20:$AO$50)</f>
        <v>0</v>
      </c>
      <c r="CD33" s="196">
        <f>+SUMIF(Mai!$BK$20:$BK$50,AT9,Mai!$AM$20:$AO$50)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46126</v>
      </c>
      <c r="ER33" s="749">
        <f t="shared" si="10"/>
        <v>0</v>
      </c>
      <c r="ES33" s="750">
        <f t="shared" si="11"/>
        <v>0</v>
      </c>
      <c r="ET33" s="749">
        <f t="shared" si="12"/>
        <v>0</v>
      </c>
      <c r="EU33" s="750">
        <f t="shared" si="13"/>
        <v>0</v>
      </c>
      <c r="EV33" s="749" t="str">
        <f t="shared" si="14"/>
        <v/>
      </c>
      <c r="EW33" s="751">
        <f t="shared" si="29"/>
        <v>46126</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16</v>
      </c>
      <c r="GA33" s="129">
        <f t="shared" si="39"/>
        <v>2026</v>
      </c>
      <c r="GB33" s="129" t="str">
        <f t="shared" si="40"/>
        <v>162026</v>
      </c>
      <c r="GC33" s="223">
        <f>IF(AND($GD$53=S.CAL!$P$3,$GD$52=FZ33),GE33,IF(BH33="",0,BH33))</f>
        <v>0</v>
      </c>
      <c r="GD33" s="129" t="str">
        <f>IFERROR(+Mai!$BY$2&amp;BL33&amp;BM33,0)</f>
        <v>Fiche infoA2</v>
      </c>
      <c r="GE33" s="129" t="str">
        <f t="shared" si="19"/>
        <v/>
      </c>
      <c r="GF33" s="223" t="str">
        <f t="shared" si="41"/>
        <v/>
      </c>
      <c r="GG33" s="1446" t="str">
        <f>+'Retenue Avril'!D31</f>
        <v/>
      </c>
      <c r="GH33" s="1446">
        <f>IF(Identification!$B$132="Non",+'Retenue Avril'!BF31,+'Retenue Avril'!BE31)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46127</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46127</v>
      </c>
      <c r="AX34" s="1761"/>
      <c r="AY34" s="314"/>
      <c r="AZ34" s="1104"/>
      <c r="BA34" s="973"/>
      <c r="BB34" s="543"/>
      <c r="BC34" s="548">
        <f t="shared" si="23"/>
        <v>0</v>
      </c>
      <c r="BD34" s="1104"/>
      <c r="BE34" s="807">
        <f t="shared" si="24"/>
        <v>0</v>
      </c>
      <c r="BF34" s="1128"/>
      <c r="BG34" s="222"/>
      <c r="BH34" s="548" t="str">
        <f t="shared" si="25"/>
        <v/>
      </c>
      <c r="BI34" s="1128"/>
      <c r="BJ34" s="129" t="str">
        <f t="shared" si="26"/>
        <v>Fiche infoA3</v>
      </c>
      <c r="BK34" s="129">
        <f t="shared" si="49"/>
        <v>16</v>
      </c>
      <c r="BL34" s="129" t="str">
        <f t="shared" si="4"/>
        <v>A</v>
      </c>
      <c r="BM34" s="129">
        <f t="shared" si="50"/>
        <v>3</v>
      </c>
      <c r="BN34" s="223" t="str">
        <f t="shared" si="60"/>
        <v>Fiche info</v>
      </c>
      <c r="BO34" s="314" t="str">
        <f t="shared" si="51"/>
        <v/>
      </c>
      <c r="BP34" s="196" t="str">
        <f t="shared" si="52"/>
        <v/>
      </c>
      <c r="BQ34" s="196"/>
      <c r="BZ34" s="658" t="s">
        <v>441</v>
      </c>
      <c r="CA34" s="659">
        <f>+IF(AND(DP14=1,OR(DP29="NON",DP29=0)),0,SUM(CA28:CA33))</f>
        <v>0</v>
      </c>
      <c r="CB34" s="447"/>
      <c r="CC34" s="447"/>
      <c r="CD34" s="447"/>
      <c r="CE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46127</v>
      </c>
      <c r="ER34" s="749">
        <f t="shared" si="10"/>
        <v>0</v>
      </c>
      <c r="ES34" s="750">
        <f t="shared" si="11"/>
        <v>0</v>
      </c>
      <c r="ET34" s="749">
        <f t="shared" si="12"/>
        <v>0</v>
      </c>
      <c r="EU34" s="750">
        <f t="shared" si="13"/>
        <v>0</v>
      </c>
      <c r="EV34" s="749" t="str">
        <f t="shared" si="14"/>
        <v/>
      </c>
      <c r="EW34" s="751">
        <f t="shared" si="29"/>
        <v>46127</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16</v>
      </c>
      <c r="GA34" s="129">
        <f t="shared" si="39"/>
        <v>2026</v>
      </c>
      <c r="GB34" s="129" t="str">
        <f t="shared" si="40"/>
        <v>162026</v>
      </c>
      <c r="GC34" s="223">
        <f>IF(AND($GD$53=S.CAL!$P$3,$GD$52=FZ34),GE34,IF(BH34="",0,BH34))</f>
        <v>0</v>
      </c>
      <c r="GD34" s="129" t="str">
        <f>IFERROR(+Mai!$BY$2&amp;BL34&amp;BM34,0)</f>
        <v>Fiche infoA3</v>
      </c>
      <c r="GE34" s="129" t="str">
        <f t="shared" si="19"/>
        <v/>
      </c>
      <c r="GF34" s="223" t="str">
        <f t="shared" si="41"/>
        <v/>
      </c>
      <c r="GG34" s="1446" t="str">
        <f>+'Retenue Avril'!D32</f>
        <v/>
      </c>
      <c r="GH34" s="1446">
        <f>IF(Identification!$B$132="Non",+'Retenue Avril'!BF32,+'Retenue Avril'!BE32)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46128</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46128</v>
      </c>
      <c r="AX35" s="1761"/>
      <c r="AY35" s="314"/>
      <c r="AZ35" s="1104"/>
      <c r="BA35" s="973"/>
      <c r="BB35" s="543"/>
      <c r="BC35" s="548">
        <f t="shared" si="23"/>
        <v>0</v>
      </c>
      <c r="BD35" s="1104"/>
      <c r="BE35" s="807">
        <f t="shared" si="24"/>
        <v>0</v>
      </c>
      <c r="BF35" s="1128"/>
      <c r="BG35" s="222"/>
      <c r="BH35" s="548" t="str">
        <f t="shared" si="25"/>
        <v/>
      </c>
      <c r="BI35" s="1128"/>
      <c r="BJ35" s="129" t="str">
        <f t="shared" si="26"/>
        <v>Fiche infoA4</v>
      </c>
      <c r="BK35" s="129">
        <f t="shared" si="49"/>
        <v>16</v>
      </c>
      <c r="BL35" s="129" t="str">
        <f t="shared" si="4"/>
        <v>A</v>
      </c>
      <c r="BM35" s="129">
        <f t="shared" si="50"/>
        <v>4</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46128</v>
      </c>
      <c r="ER35" s="749">
        <f t="shared" si="10"/>
        <v>0</v>
      </c>
      <c r="ES35" s="750">
        <f t="shared" si="11"/>
        <v>0</v>
      </c>
      <c r="ET35" s="749">
        <f t="shared" si="12"/>
        <v>0</v>
      </c>
      <c r="EU35" s="750">
        <f t="shared" si="13"/>
        <v>0</v>
      </c>
      <c r="EV35" s="749" t="str">
        <f t="shared" si="14"/>
        <v/>
      </c>
      <c r="EW35" s="751">
        <f t="shared" si="29"/>
        <v>46128</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16</v>
      </c>
      <c r="GA35" s="129">
        <f t="shared" si="39"/>
        <v>2026</v>
      </c>
      <c r="GB35" s="129" t="str">
        <f t="shared" si="40"/>
        <v>162026</v>
      </c>
      <c r="GC35" s="223">
        <f>IF(AND($GD$53=S.CAL!$P$3,$GD$52=FZ35),GE35,IF(BH35="",0,BH35))</f>
        <v>0</v>
      </c>
      <c r="GD35" s="129" t="str">
        <f>IFERROR(+Mai!$BY$2&amp;BL35&amp;BM35,0)</f>
        <v>Fiche infoA4</v>
      </c>
      <c r="GE35" s="129" t="str">
        <f t="shared" si="19"/>
        <v/>
      </c>
      <c r="GF35" s="223" t="str">
        <f t="shared" si="41"/>
        <v/>
      </c>
      <c r="GG35" s="1446" t="str">
        <f>+'Retenue Avril'!D33</f>
        <v/>
      </c>
      <c r="GH35" s="1446">
        <f>IF(Identification!$B$132="Non",+'Retenue Avril'!BF33,+'Retenue Avril'!BE33)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46129</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46129</v>
      </c>
      <c r="AX36" s="1761"/>
      <c r="AY36" s="314"/>
      <c r="AZ36" s="1104"/>
      <c r="BA36" s="973"/>
      <c r="BB36" s="543"/>
      <c r="BC36" s="548">
        <f t="shared" si="23"/>
        <v>0</v>
      </c>
      <c r="BD36" s="1104"/>
      <c r="BE36" s="807">
        <f t="shared" si="24"/>
        <v>0</v>
      </c>
      <c r="BF36" s="1128"/>
      <c r="BG36" s="222"/>
      <c r="BH36" s="548" t="str">
        <f t="shared" si="25"/>
        <v/>
      </c>
      <c r="BI36" s="1128"/>
      <c r="BJ36" s="129" t="str">
        <f t="shared" si="26"/>
        <v>Fiche infoA5</v>
      </c>
      <c r="BK36" s="129">
        <f t="shared" si="49"/>
        <v>16</v>
      </c>
      <c r="BL36" s="129" t="str">
        <f t="shared" si="4"/>
        <v>A</v>
      </c>
      <c r="BM36" s="129">
        <f t="shared" si="50"/>
        <v>5</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46129</v>
      </c>
      <c r="ER36" s="749">
        <f t="shared" si="10"/>
        <v>0</v>
      </c>
      <c r="ES36" s="750">
        <f t="shared" si="11"/>
        <v>0</v>
      </c>
      <c r="ET36" s="749">
        <f t="shared" si="12"/>
        <v>0</v>
      </c>
      <c r="EU36" s="750">
        <f t="shared" si="13"/>
        <v>0</v>
      </c>
      <c r="EV36" s="749" t="str">
        <f t="shared" si="14"/>
        <v/>
      </c>
      <c r="EW36" s="751">
        <f t="shared" si="29"/>
        <v>46129</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16</v>
      </c>
      <c r="GA36" s="129">
        <f t="shared" si="39"/>
        <v>2026</v>
      </c>
      <c r="GB36" s="129" t="str">
        <f t="shared" si="40"/>
        <v>162026</v>
      </c>
      <c r="GC36" s="223">
        <f>IF(AND($GD$53=S.CAL!$P$3,$GD$52=FZ36),GE36,IF(BH36="",0,BH36))</f>
        <v>0</v>
      </c>
      <c r="GD36" s="129" t="str">
        <f>IFERROR(+Mai!$BY$2&amp;BL36&amp;BM36,0)</f>
        <v>Fiche infoA5</v>
      </c>
      <c r="GE36" s="129" t="str">
        <f t="shared" si="19"/>
        <v/>
      </c>
      <c r="GF36" s="223" t="str">
        <f t="shared" si="41"/>
        <v/>
      </c>
      <c r="GG36" s="1446" t="str">
        <f>+'Retenue Avril'!D34</f>
        <v/>
      </c>
      <c r="GH36" s="1446">
        <f>IF(Identification!$B$132="Non",+'Retenue Avril'!BF34,+'Retenue Avril'!BE34)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46130</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46130</v>
      </c>
      <c r="AX37" s="1761"/>
      <c r="AY37" s="314"/>
      <c r="AZ37" s="1104"/>
      <c r="BA37" s="973"/>
      <c r="BB37" s="543"/>
      <c r="BC37" s="548">
        <f t="shared" si="23"/>
        <v>0</v>
      </c>
      <c r="BD37" s="1104"/>
      <c r="BE37" s="807">
        <f t="shared" si="24"/>
        <v>0</v>
      </c>
      <c r="BF37" s="1128"/>
      <c r="BG37" s="222"/>
      <c r="BH37" s="548" t="str">
        <f t="shared" si="25"/>
        <v/>
      </c>
      <c r="BI37" s="1128"/>
      <c r="BJ37" s="129" t="str">
        <f t="shared" si="26"/>
        <v>Fiche infoA6</v>
      </c>
      <c r="BK37" s="129">
        <f t="shared" si="49"/>
        <v>16</v>
      </c>
      <c r="BL37" s="129" t="str">
        <f t="shared" si="4"/>
        <v>A</v>
      </c>
      <c r="BM37" s="129">
        <f t="shared" si="50"/>
        <v>6</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46130</v>
      </c>
      <c r="ER37" s="749">
        <f t="shared" si="10"/>
        <v>0</v>
      </c>
      <c r="ES37" s="750">
        <f t="shared" si="11"/>
        <v>0</v>
      </c>
      <c r="ET37" s="749">
        <f t="shared" si="12"/>
        <v>0</v>
      </c>
      <c r="EU37" s="750">
        <f t="shared" si="13"/>
        <v>0</v>
      </c>
      <c r="EV37" s="749" t="str">
        <f t="shared" si="14"/>
        <v/>
      </c>
      <c r="EW37" s="751">
        <f t="shared" si="29"/>
        <v>46130</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16</v>
      </c>
      <c r="GA37" s="129">
        <f t="shared" si="39"/>
        <v>2026</v>
      </c>
      <c r="GB37" s="129" t="str">
        <f t="shared" si="40"/>
        <v>162026</v>
      </c>
      <c r="GC37" s="223">
        <f>IF(AND($GD$53=S.CAL!$P$3,$GD$52=FZ37),GE37,IF(BH37="",0,BH37))</f>
        <v>0</v>
      </c>
      <c r="GD37" s="129" t="str">
        <f>IFERROR(+Mai!$BY$2&amp;BL37&amp;BM37,0)</f>
        <v>Fiche infoA6</v>
      </c>
      <c r="GE37" s="129" t="str">
        <f t="shared" si="19"/>
        <v/>
      </c>
      <c r="GF37" s="223" t="str">
        <f t="shared" si="41"/>
        <v/>
      </c>
      <c r="GG37" s="1446" t="str">
        <f>+'Retenue Avril'!D35</f>
        <v/>
      </c>
      <c r="GH37" s="1446">
        <f>IF(Identification!$B$132="Non",+'Retenue Avril'!BF35,+'Retenue Avril'!BE35)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46131</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46131</v>
      </c>
      <c r="AX38" s="1761"/>
      <c r="AY38" s="314"/>
      <c r="AZ38" s="1104"/>
      <c r="BA38" s="973"/>
      <c r="BB38" s="543"/>
      <c r="BC38" s="548">
        <f t="shared" si="23"/>
        <v>0</v>
      </c>
      <c r="BD38" s="1104"/>
      <c r="BE38" s="807">
        <f t="shared" si="24"/>
        <v>0</v>
      </c>
      <c r="BF38" s="1128"/>
      <c r="BG38" s="222"/>
      <c r="BH38" s="548" t="str">
        <f t="shared" si="25"/>
        <v/>
      </c>
      <c r="BI38" s="1128"/>
      <c r="BJ38" s="129" t="str">
        <f t="shared" si="26"/>
        <v>Fiche infoA7</v>
      </c>
      <c r="BK38" s="129">
        <f t="shared" si="49"/>
        <v>16</v>
      </c>
      <c r="BL38" s="129" t="str">
        <f t="shared" si="4"/>
        <v>A</v>
      </c>
      <c r="BM38" s="129">
        <f t="shared" si="50"/>
        <v>7</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46131</v>
      </c>
      <c r="ER38" s="749">
        <f t="shared" si="10"/>
        <v>0</v>
      </c>
      <c r="ES38" s="750">
        <f t="shared" si="11"/>
        <v>0</v>
      </c>
      <c r="ET38" s="749">
        <f t="shared" si="12"/>
        <v>0</v>
      </c>
      <c r="EU38" s="750">
        <f t="shared" si="13"/>
        <v>0</v>
      </c>
      <c r="EV38" s="749" t="str">
        <f t="shared" si="14"/>
        <v/>
      </c>
      <c r="EW38" s="751">
        <f t="shared" si="29"/>
        <v>46131</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16</v>
      </c>
      <c r="GA38" s="129">
        <f t="shared" si="39"/>
        <v>2026</v>
      </c>
      <c r="GB38" s="129" t="str">
        <f t="shared" si="40"/>
        <v>162026</v>
      </c>
      <c r="GC38" s="223">
        <f>IF(AND($GD$53=S.CAL!$P$3,$GD$52=FZ38),GE38,IF(BH38="",0,BH38))</f>
        <v>0</v>
      </c>
      <c r="GD38" s="129" t="str">
        <f>IFERROR(+Mai!$BY$2&amp;BL38&amp;BM38,0)</f>
        <v>Fiche infoA7</v>
      </c>
      <c r="GE38" s="129" t="str">
        <f t="shared" si="19"/>
        <v/>
      </c>
      <c r="GF38" s="223" t="str">
        <f t="shared" si="41"/>
        <v/>
      </c>
      <c r="GG38" s="1446" t="str">
        <f>+'Retenue Avril'!D36</f>
        <v/>
      </c>
      <c r="GH38" s="1446">
        <f>IF(Identification!$B$132="Non",+'Retenue Avril'!BF36,+'Retenue Avril'!BE36)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46132</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f t="shared" si="48"/>
        <v>17</v>
      </c>
      <c r="AQ39" s="322"/>
      <c r="AR39" s="1104"/>
      <c r="AS39" s="314">
        <f t="shared" si="3"/>
        <v>0</v>
      </c>
      <c r="AT39" s="1125"/>
      <c r="AU39" s="1125"/>
      <c r="AV39" s="314"/>
      <c r="AW39" s="1791">
        <f t="shared" si="22"/>
        <v>46132</v>
      </c>
      <c r="AX39" s="1761"/>
      <c r="AY39" s="314"/>
      <c r="AZ39" s="1104"/>
      <c r="BA39" s="973"/>
      <c r="BB39" s="543"/>
      <c r="BC39" s="548">
        <f t="shared" si="23"/>
        <v>0</v>
      </c>
      <c r="BD39" s="1104"/>
      <c r="BE39" s="807">
        <f t="shared" si="24"/>
        <v>0</v>
      </c>
      <c r="BF39" s="1128"/>
      <c r="BG39" s="222"/>
      <c r="BH39" s="548" t="str">
        <f t="shared" si="25"/>
        <v/>
      </c>
      <c r="BI39" s="1128"/>
      <c r="BJ39" s="129" t="str">
        <f t="shared" si="26"/>
        <v>Fiche infoA1</v>
      </c>
      <c r="BK39" s="129">
        <f t="shared" si="49"/>
        <v>17</v>
      </c>
      <c r="BL39" s="129" t="str">
        <f t="shared" si="4"/>
        <v>A</v>
      </c>
      <c r="BM39" s="129">
        <f t="shared" si="50"/>
        <v>1</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46132</v>
      </c>
      <c r="ER39" s="749">
        <f t="shared" si="10"/>
        <v>0</v>
      </c>
      <c r="ES39" s="750">
        <f t="shared" si="11"/>
        <v>0</v>
      </c>
      <c r="ET39" s="749">
        <f t="shared" si="12"/>
        <v>0</v>
      </c>
      <c r="EU39" s="750">
        <f t="shared" si="13"/>
        <v>0</v>
      </c>
      <c r="EV39" s="749" t="str">
        <f t="shared" si="14"/>
        <v/>
      </c>
      <c r="EW39" s="751">
        <f t="shared" si="29"/>
        <v>46132</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17</v>
      </c>
      <c r="GA39" s="129">
        <f t="shared" si="39"/>
        <v>2026</v>
      </c>
      <c r="GB39" s="129" t="str">
        <f t="shared" si="40"/>
        <v>172026</v>
      </c>
      <c r="GC39" s="223">
        <f>IF(AND($GD$53=S.CAL!$P$3,$GD$52=FZ39),GE39,IF(BH39="",0,BH39))</f>
        <v>0</v>
      </c>
      <c r="GD39" s="129" t="str">
        <f>IFERROR(+Mai!$BY$2&amp;BL39&amp;BM39,0)</f>
        <v>Fiche infoA1</v>
      </c>
      <c r="GE39" s="129" t="str">
        <f t="shared" si="19"/>
        <v/>
      </c>
      <c r="GF39" s="223" t="str">
        <f t="shared" si="41"/>
        <v/>
      </c>
      <c r="GG39" s="1446" t="str">
        <f>+'Retenue Avril'!D37</f>
        <v/>
      </c>
      <c r="GH39" s="1446">
        <f>IF(Identification!$B$132="Non",+'Retenue Avril'!BF37,+'Retenue Avril'!BE37)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46133</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46133</v>
      </c>
      <c r="AX40" s="1761"/>
      <c r="AY40" s="314"/>
      <c r="AZ40" s="1104"/>
      <c r="BA40" s="973"/>
      <c r="BB40" s="543"/>
      <c r="BC40" s="548">
        <f t="shared" si="23"/>
        <v>0</v>
      </c>
      <c r="BD40" s="1104"/>
      <c r="BE40" s="807">
        <f t="shared" si="24"/>
        <v>0</v>
      </c>
      <c r="BF40" s="1128"/>
      <c r="BG40" s="222"/>
      <c r="BH40" s="548" t="str">
        <f t="shared" si="25"/>
        <v/>
      </c>
      <c r="BI40" s="1128"/>
      <c r="BJ40" s="129" t="str">
        <f t="shared" si="26"/>
        <v>Fiche infoA2</v>
      </c>
      <c r="BK40" s="129">
        <f t="shared" si="49"/>
        <v>17</v>
      </c>
      <c r="BL40" s="129" t="str">
        <f t="shared" si="4"/>
        <v>A</v>
      </c>
      <c r="BM40" s="129">
        <f t="shared" si="50"/>
        <v>2</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Avril'!P27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46133</v>
      </c>
      <c r="ER40" s="749">
        <f t="shared" si="10"/>
        <v>0</v>
      </c>
      <c r="ES40" s="750">
        <f t="shared" si="11"/>
        <v>0</v>
      </c>
      <c r="ET40" s="749">
        <f t="shared" si="12"/>
        <v>0</v>
      </c>
      <c r="EU40" s="750">
        <f t="shared" si="13"/>
        <v>0</v>
      </c>
      <c r="EV40" s="749" t="str">
        <f t="shared" si="14"/>
        <v/>
      </c>
      <c r="EW40" s="751">
        <f t="shared" si="29"/>
        <v>46133</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17</v>
      </c>
      <c r="GA40" s="129">
        <f t="shared" si="39"/>
        <v>2026</v>
      </c>
      <c r="GB40" s="129" t="str">
        <f t="shared" si="40"/>
        <v>172026</v>
      </c>
      <c r="GC40" s="223">
        <f>IF(AND($GD$53=S.CAL!$P$3,$GD$52=FZ40),GE40,IF(BH40="",0,BH40))</f>
        <v>0</v>
      </c>
      <c r="GD40" s="129" t="str">
        <f>IFERROR(+Mai!$BY$2&amp;BL40&amp;BM40,0)</f>
        <v>Fiche infoA2</v>
      </c>
      <c r="GE40" s="129" t="str">
        <f t="shared" si="19"/>
        <v/>
      </c>
      <c r="GF40" s="223" t="str">
        <f t="shared" si="41"/>
        <v/>
      </c>
      <c r="GG40" s="1446" t="str">
        <f>+'Retenue Avril'!D38</f>
        <v/>
      </c>
      <c r="GH40" s="1446">
        <f>IF(Identification!$B$132="Non",+'Retenue Avril'!BF38,+'Retenue Avril'!BE38)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46134</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46134</v>
      </c>
      <c r="AX41" s="1761"/>
      <c r="AY41" s="314"/>
      <c r="AZ41" s="1104"/>
      <c r="BA41" s="973"/>
      <c r="BB41" s="543"/>
      <c r="BC41" s="548">
        <f t="shared" si="23"/>
        <v>0</v>
      </c>
      <c r="BD41" s="1104"/>
      <c r="BE41" s="807">
        <f t="shared" si="24"/>
        <v>0</v>
      </c>
      <c r="BF41" s="1128"/>
      <c r="BG41" s="222"/>
      <c r="BH41" s="548" t="str">
        <f t="shared" si="25"/>
        <v/>
      </c>
      <c r="BI41" s="1128"/>
      <c r="BJ41" s="129" t="str">
        <f t="shared" si="26"/>
        <v>Fiche infoA3</v>
      </c>
      <c r="BK41" s="129">
        <f t="shared" si="49"/>
        <v>17</v>
      </c>
      <c r="BL41" s="129" t="str">
        <f t="shared" si="4"/>
        <v>A</v>
      </c>
      <c r="BM41" s="129">
        <f t="shared" si="50"/>
        <v>3</v>
      </c>
      <c r="BN41" s="223" t="str">
        <f t="shared" si="60"/>
        <v>Fiche info</v>
      </c>
      <c r="BO41" s="314" t="str">
        <f t="shared" si="51"/>
        <v/>
      </c>
      <c r="BP41" s="196" t="str">
        <f t="shared" si="52"/>
        <v/>
      </c>
      <c r="BQ41" s="1948" t="s">
        <v>1047</v>
      </c>
      <c r="BR41" s="1948"/>
      <c r="BS41" s="1948"/>
      <c r="BT41" s="1948"/>
      <c r="BU41" s="1948"/>
      <c r="BV41" s="1948"/>
      <c r="BW41" s="583" t="str">
        <f>+IF(BX41="",Mars!BW41,BX41)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46134</v>
      </c>
      <c r="ER41" s="749">
        <f t="shared" si="10"/>
        <v>0</v>
      </c>
      <c r="ES41" s="750">
        <f t="shared" si="11"/>
        <v>0</v>
      </c>
      <c r="ET41" s="749">
        <f t="shared" si="12"/>
        <v>0</v>
      </c>
      <c r="EU41" s="750">
        <f t="shared" si="13"/>
        <v>0</v>
      </c>
      <c r="EV41" s="749" t="str">
        <f t="shared" si="14"/>
        <v/>
      </c>
      <c r="EW41" s="751">
        <f t="shared" si="29"/>
        <v>46134</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17</v>
      </c>
      <c r="GA41" s="129">
        <f t="shared" si="39"/>
        <v>2026</v>
      </c>
      <c r="GB41" s="129" t="str">
        <f t="shared" si="40"/>
        <v>172026</v>
      </c>
      <c r="GC41" s="223">
        <f>IF(AND($GD$53=S.CAL!$P$3,$GD$52=FZ41),GE41,IF(BH41="",0,BH41))</f>
        <v>0</v>
      </c>
      <c r="GD41" s="129" t="str">
        <f>IFERROR(+Mai!$BY$2&amp;BL41&amp;BM41,0)</f>
        <v>Fiche infoA3</v>
      </c>
      <c r="GE41" s="129" t="str">
        <f t="shared" si="19"/>
        <v/>
      </c>
      <c r="GF41" s="223" t="str">
        <f t="shared" si="41"/>
        <v/>
      </c>
      <c r="GG41" s="1446" t="str">
        <f>+'Retenue Avril'!D39</f>
        <v/>
      </c>
      <c r="GH41" s="1446">
        <f>IF(Identification!$B$132="Non",+'Retenue Avril'!BF39,+'Retenue Avril'!BE39)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46135</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46135</v>
      </c>
      <c r="AX42" s="1761"/>
      <c r="AY42" s="314"/>
      <c r="AZ42" s="1104"/>
      <c r="BA42" s="973"/>
      <c r="BB42" s="543"/>
      <c r="BC42" s="548">
        <f t="shared" si="23"/>
        <v>0</v>
      </c>
      <c r="BD42" s="1104"/>
      <c r="BE42" s="807">
        <f t="shared" si="24"/>
        <v>0</v>
      </c>
      <c r="BF42" s="1128"/>
      <c r="BG42" s="222"/>
      <c r="BH42" s="548" t="str">
        <f t="shared" si="25"/>
        <v/>
      </c>
      <c r="BI42" s="1128"/>
      <c r="BJ42" s="129" t="str">
        <f t="shared" si="26"/>
        <v>Fiche infoA4</v>
      </c>
      <c r="BK42" s="129">
        <f t="shared" si="49"/>
        <v>17</v>
      </c>
      <c r="BL42" s="129" t="str">
        <f t="shared" si="4"/>
        <v>A</v>
      </c>
      <c r="BM42" s="129">
        <f t="shared" si="50"/>
        <v>4</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46135</v>
      </c>
      <c r="ER42" s="749">
        <f t="shared" si="10"/>
        <v>0</v>
      </c>
      <c r="ES42" s="750">
        <f t="shared" si="11"/>
        <v>0</v>
      </c>
      <c r="ET42" s="749">
        <f t="shared" si="12"/>
        <v>0</v>
      </c>
      <c r="EU42" s="750">
        <f t="shared" si="13"/>
        <v>0</v>
      </c>
      <c r="EV42" s="749" t="str">
        <f t="shared" si="14"/>
        <v/>
      </c>
      <c r="EW42" s="751">
        <f t="shared" si="29"/>
        <v>46135</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17</v>
      </c>
      <c r="GA42" s="129">
        <f t="shared" si="39"/>
        <v>2026</v>
      </c>
      <c r="GB42" s="129" t="str">
        <f t="shared" si="40"/>
        <v>172026</v>
      </c>
      <c r="GC42" s="223">
        <f>IF(AND($GD$53=S.CAL!$P$3,$GD$52=FZ42),GE42,IF(BH42="",0,BH42))</f>
        <v>0</v>
      </c>
      <c r="GD42" s="129" t="str">
        <f>IFERROR(+Mai!$BY$2&amp;BL42&amp;BM42,0)</f>
        <v>Fiche infoA4</v>
      </c>
      <c r="GE42" s="129" t="str">
        <f t="shared" si="19"/>
        <v/>
      </c>
      <c r="GF42" s="223" t="str">
        <f t="shared" si="41"/>
        <v/>
      </c>
      <c r="GG42" s="1446" t="str">
        <f>+'Retenue Avril'!D40</f>
        <v/>
      </c>
      <c r="GH42" s="1446">
        <f>IF(Identification!$B$132="Non",+'Retenue Avril'!BF40,+'Retenue Avril'!BE40)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46136</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46136</v>
      </c>
      <c r="AX43" s="1761"/>
      <c r="AY43" s="314"/>
      <c r="AZ43" s="1104"/>
      <c r="BA43" s="973"/>
      <c r="BB43" s="543"/>
      <c r="BC43" s="548">
        <f t="shared" si="23"/>
        <v>0</v>
      </c>
      <c r="BD43" s="1104"/>
      <c r="BE43" s="807">
        <f t="shared" si="24"/>
        <v>0</v>
      </c>
      <c r="BF43" s="1128"/>
      <c r="BG43" s="222"/>
      <c r="BH43" s="548" t="str">
        <f t="shared" si="25"/>
        <v/>
      </c>
      <c r="BI43" s="1128"/>
      <c r="BJ43" s="129" t="str">
        <f t="shared" si="26"/>
        <v>Fiche infoA5</v>
      </c>
      <c r="BK43" s="129">
        <f t="shared" si="49"/>
        <v>17</v>
      </c>
      <c r="BL43" s="129" t="str">
        <f t="shared" si="4"/>
        <v>A</v>
      </c>
      <c r="BM43" s="129">
        <f t="shared" si="50"/>
        <v>5</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46136</v>
      </c>
      <c r="ER43" s="749">
        <f t="shared" si="10"/>
        <v>0</v>
      </c>
      <c r="ES43" s="750">
        <f t="shared" si="11"/>
        <v>0</v>
      </c>
      <c r="ET43" s="749">
        <f t="shared" si="12"/>
        <v>0</v>
      </c>
      <c r="EU43" s="750">
        <f t="shared" si="13"/>
        <v>0</v>
      </c>
      <c r="EV43" s="749" t="str">
        <f t="shared" si="14"/>
        <v/>
      </c>
      <c r="EW43" s="751">
        <f t="shared" si="29"/>
        <v>46136</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17</v>
      </c>
      <c r="GA43" s="129">
        <f t="shared" si="39"/>
        <v>2026</v>
      </c>
      <c r="GB43" s="129" t="str">
        <f t="shared" si="40"/>
        <v>172026</v>
      </c>
      <c r="GC43" s="223">
        <f>IF(AND($GD$53=S.CAL!$P$3,$GD$52=FZ43),GE43,IF(BH43="",0,BH43))</f>
        <v>0</v>
      </c>
      <c r="GD43" s="129" t="str">
        <f>IFERROR(+Mai!$BY$2&amp;BL43&amp;BM43,0)</f>
        <v>Fiche infoA5</v>
      </c>
      <c r="GE43" s="129" t="str">
        <f t="shared" si="19"/>
        <v/>
      </c>
      <c r="GF43" s="223" t="str">
        <f t="shared" si="41"/>
        <v/>
      </c>
      <c r="GG43" s="1446" t="str">
        <f>+'Retenue Avril'!D41</f>
        <v/>
      </c>
      <c r="GH43" s="1446">
        <f>IF(Identification!$B$132="Non",+'Retenue Avril'!BF41,+'Retenue Avril'!BE41)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46137</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46137</v>
      </c>
      <c r="AX44" s="1761"/>
      <c r="AY44" s="314"/>
      <c r="AZ44" s="1104"/>
      <c r="BA44" s="973"/>
      <c r="BB44" s="543"/>
      <c r="BC44" s="548">
        <f t="shared" si="23"/>
        <v>0</v>
      </c>
      <c r="BD44" s="1104"/>
      <c r="BE44" s="807">
        <f t="shared" si="24"/>
        <v>0</v>
      </c>
      <c r="BF44" s="1128"/>
      <c r="BG44" s="222"/>
      <c r="BH44" s="548" t="str">
        <f t="shared" si="25"/>
        <v/>
      </c>
      <c r="BI44" s="1128"/>
      <c r="BJ44" s="129" t="str">
        <f t="shared" si="26"/>
        <v>Fiche infoA6</v>
      </c>
      <c r="BK44" s="129">
        <f t="shared" si="49"/>
        <v>17</v>
      </c>
      <c r="BL44" s="129" t="str">
        <f t="shared" si="4"/>
        <v>A</v>
      </c>
      <c r="BM44" s="129">
        <f t="shared" si="50"/>
        <v>6</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+IF(CC45="",Mars!CC44,CC45)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46137</v>
      </c>
      <c r="ER44" s="749">
        <f t="shared" si="10"/>
        <v>0</v>
      </c>
      <c r="ES44" s="750">
        <f t="shared" si="11"/>
        <v>0</v>
      </c>
      <c r="ET44" s="749">
        <f t="shared" si="12"/>
        <v>0</v>
      </c>
      <c r="EU44" s="750">
        <f t="shared" si="13"/>
        <v>0</v>
      </c>
      <c r="EV44" s="749" t="str">
        <f t="shared" si="14"/>
        <v/>
      </c>
      <c r="EW44" s="751">
        <f t="shared" si="29"/>
        <v>46137</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17</v>
      </c>
      <c r="GA44" s="129">
        <f t="shared" si="39"/>
        <v>2026</v>
      </c>
      <c r="GB44" s="129" t="str">
        <f t="shared" si="40"/>
        <v>172026</v>
      </c>
      <c r="GC44" s="223">
        <f>IF(AND($GD$53=S.CAL!$P$3,$GD$52=FZ44),GE44,IF(BH44="",0,BH44))</f>
        <v>0</v>
      </c>
      <c r="GD44" s="129" t="str">
        <f>IFERROR(+Mai!$BY$2&amp;BL44&amp;BM44,0)</f>
        <v>Fiche infoA6</v>
      </c>
      <c r="GE44" s="129" t="str">
        <f t="shared" si="19"/>
        <v/>
      </c>
      <c r="GF44" s="223" t="str">
        <f t="shared" si="41"/>
        <v/>
      </c>
      <c r="GG44" s="1446" t="str">
        <f>+'Retenue Avril'!D42</f>
        <v/>
      </c>
      <c r="GH44" s="1446">
        <f>IF(Identification!$B$132="Non",+'Retenue Avril'!BF42,+'Retenue Avril'!BE42)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46138</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46138</v>
      </c>
      <c r="AX45" s="1761"/>
      <c r="AY45" s="314"/>
      <c r="AZ45" s="1104"/>
      <c r="BA45" s="973"/>
      <c r="BB45" s="543"/>
      <c r="BC45" s="548">
        <f t="shared" si="23"/>
        <v>0</v>
      </c>
      <c r="BD45" s="1104"/>
      <c r="BE45" s="807">
        <f t="shared" si="24"/>
        <v>0</v>
      </c>
      <c r="BF45" s="1128"/>
      <c r="BG45" s="222"/>
      <c r="BH45" s="548" t="str">
        <f t="shared" si="25"/>
        <v/>
      </c>
      <c r="BI45" s="1128"/>
      <c r="BJ45" s="129" t="str">
        <f t="shared" si="26"/>
        <v>Fiche infoA7</v>
      </c>
      <c r="BK45" s="129">
        <f t="shared" si="49"/>
        <v>17</v>
      </c>
      <c r="BL45" s="129" t="str">
        <f t="shared" si="4"/>
        <v>A</v>
      </c>
      <c r="BM45" s="129">
        <f t="shared" si="50"/>
        <v>7</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46138</v>
      </c>
      <c r="ER45" s="749">
        <f t="shared" si="10"/>
        <v>0</v>
      </c>
      <c r="ES45" s="750">
        <f t="shared" si="11"/>
        <v>0</v>
      </c>
      <c r="ET45" s="749">
        <f t="shared" si="12"/>
        <v>0</v>
      </c>
      <c r="EU45" s="750">
        <f t="shared" si="13"/>
        <v>0</v>
      </c>
      <c r="EV45" s="749" t="str">
        <f t="shared" si="14"/>
        <v/>
      </c>
      <c r="EW45" s="751">
        <f t="shared" si="29"/>
        <v>46138</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17</v>
      </c>
      <c r="GA45" s="129">
        <f t="shared" si="39"/>
        <v>2026</v>
      </c>
      <c r="GB45" s="129" t="str">
        <f t="shared" si="40"/>
        <v>172026</v>
      </c>
      <c r="GC45" s="223">
        <f>IF(AND($GD$53=S.CAL!$P$3,$GD$52=FZ45),GE45,IF(BH45="",0,BH45))</f>
        <v>0</v>
      </c>
      <c r="GD45" s="129" t="str">
        <f>IFERROR(+Mai!$BY$2&amp;BL45&amp;BM45,0)</f>
        <v>Fiche infoA7</v>
      </c>
      <c r="GE45" s="129" t="str">
        <f t="shared" si="19"/>
        <v/>
      </c>
      <c r="GF45" s="223" t="str">
        <f t="shared" si="41"/>
        <v/>
      </c>
      <c r="GG45" s="1446" t="str">
        <f>+'Retenue Avril'!D43</f>
        <v/>
      </c>
      <c r="GH45" s="1446">
        <f>IF(Identification!$B$132="Non",+'Retenue Avril'!BF43,+'Retenue Avril'!BE43)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46139</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f t="shared" si="48"/>
        <v>18</v>
      </c>
      <c r="AQ46" s="322"/>
      <c r="AR46" s="1104"/>
      <c r="AS46" s="314">
        <f t="shared" si="3"/>
        <v>0</v>
      </c>
      <c r="AT46" s="1125"/>
      <c r="AU46" s="1125"/>
      <c r="AV46" s="314"/>
      <c r="AW46" s="1791">
        <f t="shared" si="22"/>
        <v>46139</v>
      </c>
      <c r="AX46" s="1761"/>
      <c r="AY46" s="314"/>
      <c r="AZ46" s="1104"/>
      <c r="BA46" s="973"/>
      <c r="BB46" s="543"/>
      <c r="BC46" s="548">
        <f t="shared" si="23"/>
        <v>0</v>
      </c>
      <c r="BD46" s="1104"/>
      <c r="BE46" s="807">
        <f t="shared" si="24"/>
        <v>0</v>
      </c>
      <c r="BF46" s="1128"/>
      <c r="BG46" s="222"/>
      <c r="BH46" s="548" t="str">
        <f t="shared" si="25"/>
        <v/>
      </c>
      <c r="BI46" s="1128"/>
      <c r="BJ46" s="129" t="str">
        <f t="shared" si="26"/>
        <v>Fiche infoA1</v>
      </c>
      <c r="BK46" s="129">
        <f t="shared" si="49"/>
        <v>18</v>
      </c>
      <c r="BL46" s="129" t="str">
        <f t="shared" si="4"/>
        <v>A</v>
      </c>
      <c r="BM46" s="129">
        <f t="shared" si="50"/>
        <v>1</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46139</v>
      </c>
      <c r="ER46" s="749">
        <f t="shared" si="10"/>
        <v>0</v>
      </c>
      <c r="ES46" s="750">
        <f t="shared" si="11"/>
        <v>0</v>
      </c>
      <c r="ET46" s="749">
        <f t="shared" si="12"/>
        <v>0</v>
      </c>
      <c r="EU46" s="750">
        <f t="shared" si="13"/>
        <v>0</v>
      </c>
      <c r="EV46" s="749" t="str">
        <f t="shared" si="14"/>
        <v/>
      </c>
      <c r="EW46" s="751">
        <f t="shared" si="29"/>
        <v>46139</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18</v>
      </c>
      <c r="GA46" s="129">
        <f t="shared" si="39"/>
        <v>2026</v>
      </c>
      <c r="GB46" s="129" t="str">
        <f t="shared" si="40"/>
        <v>182026</v>
      </c>
      <c r="GC46" s="223">
        <f>IF(AND($GD$53=S.CAL!$P$3,$GD$52=FZ46),GE46,IF(BH46="",0,BH46))</f>
        <v>0</v>
      </c>
      <c r="GD46" s="129" t="str">
        <f>IFERROR(+Mai!$BY$2&amp;BL46&amp;BM46,0)</f>
        <v>Fiche infoA1</v>
      </c>
      <c r="GE46" s="129" t="str">
        <f t="shared" si="19"/>
        <v/>
      </c>
      <c r="GF46" s="223" t="str">
        <f t="shared" si="41"/>
        <v/>
      </c>
      <c r="GG46" s="1446" t="str">
        <f>+'Retenue Avril'!D44</f>
        <v/>
      </c>
      <c r="GH46" s="1446">
        <f>IF(Identification!$B$132="Non",+'Retenue Avril'!BF44,+'Retenue Avril'!BE44)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46140</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46140</v>
      </c>
      <c r="AX47" s="1761"/>
      <c r="AY47" s="314"/>
      <c r="AZ47" s="1104"/>
      <c r="BA47" s="973"/>
      <c r="BB47" s="543"/>
      <c r="BC47" s="548">
        <f t="shared" si="23"/>
        <v>0</v>
      </c>
      <c r="BD47" s="1104"/>
      <c r="BE47" s="807">
        <f t="shared" si="24"/>
        <v>0</v>
      </c>
      <c r="BF47" s="1128"/>
      <c r="BG47" s="222"/>
      <c r="BH47" s="548" t="str">
        <f t="shared" si="25"/>
        <v/>
      </c>
      <c r="BI47" s="1128"/>
      <c r="BJ47" s="129" t="str">
        <f t="shared" si="26"/>
        <v>Fiche infoA2</v>
      </c>
      <c r="BK47" s="129">
        <f t="shared" si="49"/>
        <v>18</v>
      </c>
      <c r="BL47" s="129" t="str">
        <f t="shared" si="4"/>
        <v>A</v>
      </c>
      <c r="BM47" s="129">
        <f t="shared" si="50"/>
        <v>2</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IF(CF47="",Mars!CE47,CF47)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46140</v>
      </c>
      <c r="ER47" s="749">
        <f t="shared" si="10"/>
        <v>0</v>
      </c>
      <c r="ES47" s="750">
        <f t="shared" si="11"/>
        <v>0</v>
      </c>
      <c r="ET47" s="749">
        <f t="shared" si="12"/>
        <v>0</v>
      </c>
      <c r="EU47" s="750">
        <f t="shared" si="13"/>
        <v>0</v>
      </c>
      <c r="EV47" s="749" t="str">
        <f t="shared" si="14"/>
        <v/>
      </c>
      <c r="EW47" s="751">
        <f t="shared" si="29"/>
        <v>46140</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18</v>
      </c>
      <c r="GA47" s="129">
        <f t="shared" si="39"/>
        <v>2026</v>
      </c>
      <c r="GB47" s="129" t="str">
        <f t="shared" si="40"/>
        <v>182026</v>
      </c>
      <c r="GC47" s="223">
        <f>IF(AND($GD$53=S.CAL!$P$3,$GD$52=FZ47),GE47,IF(BH47="",0,BH47))</f>
        <v>0</v>
      </c>
      <c r="GD47" s="129" t="str">
        <f>IFERROR(+Mai!$BY$2&amp;BL47&amp;BM47,0)</f>
        <v>Fiche infoA2</v>
      </c>
      <c r="GE47" s="129" t="str">
        <f t="shared" si="19"/>
        <v/>
      </c>
      <c r="GF47" s="223" t="str">
        <f t="shared" si="41"/>
        <v/>
      </c>
      <c r="GG47" s="1446" t="str">
        <f>+'Retenue Avril'!D45</f>
        <v/>
      </c>
      <c r="GH47" s="1446">
        <f>IF(Identification!$B$132="Non",+'Retenue Avril'!BF45,+'Retenue Avril'!BE45)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46141</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46141</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infoA3</v>
      </c>
      <c r="BK48" s="129">
        <f t="shared" si="49"/>
        <v>18</v>
      </c>
      <c r="BL48" s="129" t="str">
        <f t="shared" si="4"/>
        <v>A</v>
      </c>
      <c r="BM48" s="129">
        <f>IFERROR(WEEKDAY(AB48,2),0)</f>
        <v>3</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46141</v>
      </c>
      <c r="ER48" s="749">
        <f t="shared" si="10"/>
        <v>0</v>
      </c>
      <c r="ES48" s="750">
        <f t="shared" si="11"/>
        <v>0</v>
      </c>
      <c r="ET48" s="749">
        <f t="shared" si="12"/>
        <v>0</v>
      </c>
      <c r="EU48" s="750">
        <f t="shared" si="13"/>
        <v>0</v>
      </c>
      <c r="EV48" s="749" t="str">
        <f t="shared" si="14"/>
        <v/>
      </c>
      <c r="EW48" s="751">
        <f t="shared" si="29"/>
        <v>46141</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18</v>
      </c>
      <c r="GA48" s="129">
        <f t="shared" si="39"/>
        <v>2026</v>
      </c>
      <c r="GB48" s="129" t="str">
        <f t="shared" si="40"/>
        <v>182026</v>
      </c>
      <c r="GC48" s="223">
        <f>IF(AND($GD$53=S.CAL!$P$3,$GD$52=FZ48),GE48,IF(BH48="",0,BH48))</f>
        <v>0</v>
      </c>
      <c r="GD48" s="129" t="str">
        <f>IFERROR(+Mai!$BY$2&amp;BL48&amp;BM48,0)</f>
        <v>Fiche infoA3</v>
      </c>
      <c r="GE48" s="129" t="str">
        <f t="shared" si="19"/>
        <v/>
      </c>
      <c r="GF48" s="223" t="str">
        <f t="shared" si="41"/>
        <v/>
      </c>
      <c r="GG48" s="1446" t="str">
        <f>+'Retenue Avril'!D46</f>
        <v/>
      </c>
      <c r="GH48" s="1446">
        <f>IF(Identification!$B$132="Non",+'Retenue Avril'!BF46,+'Retenue Avril'!BE46)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46142</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46142</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infoA4</v>
      </c>
      <c r="BK49" s="129">
        <f t="shared" si="49"/>
        <v>18</v>
      </c>
      <c r="BL49" s="129" t="str">
        <f t="shared" si="4"/>
        <v>A</v>
      </c>
      <c r="BM49" s="129">
        <f>IFERROR(WEEKDAY(AB49,2),0)</f>
        <v>4</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IF(CF49="",Mars!CE49,CF49)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46142</v>
      </c>
      <c r="ER49" s="749">
        <f t="shared" si="10"/>
        <v>0</v>
      </c>
      <c r="ES49" s="750">
        <f t="shared" si="11"/>
        <v>0</v>
      </c>
      <c r="ET49" s="749">
        <f t="shared" si="12"/>
        <v>0</v>
      </c>
      <c r="EU49" s="750">
        <f t="shared" si="13"/>
        <v>0</v>
      </c>
      <c r="EV49" s="749" t="str">
        <f t="shared" si="14"/>
        <v/>
      </c>
      <c r="EW49" s="751">
        <f t="shared" si="29"/>
        <v>46142</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18</v>
      </c>
      <c r="GA49" s="129">
        <f t="shared" si="39"/>
        <v>2026</v>
      </c>
      <c r="GB49" s="129" t="str">
        <f t="shared" ref="GB49:GB50" si="67">+FZ49&amp;GA49</f>
        <v>182026</v>
      </c>
      <c r="GC49" s="223">
        <f>IF(AND($GD$53=S.CAL!$P$3,$GD$52=FZ49),GE49,IF(BH49="",0,BH49))</f>
        <v>0</v>
      </c>
      <c r="GD49" s="129" t="str">
        <f>IFERROR(+Mai!$BY$2&amp;BL49&amp;BM49,0)</f>
        <v>Fiche infoA4</v>
      </c>
      <c r="GE49" s="129" t="str">
        <f t="shared" si="19"/>
        <v/>
      </c>
      <c r="GF49" s="223" t="str">
        <f t="shared" ref="GF49:GF50" si="68">IF(FP49=1,GG49,AM49)</f>
        <v/>
      </c>
      <c r="GG49" s="1446" t="str">
        <f>+'Retenue Avril'!D47</f>
        <v/>
      </c>
      <c r="GH49" s="1446">
        <f>IF(Identification!$B$132="Non",+'Retenue Avril'!BF47,+'Retenue Avril'!BE47)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t="str">
        <f>IF(AB20+30&lt;DATE(YEAR(AB20),MONTH(AB20)+1,DAY(AB20)),AB20+30,"")</f>
        <v/>
      </c>
      <c r="AC50" s="1761"/>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t="str">
        <f t="shared" si="22"/>
        <v/>
      </c>
      <c r="AX50" s="2027"/>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7"/>
        <v>2026</v>
      </c>
      <c r="GC50" s="223">
        <f>IF(AND($GD$53=S.CAL!$P$3,$GD$52=FZ50),GE50,IF(BH50="",0,BH50))</f>
        <v>0</v>
      </c>
      <c r="GD50" s="129" t="str">
        <f>IFERROR(+Mai!$BY$2&amp;BL50&amp;BM50,0)</f>
        <v>Fiche infoA0</v>
      </c>
      <c r="GE50" s="129" t="str">
        <f t="shared" si="19"/>
        <v/>
      </c>
      <c r="GF50" s="223" t="str">
        <f t="shared" si="68"/>
        <v/>
      </c>
      <c r="GG50" s="1446" t="str">
        <f>+'Retenue Avril'!D48</f>
        <v/>
      </c>
      <c r="GH50" s="1446">
        <f>IF(Identification!$B$132="Non",+'Retenue Avril'!BF48,+'Retenue Avril'!BE48)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18</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IF(CF53="",+Mars!CE53,CF53)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IF(CF54="",Mars!CE54,CF54)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IF(CF55&gt;0,CF55,IF(AND(CE53=Mars!CE53,CE54=Mars!CE54),Mars!CE55,IF(OR(CE53&lt;&gt;Mars!CE53,CE54&lt;&gt;Mars!CE54),CE53/CE54)))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Avril'!E52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+IF(BY57="",Mars!BY56,BY57)</f>
        <v>24</v>
      </c>
      <c r="BZ56" s="611" t="s">
        <v>1049</v>
      </c>
      <c r="CA56" s="614">
        <f>+IF(CA57="",Mars!CA56,CA57)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IF(CF57="",+Mars!CE57,CF57)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IF(CF58="",Mars!CE58,CF58)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+IF(CA61="",Mars!CA60,CA61)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+IF(BA65="",Mars!K67,BA65)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+IF(BA68="",Mars!K68,BA68)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E74+Mars!H74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E75+Mars!H75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Avril'!EH51=0,"",'Retenue Avril'!EH51),AX76)</f>
        <v/>
      </c>
      <c r="AZ75" s="1772"/>
      <c r="BA75" s="918" t="str">
        <f>+IF(BA76="",IF('Retenue Avril'!EF51=0,"",'Retenue Avril'!EF51),BA76)</f>
        <v/>
      </c>
      <c r="BB75" s="919"/>
      <c r="BC75" s="920" t="str">
        <f>IF(BC76="",IF(+'Retenue Avril'!EG51=0,"",'Retenue Avril'!EG51),BC76)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Avril'!E50&amp;" hrs / "&amp;'Retenue Avril'!D50&amp;"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E76+Mars!H76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E77+Mars!H77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+IF(AR78="",Mars!AL78,AR78)</f>
        <v>0</v>
      </c>
      <c r="AM78" s="2299"/>
      <c r="AN78" s="2299"/>
      <c r="AO78" s="2299"/>
      <c r="AQ78" s="420" t="s">
        <v>750</v>
      </c>
      <c r="AR78" s="2344"/>
      <c r="AS78" s="2344"/>
      <c r="AT78" s="2058" t="str">
        <f>IFERROR(VLOOKUP(AY78,'Liste des Libellés'!$A$4:$F$32,6,FALSE),"")</f>
        <v/>
      </c>
      <c r="AU78" s="2058"/>
      <c r="AV78" s="2058"/>
      <c r="AW78" s="2058"/>
      <c r="AX78" s="917"/>
      <c r="AY78" s="1772" t="str">
        <f>+IF(AX79="",IF('Retenue Avril'!EH53=0,"",'Retenue Avril'!EH53),AX79)</f>
        <v/>
      </c>
      <c r="AZ78" s="1772"/>
      <c r="BA78" s="918" t="str">
        <f>+IF(BA79="",IF('Retenue Avril'!EF53=0,"",'Retenue Avril'!EF53),BA79)</f>
        <v/>
      </c>
      <c r="BB78" s="919"/>
      <c r="BC78" s="920" t="str">
        <f>IF(BC79="",IF(+'Retenue Avril'!EG53=0,"",'Retenue Avril'!EG53),BC79)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84" t="s">
        <v>141</v>
      </c>
      <c r="B80" s="1984"/>
      <c r="C80" s="1984"/>
      <c r="D80" s="1984"/>
      <c r="E80" s="2366"/>
      <c r="F80" s="2324" t="str">
        <f>+Mars!F80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06/"&amp;Identification!B60-2002&amp;" à 05/"&amp;Identification!B60-2001</f>
        <v>Année préc. de 06/24 à 05/25</v>
      </c>
      <c r="AI80" s="2062"/>
      <c r="AJ80" s="2062"/>
      <c r="AK80" s="2063"/>
      <c r="AL80" s="2061" t="str">
        <f>+"Année en cours de 06/"&amp;Identification!B60-2001&amp;" à 05/"&amp;Identification!B60-2000</f>
        <v>Année en cours de 06/25 à 05/26</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Avril'!EH55=0,"",'Retenue Avril'!EH55),AX82)</f>
        <v/>
      </c>
      <c r="AZ81" s="1772"/>
      <c r="BA81" s="918" t="str">
        <f>+IF(BA82="",IF('Retenue Avril'!EF55=0,"",'Retenue Avril'!EF55),BA82)</f>
        <v/>
      </c>
      <c r="BB81" s="919"/>
      <c r="BC81" s="920" t="str">
        <f>IF(BC82="",IF(+'Retenue Avril'!EG55=0,"",'Retenue Avril'!EG55),BC82)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Avril'!EH57=0,"",'Retenue Avril'!EH57),AX85)</f>
        <v/>
      </c>
      <c r="AZ84" s="1772"/>
      <c r="BA84" s="918" t="str">
        <f>+IF(BA85="",IF('Retenue Avril'!EF57=0,"",'Retenue Avril'!EF57),BA85)</f>
        <v/>
      </c>
      <c r="BB84" s="919"/>
      <c r="BC84" s="920" t="str">
        <f>IF(BC85="",IF(+'Retenue Avril'!EG57=0,"",'Retenue Avril'!EG57),BC85)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Mars!F86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IF(AR86="",+Mars!AH86,AR86)</f>
        <v>0</v>
      </c>
      <c r="AI86" s="1734"/>
      <c r="AJ86" s="1734"/>
      <c r="AK86" s="1735"/>
      <c r="AL86" s="1733">
        <f>IF(AS86="",IF(DP8=52,+EI29+Mars!AL86,+EI25+Mars!AL86),IF(DP8=52,+EI29+Mars!AL86+AS86,+EI25+Mars!AL86+AS86))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46142</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+Mars!AH87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+Mars!AH89+Mars!AH90</f>
        <v>0</v>
      </c>
      <c r="AI89" s="1734"/>
      <c r="AJ89" s="1734"/>
      <c r="AK89" s="1735"/>
      <c r="AL89" s="1733">
        <f>+Mars!AL89+Mars!AL90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f>IF(AR93="",+Mars!AH93-COUNTIF(AD20:AF50,'Liste des Libellés'!A18),AR93)</f>
        <v>0</v>
      </c>
      <c r="AI93" s="1937"/>
      <c r="AJ93" s="1937"/>
      <c r="AK93" s="1938"/>
      <c r="AL93" s="1936"/>
      <c r="AM93" s="1937"/>
      <c r="AN93" s="1937"/>
      <c r="AO93" s="1938"/>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+DATE(YEAR(X3)-1,5,31)</f>
        <v>45808</v>
      </c>
      <c r="E99" s="2368"/>
      <c r="F99" s="2368"/>
      <c r="G99" s="2369">
        <f>+Mars!G99</f>
        <v>0</v>
      </c>
      <c r="H99" s="2167"/>
      <c r="I99" s="2168"/>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+Mars!G100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Z107" s="1449" t="str">
        <f>+$BG$9</f>
        <v>142026</v>
      </c>
      <c r="BA107" s="1450">
        <f>+$AT$4</f>
        <v>14</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152026</v>
      </c>
      <c r="BA108" s="1455">
        <f>+$AT$5</f>
        <v>15</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162026</v>
      </c>
      <c r="BA109" s="1455">
        <f>+$AT$6</f>
        <v>16</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172026</v>
      </c>
      <c r="BA110" s="1455">
        <f>+$AT$7</f>
        <v>17</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182026</v>
      </c>
      <c r="BA111" s="1455">
        <f>+$AT$8</f>
        <v>18</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142026</v>
      </c>
      <c r="BA142" s="1450">
        <f>+$AT$4</f>
        <v>14</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152026</v>
      </c>
      <c r="BA143" s="1455">
        <f>+$AT$5</f>
        <v>15</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162026</v>
      </c>
      <c r="BA144" s="1455">
        <f>+$AT$6</f>
        <v>16</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172026</v>
      </c>
      <c r="BA145" s="1455">
        <f>+$AT$7</f>
        <v>17</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182026</v>
      </c>
      <c r="BA146" s="1455">
        <f>+$AT$8</f>
        <v>18</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tW5fpRVQOyRTKCpGyi3J7N8q07W5aymjdmE1gL3Zrffr0odxLnMzHae1QZor205lQvvZ2DKkWwLhN+uP07yk6A==" saltValue="wlHq2RzTzZjcWL6QRIwCJQ=="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268" priority="16">
      <formula>$U$14=0</formula>
    </cfRule>
  </conditionalFormatting>
  <conditionalFormatting sqref="B26:K26">
    <cfRule type="expression" dxfId="1267" priority="26">
      <formula>$U$14=0</formula>
    </cfRule>
  </conditionalFormatting>
  <conditionalFormatting sqref="B29:K29">
    <cfRule type="cellIs" dxfId="1266" priority="13" operator="greaterThan">
      <formula>0</formula>
    </cfRule>
  </conditionalFormatting>
  <conditionalFormatting sqref="C70:G70">
    <cfRule type="cellIs" dxfId="1265" priority="7" operator="greaterThan">
      <formula>0</formula>
    </cfRule>
  </conditionalFormatting>
  <conditionalFormatting sqref="F87:I87">
    <cfRule type="cellIs" dxfId="1264" priority="2" operator="greaterThan">
      <formula>0</formula>
    </cfRule>
  </conditionalFormatting>
  <conditionalFormatting sqref="F86:L86">
    <cfRule type="cellIs" dxfId="1263" priority="3" operator="greaterThan">
      <formula>0</formula>
    </cfRule>
  </conditionalFormatting>
  <conditionalFormatting sqref="H65:J65">
    <cfRule type="expression" dxfId="1262" priority="38">
      <formula>AND($AX$60="Oui",$AZ$62="")</formula>
    </cfRule>
    <cfRule type="expression" dxfId="1261" priority="40">
      <formula>AND($AX$60="Oui",$AZ$62="hrs")</formula>
    </cfRule>
  </conditionalFormatting>
  <conditionalFormatting sqref="H66:J66">
    <cfRule type="expression" dxfId="1260" priority="36">
      <formula>AND($BW$41="Non",$AX$61="Non")</formula>
    </cfRule>
    <cfRule type="expression" dxfId="1259" priority="35">
      <formula>AND($AX$61="Oui",$AZ$63="jrs")</formula>
    </cfRule>
    <cfRule type="expression" dxfId="1258" priority="37">
      <formula>AND($BW$41="Oui",$AX$61="Non")</formula>
    </cfRule>
    <cfRule type="expression" dxfId="1257" priority="34">
      <formula>AND($AX$61="Oui",$AZ$63="")</formula>
    </cfRule>
  </conditionalFormatting>
  <conditionalFormatting sqref="H70:J71">
    <cfRule type="cellIs" dxfId="1256" priority="6" operator="greaterThan">
      <formula>0</formula>
    </cfRule>
  </conditionalFormatting>
  <conditionalFormatting sqref="H65:K66">
    <cfRule type="cellIs" dxfId="1255" priority="33" operator="equal">
      <formula>0</formula>
    </cfRule>
  </conditionalFormatting>
  <conditionalFormatting sqref="H67:M68">
    <cfRule type="cellIs" dxfId="1254" priority="54" operator="equal">
      <formula>0</formula>
    </cfRule>
  </conditionalFormatting>
  <conditionalFormatting sqref="H69:M69">
    <cfRule type="cellIs" dxfId="1253" priority="8" operator="greaterThan">
      <formula>0</formula>
    </cfRule>
  </conditionalFormatting>
  <conditionalFormatting sqref="H40:Z60">
    <cfRule type="cellIs" dxfId="1252" priority="32" operator="equal">
      <formula>0</formula>
    </cfRule>
  </conditionalFormatting>
  <conditionalFormatting sqref="K81:K82 L82:T83 K88:T88 K89:Q90">
    <cfRule type="expression" dxfId="1251" priority="523">
      <formula>$EO$6="OUI"</formula>
    </cfRule>
  </conditionalFormatting>
  <conditionalFormatting sqref="K87">
    <cfRule type="expression" dxfId="1250" priority="4">
      <formula>$EO$6="OUI"</formula>
    </cfRule>
  </conditionalFormatting>
  <conditionalFormatting sqref="L18:O19">
    <cfRule type="cellIs" dxfId="1249" priority="20" operator="equal">
      <formula>0</formula>
    </cfRule>
  </conditionalFormatting>
  <conditionalFormatting sqref="L21:O22">
    <cfRule type="cellIs" dxfId="1248" priority="31" operator="equal">
      <formula>0</formula>
    </cfRule>
  </conditionalFormatting>
  <conditionalFormatting sqref="L27:O28">
    <cfRule type="cellIs" dxfId="1247" priority="14" operator="greaterThan">
      <formula>0</formula>
    </cfRule>
  </conditionalFormatting>
  <conditionalFormatting sqref="L30:O32">
    <cfRule type="cellIs" dxfId="1246" priority="12" operator="greaterThan">
      <formula>0</formula>
    </cfRule>
  </conditionalFormatting>
  <conditionalFormatting sqref="L34:O34">
    <cfRule type="cellIs" dxfId="1245" priority="10" operator="greaterThan">
      <formula>0</formula>
    </cfRule>
  </conditionalFormatting>
  <conditionalFormatting sqref="L23:S24">
    <cfRule type="cellIs" dxfId="1244" priority="15" operator="greaterThan">
      <formula>0</formula>
    </cfRule>
  </conditionalFormatting>
  <conditionalFormatting sqref="L25:S26">
    <cfRule type="containsErrors" dxfId="1243" priority="24">
      <formula>ISERROR(L25)</formula>
    </cfRule>
    <cfRule type="cellIs" dxfId="1242" priority="25" operator="equal">
      <formula>0</formula>
    </cfRule>
  </conditionalFormatting>
  <conditionalFormatting sqref="M87:T87">
    <cfRule type="expression" dxfId="1241" priority="520">
      <formula>$EO$6="OUI"</formula>
    </cfRule>
  </conditionalFormatting>
  <conditionalFormatting sqref="N65:P71">
    <cfRule type="cellIs" dxfId="1240" priority="60" operator="equal">
      <formula>0</formula>
    </cfRule>
  </conditionalFormatting>
  <conditionalFormatting sqref="O86">
    <cfRule type="expression" dxfId="1239" priority="524">
      <formula>EO6="OUI"</formula>
    </cfRule>
  </conditionalFormatting>
  <conditionalFormatting sqref="O14:T14">
    <cfRule type="expression" dxfId="1238" priority="214">
      <formula>$U$14=0</formula>
    </cfRule>
  </conditionalFormatting>
  <conditionalFormatting sqref="P20">
    <cfRule type="expression" dxfId="1237" priority="17">
      <formula>$DP$14=1</formula>
    </cfRule>
  </conditionalFormatting>
  <conditionalFormatting sqref="P18:S18">
    <cfRule type="expression" dxfId="1236" priority="21">
      <formula>$L$18=0</formula>
    </cfRule>
  </conditionalFormatting>
  <conditionalFormatting sqref="P19:S19">
    <cfRule type="expression" dxfId="1235" priority="19">
      <formula>$L$19=0</formula>
    </cfRule>
  </conditionalFormatting>
  <conditionalFormatting sqref="P21:S21">
    <cfRule type="expression" dxfId="1234" priority="30">
      <formula>$L$21=0</formula>
    </cfRule>
  </conditionalFormatting>
  <conditionalFormatting sqref="P22:S22">
    <cfRule type="expression" dxfId="1233" priority="29">
      <formula>$L$22=0</formula>
    </cfRule>
  </conditionalFormatting>
  <conditionalFormatting sqref="R87:T87">
    <cfRule type="expression" dxfId="1232" priority="519">
      <formula>$EO$7="OUI"</formula>
    </cfRule>
  </conditionalFormatting>
  <conditionalFormatting sqref="R89:T89">
    <cfRule type="expression" dxfId="1231" priority="514">
      <formula>$EO$8="OUI"</formula>
    </cfRule>
    <cfRule type="expression" dxfId="1230" priority="515">
      <formula>$EO$6="OUI"</formula>
    </cfRule>
  </conditionalFormatting>
  <conditionalFormatting sqref="R90:T90">
    <cfRule type="expression" dxfId="1229" priority="521">
      <formula>$EO$7="OUI"</formula>
    </cfRule>
    <cfRule type="expression" dxfId="1228" priority="522">
      <formula>$EO$6="OUI"</formula>
    </cfRule>
  </conditionalFormatting>
  <conditionalFormatting sqref="T20">
    <cfRule type="expression" dxfId="1227" priority="18">
      <formula>$DP$14=1</formula>
    </cfRule>
  </conditionalFormatting>
  <conditionalFormatting sqref="T30:T32">
    <cfRule type="cellIs" dxfId="1226" priority="28" operator="equal">
      <formula>0</formula>
    </cfRule>
  </conditionalFormatting>
  <conditionalFormatting sqref="T18:W19">
    <cfRule type="cellIs" dxfId="1225" priority="22" operator="equal">
      <formula>0</formula>
    </cfRule>
  </conditionalFormatting>
  <conditionalFormatting sqref="T21:W28">
    <cfRule type="cellIs" dxfId="1224" priority="27" operator="equal">
      <formula>0</formula>
    </cfRule>
  </conditionalFormatting>
  <conditionalFormatting sqref="T29:W29">
    <cfRule type="cellIs" dxfId="1223" priority="11" operator="greaterThan">
      <formula>0</formula>
    </cfRule>
  </conditionalFormatting>
  <conditionalFormatting sqref="T33:W33">
    <cfRule type="cellIs" dxfId="1222" priority="9" operator="greaterThan">
      <formula>0</formula>
    </cfRule>
  </conditionalFormatting>
  <conditionalFormatting sqref="T34:W34">
    <cfRule type="cellIs" dxfId="1221" priority="23" operator="equal">
      <formula>0</formula>
    </cfRule>
  </conditionalFormatting>
  <conditionalFormatting sqref="U14:X14">
    <cfRule type="cellIs" dxfId="1220" priority="212" operator="equal">
      <formula>0</formula>
    </cfRule>
  </conditionalFormatting>
  <conditionalFormatting sqref="V80:AF81">
    <cfRule type="cellIs" dxfId="1219" priority="1" operator="notEqual">
      <formula>"Commentaires :"</formula>
    </cfRule>
  </conditionalFormatting>
  <conditionalFormatting sqref="Y73:AO75">
    <cfRule type="expression" dxfId="1218" priority="64">
      <formula>$DP$8=52</formula>
    </cfRule>
  </conditionalFormatting>
  <conditionalFormatting sqref="AB20:AC50">
    <cfRule type="expression" dxfId="1217" priority="437">
      <formula>WEEKDAY(AB20,2)=7</formula>
    </cfRule>
    <cfRule type="expression" dxfId="1216" priority="438">
      <formula>OR(WEEKDAY(AB20,2)=6,WEEKDAY(AB20,2)=7)</formula>
    </cfRule>
    <cfRule type="expression" dxfId="1215" priority="439">
      <formula>VLOOKUP(AB20,base_feries,1,FALSE)</formula>
    </cfRule>
  </conditionalFormatting>
  <conditionalFormatting sqref="AD20:AF50">
    <cfRule type="cellIs" dxfId="1214" priority="309" operator="equal">
      <formula>0</formula>
    </cfRule>
    <cfRule type="expression" dxfId="1213" priority="308">
      <formula>FC20="oui"</formula>
    </cfRule>
  </conditionalFormatting>
  <conditionalFormatting sqref="AG20:AI50">
    <cfRule type="expression" dxfId="1212" priority="310">
      <formula>FC20="oui"</formula>
    </cfRule>
  </conditionalFormatting>
  <conditionalFormatting sqref="AH83:AH84">
    <cfRule type="cellIs" dxfId="1211" priority="532" stopIfTrue="1" operator="equal">
      <formula>0</formula>
    </cfRule>
  </conditionalFormatting>
  <conditionalFormatting sqref="AH89:AH91">
    <cfRule type="cellIs" dxfId="1210" priority="70" stopIfTrue="1" operator="equal">
      <formula>0</formula>
    </cfRule>
  </conditionalFormatting>
  <conditionalFormatting sqref="AH93:AK93">
    <cfRule type="cellIs" dxfId="1209" priority="525" operator="equal">
      <formula>0</formula>
    </cfRule>
  </conditionalFormatting>
  <conditionalFormatting sqref="AH86:AL87">
    <cfRule type="cellIs" dxfId="1208" priority="65" stopIfTrue="1" operator="equal">
      <formula>0</formula>
    </cfRule>
  </conditionalFormatting>
  <conditionalFormatting sqref="AH92:AO92">
    <cfRule type="cellIs" dxfId="1207" priority="244" operator="lessThan">
      <formula>-0.001</formula>
    </cfRule>
  </conditionalFormatting>
  <conditionalFormatting sqref="AJ20:AL50">
    <cfRule type="expression" dxfId="1206" priority="311">
      <formula>FC20="oui"</formula>
    </cfRule>
  </conditionalFormatting>
  <conditionalFormatting sqref="AL83">
    <cfRule type="cellIs" dxfId="1205" priority="531" stopIfTrue="1" operator="equal">
      <formula>0</formula>
    </cfRule>
  </conditionalFormatting>
  <conditionalFormatting sqref="AL89:AL91">
    <cfRule type="cellIs" dxfId="1204" priority="69" stopIfTrue="1" operator="equal">
      <formula>0</formula>
    </cfRule>
  </conditionalFormatting>
  <conditionalFormatting sqref="AL93">
    <cfRule type="cellIs" dxfId="1203" priority="533" stopIfTrue="1" operator="equal">
      <formula>0</formula>
    </cfRule>
  </conditionalFormatting>
  <conditionalFormatting sqref="AM20:AO50">
    <cfRule type="expression" dxfId="1202" priority="312">
      <formula>FC20="oui"</formula>
    </cfRule>
  </conditionalFormatting>
  <conditionalFormatting sqref="AP20:AP50">
    <cfRule type="expression" dxfId="1201" priority="152">
      <formula>BL20="E"</formula>
    </cfRule>
    <cfRule type="expression" dxfId="1200" priority="155">
      <formula>BL20="B"</formula>
    </cfRule>
    <cfRule type="expression" dxfId="1199" priority="154">
      <formula>BL20="C"</formula>
    </cfRule>
    <cfRule type="expression" dxfId="1198" priority="153">
      <formula>BL20="D"</formula>
    </cfRule>
    <cfRule type="expression" dxfId="1197" priority="149">
      <formula>BL20="H"</formula>
    </cfRule>
    <cfRule type="expression" dxfId="1196" priority="150">
      <formula>BL20="G"</formula>
    </cfRule>
    <cfRule type="expression" dxfId="1195" priority="151">
      <formula>BL20="F"</formula>
    </cfRule>
  </conditionalFormatting>
  <conditionalFormatting sqref="AQ62:AU62">
    <cfRule type="expression" dxfId="1194" priority="46">
      <formula>$AT$60="Non"</formula>
    </cfRule>
  </conditionalFormatting>
  <conditionalFormatting sqref="AQ63:AU63">
    <cfRule type="expression" dxfId="1193" priority="43">
      <formula>$AT$61="Non"</formula>
    </cfRule>
  </conditionalFormatting>
  <conditionalFormatting sqref="AR20:AR50">
    <cfRule type="expression" dxfId="1192" priority="190">
      <formula>FN20=10</formula>
    </cfRule>
    <cfRule type="expression" dxfId="1191" priority="194">
      <formula>AND(AR20&lt;&gt;"",AZ20&lt;&gt;"")</formula>
    </cfRule>
    <cfRule type="expression" dxfId="1190" priority="186">
      <formula>FC20="oui"</formula>
    </cfRule>
    <cfRule type="expression" dxfId="1189" priority="178">
      <formula>AB20=""</formula>
    </cfRule>
  </conditionalFormatting>
  <conditionalFormatting sqref="AR17:BJ50">
    <cfRule type="expression" dxfId="1188" priority="49">
      <formula>$EX$13="oui"</formula>
    </cfRule>
  </conditionalFormatting>
  <conditionalFormatting sqref="AS51:BJ51 DK51">
    <cfRule type="expression" dxfId="1187" priority="139">
      <formula>$EX$13="oui"</formula>
    </cfRule>
  </conditionalFormatting>
  <conditionalFormatting sqref="AT4:AT10">
    <cfRule type="expression" dxfId="1186" priority="454">
      <formula>AU4="H"</formula>
    </cfRule>
    <cfRule type="expression" dxfId="1185" priority="455">
      <formula>AU4="G"</formula>
    </cfRule>
    <cfRule type="expression" dxfId="1184" priority="456">
      <formula>AU4="F"</formula>
    </cfRule>
    <cfRule type="expression" dxfId="1183" priority="457">
      <formula>AU4="E"</formula>
    </cfRule>
    <cfRule type="expression" dxfId="1182" priority="458">
      <formula>AU4="D"</formula>
    </cfRule>
    <cfRule type="expression" dxfId="1181" priority="460">
      <formula>AU4="B"</formula>
    </cfRule>
    <cfRule type="expression" dxfId="1180" priority="459">
      <formula>AU4="C"</formula>
    </cfRule>
  </conditionalFormatting>
  <conditionalFormatting sqref="AT20:AT50">
    <cfRule type="expression" dxfId="1179" priority="189">
      <formula>FC20="oui"</formula>
    </cfRule>
    <cfRule type="expression" dxfId="1178" priority="185">
      <formula>AB20=""</formula>
    </cfRule>
  </conditionalFormatting>
  <conditionalFormatting sqref="AU4:AU10">
    <cfRule type="expression" dxfId="1177" priority="389">
      <formula>AT4=""</formula>
    </cfRule>
    <cfRule type="expression" dxfId="1176" priority="390">
      <formula>FG4="rouge"</formula>
    </cfRule>
  </conditionalFormatting>
  <conditionalFormatting sqref="AU20:AU50">
    <cfRule type="expression" dxfId="1175" priority="193">
      <formula>FC20="oui"</formula>
    </cfRule>
    <cfRule type="expression" dxfId="1174" priority="184">
      <formula>AB20=""</formula>
    </cfRule>
  </conditionalFormatting>
  <conditionalFormatting sqref="AW20:AX50">
    <cfRule type="expression" dxfId="1173" priority="198">
      <formula>VLOOKUP(AW20,base_feries,1,FALSE)</formula>
    </cfRule>
    <cfRule type="expression" dxfId="1172" priority="197">
      <formula>OR(WEEKDAY(AW20,2)=6,WEEKDAY(AW20,2)=7)</formula>
    </cfRule>
    <cfRule type="expression" dxfId="1171" priority="196">
      <formula>WEEKDAY(AW20,2)=7</formula>
    </cfRule>
  </conditionalFormatting>
  <conditionalFormatting sqref="AX62:AZ62">
    <cfRule type="expression" dxfId="1170" priority="45">
      <formula>$AX$60="Non"</formula>
    </cfRule>
  </conditionalFormatting>
  <conditionalFormatting sqref="AX63:AZ63">
    <cfRule type="expression" dxfId="1169" priority="42">
      <formula>$AX$61="Non"</formula>
    </cfRule>
  </conditionalFormatting>
  <conditionalFormatting sqref="AZ20:AZ50">
    <cfRule type="expression" dxfId="1168" priority="50">
      <formula>AB20=""</formula>
    </cfRule>
    <cfRule type="expression" dxfId="1167" priority="53">
      <formula>AND(AR20&lt;&gt;"",AZ20&lt;&gt;"")</formula>
    </cfRule>
    <cfRule type="expression" dxfId="1166" priority="52">
      <formula>FL20=10</formula>
    </cfRule>
    <cfRule type="expression" dxfId="1165" priority="51">
      <formula>FC20="oui"</formula>
    </cfRule>
  </conditionalFormatting>
  <conditionalFormatting sqref="BA20:BA50">
    <cfRule type="expression" dxfId="1164" priority="187">
      <formula>FC20="oui"</formula>
    </cfRule>
    <cfRule type="expression" dxfId="1163" priority="183">
      <formula>AB20=""</formula>
    </cfRule>
  </conditionalFormatting>
  <conditionalFormatting sqref="BA62">
    <cfRule type="expression" dxfId="1162" priority="44">
      <formula>$BA$60="Non"</formula>
    </cfRule>
  </conditionalFormatting>
  <conditionalFormatting sqref="BA63">
    <cfRule type="expression" dxfId="1161" priority="41">
      <formula>$BA$61="Non"</formula>
    </cfRule>
  </conditionalFormatting>
  <conditionalFormatting sqref="BA102 BA103:BH115">
    <cfRule type="expression" dxfId="1160" priority="66">
      <formula>$DP$8=52</formula>
    </cfRule>
  </conditionalFormatting>
  <conditionalFormatting sqref="BA137">
    <cfRule type="expression" dxfId="1159" priority="98">
      <formula>$DP$8=52</formula>
    </cfRule>
  </conditionalFormatting>
  <conditionalFormatting sqref="BA138:BH149">
    <cfRule type="expression" dxfId="1158" priority="67">
      <formula>$DP$8=52</formula>
    </cfRule>
  </conditionalFormatting>
  <conditionalFormatting sqref="BC20:BC55">
    <cfRule type="cellIs" dxfId="1157" priority="192" operator="equal">
      <formula>0</formula>
    </cfRule>
    <cfRule type="expression" dxfId="1156" priority="180">
      <formula>AJ20=""</formula>
    </cfRule>
  </conditionalFormatting>
  <conditionalFormatting sqref="BC112:BH112">
    <cfRule type="expression" dxfId="1155" priority="99">
      <formula>$BA$112=""</formula>
    </cfRule>
  </conditionalFormatting>
  <conditionalFormatting sqref="BC147:BH147">
    <cfRule type="expression" dxfId="1154" priority="68">
      <formula>$BA$112=""</formula>
    </cfRule>
  </conditionalFormatting>
  <conditionalFormatting sqref="BD20:BD50">
    <cfRule type="expression" dxfId="1153" priority="181">
      <formula>FL20="oui"</formula>
    </cfRule>
  </conditionalFormatting>
  <conditionalFormatting sqref="BE20:BE50">
    <cfRule type="expression" dxfId="1152" priority="191">
      <formula>OR(BE20=0,BE20="")</formula>
    </cfRule>
  </conditionalFormatting>
  <conditionalFormatting sqref="BH20:BH50">
    <cfRule type="expression" dxfId="1151" priority="140">
      <formula>AO20=""</formula>
    </cfRule>
    <cfRule type="cellIs" dxfId="1150" priority="177" operator="equal">
      <formula>0</formula>
    </cfRule>
  </conditionalFormatting>
  <conditionalFormatting sqref="BI9:BI14">
    <cfRule type="cellIs" dxfId="1149" priority="105" operator="equal">
      <formula>0</formula>
    </cfRule>
  </conditionalFormatting>
  <conditionalFormatting sqref="BQ54">
    <cfRule type="expression" dxfId="1148" priority="434">
      <formula>$BW$41="Non"</formula>
    </cfRule>
  </conditionalFormatting>
  <conditionalFormatting sqref="BQ36:CA36">
    <cfRule type="expression" dxfId="1147" priority="435">
      <formula>$BW$41="Oui"</formula>
    </cfRule>
  </conditionalFormatting>
  <conditionalFormatting sqref="BS21:CA34">
    <cfRule type="expression" dxfId="1146" priority="85">
      <formula>$EO$12="NON"</formula>
    </cfRule>
  </conditionalFormatting>
  <conditionalFormatting sqref="BY28:BY33">
    <cfRule type="notContainsBlanks" dxfId="1145" priority="86">
      <formula>LEN(TRIM(BY28))&gt;0</formula>
    </cfRule>
  </conditionalFormatting>
  <conditionalFormatting sqref="BY56">
    <cfRule type="duplicateValues" dxfId="1144" priority="482"/>
    <cfRule type="expression" dxfId="1143" priority="481">
      <formula>$BW$41="Oui"</formula>
    </cfRule>
  </conditionalFormatting>
  <conditionalFormatting sqref="BY60">
    <cfRule type="expression" dxfId="1142" priority="475">
      <formula>$BW$41="Oui"</formula>
    </cfRule>
    <cfRule type="cellIs" dxfId="1141" priority="476" operator="lessThan">
      <formula>$BY$59</formula>
    </cfRule>
    <cfRule type="duplicateValues" dxfId="1140" priority="477"/>
  </conditionalFormatting>
  <conditionalFormatting sqref="CA56">
    <cfRule type="expression" dxfId="1138" priority="285">
      <formula>AND($CA$56&lt;$CE$47,$BW$41="Non")</formula>
    </cfRule>
  </conditionalFormatting>
  <conditionalFormatting sqref="CB78">
    <cfRule type="cellIs" dxfId="1137" priority="572" stopIfTrue="1" operator="equal">
      <formula>"NON"</formula>
    </cfRule>
    <cfRule type="cellIs" dxfId="1136" priority="573" stopIfTrue="1" operator="equal">
      <formula>"OUI"</formula>
    </cfRule>
  </conditionalFormatting>
  <conditionalFormatting sqref="CE53:CE54">
    <cfRule type="expression" dxfId="1135" priority="158">
      <formula>$BW$41="Non"</formula>
    </cfRule>
  </conditionalFormatting>
  <conditionalFormatting sqref="CE57:CE58">
    <cfRule type="expression" dxfId="1134" priority="157">
      <formula>$BW$41="Non"</formula>
    </cfRule>
  </conditionalFormatting>
  <conditionalFormatting sqref="CE3:CF3">
    <cfRule type="expression" dxfId="1133" priority="119">
      <formula>$CD$3=""</formula>
    </cfRule>
    <cfRule type="expression" dxfId="1132" priority="118">
      <formula>AND($CE$3="",$CE$5&lt;&gt;"")</formula>
    </cfRule>
    <cfRule type="expression" dxfId="1131" priority="117">
      <formula>$FX$3="vrai"</formula>
    </cfRule>
  </conditionalFormatting>
  <conditionalFormatting sqref="CE5:CF5">
    <cfRule type="expression" dxfId="1130" priority="126">
      <formula>OR(AND(CE5&lt;&gt;0,CE5&lt;AJ4),AND(CE5&lt;&gt;0,CE5&gt;EG5),AND(CE5&lt;&gt;0,CE5&lt;AB20))</formula>
    </cfRule>
    <cfRule type="expression" dxfId="1129" priority="125">
      <formula>CD5=""</formula>
    </cfRule>
    <cfRule type="expression" dxfId="1128" priority="124">
      <formula>$FX$5="vrai"</formula>
    </cfRule>
  </conditionalFormatting>
  <conditionalFormatting sqref="CE8:CF8">
    <cfRule type="cellIs" dxfId="1127" priority="123" operator="greaterThan">
      <formula>$CE$5</formula>
    </cfRule>
    <cfRule type="expression" dxfId="1126" priority="122">
      <formula>AND(CE8&lt;&gt;0,CE8&lt;AJ4)</formula>
    </cfRule>
    <cfRule type="expression" dxfId="1125" priority="121">
      <formula>CD8=""</formula>
    </cfRule>
    <cfRule type="expression" dxfId="1124" priority="120">
      <formula>$FX$8="vrai"</formula>
    </cfRule>
  </conditionalFormatting>
  <conditionalFormatting sqref="CF47">
    <cfRule type="notContainsBlanks" dxfId="1123" priority="421">
      <formula>LEN(TRIM(CF47))&gt;0</formula>
    </cfRule>
  </conditionalFormatting>
  <conditionalFormatting sqref="CF49">
    <cfRule type="notContainsBlanks" dxfId="1122" priority="420">
      <formula>LEN(TRIM(CF49))&gt;0</formula>
    </cfRule>
  </conditionalFormatting>
  <conditionalFormatting sqref="CF53:CF54">
    <cfRule type="expression" dxfId="1120" priority="161">
      <formula>$BW$41="Non"</formula>
    </cfRule>
  </conditionalFormatting>
  <conditionalFormatting sqref="CF57:CF58">
    <cfRule type="expression" dxfId="1118" priority="159">
      <formula>$BW$41="Non"</formula>
    </cfRule>
  </conditionalFormatting>
  <conditionalFormatting sqref="CG8:CI8">
    <cfRule type="expression" dxfId="1116" priority="253">
      <formula>CD8=""</formula>
    </cfRule>
  </conditionalFormatting>
  <conditionalFormatting sqref="GW16:HR16">
    <cfRule type="expression" dxfId="1115" priority="411">
      <formula>$AE$123="NON"</formula>
    </cfRule>
  </conditionalFormatting>
  <conditionalFormatting sqref="HG16:HJ16">
    <cfRule type="expression" dxfId="1114" priority="4945">
      <formula>AR123&gt;0</formula>
    </cfRule>
  </conditionalFormatting>
  <conditionalFormatting sqref="HK16:HN16">
    <cfRule type="expression" dxfId="1113" priority="4946">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A00-000000000000}">
      <formula1>0</formula1>
      <formula2>0</formula2>
    </dataValidation>
    <dataValidation type="list" allowBlank="1" showInputMessage="1" showErrorMessage="1" sqref="F80:H80" xr:uid="{00000000-0002-0000-1A00-000001000000}">
      <formula1>"Chèque,Espèce,Virement,Pajemploi +,CESU"</formula1>
    </dataValidation>
    <dataValidation type="list" allowBlank="1" showInputMessage="1" showErrorMessage="1" sqref="F82:H82" xr:uid="{00000000-0002-0000-1A00-000002000000}">
      <formula1>"' ,Chèque,Espèce,Virement,Pajemploi +,CESU"</formula1>
    </dataValidation>
    <dataValidation type="list" allowBlank="1" showInputMessage="1" showErrorMessage="1" sqref="AU4:AU10" xr:uid="{00000000-0002-0000-1A00-000003000000}">
      <formula1>"A,B,C,D,E,F,G,H"</formula1>
    </dataValidation>
    <dataValidation showInputMessage="1" showErrorMessage="1" sqref="BY6" xr:uid="{00000000-0002-0000-1A00-000004000000}"/>
    <dataValidation type="list" allowBlank="1" showInputMessage="1" showErrorMessage="1" sqref="L123:M123 L125:M125 AI127:AJ127 AJ125:AK125 CC132 BF20:BF50" xr:uid="{00000000-0002-0000-1A00-000006000000}">
      <formula1>"OUI,NON"</formula1>
    </dataValidation>
    <dataValidation type="list" allowBlank="1" showInputMessage="1" showErrorMessage="1" sqref="BX41" xr:uid="{00000000-0002-0000-1A00-000007000000}">
      <formula1>Table_utilisation_tab_entretien</formula1>
    </dataValidation>
    <dataValidation type="list" showInputMessage="1" showErrorMessage="1" sqref="AR14:AZ14" xr:uid="{00000000-0002-0000-1A00-000009000000}">
      <formula1>calendrier_bs</formula1>
    </dataValidation>
    <dataValidation type="list" showInputMessage="1" showErrorMessage="1" sqref="BZ118" xr:uid="{00000000-0002-0000-1A00-00000A000000}">
      <formula1>"Scénario 1,Scénario 2,Scénario 3,Scénario 4,"</formula1>
    </dataValidation>
    <dataValidation type="list" allowBlank="1" showInputMessage="1" showErrorMessage="1" sqref="BZ2" xr:uid="{00000000-0002-0000-1A00-00000B000000}">
      <formula1>Source_liste_fiche2</formula1>
    </dataValidation>
    <dataValidation type="list" allowBlank="1" showInputMessage="1" sqref="CF58 CF54 DJ51:DK52" xr:uid="{00000000-0002-0000-1A00-00000C000000}">
      <formula1>"1,2,3,4,5,6,7,8,9,10,11,12,13"</formula1>
    </dataValidation>
    <dataValidation allowBlank="1" showInputMessage="1" sqref="BY56 BY60 CE54 CE58" xr:uid="{00000000-0002-0000-1A00-00000D000000}"/>
    <dataValidation type="list" allowBlank="1" showInputMessage="1" sqref="BY57" xr:uid="{00000000-0002-0000-1A00-00000E000000}">
      <formula1>"0,1,2,3,4,5,6,7,8,9,10,11,12,13,14,24"</formula1>
    </dataValidation>
    <dataValidation type="list" allowBlank="1" showInputMessage="1" showErrorMessage="1" sqref="AX76:AY76 AX79:AY79 AX82:AY82 AX85:AY85" xr:uid="{00000000-0002-0000-1A00-00000F000000}">
      <formula1>liste_attestation_modif_pole</formula1>
    </dataValidation>
    <dataValidation type="list" allowBlank="1" showInputMessage="1" showErrorMessage="1" sqref="CE3:CF3" xr:uid="{00000000-0002-0000-1A00-000010000000}">
      <formula1>motif_rupture</formula1>
    </dataValidation>
    <dataValidation type="list" showInputMessage="1" showErrorMessage="1" error="Vous devez choisir entre :_x000a_ - cellule vide_x000a_ - CP Acq_x000a_ - CP Ant" sqref="AR20:AR50" xr:uid="{00000000-0002-0000-1A00-000011000000}">
      <formula1>Source_pose_CP</formula1>
    </dataValidation>
    <dataValidation type="list" allowBlank="1" showInputMessage="1" showErrorMessage="1" sqref="BA60:BA61 AT60:AT61 AX60:AY61" xr:uid="{97BFB62E-3B62-4ED0-B8C1-460F22F8AF55}">
      <formula1>"Non,Oui"</formula1>
    </dataValidation>
    <dataValidation allowBlank="1" showInputMessage="1" showErrorMessage="1" prompt="Vous pouvez choisir avec la petite flèche à droite &quot;Salaires heures normales réelles &quot;" sqref="A18:K18" xr:uid="{A10E8397-A132-46CF-8873-5F104427D810}"/>
    <dataValidation type="list" errorStyle="information" allowBlank="1" showInputMessage="1" showErrorMessage="1" error="Faites Entrée pour valider le nombre d'heures" sqref="AZ20:AZ50" xr:uid="{1F538524-7A7C-44B0-A652-DD0EA2E5CF2E}">
      <formula1>liste_motif</formula1>
    </dataValidation>
    <dataValidation type="list" allowBlank="1" showInputMessage="1" showErrorMessage="1" sqref="AZ62:AZ63" xr:uid="{C88E3301-E9CA-4F6F-9790-BD592A1FAADC}">
      <formula1>liste_hrs_jrs</formula1>
    </dataValidation>
    <dataValidation type="list" allowBlank="1" showInputMessage="1" showErrorMessage="1" sqref="AO131:AP133 AH133:AI133" xr:uid="{9C8EB8CB-3442-4019-AEFF-AACA608CBC46}">
      <formula1>"Oui,Non"</formula1>
    </dataValidation>
    <dataValidation type="list" allowBlank="1" showInputMessage="1" showErrorMessage="1" sqref="AJ135:AK135" xr:uid="{82D0122E-145E-42E9-AF54-E7068AB22B9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95" id="{0CF8F7EF-415E-4D3A-8576-A2FE64A31E0C}">
            <xm:f>Mars!$BY$8="OUI"</xm:f>
            <x14:dxf>
              <font>
                <color theme="0"/>
              </font>
              <fill>
                <patternFill>
                  <bgColor theme="0"/>
                </patternFill>
              </fill>
            </x14:dxf>
          </x14:cfRule>
          <xm:sqref>BZ8</xm:sqref>
        </x14:conditionalFormatting>
        <x14:conditionalFormatting xmlns:xm="http://schemas.microsoft.com/office/excel/2006/main">
          <x14:cfRule type="expression" priority="162" id="{22BA5FE9-6A6B-4A9F-9396-0541E97ABEE0}">
            <xm:f>AND($EO$11="NON",$CC$44=S.CAL!$BC$4)</xm:f>
            <x14:dxf>
              <fill>
                <patternFill>
                  <bgColor rgb="FFFF0000"/>
                </patternFill>
              </fill>
            </x14:dxf>
          </x14:cfRule>
          <xm:sqref>CF53:CF54</xm:sqref>
        </x14:conditionalFormatting>
        <x14:conditionalFormatting xmlns:xm="http://schemas.microsoft.com/office/excel/2006/main">
          <x14:cfRule type="expression" priority="156" id="{8E44458F-5087-4767-B9CC-91F298662005}">
            <xm:f>AND($CF$55&lt;$CE$49/9,$CF$55&lt;&gt;"",$BW$41="Oui",$CC$44=S.CAL!$BC$4)</xm:f>
            <x14:dxf>
              <fill>
                <patternFill>
                  <bgColor rgb="FFFF0000"/>
                </patternFill>
              </fill>
            </x14:dxf>
          </x14:cfRule>
          <xm:sqref>CF55</xm:sqref>
        </x14:conditionalFormatting>
        <x14:conditionalFormatting xmlns:xm="http://schemas.microsoft.com/office/excel/2006/main">
          <x14:cfRule type="expression" priority="160" id="{E46B79C0-48BA-40A0-95A3-F4F32D3E7E39}">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13000000}">
          <x14:formula1>
            <xm:f>S.CAL!$V$2:$V$4</xm:f>
          </x14:formula1>
          <xm:sqref>BZ8 AN123:AO123 AN129:AO129</xm:sqref>
        </x14:dataValidation>
        <x14:dataValidation type="list" allowBlank="1" showInputMessage="1" showErrorMessage="1" xr:uid="{00000000-0002-0000-1A00-000014000000}">
          <x14:formula1>
            <xm:f>S.CAL!$S$2:$S$4</xm:f>
          </x14:formula1>
          <xm:sqref>BZ6</xm:sqref>
        </x14:dataValidation>
        <x14:dataValidation type="list" allowBlank="1" showInputMessage="1" showErrorMessage="1" xr:uid="{200BC909-F81F-4FE7-B147-B76D51F73C92}">
          <x14:formula1>
            <xm:f>S.CAL!$BC$2:$BC$5</xm:f>
          </x14:formula1>
          <xm:sqref>CC45:CD45</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A1:JG149"/>
  <sheetViews>
    <sheetView showGridLines="0" zoomScale="90" zoomScaleNormal="90" workbookViewId="0">
      <selection sqref="A1:AO1"/>
    </sheetView>
  </sheetViews>
  <sheetFormatPr baseColWidth="10" defaultColWidth="11.42578125" defaultRowHeight="12.75" x14ac:dyDescent="0.2"/>
  <cols>
    <col min="1" max="1" width="3.85546875" style="129" customWidth="1"/>
    <col min="2" max="2" width="9" style="129" customWidth="1"/>
    <col min="3" max="5" width="3.42578125" style="129" customWidth="1"/>
    <col min="6" max="7" width="4.85546875" style="129" customWidth="1"/>
    <col min="8" max="10" width="3.42578125" style="129" customWidth="1"/>
    <col min="11" max="11" width="3.5703125" style="129" customWidth="1"/>
    <col min="12" max="12" width="3.42578125" style="129" customWidth="1"/>
    <col min="13" max="13" width="3.5703125" style="129" customWidth="1"/>
    <col min="14" max="14" width="4" style="129" customWidth="1"/>
    <col min="15" max="15" width="3.85546875" style="129" customWidth="1"/>
    <col min="16" max="16" width="4.140625"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4.710937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67" width="11.42578125" style="129" hidden="1" customWidth="1"/>
    <col min="268" max="343" width="0" style="129" hidden="1"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DATE(YEAR(Janvier!X3),MONTH(Janvier!X3)+4,DAY(Janvier!X3))</f>
        <v>46143</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18</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IF(Avril!BY8="OUI","Contrat fini",BY2)</f>
        <v>Fiche info</v>
      </c>
      <c r="EF4" s="315" t="s">
        <v>1028</v>
      </c>
      <c r="EG4" s="737">
        <f>+Identification!B95</f>
        <v>0</v>
      </c>
      <c r="FG4" s="315" t="str">
        <f>IFERROR(IF(VLOOKUP(AT4,Avril!$AT$4:$AU$10,2,FALSE)&lt;&gt;Mai!AU4,"rouge","ok"),0)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46143</v>
      </c>
      <c r="Y5" s="2206"/>
      <c r="Z5" s="1743" t="s">
        <v>451</v>
      </c>
      <c r="AA5" s="1743"/>
      <c r="AB5" s="2206">
        <f>+IF(AND(DATE(YEAR(EG4),MONTH(EG4),DAY(EG4))&gt;=DATE(YEAR(X3),MONTH(X3),DAY(X3)),DATE(YEAR(EG4),MONTH(EG4),DAY(EG4))&lt;=DATE(YEAR(X3),MONTH(X3),DAY(EOMONTH(X3,0)))),EG4,EOMONTH(X3,0))</f>
        <v>46173</v>
      </c>
      <c r="AC5" s="2210"/>
      <c r="AP5" s="209"/>
      <c r="AQ5" s="318"/>
      <c r="AR5" s="209"/>
      <c r="AS5" s="210"/>
      <c r="AT5" s="301">
        <f t="array" ref="AT5">IFERROR(INDEX($BK$20:$BK$50,MATCH(0,INDEX(COUNTIF($AT$3:AT4,$BK$20:$BK$50),0,0),0)),"")</f>
        <v>19</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46173</v>
      </c>
      <c r="FG5" s="315">
        <f>IFERROR(IF(VLOOKUP(AT5,Avril!$AT$4:$AU$10,2,FALSE)&lt;&gt;Mai!AU5,"rouge","ok"),0)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20</v>
      </c>
      <c r="AU6" s="1122" t="s">
        <v>226</v>
      </c>
      <c r="BQ6" s="578"/>
      <c r="BR6" s="578"/>
      <c r="BS6" s="578"/>
      <c r="BT6" s="578"/>
      <c r="BU6" s="578"/>
      <c r="BV6" s="578"/>
      <c r="BW6" s="578"/>
      <c r="BX6" s="579" t="s">
        <v>509</v>
      </c>
      <c r="BY6" s="580" t="str">
        <f>+IF(BZ6="",Avril!BY6,BZ6)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IFERROR(IF(VLOOKUP(AT6,Avril!$AT$4:$AU$10,2,FALSE)&lt;&gt;Mai!AU6,"rouge","ok"),0)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21</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IFERROR(IF(VLOOKUP(AT7,Avril!$AT$4:$AU$10,2,FALSE)&lt;&gt;Mai!AU7,"rouge","ok"),0)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22</v>
      </c>
      <c r="AU8" s="1122" t="s">
        <v>226</v>
      </c>
      <c r="BG8" s="240"/>
      <c r="BH8" s="1439" t="str">
        <f>+AT3</f>
        <v>N° Sem.</v>
      </c>
      <c r="BI8" s="1440" t="s">
        <v>1552</v>
      </c>
      <c r="BQ8" s="1985" t="s">
        <v>210</v>
      </c>
      <c r="BR8" s="1986"/>
      <c r="BS8" s="1986"/>
      <c r="BT8" s="1986"/>
      <c r="BU8" s="1986"/>
      <c r="BV8" s="1986"/>
      <c r="BW8" s="1986"/>
      <c r="BX8" s="1986"/>
      <c r="BY8" s="965" t="str">
        <f>IF(BZ8="",Avril!BY8,BZ8)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IFERROR(IF(VLOOKUP(AT8,Avril!$AT$4:$AU$10,2,FALSE)&lt;&gt;Mai!AU8,"rouge","ok"),0)</f>
        <v>0</v>
      </c>
      <c r="FX8" s="129" t="str">
        <f>+IF(AND(CD8="",CE8&lt;&gt;""),"vrai","faux")</f>
        <v>faux</v>
      </c>
    </row>
    <row r="9" spans="1:226" ht="11.2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182026</v>
      </c>
      <c r="BH9" s="1441">
        <f t="shared" ref="BH9:BH14" si="0">+AT4</f>
        <v>18</v>
      </c>
      <c r="BI9" s="1442">
        <f>IF($AR$13=S.CAL!$CU$2,+SUMIF(S.CAL!$FW$3:$FW$374,BG9,S.CAL!$FX$3:$FX$374),IF($AR$13=S.CAL!$CU$3,SUMIF(Feuilles_de_présence_planning!$EG$12:$EG$537,BG9,Feuilles_de_présence_planning!$EE$12:$EE$537),"err"))</f>
        <v>0</v>
      </c>
      <c r="BY9" s="196" t="str">
        <f>+IF(Avril!BY8="OUI","FIN","O")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IFERROR(IF(VLOOKUP(AT9,Avril!$AT$4:$AU$10,2,FALSE)&lt;&gt;Mai!AU9,"rouge","ok"),0)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192026</v>
      </c>
      <c r="BH10" s="1441">
        <f t="shared" si="0"/>
        <v>19</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IFERROR(IF(VLOOKUP(AT10,Avril!$AT$4:$AU$10,2,FALSE)&lt;&gt;Mai!AU10,"rouge","ok"),0)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202026</v>
      </c>
      <c r="BH11" s="1441">
        <f t="shared" si="0"/>
        <v>20</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212026</v>
      </c>
      <c r="BH12" s="1441">
        <f t="shared" si="0"/>
        <v>21</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+IF(AJ4&lt;DATE(YEAR(EI21)-2,6,1),DATE(YEAR(EI21)-2,6,1),DATE(YEAR(AJ4),MONTH(AJ4),1))</f>
        <v>45444</v>
      </c>
      <c r="EG12" s="315">
        <f>IFERROR(+DATEDIF(EF12,DATE(YEAR(EH12),MONTH(EH12),DAY(EH12)),"m"),0)</f>
        <v>12</v>
      </c>
      <c r="EH12" s="737">
        <f>+IF(AJ4&lt;DATE(YEAR(EI21)-1,6,1),DATE(YEAR(EI21)-1,6,1),DATE(YEAR(AJ4),MONTH(AJ4),1))</f>
        <v>45809</v>
      </c>
      <c r="EI12" s="315">
        <f>IFERROR(+DATEDIF(EH12,DATE(YEAR(EI22),MONTH(EI22)+1,1),"m"),0)</f>
        <v>12</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IF(AR14="",Avril!AR13,AR14)</f>
        <v>à partir du tableau ci-dessous</v>
      </c>
      <c r="AS13" s="2372"/>
      <c r="AT13" s="2372"/>
      <c r="AU13" s="2372"/>
      <c r="AV13" s="2372"/>
      <c r="AW13" s="2372"/>
      <c r="AX13" s="2372"/>
      <c r="AY13" s="2372"/>
      <c r="AZ13" s="2372"/>
      <c r="BA13" s="2355" t="s">
        <v>1086</v>
      </c>
      <c r="BB13" s="2355"/>
      <c r="BC13" s="2355"/>
      <c r="BD13" s="951"/>
      <c r="BG13" s="1430" t="str">
        <f t="shared" si="1"/>
        <v>222026</v>
      </c>
      <c r="BH13" s="1441">
        <f t="shared" si="0"/>
        <v>22</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W13" s="315" t="s">
        <v>965</v>
      </c>
      <c r="EX13" s="315" t="str">
        <f>+IF(AR13=S.CAL!CU3,"oui","non")</f>
        <v>non</v>
      </c>
    </row>
    <row r="14" spans="1:226" ht="12.7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+Avril!EF16</f>
        <v>0</v>
      </c>
      <c r="EG16" s="741">
        <f>+Avril!EG16</f>
        <v>0</v>
      </c>
      <c r="EH16" s="741">
        <f>+Avril!EH16+Avril!EH17</f>
        <v>0</v>
      </c>
      <c r="EI16" s="741">
        <f>+Avril!EI16+Avril!EI17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Mai'!D18:D48,"&gt;0")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46143</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18</v>
      </c>
      <c r="AQ20" s="322"/>
      <c r="AR20" s="1123"/>
      <c r="AS20" s="314">
        <f t="shared" ref="AS20:AS50" si="3">SUM(AD20:AL20)</f>
        <v>0</v>
      </c>
      <c r="AT20" s="1124"/>
      <c r="AU20" s="1124"/>
      <c r="AV20" s="314"/>
      <c r="AW20" s="2150">
        <f>AB20</f>
        <v>46143</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infoA5</v>
      </c>
      <c r="BK20" s="129">
        <f>IFERROR(WEEKNUM(AB20,21),"")</f>
        <v>18</v>
      </c>
      <c r="BL20" s="129" t="str">
        <f t="shared" ref="BL20:BL50" si="4">+VLOOKUP(BK20,$AT$4:$AU$10,2,)</f>
        <v>A</v>
      </c>
      <c r="BM20" s="129">
        <f t="shared" ref="BM20:BM21" si="5">WEEKDAY(AB20,2)</f>
        <v>5</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46143</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46143</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18</v>
      </c>
      <c r="GA20" s="129">
        <f>+$X$4</f>
        <v>2026</v>
      </c>
      <c r="GB20" s="129" t="str">
        <f>+FZ20&amp;GA20</f>
        <v>182026</v>
      </c>
      <c r="GC20" s="223">
        <f>IF(AND($GD$53=S.CAL!$P$3,$GD$52=FZ20),GE20,IF(BH20="",0,BH20))</f>
        <v>0</v>
      </c>
      <c r="GD20" s="129" t="str">
        <f>IFERROR(+Juin!$BY$2&amp;BL20&amp;BM20,0)</f>
        <v>Fiche infoA5</v>
      </c>
      <c r="GE20" s="129" t="str">
        <f t="shared" ref="GE20:GE50" si="19">+IFERROR(VLOOKUP(GD20,Base_heures,6,FALSE),"")</f>
        <v/>
      </c>
      <c r="GF20" s="223" t="str">
        <f>IF(FP20=1,GG20,AM20)</f>
        <v/>
      </c>
      <c r="GG20" s="1446" t="str">
        <f>+'Retenue Mai'!D18</f>
        <v/>
      </c>
      <c r="GH20" s="1446">
        <f>IF(Identification!$B$132="Non",+'Retenue Mai'!BF18,+'Retenue Mai'!BE18)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46144</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46144</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infoA6</v>
      </c>
      <c r="BK21" s="129">
        <f t="shared" ref="BK21" si="27">IFERROR(WEEKNUM(AB21,21),"")</f>
        <v>18</v>
      </c>
      <c r="BL21" s="129" t="str">
        <f t="shared" si="4"/>
        <v>A</v>
      </c>
      <c r="BM21" s="129">
        <f t="shared" si="5"/>
        <v>6</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46143</v>
      </c>
      <c r="EJ21" s="737"/>
      <c r="EK21" s="737"/>
      <c r="EQ21" s="748">
        <f t="shared" ref="EQ21" si="28">+AB21</f>
        <v>46144</v>
      </c>
      <c r="ER21" s="749">
        <f t="shared" si="10"/>
        <v>0</v>
      </c>
      <c r="ES21" s="750">
        <f t="shared" si="11"/>
        <v>0</v>
      </c>
      <c r="ET21" s="749">
        <f t="shared" si="12"/>
        <v>0</v>
      </c>
      <c r="EU21" s="750">
        <f t="shared" si="13"/>
        <v>0</v>
      </c>
      <c r="EV21" s="749" t="str">
        <f t="shared" si="14"/>
        <v/>
      </c>
      <c r="EW21" s="751">
        <f t="shared" ref="EW21:EW50" si="29">+EQ21</f>
        <v>46144</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18</v>
      </c>
      <c r="GA21" s="129">
        <f t="shared" ref="GA21:GA50" si="39">+$X$4</f>
        <v>2026</v>
      </c>
      <c r="GB21" s="129" t="str">
        <f t="shared" ref="GB21:GB48" si="40">+FZ21&amp;GA21</f>
        <v>182026</v>
      </c>
      <c r="GC21" s="223">
        <f>IF(AND($GD$53=S.CAL!$P$3,$GD$52=FZ21),GE21,IF(BH21="",0,BH21))</f>
        <v>0</v>
      </c>
      <c r="GD21" s="129" t="str">
        <f>IFERROR(+Juin!$BY$2&amp;BL21&amp;BM21,0)</f>
        <v>Fiche infoA6</v>
      </c>
      <c r="GE21" s="129" t="str">
        <f t="shared" si="19"/>
        <v/>
      </c>
      <c r="GF21" s="223" t="str">
        <f t="shared" ref="GF21:GF48" si="41">IF(FP21=1,GG21,AM21)</f>
        <v/>
      </c>
      <c r="GG21" s="1446" t="str">
        <f>+'Retenue Mai'!D19</f>
        <v/>
      </c>
      <c r="GH21" s="1446">
        <f>IF(Identification!$B$132="Non",+'Retenue Mai'!BF19,+'Retenue Mai'!BE19)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46145</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46145</v>
      </c>
      <c r="AX22" s="1761"/>
      <c r="AY22" s="314"/>
      <c r="AZ22" s="1104"/>
      <c r="BA22" s="973"/>
      <c r="BB22" s="543"/>
      <c r="BC22" s="548">
        <f t="shared" si="23"/>
        <v>0</v>
      </c>
      <c r="BD22" s="1104"/>
      <c r="BE22" s="807">
        <f t="shared" si="24"/>
        <v>0</v>
      </c>
      <c r="BF22" s="1128"/>
      <c r="BG22" s="222"/>
      <c r="BH22" s="548" t="str">
        <f t="shared" si="25"/>
        <v/>
      </c>
      <c r="BI22" s="1128"/>
      <c r="BJ22" s="129" t="str">
        <f t="shared" si="26"/>
        <v>Fiche infoA7</v>
      </c>
      <c r="BK22" s="129">
        <f t="shared" ref="BK22:BK50" si="49">IFERROR(WEEKNUM(AB22,21),"")</f>
        <v>18</v>
      </c>
      <c r="BL22" s="129" t="str">
        <f t="shared" si="4"/>
        <v>A</v>
      </c>
      <c r="BM22" s="129">
        <f t="shared" ref="BM22:BM47" si="50">WEEKDAY(AB22,2)</f>
        <v>7</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46173</v>
      </c>
      <c r="EJ22" s="737"/>
      <c r="EK22" s="737"/>
      <c r="EQ22" s="748">
        <f t="shared" ref="EQ22:EQ50" si="53">+AB22</f>
        <v>46145</v>
      </c>
      <c r="ER22" s="749">
        <f t="shared" si="10"/>
        <v>0</v>
      </c>
      <c r="ES22" s="750">
        <f t="shared" si="11"/>
        <v>0</v>
      </c>
      <c r="ET22" s="749">
        <f t="shared" si="12"/>
        <v>0</v>
      </c>
      <c r="EU22" s="750">
        <f t="shared" si="13"/>
        <v>0</v>
      </c>
      <c r="EV22" s="749" t="str">
        <f t="shared" si="14"/>
        <v/>
      </c>
      <c r="EW22" s="751">
        <f t="shared" si="29"/>
        <v>46145</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18</v>
      </c>
      <c r="GA22" s="129">
        <f t="shared" si="39"/>
        <v>2026</v>
      </c>
      <c r="GB22" s="129" t="str">
        <f t="shared" si="40"/>
        <v>182026</v>
      </c>
      <c r="GC22" s="223">
        <f>IF(AND($GD$53=S.CAL!$P$3,$GD$52=FZ22),GE22,IF(BH22="",0,BH22))</f>
        <v>0</v>
      </c>
      <c r="GD22" s="129" t="str">
        <f>IFERROR(+Juin!$BY$2&amp;BL22&amp;BM22,0)</f>
        <v>Fiche infoA7</v>
      </c>
      <c r="GE22" s="129" t="str">
        <f t="shared" si="19"/>
        <v/>
      </c>
      <c r="GF22" s="223" t="str">
        <f t="shared" si="41"/>
        <v/>
      </c>
      <c r="GG22" s="1446" t="str">
        <f>+'Retenue Mai'!D20</f>
        <v/>
      </c>
      <c r="GH22" s="1446">
        <f>IF(Identification!$B$132="Non",+'Retenue Mai'!BF20,+'Retenue Mai'!BE20)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46146</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f t="shared" si="48"/>
        <v>19</v>
      </c>
      <c r="AQ23" s="322"/>
      <c r="AR23" s="1104"/>
      <c r="AS23" s="314">
        <f t="shared" si="3"/>
        <v>0</v>
      </c>
      <c r="AT23" s="1125"/>
      <c r="AU23" s="1125"/>
      <c r="AV23" s="314"/>
      <c r="AW23" s="1791">
        <f t="shared" si="22"/>
        <v>46146</v>
      </c>
      <c r="AX23" s="1761"/>
      <c r="AY23" s="314"/>
      <c r="AZ23" s="1104"/>
      <c r="BA23" s="973"/>
      <c r="BB23" s="543"/>
      <c r="BC23" s="548">
        <f t="shared" si="23"/>
        <v>0</v>
      </c>
      <c r="BD23" s="1104"/>
      <c r="BE23" s="807">
        <f t="shared" si="24"/>
        <v>0</v>
      </c>
      <c r="BF23" s="1128"/>
      <c r="BG23" s="222"/>
      <c r="BH23" s="548" t="str">
        <f t="shared" si="25"/>
        <v/>
      </c>
      <c r="BI23" s="1128"/>
      <c r="BJ23" s="129" t="str">
        <f t="shared" si="26"/>
        <v>Fiche infoA1</v>
      </c>
      <c r="BK23" s="129">
        <f t="shared" si="49"/>
        <v>19</v>
      </c>
      <c r="BL23" s="129" t="str">
        <f t="shared" si="4"/>
        <v>A</v>
      </c>
      <c r="BM23" s="129">
        <f t="shared" si="50"/>
        <v>1</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46146</v>
      </c>
      <c r="ER23" s="749">
        <f t="shared" si="10"/>
        <v>0</v>
      </c>
      <c r="ES23" s="750">
        <f t="shared" si="11"/>
        <v>0</v>
      </c>
      <c r="ET23" s="749">
        <f t="shared" si="12"/>
        <v>0</v>
      </c>
      <c r="EU23" s="750">
        <f t="shared" si="13"/>
        <v>0</v>
      </c>
      <c r="EV23" s="749" t="str">
        <f t="shared" si="14"/>
        <v/>
      </c>
      <c r="EW23" s="751">
        <f t="shared" si="29"/>
        <v>46146</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19</v>
      </c>
      <c r="GA23" s="129">
        <f t="shared" si="39"/>
        <v>2026</v>
      </c>
      <c r="GB23" s="129" t="str">
        <f t="shared" si="40"/>
        <v>192026</v>
      </c>
      <c r="GC23" s="223">
        <f>IF(AND($GD$53=S.CAL!$P$3,$GD$52=FZ23),GE23,IF(BH23="",0,BH23))</f>
        <v>0</v>
      </c>
      <c r="GD23" s="129" t="str">
        <f>IFERROR(+Juin!$BY$2&amp;BL23&amp;BM23,0)</f>
        <v>Fiche infoA1</v>
      </c>
      <c r="GE23" s="129" t="str">
        <f t="shared" si="19"/>
        <v/>
      </c>
      <c r="GF23" s="223" t="str">
        <f t="shared" si="41"/>
        <v/>
      </c>
      <c r="GG23" s="1446" t="str">
        <f>+'Retenue Mai'!D21</f>
        <v/>
      </c>
      <c r="GH23" s="1446">
        <f>IF(Identification!$B$132="Non",+'Retenue Mai'!BF21,+'Retenue Mai'!BE21)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46147</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46147</v>
      </c>
      <c r="AX24" s="1761"/>
      <c r="AY24" s="314"/>
      <c r="AZ24" s="1104"/>
      <c r="BA24" s="973"/>
      <c r="BB24" s="543"/>
      <c r="BC24" s="548">
        <f t="shared" si="23"/>
        <v>0</v>
      </c>
      <c r="BD24" s="1104"/>
      <c r="BE24" s="807">
        <f t="shared" si="24"/>
        <v>0</v>
      </c>
      <c r="BF24" s="1128"/>
      <c r="BG24" s="222"/>
      <c r="BH24" s="548" t="str">
        <f t="shared" si="25"/>
        <v/>
      </c>
      <c r="BI24" s="1128"/>
      <c r="BJ24" s="129" t="str">
        <f t="shared" si="26"/>
        <v>Fiche infoA2</v>
      </c>
      <c r="BK24" s="129">
        <f t="shared" si="49"/>
        <v>19</v>
      </c>
      <c r="BL24" s="129" t="str">
        <f t="shared" si="4"/>
        <v>A</v>
      </c>
      <c r="BM24" s="129">
        <f t="shared" si="50"/>
        <v>2</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46147</v>
      </c>
      <c r="ER24" s="749">
        <f t="shared" si="10"/>
        <v>0</v>
      </c>
      <c r="ES24" s="750">
        <f t="shared" si="11"/>
        <v>0</v>
      </c>
      <c r="ET24" s="749">
        <f t="shared" si="12"/>
        <v>0</v>
      </c>
      <c r="EU24" s="750">
        <f t="shared" si="13"/>
        <v>0</v>
      </c>
      <c r="EV24" s="749" t="str">
        <f t="shared" si="14"/>
        <v/>
      </c>
      <c r="EW24" s="751">
        <f t="shared" si="29"/>
        <v>46147</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19</v>
      </c>
      <c r="GA24" s="129">
        <f t="shared" si="39"/>
        <v>2026</v>
      </c>
      <c r="GB24" s="129" t="str">
        <f t="shared" si="40"/>
        <v>192026</v>
      </c>
      <c r="GC24" s="223">
        <f>IF(AND($GD$53=S.CAL!$P$3,$GD$52=FZ24),GE24,IF(BH24="",0,BH24))</f>
        <v>0</v>
      </c>
      <c r="GD24" s="129" t="str">
        <f>IFERROR(+Juin!$BY$2&amp;BL24&amp;BM24,0)</f>
        <v>Fiche infoA2</v>
      </c>
      <c r="GE24" s="129" t="str">
        <f t="shared" si="19"/>
        <v/>
      </c>
      <c r="GF24" s="223" t="str">
        <f t="shared" si="41"/>
        <v/>
      </c>
      <c r="GG24" s="1446" t="str">
        <f>+'Retenue Mai'!D22</f>
        <v/>
      </c>
      <c r="GH24" s="1446">
        <f>IF(Identification!$B$132="Non",+'Retenue Mai'!BF22,+'Retenue Mai'!BE22)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Mai'!R48*-1)</f>
        <v>#DIV/0!</v>
      </c>
      <c r="M25" s="2142"/>
      <c r="N25" s="2142"/>
      <c r="O25" s="2143"/>
      <c r="P25" s="1753" t="e">
        <f>+IF(L25,T25/L25,0)</f>
        <v>#DIV/0!</v>
      </c>
      <c r="Q25" s="1969"/>
      <c r="R25" s="1969"/>
      <c r="S25" s="1970"/>
      <c r="T25" s="1966">
        <f>IF(A18="Salaire heures normales réelles",0,'Retenue Mai'!R52*-1)</f>
        <v>0</v>
      </c>
      <c r="U25" s="1967"/>
      <c r="V25" s="1967"/>
      <c r="W25" s="1968"/>
      <c r="X25" s="224"/>
      <c r="Y25" s="224"/>
      <c r="Z25" s="224"/>
      <c r="AA25" s="885" t="str">
        <f>IF(AND(BE25="OUI",$AR$13=S.CAL!$CU$2),"►",IF(AND(EV25="OUI",$AR$13=S.CAL!$CU$3),"►",""))</f>
        <v/>
      </c>
      <c r="AB25" s="1760">
        <f>+$X$3+5</f>
        <v>46148</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46148</v>
      </c>
      <c r="AX25" s="1761"/>
      <c r="AY25" s="314"/>
      <c r="AZ25" s="1104"/>
      <c r="BA25" s="973"/>
      <c r="BB25" s="543"/>
      <c r="BC25" s="548">
        <f t="shared" si="23"/>
        <v>0</v>
      </c>
      <c r="BD25" s="1104"/>
      <c r="BE25" s="807">
        <f t="shared" si="24"/>
        <v>0</v>
      </c>
      <c r="BF25" s="1128"/>
      <c r="BG25" s="222"/>
      <c r="BH25" s="548" t="str">
        <f t="shared" si="25"/>
        <v/>
      </c>
      <c r="BI25" s="1128"/>
      <c r="BJ25" s="129" t="str">
        <f t="shared" si="26"/>
        <v>Fiche infoA3</v>
      </c>
      <c r="BK25" s="129">
        <f t="shared" si="49"/>
        <v>19</v>
      </c>
      <c r="BL25" s="129" t="str">
        <f t="shared" si="4"/>
        <v>A</v>
      </c>
      <c r="BM25" s="129">
        <f t="shared" si="50"/>
        <v>3</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46148</v>
      </c>
      <c r="ER25" s="749">
        <f t="shared" si="10"/>
        <v>0</v>
      </c>
      <c r="ES25" s="750">
        <f t="shared" si="11"/>
        <v>0</v>
      </c>
      <c r="ET25" s="749">
        <f t="shared" si="12"/>
        <v>0</v>
      </c>
      <c r="EU25" s="750">
        <f t="shared" si="13"/>
        <v>0</v>
      </c>
      <c r="EV25" s="749" t="str">
        <f t="shared" si="14"/>
        <v/>
      </c>
      <c r="EW25" s="751">
        <f t="shared" si="29"/>
        <v>46148</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19</v>
      </c>
      <c r="GA25" s="129">
        <f t="shared" si="39"/>
        <v>2026</v>
      </c>
      <c r="GB25" s="129" t="str">
        <f t="shared" si="40"/>
        <v>192026</v>
      </c>
      <c r="GC25" s="223">
        <f>IF(AND($GD$53=S.CAL!$P$3,$GD$52=FZ25),GE25,IF(BH25="",0,BH25))</f>
        <v>0</v>
      </c>
      <c r="GD25" s="129" t="str">
        <f>IFERROR(+Juin!$BY$2&amp;BL25&amp;BM25,0)</f>
        <v>Fiche infoA3</v>
      </c>
      <c r="GE25" s="129" t="str">
        <f t="shared" si="19"/>
        <v/>
      </c>
      <c r="GF25" s="223" t="str">
        <f t="shared" si="41"/>
        <v/>
      </c>
      <c r="GG25" s="1446" t="str">
        <f>+'Retenue Mai'!D23</f>
        <v/>
      </c>
      <c r="GH25" s="1446">
        <f>IF(Identification!$B$132="Non",+'Retenue Mai'!BF23,+'Retenue Mai'!BE23)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Mai'!R50*-1)</f>
        <v>#DIV/0!</v>
      </c>
      <c r="M26" s="2142"/>
      <c r="N26" s="2142"/>
      <c r="O26" s="2143"/>
      <c r="P26" s="1753" t="e">
        <f>+IF(L26,T26/L26,0)</f>
        <v>#DIV/0!</v>
      </c>
      <c r="Q26" s="1969"/>
      <c r="R26" s="1969"/>
      <c r="S26" s="1970"/>
      <c r="T26" s="1966">
        <f>IF(A18="Salaire heures normales réelles",0,'Retenue Mai'!R54*-1)</f>
        <v>0</v>
      </c>
      <c r="U26" s="1967"/>
      <c r="V26" s="1967"/>
      <c r="W26" s="1968"/>
      <c r="X26" s="221"/>
      <c r="Y26" s="221"/>
      <c r="Z26" s="221"/>
      <c r="AA26" s="885" t="str">
        <f>IF(AND(BE26="OUI",$AR$13=S.CAL!$CU$2),"►",IF(AND(EV26="OUI",$AR$13=S.CAL!$CU$3),"►",""))</f>
        <v/>
      </c>
      <c r="AB26" s="1760">
        <f>+$X$3+6</f>
        <v>46149</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46149</v>
      </c>
      <c r="AX26" s="1761"/>
      <c r="AY26" s="314"/>
      <c r="AZ26" s="1104"/>
      <c r="BA26" s="973"/>
      <c r="BB26" s="543"/>
      <c r="BC26" s="548">
        <f t="shared" si="23"/>
        <v>0</v>
      </c>
      <c r="BD26" s="1104"/>
      <c r="BE26" s="807">
        <f t="shared" si="24"/>
        <v>0</v>
      </c>
      <c r="BF26" s="1128"/>
      <c r="BG26" s="222"/>
      <c r="BH26" s="548" t="str">
        <f t="shared" si="25"/>
        <v/>
      </c>
      <c r="BI26" s="1128"/>
      <c r="BJ26" s="129" t="str">
        <f t="shared" si="26"/>
        <v>Fiche infoA4</v>
      </c>
      <c r="BK26" s="129">
        <f t="shared" si="49"/>
        <v>19</v>
      </c>
      <c r="BL26" s="129" t="str">
        <f t="shared" si="4"/>
        <v>A</v>
      </c>
      <c r="BM26" s="129">
        <f t="shared" si="50"/>
        <v>4</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46149</v>
      </c>
      <c r="ER26" s="749">
        <f t="shared" si="10"/>
        <v>0</v>
      </c>
      <c r="ES26" s="750">
        <f t="shared" si="11"/>
        <v>0</v>
      </c>
      <c r="ET26" s="749">
        <f t="shared" si="12"/>
        <v>0</v>
      </c>
      <c r="EU26" s="750">
        <f t="shared" si="13"/>
        <v>0</v>
      </c>
      <c r="EV26" s="749" t="str">
        <f t="shared" si="14"/>
        <v/>
      </c>
      <c r="EW26" s="751">
        <f t="shared" si="29"/>
        <v>46149</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19</v>
      </c>
      <c r="GA26" s="129">
        <f t="shared" si="39"/>
        <v>2026</v>
      </c>
      <c r="GB26" s="129" t="str">
        <f t="shared" si="40"/>
        <v>192026</v>
      </c>
      <c r="GC26" s="223">
        <f>IF(AND($GD$53=S.CAL!$P$3,$GD$52=FZ26),GE26,IF(BH26="",0,BH26))</f>
        <v>0</v>
      </c>
      <c r="GD26" s="129" t="str">
        <f>IFERROR(+Juin!$BY$2&amp;BL26&amp;BM26,0)</f>
        <v>Fiche infoA4</v>
      </c>
      <c r="GE26" s="129" t="str">
        <f t="shared" si="19"/>
        <v/>
      </c>
      <c r="GF26" s="223" t="str">
        <f t="shared" si="41"/>
        <v/>
      </c>
      <c r="GG26" s="1446" t="str">
        <f>+'Retenue Mai'!D24</f>
        <v/>
      </c>
      <c r="GH26" s="1446">
        <f>IF(Identification!$B$132="Non",+'Retenue Mai'!BF24,+'Retenue Mai'!BE24)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46150</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46150</v>
      </c>
      <c r="AX27" s="1761"/>
      <c r="AY27" s="314"/>
      <c r="AZ27" s="1104"/>
      <c r="BA27" s="973"/>
      <c r="BB27" s="543"/>
      <c r="BC27" s="548">
        <f t="shared" si="23"/>
        <v>0</v>
      </c>
      <c r="BD27" s="1104"/>
      <c r="BE27" s="807">
        <f t="shared" si="24"/>
        <v>0</v>
      </c>
      <c r="BF27" s="1128"/>
      <c r="BG27" s="222"/>
      <c r="BH27" s="548" t="str">
        <f t="shared" si="25"/>
        <v/>
      </c>
      <c r="BI27" s="1128"/>
      <c r="BJ27" s="129" t="str">
        <f t="shared" si="26"/>
        <v>Fiche infoA5</v>
      </c>
      <c r="BK27" s="129">
        <f t="shared" si="49"/>
        <v>19</v>
      </c>
      <c r="BL27" s="129" t="str">
        <f t="shared" si="4"/>
        <v>A</v>
      </c>
      <c r="BM27" s="129">
        <f t="shared" si="50"/>
        <v>5</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46150</v>
      </c>
      <c r="ER27" s="749">
        <f t="shared" si="10"/>
        <v>0</v>
      </c>
      <c r="ES27" s="750">
        <f t="shared" si="11"/>
        <v>0</v>
      </c>
      <c r="ET27" s="749">
        <f t="shared" si="12"/>
        <v>0</v>
      </c>
      <c r="EU27" s="750">
        <f t="shared" si="13"/>
        <v>0</v>
      </c>
      <c r="EV27" s="749" t="str">
        <f t="shared" si="14"/>
        <v/>
      </c>
      <c r="EW27" s="751">
        <f t="shared" si="29"/>
        <v>46150</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19</v>
      </c>
      <c r="GA27" s="129">
        <f t="shared" si="39"/>
        <v>2026</v>
      </c>
      <c r="GB27" s="129" t="str">
        <f t="shared" si="40"/>
        <v>192026</v>
      </c>
      <c r="GC27" s="223">
        <f>IF(AND($GD$53=S.CAL!$P$3,$GD$52=FZ27),GE27,IF(BH27="",0,BH27))</f>
        <v>0</v>
      </c>
      <c r="GD27" s="129" t="str">
        <f>IFERROR(+Juin!$BY$2&amp;BL27&amp;BM27,0)</f>
        <v>Fiche infoA5</v>
      </c>
      <c r="GE27" s="129" t="str">
        <f t="shared" si="19"/>
        <v/>
      </c>
      <c r="GF27" s="223" t="str">
        <f t="shared" si="41"/>
        <v/>
      </c>
      <c r="GG27" s="1446" t="str">
        <f>+'Retenue Mai'!D25</f>
        <v/>
      </c>
      <c r="GH27" s="1446">
        <f>IF(Identification!$B$132="Non",+'Retenue Mai'!BF25,+'Retenue Mai'!BE25)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46151</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46151</v>
      </c>
      <c r="AX28" s="1761"/>
      <c r="AY28" s="314"/>
      <c r="AZ28" s="1104"/>
      <c r="BA28" s="973"/>
      <c r="BB28" s="543"/>
      <c r="BC28" s="548">
        <f t="shared" si="23"/>
        <v>0</v>
      </c>
      <c r="BD28" s="1104"/>
      <c r="BE28" s="807">
        <f t="shared" si="24"/>
        <v>0</v>
      </c>
      <c r="BF28" s="1128"/>
      <c r="BG28" s="222"/>
      <c r="BH28" s="548" t="str">
        <f t="shared" si="25"/>
        <v/>
      </c>
      <c r="BI28" s="1128"/>
      <c r="BJ28" s="129" t="str">
        <f t="shared" si="26"/>
        <v>Fiche infoA6</v>
      </c>
      <c r="BK28" s="129">
        <f t="shared" si="49"/>
        <v>19</v>
      </c>
      <c r="BL28" s="129" t="str">
        <f t="shared" si="4"/>
        <v>A</v>
      </c>
      <c r="BM28" s="129">
        <f t="shared" si="50"/>
        <v>6</v>
      </c>
      <c r="BN28" s="223" t="str">
        <f t="shared" si="60"/>
        <v>Fiche info</v>
      </c>
      <c r="BO28" s="314" t="str">
        <f t="shared" si="51"/>
        <v/>
      </c>
      <c r="BP28" s="196" t="str">
        <f t="shared" si="52"/>
        <v/>
      </c>
      <c r="BQ28" s="196"/>
      <c r="BS28" s="2100" t="str">
        <f>+"Semaine numéro : "&amp;AT4</f>
        <v>Semaine numéro : 18</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+SUMIF(Avril!$BK$20:$BK$50,AT4,Avril!$AM$20:$AO$50)</f>
        <v>0</v>
      </c>
      <c r="CD28" s="196">
        <f>+SUMIF(Juin!$BK$20:$BK$50,AT4,Juin!$AM$20:$AO$50)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46151</v>
      </c>
      <c r="ER28" s="749">
        <f t="shared" si="10"/>
        <v>0</v>
      </c>
      <c r="ES28" s="750">
        <f t="shared" si="11"/>
        <v>0</v>
      </c>
      <c r="ET28" s="749">
        <f t="shared" si="12"/>
        <v>0</v>
      </c>
      <c r="EU28" s="750">
        <f t="shared" si="13"/>
        <v>0</v>
      </c>
      <c r="EV28" s="749" t="str">
        <f t="shared" si="14"/>
        <v/>
      </c>
      <c r="EW28" s="751">
        <f t="shared" si="29"/>
        <v>46151</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19</v>
      </c>
      <c r="GA28" s="129">
        <f t="shared" si="39"/>
        <v>2026</v>
      </c>
      <c r="GB28" s="129" t="str">
        <f t="shared" si="40"/>
        <v>192026</v>
      </c>
      <c r="GC28" s="223">
        <f>IF(AND($GD$53=S.CAL!$P$3,$GD$52=FZ28),GE28,IF(BH28="",0,BH28))</f>
        <v>0</v>
      </c>
      <c r="GD28" s="129" t="str">
        <f>IFERROR(+Juin!$BY$2&amp;BL28&amp;BM28,0)</f>
        <v>Fiche infoA6</v>
      </c>
      <c r="GE28" s="129" t="str">
        <f t="shared" si="19"/>
        <v/>
      </c>
      <c r="GF28" s="223" t="str">
        <f t="shared" si="41"/>
        <v/>
      </c>
      <c r="GG28" s="1446" t="str">
        <f>+'Retenue Mai'!D26</f>
        <v/>
      </c>
      <c r="GH28" s="1446">
        <f>IF(Identification!$B$132="Non",+'Retenue Mai'!BF26,+'Retenue Mai'!BE26)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46152</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46152</v>
      </c>
      <c r="AX29" s="1761"/>
      <c r="AY29" s="314"/>
      <c r="AZ29" s="1104"/>
      <c r="BA29" s="973"/>
      <c r="BB29" s="543"/>
      <c r="BC29" s="548">
        <f t="shared" si="23"/>
        <v>0</v>
      </c>
      <c r="BD29" s="1104"/>
      <c r="BE29" s="807">
        <f t="shared" si="24"/>
        <v>0</v>
      </c>
      <c r="BF29" s="1128"/>
      <c r="BG29" s="222"/>
      <c r="BH29" s="548" t="str">
        <f t="shared" si="25"/>
        <v/>
      </c>
      <c r="BI29" s="1128"/>
      <c r="BJ29" s="129" t="str">
        <f t="shared" si="26"/>
        <v>Fiche infoA7</v>
      </c>
      <c r="BK29" s="129">
        <f t="shared" si="49"/>
        <v>19</v>
      </c>
      <c r="BL29" s="129" t="str">
        <f t="shared" si="4"/>
        <v>A</v>
      </c>
      <c r="BM29" s="129">
        <f t="shared" si="50"/>
        <v>7</v>
      </c>
      <c r="BN29" s="223" t="str">
        <f t="shared" si="60"/>
        <v>Fiche info</v>
      </c>
      <c r="BO29" s="314" t="str">
        <f t="shared" si="51"/>
        <v/>
      </c>
      <c r="BP29" s="196" t="str">
        <f t="shared" si="52"/>
        <v/>
      </c>
      <c r="BQ29" s="196"/>
      <c r="BS29" s="2100" t="str">
        <f t="shared" ref="BS29:BS33" si="64">+"Semaine numéro : "&amp;AT5</f>
        <v>Semaine numéro : 19</v>
      </c>
      <c r="BT29" s="2101"/>
      <c r="BU29" s="2101"/>
      <c r="BV29" s="2101"/>
      <c r="BW29" s="2101"/>
      <c r="BX29" s="2102"/>
      <c r="BY29" s="1115"/>
      <c r="BZ29" s="656">
        <f t="shared" ref="BZ29:BZ33" si="65">+IF(BY29="",IF(AND(CC29&gt;0,CB29&gt;0),CC29+CB29,IF(CD29&gt;0,0,CB29)),BY29)</f>
        <v>0</v>
      </c>
      <c r="CA29" s="655">
        <f t="shared" si="62"/>
        <v>0</v>
      </c>
      <c r="CB29" s="196">
        <f t="shared" si="63"/>
        <v>0</v>
      </c>
      <c r="CC29" s="196">
        <f>+SUMIF(Avril!$BK$20:$BK$50,AT5,Avril!$AM$20:$AO$50)</f>
        <v>0</v>
      </c>
      <c r="CD29" s="196">
        <f>+SUMIF(Juin!$BK$20:$BK$50,AT5,Juin!$AM$20:$AO$50)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46152</v>
      </c>
      <c r="ER29" s="749">
        <f t="shared" si="10"/>
        <v>0</v>
      </c>
      <c r="ES29" s="750">
        <f t="shared" si="11"/>
        <v>0</v>
      </c>
      <c r="ET29" s="749">
        <f t="shared" si="12"/>
        <v>0</v>
      </c>
      <c r="EU29" s="750">
        <f t="shared" si="13"/>
        <v>0</v>
      </c>
      <c r="EV29" s="749" t="str">
        <f t="shared" si="14"/>
        <v/>
      </c>
      <c r="EW29" s="751">
        <f t="shared" si="29"/>
        <v>46152</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19</v>
      </c>
      <c r="GA29" s="129">
        <f t="shared" si="39"/>
        <v>2026</v>
      </c>
      <c r="GB29" s="129" t="str">
        <f t="shared" si="40"/>
        <v>192026</v>
      </c>
      <c r="GC29" s="223">
        <f>IF(AND($GD$53=S.CAL!$P$3,$GD$52=FZ29),GE29,IF(BH29="",0,BH29))</f>
        <v>0</v>
      </c>
      <c r="GD29" s="129" t="str">
        <f>IFERROR(+Juin!$BY$2&amp;BL29&amp;BM29,0)</f>
        <v>Fiche infoA7</v>
      </c>
      <c r="GE29" s="129" t="str">
        <f t="shared" si="19"/>
        <v/>
      </c>
      <c r="GF29" s="223" t="str">
        <f t="shared" si="41"/>
        <v/>
      </c>
      <c r="GG29" s="1446" t="str">
        <f>+'Retenue Mai'!D27</f>
        <v/>
      </c>
      <c r="GH29" s="1446">
        <f>IF(Identification!$B$132="Non",+'Retenue Mai'!BF27,+'Retenue Mai'!BE27)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46153</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f t="shared" si="48"/>
        <v>20</v>
      </c>
      <c r="AQ30" s="322"/>
      <c r="AR30" s="1104"/>
      <c r="AS30" s="314">
        <f t="shared" si="3"/>
        <v>0</v>
      </c>
      <c r="AT30" s="1125"/>
      <c r="AU30" s="1125"/>
      <c r="AV30" s="314"/>
      <c r="AW30" s="1791">
        <f t="shared" si="22"/>
        <v>46153</v>
      </c>
      <c r="AX30" s="1761"/>
      <c r="AY30" s="314"/>
      <c r="AZ30" s="1104"/>
      <c r="BA30" s="973"/>
      <c r="BB30" s="543"/>
      <c r="BC30" s="548">
        <f t="shared" si="23"/>
        <v>0</v>
      </c>
      <c r="BD30" s="1104"/>
      <c r="BE30" s="807">
        <f t="shared" si="24"/>
        <v>0</v>
      </c>
      <c r="BF30" s="1128"/>
      <c r="BG30" s="222"/>
      <c r="BH30" s="548" t="str">
        <f t="shared" si="25"/>
        <v/>
      </c>
      <c r="BI30" s="1128"/>
      <c r="BJ30" s="129" t="str">
        <f t="shared" si="26"/>
        <v>Fiche infoA1</v>
      </c>
      <c r="BK30" s="129">
        <f t="shared" si="49"/>
        <v>20</v>
      </c>
      <c r="BL30" s="129" t="str">
        <f t="shared" si="4"/>
        <v>A</v>
      </c>
      <c r="BM30" s="129">
        <f t="shared" si="50"/>
        <v>1</v>
      </c>
      <c r="BN30" s="223" t="str">
        <f t="shared" si="60"/>
        <v>Fiche info</v>
      </c>
      <c r="BO30" s="314" t="str">
        <f t="shared" si="51"/>
        <v/>
      </c>
      <c r="BP30" s="196" t="str">
        <f t="shared" si="52"/>
        <v/>
      </c>
      <c r="BQ30" s="196"/>
      <c r="BS30" s="2100" t="str">
        <f t="shared" si="64"/>
        <v>Semaine numéro : 20</v>
      </c>
      <c r="BT30" s="2101"/>
      <c r="BU30" s="2101"/>
      <c r="BV30" s="2101"/>
      <c r="BW30" s="2101"/>
      <c r="BX30" s="2102"/>
      <c r="BY30" s="1115"/>
      <c r="BZ30" s="656">
        <f t="shared" si="65"/>
        <v>0</v>
      </c>
      <c r="CA30" s="655">
        <f t="shared" si="62"/>
        <v>0</v>
      </c>
      <c r="CB30" s="196">
        <f t="shared" si="63"/>
        <v>0</v>
      </c>
      <c r="CC30" s="196">
        <f>+SUMIF(Avril!$BK$20:$BK$50,AT6,Avril!$AM$20:$AO$50)</f>
        <v>0</v>
      </c>
      <c r="CD30" s="196">
        <f>+SUMIF(Juin!$BK$20:$BK$50,AT6,Juin!$AM$20:$AO$50)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46153</v>
      </c>
      <c r="ER30" s="749">
        <f t="shared" si="10"/>
        <v>0</v>
      </c>
      <c r="ES30" s="750">
        <f t="shared" si="11"/>
        <v>0</v>
      </c>
      <c r="ET30" s="749">
        <f t="shared" si="12"/>
        <v>0</v>
      </c>
      <c r="EU30" s="750">
        <f t="shared" si="13"/>
        <v>0</v>
      </c>
      <c r="EV30" s="749" t="str">
        <f t="shared" si="14"/>
        <v/>
      </c>
      <c r="EW30" s="751">
        <f t="shared" si="29"/>
        <v>46153</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20</v>
      </c>
      <c r="GA30" s="129">
        <f t="shared" si="39"/>
        <v>2026</v>
      </c>
      <c r="GB30" s="129" t="str">
        <f t="shared" si="40"/>
        <v>202026</v>
      </c>
      <c r="GC30" s="223">
        <f>IF(AND($GD$53=S.CAL!$P$3,$GD$52=FZ30),GE30,IF(BH30="",0,BH30))</f>
        <v>0</v>
      </c>
      <c r="GD30" s="129" t="str">
        <f>IFERROR(+Juin!$BY$2&amp;BL30&amp;BM30,0)</f>
        <v>Fiche infoA1</v>
      </c>
      <c r="GE30" s="129" t="str">
        <f t="shared" si="19"/>
        <v/>
      </c>
      <c r="GF30" s="223" t="str">
        <f t="shared" si="41"/>
        <v/>
      </c>
      <c r="GG30" s="1446" t="str">
        <f>+'Retenue Mai'!D28</f>
        <v/>
      </c>
      <c r="GH30" s="1446">
        <f>IF(Identification!$B$132="Non",+'Retenue Mai'!BF28,+'Retenue Mai'!BE28)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46154</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46154</v>
      </c>
      <c r="AX31" s="1761"/>
      <c r="AY31" s="314"/>
      <c r="AZ31" s="1104"/>
      <c r="BA31" s="973"/>
      <c r="BB31" s="543"/>
      <c r="BC31" s="548">
        <f t="shared" si="23"/>
        <v>0</v>
      </c>
      <c r="BD31" s="1104"/>
      <c r="BE31" s="807">
        <f t="shared" si="24"/>
        <v>0</v>
      </c>
      <c r="BF31" s="1128"/>
      <c r="BG31" s="222"/>
      <c r="BH31" s="548" t="str">
        <f t="shared" si="25"/>
        <v/>
      </c>
      <c r="BI31" s="1128"/>
      <c r="BJ31" s="129" t="str">
        <f t="shared" si="26"/>
        <v>Fiche infoA2</v>
      </c>
      <c r="BK31" s="129">
        <f t="shared" si="49"/>
        <v>20</v>
      </c>
      <c r="BL31" s="129" t="str">
        <f t="shared" si="4"/>
        <v>A</v>
      </c>
      <c r="BM31" s="129">
        <f t="shared" si="50"/>
        <v>2</v>
      </c>
      <c r="BN31" s="223" t="str">
        <f t="shared" si="60"/>
        <v>Fiche info</v>
      </c>
      <c r="BO31" s="314" t="str">
        <f t="shared" si="51"/>
        <v/>
      </c>
      <c r="BP31" s="196" t="str">
        <f t="shared" si="52"/>
        <v/>
      </c>
      <c r="BQ31" s="196"/>
      <c r="BS31" s="2100" t="str">
        <f t="shared" si="64"/>
        <v>Semaine numéro : 21</v>
      </c>
      <c r="BT31" s="2101"/>
      <c r="BU31" s="2101"/>
      <c r="BV31" s="2101"/>
      <c r="BW31" s="2101"/>
      <c r="BX31" s="2102"/>
      <c r="BY31" s="1115"/>
      <c r="BZ31" s="656">
        <f t="shared" si="65"/>
        <v>0</v>
      </c>
      <c r="CA31" s="655">
        <f t="shared" si="62"/>
        <v>0</v>
      </c>
      <c r="CB31" s="196">
        <f t="shared" si="63"/>
        <v>0</v>
      </c>
      <c r="CC31" s="196">
        <f>+SUMIF(Avril!$BK$20:$BK$50,AT7,Avril!$AM$20:$AO$50)</f>
        <v>0</v>
      </c>
      <c r="CD31" s="196">
        <f>+SUMIF(Juin!$BK$20:$BK$50,AT7,Juin!$AM$20:$AO$50)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46154</v>
      </c>
      <c r="ER31" s="749">
        <f t="shared" si="10"/>
        <v>0</v>
      </c>
      <c r="ES31" s="750">
        <f t="shared" si="11"/>
        <v>0</v>
      </c>
      <c r="ET31" s="749">
        <f t="shared" si="12"/>
        <v>0</v>
      </c>
      <c r="EU31" s="750">
        <f t="shared" si="13"/>
        <v>0</v>
      </c>
      <c r="EV31" s="749" t="str">
        <f t="shared" si="14"/>
        <v/>
      </c>
      <c r="EW31" s="751">
        <f t="shared" si="29"/>
        <v>46154</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20</v>
      </c>
      <c r="GA31" s="129">
        <f t="shared" si="39"/>
        <v>2026</v>
      </c>
      <c r="GB31" s="129" t="str">
        <f t="shared" si="40"/>
        <v>202026</v>
      </c>
      <c r="GC31" s="223">
        <f>IF(AND($GD$53=S.CAL!$P$3,$GD$52=FZ31),GE31,IF(BH31="",0,BH31))</f>
        <v>0</v>
      </c>
      <c r="GD31" s="129" t="str">
        <f>IFERROR(+Juin!$BY$2&amp;BL31&amp;BM31,0)</f>
        <v>Fiche infoA2</v>
      </c>
      <c r="GE31" s="129" t="str">
        <f t="shared" si="19"/>
        <v/>
      </c>
      <c r="GF31" s="223" t="str">
        <f t="shared" si="41"/>
        <v/>
      </c>
      <c r="GG31" s="1446" t="str">
        <f>+'Retenue Mai'!D29</f>
        <v/>
      </c>
      <c r="GH31" s="1446">
        <f>IF(Identification!$B$132="Non",+'Retenue Mai'!BF29,+'Retenue Mai'!BE29)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46155</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46155</v>
      </c>
      <c r="AX32" s="1761"/>
      <c r="AY32" s="314"/>
      <c r="AZ32" s="1104"/>
      <c r="BA32" s="973"/>
      <c r="BB32" s="543"/>
      <c r="BC32" s="548">
        <f t="shared" si="23"/>
        <v>0</v>
      </c>
      <c r="BD32" s="1104"/>
      <c r="BE32" s="807">
        <f t="shared" si="24"/>
        <v>0</v>
      </c>
      <c r="BF32" s="1128"/>
      <c r="BG32" s="222"/>
      <c r="BH32" s="548" t="str">
        <f t="shared" si="25"/>
        <v/>
      </c>
      <c r="BI32" s="1128"/>
      <c r="BJ32" s="129" t="str">
        <f t="shared" si="26"/>
        <v>Fiche infoA3</v>
      </c>
      <c r="BK32" s="129">
        <f t="shared" si="49"/>
        <v>20</v>
      </c>
      <c r="BL32" s="129" t="str">
        <f t="shared" si="4"/>
        <v>A</v>
      </c>
      <c r="BM32" s="129">
        <f t="shared" si="50"/>
        <v>3</v>
      </c>
      <c r="BN32" s="223" t="str">
        <f t="shared" si="60"/>
        <v>Fiche info</v>
      </c>
      <c r="BO32" s="314" t="str">
        <f t="shared" si="51"/>
        <v/>
      </c>
      <c r="BP32" s="196" t="str">
        <f t="shared" si="52"/>
        <v/>
      </c>
      <c r="BQ32" s="196"/>
      <c r="BS32" s="2100" t="str">
        <f t="shared" si="64"/>
        <v>Semaine numéro : 22</v>
      </c>
      <c r="BT32" s="2101"/>
      <c r="BU32" s="2101"/>
      <c r="BV32" s="2101"/>
      <c r="BW32" s="2101"/>
      <c r="BX32" s="2102"/>
      <c r="BY32" s="1115"/>
      <c r="BZ32" s="656">
        <f t="shared" si="65"/>
        <v>0</v>
      </c>
      <c r="CA32" s="655">
        <f t="shared" si="62"/>
        <v>0</v>
      </c>
      <c r="CB32" s="196">
        <f t="shared" si="63"/>
        <v>0</v>
      </c>
      <c r="CC32" s="196">
        <f>+SUMIF(Avril!$BK$20:$BK$50,AT8,Avril!$AM$20:$AO$50)</f>
        <v>0</v>
      </c>
      <c r="CD32" s="196">
        <f>+SUMIF(Juin!$BK$20:$BK$50,AT8,Juin!$AM$20:$AO$50)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46155</v>
      </c>
      <c r="ER32" s="749">
        <f t="shared" si="10"/>
        <v>0</v>
      </c>
      <c r="ES32" s="750">
        <f t="shared" si="11"/>
        <v>0</v>
      </c>
      <c r="ET32" s="749">
        <f t="shared" si="12"/>
        <v>0</v>
      </c>
      <c r="EU32" s="750">
        <f t="shared" si="13"/>
        <v>0</v>
      </c>
      <c r="EV32" s="749" t="str">
        <f t="shared" si="14"/>
        <v/>
      </c>
      <c r="EW32" s="751">
        <f t="shared" si="29"/>
        <v>46155</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20</v>
      </c>
      <c r="GA32" s="129">
        <f t="shared" si="39"/>
        <v>2026</v>
      </c>
      <c r="GB32" s="129" t="str">
        <f t="shared" si="40"/>
        <v>202026</v>
      </c>
      <c r="GC32" s="223">
        <f>IF(AND($GD$53=S.CAL!$P$3,$GD$52=FZ32),GE32,IF(BH32="",0,BH32))</f>
        <v>0</v>
      </c>
      <c r="GD32" s="129" t="str">
        <f>IFERROR(+Juin!$BY$2&amp;BL32&amp;BM32,0)</f>
        <v>Fiche infoA3</v>
      </c>
      <c r="GE32" s="129" t="str">
        <f t="shared" si="19"/>
        <v/>
      </c>
      <c r="GF32" s="223" t="str">
        <f t="shared" si="41"/>
        <v/>
      </c>
      <c r="GG32" s="1446" t="str">
        <f>+'Retenue Mai'!D30</f>
        <v/>
      </c>
      <c r="GH32" s="1446">
        <f>IF(Identification!$B$132="Non",+'Retenue Mai'!BF30,+'Retenue Mai'!BE30)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46156</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46156</v>
      </c>
      <c r="AX33" s="1761"/>
      <c r="AY33" s="314"/>
      <c r="AZ33" s="1104"/>
      <c r="BA33" s="973"/>
      <c r="BB33" s="543"/>
      <c r="BC33" s="548">
        <f t="shared" si="23"/>
        <v>0</v>
      </c>
      <c r="BD33" s="1104"/>
      <c r="BE33" s="807">
        <f t="shared" si="24"/>
        <v>0</v>
      </c>
      <c r="BF33" s="1128"/>
      <c r="BG33" s="222"/>
      <c r="BH33" s="548" t="str">
        <f t="shared" si="25"/>
        <v/>
      </c>
      <c r="BI33" s="1128"/>
      <c r="BJ33" s="129" t="str">
        <f t="shared" si="26"/>
        <v>Fiche infoA4</v>
      </c>
      <c r="BK33" s="129">
        <f t="shared" si="49"/>
        <v>20</v>
      </c>
      <c r="BL33" s="129" t="str">
        <f t="shared" si="4"/>
        <v>A</v>
      </c>
      <c r="BM33" s="129">
        <f t="shared" si="50"/>
        <v>4</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+SUMIF(Avril!$BK$20:$BK$50,AT9,Avril!$AM$20:$AO$50)</f>
        <v>0</v>
      </c>
      <c r="CD33" s="196">
        <f>+SUMIF(Juin!$BK$20:$BK$50,AT9,Juin!$AM$20:$AO$50)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46156</v>
      </c>
      <c r="ER33" s="749">
        <f t="shared" si="10"/>
        <v>0</v>
      </c>
      <c r="ES33" s="750">
        <f t="shared" si="11"/>
        <v>0</v>
      </c>
      <c r="ET33" s="749">
        <f t="shared" si="12"/>
        <v>0</v>
      </c>
      <c r="EU33" s="750">
        <f t="shared" si="13"/>
        <v>0</v>
      </c>
      <c r="EV33" s="749" t="str">
        <f t="shared" si="14"/>
        <v/>
      </c>
      <c r="EW33" s="751">
        <f t="shared" si="29"/>
        <v>46156</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20</v>
      </c>
      <c r="GA33" s="129">
        <f t="shared" si="39"/>
        <v>2026</v>
      </c>
      <c r="GB33" s="129" t="str">
        <f t="shared" si="40"/>
        <v>202026</v>
      </c>
      <c r="GC33" s="223">
        <f>IF(AND($GD$53=S.CAL!$P$3,$GD$52=FZ33),GE33,IF(BH33="",0,BH33))</f>
        <v>0</v>
      </c>
      <c r="GD33" s="129" t="str">
        <f>IFERROR(+Juin!$BY$2&amp;BL33&amp;BM33,0)</f>
        <v>Fiche infoA4</v>
      </c>
      <c r="GE33" s="129" t="str">
        <f t="shared" si="19"/>
        <v/>
      </c>
      <c r="GF33" s="223" t="str">
        <f t="shared" si="41"/>
        <v/>
      </c>
      <c r="GG33" s="1446" t="str">
        <f>+'Retenue Mai'!D31</f>
        <v/>
      </c>
      <c r="GH33" s="1446">
        <f>IF(Identification!$B$132="Non",+'Retenue Mai'!BF31,+'Retenue Mai'!BE31)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46157</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46157</v>
      </c>
      <c r="AX34" s="1761"/>
      <c r="AY34" s="314"/>
      <c r="AZ34" s="1104"/>
      <c r="BA34" s="973"/>
      <c r="BB34" s="543"/>
      <c r="BC34" s="548">
        <f t="shared" si="23"/>
        <v>0</v>
      </c>
      <c r="BD34" s="1104"/>
      <c r="BE34" s="807">
        <f t="shared" si="24"/>
        <v>0</v>
      </c>
      <c r="BF34" s="1128"/>
      <c r="BG34" s="222"/>
      <c r="BH34" s="548" t="str">
        <f t="shared" si="25"/>
        <v/>
      </c>
      <c r="BI34" s="1128"/>
      <c r="BJ34" s="129" t="str">
        <f t="shared" si="26"/>
        <v>Fiche infoA5</v>
      </c>
      <c r="BK34" s="129">
        <f t="shared" si="49"/>
        <v>20</v>
      </c>
      <c r="BL34" s="129" t="str">
        <f t="shared" si="4"/>
        <v>A</v>
      </c>
      <c r="BM34" s="129">
        <f t="shared" si="50"/>
        <v>5</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46157</v>
      </c>
      <c r="ER34" s="749">
        <f t="shared" si="10"/>
        <v>0</v>
      </c>
      <c r="ES34" s="750">
        <f t="shared" si="11"/>
        <v>0</v>
      </c>
      <c r="ET34" s="749">
        <f t="shared" si="12"/>
        <v>0</v>
      </c>
      <c r="EU34" s="750">
        <f t="shared" si="13"/>
        <v>0</v>
      </c>
      <c r="EV34" s="749" t="str">
        <f t="shared" si="14"/>
        <v/>
      </c>
      <c r="EW34" s="751">
        <f t="shared" si="29"/>
        <v>46157</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20</v>
      </c>
      <c r="GA34" s="129">
        <f t="shared" si="39"/>
        <v>2026</v>
      </c>
      <c r="GB34" s="129" t="str">
        <f t="shared" si="40"/>
        <v>202026</v>
      </c>
      <c r="GC34" s="223">
        <f>IF(AND($GD$53=S.CAL!$P$3,$GD$52=FZ34),GE34,IF(BH34="",0,BH34))</f>
        <v>0</v>
      </c>
      <c r="GD34" s="129" t="str">
        <f>IFERROR(+Juin!$BY$2&amp;BL34&amp;BM34,0)</f>
        <v>Fiche infoA5</v>
      </c>
      <c r="GE34" s="129" t="str">
        <f t="shared" si="19"/>
        <v/>
      </c>
      <c r="GF34" s="223" t="str">
        <f t="shared" si="41"/>
        <v/>
      </c>
      <c r="GG34" s="1446" t="str">
        <f>+'Retenue Mai'!D32</f>
        <v/>
      </c>
      <c r="GH34" s="1446">
        <f>IF(Identification!$B$132="Non",+'Retenue Mai'!BF32,+'Retenue Mai'!BE32)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46158</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46158</v>
      </c>
      <c r="AX35" s="1761"/>
      <c r="AY35" s="314"/>
      <c r="AZ35" s="1104"/>
      <c r="BA35" s="973"/>
      <c r="BB35" s="543"/>
      <c r="BC35" s="548">
        <f t="shared" si="23"/>
        <v>0</v>
      </c>
      <c r="BD35" s="1104"/>
      <c r="BE35" s="807">
        <f t="shared" si="24"/>
        <v>0</v>
      </c>
      <c r="BF35" s="1128"/>
      <c r="BG35" s="222"/>
      <c r="BH35" s="548" t="str">
        <f t="shared" si="25"/>
        <v/>
      </c>
      <c r="BI35" s="1128"/>
      <c r="BJ35" s="129" t="str">
        <f t="shared" si="26"/>
        <v>Fiche infoA6</v>
      </c>
      <c r="BK35" s="129">
        <f t="shared" si="49"/>
        <v>20</v>
      </c>
      <c r="BL35" s="129" t="str">
        <f t="shared" si="4"/>
        <v>A</v>
      </c>
      <c r="BM35" s="129">
        <f t="shared" si="50"/>
        <v>6</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46158</v>
      </c>
      <c r="ER35" s="749">
        <f t="shared" si="10"/>
        <v>0</v>
      </c>
      <c r="ES35" s="750">
        <f t="shared" si="11"/>
        <v>0</v>
      </c>
      <c r="ET35" s="749">
        <f t="shared" si="12"/>
        <v>0</v>
      </c>
      <c r="EU35" s="750">
        <f t="shared" si="13"/>
        <v>0</v>
      </c>
      <c r="EV35" s="749" t="str">
        <f t="shared" si="14"/>
        <v/>
      </c>
      <c r="EW35" s="751">
        <f t="shared" si="29"/>
        <v>46158</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20</v>
      </c>
      <c r="GA35" s="129">
        <f t="shared" si="39"/>
        <v>2026</v>
      </c>
      <c r="GB35" s="129" t="str">
        <f t="shared" si="40"/>
        <v>202026</v>
      </c>
      <c r="GC35" s="223">
        <f>IF(AND($GD$53=S.CAL!$P$3,$GD$52=FZ35),GE35,IF(BH35="",0,BH35))</f>
        <v>0</v>
      </c>
      <c r="GD35" s="129" t="str">
        <f>IFERROR(+Juin!$BY$2&amp;BL35&amp;BM35,0)</f>
        <v>Fiche infoA6</v>
      </c>
      <c r="GE35" s="129" t="str">
        <f t="shared" si="19"/>
        <v/>
      </c>
      <c r="GF35" s="223" t="str">
        <f t="shared" si="41"/>
        <v/>
      </c>
      <c r="GG35" s="1446" t="str">
        <f>+'Retenue Mai'!D33</f>
        <v/>
      </c>
      <c r="GH35" s="1446">
        <f>IF(Identification!$B$132="Non",+'Retenue Mai'!BF33,+'Retenue Mai'!BE33)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46159</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46159</v>
      </c>
      <c r="AX36" s="1761"/>
      <c r="AY36" s="314"/>
      <c r="AZ36" s="1104"/>
      <c r="BA36" s="973"/>
      <c r="BB36" s="543"/>
      <c r="BC36" s="548">
        <f t="shared" si="23"/>
        <v>0</v>
      </c>
      <c r="BD36" s="1104"/>
      <c r="BE36" s="807">
        <f t="shared" si="24"/>
        <v>0</v>
      </c>
      <c r="BF36" s="1128"/>
      <c r="BG36" s="222"/>
      <c r="BH36" s="548" t="str">
        <f t="shared" si="25"/>
        <v/>
      </c>
      <c r="BI36" s="1128"/>
      <c r="BJ36" s="129" t="str">
        <f t="shared" si="26"/>
        <v>Fiche infoA7</v>
      </c>
      <c r="BK36" s="129">
        <f t="shared" si="49"/>
        <v>20</v>
      </c>
      <c r="BL36" s="129" t="str">
        <f t="shared" si="4"/>
        <v>A</v>
      </c>
      <c r="BM36" s="129">
        <f t="shared" si="50"/>
        <v>7</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46159</v>
      </c>
      <c r="ER36" s="749">
        <f t="shared" si="10"/>
        <v>0</v>
      </c>
      <c r="ES36" s="750">
        <f t="shared" si="11"/>
        <v>0</v>
      </c>
      <c r="ET36" s="749">
        <f t="shared" si="12"/>
        <v>0</v>
      </c>
      <c r="EU36" s="750">
        <f t="shared" si="13"/>
        <v>0</v>
      </c>
      <c r="EV36" s="749" t="str">
        <f t="shared" si="14"/>
        <v/>
      </c>
      <c r="EW36" s="751">
        <f t="shared" si="29"/>
        <v>46159</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20</v>
      </c>
      <c r="GA36" s="129">
        <f t="shared" si="39"/>
        <v>2026</v>
      </c>
      <c r="GB36" s="129" t="str">
        <f t="shared" si="40"/>
        <v>202026</v>
      </c>
      <c r="GC36" s="223">
        <f>IF(AND($GD$53=S.CAL!$P$3,$GD$52=FZ36),GE36,IF(BH36="",0,BH36))</f>
        <v>0</v>
      </c>
      <c r="GD36" s="129" t="str">
        <f>IFERROR(+Juin!$BY$2&amp;BL36&amp;BM36,0)</f>
        <v>Fiche infoA7</v>
      </c>
      <c r="GE36" s="129" t="str">
        <f t="shared" si="19"/>
        <v/>
      </c>
      <c r="GF36" s="223" t="str">
        <f t="shared" si="41"/>
        <v/>
      </c>
      <c r="GG36" s="1446" t="str">
        <f>+'Retenue Mai'!D34</f>
        <v/>
      </c>
      <c r="GH36" s="1446">
        <f>IF(Identification!$B$132="Non",+'Retenue Mai'!BF34,+'Retenue Mai'!BE34)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46160</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f t="shared" si="48"/>
        <v>21</v>
      </c>
      <c r="AQ37" s="322"/>
      <c r="AR37" s="1104"/>
      <c r="AS37" s="314">
        <f t="shared" si="3"/>
        <v>0</v>
      </c>
      <c r="AT37" s="1125"/>
      <c r="AU37" s="1125"/>
      <c r="AV37" s="314"/>
      <c r="AW37" s="1791">
        <f t="shared" si="22"/>
        <v>46160</v>
      </c>
      <c r="AX37" s="1761"/>
      <c r="AY37" s="314"/>
      <c r="AZ37" s="1104"/>
      <c r="BA37" s="973"/>
      <c r="BB37" s="543"/>
      <c r="BC37" s="548">
        <f t="shared" si="23"/>
        <v>0</v>
      </c>
      <c r="BD37" s="1104"/>
      <c r="BE37" s="807">
        <f t="shared" si="24"/>
        <v>0</v>
      </c>
      <c r="BF37" s="1128"/>
      <c r="BG37" s="222"/>
      <c r="BH37" s="548" t="str">
        <f t="shared" si="25"/>
        <v/>
      </c>
      <c r="BI37" s="1128"/>
      <c r="BJ37" s="129" t="str">
        <f t="shared" si="26"/>
        <v>Fiche infoA1</v>
      </c>
      <c r="BK37" s="129">
        <f t="shared" si="49"/>
        <v>21</v>
      </c>
      <c r="BL37" s="129" t="str">
        <f t="shared" si="4"/>
        <v>A</v>
      </c>
      <c r="BM37" s="129">
        <f t="shared" si="50"/>
        <v>1</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46160</v>
      </c>
      <c r="ER37" s="749">
        <f t="shared" si="10"/>
        <v>0</v>
      </c>
      <c r="ES37" s="750">
        <f t="shared" si="11"/>
        <v>0</v>
      </c>
      <c r="ET37" s="749">
        <f t="shared" si="12"/>
        <v>0</v>
      </c>
      <c r="EU37" s="750">
        <f t="shared" si="13"/>
        <v>0</v>
      </c>
      <c r="EV37" s="749" t="str">
        <f t="shared" si="14"/>
        <v/>
      </c>
      <c r="EW37" s="751">
        <f t="shared" si="29"/>
        <v>46160</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21</v>
      </c>
      <c r="GA37" s="129">
        <f t="shared" si="39"/>
        <v>2026</v>
      </c>
      <c r="GB37" s="129" t="str">
        <f t="shared" si="40"/>
        <v>212026</v>
      </c>
      <c r="GC37" s="223">
        <f>IF(AND($GD$53=S.CAL!$P$3,$GD$52=FZ37),GE37,IF(BH37="",0,BH37))</f>
        <v>0</v>
      </c>
      <c r="GD37" s="129" t="str">
        <f>IFERROR(+Juin!$BY$2&amp;BL37&amp;BM37,0)</f>
        <v>Fiche infoA1</v>
      </c>
      <c r="GE37" s="129" t="str">
        <f t="shared" si="19"/>
        <v/>
      </c>
      <c r="GF37" s="223" t="str">
        <f t="shared" si="41"/>
        <v/>
      </c>
      <c r="GG37" s="1446" t="str">
        <f>+'Retenue Mai'!D35</f>
        <v/>
      </c>
      <c r="GH37" s="1446">
        <f>IF(Identification!$B$132="Non",+'Retenue Mai'!BF35,+'Retenue Mai'!BE35)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46161</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46161</v>
      </c>
      <c r="AX38" s="1761"/>
      <c r="AY38" s="314"/>
      <c r="AZ38" s="1104"/>
      <c r="BA38" s="973"/>
      <c r="BB38" s="543"/>
      <c r="BC38" s="548">
        <f t="shared" si="23"/>
        <v>0</v>
      </c>
      <c r="BD38" s="1104"/>
      <c r="BE38" s="807">
        <f t="shared" si="24"/>
        <v>0</v>
      </c>
      <c r="BF38" s="1128"/>
      <c r="BG38" s="222"/>
      <c r="BH38" s="548" t="str">
        <f t="shared" si="25"/>
        <v/>
      </c>
      <c r="BI38" s="1128"/>
      <c r="BJ38" s="129" t="str">
        <f t="shared" si="26"/>
        <v>Fiche infoA2</v>
      </c>
      <c r="BK38" s="129">
        <f t="shared" si="49"/>
        <v>21</v>
      </c>
      <c r="BL38" s="129" t="str">
        <f t="shared" si="4"/>
        <v>A</v>
      </c>
      <c r="BM38" s="129">
        <f t="shared" si="50"/>
        <v>2</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46161</v>
      </c>
      <c r="ER38" s="749">
        <f t="shared" si="10"/>
        <v>0</v>
      </c>
      <c r="ES38" s="750">
        <f t="shared" si="11"/>
        <v>0</v>
      </c>
      <c r="ET38" s="749">
        <f t="shared" si="12"/>
        <v>0</v>
      </c>
      <c r="EU38" s="750">
        <f t="shared" si="13"/>
        <v>0</v>
      </c>
      <c r="EV38" s="749" t="str">
        <f t="shared" si="14"/>
        <v/>
      </c>
      <c r="EW38" s="751">
        <f t="shared" si="29"/>
        <v>46161</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21</v>
      </c>
      <c r="GA38" s="129">
        <f t="shared" si="39"/>
        <v>2026</v>
      </c>
      <c r="GB38" s="129" t="str">
        <f t="shared" si="40"/>
        <v>212026</v>
      </c>
      <c r="GC38" s="223">
        <f>IF(AND($GD$53=S.CAL!$P$3,$GD$52=FZ38),GE38,IF(BH38="",0,BH38))</f>
        <v>0</v>
      </c>
      <c r="GD38" s="129" t="str">
        <f>IFERROR(+Juin!$BY$2&amp;BL38&amp;BM38,0)</f>
        <v>Fiche infoA2</v>
      </c>
      <c r="GE38" s="129" t="str">
        <f t="shared" si="19"/>
        <v/>
      </c>
      <c r="GF38" s="223" t="str">
        <f t="shared" si="41"/>
        <v/>
      </c>
      <c r="GG38" s="1446" t="str">
        <f>+'Retenue Mai'!D36</f>
        <v/>
      </c>
      <c r="GH38" s="1446">
        <f>IF(Identification!$B$132="Non",+'Retenue Mai'!BF36,+'Retenue Mai'!BE36)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46162</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46162</v>
      </c>
      <c r="AX39" s="1761"/>
      <c r="AY39" s="314"/>
      <c r="AZ39" s="1104"/>
      <c r="BA39" s="973"/>
      <c r="BB39" s="543"/>
      <c r="BC39" s="548">
        <f t="shared" si="23"/>
        <v>0</v>
      </c>
      <c r="BD39" s="1104"/>
      <c r="BE39" s="807">
        <f t="shared" si="24"/>
        <v>0</v>
      </c>
      <c r="BF39" s="1128"/>
      <c r="BG39" s="222"/>
      <c r="BH39" s="548" t="str">
        <f t="shared" si="25"/>
        <v/>
      </c>
      <c r="BI39" s="1128"/>
      <c r="BJ39" s="129" t="str">
        <f t="shared" si="26"/>
        <v>Fiche infoA3</v>
      </c>
      <c r="BK39" s="129">
        <f t="shared" si="49"/>
        <v>21</v>
      </c>
      <c r="BL39" s="129" t="str">
        <f t="shared" si="4"/>
        <v>A</v>
      </c>
      <c r="BM39" s="129">
        <f t="shared" si="50"/>
        <v>3</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46162</v>
      </c>
      <c r="ER39" s="749">
        <f t="shared" si="10"/>
        <v>0</v>
      </c>
      <c r="ES39" s="750">
        <f t="shared" si="11"/>
        <v>0</v>
      </c>
      <c r="ET39" s="749">
        <f t="shared" si="12"/>
        <v>0</v>
      </c>
      <c r="EU39" s="750">
        <f t="shared" si="13"/>
        <v>0</v>
      </c>
      <c r="EV39" s="749" t="str">
        <f t="shared" si="14"/>
        <v/>
      </c>
      <c r="EW39" s="751">
        <f t="shared" si="29"/>
        <v>46162</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21</v>
      </c>
      <c r="GA39" s="129">
        <f t="shared" si="39"/>
        <v>2026</v>
      </c>
      <c r="GB39" s="129" t="str">
        <f t="shared" si="40"/>
        <v>212026</v>
      </c>
      <c r="GC39" s="223">
        <f>IF(AND($GD$53=S.CAL!$P$3,$GD$52=FZ39),GE39,IF(BH39="",0,BH39))</f>
        <v>0</v>
      </c>
      <c r="GD39" s="129" t="str">
        <f>IFERROR(+Juin!$BY$2&amp;BL39&amp;BM39,0)</f>
        <v>Fiche infoA3</v>
      </c>
      <c r="GE39" s="129" t="str">
        <f t="shared" si="19"/>
        <v/>
      </c>
      <c r="GF39" s="223" t="str">
        <f t="shared" si="41"/>
        <v/>
      </c>
      <c r="GG39" s="1446" t="str">
        <f>+'Retenue Mai'!D37</f>
        <v/>
      </c>
      <c r="GH39" s="1446">
        <f>IF(Identification!$B$132="Non",+'Retenue Mai'!BF37,+'Retenue Mai'!BE37)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46163</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46163</v>
      </c>
      <c r="AX40" s="1761"/>
      <c r="AY40" s="314"/>
      <c r="AZ40" s="1104"/>
      <c r="BA40" s="973"/>
      <c r="BB40" s="543"/>
      <c r="BC40" s="548">
        <f t="shared" si="23"/>
        <v>0</v>
      </c>
      <c r="BD40" s="1104"/>
      <c r="BE40" s="807">
        <f t="shared" si="24"/>
        <v>0</v>
      </c>
      <c r="BF40" s="1128"/>
      <c r="BG40" s="222"/>
      <c r="BH40" s="548" t="str">
        <f t="shared" si="25"/>
        <v/>
      </c>
      <c r="BI40" s="1128"/>
      <c r="BJ40" s="129" t="str">
        <f t="shared" si="26"/>
        <v>Fiche infoA4</v>
      </c>
      <c r="BK40" s="129">
        <f t="shared" si="49"/>
        <v>21</v>
      </c>
      <c r="BL40" s="129" t="str">
        <f t="shared" si="4"/>
        <v>A</v>
      </c>
      <c r="BM40" s="129">
        <f t="shared" si="50"/>
        <v>4</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Mai'!P27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46163</v>
      </c>
      <c r="ER40" s="749">
        <f t="shared" si="10"/>
        <v>0</v>
      </c>
      <c r="ES40" s="750">
        <f t="shared" si="11"/>
        <v>0</v>
      </c>
      <c r="ET40" s="749">
        <f t="shared" si="12"/>
        <v>0</v>
      </c>
      <c r="EU40" s="750">
        <f t="shared" si="13"/>
        <v>0</v>
      </c>
      <c r="EV40" s="749" t="str">
        <f t="shared" si="14"/>
        <v/>
      </c>
      <c r="EW40" s="751">
        <f t="shared" si="29"/>
        <v>46163</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21</v>
      </c>
      <c r="GA40" s="129">
        <f t="shared" si="39"/>
        <v>2026</v>
      </c>
      <c r="GB40" s="129" t="str">
        <f t="shared" si="40"/>
        <v>212026</v>
      </c>
      <c r="GC40" s="223">
        <f>IF(AND($GD$53=S.CAL!$P$3,$GD$52=FZ40),GE40,IF(BH40="",0,BH40))</f>
        <v>0</v>
      </c>
      <c r="GD40" s="129" t="str">
        <f>IFERROR(+Juin!$BY$2&amp;BL40&amp;BM40,0)</f>
        <v>Fiche infoA4</v>
      </c>
      <c r="GE40" s="129" t="str">
        <f t="shared" si="19"/>
        <v/>
      </c>
      <c r="GF40" s="223" t="str">
        <f t="shared" si="41"/>
        <v/>
      </c>
      <c r="GG40" s="1446" t="str">
        <f>+'Retenue Mai'!D38</f>
        <v/>
      </c>
      <c r="GH40" s="1446">
        <f>IF(Identification!$B$132="Non",+'Retenue Mai'!BF38,+'Retenue Mai'!BE38)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46164</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46164</v>
      </c>
      <c r="AX41" s="1761"/>
      <c r="AY41" s="314"/>
      <c r="AZ41" s="1104"/>
      <c r="BA41" s="973"/>
      <c r="BB41" s="543"/>
      <c r="BC41" s="548">
        <f t="shared" si="23"/>
        <v>0</v>
      </c>
      <c r="BD41" s="1104"/>
      <c r="BE41" s="807">
        <f t="shared" si="24"/>
        <v>0</v>
      </c>
      <c r="BF41" s="1128"/>
      <c r="BG41" s="222"/>
      <c r="BH41" s="548" t="str">
        <f t="shared" si="25"/>
        <v/>
      </c>
      <c r="BI41" s="1128"/>
      <c r="BJ41" s="129" t="str">
        <f t="shared" si="26"/>
        <v>Fiche infoA5</v>
      </c>
      <c r="BK41" s="129">
        <f t="shared" si="49"/>
        <v>21</v>
      </c>
      <c r="BL41" s="129" t="str">
        <f t="shared" si="4"/>
        <v>A</v>
      </c>
      <c r="BM41" s="129">
        <f t="shared" si="50"/>
        <v>5</v>
      </c>
      <c r="BN41" s="223" t="str">
        <f t="shared" si="60"/>
        <v>Fiche info</v>
      </c>
      <c r="BO41" s="314" t="str">
        <f t="shared" si="51"/>
        <v/>
      </c>
      <c r="BP41" s="196" t="str">
        <f t="shared" si="52"/>
        <v/>
      </c>
      <c r="BQ41" s="1948" t="s">
        <v>1047</v>
      </c>
      <c r="BR41" s="1948"/>
      <c r="BS41" s="1948"/>
      <c r="BT41" s="1948"/>
      <c r="BU41" s="1948"/>
      <c r="BV41" s="1948"/>
      <c r="BW41" s="583" t="str">
        <f>+IF(BX41="",Avril!BW41,BX41)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46164</v>
      </c>
      <c r="ER41" s="749">
        <f t="shared" si="10"/>
        <v>0</v>
      </c>
      <c r="ES41" s="750">
        <f t="shared" si="11"/>
        <v>0</v>
      </c>
      <c r="ET41" s="749">
        <f t="shared" si="12"/>
        <v>0</v>
      </c>
      <c r="EU41" s="750">
        <f t="shared" si="13"/>
        <v>0</v>
      </c>
      <c r="EV41" s="749" t="str">
        <f t="shared" si="14"/>
        <v/>
      </c>
      <c r="EW41" s="751">
        <f t="shared" si="29"/>
        <v>46164</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21</v>
      </c>
      <c r="GA41" s="129">
        <f t="shared" si="39"/>
        <v>2026</v>
      </c>
      <c r="GB41" s="129" t="str">
        <f t="shared" si="40"/>
        <v>212026</v>
      </c>
      <c r="GC41" s="223">
        <f>IF(AND($GD$53=S.CAL!$P$3,$GD$52=FZ41),GE41,IF(BH41="",0,BH41))</f>
        <v>0</v>
      </c>
      <c r="GD41" s="129" t="str">
        <f>IFERROR(+Juin!$BY$2&amp;BL41&amp;BM41,0)</f>
        <v>Fiche infoA5</v>
      </c>
      <c r="GE41" s="129" t="str">
        <f t="shared" si="19"/>
        <v/>
      </c>
      <c r="GF41" s="223" t="str">
        <f t="shared" si="41"/>
        <v/>
      </c>
      <c r="GG41" s="1446" t="str">
        <f>+'Retenue Mai'!D39</f>
        <v/>
      </c>
      <c r="GH41" s="1446">
        <f>IF(Identification!$B$132="Non",+'Retenue Mai'!BF39,+'Retenue Mai'!BE39)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46165</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46165</v>
      </c>
      <c r="AX42" s="1761"/>
      <c r="AY42" s="314"/>
      <c r="AZ42" s="1104"/>
      <c r="BA42" s="973"/>
      <c r="BB42" s="543"/>
      <c r="BC42" s="548">
        <f t="shared" si="23"/>
        <v>0</v>
      </c>
      <c r="BD42" s="1104"/>
      <c r="BE42" s="807">
        <f t="shared" si="24"/>
        <v>0</v>
      </c>
      <c r="BF42" s="1128"/>
      <c r="BG42" s="222"/>
      <c r="BH42" s="548" t="str">
        <f t="shared" si="25"/>
        <v/>
      </c>
      <c r="BI42" s="1128"/>
      <c r="BJ42" s="129" t="str">
        <f t="shared" si="26"/>
        <v>Fiche infoA6</v>
      </c>
      <c r="BK42" s="129">
        <f t="shared" si="49"/>
        <v>21</v>
      </c>
      <c r="BL42" s="129" t="str">
        <f t="shared" si="4"/>
        <v>A</v>
      </c>
      <c r="BM42" s="129">
        <f t="shared" si="50"/>
        <v>6</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46165</v>
      </c>
      <c r="ER42" s="749">
        <f t="shared" si="10"/>
        <v>0</v>
      </c>
      <c r="ES42" s="750">
        <f t="shared" si="11"/>
        <v>0</v>
      </c>
      <c r="ET42" s="749">
        <f t="shared" si="12"/>
        <v>0</v>
      </c>
      <c r="EU42" s="750">
        <f t="shared" si="13"/>
        <v>0</v>
      </c>
      <c r="EV42" s="749" t="str">
        <f t="shared" si="14"/>
        <v/>
      </c>
      <c r="EW42" s="751">
        <f t="shared" si="29"/>
        <v>46165</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21</v>
      </c>
      <c r="GA42" s="129">
        <f t="shared" si="39"/>
        <v>2026</v>
      </c>
      <c r="GB42" s="129" t="str">
        <f t="shared" si="40"/>
        <v>212026</v>
      </c>
      <c r="GC42" s="223">
        <f>IF(AND($GD$53=S.CAL!$P$3,$GD$52=FZ42),GE42,IF(BH42="",0,BH42))</f>
        <v>0</v>
      </c>
      <c r="GD42" s="129" t="str">
        <f>IFERROR(+Juin!$BY$2&amp;BL42&amp;BM42,0)</f>
        <v>Fiche infoA6</v>
      </c>
      <c r="GE42" s="129" t="str">
        <f t="shared" si="19"/>
        <v/>
      </c>
      <c r="GF42" s="223" t="str">
        <f t="shared" si="41"/>
        <v/>
      </c>
      <c r="GG42" s="1446" t="str">
        <f>+'Retenue Mai'!D40</f>
        <v/>
      </c>
      <c r="GH42" s="1446">
        <f>IF(Identification!$B$132="Non",+'Retenue Mai'!BF40,+'Retenue Mai'!BE40)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46166</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46166</v>
      </c>
      <c r="AX43" s="1761"/>
      <c r="AY43" s="314"/>
      <c r="AZ43" s="1104"/>
      <c r="BA43" s="973"/>
      <c r="BB43" s="543"/>
      <c r="BC43" s="548">
        <f t="shared" si="23"/>
        <v>0</v>
      </c>
      <c r="BD43" s="1104"/>
      <c r="BE43" s="807">
        <f t="shared" si="24"/>
        <v>0</v>
      </c>
      <c r="BF43" s="1128"/>
      <c r="BG43" s="222"/>
      <c r="BH43" s="548" t="str">
        <f t="shared" si="25"/>
        <v/>
      </c>
      <c r="BI43" s="1128"/>
      <c r="BJ43" s="129" t="str">
        <f t="shared" si="26"/>
        <v>Fiche infoA7</v>
      </c>
      <c r="BK43" s="129">
        <f t="shared" si="49"/>
        <v>21</v>
      </c>
      <c r="BL43" s="129" t="str">
        <f t="shared" si="4"/>
        <v>A</v>
      </c>
      <c r="BM43" s="129">
        <f t="shared" si="50"/>
        <v>7</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46166</v>
      </c>
      <c r="ER43" s="749">
        <f t="shared" si="10"/>
        <v>0</v>
      </c>
      <c r="ES43" s="750">
        <f t="shared" si="11"/>
        <v>0</v>
      </c>
      <c r="ET43" s="749">
        <f t="shared" si="12"/>
        <v>0</v>
      </c>
      <c r="EU43" s="750">
        <f t="shared" si="13"/>
        <v>0</v>
      </c>
      <c r="EV43" s="749" t="str">
        <f t="shared" si="14"/>
        <v/>
      </c>
      <c r="EW43" s="751">
        <f t="shared" si="29"/>
        <v>46166</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21</v>
      </c>
      <c r="GA43" s="129">
        <f t="shared" si="39"/>
        <v>2026</v>
      </c>
      <c r="GB43" s="129" t="str">
        <f t="shared" si="40"/>
        <v>212026</v>
      </c>
      <c r="GC43" s="223">
        <f>IF(AND($GD$53=S.CAL!$P$3,$GD$52=FZ43),GE43,IF(BH43="",0,BH43))</f>
        <v>0</v>
      </c>
      <c r="GD43" s="129" t="str">
        <f>IFERROR(+Juin!$BY$2&amp;BL43&amp;BM43,0)</f>
        <v>Fiche infoA7</v>
      </c>
      <c r="GE43" s="129" t="str">
        <f t="shared" si="19"/>
        <v/>
      </c>
      <c r="GF43" s="223" t="str">
        <f t="shared" si="41"/>
        <v/>
      </c>
      <c r="GG43" s="1446" t="str">
        <f>+'Retenue Mai'!D41</f>
        <v/>
      </c>
      <c r="GH43" s="1446">
        <f>IF(Identification!$B$132="Non",+'Retenue Mai'!BF41,+'Retenue Mai'!BE41)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46167</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f t="shared" si="48"/>
        <v>22</v>
      </c>
      <c r="AQ44" s="322"/>
      <c r="AR44" s="1104"/>
      <c r="AS44" s="314">
        <f t="shared" si="3"/>
        <v>0</v>
      </c>
      <c r="AT44" s="1125"/>
      <c r="AU44" s="1125"/>
      <c r="AV44" s="314"/>
      <c r="AW44" s="1791">
        <f t="shared" si="22"/>
        <v>46167</v>
      </c>
      <c r="AX44" s="1761"/>
      <c r="AY44" s="314"/>
      <c r="AZ44" s="1104"/>
      <c r="BA44" s="973"/>
      <c r="BB44" s="543"/>
      <c r="BC44" s="548">
        <f t="shared" si="23"/>
        <v>0</v>
      </c>
      <c r="BD44" s="1104"/>
      <c r="BE44" s="807">
        <f t="shared" si="24"/>
        <v>0</v>
      </c>
      <c r="BF44" s="1128"/>
      <c r="BG44" s="222"/>
      <c r="BH44" s="548" t="str">
        <f t="shared" si="25"/>
        <v/>
      </c>
      <c r="BI44" s="1128"/>
      <c r="BJ44" s="129" t="str">
        <f t="shared" si="26"/>
        <v>Fiche infoA1</v>
      </c>
      <c r="BK44" s="129">
        <f t="shared" si="49"/>
        <v>22</v>
      </c>
      <c r="BL44" s="129" t="str">
        <f t="shared" si="4"/>
        <v>A</v>
      </c>
      <c r="BM44" s="129">
        <f t="shared" si="50"/>
        <v>1</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+IF(CC45="",Avril!CC44,CC45)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46167</v>
      </c>
      <c r="ER44" s="749">
        <f t="shared" si="10"/>
        <v>0</v>
      </c>
      <c r="ES44" s="750">
        <f t="shared" si="11"/>
        <v>0</v>
      </c>
      <c r="ET44" s="749">
        <f t="shared" si="12"/>
        <v>0</v>
      </c>
      <c r="EU44" s="750">
        <f t="shared" si="13"/>
        <v>0</v>
      </c>
      <c r="EV44" s="749" t="str">
        <f t="shared" si="14"/>
        <v/>
      </c>
      <c r="EW44" s="751">
        <f t="shared" si="29"/>
        <v>46167</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22</v>
      </c>
      <c r="GA44" s="129">
        <f t="shared" si="39"/>
        <v>2026</v>
      </c>
      <c r="GB44" s="129" t="str">
        <f t="shared" si="40"/>
        <v>222026</v>
      </c>
      <c r="GC44" s="223">
        <f>IF(AND($GD$53=S.CAL!$P$3,$GD$52=FZ44),GE44,IF(BH44="",0,BH44))</f>
        <v>0</v>
      </c>
      <c r="GD44" s="129" t="str">
        <f>IFERROR(+Juin!$BY$2&amp;BL44&amp;BM44,0)</f>
        <v>Fiche infoA1</v>
      </c>
      <c r="GE44" s="129" t="str">
        <f t="shared" si="19"/>
        <v/>
      </c>
      <c r="GF44" s="223" t="str">
        <f t="shared" si="41"/>
        <v/>
      </c>
      <c r="GG44" s="1446" t="str">
        <f>+'Retenue Mai'!D42</f>
        <v/>
      </c>
      <c r="GH44" s="1446">
        <f>IF(Identification!$B$132="Non",+'Retenue Mai'!BF42,+'Retenue Mai'!BE42)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46168</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46168</v>
      </c>
      <c r="AX45" s="1761"/>
      <c r="AY45" s="314"/>
      <c r="AZ45" s="1104"/>
      <c r="BA45" s="973"/>
      <c r="BB45" s="543"/>
      <c r="BC45" s="548">
        <f t="shared" si="23"/>
        <v>0</v>
      </c>
      <c r="BD45" s="1104"/>
      <c r="BE45" s="807">
        <f t="shared" si="24"/>
        <v>0</v>
      </c>
      <c r="BF45" s="1128"/>
      <c r="BG45" s="222"/>
      <c r="BH45" s="548" t="str">
        <f t="shared" si="25"/>
        <v/>
      </c>
      <c r="BI45" s="1128"/>
      <c r="BJ45" s="129" t="str">
        <f t="shared" si="26"/>
        <v>Fiche infoA2</v>
      </c>
      <c r="BK45" s="129">
        <f t="shared" si="49"/>
        <v>22</v>
      </c>
      <c r="BL45" s="129" t="str">
        <f t="shared" si="4"/>
        <v>A</v>
      </c>
      <c r="BM45" s="129">
        <f t="shared" si="50"/>
        <v>2</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46168</v>
      </c>
      <c r="ER45" s="749">
        <f t="shared" si="10"/>
        <v>0</v>
      </c>
      <c r="ES45" s="750">
        <f t="shared" si="11"/>
        <v>0</v>
      </c>
      <c r="ET45" s="749">
        <f t="shared" si="12"/>
        <v>0</v>
      </c>
      <c r="EU45" s="750">
        <f t="shared" si="13"/>
        <v>0</v>
      </c>
      <c r="EV45" s="749" t="str">
        <f t="shared" si="14"/>
        <v/>
      </c>
      <c r="EW45" s="751">
        <f t="shared" si="29"/>
        <v>46168</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22</v>
      </c>
      <c r="GA45" s="129">
        <f t="shared" si="39"/>
        <v>2026</v>
      </c>
      <c r="GB45" s="129" t="str">
        <f t="shared" si="40"/>
        <v>222026</v>
      </c>
      <c r="GC45" s="223">
        <f>IF(AND($GD$53=S.CAL!$P$3,$GD$52=FZ45),GE45,IF(BH45="",0,BH45))</f>
        <v>0</v>
      </c>
      <c r="GD45" s="129" t="str">
        <f>IFERROR(+Juin!$BY$2&amp;BL45&amp;BM45,0)</f>
        <v>Fiche infoA2</v>
      </c>
      <c r="GE45" s="129" t="str">
        <f t="shared" si="19"/>
        <v/>
      </c>
      <c r="GF45" s="223" t="str">
        <f t="shared" si="41"/>
        <v/>
      </c>
      <c r="GG45" s="1446" t="str">
        <f>+'Retenue Mai'!D43</f>
        <v/>
      </c>
      <c r="GH45" s="1446">
        <f>IF(Identification!$B$132="Non",+'Retenue Mai'!BF43,+'Retenue Mai'!BE43)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46169</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46169</v>
      </c>
      <c r="AX46" s="1761"/>
      <c r="AY46" s="314"/>
      <c r="AZ46" s="1104"/>
      <c r="BA46" s="973"/>
      <c r="BB46" s="543"/>
      <c r="BC46" s="548">
        <f t="shared" si="23"/>
        <v>0</v>
      </c>
      <c r="BD46" s="1104"/>
      <c r="BE46" s="807">
        <f t="shared" si="24"/>
        <v>0</v>
      </c>
      <c r="BF46" s="1128"/>
      <c r="BG46" s="222"/>
      <c r="BH46" s="548" t="str">
        <f t="shared" si="25"/>
        <v/>
      </c>
      <c r="BI46" s="1128"/>
      <c r="BJ46" s="129" t="str">
        <f t="shared" si="26"/>
        <v>Fiche infoA3</v>
      </c>
      <c r="BK46" s="129">
        <f t="shared" si="49"/>
        <v>22</v>
      </c>
      <c r="BL46" s="129" t="str">
        <f t="shared" si="4"/>
        <v>A</v>
      </c>
      <c r="BM46" s="129">
        <f t="shared" si="50"/>
        <v>3</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46169</v>
      </c>
      <c r="ER46" s="749">
        <f t="shared" si="10"/>
        <v>0</v>
      </c>
      <c r="ES46" s="750">
        <f t="shared" si="11"/>
        <v>0</v>
      </c>
      <c r="ET46" s="749">
        <f t="shared" si="12"/>
        <v>0</v>
      </c>
      <c r="EU46" s="750">
        <f t="shared" si="13"/>
        <v>0</v>
      </c>
      <c r="EV46" s="749" t="str">
        <f t="shared" si="14"/>
        <v/>
      </c>
      <c r="EW46" s="751">
        <f t="shared" si="29"/>
        <v>46169</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22</v>
      </c>
      <c r="GA46" s="129">
        <f t="shared" si="39"/>
        <v>2026</v>
      </c>
      <c r="GB46" s="129" t="str">
        <f t="shared" si="40"/>
        <v>222026</v>
      </c>
      <c r="GC46" s="223">
        <f>IF(AND($GD$53=S.CAL!$P$3,$GD$52=FZ46),GE46,IF(BH46="",0,BH46))</f>
        <v>0</v>
      </c>
      <c r="GD46" s="129" t="str">
        <f>IFERROR(+Juin!$BY$2&amp;BL46&amp;BM46,0)</f>
        <v>Fiche infoA3</v>
      </c>
      <c r="GE46" s="129" t="str">
        <f t="shared" si="19"/>
        <v/>
      </c>
      <c r="GF46" s="223" t="str">
        <f t="shared" si="41"/>
        <v/>
      </c>
      <c r="GG46" s="1446" t="str">
        <f>+'Retenue Mai'!D44</f>
        <v/>
      </c>
      <c r="GH46" s="1446">
        <f>IF(Identification!$B$132="Non",+'Retenue Mai'!BF44,+'Retenue Mai'!BE44)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46170</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46170</v>
      </c>
      <c r="AX47" s="1761"/>
      <c r="AY47" s="314"/>
      <c r="AZ47" s="1104"/>
      <c r="BA47" s="973"/>
      <c r="BB47" s="543"/>
      <c r="BC47" s="548">
        <f t="shared" si="23"/>
        <v>0</v>
      </c>
      <c r="BD47" s="1104"/>
      <c r="BE47" s="807">
        <f t="shared" si="24"/>
        <v>0</v>
      </c>
      <c r="BF47" s="1128"/>
      <c r="BG47" s="222"/>
      <c r="BH47" s="548" t="str">
        <f t="shared" si="25"/>
        <v/>
      </c>
      <c r="BI47" s="1128"/>
      <c r="BJ47" s="129" t="str">
        <f t="shared" si="26"/>
        <v>Fiche infoA4</v>
      </c>
      <c r="BK47" s="129">
        <f t="shared" si="49"/>
        <v>22</v>
      </c>
      <c r="BL47" s="129" t="str">
        <f t="shared" si="4"/>
        <v>A</v>
      </c>
      <c r="BM47" s="129">
        <f t="shared" si="50"/>
        <v>4</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IF(CF47="",Avril!CE47,CF47)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46170</v>
      </c>
      <c r="ER47" s="749">
        <f t="shared" si="10"/>
        <v>0</v>
      </c>
      <c r="ES47" s="750">
        <f t="shared" si="11"/>
        <v>0</v>
      </c>
      <c r="ET47" s="749">
        <f t="shared" si="12"/>
        <v>0</v>
      </c>
      <c r="EU47" s="750">
        <f t="shared" si="13"/>
        <v>0</v>
      </c>
      <c r="EV47" s="749" t="str">
        <f t="shared" si="14"/>
        <v/>
      </c>
      <c r="EW47" s="751">
        <f t="shared" si="29"/>
        <v>46170</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22</v>
      </c>
      <c r="GA47" s="129">
        <f t="shared" si="39"/>
        <v>2026</v>
      </c>
      <c r="GB47" s="129" t="str">
        <f t="shared" si="40"/>
        <v>222026</v>
      </c>
      <c r="GC47" s="223">
        <f>IF(AND($GD$53=S.CAL!$P$3,$GD$52=FZ47),GE47,IF(BH47="",0,BH47))</f>
        <v>0</v>
      </c>
      <c r="GD47" s="129" t="str">
        <f>IFERROR(+Juin!$BY$2&amp;BL47&amp;BM47,0)</f>
        <v>Fiche infoA4</v>
      </c>
      <c r="GE47" s="129" t="str">
        <f t="shared" si="19"/>
        <v/>
      </c>
      <c r="GF47" s="223" t="str">
        <f t="shared" si="41"/>
        <v/>
      </c>
      <c r="GG47" s="1446" t="str">
        <f>+'Retenue Mai'!D45</f>
        <v/>
      </c>
      <c r="GH47" s="1446">
        <f>IF(Identification!$B$132="Non",+'Retenue Mai'!BF45,+'Retenue Mai'!BE45)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46171</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46171</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infoA5</v>
      </c>
      <c r="BK48" s="129">
        <f t="shared" si="49"/>
        <v>22</v>
      </c>
      <c r="BL48" s="129" t="str">
        <f t="shared" si="4"/>
        <v>A</v>
      </c>
      <c r="BM48" s="129">
        <f>IFERROR(WEEKDAY(AB48,2),0)</f>
        <v>5</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46171</v>
      </c>
      <c r="ER48" s="749">
        <f t="shared" si="10"/>
        <v>0</v>
      </c>
      <c r="ES48" s="750">
        <f t="shared" si="11"/>
        <v>0</v>
      </c>
      <c r="ET48" s="749">
        <f t="shared" si="12"/>
        <v>0</v>
      </c>
      <c r="EU48" s="750">
        <f t="shared" si="13"/>
        <v>0</v>
      </c>
      <c r="EV48" s="749" t="str">
        <f t="shared" si="14"/>
        <v/>
      </c>
      <c r="EW48" s="751">
        <f t="shared" si="29"/>
        <v>46171</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22</v>
      </c>
      <c r="GA48" s="129">
        <f t="shared" si="39"/>
        <v>2026</v>
      </c>
      <c r="GB48" s="129" t="str">
        <f t="shared" si="40"/>
        <v>222026</v>
      </c>
      <c r="GC48" s="223">
        <f>IF(AND($GD$53=S.CAL!$P$3,$GD$52=FZ48),GE48,IF(BH48="",0,BH48))</f>
        <v>0</v>
      </c>
      <c r="GD48" s="129" t="str">
        <f>IFERROR(+Juin!$BY$2&amp;BL48&amp;BM48,0)</f>
        <v>Fiche infoA5</v>
      </c>
      <c r="GE48" s="129" t="str">
        <f t="shared" si="19"/>
        <v/>
      </c>
      <c r="GF48" s="223" t="str">
        <f t="shared" si="41"/>
        <v/>
      </c>
      <c r="GG48" s="1446" t="str">
        <f>+'Retenue Mai'!D46</f>
        <v/>
      </c>
      <c r="GH48" s="1446">
        <f>IF(Identification!$B$132="Non",+'Retenue Mai'!BF46,+'Retenue Mai'!BE46)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46172</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46172</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infoA6</v>
      </c>
      <c r="BK49" s="129">
        <f t="shared" si="49"/>
        <v>22</v>
      </c>
      <c r="BL49" s="129" t="str">
        <f t="shared" si="4"/>
        <v>A</v>
      </c>
      <c r="BM49" s="129">
        <f>IFERROR(WEEKDAY(AB49,2),0)</f>
        <v>6</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IF(CF49="",Avril!CE49,CF49)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46172</v>
      </c>
      <c r="ER49" s="749">
        <f t="shared" si="10"/>
        <v>0</v>
      </c>
      <c r="ES49" s="750">
        <f t="shared" si="11"/>
        <v>0</v>
      </c>
      <c r="ET49" s="749">
        <f t="shared" si="12"/>
        <v>0</v>
      </c>
      <c r="EU49" s="750">
        <f t="shared" si="13"/>
        <v>0</v>
      </c>
      <c r="EV49" s="749" t="str">
        <f t="shared" si="14"/>
        <v/>
      </c>
      <c r="EW49" s="751">
        <f t="shared" si="29"/>
        <v>46172</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22</v>
      </c>
      <c r="GA49" s="129">
        <f t="shared" si="39"/>
        <v>2026</v>
      </c>
      <c r="GB49" s="129" t="str">
        <f t="shared" ref="GB49:GB50" si="67">+FZ49&amp;GA49</f>
        <v>222026</v>
      </c>
      <c r="GC49" s="223">
        <f>IF(AND($GD$53=S.CAL!$P$3,$GD$52=FZ49),GE49,IF(BH49="",0,BH49))</f>
        <v>0</v>
      </c>
      <c r="GD49" s="129" t="str">
        <f>IFERROR(+Juin!$BY$2&amp;BL49&amp;BM49,0)</f>
        <v>Fiche infoA6</v>
      </c>
      <c r="GE49" s="129" t="str">
        <f t="shared" si="19"/>
        <v/>
      </c>
      <c r="GF49" s="223" t="str">
        <f t="shared" ref="GF49:GF50" si="68">IF(FP49=1,GG49,AM49)</f>
        <v/>
      </c>
      <c r="GG49" s="1446" t="str">
        <f>+'Retenue Mai'!D47</f>
        <v/>
      </c>
      <c r="GH49" s="1446">
        <f>IF(Identification!$B$132="Non",+'Retenue Mai'!BF47,+'Retenue Mai'!BE47)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f>IF(AB20+30&lt;DATE(YEAR(AB20),MONTH(AB20)+1,DAY(AB20)),AB20+30,"")</f>
        <v>46173</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f t="shared" si="22"/>
        <v>46173</v>
      </c>
      <c r="AX50" s="2027"/>
      <c r="AY50" s="314"/>
      <c r="AZ50" s="1105"/>
      <c r="BA50" s="974"/>
      <c r="BB50" s="543"/>
      <c r="BC50" s="546">
        <f t="shared" si="23"/>
        <v>0</v>
      </c>
      <c r="BD50" s="1105"/>
      <c r="BE50" s="808">
        <f t="shared" si="24"/>
        <v>0</v>
      </c>
      <c r="BF50" s="1129"/>
      <c r="BG50" s="222"/>
      <c r="BH50" s="546" t="str">
        <f t="shared" si="25"/>
        <v/>
      </c>
      <c r="BI50" s="1129"/>
      <c r="BJ50" s="129" t="str">
        <f t="shared" si="66"/>
        <v>Fiche infoA7</v>
      </c>
      <c r="BK50" s="129">
        <f t="shared" si="49"/>
        <v>22</v>
      </c>
      <c r="BL50" s="129" t="str">
        <f t="shared" si="4"/>
        <v>A</v>
      </c>
      <c r="BM50" s="129">
        <f>IFERROR(WEEKDAY(AB50,2),0)</f>
        <v>7</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46173</v>
      </c>
      <c r="ER50" s="769">
        <f t="shared" si="10"/>
        <v>0</v>
      </c>
      <c r="ES50" s="770">
        <f t="shared" si="11"/>
        <v>0</v>
      </c>
      <c r="ET50" s="769">
        <f t="shared" si="12"/>
        <v>0</v>
      </c>
      <c r="EU50" s="770">
        <f t="shared" si="13"/>
        <v>0</v>
      </c>
      <c r="EV50" s="769" t="str">
        <f t="shared" si="14"/>
        <v/>
      </c>
      <c r="EW50" s="771">
        <f t="shared" si="29"/>
        <v>46173</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22</v>
      </c>
      <c r="GA50" s="129">
        <f t="shared" si="39"/>
        <v>2026</v>
      </c>
      <c r="GB50" s="129" t="str">
        <f t="shared" si="67"/>
        <v>222026</v>
      </c>
      <c r="GC50" s="223">
        <f>IF(AND($GD$53=S.CAL!$P$3,$GD$52=FZ50),GE50,IF(BH50="",0,BH50))</f>
        <v>0</v>
      </c>
      <c r="GD50" s="129" t="str">
        <f>IFERROR(+Juin!$BY$2&amp;BL50&amp;BM50,0)</f>
        <v>Fiche infoA7</v>
      </c>
      <c r="GE50" s="129" t="str">
        <f t="shared" si="19"/>
        <v/>
      </c>
      <c r="GF50" s="223" t="str">
        <f t="shared" si="68"/>
        <v/>
      </c>
      <c r="GG50" s="1446" t="str">
        <f>+'Retenue Mai'!D48</f>
        <v/>
      </c>
      <c r="GH50" s="1446">
        <f>IF(Identification!$B$132="Non",+'Retenue Mai'!BF48,+'Retenue Mai'!BE48)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22</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IF(CF53="",+Avril!CE53,CF53)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IF(CF54="",Avril!CE54,CF54)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IF(CF55&gt;0,CF55,IF(AND(CE53=Avril!CE53,CE54=Avril!CE54),Avril!CE55,IF(OR(CE53&lt;&gt;Avril!CE53,CE54&lt;&gt;Avril!CE54),CE53/CE54)))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Mai'!E52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+IF(BY57="",Avril!BY56,BY57)</f>
        <v>24</v>
      </c>
      <c r="BZ56" s="611" t="s">
        <v>1049</v>
      </c>
      <c r="CA56" s="614">
        <f>+IF(CA57="",Avril!CA56,CA57)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IF(CF57="",+Avril!CE57,CF57)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IF(CF58="",Avril!CE58,CF58)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+IF(CA61="",Avril!CA60,CA61)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+IF(BA65="",Avril!K67,BA65)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+IF(BA68="",Avril!K68,BA68)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E74+Avril!H74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E75+Avril!H75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Mai'!EH51=0,"",'Retenue Mai'!EH51),AX76)</f>
        <v/>
      </c>
      <c r="AZ75" s="1772"/>
      <c r="BA75" s="918" t="str">
        <f>+IF(BA76="",IF('Retenue Mai'!EF51=0,"",'Retenue Mai'!EF51),BA76)</f>
        <v/>
      </c>
      <c r="BB75" s="919"/>
      <c r="BC75" s="920" t="str">
        <f>IF(BC76="",IF(+'Retenue Mai'!EG51=0,"",'Retenue Mai'!EG51),BC76)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Mai'!E50&amp;" hrs / "&amp;'Retenue Mai'!D50&amp;"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E76+Avril!H76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+E77+Avril!H77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IF(AR78="",+Avril!AL78,AR78)</f>
        <v>0</v>
      </c>
      <c r="AM78" s="2299"/>
      <c r="AN78" s="2299"/>
      <c r="AO78" s="2299"/>
      <c r="AQ78" s="420" t="s">
        <v>750</v>
      </c>
      <c r="AR78" s="2344"/>
      <c r="AS78" s="2344"/>
      <c r="AT78" s="2058" t="str">
        <f>IFERROR(VLOOKUP(AY78,'Liste des Libellés'!$A$4:$F$32,6,FALSE),"")</f>
        <v/>
      </c>
      <c r="AU78" s="2058"/>
      <c r="AV78" s="2058"/>
      <c r="AW78" s="2058"/>
      <c r="AX78" s="917"/>
      <c r="AY78" s="1772" t="str">
        <f>+IF(AX79="",IF('Retenue Mai'!EH53=0,"",'Retenue Mai'!EH53),AX79)</f>
        <v/>
      </c>
      <c r="AZ78" s="1772"/>
      <c r="BA78" s="918" t="str">
        <f>+IF(BA79="",IF('Retenue Mai'!EF53=0,"",'Retenue Mai'!EF53),BA79)</f>
        <v/>
      </c>
      <c r="BB78" s="919"/>
      <c r="BC78" s="920" t="str">
        <f>IF(BC79="",IF(+'Retenue Mai'!EG53=0,"",'Retenue Mai'!EG53),BC79)</f>
        <v/>
      </c>
      <c r="BD78" s="952"/>
      <c r="BE78" s="129"/>
      <c r="BF78" s="129"/>
      <c r="BG78" s="129"/>
      <c r="BH78" s="129"/>
      <c r="BI78" s="129"/>
      <c r="CA78" s="645"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84" t="s">
        <v>141</v>
      </c>
      <c r="B80" s="1984"/>
      <c r="C80" s="1984"/>
      <c r="D80" s="1984"/>
      <c r="E80" s="2366"/>
      <c r="F80" s="2324" t="str">
        <f>+Avril!F80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06/"&amp;Identification!B60-2002&amp;" à 05/"&amp;Identification!B60-2001</f>
        <v>Année préc. de 06/24 à 05/25</v>
      </c>
      <c r="AI80" s="2062"/>
      <c r="AJ80" s="2062"/>
      <c r="AK80" s="2063"/>
      <c r="AL80" s="2061" t="str">
        <f>+"Année en cours de 06/"&amp;Identification!B60-2001&amp;" à 05/"&amp;Identification!B60-2000</f>
        <v>Année en cours de 06/25 à 05/26</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Mai'!EH55=0,"",'Retenue Mai'!EH55),AX82)</f>
        <v/>
      </c>
      <c r="AZ81" s="1772"/>
      <c r="BA81" s="918" t="str">
        <f>+IF(BA82="",IF('Retenue Mai'!EF55=0,"",'Retenue Mai'!EF55),BA82)</f>
        <v/>
      </c>
      <c r="BB81" s="919"/>
      <c r="BC81" s="920" t="str">
        <f>IF(BC82="",IF(+'Retenue Mai'!EG55=0,"",'Retenue Mai'!EG55),BC82)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Mai'!EH57=0,"",'Retenue Mai'!EH57),AX85)</f>
        <v/>
      </c>
      <c r="AZ84" s="1772"/>
      <c r="BA84" s="918" t="str">
        <f>+IF(BA85="",IF('Retenue Mai'!EF57=0,"",'Retenue Mai'!EF57),BA85)</f>
        <v/>
      </c>
      <c r="BB84" s="919"/>
      <c r="BC84" s="920" t="str">
        <f>IF(BC85="",IF(+'Retenue Mai'!EG57=0,"",'Retenue Mai'!EG57),BC85)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Avril!F86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IF(AR86="",+Avril!AH86,AR86)</f>
        <v>0</v>
      </c>
      <c r="AI86" s="1734"/>
      <c r="AJ86" s="1734"/>
      <c r="AK86" s="1735"/>
      <c r="AL86" s="1733">
        <f>IF(AS86="",IF(DP8=52,+EI29+Avril!AL86,+EI25+Avril!AL86),IF(DP8=52,+EI29+Avril!AL86+AS86,+EI25+Avril!AL86+AT86))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46173</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+Avril!AH87</f>
        <v>0</v>
      </c>
      <c r="AI87" s="1734"/>
      <c r="AJ87" s="1734"/>
      <c r="AK87" s="1735"/>
      <c r="AL87" s="1733">
        <f>+IF(AND(T32&gt;0,(CE5=DATE(YEAR(Identification!B61),5,31))),Juin!AH87,0)</f>
        <v>0</v>
      </c>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+Avril!AH89+Avril!AH90</f>
        <v>0</v>
      </c>
      <c r="AI89" s="1734"/>
      <c r="AJ89" s="1734"/>
      <c r="AK89" s="1735"/>
      <c r="AL89" s="1733">
        <f>+Avril!AL89+Avril!AL90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+DATE(YEAR(X3)-1,5,31)</f>
        <v>45808</v>
      </c>
      <c r="E99" s="2368"/>
      <c r="F99" s="2368"/>
      <c r="G99" s="2369">
        <f>+Avril!G99</f>
        <v>0</v>
      </c>
      <c r="H99" s="2167"/>
      <c r="I99" s="2168"/>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+Avril!G100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Z107" s="1449" t="str">
        <f>+$BG$9</f>
        <v>182026</v>
      </c>
      <c r="BA107" s="1450">
        <f>+$AT$4</f>
        <v>18</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192026</v>
      </c>
      <c r="BA108" s="1455">
        <f>+$AT$5</f>
        <v>19</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202026</v>
      </c>
      <c r="BA109" s="1455">
        <f>+$AT$6</f>
        <v>20</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212026</v>
      </c>
      <c r="BA110" s="1455">
        <f>+$AT$7</f>
        <v>21</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222026</v>
      </c>
      <c r="BA111" s="1455">
        <f>+$AT$8</f>
        <v>22</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9"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182026</v>
      </c>
      <c r="BA142" s="1450">
        <f>+$AT$4</f>
        <v>18</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192026</v>
      </c>
      <c r="BA143" s="1455">
        <f>+$AT$5</f>
        <v>19</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202026</v>
      </c>
      <c r="BA144" s="1455">
        <f>+$AT$6</f>
        <v>20</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212026</v>
      </c>
      <c r="BA145" s="1455">
        <f>+$AT$7</f>
        <v>21</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222026</v>
      </c>
      <c r="BA146" s="1455">
        <f>+$AT$8</f>
        <v>22</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1ch3ek9mB9XFpWufPlwY0MvwvNairQJFtAFKfJGxoIYqK1fyd/mcHSimXGeXbJeMGpif/EcknSce7YIjeMSOZQ==" saltValue="jRZL/+MOkXSFY612RhdtZA=="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1112" priority="16">
      <formula>$U$14=0</formula>
    </cfRule>
  </conditionalFormatting>
  <conditionalFormatting sqref="B26:K26">
    <cfRule type="expression" dxfId="1111" priority="26">
      <formula>$U$14=0</formula>
    </cfRule>
  </conditionalFormatting>
  <conditionalFormatting sqref="B29:K29">
    <cfRule type="cellIs" dxfId="1110" priority="13" operator="greaterThan">
      <formula>0</formula>
    </cfRule>
  </conditionalFormatting>
  <conditionalFormatting sqref="C70:G70">
    <cfRule type="cellIs" dxfId="1109" priority="7" operator="greaterThan">
      <formula>0</formula>
    </cfRule>
  </conditionalFormatting>
  <conditionalFormatting sqref="F87:I87">
    <cfRule type="cellIs" dxfId="1108" priority="2" operator="greaterThan">
      <formula>0</formula>
    </cfRule>
  </conditionalFormatting>
  <conditionalFormatting sqref="F86:L86">
    <cfRule type="cellIs" dxfId="1107" priority="3" operator="greaterThan">
      <formula>0</formula>
    </cfRule>
  </conditionalFormatting>
  <conditionalFormatting sqref="H65:J65">
    <cfRule type="expression" dxfId="1106" priority="38">
      <formula>AND($AX$60="Oui",$AZ$62="")</formula>
    </cfRule>
    <cfRule type="expression" dxfId="1105" priority="40">
      <formula>AND($AX$60="Oui",$AZ$62="hrs")</formula>
    </cfRule>
  </conditionalFormatting>
  <conditionalFormatting sqref="H66:J66">
    <cfRule type="expression" dxfId="1104" priority="36">
      <formula>AND($BW$41="Non",$AX$61="Non")</formula>
    </cfRule>
    <cfRule type="expression" dxfId="1103" priority="35">
      <formula>AND($AX$61="Oui",$AZ$63="jrs")</formula>
    </cfRule>
    <cfRule type="expression" dxfId="1102" priority="37">
      <formula>AND($BW$41="Oui",$AX$61="Non")</formula>
    </cfRule>
    <cfRule type="expression" dxfId="1101" priority="34">
      <formula>AND($AX$61="Oui",$AZ$63="")</formula>
    </cfRule>
  </conditionalFormatting>
  <conditionalFormatting sqref="H70:J71">
    <cfRule type="cellIs" dxfId="1100" priority="6" operator="greaterThan">
      <formula>0</formula>
    </cfRule>
  </conditionalFormatting>
  <conditionalFormatting sqref="H65:K66">
    <cfRule type="cellIs" dxfId="1099" priority="33" operator="equal">
      <formula>0</formula>
    </cfRule>
  </conditionalFormatting>
  <conditionalFormatting sqref="H67:M68">
    <cfRule type="cellIs" dxfId="1098" priority="54" operator="equal">
      <formula>0</formula>
    </cfRule>
  </conditionalFormatting>
  <conditionalFormatting sqref="H69:M69">
    <cfRule type="cellIs" dxfId="1097" priority="8" operator="greaterThan">
      <formula>0</formula>
    </cfRule>
  </conditionalFormatting>
  <conditionalFormatting sqref="H40:Z60">
    <cfRule type="cellIs" dxfId="1096" priority="32" operator="equal">
      <formula>0</formula>
    </cfRule>
  </conditionalFormatting>
  <conditionalFormatting sqref="K81:K82 L82:T83 K88:T88 K89:Q90">
    <cfRule type="expression" dxfId="1095" priority="517">
      <formula>$EO$6="OUI"</formula>
    </cfRule>
  </conditionalFormatting>
  <conditionalFormatting sqref="K87">
    <cfRule type="expression" dxfId="1094" priority="4">
      <formula>$EO$6="OUI"</formula>
    </cfRule>
  </conditionalFormatting>
  <conditionalFormatting sqref="L18:O19">
    <cfRule type="cellIs" dxfId="1093" priority="20" operator="equal">
      <formula>0</formula>
    </cfRule>
  </conditionalFormatting>
  <conditionalFormatting sqref="L21:O22">
    <cfRule type="cellIs" dxfId="1092" priority="31" operator="equal">
      <formula>0</formula>
    </cfRule>
  </conditionalFormatting>
  <conditionalFormatting sqref="L27:O28">
    <cfRule type="cellIs" dxfId="1091" priority="14" operator="greaterThan">
      <formula>0</formula>
    </cfRule>
  </conditionalFormatting>
  <conditionalFormatting sqref="L30:O32">
    <cfRule type="cellIs" dxfId="1090" priority="12" operator="greaterThan">
      <formula>0</formula>
    </cfRule>
  </conditionalFormatting>
  <conditionalFormatting sqref="L34:O34">
    <cfRule type="cellIs" dxfId="1089" priority="10" operator="greaterThan">
      <formula>0</formula>
    </cfRule>
  </conditionalFormatting>
  <conditionalFormatting sqref="L23:S24">
    <cfRule type="cellIs" dxfId="1088" priority="15" operator="greaterThan">
      <formula>0</formula>
    </cfRule>
  </conditionalFormatting>
  <conditionalFormatting sqref="L25:S26">
    <cfRule type="containsErrors" dxfId="1087" priority="24">
      <formula>ISERROR(L25)</formula>
    </cfRule>
    <cfRule type="cellIs" dxfId="1086" priority="25" operator="equal">
      <formula>0</formula>
    </cfRule>
  </conditionalFormatting>
  <conditionalFormatting sqref="M87:T87">
    <cfRule type="expression" dxfId="1085" priority="514">
      <formula>$EO$6="OUI"</formula>
    </cfRule>
  </conditionalFormatting>
  <conditionalFormatting sqref="N65:P71">
    <cfRule type="cellIs" dxfId="1084" priority="60" operator="equal">
      <formula>0</formula>
    </cfRule>
  </conditionalFormatting>
  <conditionalFormatting sqref="O86">
    <cfRule type="expression" dxfId="1083" priority="518">
      <formula>EO6="OUI"</formula>
    </cfRule>
  </conditionalFormatting>
  <conditionalFormatting sqref="O14:T14">
    <cfRule type="expression" dxfId="1082" priority="213">
      <formula>$U$14=0</formula>
    </cfRule>
  </conditionalFormatting>
  <conditionalFormatting sqref="P20">
    <cfRule type="expression" dxfId="1081" priority="17">
      <formula>$DP$14=1</formula>
    </cfRule>
  </conditionalFormatting>
  <conditionalFormatting sqref="P18:S18">
    <cfRule type="expression" dxfId="1080" priority="21">
      <formula>$L$18=0</formula>
    </cfRule>
  </conditionalFormatting>
  <conditionalFormatting sqref="P19:S19">
    <cfRule type="expression" dxfId="1079" priority="19">
      <formula>$L$19=0</formula>
    </cfRule>
  </conditionalFormatting>
  <conditionalFormatting sqref="P21:S21">
    <cfRule type="expression" dxfId="1078" priority="30">
      <formula>$L$21=0</formula>
    </cfRule>
  </conditionalFormatting>
  <conditionalFormatting sqref="P22:S22">
    <cfRule type="expression" dxfId="1077" priority="29">
      <formula>$L$22=0</formula>
    </cfRule>
  </conditionalFormatting>
  <conditionalFormatting sqref="R87:T87">
    <cfRule type="expression" dxfId="1076" priority="513">
      <formula>$EO$7="OUI"</formula>
    </cfRule>
  </conditionalFormatting>
  <conditionalFormatting sqref="R89:T89">
    <cfRule type="expression" dxfId="1075" priority="508">
      <formula>$EO$8="OUI"</formula>
    </cfRule>
    <cfRule type="expression" dxfId="1074" priority="509">
      <formula>$EO$6="OUI"</formula>
    </cfRule>
  </conditionalFormatting>
  <conditionalFormatting sqref="R90:T90">
    <cfRule type="expression" dxfId="1073" priority="515">
      <formula>$EO$7="OUI"</formula>
    </cfRule>
    <cfRule type="expression" dxfId="1072" priority="516">
      <formula>$EO$6="OUI"</formula>
    </cfRule>
  </conditionalFormatting>
  <conditionalFormatting sqref="T20">
    <cfRule type="expression" dxfId="1071" priority="18">
      <formula>$DP$14=1</formula>
    </cfRule>
  </conditionalFormatting>
  <conditionalFormatting sqref="T30:T32">
    <cfRule type="cellIs" dxfId="1070" priority="28" operator="equal">
      <formula>0</formula>
    </cfRule>
  </conditionalFormatting>
  <conditionalFormatting sqref="T18:W19">
    <cfRule type="cellIs" dxfId="1069" priority="22" operator="equal">
      <formula>0</formula>
    </cfRule>
  </conditionalFormatting>
  <conditionalFormatting sqref="T21:W28">
    <cfRule type="cellIs" dxfId="1068" priority="27" operator="equal">
      <formula>0</formula>
    </cfRule>
  </conditionalFormatting>
  <conditionalFormatting sqref="T29:W29">
    <cfRule type="cellIs" dxfId="1067" priority="11" operator="greaterThan">
      <formula>0</formula>
    </cfRule>
  </conditionalFormatting>
  <conditionalFormatting sqref="T33:W33">
    <cfRule type="cellIs" dxfId="1066" priority="9" operator="greaterThan">
      <formula>0</formula>
    </cfRule>
  </conditionalFormatting>
  <conditionalFormatting sqref="T34:W34">
    <cfRule type="cellIs" dxfId="1065" priority="23" operator="equal">
      <formula>0</formula>
    </cfRule>
  </conditionalFormatting>
  <conditionalFormatting sqref="U14:X14">
    <cfRule type="cellIs" dxfId="1064" priority="211" operator="equal">
      <formula>0</formula>
    </cfRule>
  </conditionalFormatting>
  <conditionalFormatting sqref="V80:AF81">
    <cfRule type="cellIs" dxfId="1063" priority="1" operator="notEqual">
      <formula>"Commentaires :"</formula>
    </cfRule>
  </conditionalFormatting>
  <conditionalFormatting sqref="Y73:AO75">
    <cfRule type="expression" dxfId="1062" priority="64">
      <formula>$DP$8=52</formula>
    </cfRule>
  </conditionalFormatting>
  <conditionalFormatting sqref="AB20:AC50">
    <cfRule type="expression" dxfId="1061" priority="430">
      <formula>WEEKDAY(AB20,2)=7</formula>
    </cfRule>
    <cfRule type="expression" dxfId="1060" priority="431">
      <formula>OR(WEEKDAY(AB20,2)=6,WEEKDAY(AB20,2)=7)</formula>
    </cfRule>
    <cfRule type="expression" dxfId="1059" priority="432">
      <formula>VLOOKUP(AB20,base_feries,1,FALSE)</formula>
    </cfRule>
  </conditionalFormatting>
  <conditionalFormatting sqref="AD20:AF50">
    <cfRule type="cellIs" dxfId="1058" priority="302" operator="equal">
      <formula>0</formula>
    </cfRule>
    <cfRule type="expression" dxfId="1057" priority="301">
      <formula>FC20="oui"</formula>
    </cfRule>
  </conditionalFormatting>
  <conditionalFormatting sqref="AG20:AI50">
    <cfRule type="expression" dxfId="1056" priority="303">
      <formula>FC20="oui"</formula>
    </cfRule>
  </conditionalFormatting>
  <conditionalFormatting sqref="AH83:AH84">
    <cfRule type="cellIs" dxfId="1055" priority="526" stopIfTrue="1" operator="equal">
      <formula>0</formula>
    </cfRule>
  </conditionalFormatting>
  <conditionalFormatting sqref="AH89:AH91">
    <cfRule type="cellIs" dxfId="1054" priority="70" stopIfTrue="1" operator="equal">
      <formula>0</formula>
    </cfRule>
  </conditionalFormatting>
  <conditionalFormatting sqref="AH93:AK93">
    <cfRule type="cellIs" dxfId="1053" priority="519" operator="equal">
      <formula>0</formula>
    </cfRule>
  </conditionalFormatting>
  <conditionalFormatting sqref="AH86:AL87">
    <cfRule type="cellIs" dxfId="1052" priority="65" stopIfTrue="1" operator="equal">
      <formula>0</formula>
    </cfRule>
  </conditionalFormatting>
  <conditionalFormatting sqref="AH92:AO92">
    <cfRule type="cellIs" dxfId="1051" priority="243" operator="lessThan">
      <formula>-0.001</formula>
    </cfRule>
  </conditionalFormatting>
  <conditionalFormatting sqref="AJ20:AL50">
    <cfRule type="expression" dxfId="1050" priority="304">
      <formula>FC20="oui"</formula>
    </cfRule>
  </conditionalFormatting>
  <conditionalFormatting sqref="AL83">
    <cfRule type="cellIs" dxfId="1049" priority="525" stopIfTrue="1" operator="equal">
      <formula>0</formula>
    </cfRule>
  </conditionalFormatting>
  <conditionalFormatting sqref="AL89:AL91">
    <cfRule type="cellIs" dxfId="1048" priority="69" stopIfTrue="1" operator="equal">
      <formula>0</formula>
    </cfRule>
  </conditionalFormatting>
  <conditionalFormatting sqref="AL93">
    <cfRule type="cellIs" dxfId="1047" priority="527" stopIfTrue="1" operator="equal">
      <formula>0</formula>
    </cfRule>
  </conditionalFormatting>
  <conditionalFormatting sqref="AM20:AO50">
    <cfRule type="expression" dxfId="1046" priority="305">
      <formula>FC20="oui"</formula>
    </cfRule>
  </conditionalFormatting>
  <conditionalFormatting sqref="AP20:AP50">
    <cfRule type="expression" dxfId="1045" priority="151">
      <formula>BL20="E"</formula>
    </cfRule>
    <cfRule type="expression" dxfId="1044" priority="154">
      <formula>BL20="B"</formula>
    </cfRule>
    <cfRule type="expression" dxfId="1043" priority="153">
      <formula>BL20="C"</formula>
    </cfRule>
    <cfRule type="expression" dxfId="1042" priority="152">
      <formula>BL20="D"</formula>
    </cfRule>
    <cfRule type="expression" dxfId="1041" priority="148">
      <formula>BL20="H"</formula>
    </cfRule>
    <cfRule type="expression" dxfId="1040" priority="149">
      <formula>BL20="G"</formula>
    </cfRule>
    <cfRule type="expression" dxfId="1039" priority="150">
      <formula>BL20="F"</formula>
    </cfRule>
  </conditionalFormatting>
  <conditionalFormatting sqref="AQ62:AU62">
    <cfRule type="expression" dxfId="1038" priority="46">
      <formula>$AT$60="Non"</formula>
    </cfRule>
  </conditionalFormatting>
  <conditionalFormatting sqref="AQ63:AU63">
    <cfRule type="expression" dxfId="1037" priority="43">
      <formula>$AT$61="Non"</formula>
    </cfRule>
  </conditionalFormatting>
  <conditionalFormatting sqref="AR20:AR50">
    <cfRule type="expression" dxfId="1036" priority="189">
      <formula>FN20=10</formula>
    </cfRule>
    <cfRule type="expression" dxfId="1035" priority="193">
      <formula>AND(AR20&lt;&gt;"",AZ20&lt;&gt;"")</formula>
    </cfRule>
    <cfRule type="expression" dxfId="1034" priority="185">
      <formula>FC20="oui"</formula>
    </cfRule>
    <cfRule type="expression" dxfId="1033" priority="177">
      <formula>AB20=""</formula>
    </cfRule>
  </conditionalFormatting>
  <conditionalFormatting sqref="AR17:BJ50">
    <cfRule type="expression" dxfId="1032" priority="49">
      <formula>$EX$13="oui"</formula>
    </cfRule>
  </conditionalFormatting>
  <conditionalFormatting sqref="AS51:BJ51 DK51">
    <cfRule type="expression" dxfId="1031" priority="138">
      <formula>$EX$13="oui"</formula>
    </cfRule>
  </conditionalFormatting>
  <conditionalFormatting sqref="AT4:AT10">
    <cfRule type="expression" dxfId="1030" priority="447">
      <formula>AU4="H"</formula>
    </cfRule>
    <cfRule type="expression" dxfId="1029" priority="448">
      <formula>AU4="G"</formula>
    </cfRule>
    <cfRule type="expression" dxfId="1028" priority="449">
      <formula>AU4="F"</formula>
    </cfRule>
    <cfRule type="expression" dxfId="1027" priority="450">
      <formula>AU4="E"</formula>
    </cfRule>
    <cfRule type="expression" dxfId="1026" priority="451">
      <formula>AU4="D"</formula>
    </cfRule>
    <cfRule type="expression" dxfId="1025" priority="453">
      <formula>AU4="B"</formula>
    </cfRule>
    <cfRule type="expression" dxfId="1024" priority="452">
      <formula>AU4="C"</formula>
    </cfRule>
  </conditionalFormatting>
  <conditionalFormatting sqref="AT20:AT50">
    <cfRule type="expression" dxfId="1023" priority="188">
      <formula>FC20="oui"</formula>
    </cfRule>
    <cfRule type="expression" dxfId="1022" priority="184">
      <formula>AB20=""</formula>
    </cfRule>
  </conditionalFormatting>
  <conditionalFormatting sqref="AU4:AU10">
    <cfRule type="expression" dxfId="1021" priority="382">
      <formula>AT4=""</formula>
    </cfRule>
    <cfRule type="expression" dxfId="1020" priority="383">
      <formula>FG4="rouge"</formula>
    </cfRule>
  </conditionalFormatting>
  <conditionalFormatting sqref="AU20:AU50">
    <cfRule type="expression" dxfId="1019" priority="192">
      <formula>FC20="oui"</formula>
    </cfRule>
    <cfRule type="expression" dxfId="1018" priority="183">
      <formula>AB20=""</formula>
    </cfRule>
  </conditionalFormatting>
  <conditionalFormatting sqref="AW20:AX50">
    <cfRule type="expression" dxfId="1017" priority="197">
      <formula>VLOOKUP(AW20,base_feries,1,FALSE)</formula>
    </cfRule>
    <cfRule type="expression" dxfId="1016" priority="196">
      <formula>OR(WEEKDAY(AW20,2)=6,WEEKDAY(AW20,2)=7)</formula>
    </cfRule>
    <cfRule type="expression" dxfId="1015" priority="195">
      <formula>WEEKDAY(AW20,2)=7</formula>
    </cfRule>
  </conditionalFormatting>
  <conditionalFormatting sqref="AX62:AZ62">
    <cfRule type="expression" dxfId="1014" priority="45">
      <formula>$AX$60="Non"</formula>
    </cfRule>
  </conditionalFormatting>
  <conditionalFormatting sqref="AX63:AZ63">
    <cfRule type="expression" dxfId="1013" priority="42">
      <formula>$AX$61="Non"</formula>
    </cfRule>
  </conditionalFormatting>
  <conditionalFormatting sqref="AZ20:AZ50">
    <cfRule type="expression" dxfId="1012" priority="50">
      <formula>AB20=""</formula>
    </cfRule>
    <cfRule type="expression" dxfId="1011" priority="53">
      <formula>AND(AR20&lt;&gt;"",AZ20&lt;&gt;"")</formula>
    </cfRule>
    <cfRule type="expression" dxfId="1010" priority="52">
      <formula>FL20=10</formula>
    </cfRule>
    <cfRule type="expression" dxfId="1009" priority="51">
      <formula>FC20="oui"</formula>
    </cfRule>
  </conditionalFormatting>
  <conditionalFormatting sqref="BA20:BA50">
    <cfRule type="expression" dxfId="1008" priority="186">
      <formula>FC20="oui"</formula>
    </cfRule>
    <cfRule type="expression" dxfId="1007" priority="182">
      <formula>AB20=""</formula>
    </cfRule>
  </conditionalFormatting>
  <conditionalFormatting sqref="BA62">
    <cfRule type="expression" dxfId="1006" priority="44">
      <formula>$BA$60="Non"</formula>
    </cfRule>
  </conditionalFormatting>
  <conditionalFormatting sqref="BA63">
    <cfRule type="expression" dxfId="1005" priority="41">
      <formula>$BA$61="Non"</formula>
    </cfRule>
  </conditionalFormatting>
  <conditionalFormatting sqref="BA102 BA103:BH115">
    <cfRule type="expression" dxfId="1004" priority="66">
      <formula>$DP$8=52</formula>
    </cfRule>
  </conditionalFormatting>
  <conditionalFormatting sqref="BA137">
    <cfRule type="expression" dxfId="1003" priority="98">
      <formula>$DP$8=52</formula>
    </cfRule>
  </conditionalFormatting>
  <conditionalFormatting sqref="BA138:BH149">
    <cfRule type="expression" dxfId="1002" priority="67">
      <formula>$DP$8=52</formula>
    </cfRule>
  </conditionalFormatting>
  <conditionalFormatting sqref="BC20:BC55">
    <cfRule type="cellIs" dxfId="1001" priority="191" operator="equal">
      <formula>0</formula>
    </cfRule>
    <cfRule type="expression" dxfId="1000" priority="179">
      <formula>AJ20=""</formula>
    </cfRule>
  </conditionalFormatting>
  <conditionalFormatting sqref="BC112:BH112">
    <cfRule type="expression" dxfId="999" priority="99">
      <formula>$BA$112=""</formula>
    </cfRule>
  </conditionalFormatting>
  <conditionalFormatting sqref="BC147:BH147">
    <cfRule type="expression" dxfId="998" priority="68">
      <formula>$BA$112=""</formula>
    </cfRule>
  </conditionalFormatting>
  <conditionalFormatting sqref="BD20:BD50">
    <cfRule type="expression" dxfId="997" priority="180">
      <formula>FL20="oui"</formula>
    </cfRule>
  </conditionalFormatting>
  <conditionalFormatting sqref="BE20:BE50">
    <cfRule type="expression" dxfId="996" priority="190">
      <formula>OR(BE20=0,BE20="")</formula>
    </cfRule>
  </conditionalFormatting>
  <conditionalFormatting sqref="BH20:BH50">
    <cfRule type="expression" dxfId="995" priority="139">
      <formula>AO20=""</formula>
    </cfRule>
    <cfRule type="cellIs" dxfId="994" priority="176" operator="equal">
      <formula>0</formula>
    </cfRule>
  </conditionalFormatting>
  <conditionalFormatting sqref="BI9:BI14">
    <cfRule type="cellIs" dxfId="993" priority="105" operator="equal">
      <formula>0</formula>
    </cfRule>
  </conditionalFormatting>
  <conditionalFormatting sqref="BQ54">
    <cfRule type="expression" dxfId="992" priority="427">
      <formula>$BW$41="Non"</formula>
    </cfRule>
  </conditionalFormatting>
  <conditionalFormatting sqref="BQ36:CA36">
    <cfRule type="expression" dxfId="991" priority="428">
      <formula>$BW$41="Oui"</formula>
    </cfRule>
  </conditionalFormatting>
  <conditionalFormatting sqref="BS21:CA34">
    <cfRule type="expression" dxfId="990" priority="85">
      <formula>$EO$12="NON"</formula>
    </cfRule>
  </conditionalFormatting>
  <conditionalFormatting sqref="BY28:BY33">
    <cfRule type="notContainsBlanks" dxfId="989" priority="86">
      <formula>LEN(TRIM(BY28))&gt;0</formula>
    </cfRule>
  </conditionalFormatting>
  <conditionalFormatting sqref="BY56">
    <cfRule type="duplicateValues" dxfId="988" priority="476"/>
    <cfRule type="expression" dxfId="987" priority="475">
      <formula>$BW$41="Oui"</formula>
    </cfRule>
  </conditionalFormatting>
  <conditionalFormatting sqref="BY60">
    <cfRule type="expression" dxfId="986" priority="469">
      <formula>$BW$41="Oui"</formula>
    </cfRule>
    <cfRule type="cellIs" dxfId="985" priority="470" operator="lessThan">
      <formula>$BY$59</formula>
    </cfRule>
    <cfRule type="duplicateValues" dxfId="984" priority="471"/>
  </conditionalFormatting>
  <conditionalFormatting sqref="CA56">
    <cfRule type="expression" dxfId="982" priority="278">
      <formula>AND($CA$56&lt;$CE$47,$BW$41="Non")</formula>
    </cfRule>
  </conditionalFormatting>
  <conditionalFormatting sqref="CB78">
    <cfRule type="cellIs" dxfId="981" priority="566" stopIfTrue="1" operator="equal">
      <formula>"NON"</formula>
    </cfRule>
    <cfRule type="cellIs" dxfId="980" priority="567" stopIfTrue="1" operator="equal">
      <formula>"OUI"</formula>
    </cfRule>
  </conditionalFormatting>
  <conditionalFormatting sqref="CE53:CE54">
    <cfRule type="expression" dxfId="979" priority="157">
      <formula>$BW$41="Non"</formula>
    </cfRule>
  </conditionalFormatting>
  <conditionalFormatting sqref="CE57:CE58">
    <cfRule type="expression" dxfId="978" priority="156">
      <formula>$BW$41="Non"</formula>
    </cfRule>
  </conditionalFormatting>
  <conditionalFormatting sqref="CE3:CF3">
    <cfRule type="expression" dxfId="977" priority="118">
      <formula>$CD$3=""</formula>
    </cfRule>
    <cfRule type="expression" dxfId="976" priority="117">
      <formula>AND($CE$3="",$CE$5&lt;&gt;"")</formula>
    </cfRule>
    <cfRule type="expression" dxfId="975" priority="116">
      <formula>$FX$3="vrai"</formula>
    </cfRule>
  </conditionalFormatting>
  <conditionalFormatting sqref="CE5:CF5">
    <cfRule type="expression" dxfId="974" priority="125">
      <formula>OR(AND(CE5&lt;&gt;0,CE5&lt;AJ4),AND(CE5&lt;&gt;0,CE5&gt;EG5),AND(CE5&lt;&gt;0,CE5&lt;AB20))</formula>
    </cfRule>
    <cfRule type="expression" dxfId="973" priority="124">
      <formula>CD5=""</formula>
    </cfRule>
    <cfRule type="expression" dxfId="972" priority="123">
      <formula>$FX$5="vrai"</formula>
    </cfRule>
  </conditionalFormatting>
  <conditionalFormatting sqref="CE8:CF8">
    <cfRule type="cellIs" dxfId="971" priority="122" operator="greaterThan">
      <formula>$CE$5</formula>
    </cfRule>
    <cfRule type="expression" dxfId="970" priority="121">
      <formula>AND(CE8&lt;&gt;0,CE8&lt;AJ4)</formula>
    </cfRule>
    <cfRule type="expression" dxfId="969" priority="120">
      <formula>CD8=""</formula>
    </cfRule>
    <cfRule type="expression" dxfId="968" priority="119">
      <formula>$FX$8="vrai"</formula>
    </cfRule>
  </conditionalFormatting>
  <conditionalFormatting sqref="CF47">
    <cfRule type="notContainsBlanks" dxfId="967" priority="414">
      <formula>LEN(TRIM(CF47))&gt;0</formula>
    </cfRule>
  </conditionalFormatting>
  <conditionalFormatting sqref="CF49">
    <cfRule type="notContainsBlanks" dxfId="966" priority="413">
      <formula>LEN(TRIM(CF49))&gt;0</formula>
    </cfRule>
  </conditionalFormatting>
  <conditionalFormatting sqref="CF53:CF54">
    <cfRule type="expression" dxfId="964" priority="160">
      <formula>$BW$41="Non"</formula>
    </cfRule>
  </conditionalFormatting>
  <conditionalFormatting sqref="CF57:CF58">
    <cfRule type="expression" dxfId="962" priority="158">
      <formula>$BW$41="Non"</formula>
    </cfRule>
  </conditionalFormatting>
  <conditionalFormatting sqref="CG8:CI8">
    <cfRule type="expression" dxfId="960" priority="252">
      <formula>CD8=""</formula>
    </cfRule>
  </conditionalFormatting>
  <conditionalFormatting sqref="GW16:HR16">
    <cfRule type="expression" dxfId="959" priority="404">
      <formula>$AE$123="NON"</formula>
    </cfRule>
  </conditionalFormatting>
  <conditionalFormatting sqref="HG16:HJ16">
    <cfRule type="expression" dxfId="958" priority="4939">
      <formula>AR123&gt;0</formula>
    </cfRule>
  </conditionalFormatting>
  <conditionalFormatting sqref="HK16:HN16">
    <cfRule type="expression" dxfId="957" priority="4940">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B00-000000000000}">
      <formula1>0</formula1>
      <formula2>0</formula2>
    </dataValidation>
    <dataValidation type="list" allowBlank="1" showInputMessage="1" showErrorMessage="1" sqref="F80:H80" xr:uid="{00000000-0002-0000-1B00-000001000000}">
      <formula1>"Chèque,Espèce,Virement,Pajemploi +,CESU"</formula1>
    </dataValidation>
    <dataValidation type="list" allowBlank="1" showInputMessage="1" showErrorMessage="1" sqref="F82:H82" xr:uid="{00000000-0002-0000-1B00-000002000000}">
      <formula1>"' ,Chèque,Espèce,Virement,Pajemploi +,CESU"</formula1>
    </dataValidation>
    <dataValidation type="list" allowBlank="1" showInputMessage="1" showErrorMessage="1" sqref="AU4:AU10" xr:uid="{00000000-0002-0000-1B00-000003000000}">
      <formula1>"A,B,C,D,E,F,G,H"</formula1>
    </dataValidation>
    <dataValidation showInputMessage="1" showErrorMessage="1" sqref="BY6" xr:uid="{00000000-0002-0000-1B00-000004000000}"/>
    <dataValidation type="list" allowBlank="1" showInputMessage="1" showErrorMessage="1" sqref="L123:M123 L125:M125 AI127:AJ127 AJ125:AK125 CC132 BF20:BF50" xr:uid="{00000000-0002-0000-1B00-000006000000}">
      <formula1>"OUI,NON"</formula1>
    </dataValidation>
    <dataValidation type="list" allowBlank="1" showInputMessage="1" showErrorMessage="1" sqref="BX41" xr:uid="{00000000-0002-0000-1B00-000007000000}">
      <formula1>Table_utilisation_tab_entretien</formula1>
    </dataValidation>
    <dataValidation type="list" showInputMessage="1" showErrorMessage="1" sqref="AR14:AZ14" xr:uid="{00000000-0002-0000-1B00-000009000000}">
      <formula1>calendrier_bs</formula1>
    </dataValidation>
    <dataValidation type="list" showInputMessage="1" showErrorMessage="1" sqref="BZ118" xr:uid="{00000000-0002-0000-1B00-00000A000000}">
      <formula1>"Scénario 1,Scénario 2,Scénario 3,Scénario 4,"</formula1>
    </dataValidation>
    <dataValidation type="list" allowBlank="1" showInputMessage="1" showErrorMessage="1" sqref="BZ2" xr:uid="{00000000-0002-0000-1B00-00000B000000}">
      <formula1>Source_liste_fiche2</formula1>
    </dataValidation>
    <dataValidation type="list" allowBlank="1" showInputMessage="1" sqref="CF58 CF54 DJ51:DK52" xr:uid="{00000000-0002-0000-1B00-00000C000000}">
      <formula1>"1,2,3,4,5,6,7,8,9,10,11,12,13"</formula1>
    </dataValidation>
    <dataValidation allowBlank="1" showInputMessage="1" sqref="BY56 BY60 CE54 CE58" xr:uid="{00000000-0002-0000-1B00-00000D000000}"/>
    <dataValidation type="list" allowBlank="1" showInputMessage="1" sqref="BY57" xr:uid="{00000000-0002-0000-1B00-00000E000000}">
      <formula1>"0,1,2,3,4,5,6,7,8,9,10,11,12,13,14,24"</formula1>
    </dataValidation>
    <dataValidation type="list" allowBlank="1" showInputMessage="1" showErrorMessage="1" sqref="AX76:AY76 AX79:AY79 AX82:AY82 AX85:AY85" xr:uid="{00000000-0002-0000-1B00-00000F000000}">
      <formula1>liste_attestation_modif_pole</formula1>
    </dataValidation>
    <dataValidation type="list" allowBlank="1" showInputMessage="1" showErrorMessage="1" sqref="CE3:CF3" xr:uid="{00000000-0002-0000-1B00-000010000000}">
      <formula1>motif_rupture</formula1>
    </dataValidation>
    <dataValidation type="list" showInputMessage="1" showErrorMessage="1" error="Vous devez choisir entre :_x000a_ - cellule vide_x000a_ - CP Acq_x000a_ - CP Ant" sqref="AR20:AR50" xr:uid="{00000000-0002-0000-1B00-000011000000}">
      <formula1>Source_pose_CP</formula1>
    </dataValidation>
    <dataValidation type="list" allowBlank="1" showInputMessage="1" showErrorMessage="1" sqref="BA60:BA61 AT60:AT61 AX60:AY61" xr:uid="{AF6573B8-F0F6-4B15-BBEE-9F23F126F13A}">
      <formula1>"Non,Oui"</formula1>
    </dataValidation>
    <dataValidation allowBlank="1" showInputMessage="1" showErrorMessage="1" prompt="Vous pouvez choisir avec la petite flèche à droite &quot;Salaires heures normales réelles &quot;" sqref="A18:K18" xr:uid="{5C43EC2A-43A2-4B04-A8F6-3E658F73182D}"/>
    <dataValidation type="list" errorStyle="information" allowBlank="1" showInputMessage="1" showErrorMessage="1" error="Faites Entrée pour valider le nombre d'heures" sqref="AZ20:AZ50" xr:uid="{68B0D5D5-B805-406B-ACDA-70D144FBF636}">
      <formula1>liste_motif</formula1>
    </dataValidation>
    <dataValidation type="list" allowBlank="1" showInputMessage="1" showErrorMessage="1" sqref="AZ62:AZ63" xr:uid="{ED236F6A-2AFF-4FE9-9A24-6611F8ADC3B3}">
      <formula1>liste_hrs_jrs</formula1>
    </dataValidation>
    <dataValidation type="list" allowBlank="1" showInputMessage="1" showErrorMessage="1" sqref="AO131:AP133 AH133:AI133" xr:uid="{412D7A35-C8C5-4133-80F3-A6194CB8E736}">
      <formula1>"Oui,Non"</formula1>
    </dataValidation>
    <dataValidation type="list" allowBlank="1" showInputMessage="1" showErrorMessage="1" sqref="AJ135:AK135" xr:uid="{EA41ED21-9936-4623-A774-AA087DEB3DA6}">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9" id="{0C39698D-3C28-4B76-8F21-0BDBAD374D9F}">
            <xm:f>Avril!$BY$8="OUI"</xm:f>
            <x14:dxf>
              <font>
                <color theme="0"/>
              </font>
              <fill>
                <patternFill>
                  <bgColor theme="0"/>
                </patternFill>
              </fill>
            </x14:dxf>
          </x14:cfRule>
          <xm:sqref>BZ8</xm:sqref>
        </x14:conditionalFormatting>
        <x14:conditionalFormatting xmlns:xm="http://schemas.microsoft.com/office/excel/2006/main">
          <x14:cfRule type="expression" priority="161" id="{E86B39E1-FD29-40D8-8DA6-D7771E7ED937}">
            <xm:f>AND($EO$11="NON",$CC$44=S.CAL!$BC$4)</xm:f>
            <x14:dxf>
              <fill>
                <patternFill>
                  <bgColor rgb="FFFF0000"/>
                </patternFill>
              </fill>
            </x14:dxf>
          </x14:cfRule>
          <xm:sqref>CF53:CF54</xm:sqref>
        </x14:conditionalFormatting>
        <x14:conditionalFormatting xmlns:xm="http://schemas.microsoft.com/office/excel/2006/main">
          <x14:cfRule type="expression" priority="155" id="{7CA3D7E0-23BE-40D0-B9DB-087FBEB8781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9" id="{0253FAD6-6B0D-4DE6-BA1C-3B2C3C5EF4A7}">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13000000}">
          <x14:formula1>
            <xm:f>S.CAL!$V$2:$V$4</xm:f>
          </x14:formula1>
          <xm:sqref>BZ8 AN123:AO123 AN129:AO129</xm:sqref>
        </x14:dataValidation>
        <x14:dataValidation type="list" allowBlank="1" showInputMessage="1" showErrorMessage="1" xr:uid="{00000000-0002-0000-1B00-000014000000}">
          <x14:formula1>
            <xm:f>S.CAL!$S$2:$S$4</xm:f>
          </x14:formula1>
          <xm:sqref>BZ6</xm:sqref>
        </x14:dataValidation>
        <x14:dataValidation type="list" allowBlank="1" showInputMessage="1" showErrorMessage="1" xr:uid="{E019B779-980A-4DA3-996F-5D2FBC309D32}">
          <x14:formula1>
            <xm:f>S.CAL!$BC$2:$BC$5</xm:f>
          </x14:formula1>
          <xm:sqref>CC45:CD45</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9999"/>
  </sheetPr>
  <dimension ref="A1:BP113"/>
  <sheetViews>
    <sheetView showGridLines="0" zoomScale="90" zoomScaleNormal="90" workbookViewId="0">
      <selection sqref="A1:AO1"/>
    </sheetView>
  </sheetViews>
  <sheetFormatPr baseColWidth="10" defaultColWidth="11.42578125" defaultRowHeight="12.75" x14ac:dyDescent="0.2"/>
  <cols>
    <col min="1" max="1" width="22.140625" style="16" customWidth="1"/>
    <col min="2" max="2" width="12.5703125" style="16" customWidth="1"/>
    <col min="3" max="4" width="11.42578125" style="16"/>
    <col min="5" max="5" width="13" style="16" customWidth="1"/>
    <col min="6" max="7" width="11.42578125" style="16"/>
    <col min="8" max="8" width="18.42578125" style="16" customWidth="1"/>
    <col min="9" max="9" width="16" style="16" customWidth="1"/>
    <col min="10" max="10" width="11.42578125" style="16"/>
    <col min="11" max="11" width="18.7109375" style="16" customWidth="1"/>
    <col min="12" max="12" width="18.28515625" style="16" customWidth="1"/>
    <col min="13" max="16" width="11.42578125" style="16"/>
    <col min="17" max="17" width="0" style="16" hidden="1" customWidth="1"/>
    <col min="18" max="68" width="11.42578125" style="16" hidden="1" customWidth="1"/>
    <col min="69" max="78" width="11.42578125" style="16" customWidth="1"/>
    <col min="79" max="16384" width="11.42578125" style="16"/>
  </cols>
  <sheetData>
    <row r="1" spans="1:55" ht="54.75" customHeight="1" x14ac:dyDescent="0.2">
      <c r="A1" s="2385" t="str">
        <f>+IF(AND(AD10="OUI",AD11=52),"Ne pas utiliser cette feuille pour le CDD calculé sur la base d'une année complète",IF(AND(AD10="OUI",AD11&lt;&gt;52),"Outil de calcul des congés payés, CDD calculé sur la base d'une année incomplète",IF(AD15="OUI","Ne pas utiliser cette feuille pour un contrat occasionnel","Outils de calcul des congés payés en Année Incomplète")))</f>
        <v>Outils de calcul des congés payés en Année Incomplète</v>
      </c>
      <c r="B1" s="2385"/>
      <c r="C1" s="2385"/>
      <c r="D1" s="2385"/>
      <c r="E1" s="2385"/>
      <c r="F1" s="2385"/>
      <c r="G1" s="2385"/>
      <c r="H1" s="2385"/>
      <c r="I1" s="2378" t="str">
        <f>+IF(AND(Identification!B95&lt;=I6,Identification!B95&gt;I4),U1,"")</f>
        <v/>
      </c>
      <c r="J1" s="2378"/>
      <c r="K1" s="2378"/>
      <c r="L1" s="2378"/>
      <c r="M1" s="2378"/>
      <c r="N1" s="2378"/>
      <c r="O1" s="24" t="str">
        <f>+IF(AND(Identification!B95&lt;=I6,Identification!B95&gt;I4),"faux","")</f>
        <v/>
      </c>
      <c r="Q1" s="377"/>
      <c r="R1" s="377"/>
      <c r="S1" s="377" t="s">
        <v>669</v>
      </c>
      <c r="T1" s="377"/>
      <c r="U1" s="1015" t="s">
        <v>1412</v>
      </c>
      <c r="BA1" s="29" t="s">
        <v>1194</v>
      </c>
      <c r="BB1" s="16" t="str">
        <f>'Fiche info'!W31</f>
        <v>NON</v>
      </c>
    </row>
    <row r="2" spans="1:55" x14ac:dyDescent="0.2">
      <c r="C2" s="2379" t="str">
        <f>+'Mode d''utilisation'!E2</f>
        <v>Syndicat National FO des Emplois de la Famille         www.emploisdelafamille-fo.fr</v>
      </c>
      <c r="D2" s="2379"/>
      <c r="E2" s="2379"/>
      <c r="F2" s="2379"/>
      <c r="G2" s="2379"/>
      <c r="H2" s="2379"/>
      <c r="K2" s="25" t="s">
        <v>655</v>
      </c>
      <c r="L2" s="25"/>
      <c r="Q2" s="377"/>
      <c r="R2" s="377"/>
      <c r="S2" s="377" t="str">
        <f t="shared" ref="S2:S13" si="0">+IF(AND(A48&lt;&gt;"Hors période",B48=0),"JAUNE","NON")</f>
        <v>JAUNE</v>
      </c>
      <c r="T2" s="377"/>
      <c r="U2" s="377"/>
      <c r="BA2" s="29" t="s">
        <v>1314</v>
      </c>
      <c r="BB2" s="30">
        <f>+DATE(YEAR(Identification!B61)-1,4,30)</f>
        <v>45777</v>
      </c>
      <c r="BC2" s="16">
        <f>+DATEDIF(Identification!B49,BB2,"Y")</f>
        <v>125</v>
      </c>
    </row>
    <row r="3" spans="1:55" x14ac:dyDescent="0.2">
      <c r="C3" s="26"/>
      <c r="D3" s="27"/>
      <c r="E3" s="27"/>
      <c r="F3" s="27"/>
      <c r="G3" s="27"/>
      <c r="H3" s="27"/>
      <c r="Q3" s="377"/>
      <c r="R3" s="377"/>
      <c r="S3" s="377" t="str">
        <f t="shared" si="0"/>
        <v>JAUNE</v>
      </c>
      <c r="T3" s="377"/>
      <c r="U3" s="377"/>
      <c r="BA3" s="29" t="s">
        <v>1315</v>
      </c>
      <c r="BB3" s="16" t="str">
        <f>+IF(BC2&lt;21,"OUI","NON")</f>
        <v>NON</v>
      </c>
    </row>
    <row r="4" spans="1:55" x14ac:dyDescent="0.2">
      <c r="A4" s="16" t="s">
        <v>594</v>
      </c>
      <c r="B4" s="2380" t="str">
        <f>IF(I4&gt;I6,"Hors période du contrat","Du "&amp;TEXT(AB6,"jj/mm/aaaa")&amp;" au "&amp;TEXT(AC6,"jj/mm/aaaa"))</f>
        <v>Du 01/06/2025 au 31/05/2026</v>
      </c>
      <c r="C4" s="2380"/>
      <c r="D4" s="2380"/>
      <c r="H4" s="29" t="s">
        <v>8</v>
      </c>
      <c r="I4" s="30">
        <f>+Identification!B28</f>
        <v>0</v>
      </c>
      <c r="Q4" s="377"/>
      <c r="R4" s="377"/>
      <c r="S4" s="377" t="str">
        <f t="shared" si="0"/>
        <v>JAUNE</v>
      </c>
      <c r="T4" s="377"/>
      <c r="U4" s="377"/>
      <c r="AB4" s="24"/>
      <c r="AC4" s="30">
        <f>+DATE(YEAR(AC6),6,1)</f>
        <v>46174</v>
      </c>
      <c r="AD4" s="377"/>
      <c r="BA4" s="29" t="s">
        <v>1703</v>
      </c>
      <c r="BB4" s="16" t="str">
        <f>+IF(DATE(YEAR(I6),5,1)&gt;I4,"OUI","NON")</f>
        <v>OUI</v>
      </c>
    </row>
    <row r="5" spans="1:55" x14ac:dyDescent="0.2">
      <c r="A5" s="16" t="s">
        <v>25</v>
      </c>
      <c r="B5" s="2381">
        <f>+Identification!B25</f>
        <v>0</v>
      </c>
      <c r="C5" s="2381"/>
      <c r="D5" s="2381"/>
      <c r="Q5" s="377"/>
      <c r="R5" s="377"/>
      <c r="S5" s="377" t="str">
        <f t="shared" si="0"/>
        <v>JAUNE</v>
      </c>
      <c r="T5" s="377"/>
      <c r="U5" s="377"/>
      <c r="AA5" s="16" t="s">
        <v>595</v>
      </c>
      <c r="AB5" s="27" t="s">
        <v>597</v>
      </c>
      <c r="AC5" s="27" t="s">
        <v>596</v>
      </c>
    </row>
    <row r="6" spans="1:55" x14ac:dyDescent="0.2">
      <c r="E6" s="27" t="s">
        <v>602</v>
      </c>
      <c r="H6" s="29" t="s">
        <v>618</v>
      </c>
      <c r="I6" s="79">
        <f>+DATE(YEAR(Identification!B61),5,31)</f>
        <v>46173</v>
      </c>
      <c r="Q6" s="377"/>
      <c r="R6" s="377"/>
      <c r="S6" s="377" t="str">
        <f t="shared" si="0"/>
        <v>JAUNE</v>
      </c>
      <c r="T6" s="377"/>
      <c r="U6" s="377"/>
      <c r="AA6" s="16">
        <v>1</v>
      </c>
      <c r="AB6" s="30">
        <f>+IF(AND(AC6&lt;AC4,I4&lt;=DATE(YEAR(AC4)-1,6,1)),DATE(YEAR(AC4)-1,6,1),IF(AND(AC6&lt;AC4,I4&gt;=DATE(YEAR(AC4)-1,6,1)),I4,IF(I4&gt;AC4,I4,AC4)))</f>
        <v>45809</v>
      </c>
      <c r="AC6" s="30">
        <f>+I6</f>
        <v>46173</v>
      </c>
    </row>
    <row r="7" spans="1:55" x14ac:dyDescent="0.2">
      <c r="C7" s="29" t="s">
        <v>568</v>
      </c>
      <c r="D7" s="31">
        <f>IFERROR(IF(E7="",+VLOOKUP(AC9,BDD,21,FALSE),E7),0)</f>
        <v>0</v>
      </c>
      <c r="E7" s="1108"/>
      <c r="Q7" s="377"/>
      <c r="R7" s="377"/>
      <c r="S7" s="377" t="str">
        <f t="shared" si="0"/>
        <v>JAUNE</v>
      </c>
      <c r="T7" s="377"/>
      <c r="U7" s="377"/>
      <c r="AB7" s="30"/>
      <c r="AC7" s="30"/>
    </row>
    <row r="8" spans="1:55" x14ac:dyDescent="0.2">
      <c r="C8" s="29"/>
      <c r="H8" s="29"/>
      <c r="I8" s="30"/>
      <c r="Q8" s="377"/>
      <c r="R8" s="377"/>
      <c r="S8" s="377" t="str">
        <f t="shared" si="0"/>
        <v>JAUNE</v>
      </c>
      <c r="T8" s="377"/>
      <c r="U8" s="377"/>
    </row>
    <row r="9" spans="1:55" ht="13.5" thickBot="1" x14ac:dyDescent="0.25">
      <c r="C9" s="29" t="s">
        <v>569</v>
      </c>
      <c r="D9" s="967">
        <f>IFERROR(IF(E9="",+VLOOKUP(AC9,BDD,22,FALSE),E9),0)</f>
        <v>0</v>
      </c>
      <c r="E9" s="966"/>
      <c r="Q9" s="377"/>
      <c r="R9" s="377"/>
      <c r="S9" s="377" t="str">
        <f t="shared" ca="1" si="0"/>
        <v>JAUNE</v>
      </c>
      <c r="T9" s="377"/>
      <c r="U9" s="377"/>
      <c r="AA9" s="30">
        <f>+DATE(YEAR(AC6)-1,6,1)</f>
        <v>45809</v>
      </c>
      <c r="AB9" s="29" t="s">
        <v>601</v>
      </c>
      <c r="AC9" s="30">
        <f>DATE(YEAR(I6),MONTH(I6),1)</f>
        <v>46143</v>
      </c>
    </row>
    <row r="10" spans="1:55" ht="13.5" thickTop="1" x14ac:dyDescent="0.2">
      <c r="C10" s="29"/>
      <c r="H10" s="1218" t="s">
        <v>620</v>
      </c>
      <c r="I10" s="1219"/>
      <c r="J10" s="1219"/>
      <c r="K10" s="1219"/>
      <c r="L10" s="1219"/>
      <c r="M10" s="1220"/>
      <c r="Q10" s="377"/>
      <c r="R10" s="377"/>
      <c r="S10" s="377" t="str">
        <f t="shared" si="0"/>
        <v>JAUNE</v>
      </c>
      <c r="T10" s="377"/>
      <c r="U10" s="377"/>
      <c r="AC10" s="29" t="s">
        <v>1615</v>
      </c>
      <c r="AD10" s="16">
        <f>+VLOOKUP(DATE(YEAR(I6),MONTH(I6),1),BDD,87,FALSE)</f>
        <v>0</v>
      </c>
    </row>
    <row r="11" spans="1:55" x14ac:dyDescent="0.2">
      <c r="C11" s="29" t="s">
        <v>570</v>
      </c>
      <c r="D11" s="1564">
        <f>IFERROR(IF(E11="",+VLOOKUP(AC9,BDD,26,FALSE),E11),0)</f>
        <v>0</v>
      </c>
      <c r="E11" s="1109"/>
      <c r="H11" s="1221"/>
      <c r="M11" s="1222"/>
      <c r="Q11" s="377"/>
      <c r="R11" s="377"/>
      <c r="S11" s="377" t="str">
        <f t="shared" si="0"/>
        <v>JAUNE</v>
      </c>
      <c r="T11" s="377"/>
      <c r="U11" s="377"/>
      <c r="AC11" s="29" t="s">
        <v>1616</v>
      </c>
      <c r="AD11" s="16">
        <f>+VLOOKUP(DATE(YEAR(I6),MONTH(I6),1),BDD,26,FALSE)</f>
        <v>0</v>
      </c>
    </row>
    <row r="12" spans="1:55" x14ac:dyDescent="0.2">
      <c r="H12" s="2392" t="str">
        <f>+B4</f>
        <v>Du 01/06/2025 au 31/05/2026</v>
      </c>
      <c r="I12" s="2381"/>
      <c r="K12" s="337">
        <f ca="1">+G70</f>
        <v>0</v>
      </c>
      <c r="L12" s="29" t="s">
        <v>625</v>
      </c>
      <c r="M12" s="1223">
        <f>+F40</f>
        <v>0</v>
      </c>
      <c r="Q12" s="377"/>
      <c r="R12" s="377"/>
      <c r="S12" s="377" t="str">
        <f t="shared" si="0"/>
        <v>JAUNE</v>
      </c>
      <c r="T12" s="377"/>
      <c r="U12" s="377"/>
      <c r="AC12" s="29" t="s">
        <v>1617</v>
      </c>
      <c r="AD12" s="16" t="str">
        <f>+IF(AND(AD10="OUI",AD11=52),"OUI","NON")</f>
        <v>NON</v>
      </c>
    </row>
    <row r="13" spans="1:55" ht="27.75" customHeight="1" thickBot="1" x14ac:dyDescent="0.25">
      <c r="C13" s="1497" t="s">
        <v>658</v>
      </c>
      <c r="D13" s="1515">
        <f>+IF(AD14="OUI",ROUND(+D7*12/52*AD13/D11,2),IF(D11,ROUND(+D7*12/D11,2),0))</f>
        <v>0</v>
      </c>
      <c r="E13" s="2396" t="str">
        <f>IF(AND(D13&lt;&gt;0,AD14="OUI"),+"= "&amp;ROUND(D7,2)&amp;" € X 12 mois / 52 sem X "&amp;AD13&amp;" sem / "&amp;D11&amp;" sem",IF(D13&lt;&gt;0,+"= "&amp;ROUND(D7,2)&amp;" € X 12 mois / "&amp;D11&amp;" sem",""))</f>
        <v/>
      </c>
      <c r="F13" s="2397"/>
      <c r="G13" s="2398"/>
      <c r="H13" s="2392" t="s">
        <v>966</v>
      </c>
      <c r="I13" s="2381"/>
      <c r="K13" s="412">
        <f>+D90</f>
        <v>0</v>
      </c>
      <c r="L13" s="29" t="s">
        <v>626</v>
      </c>
      <c r="M13" s="1224">
        <f>+F31</f>
        <v>0</v>
      </c>
      <c r="Q13" s="377"/>
      <c r="R13" s="377"/>
      <c r="S13" s="377" t="str">
        <f t="shared" si="0"/>
        <v>JAUNE</v>
      </c>
      <c r="T13" s="377"/>
      <c r="U13" s="377"/>
      <c r="AC13" s="29" t="s">
        <v>1618</v>
      </c>
      <c r="AD13" s="16">
        <f>+VLOOKUP(DATE(YEAR(I6),MONTH(I6),1),BDD,95,FALSE)</f>
        <v>0</v>
      </c>
    </row>
    <row r="14" spans="1:55" x14ac:dyDescent="0.2">
      <c r="H14" s="1221"/>
      <c r="J14" s="39" t="s">
        <v>621</v>
      </c>
      <c r="K14" s="413">
        <f ca="1">+D94</f>
        <v>0</v>
      </c>
      <c r="L14" s="29"/>
      <c r="M14" s="1223"/>
      <c r="Q14" s="377"/>
      <c r="R14" s="377"/>
      <c r="S14" s="377"/>
      <c r="T14" s="377"/>
      <c r="U14" s="377"/>
      <c r="AC14" s="16" t="s">
        <v>1619</v>
      </c>
      <c r="AD14" s="16">
        <f>+VLOOKUP(DATE(YEAR(I6),MONTH(I6),1),BDD,96,FALSE)</f>
        <v>0</v>
      </c>
    </row>
    <row r="15" spans="1:55" ht="13.5" thickBot="1" x14ac:dyDescent="0.25">
      <c r="A15" s="2393" t="s">
        <v>1488</v>
      </c>
      <c r="B15" s="2393"/>
      <c r="C15" s="2393"/>
      <c r="D15" s="31">
        <f>+IF(E15="",Report!D41,E15)</f>
        <v>0</v>
      </c>
      <c r="E15" s="1108"/>
      <c r="H15" s="1221"/>
      <c r="J15" s="181" t="s">
        <v>622</v>
      </c>
      <c r="K15" s="1180">
        <f>+G71</f>
        <v>0</v>
      </c>
      <c r="M15" s="1222"/>
      <c r="Q15" s="377"/>
      <c r="R15" s="377"/>
      <c r="S15" s="1002" t="s">
        <v>1410</v>
      </c>
      <c r="T15" s="377" t="str">
        <f>+IF(I1=U1,"OUI",+IF(AD11=52,"OUI",IF(AD15="OUI","OUI","NON")))</f>
        <v>NON</v>
      </c>
      <c r="U15" s="377"/>
      <c r="AC15" s="29" t="s">
        <v>1620</v>
      </c>
      <c r="AD15" s="16">
        <f>+VLOOKUP(DATE(YEAR(I6),MONTH(I6),1),BDD,97,FALSE)</f>
        <v>0</v>
      </c>
    </row>
    <row r="16" spans="1:55" ht="13.5" thickTop="1" x14ac:dyDescent="0.2">
      <c r="A16" s="2393"/>
      <c r="B16" s="2393"/>
      <c r="C16" s="2393"/>
      <c r="D16" s="34"/>
      <c r="H16" s="1242" t="s">
        <v>932</v>
      </c>
      <c r="I16" s="1243">
        <f>+Identification!B60</f>
        <v>2026</v>
      </c>
      <c r="J16" s="1244"/>
      <c r="K16" s="1245" t="s">
        <v>492</v>
      </c>
      <c r="L16" s="1238">
        <f>+I16+1</f>
        <v>2027</v>
      </c>
      <c r="M16" s="1239"/>
      <c r="Q16" s="377"/>
      <c r="R16" s="377"/>
      <c r="S16" s="377"/>
      <c r="T16" s="377"/>
      <c r="U16" s="377"/>
      <c r="AC16" s="16" t="s">
        <v>1692</v>
      </c>
      <c r="AD16" s="16">
        <f>+VLOOKUP(DATE(YEAR(I6),MONTH(I6),1),BDD,102,FALSE)</f>
        <v>0</v>
      </c>
    </row>
    <row r="17" spans="1:21" x14ac:dyDescent="0.2">
      <c r="H17" s="1225" t="s">
        <v>930</v>
      </c>
      <c r="I17" s="1226" t="s">
        <v>873</v>
      </c>
      <c r="J17" s="479">
        <f ca="1">IF(K17&lt;&gt;"",+K17,IF(AD10="OUI",0,K14))</f>
        <v>0</v>
      </c>
      <c r="K17" s="1227"/>
      <c r="L17" s="1240"/>
      <c r="M17" s="1227"/>
      <c r="Q17" s="377"/>
      <c r="R17" s="377"/>
      <c r="S17" s="377"/>
      <c r="T17" s="377"/>
      <c r="U17" s="377"/>
    </row>
    <row r="18" spans="1:21" x14ac:dyDescent="0.2">
      <c r="A18" s="2393" t="s">
        <v>1489</v>
      </c>
      <c r="B18" s="2393"/>
      <c r="C18" s="2393"/>
      <c r="D18" s="1565">
        <f>+IF(E18="",Janvier!AH88,E18)</f>
        <v>0</v>
      </c>
      <c r="E18" s="1109"/>
      <c r="H18" s="1228"/>
      <c r="I18" s="1226"/>
      <c r="J18" s="1110"/>
      <c r="K18" s="1246"/>
      <c r="L18" s="1240"/>
      <c r="M18" s="1229"/>
      <c r="Q18" s="377"/>
      <c r="R18" s="377"/>
      <c r="S18" s="377"/>
      <c r="T18" s="377"/>
      <c r="U18" s="377"/>
    </row>
    <row r="19" spans="1:21" x14ac:dyDescent="0.2">
      <c r="A19" s="2393"/>
      <c r="B19" s="2393"/>
      <c r="C19" s="2393"/>
      <c r="H19" s="1228"/>
      <c r="I19" s="1226"/>
      <c r="J19" s="1110"/>
      <c r="K19" s="1246"/>
      <c r="L19" s="1240"/>
      <c r="M19" s="1229"/>
      <c r="Q19" s="377"/>
      <c r="R19" s="377"/>
      <c r="S19" s="377"/>
      <c r="T19" s="377"/>
      <c r="U19" s="377"/>
    </row>
    <row r="20" spans="1:21" ht="13.5" thickBot="1" x14ac:dyDescent="0.25">
      <c r="H20" s="1230"/>
      <c r="I20" s="1231"/>
      <c r="J20" s="1232"/>
      <c r="K20" s="1247"/>
      <c r="L20" s="1241"/>
      <c r="M20" s="1233"/>
      <c r="Q20" s="377"/>
      <c r="R20" s="377"/>
      <c r="S20" s="377"/>
      <c r="T20" s="377"/>
      <c r="U20" s="377"/>
    </row>
    <row r="21" spans="1:21" ht="14.25" thickTop="1" thickBot="1" x14ac:dyDescent="0.25">
      <c r="I21" s="508"/>
      <c r="J21" s="509"/>
      <c r="L21" s="1234" t="s">
        <v>615</v>
      </c>
      <c r="M21" s="1235">
        <f ca="1">SUM(M17:M20)+SUM(J17:J20)</f>
        <v>0</v>
      </c>
      <c r="Q21" s="377"/>
      <c r="R21" s="377"/>
      <c r="S21" s="377"/>
      <c r="T21" s="377"/>
      <c r="U21" s="377"/>
    </row>
    <row r="22" spans="1:21" ht="14.25" thickTop="1" thickBot="1" x14ac:dyDescent="0.25">
      <c r="A22" s="627" t="s">
        <v>571</v>
      </c>
      <c r="L22" s="1236" t="s">
        <v>1193</v>
      </c>
      <c r="M22" s="1235">
        <f ca="1">+K14-M21</f>
        <v>0</v>
      </c>
      <c r="Q22" s="377"/>
      <c r="R22" s="377"/>
      <c r="S22" s="377"/>
      <c r="T22" s="377"/>
      <c r="U22" s="377"/>
    </row>
    <row r="23" spans="1:21" ht="13.5" thickTop="1" x14ac:dyDescent="0.2">
      <c r="H23" s="46"/>
      <c r="L23" s="1272"/>
      <c r="M23" s="1273"/>
      <c r="Q23" s="377"/>
      <c r="R23" s="377"/>
      <c r="S23" s="377"/>
      <c r="T23" s="377"/>
      <c r="U23" s="377"/>
    </row>
    <row r="24" spans="1:21" x14ac:dyDescent="0.2">
      <c r="E24" s="29" t="str">
        <f>IF(Identification!B132="Non","Nbre de semaines travaillées (l'année de référence) + Semaines CP acquis :","Nbre de semaines travaillées (l'année de référence) ")</f>
        <v>Nbre de semaines travaillées (l'année de référence) + Semaines CP acquis :</v>
      </c>
      <c r="F24" s="1564">
        <f>IF(O1="faux",0,IFERROR(IF(AND(Identification!B132="Non",F25=""),+VLOOKUP(AC9,BDD,10,FALSE)+VLOOKUP(AC9,BDD,12,FALSE)+D18/6,IF(AND(Identification!B132="Oui",F25=""),+VLOOKUP(AC9,BDD,10,FALSE)+VLOOKUP(AC9,BDD,12,FALSE),F25)),0))</f>
        <v>0</v>
      </c>
      <c r="H24" s="46" t="s">
        <v>572</v>
      </c>
      <c r="L24" s="1272"/>
      <c r="M24" s="1273"/>
      <c r="Q24" s="377"/>
      <c r="R24" s="377"/>
      <c r="S24" s="377"/>
      <c r="T24" s="377"/>
      <c r="U24" s="377"/>
    </row>
    <row r="25" spans="1:21" x14ac:dyDescent="0.2">
      <c r="E25" s="29" t="s">
        <v>492</v>
      </c>
      <c r="F25" s="1111"/>
      <c r="H25" s="24">
        <f>ROUND((F24-(D18/6))/4,4)</f>
        <v>0</v>
      </c>
      <c r="Q25" s="377"/>
      <c r="R25" s="377"/>
      <c r="S25" s="377"/>
      <c r="T25" s="377"/>
      <c r="U25" s="377"/>
    </row>
    <row r="26" spans="1:21" x14ac:dyDescent="0.2">
      <c r="E26" s="29"/>
      <c r="H26" s="664" t="str">
        <f>IF(Identification!B132="Non","L'AM a travaillé "&amp;ROUND(F24-(D18/6),2)&amp;" semaines sur la période de référence (1er juin au 31 mai)","L'AM a travaillé "&amp;ROUND(F24,2)&amp;" semaines sur la période de référence (1er juin au 31 mai) en incluant les Congés payés acquis pris")</f>
        <v>L'AM a travaillé 0 semaines sur la période de référence (1er juin au 31 mai)</v>
      </c>
      <c r="Q26" s="377"/>
      <c r="R26" s="377"/>
      <c r="S26" s="377"/>
      <c r="T26" s="377"/>
      <c r="U26" s="377"/>
    </row>
    <row r="27" spans="1:21" x14ac:dyDescent="0.2">
      <c r="E27" s="29" t="s">
        <v>1637</v>
      </c>
      <c r="F27" s="1565">
        <f>IF(O1="faux",0,IFERROR(IF(F28="",+VLOOKUP(AC9,BDD,99,FALSE),F28),0))</f>
        <v>0</v>
      </c>
      <c r="H27" s="664" t="s">
        <v>1499</v>
      </c>
      <c r="Q27" s="377"/>
      <c r="R27" s="377"/>
      <c r="S27" s="377"/>
      <c r="T27" s="377"/>
      <c r="U27" s="377"/>
    </row>
    <row r="28" spans="1:21" x14ac:dyDescent="0.2">
      <c r="E28" s="29" t="s">
        <v>492</v>
      </c>
      <c r="F28" s="1111"/>
      <c r="H28" s="664" t="s">
        <v>1500</v>
      </c>
      <c r="Q28" s="377"/>
      <c r="R28" s="377"/>
      <c r="S28" s="377"/>
      <c r="T28" s="377"/>
      <c r="U28" s="377"/>
    </row>
    <row r="29" spans="1:21" x14ac:dyDescent="0.2">
      <c r="E29" s="1189" t="s">
        <v>492</v>
      </c>
      <c r="F29" s="1296"/>
      <c r="Q29" s="377"/>
      <c r="R29" s="377"/>
      <c r="S29" s="377"/>
      <c r="T29" s="377"/>
      <c r="U29" s="377"/>
    </row>
    <row r="30" spans="1:21" x14ac:dyDescent="0.2">
      <c r="C30" s="29" t="s">
        <v>492</v>
      </c>
      <c r="D30" s="1112"/>
      <c r="H30" s="664" t="str">
        <f>IF(Identification!B132="Non",+"On calcule donc un nombre de période avant la prise en compte des cp acquis soit "&amp;ROUND(F24-(D18/6),2)&amp;" / 4 = "&amp;ROUND((F24-(D18/6))/4,4)&amp;" période(s)","")</f>
        <v>On calcule donc un nombre de période avant la prise en compte des cp acquis soit 0 / 4 = 0 période(s)</v>
      </c>
      <c r="Q30" s="377"/>
      <c r="R30" s="377"/>
      <c r="S30" s="377"/>
      <c r="T30" s="377"/>
      <c r="U30" s="377"/>
    </row>
    <row r="31" spans="1:21" x14ac:dyDescent="0.2">
      <c r="C31" s="29" t="s">
        <v>574</v>
      </c>
      <c r="D31" s="1566">
        <f>IF(BB4="OUI",IF(D30="",+Identification!B55*2,D30),0)</f>
        <v>0</v>
      </c>
      <c r="E31" s="29" t="s">
        <v>662</v>
      </c>
      <c r="F31" s="1567">
        <f>IF(IF(BB3="NON",ROUND(+(MIN(F40,30)-D38),0),F40-D38)&lt;0,0,IF(BB3="NON",ROUND(+(MIN(F40,30)-D38),0),F40-D38))</f>
        <v>0</v>
      </c>
      <c r="H31" s="16" t="str">
        <f>IF(Identification!B132="Non","",+"Soit le nombre de semaines travaillées "&amp;ROUND(F24,2)&amp;" sem / 4 = "&amp;F34&amp;" période(s)")</f>
        <v/>
      </c>
      <c r="Q31" s="377"/>
      <c r="R31" s="377"/>
      <c r="S31" s="377"/>
      <c r="T31" s="377"/>
      <c r="U31" s="377"/>
    </row>
    <row r="32" spans="1:21" x14ac:dyDescent="0.2">
      <c r="A32" s="2394" t="s">
        <v>1411</v>
      </c>
      <c r="B32" s="2394"/>
      <c r="C32" s="2394"/>
      <c r="D32" s="377" t="str">
        <f>+IF(AND(D30&lt;&gt;0,BB4="NON"),"La date du contrat ne le permet pas","")</f>
        <v/>
      </c>
      <c r="H32" s="664" t="str">
        <f>IF(Identification!B132="Non",+"Les semaines de cp acquis l'année précédente sont "&amp;D18&amp;" jrs ouvrables / 6 jours par semaine = "&amp;ROUND(D18/6,2)&amp;" semaine(s)","")</f>
        <v>Les semaines de cp acquis l'année précédente sont 0 jrs ouvrables / 6 jours par semaine = 0 semaine(s)</v>
      </c>
      <c r="Q32" s="377"/>
      <c r="R32" s="377"/>
      <c r="S32" s="377"/>
      <c r="T32" s="377"/>
      <c r="U32" s="377"/>
    </row>
    <row r="33" spans="1:21" x14ac:dyDescent="0.2">
      <c r="C33" s="29"/>
      <c r="H33" s="664" t="str">
        <f>IF(Identification!B132="Non",+"Si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Q33" s="377"/>
      <c r="R33" s="377"/>
      <c r="S33" s="377"/>
      <c r="T33" s="377"/>
      <c r="U33" s="377"/>
    </row>
    <row r="34" spans="1:21" x14ac:dyDescent="0.2">
      <c r="C34" s="29" t="s">
        <v>1372</v>
      </c>
      <c r="D34" s="66">
        <f>ROUND(F24/4,4)</f>
        <v>0</v>
      </c>
      <c r="E34" s="51" t="s">
        <v>577</v>
      </c>
      <c r="F34" s="67">
        <f>+ROUND(D34,2)</f>
        <v>0</v>
      </c>
      <c r="H34" s="664" t="str">
        <f>IF(Identification!B132="Non",+H25&amp;" période(s) + "&amp;ROUND(D18/6/4,4)&amp;" période(s) = "&amp;D34&amp;" arrondi à "&amp;F34&amp;" période(s)","")</f>
        <v>0 période(s) + 0 période(s) = 0 arrondi à 0 période(s)</v>
      </c>
      <c r="Q34" s="377"/>
      <c r="R34" s="377"/>
      <c r="S34" s="377"/>
      <c r="T34" s="377"/>
      <c r="U34" s="377"/>
    </row>
    <row r="35" spans="1:21" x14ac:dyDescent="0.2">
      <c r="C35" s="29"/>
      <c r="D35" s="52"/>
      <c r="E35" s="27"/>
      <c r="F35" s="81"/>
      <c r="H35" s="664"/>
      <c r="Q35" s="377"/>
      <c r="R35" s="377"/>
      <c r="S35" s="377"/>
      <c r="T35" s="377"/>
      <c r="U35" s="377"/>
    </row>
    <row r="36" spans="1:21" x14ac:dyDescent="0.2">
      <c r="B36" s="24"/>
      <c r="C36" s="181" t="s">
        <v>1373</v>
      </c>
      <c r="D36" s="990">
        <f>+D34</f>
        <v>0</v>
      </c>
      <c r="E36" s="27"/>
      <c r="F36" s="81"/>
      <c r="H36" s="1524" t="s">
        <v>1638</v>
      </c>
      <c r="Q36" s="377"/>
      <c r="R36" s="377"/>
      <c r="S36" s="377"/>
      <c r="T36" s="377"/>
      <c r="U36" s="377"/>
    </row>
    <row r="37" spans="1:21" x14ac:dyDescent="0.2">
      <c r="H37" s="664" t="str">
        <f>+F34&amp;" période(s) x 2,5 jours + "&amp;F31&amp;" jour(s) enfant(s) de moins de 15 ans + jrs acquis sur arrêt de travail ("&amp;F27&amp;" jour(s)) "&amp;" = "&amp;F40&amp;" jour(s) ouvrable(s) maximum"</f>
        <v>0 période(s) x 2,5 jours + 0 jour(s) enfant(s) de moins de 15 ans + jrs acquis sur arrêt de travail (0 jour(s))  = 0 jour(s) ouvrable(s) maximum</v>
      </c>
      <c r="Q37" s="377"/>
      <c r="R37" s="377"/>
      <c r="S37" s="377"/>
      <c r="T37" s="377"/>
      <c r="U37" s="377"/>
    </row>
    <row r="38" spans="1:21" x14ac:dyDescent="0.2">
      <c r="C38" s="29" t="s">
        <v>607</v>
      </c>
      <c r="D38" s="1566">
        <f>ROUNDUP(D36*2.5+F27,0)</f>
        <v>0</v>
      </c>
      <c r="H38" s="664"/>
      <c r="Q38" s="377"/>
      <c r="R38" s="377"/>
      <c r="S38" s="377"/>
      <c r="T38" s="377"/>
      <c r="U38" s="377"/>
    </row>
    <row r="39" spans="1:21" x14ac:dyDescent="0.2">
      <c r="H39" s="664" t="s">
        <v>578</v>
      </c>
      <c r="Q39" s="377"/>
      <c r="R39" s="377"/>
      <c r="S39" s="377"/>
      <c r="T39" s="377"/>
      <c r="U39" s="377"/>
    </row>
    <row r="40" spans="1:21" x14ac:dyDescent="0.2">
      <c r="C40" s="29" t="s">
        <v>576</v>
      </c>
      <c r="D40" s="1566">
        <f>+D36*2.5+D31+F27</f>
        <v>0</v>
      </c>
      <c r="E40" s="51" t="s">
        <v>1316</v>
      </c>
      <c r="F40" s="1568">
        <f>IF(BB3="NON",IF(D40&lt;30,ROUNDUP(D40,0),30),IF(AND(BB3="OUI",D38&lt;=5),ROUNDUP(D38+(D31/2),0),ROUNDUP(D40,0)))</f>
        <v>0</v>
      </c>
      <c r="H40" s="664" t="str">
        <f>+"[Salaire hebdomadaire moyen ("&amp;ROUND(D13,2)&amp;" €) / 6 jours] x [ nombre de jours ouvrables de CP ("&amp;F40&amp;" jour(s)]"</f>
        <v>[Salaire hebdomadaire moyen (0 €) / 6 jours] x [ nombre de jours ouvrables de CP (0 jour(s)]</v>
      </c>
      <c r="Q40" s="377"/>
      <c r="R40" s="377"/>
      <c r="S40" s="377"/>
      <c r="T40" s="377"/>
      <c r="U40" s="377"/>
    </row>
    <row r="41" spans="1:21" x14ac:dyDescent="0.2">
      <c r="H41" s="664" t="str">
        <f>+"soit un maintien de salaire de "&amp;D42&amp;" euros"</f>
        <v>soit un maintien de salaire de 0 euros</v>
      </c>
      <c r="Q41" s="377"/>
      <c r="R41" s="377"/>
      <c r="S41" s="377"/>
      <c r="T41" s="377"/>
      <c r="U41" s="377"/>
    </row>
    <row r="42" spans="1:21" x14ac:dyDescent="0.2">
      <c r="A42" s="2382" t="s">
        <v>582</v>
      </c>
      <c r="B42" s="2383"/>
      <c r="C42" s="2384"/>
      <c r="D42" s="414">
        <f>+IF(OR(AD16="OUI",AND(AD10="OUI",AD11=52)),0,ROUND((D13/6)*F40,2))</f>
        <v>0</v>
      </c>
      <c r="Q42" s="377"/>
      <c r="R42" s="377"/>
      <c r="S42" s="377"/>
      <c r="T42" s="377"/>
      <c r="U42" s="377"/>
    </row>
    <row r="43" spans="1:21" x14ac:dyDescent="0.2">
      <c r="Q43" s="377"/>
      <c r="R43" s="377"/>
      <c r="S43" s="377"/>
      <c r="T43" s="377"/>
      <c r="U43" s="377"/>
    </row>
    <row r="44" spans="1:21" x14ac:dyDescent="0.2">
      <c r="A44" s="627" t="s">
        <v>583</v>
      </c>
      <c r="Q44" s="377"/>
      <c r="R44" s="377"/>
      <c r="S44" s="377"/>
      <c r="T44" s="377"/>
      <c r="U44" s="377"/>
    </row>
    <row r="45" spans="1:21" x14ac:dyDescent="0.2">
      <c r="H45" s="46" t="s">
        <v>572</v>
      </c>
      <c r="Q45" s="377"/>
      <c r="R45" s="377"/>
      <c r="S45" s="377"/>
      <c r="T45" s="377"/>
      <c r="U45" s="377"/>
    </row>
    <row r="46" spans="1:21" x14ac:dyDescent="0.2">
      <c r="A46" s="16" t="s">
        <v>584</v>
      </c>
      <c r="H46" s="47" t="s">
        <v>608</v>
      </c>
      <c r="Q46" s="377"/>
      <c r="R46" s="377"/>
      <c r="S46" s="377"/>
      <c r="T46" s="377"/>
      <c r="U46" s="377"/>
    </row>
    <row r="47" spans="1:21" ht="38.25" x14ac:dyDescent="0.2">
      <c r="B47" s="628" t="s">
        <v>1660</v>
      </c>
      <c r="C47" s="54" t="s">
        <v>603</v>
      </c>
      <c r="D47" s="1279" t="s">
        <v>610</v>
      </c>
      <c r="E47" s="1275" t="s">
        <v>609</v>
      </c>
      <c r="F47" s="1276" t="s">
        <v>619</v>
      </c>
      <c r="H47" s="664" t="s">
        <v>1491</v>
      </c>
      <c r="I47" s="47"/>
      <c r="Q47" s="377"/>
      <c r="R47" s="377"/>
      <c r="S47" s="377"/>
      <c r="T47" s="377"/>
      <c r="U47" s="377"/>
    </row>
    <row r="48" spans="1:21" x14ac:dyDescent="0.2">
      <c r="A48" s="629">
        <f>+IF(AND(DATE(YEAR($AA$9),6,30)&gt;=$AA$9,DATE(YEAR($AA$9),6,1)&lt;=$AC$6,$I$4&lt;=DATE(YEAR($AA$9),6,30)),DATE(YEAR($AA$9),6,1),"Hors période")</f>
        <v>45809</v>
      </c>
      <c r="B48" s="31">
        <f t="shared" ref="B48:B59" si="1">IF($O$1="faux",0,IF(C48="",IFERROR(+VLOOKUP(A48,BDD,2,FALSE)+VLOOKUP(A48,BDD,100,FALSE),0),C48))</f>
        <v>0</v>
      </c>
      <c r="C48" s="1108"/>
      <c r="D48" s="1280">
        <f>+ROUND((+B48*10%),2)</f>
        <v>0</v>
      </c>
      <c r="E48" s="1277">
        <f t="shared" ref="E48:E59" si="2">IF(F48="",IFERROR(+VLOOKUP(A48,BDD,14,FALSE),0),F48)</f>
        <v>0</v>
      </c>
      <c r="F48" s="1278"/>
      <c r="H48" s="47" t="str">
        <f>+"[Salaire du mois ("&amp;B56&amp;" euros) x 10%]"</f>
        <v>[Salaire du mois (0 euros) x 10%]</v>
      </c>
      <c r="I48" s="47"/>
      <c r="J48" s="47"/>
      <c r="K48" s="47"/>
      <c r="L48" s="47"/>
      <c r="Q48" s="377"/>
      <c r="R48" s="377"/>
      <c r="S48" s="377"/>
      <c r="T48" s="377"/>
      <c r="U48" s="377"/>
    </row>
    <row r="49" spans="1:21" x14ac:dyDescent="0.2">
      <c r="A49" s="629">
        <f>+IF(AND(DATE(YEAR($AA$9),7,31)&gt;=$AA$9,DATE(YEAR($AA$9),7,1)&lt;=$AC$6,$I$4&lt;=DATE(YEAR($AA$9),7,31)),DATE(YEAR($AA$9),7,1),"Hors période")</f>
        <v>45839</v>
      </c>
      <c r="B49" s="31">
        <f t="shared" si="1"/>
        <v>0</v>
      </c>
      <c r="C49" s="1108"/>
      <c r="D49" s="1280">
        <f t="shared" ref="D49:D59" si="3">+ROUND((+B49*10%),2)</f>
        <v>0</v>
      </c>
      <c r="E49" s="1277">
        <f t="shared" si="2"/>
        <v>0</v>
      </c>
      <c r="F49" s="1278"/>
      <c r="H49" s="47" t="str">
        <f>+"Soit pour la ligne du mois de Février "&amp;D56&amp;" euros"</f>
        <v>Soit pour la ligne du mois de Février 0 euros</v>
      </c>
      <c r="I49" s="47"/>
      <c r="J49" s="47"/>
      <c r="K49" s="47"/>
      <c r="L49" s="47"/>
      <c r="Q49" s="377"/>
      <c r="R49" s="377"/>
      <c r="S49" s="377"/>
      <c r="T49" s="377"/>
      <c r="U49" s="377"/>
    </row>
    <row r="50" spans="1:21" x14ac:dyDescent="0.2">
      <c r="A50" s="629">
        <f>+IF(AND(DATE(YEAR($AA$9),8,31)&gt;=$AA$9,DATE(YEAR($AA$9),8,1)&lt;=$AC$6,$I$4&lt;=DATE(YEAR($AA$9),8,31)),DATE(YEAR($AA$9),8,1),"Hors période")</f>
        <v>45870</v>
      </c>
      <c r="B50" s="31">
        <f t="shared" si="1"/>
        <v>0</v>
      </c>
      <c r="C50" s="1108"/>
      <c r="D50" s="1280">
        <f t="shared" si="3"/>
        <v>0</v>
      </c>
      <c r="E50" s="1277">
        <f t="shared" si="2"/>
        <v>0</v>
      </c>
      <c r="F50" s="1278"/>
      <c r="J50" s="47"/>
      <c r="K50" s="47"/>
      <c r="L50" s="47"/>
      <c r="Q50" s="377"/>
      <c r="R50" s="377"/>
      <c r="S50" s="377"/>
      <c r="T50" s="377"/>
      <c r="U50" s="377"/>
    </row>
    <row r="51" spans="1:21" x14ac:dyDescent="0.2">
      <c r="A51" s="629">
        <f>+IF(AND(DATE(YEAR($AA$9),9,30)&gt;=$AA$9,DATE(YEAR($AA$9),9,1)&lt;=$AC$6,$I$4&lt;=DATE(YEAR($AA$9),9,30)),DATE(YEAR($AA$9),9,1),"Hors période")</f>
        <v>45901</v>
      </c>
      <c r="B51" s="31">
        <f t="shared" si="1"/>
        <v>0</v>
      </c>
      <c r="C51" s="1108"/>
      <c r="D51" s="1280">
        <f t="shared" si="3"/>
        <v>0</v>
      </c>
      <c r="E51" s="1277">
        <f t="shared" si="2"/>
        <v>0</v>
      </c>
      <c r="F51" s="1278"/>
      <c r="G51" s="47"/>
      <c r="H51" s="664" t="str">
        <f ca="1">+"10% sur les salaires de l'année de référence ("&amp;ROUND(D60,2)&amp;" euros)+ 10% de l'indemnité de CP de l'année précédente ("&amp;ROUND(D62,2)&amp;" euros) = "&amp;ROUND(D60+D62,2)&amp;" euros"</f>
        <v>10% sur les salaires de l'année de référence (0 euros)+ 10% de l'indemnité de CP de l'année précédente (0 euros) = 0 euros</v>
      </c>
      <c r="I51" s="47"/>
      <c r="J51" s="47"/>
      <c r="K51" s="47"/>
      <c r="L51" s="47"/>
      <c r="Q51" s="377"/>
      <c r="R51" s="377"/>
      <c r="S51" s="377"/>
      <c r="T51" s="377"/>
      <c r="U51" s="377"/>
    </row>
    <row r="52" spans="1:21" x14ac:dyDescent="0.2">
      <c r="A52" s="629">
        <f>+IF(AND(DATE(YEAR($AA$9),10,31)&gt;=$AA$9,DATE(YEAR($AA$9),10,1)&lt;=$AC$6,$I$4&lt;=DATE(YEAR($AA$9),10,31)),DATE(YEAR($AA$9),10,1),"Hors période")</f>
        <v>45931</v>
      </c>
      <c r="B52" s="31">
        <f t="shared" si="1"/>
        <v>0</v>
      </c>
      <c r="C52" s="1108"/>
      <c r="D52" s="1280">
        <f t="shared" si="3"/>
        <v>0</v>
      </c>
      <c r="E52" s="1277">
        <f t="shared" si="2"/>
        <v>0</v>
      </c>
      <c r="F52" s="1278"/>
      <c r="G52" s="47"/>
      <c r="L52" s="47"/>
      <c r="M52" s="58"/>
      <c r="Q52" s="377"/>
      <c r="R52" s="377"/>
      <c r="S52" s="377"/>
      <c r="T52" s="377"/>
      <c r="U52" s="377"/>
    </row>
    <row r="53" spans="1:21" x14ac:dyDescent="0.2">
      <c r="A53" s="629">
        <f>+IF(AND(DATE(YEAR($AA$9),11,30)&gt;=$AA$9,DATE(YEAR($AA$9),11,1)&lt;=$AC$6,$I$4&lt;=DATE(YEAR($AA$9),11,30)),DATE(YEAR($AA$9),11,1),"Hors période")</f>
        <v>45962</v>
      </c>
      <c r="B53" s="31">
        <f t="shared" si="1"/>
        <v>0</v>
      </c>
      <c r="C53" s="1108"/>
      <c r="D53" s="1280">
        <f t="shared" si="3"/>
        <v>0</v>
      </c>
      <c r="E53" s="1277">
        <f t="shared" si="2"/>
        <v>0</v>
      </c>
      <c r="F53" s="1278"/>
      <c r="G53" s="47"/>
      <c r="H53" s="47" t="s">
        <v>588</v>
      </c>
      <c r="I53" s="47"/>
      <c r="J53" s="47"/>
      <c r="K53" s="47"/>
      <c r="Q53" s="377"/>
      <c r="R53" s="377"/>
      <c r="S53" s="377"/>
      <c r="T53" s="377"/>
      <c r="U53" s="377"/>
    </row>
    <row r="54" spans="1:21" x14ac:dyDescent="0.2">
      <c r="A54" s="629">
        <f>+IF(AND(DATE(YEAR($AA$9),12,31)&gt;=$AA$9,DATE(YEAR($AA$9),12,1)&lt;=$AC$6,$I$4&lt;=DATE(YEAR($AA$9),12,31)),DATE(YEAR($AA$9),12,1),"Hors période")</f>
        <v>45992</v>
      </c>
      <c r="B54" s="31">
        <f t="shared" si="1"/>
        <v>0</v>
      </c>
      <c r="C54" s="1108"/>
      <c r="D54" s="1280">
        <f t="shared" si="3"/>
        <v>0</v>
      </c>
      <c r="E54" s="1277">
        <f t="shared" si="2"/>
        <v>0</v>
      </c>
      <c r="F54" s="1278"/>
      <c r="G54" s="47"/>
      <c r="H54" s="47" t="s">
        <v>589</v>
      </c>
      <c r="Q54" s="377"/>
      <c r="R54" s="377"/>
      <c r="S54" s="377"/>
      <c r="T54" s="377"/>
      <c r="U54" s="377"/>
    </row>
    <row r="55" spans="1:21" x14ac:dyDescent="0.2">
      <c r="A55" s="629">
        <f>+IF(AND(DATE(YEAR($AA$9)+1,1,31)&gt;=$AA$9,DATE(YEAR($AA$9)+1,1,1)&lt;=$AC$6,$I$4&lt;=DATE(YEAR($AA$9)+1,1,31)),DATE(YEAR($AA$9)+1,1,1),"Hors période")</f>
        <v>46023</v>
      </c>
      <c r="B55" s="31">
        <f t="shared" ca="1" si="1"/>
        <v>0</v>
      </c>
      <c r="C55" s="1108"/>
      <c r="D55" s="1280">
        <f t="shared" ca="1" si="3"/>
        <v>0</v>
      </c>
      <c r="E55" s="1277">
        <f t="shared" si="2"/>
        <v>0</v>
      </c>
      <c r="F55" s="1278"/>
      <c r="G55" s="47"/>
      <c r="I55" s="56" t="str">
        <f ca="1">+ROUND((D60+D62),2)&amp;" / "&amp;D38&amp;" X "&amp;F31</f>
        <v>0 / 0 X 0</v>
      </c>
      <c r="J55" s="47" t="str">
        <f>"= "&amp;IF(D38,ROUND((D60+D62)/D38*F31,2),0)</f>
        <v>= 0</v>
      </c>
      <c r="Q55" s="377"/>
      <c r="R55" s="377"/>
      <c r="S55" s="377"/>
      <c r="T55" s="377"/>
      <c r="U55" s="377"/>
    </row>
    <row r="56" spans="1:21" x14ac:dyDescent="0.2">
      <c r="A56" s="629">
        <f>+IF(AND(DATE(YEAR($AA$9)+1,2,29)&gt;=$AA$9,DATE(YEAR($AA$9)+1,2,1)&lt;=$AC$6,$I$4&lt;=DATE(YEAR($AA$9)+1,2,29)),DATE(YEAR($AA$9)+1,2,1),"Hors période")</f>
        <v>46054</v>
      </c>
      <c r="B56" s="31">
        <f t="shared" si="1"/>
        <v>0</v>
      </c>
      <c r="C56" s="1108"/>
      <c r="D56" s="1280">
        <f t="shared" si="3"/>
        <v>0</v>
      </c>
      <c r="E56" s="1277">
        <f t="shared" si="2"/>
        <v>0</v>
      </c>
      <c r="F56" s="1278"/>
      <c r="Q56" s="377"/>
      <c r="R56" s="377"/>
      <c r="S56" s="377"/>
      <c r="T56" s="377"/>
      <c r="U56" s="377"/>
    </row>
    <row r="57" spans="1:21" x14ac:dyDescent="0.2">
      <c r="A57" s="629">
        <f>+IF(AND(DATE(YEAR($AA$9)+1,3,31)&gt;=$AA$9,DATE(YEAR($AA$9)+1,3,1)&lt;=$AC$6,$I$4&lt;=DATE(YEAR($AA$9)+1,3,31)),DATE(YEAR($AA$9)+1,3,1),"Hors période")</f>
        <v>46082</v>
      </c>
      <c r="B57" s="31">
        <f t="shared" si="1"/>
        <v>0</v>
      </c>
      <c r="C57" s="1108"/>
      <c r="D57" s="1280">
        <f t="shared" si="3"/>
        <v>0</v>
      </c>
      <c r="E57" s="1277">
        <f t="shared" si="2"/>
        <v>0</v>
      </c>
      <c r="F57" s="1278"/>
      <c r="H57" s="47" t="str">
        <f ca="1">"Soit  un montant total de "&amp;(D60+D62)&amp;" euros"&amp;" + "&amp;ROUND(D66,2)&amp;" euros = "&amp;ROUND(D68,2)&amp;" euros"</f>
        <v>Soit  un montant total de 0 euros + 0 euros = 0 euros</v>
      </c>
      <c r="Q57" s="377"/>
      <c r="R57" s="377"/>
      <c r="S57" s="377"/>
      <c r="T57" s="377"/>
      <c r="U57" s="377"/>
    </row>
    <row r="58" spans="1:21" x14ac:dyDescent="0.2">
      <c r="A58" s="629">
        <f>+IF(AND(DATE(YEAR($AA$9)+1,4,30)&gt;=$AA$9,DATE(YEAR($AA$9)+1,4,1)&lt;=$AC$6,$I$4&lt;=DATE(YEAR($AA$9)+1,4,30)),DATE(YEAR($AA$9)+1,4,1),"Hors période")</f>
        <v>46113</v>
      </c>
      <c r="B58" s="31">
        <f t="shared" si="1"/>
        <v>0</v>
      </c>
      <c r="C58" s="1108"/>
      <c r="D58" s="1280">
        <f t="shared" si="3"/>
        <v>0</v>
      </c>
      <c r="E58" s="1277">
        <f t="shared" si="2"/>
        <v>0</v>
      </c>
      <c r="F58" s="1278"/>
      <c r="Q58" s="377"/>
      <c r="R58" s="377"/>
      <c r="S58" s="377"/>
      <c r="T58" s="377"/>
      <c r="U58" s="377"/>
    </row>
    <row r="59" spans="1:21" x14ac:dyDescent="0.2">
      <c r="A59" s="629">
        <f>+IF(AND(DATE(YEAR($AA$9)+1,5,31)&gt;=$AA$9,DATE(YEAR($AA$9)+1,5,1)&lt;=$AC$6,$I$4&lt;=DATE(YEAR($AA$9)+1,5,31)),DATE(YEAR($AA$9)+1,5,1),"Hors période")</f>
        <v>46143</v>
      </c>
      <c r="B59" s="31">
        <f t="shared" si="1"/>
        <v>0</v>
      </c>
      <c r="C59" s="1108"/>
      <c r="D59" s="1280">
        <f t="shared" si="3"/>
        <v>0</v>
      </c>
      <c r="E59" s="1277">
        <f t="shared" si="2"/>
        <v>0</v>
      </c>
      <c r="F59" s="1278"/>
      <c r="Q59" s="377"/>
      <c r="R59" s="377"/>
      <c r="S59" s="377"/>
      <c r="T59" s="377"/>
      <c r="U59" s="377"/>
    </row>
    <row r="60" spans="1:21" x14ac:dyDescent="0.2">
      <c r="C60" s="38" t="s">
        <v>441</v>
      </c>
      <c r="D60" s="1281">
        <f ca="1">ROUND(SUM(D48:D59),2)</f>
        <v>0</v>
      </c>
      <c r="Q60" s="377"/>
      <c r="R60" s="377"/>
      <c r="S60" s="377"/>
      <c r="T60" s="377"/>
      <c r="U60" s="377"/>
    </row>
    <row r="61" spans="1:21" x14ac:dyDescent="0.2">
      <c r="D61" s="58"/>
      <c r="Q61" s="377"/>
      <c r="R61" s="377"/>
      <c r="S61" s="377"/>
      <c r="T61" s="377"/>
      <c r="U61" s="377"/>
    </row>
    <row r="62" spans="1:21" x14ac:dyDescent="0.2">
      <c r="A62" s="2381" t="s">
        <v>1490</v>
      </c>
      <c r="B62" s="2381"/>
      <c r="C62" s="2381"/>
      <c r="D62" s="1281">
        <f>+D15*0.1</f>
        <v>0</v>
      </c>
      <c r="Q62" s="377"/>
      <c r="R62" s="377"/>
      <c r="S62" s="377"/>
      <c r="T62" s="377"/>
      <c r="U62" s="377"/>
    </row>
    <row r="63" spans="1:21" x14ac:dyDescent="0.2">
      <c r="Q63" s="377"/>
      <c r="R63" s="377"/>
      <c r="S63" s="377"/>
      <c r="T63" s="377"/>
      <c r="U63" s="377"/>
    </row>
    <row r="64" spans="1:21" hidden="1" x14ac:dyDescent="0.2">
      <c r="A64" s="2395" t="s">
        <v>612</v>
      </c>
      <c r="B64" s="2395"/>
      <c r="C64" s="2395"/>
      <c r="D64" s="2395"/>
      <c r="E64" s="2395"/>
      <c r="F64" s="1282">
        <f>IF(F65="",+IFERROR(ROUND(VLOOKUP(DATE(YEAR(AC9)-1,MONTH(AC9)+1,1),BDD,23,FALSE),2),0),F65)</f>
        <v>0</v>
      </c>
      <c r="Q64" s="377"/>
      <c r="R64" s="377"/>
      <c r="S64" s="377"/>
      <c r="T64" s="377"/>
      <c r="U64" s="377"/>
    </row>
    <row r="65" spans="1:21" hidden="1" x14ac:dyDescent="0.2">
      <c r="A65" s="563"/>
      <c r="B65" s="563"/>
      <c r="C65" s="563"/>
      <c r="D65" s="563"/>
      <c r="E65" s="1189" t="s">
        <v>492</v>
      </c>
      <c r="F65" s="1283"/>
      <c r="Q65" s="377"/>
      <c r="R65" s="377"/>
      <c r="S65" s="377"/>
      <c r="T65" s="377"/>
      <c r="U65" s="377"/>
    </row>
    <row r="66" spans="1:21" x14ac:dyDescent="0.2">
      <c r="C66" s="29" t="s">
        <v>613</v>
      </c>
      <c r="D66" s="59">
        <f>IF(D38,+(D60+D62)/D38*F31,0)</f>
        <v>0</v>
      </c>
      <c r="F66" s="59"/>
      <c r="Q66" s="377"/>
      <c r="R66" s="377"/>
      <c r="S66" s="377"/>
      <c r="T66" s="377"/>
      <c r="U66" s="377"/>
    </row>
    <row r="67" spans="1:21" x14ac:dyDescent="0.2">
      <c r="Q67" s="377"/>
      <c r="R67" s="377"/>
      <c r="S67" s="377"/>
      <c r="T67" s="377"/>
      <c r="U67" s="377"/>
    </row>
    <row r="68" spans="1:21" ht="12.75" customHeight="1" x14ac:dyDescent="0.2">
      <c r="A68" s="2382" t="s">
        <v>590</v>
      </c>
      <c r="B68" s="2383"/>
      <c r="C68" s="2384"/>
      <c r="D68" s="414">
        <f ca="1">+IF(OR(AD15="OUI",AND(AD10="OUI",AD11=52)),0,ROUND(SUM(D48:D59)+D66+D62,2))</f>
        <v>0</v>
      </c>
      <c r="Q68" s="377"/>
      <c r="R68" s="377"/>
      <c r="S68" s="377"/>
      <c r="T68" s="377"/>
      <c r="U68" s="377"/>
    </row>
    <row r="69" spans="1:21" ht="12.75" customHeight="1" thickBot="1" x14ac:dyDescent="0.25">
      <c r="Q69" s="377"/>
      <c r="R69" s="377"/>
      <c r="S69" s="377"/>
      <c r="T69" s="377"/>
      <c r="U69" s="377"/>
    </row>
    <row r="70" spans="1:21" ht="12.75" customHeight="1" thickBot="1" x14ac:dyDescent="0.25">
      <c r="A70" s="2386" t="s">
        <v>591</v>
      </c>
      <c r="B70" s="2387"/>
      <c r="C70" s="2387"/>
      <c r="D70" s="2387"/>
      <c r="E70" s="2387"/>
      <c r="F70" s="2388"/>
      <c r="G70" s="415">
        <f ca="1">IF(AND(Identification!B95&lt;=I6,Identification!B95&gt;I4),0,+IF(D68&gt;D42,D68,D42))</f>
        <v>0</v>
      </c>
      <c r="I70" s="24" t="str">
        <f ca="1">+"La valeur du jour ouvrable pour l'année suivante est  "&amp;G70&amp;" €  / "&amp;F40&amp;" jours ouvrables acquis"</f>
        <v>La valeur du jour ouvrable pour l'année suivante est  0 €  / 0 jours ouvrables acquis</v>
      </c>
      <c r="Q70" s="377"/>
      <c r="R70" s="377"/>
      <c r="S70" s="377"/>
      <c r="T70" s="377"/>
      <c r="U70" s="377"/>
    </row>
    <row r="71" spans="1:21" ht="12.75" customHeight="1" thickBot="1" x14ac:dyDescent="0.25">
      <c r="A71" s="2389"/>
      <c r="B71" s="2390"/>
      <c r="C71" s="2390"/>
      <c r="D71" s="2390"/>
      <c r="E71" s="2390"/>
      <c r="F71" s="2391"/>
      <c r="G71" s="1292">
        <f>IF(F40,+G70/F40,0)</f>
        <v>0</v>
      </c>
      <c r="Q71" s="377"/>
      <c r="R71" s="377"/>
      <c r="S71" s="377"/>
      <c r="T71" s="377"/>
      <c r="U71" s="377"/>
    </row>
    <row r="72" spans="1:21" ht="12.75" customHeight="1" x14ac:dyDescent="0.2">
      <c r="Q72" s="377"/>
      <c r="R72" s="377"/>
      <c r="S72" s="377"/>
      <c r="T72" s="377"/>
      <c r="U72" s="377"/>
    </row>
    <row r="73" spans="1:21" ht="12.75" hidden="1" customHeight="1" x14ac:dyDescent="0.2">
      <c r="Q73" s="377"/>
      <c r="R73" s="377"/>
      <c r="S73" s="377"/>
      <c r="T73" s="377"/>
      <c r="U73" s="377"/>
    </row>
    <row r="74" spans="1:21" ht="12.75" hidden="1" customHeight="1" x14ac:dyDescent="0.2">
      <c r="A74" s="19" t="s">
        <v>967</v>
      </c>
      <c r="B74" s="19"/>
      <c r="Q74" s="377"/>
      <c r="R74" s="377"/>
      <c r="S74" s="377"/>
      <c r="T74" s="377"/>
      <c r="U74" s="377"/>
    </row>
    <row r="75" spans="1:21" ht="12.75" hidden="1" customHeight="1" x14ac:dyDescent="0.2">
      <c r="A75" s="19"/>
      <c r="B75" s="19"/>
      <c r="Q75" s="377"/>
      <c r="R75" s="377"/>
      <c r="S75" s="377"/>
      <c r="T75" s="377"/>
      <c r="U75" s="377"/>
    </row>
    <row r="76" spans="1:21" ht="12.75" hidden="1" customHeight="1" x14ac:dyDescent="0.2">
      <c r="C76" s="69" t="s">
        <v>492</v>
      </c>
      <c r="Q76" s="377"/>
      <c r="R76" s="377"/>
      <c r="S76" s="377"/>
      <c r="T76" s="377"/>
      <c r="U76" s="377"/>
    </row>
    <row r="77" spans="1:21" ht="12.75" hidden="1" customHeight="1" x14ac:dyDescent="0.2">
      <c r="A77" s="55">
        <f>+IF(AND(DATE(YEAR($AA$9),6,30)&gt;=$AA$9,DATE(YEAR($AA$9),6,1)&lt;=$AC$6,$I$4&lt;=DATE(YEAR($AA$9),6,1)),DATE(YEAR($AA$9),6,1),"Hors période")</f>
        <v>45809</v>
      </c>
      <c r="B77" s="31">
        <f>IF(O1="faux",0,IF(C77="",IFERROR(+VLOOKUP(A77,BDD,3,FALSE),0),C77))</f>
        <v>0</v>
      </c>
      <c r="C77" s="411"/>
      <c r="Q77" s="377"/>
      <c r="R77" s="377"/>
      <c r="S77" s="377"/>
      <c r="T77" s="377"/>
      <c r="U77" s="377"/>
    </row>
    <row r="78" spans="1:21" ht="12.75" hidden="1" customHeight="1" x14ac:dyDescent="0.2">
      <c r="A78" s="55">
        <f>+IF(AND(DATE(YEAR($AA$9),7,31)&gt;=$AA$9,DATE(YEAR($AA$9),7,1)&lt;=$AC$6,$I$4&lt;=DATE(YEAR($AA$9),7,31)),DATE(YEAR($AA$9),7,1),"Hors période")</f>
        <v>45839</v>
      </c>
      <c r="B78" s="31">
        <f>IF(O1="faux",0,IF(C78="",IFERROR(+VLOOKUP(A78,BDD,3,FALSE),0),C78))</f>
        <v>0</v>
      </c>
      <c r="C78" s="411"/>
      <c r="Q78" s="377"/>
      <c r="R78" s="377"/>
      <c r="S78" s="377"/>
      <c r="T78" s="377"/>
      <c r="U78" s="377"/>
    </row>
    <row r="79" spans="1:21" ht="12.75" hidden="1" customHeight="1" x14ac:dyDescent="0.2">
      <c r="A79" s="55">
        <f>+IF(AND(DATE(YEAR($AA$9),8,31)&gt;=$AA$9,DATE(YEAR($AA$9),8,1)&lt;=$AC$6,$I$4&lt;=DATE(YEAR($AA$9),8,31)),DATE(YEAR($AA$9),8,1),"Hors période")</f>
        <v>45870</v>
      </c>
      <c r="B79" s="31">
        <f>IF(O1="faux",0,IF(C79="",IFERROR(+VLOOKUP(A79,BDD,3,FALSE),0),C79))</f>
        <v>0</v>
      </c>
      <c r="C79" s="411"/>
      <c r="Q79" s="377"/>
      <c r="R79" s="377"/>
      <c r="S79" s="377"/>
      <c r="T79" s="377"/>
      <c r="U79" s="377"/>
    </row>
    <row r="80" spans="1:21" ht="12.75" hidden="1" customHeight="1" x14ac:dyDescent="0.2">
      <c r="A80" s="55">
        <f>+IF(AND(DATE(YEAR($AA$9),9,30)&gt;=$AA$9,DATE(YEAR($AA$9),9,1)&lt;=$AC$6,$I$4&lt;=DATE(YEAR($AA$9),9,30)),DATE(YEAR($AA$9),9,1),"Hors période")</f>
        <v>45901</v>
      </c>
      <c r="B80" s="31">
        <f>IF(O1="faux",0,IF(C80="",IFERROR(+VLOOKUP(A80,BDD,3,FALSE),0),C80))</f>
        <v>0</v>
      </c>
      <c r="C80" s="411"/>
      <c r="Q80" s="377"/>
      <c r="R80" s="377"/>
      <c r="S80" s="377"/>
      <c r="T80" s="377"/>
      <c r="U80" s="377"/>
    </row>
    <row r="81" spans="1:21" ht="12.75" hidden="1" customHeight="1" x14ac:dyDescent="0.2">
      <c r="A81" s="55">
        <f>+IF(AND(DATE(YEAR($AA$9),10,31)&gt;=$AA$9,DATE(YEAR($AA$9),10,1)&lt;=$AC$6,$I$4&lt;=DATE(YEAR($AA$9),10,31)),DATE(YEAR($AA$9),10,1),"Hors période")</f>
        <v>45931</v>
      </c>
      <c r="B81" s="31">
        <f>IF(O1="faux",0,IF(C81="",IFERROR(+VLOOKUP(A81,BDD,3,FALSE),0),C81))</f>
        <v>0</v>
      </c>
      <c r="C81" s="411"/>
      <c r="Q81" s="377"/>
      <c r="R81" s="377"/>
      <c r="S81" s="377"/>
      <c r="T81" s="377"/>
      <c r="U81" s="377"/>
    </row>
    <row r="82" spans="1:21" ht="12.75" hidden="1" customHeight="1" x14ac:dyDescent="0.2">
      <c r="A82" s="55">
        <f>+IF(AND(DATE(YEAR($AA$9),11,30)&gt;=$AA$9,DATE(YEAR($AA$9),11,1)&lt;=$AC$6,$I$4&lt;=DATE(YEAR($AA$9),11,30)),DATE(YEAR($AA$9),11,1),"Hors période")</f>
        <v>45962</v>
      </c>
      <c r="B82" s="31">
        <f>IF(O1="faux",0,IF(C82="",IFERROR(+VLOOKUP(A82,BDD,3,FALSE),0),C82))</f>
        <v>0</v>
      </c>
      <c r="C82" s="411"/>
      <c r="Q82" s="377"/>
      <c r="R82" s="377"/>
      <c r="S82" s="377"/>
      <c r="T82" s="377"/>
      <c r="U82" s="377"/>
    </row>
    <row r="83" spans="1:21" ht="12.75" hidden="1" customHeight="1" x14ac:dyDescent="0.2">
      <c r="A83" s="55">
        <f>+IF(AND(DATE(YEAR($AA$9),12,31)&gt;=$AA$9,DATE(YEAR($AA$9),12,1)&lt;=$AC$6,$I$4&lt;=DATE(YEAR($AA$9),12,31)),DATE(YEAR($AA$9),12,1),"Hors période")</f>
        <v>45992</v>
      </c>
      <c r="B83" s="31">
        <f>IF(O1="faux",0,IF(C83="",IFERROR(+VLOOKUP(A83,BDD,3,FALSE),0),C83))</f>
        <v>0</v>
      </c>
      <c r="C83" s="411"/>
      <c r="E83" s="59"/>
      <c r="Q83" s="377"/>
      <c r="R83" s="377"/>
      <c r="S83" s="377"/>
      <c r="T83" s="377"/>
      <c r="U83" s="377"/>
    </row>
    <row r="84" spans="1:21" ht="12.75" hidden="1" customHeight="1" x14ac:dyDescent="0.2">
      <c r="A84" s="55">
        <f>+IF(AND(DATE(YEAR($AA$9)+1,1,31)&gt;=$AA$9,DATE(YEAR($AA$9)+1,1,1)&lt;=$AC$6,$I$4&lt;=DATE(YEAR($AA$9)+1,1,31)),DATE(YEAR($AA$9)+1,1,1),"Hors période")</f>
        <v>46023</v>
      </c>
      <c r="B84" s="31">
        <f>IF(O1="faux",0,IF(C84="",IFERROR(+VLOOKUP(A84,BDD,3,FALSE),0),C84))</f>
        <v>0</v>
      </c>
      <c r="C84" s="411"/>
      <c r="E84" s="59"/>
      <c r="Q84" s="377"/>
      <c r="R84" s="377"/>
      <c r="S84" s="377"/>
      <c r="T84" s="377"/>
      <c r="U84" s="377"/>
    </row>
    <row r="85" spans="1:21" ht="12.75" hidden="1" customHeight="1" x14ac:dyDescent="0.2">
      <c r="A85" s="55">
        <f>+IF(AND(DATE(YEAR($AA$9)+1,2,29)&gt;=$AA$9,DATE(YEAR($AA$9)+1,2,1)&lt;=$AC$6,$I$4&lt;=DATE(YEAR($AA$9)+1,2,29)),DATE(YEAR($AA$9)+1,2,1),"Hors période")</f>
        <v>46054</v>
      </c>
      <c r="B85" s="31">
        <f>IF(O1="faux",0,IF(C85="",IFERROR(+VLOOKUP(A85,BDD,3,FALSE),0),C85))</f>
        <v>0</v>
      </c>
      <c r="C85" s="411"/>
      <c r="E85" s="59"/>
      <c r="Q85" s="377"/>
      <c r="R85" s="377"/>
      <c r="S85" s="377"/>
      <c r="T85" s="377"/>
      <c r="U85" s="377"/>
    </row>
    <row r="86" spans="1:21" ht="12.75" hidden="1" customHeight="1" x14ac:dyDescent="0.2">
      <c r="A86" s="55">
        <f>+IF(AND(DATE(YEAR($AA$9)+1,3,31)&gt;=$AA$9,DATE(YEAR($AA$9)+1,3,1)&lt;=$AC$6,$I$4&lt;=DATE(YEAR($AA$9)+1,3,31)),DATE(YEAR($AA$9)+1,3,1),"Hors période")</f>
        <v>46082</v>
      </c>
      <c r="B86" s="31">
        <f>IF(O1="faux",0,IF(C86="",IFERROR(+VLOOKUP(A86,BDD,3,FALSE),0),C86))</f>
        <v>0</v>
      </c>
      <c r="C86" s="411"/>
      <c r="E86" s="59"/>
      <c r="Q86" s="377"/>
      <c r="R86" s="377"/>
      <c r="S86" s="377"/>
      <c r="T86" s="377"/>
      <c r="U86" s="377"/>
    </row>
    <row r="87" spans="1:21" ht="12.75" hidden="1" customHeight="1" x14ac:dyDescent="0.2">
      <c r="A87" s="55">
        <f>+IF(AND(DATE(YEAR($AA$9)+1,4,30)&gt;=$AA$9,DATE(YEAR($AA$9)+1,4,1)&lt;=$AC$6,$I$4&lt;=DATE(YEAR($AA$9)+1,4,30)),DATE(YEAR($AA$9)+1,4,1),"Hors période")</f>
        <v>46113</v>
      </c>
      <c r="B87" s="31">
        <f>IF(O1="faux",0,IF(C87="",IFERROR(+VLOOKUP(A87,BDD,3,FALSE),0),C87))</f>
        <v>0</v>
      </c>
      <c r="C87" s="411"/>
      <c r="E87" s="59"/>
      <c r="Q87" s="377"/>
      <c r="R87" s="377"/>
      <c r="S87" s="377"/>
      <c r="T87" s="377"/>
      <c r="U87" s="377"/>
    </row>
    <row r="88" spans="1:21" ht="12.75" hidden="1" customHeight="1" x14ac:dyDescent="0.2">
      <c r="A88" s="55">
        <f>+IF(AND(DATE(YEAR($AA$9)+1,5,31)&gt;=$AA$9,DATE(YEAR($AA$9)+1,5,1)&lt;=$AC$6,$I$4&lt;=DATE(YEAR($AA$9)+1,5,31)),DATE(YEAR($AA$9)+1,5,1),"Hors période")</f>
        <v>46143</v>
      </c>
      <c r="B88" s="31">
        <f>IF(O1="faux",0,IF(C88="",IFERROR(+VLOOKUP(A88,BDD,3,FALSE),0),C88))</f>
        <v>0</v>
      </c>
      <c r="C88" s="411"/>
      <c r="E88" s="59"/>
    </row>
    <row r="89" spans="1:21" ht="13.5" hidden="1" customHeight="1" x14ac:dyDescent="0.2"/>
    <row r="90" spans="1:21" ht="12.75" hidden="1" customHeight="1" x14ac:dyDescent="0.2">
      <c r="C90" s="91" t="s">
        <v>615</v>
      </c>
      <c r="D90" s="416">
        <f>ROUND(SUM(B77:B88),2)</f>
        <v>0</v>
      </c>
    </row>
    <row r="91" spans="1:21" ht="12.75" hidden="1" customHeight="1" x14ac:dyDescent="0.2"/>
    <row r="92" spans="1:21" ht="12.75" hidden="1" customHeight="1" x14ac:dyDescent="0.2">
      <c r="B92" s="70"/>
      <c r="C92" s="71" t="s">
        <v>616</v>
      </c>
      <c r="D92" s="416">
        <f ca="1">+G70</f>
        <v>0</v>
      </c>
    </row>
    <row r="93" spans="1:21" ht="12.75" hidden="1" customHeight="1" thickBot="1" x14ac:dyDescent="0.25"/>
    <row r="94" spans="1:21" ht="12.75" hidden="1" customHeight="1" thickBot="1" x14ac:dyDescent="0.25">
      <c r="B94" s="72"/>
      <c r="C94" s="73" t="s">
        <v>617</v>
      </c>
      <c r="D94" s="417">
        <f ca="1">ROUND(+D92-D90,2)</f>
        <v>0</v>
      </c>
    </row>
    <row r="95" spans="1:21" ht="12.75" hidden="1" customHeight="1" x14ac:dyDescent="0.2"/>
    <row r="96" spans="1:21"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sheetData>
  <sheetProtection algorithmName="SHA-512" hashValue="QjAihCWmJVKvNaHz9GH5bJV/4c2HA3+b+vneuSPqTchhJpKN7qYf+LODzLj8bTNDge/PPByTQmHP2HNjbgJDMQ==" saltValue="OMEGv3Qzl9Z5Yaik7wgYzw==" spinCount="100000" sheet="1" objects="1" scenarios="1" formatCells="0" formatColumns="0" formatRows="0" insertColumns="0" insertRows="0" insertHyperlinks="0" sort="0" autoFilter="0" pivotTables="0"/>
  <mergeCells count="16">
    <mergeCell ref="A70:F71"/>
    <mergeCell ref="A62:C62"/>
    <mergeCell ref="H12:I12"/>
    <mergeCell ref="H13:I13"/>
    <mergeCell ref="A15:C16"/>
    <mergeCell ref="A18:C19"/>
    <mergeCell ref="A32:C32"/>
    <mergeCell ref="A42:C42"/>
    <mergeCell ref="A64:E64"/>
    <mergeCell ref="E13:G13"/>
    <mergeCell ref="I1:N1"/>
    <mergeCell ref="C2:H2"/>
    <mergeCell ref="B4:D4"/>
    <mergeCell ref="B5:D5"/>
    <mergeCell ref="A68:C68"/>
    <mergeCell ref="A1:H1"/>
  </mergeCells>
  <conditionalFormatting sqref="A74:D94">
    <cfRule type="expression" dxfId="956" priority="18">
      <formula>$K$13=0</formula>
    </cfRule>
  </conditionalFormatting>
  <conditionalFormatting sqref="A2:Q72">
    <cfRule type="expression" dxfId="955" priority="12">
      <formula>$T$15="OUI"</formula>
    </cfRule>
  </conditionalFormatting>
  <conditionalFormatting sqref="A27:Q28">
    <cfRule type="expression" dxfId="954" priority="3">
      <formula>$T$15="OUI"</formula>
    </cfRule>
  </conditionalFormatting>
  <conditionalFormatting sqref="C48:C59">
    <cfRule type="expression" dxfId="953" priority="22">
      <formula>S2="JAUNE"</formula>
    </cfRule>
  </conditionalFormatting>
  <conditionalFormatting sqref="D15:E15">
    <cfRule type="expression" dxfId="952" priority="8">
      <formula>$T$15="OUI"</formula>
    </cfRule>
  </conditionalFormatting>
  <conditionalFormatting sqref="E7 E9 E11 F25 C48:C59 F48:F59 F65">
    <cfRule type="notContainsBlanks" dxfId="951" priority="17">
      <formula>LEN(TRIM(C7))&gt;0</formula>
    </cfRule>
  </conditionalFormatting>
  <conditionalFormatting sqref="E15">
    <cfRule type="notContainsBlanks" dxfId="950" priority="11">
      <formula>LEN(TRIM(E15))&gt;0</formula>
    </cfRule>
    <cfRule type="expression" dxfId="949" priority="14">
      <formula>AND($D$15=0,$I$4&lt;DATE(YEAR($I$6)-1,5,31))</formula>
    </cfRule>
  </conditionalFormatting>
  <conditionalFormatting sqref="E18">
    <cfRule type="expression" dxfId="948" priority="7">
      <formula>AND($D$18=0,$I$4&lt;DATE(YEAR($I$6)-1,5,31))</formula>
    </cfRule>
    <cfRule type="notContainsBlanks" dxfId="947" priority="10">
      <formula>LEN(TRIM(E18))&gt;0</formula>
    </cfRule>
  </conditionalFormatting>
  <conditionalFormatting sqref="F28">
    <cfRule type="notContainsBlanks" dxfId="946" priority="4">
      <formula>LEN(TRIM(F28))&gt;0</formula>
    </cfRule>
  </conditionalFormatting>
  <conditionalFormatting sqref="F29">
    <cfRule type="notContainsBlanks" dxfId="945" priority="16">
      <formula>LEN(TRIM(F29))&gt;0</formula>
    </cfRule>
  </conditionalFormatting>
  <conditionalFormatting sqref="H13:I13">
    <cfRule type="expression" dxfId="944" priority="19">
      <formula>$K$13=0</formula>
    </cfRule>
  </conditionalFormatting>
  <conditionalFormatting sqref="J18:J20">
    <cfRule type="cellIs" dxfId="943" priority="2" operator="greaterThan">
      <formula>0</formula>
    </cfRule>
  </conditionalFormatting>
  <conditionalFormatting sqref="K13">
    <cfRule type="cellIs" dxfId="942" priority="20" operator="equal">
      <formula>0</formula>
    </cfRule>
  </conditionalFormatting>
  <conditionalFormatting sqref="L16:M20">
    <cfRule type="expression" dxfId="941" priority="15">
      <formula>$BB$1="OUI"</formula>
    </cfRule>
  </conditionalFormatting>
  <conditionalFormatting sqref="M17:M20">
    <cfRule type="cellIs" dxfId="940" priority="1" operator="greaterThan">
      <formula>0</formula>
    </cfRule>
  </conditionalFormatting>
  <dataValidations disablePrompts="1" count="3">
    <dataValidation type="list" allowBlank="1" showErrorMessage="1" sqref="I17" xr:uid="{00000000-0002-0000-1C00-000000000000}">
      <formula1>"Juin,Juillet,Août,Septembre,Octobre,Novembre,Décembre"</formula1>
    </dataValidation>
    <dataValidation type="list" allowBlank="1" showInputMessage="1" showErrorMessage="1" sqref="I18:I20" xr:uid="{00000000-0002-0000-1C00-000001000000}">
      <formula1>Liste_mois_année_CP</formula1>
    </dataValidation>
    <dataValidation type="list" allowBlank="1" showInputMessage="1" showErrorMessage="1" sqref="L17:L20" xr:uid="{00000000-0002-0000-1C00-000002000000}">
      <formula1>"Janvier,Février,Mars,Avril,Mai"</formula1>
    </dataValidation>
  </dataValidations>
  <pageMargins left="0.25" right="0.25" top="0.75" bottom="0.75" header="0.3" footer="0.3"/>
  <pageSetup paperSize="9" scale="63" orientation="landscape" horizontalDpi="1200" verticalDpi="1200" r:id="rId1"/>
  <rowBreaks count="1" manualBreakCount="1">
    <brk id="37" max="14"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X461"/>
  <sheetViews>
    <sheetView zoomScaleNormal="100" workbookViewId="0">
      <selection activeCell="A17" sqref="A17"/>
    </sheetView>
  </sheetViews>
  <sheetFormatPr baseColWidth="10" defaultColWidth="11.42578125" defaultRowHeight="12.75" x14ac:dyDescent="0.2"/>
  <cols>
    <col min="1" max="1" width="10.140625" style="477" bestFit="1" customWidth="1"/>
    <col min="2" max="2" width="23.42578125" style="15" bestFit="1" customWidth="1"/>
    <col min="3" max="3" width="15" style="15" bestFit="1" customWidth="1"/>
    <col min="4" max="4" width="19.7109375" style="15" bestFit="1" customWidth="1"/>
    <col min="5" max="5" width="20.5703125" style="15" bestFit="1" customWidth="1"/>
    <col min="6" max="6" width="20" style="15" bestFit="1" customWidth="1"/>
    <col min="7" max="7" width="20.7109375" style="15" bestFit="1" customWidth="1"/>
    <col min="8" max="8" width="20.140625" style="15" bestFit="1" customWidth="1"/>
    <col min="9" max="9" width="24.85546875" style="15" bestFit="1" customWidth="1"/>
    <col min="10" max="10" width="24.28515625" style="15" bestFit="1" customWidth="1"/>
    <col min="11" max="11" width="25" style="15" bestFit="1" customWidth="1"/>
    <col min="12" max="12" width="24.42578125" style="15" bestFit="1" customWidth="1"/>
    <col min="13" max="13" width="17.5703125" style="15" bestFit="1" customWidth="1"/>
    <col min="14" max="14" width="19.5703125" style="15" bestFit="1" customWidth="1"/>
    <col min="15" max="15" width="21.85546875" style="15" bestFit="1" customWidth="1"/>
    <col min="16" max="16" width="23.85546875" style="15" bestFit="1" customWidth="1"/>
    <col min="17" max="17" width="23.85546875" style="15" customWidth="1"/>
    <col min="18" max="18" width="27" style="15" bestFit="1" customWidth="1"/>
    <col min="19" max="19" width="13.5703125" style="15" bestFit="1" customWidth="1"/>
    <col min="20" max="20" width="18" style="15" bestFit="1" customWidth="1"/>
    <col min="21" max="21" width="22.85546875" style="15" bestFit="1" customWidth="1"/>
    <col min="22" max="22" width="22.85546875" style="15" customWidth="1"/>
    <col min="23" max="23" width="28.5703125" style="15" bestFit="1" customWidth="1"/>
    <col min="24" max="24" width="28.5703125" style="15" customWidth="1"/>
    <col min="25" max="26" width="33.140625" style="15" customWidth="1"/>
    <col min="27" max="27" width="35.42578125" style="15" bestFit="1" customWidth="1"/>
    <col min="28" max="28" width="35.42578125" style="15" customWidth="1"/>
    <col min="29" max="29" width="16.140625" style="15" customWidth="1"/>
    <col min="30" max="30" width="18.140625" style="15" customWidth="1"/>
    <col min="31" max="32" width="16.85546875" style="15" customWidth="1"/>
    <col min="33" max="33" width="16.5703125" style="15" customWidth="1"/>
    <col min="34" max="37" width="15" style="15" bestFit="1" customWidth="1"/>
    <col min="38" max="38" width="24.140625" style="15" bestFit="1" customWidth="1"/>
    <col min="39" max="39" width="11.42578125" style="15"/>
    <col min="40" max="40" width="18.140625" style="15" bestFit="1" customWidth="1"/>
    <col min="41" max="41" width="19.5703125" style="15" customWidth="1"/>
    <col min="42" max="42" width="17.7109375" style="15" customWidth="1"/>
    <col min="43" max="43" width="19.5703125" style="15" customWidth="1"/>
    <col min="44" max="44" width="18.5703125" style="15" customWidth="1"/>
    <col min="45" max="45" width="27.5703125" style="15" bestFit="1" customWidth="1"/>
    <col min="46" max="46" width="26.42578125" style="15" bestFit="1" customWidth="1"/>
    <col min="47" max="47" width="26.42578125" style="15" customWidth="1"/>
    <col min="48" max="48" width="23.140625" style="15" bestFit="1" customWidth="1"/>
    <col min="49" max="49" width="25.42578125" style="15" bestFit="1" customWidth="1"/>
    <col min="50" max="50" width="15.140625" style="15" bestFit="1" customWidth="1"/>
    <col min="51" max="51" width="28.7109375" style="15" customWidth="1"/>
    <col min="52" max="52" width="14.5703125" style="15" bestFit="1" customWidth="1"/>
    <col min="53" max="53" width="26.85546875" style="15" bestFit="1" customWidth="1"/>
    <col min="54" max="54" width="27.7109375" style="15" bestFit="1" customWidth="1"/>
    <col min="55" max="55" width="20" style="15" bestFit="1" customWidth="1"/>
    <col min="56" max="56" width="46.5703125" style="15" bestFit="1" customWidth="1"/>
    <col min="57" max="57" width="52.7109375" style="15" bestFit="1" customWidth="1"/>
    <col min="58" max="58" width="12.28515625" style="15" bestFit="1" customWidth="1"/>
    <col min="59" max="59" width="29" style="15" customWidth="1"/>
    <col min="60" max="60" width="22.140625" style="15" customWidth="1"/>
    <col min="61" max="61" width="35.7109375" style="15" bestFit="1" customWidth="1"/>
    <col min="62" max="62" width="17" style="15" customWidth="1"/>
    <col min="63" max="63" width="43.140625" style="15" bestFit="1" customWidth="1"/>
    <col min="64" max="64" width="13.7109375" style="15" customWidth="1"/>
    <col min="65" max="65" width="15.42578125" style="15" bestFit="1" customWidth="1"/>
    <col min="66" max="66" width="23.5703125" style="15" customWidth="1"/>
    <col min="67" max="67" width="21.7109375" style="15" customWidth="1"/>
    <col min="68" max="68" width="20.140625" style="15" bestFit="1" customWidth="1"/>
    <col min="69" max="69" width="11.42578125" style="15"/>
    <col min="70" max="70" width="19.7109375" style="15" customWidth="1"/>
    <col min="71" max="71" width="16.140625" style="15" bestFit="1" customWidth="1"/>
    <col min="72" max="72" width="12.7109375" style="15" bestFit="1" customWidth="1"/>
    <col min="73" max="73" width="12.42578125" style="15" bestFit="1" customWidth="1"/>
    <col min="74" max="74" width="10.140625" style="15" bestFit="1" customWidth="1"/>
    <col min="75" max="75" width="16.140625" style="15" bestFit="1" customWidth="1"/>
    <col min="76" max="76" width="12.7109375" style="15" bestFit="1" customWidth="1"/>
    <col min="77" max="77" width="12.42578125" style="15" bestFit="1" customWidth="1"/>
    <col min="78" max="78" width="10.140625" style="15" bestFit="1" customWidth="1"/>
    <col min="79" max="79" width="16.140625" style="15" bestFit="1" customWidth="1"/>
    <col min="80" max="80" width="12.7109375" style="15" bestFit="1" customWidth="1"/>
    <col min="81" max="81" width="12.42578125" style="15" bestFit="1" customWidth="1"/>
    <col min="82" max="82" width="10.140625" style="15" bestFit="1" customWidth="1"/>
    <col min="83" max="83" width="16.140625" style="15" bestFit="1" customWidth="1"/>
    <col min="84" max="84" width="12.7109375" style="15" bestFit="1" customWidth="1"/>
    <col min="85" max="85" width="12.28515625" style="15" bestFit="1" customWidth="1"/>
    <col min="86" max="86" width="9.42578125" style="15" bestFit="1" customWidth="1"/>
    <col min="87" max="87" width="11.42578125" style="15"/>
    <col min="88" max="88" width="21.85546875" style="15" customWidth="1"/>
    <col min="89" max="92" width="23.140625" style="15" customWidth="1"/>
    <col min="93" max="93" width="19.42578125" style="15" bestFit="1" customWidth="1"/>
    <col min="94" max="96" width="11.42578125" style="15"/>
    <col min="97" max="97" width="18.85546875" style="15" bestFit="1" customWidth="1"/>
    <col min="98" max="98" width="23" style="15" bestFit="1" customWidth="1"/>
    <col min="99" max="99" width="20.28515625" style="15" bestFit="1" customWidth="1"/>
    <col min="100" max="100" width="22.42578125" style="15" bestFit="1" customWidth="1"/>
    <col min="101" max="101" width="15" style="15" bestFit="1" customWidth="1"/>
    <col min="102" max="16384" width="11.42578125" style="15"/>
  </cols>
  <sheetData>
    <row r="1" spans="1:102" customFormat="1" x14ac:dyDescent="0.2">
      <c r="A1" s="970" t="s">
        <v>1325</v>
      </c>
      <c r="CH1" s="999"/>
      <c r="CI1" s="999"/>
    </row>
    <row r="2" spans="1:102" customFormat="1" x14ac:dyDescent="0.2">
      <c r="A2" s="1358" t="str">
        <f>+'Mode d''utilisation'!M2</f>
        <v>Année : 2026</v>
      </c>
      <c r="CH2" s="999"/>
      <c r="CI2" s="999"/>
    </row>
    <row r="3" spans="1:102" s="487" customFormat="1" x14ac:dyDescent="0.2">
      <c r="A3" s="1287">
        <v>1</v>
      </c>
      <c r="B3" s="1287">
        <v>2</v>
      </c>
      <c r="C3" s="1287">
        <v>3</v>
      </c>
      <c r="D3" s="1287">
        <v>4</v>
      </c>
      <c r="E3" s="1287">
        <v>5</v>
      </c>
      <c r="F3" s="1287">
        <v>6</v>
      </c>
      <c r="G3" s="1287">
        <v>7</v>
      </c>
      <c r="H3" s="1287">
        <v>8</v>
      </c>
      <c r="I3" s="1287">
        <v>9</v>
      </c>
      <c r="J3" s="1287">
        <v>10</v>
      </c>
      <c r="K3" s="1287">
        <v>11</v>
      </c>
      <c r="L3" s="1287">
        <v>12</v>
      </c>
      <c r="M3" s="1287">
        <v>13</v>
      </c>
      <c r="N3" s="1287">
        <v>14</v>
      </c>
      <c r="O3" s="1287">
        <v>15</v>
      </c>
      <c r="P3" s="1287">
        <v>16</v>
      </c>
      <c r="Q3" s="1287">
        <v>17</v>
      </c>
      <c r="R3" s="1287">
        <v>18</v>
      </c>
      <c r="S3" s="1287">
        <v>19</v>
      </c>
      <c r="T3" s="1287">
        <v>20</v>
      </c>
      <c r="U3" s="1287">
        <v>21</v>
      </c>
      <c r="V3" s="1287">
        <v>22</v>
      </c>
      <c r="W3" s="1287">
        <v>23</v>
      </c>
      <c r="X3" s="1287">
        <v>24</v>
      </c>
      <c r="Y3" s="1287">
        <v>25</v>
      </c>
      <c r="Z3" s="1287">
        <v>26</v>
      </c>
      <c r="AA3" s="1287">
        <v>27</v>
      </c>
      <c r="AB3" s="1287">
        <v>28</v>
      </c>
      <c r="AC3" s="1287">
        <v>29</v>
      </c>
      <c r="AD3" s="1287">
        <v>30</v>
      </c>
      <c r="AE3" s="487">
        <v>31</v>
      </c>
      <c r="AF3" s="1287">
        <v>32</v>
      </c>
      <c r="AG3" s="487">
        <v>33</v>
      </c>
      <c r="AH3" s="1287">
        <v>34</v>
      </c>
      <c r="AI3" s="487">
        <v>35</v>
      </c>
      <c r="AJ3" s="1287">
        <v>36</v>
      </c>
      <c r="AK3" s="487">
        <v>37</v>
      </c>
      <c r="AL3" s="487">
        <v>38</v>
      </c>
      <c r="AM3" s="487">
        <v>39</v>
      </c>
      <c r="AN3" s="487">
        <v>40</v>
      </c>
      <c r="AO3" s="487">
        <v>41</v>
      </c>
      <c r="AP3" s="487">
        <v>42</v>
      </c>
      <c r="AQ3" s="487">
        <v>43</v>
      </c>
      <c r="AR3" s="487">
        <v>44</v>
      </c>
      <c r="AS3" s="487">
        <v>45</v>
      </c>
      <c r="AT3" s="487">
        <v>46</v>
      </c>
      <c r="AU3" s="487">
        <v>47</v>
      </c>
      <c r="AV3" s="487">
        <v>48</v>
      </c>
      <c r="AW3" s="487">
        <v>49</v>
      </c>
      <c r="AX3" s="487">
        <v>50</v>
      </c>
      <c r="AY3" s="487">
        <v>51</v>
      </c>
      <c r="AZ3" s="487">
        <v>52</v>
      </c>
      <c r="BA3" s="487">
        <v>53</v>
      </c>
      <c r="BB3" s="487">
        <v>54</v>
      </c>
      <c r="BC3" s="487">
        <v>55</v>
      </c>
      <c r="BD3" s="487">
        <v>56</v>
      </c>
      <c r="BE3" s="487">
        <v>57</v>
      </c>
      <c r="BF3" s="487">
        <v>58</v>
      </c>
      <c r="BG3" s="487">
        <v>59</v>
      </c>
      <c r="BH3" s="487">
        <v>60</v>
      </c>
      <c r="BI3" s="487">
        <v>61</v>
      </c>
      <c r="BJ3" s="487">
        <v>62</v>
      </c>
      <c r="BK3" s="487">
        <v>63</v>
      </c>
      <c r="BL3" s="487">
        <v>64</v>
      </c>
      <c r="BM3" s="487">
        <v>65</v>
      </c>
      <c r="BN3" s="487">
        <v>66</v>
      </c>
      <c r="BO3" s="487">
        <v>67</v>
      </c>
      <c r="BP3" s="487">
        <v>68</v>
      </c>
      <c r="BQ3" s="487">
        <v>69</v>
      </c>
      <c r="BR3" s="487">
        <v>70</v>
      </c>
      <c r="BS3" s="487">
        <v>71</v>
      </c>
      <c r="BT3" s="487">
        <v>72</v>
      </c>
      <c r="BU3" s="487">
        <v>73</v>
      </c>
      <c r="BV3" s="487">
        <v>74</v>
      </c>
      <c r="BW3" s="487">
        <v>75</v>
      </c>
      <c r="BX3" s="487">
        <v>76</v>
      </c>
      <c r="BY3" s="487">
        <v>77</v>
      </c>
      <c r="BZ3" s="487">
        <v>78</v>
      </c>
      <c r="CA3" s="487">
        <v>79</v>
      </c>
      <c r="CB3" s="487">
        <v>80</v>
      </c>
      <c r="CC3" s="487">
        <v>81</v>
      </c>
      <c r="CD3" s="487">
        <v>82</v>
      </c>
      <c r="CE3" s="487">
        <v>83</v>
      </c>
      <c r="CF3" s="487">
        <v>84</v>
      </c>
      <c r="CG3" s="487">
        <v>85</v>
      </c>
      <c r="CH3" s="487">
        <v>86</v>
      </c>
      <c r="CI3" s="487">
        <v>87</v>
      </c>
      <c r="CJ3" s="487">
        <v>88</v>
      </c>
      <c r="CK3" s="487">
        <v>89</v>
      </c>
      <c r="CL3" s="487">
        <v>90</v>
      </c>
      <c r="CM3" s="487">
        <v>91</v>
      </c>
      <c r="CN3" s="487">
        <v>92</v>
      </c>
      <c r="CO3" s="487">
        <v>93</v>
      </c>
      <c r="CP3" s="487">
        <v>94</v>
      </c>
      <c r="CQ3" s="487">
        <v>95</v>
      </c>
      <c r="CR3" s="487">
        <v>96</v>
      </c>
      <c r="CS3" s="487">
        <v>97</v>
      </c>
      <c r="CT3" s="487">
        <v>98</v>
      </c>
      <c r="CU3" s="487">
        <v>99</v>
      </c>
      <c r="CV3" s="487">
        <v>100</v>
      </c>
      <c r="CW3" s="487">
        <v>101</v>
      </c>
      <c r="CX3" s="487">
        <v>102</v>
      </c>
    </row>
    <row r="4" spans="1:102" s="19" customFormat="1" x14ac:dyDescent="0.2">
      <c r="A4" s="478" t="s">
        <v>27</v>
      </c>
      <c r="B4" s="63" t="s">
        <v>549</v>
      </c>
      <c r="C4" s="63" t="s">
        <v>956</v>
      </c>
      <c r="D4" s="63" t="s">
        <v>550</v>
      </c>
      <c r="E4" s="63" t="s">
        <v>552</v>
      </c>
      <c r="F4" s="63" t="s">
        <v>553</v>
      </c>
      <c r="G4" s="63" t="s">
        <v>554</v>
      </c>
      <c r="H4" s="63" t="s">
        <v>555</v>
      </c>
      <c r="I4" s="63" t="s">
        <v>556</v>
      </c>
      <c r="J4" s="63" t="s">
        <v>557</v>
      </c>
      <c r="K4" s="63" t="s">
        <v>559</v>
      </c>
      <c r="L4" s="63" t="s">
        <v>558</v>
      </c>
      <c r="M4" s="63" t="s">
        <v>560</v>
      </c>
      <c r="N4" s="63" t="s">
        <v>561</v>
      </c>
      <c r="O4" s="63" t="s">
        <v>562</v>
      </c>
      <c r="P4" s="63" t="s">
        <v>563</v>
      </c>
      <c r="Q4" s="63" t="s">
        <v>566</v>
      </c>
      <c r="R4" s="63" t="s">
        <v>567</v>
      </c>
      <c r="S4" s="63" t="s">
        <v>564</v>
      </c>
      <c r="T4" s="63" t="s">
        <v>565</v>
      </c>
      <c r="U4" s="63" t="s">
        <v>598</v>
      </c>
      <c r="V4" s="63" t="s">
        <v>600</v>
      </c>
      <c r="W4" s="63" t="s">
        <v>623</v>
      </c>
      <c r="X4" s="63" t="s">
        <v>638</v>
      </c>
      <c r="Y4" s="63" t="s">
        <v>639</v>
      </c>
      <c r="Z4" s="63" t="s">
        <v>1357</v>
      </c>
      <c r="AA4" s="63" t="s">
        <v>1358</v>
      </c>
      <c r="AB4" s="63" t="s">
        <v>704</v>
      </c>
      <c r="AC4" s="63" t="s">
        <v>551</v>
      </c>
      <c r="AD4" s="19" t="s">
        <v>716</v>
      </c>
      <c r="AE4" s="19" t="s">
        <v>717</v>
      </c>
      <c r="AF4" s="19" t="s">
        <v>718</v>
      </c>
      <c r="AG4" s="19" t="s">
        <v>719</v>
      </c>
      <c r="AH4" s="19" t="s">
        <v>720</v>
      </c>
      <c r="AI4" s="19" t="s">
        <v>721</v>
      </c>
      <c r="AJ4" s="19" t="s">
        <v>722</v>
      </c>
      <c r="AK4" s="19" t="s">
        <v>723</v>
      </c>
      <c r="AL4" s="19" t="s">
        <v>735</v>
      </c>
      <c r="AM4" s="19" t="s">
        <v>736</v>
      </c>
      <c r="AN4" s="19" t="s">
        <v>770</v>
      </c>
      <c r="AO4" s="19" t="s">
        <v>1705</v>
      </c>
      <c r="AP4" s="19" t="s">
        <v>1706</v>
      </c>
      <c r="AQ4" s="19" t="s">
        <v>1359</v>
      </c>
      <c r="AR4" s="19" t="s">
        <v>1360</v>
      </c>
      <c r="AS4" s="19" t="s">
        <v>856</v>
      </c>
      <c r="AT4" s="19" t="s">
        <v>1361</v>
      </c>
      <c r="AU4" s="19" t="s">
        <v>858</v>
      </c>
      <c r="AV4" s="19" t="s">
        <v>857</v>
      </c>
      <c r="AW4" s="19" t="s">
        <v>1362</v>
      </c>
      <c r="AX4" s="19" t="s">
        <v>859</v>
      </c>
      <c r="AY4" s="19" t="s">
        <v>860</v>
      </c>
      <c r="AZ4" s="19" t="s">
        <v>1481</v>
      </c>
      <c r="BA4" s="19" t="s">
        <v>1482</v>
      </c>
      <c r="BB4" s="19" t="s">
        <v>1483</v>
      </c>
      <c r="BC4" s="19" t="s">
        <v>1484</v>
      </c>
      <c r="BD4" s="19" t="s">
        <v>948</v>
      </c>
      <c r="BE4" s="19" t="s">
        <v>1363</v>
      </c>
      <c r="BF4" s="19" t="s">
        <v>946</v>
      </c>
      <c r="BG4" s="19" t="s">
        <v>1364</v>
      </c>
      <c r="BH4" s="19" t="s">
        <v>991</v>
      </c>
      <c r="BI4" s="19" t="s">
        <v>1485</v>
      </c>
      <c r="BJ4" s="19" t="s">
        <v>992</v>
      </c>
      <c r="BK4" s="19" t="s">
        <v>1015</v>
      </c>
      <c r="BL4" s="19" t="s">
        <v>1019</v>
      </c>
      <c r="BM4" s="19" t="s">
        <v>1020</v>
      </c>
      <c r="BN4" s="19" t="s">
        <v>1021</v>
      </c>
      <c r="BO4" s="19" t="s">
        <v>1022</v>
      </c>
      <c r="BP4" s="19" t="s">
        <v>1023</v>
      </c>
      <c r="BQ4" s="19" t="s">
        <v>1204</v>
      </c>
      <c r="BR4" s="19" t="s">
        <v>1203</v>
      </c>
      <c r="BS4" s="19" t="s">
        <v>1281</v>
      </c>
      <c r="BT4" s="19" t="s">
        <v>1282</v>
      </c>
      <c r="BU4" s="19" t="s">
        <v>1283</v>
      </c>
      <c r="BV4" s="19" t="s">
        <v>1284</v>
      </c>
      <c r="BW4" s="19" t="s">
        <v>1285</v>
      </c>
      <c r="BX4" s="19" t="s">
        <v>1286</v>
      </c>
      <c r="BY4" s="19" t="s">
        <v>1287</v>
      </c>
      <c r="BZ4" s="19" t="s">
        <v>1288</v>
      </c>
      <c r="CA4" s="19" t="s">
        <v>1289</v>
      </c>
      <c r="CB4" s="19" t="s">
        <v>1290</v>
      </c>
      <c r="CC4" s="19" t="s">
        <v>1291</v>
      </c>
      <c r="CD4" s="19" t="s">
        <v>1292</v>
      </c>
      <c r="CE4" s="19" t="s">
        <v>1293</v>
      </c>
      <c r="CF4" s="19" t="s">
        <v>1294</v>
      </c>
      <c r="CG4" s="19" t="s">
        <v>1295</v>
      </c>
      <c r="CH4" s="19" t="s">
        <v>1296</v>
      </c>
      <c r="CI4" s="19" t="s">
        <v>1356</v>
      </c>
      <c r="CJ4" s="19" t="s">
        <v>1501</v>
      </c>
      <c r="CK4" s="19" t="s">
        <v>1548</v>
      </c>
      <c r="CL4" s="19" t="s">
        <v>1576</v>
      </c>
      <c r="CM4" s="19" t="s">
        <v>1577</v>
      </c>
      <c r="CN4" s="19" t="s">
        <v>1581</v>
      </c>
      <c r="CO4" s="19" t="s">
        <v>1571</v>
      </c>
      <c r="CP4" s="19" t="s">
        <v>1604</v>
      </c>
      <c r="CQ4" s="19" t="s">
        <v>1605</v>
      </c>
      <c r="CR4" s="19" t="s">
        <v>1606</v>
      </c>
      <c r="CS4" s="19" t="s">
        <v>1607</v>
      </c>
      <c r="CT4" s="19" t="s">
        <v>1627</v>
      </c>
      <c r="CU4" s="19" t="s">
        <v>1628</v>
      </c>
      <c r="CV4" s="19" t="s">
        <v>1659</v>
      </c>
      <c r="CW4" s="19" t="s">
        <v>1670</v>
      </c>
      <c r="CX4" s="63" t="s">
        <v>1692</v>
      </c>
    </row>
    <row r="5" spans="1:102" s="16" customFormat="1" x14ac:dyDescent="0.2">
      <c r="A5" s="302">
        <f>+Janvier!$X$3</f>
        <v>46023</v>
      </c>
      <c r="B5" s="480">
        <f ca="1">+Janvier!$DP$20</f>
        <v>0</v>
      </c>
      <c r="C5" s="303">
        <f>+Janvier!$HO$16</f>
        <v>0</v>
      </c>
      <c r="D5" s="303">
        <f>+Janvier!$T$30</f>
        <v>0</v>
      </c>
      <c r="E5" s="303">
        <f>+Janvier!$EF$16</f>
        <v>0</v>
      </c>
      <c r="F5" s="303">
        <f>+Janvier!$EG$16</f>
        <v>0</v>
      </c>
      <c r="G5" s="303">
        <f>+Janvier!$EF$17</f>
        <v>0</v>
      </c>
      <c r="H5" s="303">
        <f>+Janvier!$EG$17</f>
        <v>0</v>
      </c>
      <c r="I5" s="303">
        <f>+Janvier!$EH$16</f>
        <v>0</v>
      </c>
      <c r="J5" s="303">
        <f>+Janvier!$EI$16</f>
        <v>0</v>
      </c>
      <c r="K5" s="303">
        <f>+Janvier!$EH$17</f>
        <v>0</v>
      </c>
      <c r="L5" s="303">
        <f>+Janvier!$EI$17</f>
        <v>0</v>
      </c>
      <c r="M5" s="303">
        <f>+Janvier!$AH$89</f>
        <v>0</v>
      </c>
      <c r="N5" s="303">
        <f>+Janvier!$AH$90</f>
        <v>0</v>
      </c>
      <c r="O5" s="303">
        <f>+Janvier!$AL$89</f>
        <v>0</v>
      </c>
      <c r="P5" s="303">
        <f>+Janvier!$AL$90</f>
        <v>0</v>
      </c>
      <c r="Q5" s="303">
        <f>+Janvier!$AH$92</f>
        <v>0</v>
      </c>
      <c r="R5" s="303">
        <f>+Janvier!$AL$92</f>
        <v>0</v>
      </c>
      <c r="S5" s="303">
        <f>+Janvier!$AH$87</f>
        <v>0</v>
      </c>
      <c r="T5" s="303">
        <f>+Janvier!$AH$93</f>
        <v>0</v>
      </c>
      <c r="U5" s="303">
        <f>+Janvier!$DP$13</f>
        <v>0</v>
      </c>
      <c r="V5" s="303">
        <f>+Janvier!$DP$11</f>
        <v>0</v>
      </c>
      <c r="W5" s="303"/>
      <c r="X5" s="303"/>
      <c r="Y5" s="303" t="e">
        <f>+Janvier!$DP$15</f>
        <v>#DIV/0!</v>
      </c>
      <c r="Z5" s="303">
        <f>+Janvier!$DP$8</f>
        <v>0</v>
      </c>
      <c r="AA5" s="304">
        <f>+Janvier!$EH$15</f>
        <v>0</v>
      </c>
      <c r="AB5" s="304">
        <f>'Retenue Janv'!BJ64</f>
        <v>0</v>
      </c>
      <c r="AC5" s="304">
        <f ca="1">+Janvier!$N$62</f>
        <v>0</v>
      </c>
      <c r="AD5" s="304">
        <f>'Retenue Janv'!BV13</f>
        <v>0</v>
      </c>
      <c r="AE5" s="304">
        <f>'Retenue Janv'!BV14</f>
        <v>0</v>
      </c>
      <c r="AF5" s="304">
        <f>'Retenue Janv'!BV15</f>
        <v>0</v>
      </c>
      <c r="AG5" s="304">
        <f>'Retenue Janv'!BV16</f>
        <v>0</v>
      </c>
      <c r="AH5" s="304">
        <f>'Retenue Janv'!BV17</f>
        <v>0</v>
      </c>
      <c r="AI5" s="304">
        <f>'Retenue Janv'!BV18</f>
        <v>0</v>
      </c>
      <c r="AJ5" s="304">
        <f>'Retenue Janv'!BV19</f>
        <v>0</v>
      </c>
      <c r="AK5" s="304">
        <f>'Retenue Janv'!BV20</f>
        <v>0</v>
      </c>
      <c r="AL5" s="304">
        <f>'Retenue Janv'!BJ11</f>
        <v>0</v>
      </c>
      <c r="AM5" s="304" t="str">
        <f>'Retenue Janv'!BK3</f>
        <v>Méthode 1</v>
      </c>
      <c r="AN5" s="303">
        <f ca="1">+Janvier!$T$35</f>
        <v>0</v>
      </c>
      <c r="AO5" s="303">
        <f ca="1">+Régularisation!$F$44</f>
        <v>0</v>
      </c>
      <c r="AP5" s="303">
        <f ca="1">+Régularisation!$F$45</f>
        <v>0</v>
      </c>
      <c r="AQ5" s="304" t="e">
        <f>+Régularisation!$F$54</f>
        <v>#DIV/0!</v>
      </c>
      <c r="AR5" s="304" t="e">
        <f>+Régularisation!$F$55</f>
        <v>#DIV/0!</v>
      </c>
      <c r="AS5" s="303">
        <f ca="1">+Régularisation!$F$69</f>
        <v>0</v>
      </c>
      <c r="AT5" s="303">
        <f ca="1">+Régularisation!$F$70</f>
        <v>0</v>
      </c>
      <c r="AU5" s="303">
        <f ca="1">+Régularisation!$F$71</f>
        <v>0</v>
      </c>
      <c r="AV5" s="303">
        <f>+Régularisation!$F$74</f>
        <v>0</v>
      </c>
      <c r="AW5" s="303">
        <f>+Régularisation!$F$75</f>
        <v>0</v>
      </c>
      <c r="AX5" s="303">
        <f>+Régularisation!$F$76</f>
        <v>0</v>
      </c>
      <c r="AY5" s="451">
        <f ca="1">+Régularisation!$F$78</f>
        <v>0</v>
      </c>
      <c r="AZ5" s="474">
        <f>+Janvier!$R$87</f>
        <v>0</v>
      </c>
      <c r="BA5" s="474">
        <f>+Janvier!$R$88</f>
        <v>0</v>
      </c>
      <c r="BB5" s="474">
        <f>+Janvier!$R$89</f>
        <v>0</v>
      </c>
      <c r="BC5" s="474" t="e">
        <f ca="1">+Janvier!$EG$2</f>
        <v>#DIV/0!</v>
      </c>
      <c r="BD5" s="474">
        <f ca="1">+Janvier!$EG$1</f>
        <v>0</v>
      </c>
      <c r="BE5" s="482" t="e">
        <f ca="1">+Janvier!$EG$2</f>
        <v>#DIV/0!</v>
      </c>
      <c r="BF5" s="482" t="e">
        <f>+Janvier!$EG$3</f>
        <v>#DIV/0!</v>
      </c>
      <c r="BG5" s="482" t="e">
        <f>+Janvier!$DK$27</f>
        <v>#DIV/0!</v>
      </c>
      <c r="BH5" s="482">
        <f>+Janvier!$DK$28</f>
        <v>0</v>
      </c>
      <c r="BI5" s="482">
        <f>+Janvier!$DM$28</f>
        <v>0</v>
      </c>
      <c r="BJ5" s="482">
        <f>+Janvier!$DM$29</f>
        <v>0</v>
      </c>
      <c r="BK5" s="482">
        <f>IF(Janvier!AL14,(Janvier!HO16+Janvier!T30)/Janvier!AL14,0)</f>
        <v>0</v>
      </c>
      <c r="BL5" s="555">
        <f>+Janvier!$T$32</f>
        <v>0</v>
      </c>
      <c r="BM5" s="555">
        <f>+Janvier!$T$33</f>
        <v>0</v>
      </c>
      <c r="BN5" s="555">
        <f>+Janvier!$BZ$98</f>
        <v>0</v>
      </c>
      <c r="BO5" s="555">
        <f>+Janvier!$BZ$100</f>
        <v>0</v>
      </c>
      <c r="BP5" s="555">
        <f>+Janvier!$BZ$102</f>
        <v>0</v>
      </c>
      <c r="BQ5" s="617">
        <f>+Janvier!$BZ$74</f>
        <v>0</v>
      </c>
      <c r="BR5" s="870">
        <f>'Retenue Janv'!E52</f>
        <v>0</v>
      </c>
      <c r="BS5" s="928" t="str">
        <f>+Janvier!$AA$63</f>
        <v/>
      </c>
      <c r="BT5" s="928" t="str">
        <f>+Janvier!$AG$63</f>
        <v/>
      </c>
      <c r="BU5" s="928" t="str">
        <f>+Janvier!$AJ$63</f>
        <v/>
      </c>
      <c r="BV5" s="928" t="str">
        <f>+Janvier!$AM$63</f>
        <v/>
      </c>
      <c r="BW5" s="928" t="str">
        <f>+Janvier!$AA$64</f>
        <v/>
      </c>
      <c r="BX5" s="928" t="str">
        <f>+Janvier!$AG$64</f>
        <v/>
      </c>
      <c r="BY5" s="928" t="str">
        <f>+Janvier!$AJ$64</f>
        <v/>
      </c>
      <c r="BZ5" s="928" t="str">
        <f>+Janvier!$AM$64</f>
        <v/>
      </c>
      <c r="CA5" s="928" t="str">
        <f>+Janvier!$AA$65</f>
        <v/>
      </c>
      <c r="CB5" s="928" t="str">
        <f>+Janvier!$AG$65</f>
        <v/>
      </c>
      <c r="CC5" s="928" t="str">
        <f>+Janvier!$AJ$65</f>
        <v/>
      </c>
      <c r="CD5" s="928" t="str">
        <f>+Janvier!$AM$65</f>
        <v/>
      </c>
      <c r="CE5" s="928" t="str">
        <f>+Janvier!$AA$66</f>
        <v/>
      </c>
      <c r="CF5" s="928" t="str">
        <f>+Janvier!$AG$66</f>
        <v/>
      </c>
      <c r="CG5" s="928" t="str">
        <f>+Janvier!$AJ$66</f>
        <v/>
      </c>
      <c r="CH5" s="928" t="str">
        <f>+Janvier!$AM$66</f>
        <v/>
      </c>
      <c r="CI5" s="303">
        <f>+Janvier!$DP$23</f>
        <v>0</v>
      </c>
      <c r="CJ5" s="303">
        <f>IFERROR(+VLOOKUP("Janvier",'CP Année Incomplète au 31-05'!$L$17:$M$20,2,FALSE),0)</f>
        <v>0</v>
      </c>
      <c r="CK5" s="870">
        <f>+'CP Année Incomplète au 31-05'!$F$40</f>
        <v>0</v>
      </c>
      <c r="CL5" s="303" t="str">
        <f>+Janvier!$B$34</f>
        <v/>
      </c>
      <c r="CM5" s="303">
        <f ca="1">+IF(CL5=S.CAL!$FT$3,SUM(Janvier!$T$18:$W$31)+Janvier!$T$33,AN5)</f>
        <v>0</v>
      </c>
      <c r="CN5" s="303">
        <f ca="1">SUM(Janvier!$T$18:$W$31)+Janvier!$T$33</f>
        <v>0</v>
      </c>
      <c r="CO5" s="555">
        <f>+Janvier!$DP$25</f>
        <v>0</v>
      </c>
      <c r="CP5" s="303">
        <f>+Janvier!$DP$26</f>
        <v>0</v>
      </c>
      <c r="CQ5" s="303">
        <f>+Janvier!$DP$27</f>
        <v>0</v>
      </c>
      <c r="CR5" s="303">
        <f>+Janvier!$DP$28</f>
        <v>0</v>
      </c>
      <c r="CS5" s="303">
        <f>+Janvier!$DP$29</f>
        <v>0</v>
      </c>
      <c r="CT5" s="303">
        <f>+Janvier!$AH$86</f>
        <v>0</v>
      </c>
      <c r="CU5" s="303">
        <f>+Janvier!$AL$86</f>
        <v>0</v>
      </c>
      <c r="CV5" s="303">
        <f>+'Salaire mensuel base 10%'!E5</f>
        <v>0</v>
      </c>
      <c r="CW5" s="303">
        <f>+Janvier!$AD$137</f>
        <v>0</v>
      </c>
      <c r="CX5" s="833">
        <f>+Janvier!$DP$30</f>
        <v>0</v>
      </c>
    </row>
    <row r="6" spans="1:102" s="16" customFormat="1" x14ac:dyDescent="0.2">
      <c r="A6" s="302">
        <f>+Février!$X$3</f>
        <v>46054</v>
      </c>
      <c r="B6" s="480">
        <f>+Février!$DP$20</f>
        <v>0</v>
      </c>
      <c r="C6" s="303">
        <f>+Février!$HO$16</f>
        <v>0</v>
      </c>
      <c r="D6" s="303">
        <f>+Février!$T$30</f>
        <v>0</v>
      </c>
      <c r="E6" s="303">
        <f>+Février!$EF$16</f>
        <v>0</v>
      </c>
      <c r="F6" s="303">
        <f>+Février!$EG$16</f>
        <v>0</v>
      </c>
      <c r="G6" s="303">
        <f>+Février!$EF$17</f>
        <v>0</v>
      </c>
      <c r="H6" s="303">
        <f>+Février!$EG$17</f>
        <v>0</v>
      </c>
      <c r="I6" s="303">
        <f>+Février!$EH$16</f>
        <v>0</v>
      </c>
      <c r="J6" s="303">
        <f>+Février!$EI$16</f>
        <v>0</v>
      </c>
      <c r="K6" s="303">
        <f>+Février!$EH$17</f>
        <v>0</v>
      </c>
      <c r="L6" s="303">
        <f>+Février!$EI$17</f>
        <v>0</v>
      </c>
      <c r="M6" s="303">
        <f>+Février!$AH$89</f>
        <v>0</v>
      </c>
      <c r="N6" s="303">
        <f>+Février!$AH$90</f>
        <v>0</v>
      </c>
      <c r="O6" s="303">
        <f>+Février!$AL$89</f>
        <v>0</v>
      </c>
      <c r="P6" s="303">
        <f>+Février!$AL$90</f>
        <v>0</v>
      </c>
      <c r="Q6" s="303">
        <f>+Février!$AH$92</f>
        <v>0</v>
      </c>
      <c r="R6" s="303">
        <f>+Février!$AL$92</f>
        <v>0</v>
      </c>
      <c r="S6" s="303">
        <f>+Février!$AH$87</f>
        <v>0</v>
      </c>
      <c r="T6" s="303">
        <f>+Février!$AH$93</f>
        <v>0</v>
      </c>
      <c r="U6" s="303">
        <f>+Février!$DP$13</f>
        <v>0</v>
      </c>
      <c r="V6" s="303">
        <f>+Février!$DP$11</f>
        <v>0</v>
      </c>
      <c r="W6" s="303"/>
      <c r="X6" s="303"/>
      <c r="Y6" s="303" t="e">
        <f>+Février!$DP$15</f>
        <v>#DIV/0!</v>
      </c>
      <c r="Z6" s="303">
        <f>+Février!$DP$8</f>
        <v>0</v>
      </c>
      <c r="AA6" s="304">
        <f>+Février!$EH$15</f>
        <v>0</v>
      </c>
      <c r="AB6" s="304">
        <f>'Retenue Fev'!BJ64</f>
        <v>0</v>
      </c>
      <c r="AC6" s="304">
        <f>+Février!$N$62</f>
        <v>0</v>
      </c>
      <c r="AD6" s="304">
        <f>'Retenue Fev'!BV13</f>
        <v>0</v>
      </c>
      <c r="AE6" s="304">
        <f>'Retenue Fev'!BV14</f>
        <v>0</v>
      </c>
      <c r="AF6" s="304">
        <f>'Retenue Fev'!BV15</f>
        <v>0</v>
      </c>
      <c r="AG6" s="304">
        <f>'Retenue Fev'!BV16</f>
        <v>0</v>
      </c>
      <c r="AH6" s="304">
        <f>'Retenue Fev'!BV17</f>
        <v>0</v>
      </c>
      <c r="AI6" s="304">
        <f>'Retenue Fev'!BV18</f>
        <v>0</v>
      </c>
      <c r="AJ6" s="304">
        <f>'Retenue Fev'!BV19</f>
        <v>0</v>
      </c>
      <c r="AK6" s="304">
        <f>'Retenue Fev'!BV20</f>
        <v>0</v>
      </c>
      <c r="AL6" s="304">
        <f>'Retenue Fev'!BJ11</f>
        <v>0</v>
      </c>
      <c r="AM6" s="304" t="str">
        <f>'Retenue Fev'!BK3</f>
        <v>Méthode 1</v>
      </c>
      <c r="AN6" s="303">
        <f>+Février!$T$35</f>
        <v>0</v>
      </c>
      <c r="AO6" s="303">
        <f>+Régularisation!$I$44</f>
        <v>0</v>
      </c>
      <c r="AP6" s="303">
        <f>+Régularisation!$I$45</f>
        <v>0</v>
      </c>
      <c r="AQ6" s="304" t="e">
        <f>+Régularisation!$I$54</f>
        <v>#DIV/0!</v>
      </c>
      <c r="AR6" s="304" t="e">
        <f>+Régularisation!$I$55</f>
        <v>#DIV/0!</v>
      </c>
      <c r="AS6" s="303">
        <f>+Régularisation!$I$69</f>
        <v>0</v>
      </c>
      <c r="AT6" s="303">
        <f>+Régularisation!$I$70</f>
        <v>0</v>
      </c>
      <c r="AU6" s="303">
        <f>+Régularisation!$I$71</f>
        <v>0</v>
      </c>
      <c r="AV6" s="303">
        <f>+Régularisation!$I$74</f>
        <v>0</v>
      </c>
      <c r="AW6" s="303">
        <f>+Régularisation!$I$75</f>
        <v>0</v>
      </c>
      <c r="AX6" s="303">
        <f>+Régularisation!$I$76</f>
        <v>0</v>
      </c>
      <c r="AY6" s="451">
        <f>+Régularisation!$I$78</f>
        <v>0</v>
      </c>
      <c r="AZ6" s="474">
        <f>+Février!$R$87</f>
        <v>0</v>
      </c>
      <c r="BA6" s="474">
        <f>+Février!$R$88</f>
        <v>0</v>
      </c>
      <c r="BB6" s="474">
        <f>+Février!$R$89</f>
        <v>0</v>
      </c>
      <c r="BC6" s="474" t="e">
        <f>+Février!$EG$2</f>
        <v>#DIV/0!</v>
      </c>
      <c r="BD6" s="474">
        <f>+Février!$EG$1</f>
        <v>0</v>
      </c>
      <c r="BE6" s="482" t="e">
        <f>+Février!$EG$2</f>
        <v>#DIV/0!</v>
      </c>
      <c r="BF6" s="482" t="e">
        <f>+Février!$EG$3</f>
        <v>#DIV/0!</v>
      </c>
      <c r="BG6" s="482" t="e">
        <f>+Février!$DK$27</f>
        <v>#DIV/0!</v>
      </c>
      <c r="BH6" s="482">
        <f>+Février!$DK$28</f>
        <v>0</v>
      </c>
      <c r="BI6" s="482">
        <f>+Février!$DM$28</f>
        <v>0</v>
      </c>
      <c r="BJ6" s="482">
        <f>+Février!$DM$29</f>
        <v>0</v>
      </c>
      <c r="BK6" s="482">
        <f>IF(Février!AL14,(Février!HO16+Février!T30)/Février!AL14,0)</f>
        <v>0</v>
      </c>
      <c r="BL6" s="555">
        <f>+Février!$T$32</f>
        <v>0</v>
      </c>
      <c r="BM6" s="555">
        <f>+Février!$T$33</f>
        <v>0</v>
      </c>
      <c r="BN6" s="555">
        <f>+Février!$BZ$98</f>
        <v>0</v>
      </c>
      <c r="BO6" s="555">
        <f>+Février!$BZ$100</f>
        <v>0</v>
      </c>
      <c r="BP6" s="555">
        <f>+Février!$BZ$102</f>
        <v>0</v>
      </c>
      <c r="BQ6" s="617">
        <f>+Février!$BZ$74</f>
        <v>0</v>
      </c>
      <c r="BR6" s="870">
        <f>'Retenue Fev'!E52</f>
        <v>0</v>
      </c>
      <c r="BS6" s="928" t="str">
        <f>+Février!$AA$63</f>
        <v/>
      </c>
      <c r="BT6" s="928" t="str">
        <f>+Février!$AG$63</f>
        <v/>
      </c>
      <c r="BU6" s="928" t="str">
        <f>+Février!$AJ$63</f>
        <v/>
      </c>
      <c r="BV6" s="928" t="str">
        <f>+Février!$AM$63</f>
        <v/>
      </c>
      <c r="BW6" s="928" t="str">
        <f>+Février!$AA$64</f>
        <v/>
      </c>
      <c r="BX6" s="928" t="str">
        <f>+Février!$AG$64</f>
        <v/>
      </c>
      <c r="BY6" s="928" t="str">
        <f>+Février!$AJ$64</f>
        <v/>
      </c>
      <c r="BZ6" s="928" t="str">
        <f>+Février!$AM$64</f>
        <v/>
      </c>
      <c r="CA6" s="928" t="str">
        <f>+Février!$AA$65</f>
        <v/>
      </c>
      <c r="CB6" s="928" t="str">
        <f>+Février!$AG$65</f>
        <v/>
      </c>
      <c r="CC6" s="928" t="str">
        <f>+Février!$AJ$65</f>
        <v/>
      </c>
      <c r="CD6" s="928" t="str">
        <f>+Février!$AM$65</f>
        <v/>
      </c>
      <c r="CE6" s="928" t="str">
        <f>+Février!$AA$66</f>
        <v/>
      </c>
      <c r="CF6" s="928" t="str">
        <f>+Février!$AG$66</f>
        <v/>
      </c>
      <c r="CG6" s="928" t="str">
        <f>+Février!$AJ$66</f>
        <v/>
      </c>
      <c r="CH6" s="928" t="str">
        <f>+Février!$AM$66</f>
        <v/>
      </c>
      <c r="CI6" s="303">
        <f>+Février!$DP$23</f>
        <v>0</v>
      </c>
      <c r="CJ6" s="303">
        <f>IFERROR(+VLOOKUP("Février",'CP Année Incomplète au 31-05'!$L$17:$M$20,2,FALSE),0)</f>
        <v>0</v>
      </c>
      <c r="CK6" s="870">
        <f>+'CP Année Incomplète au 31-05'!$F$40</f>
        <v>0</v>
      </c>
      <c r="CL6" s="303" t="str">
        <f>+Février!$B$34</f>
        <v/>
      </c>
      <c r="CM6" s="303">
        <f>+IF(CL6=S.CAL!$FT$3,SUM(Février!$T$18:$W$31)+Février!$T$33,AN6)</f>
        <v>0</v>
      </c>
      <c r="CN6" s="303">
        <f>SUM(Février!$T$18:$W$31)+Février!$T$33</f>
        <v>0</v>
      </c>
      <c r="CO6" s="555">
        <f>+Février!$DP$25</f>
        <v>0</v>
      </c>
      <c r="CP6" s="303">
        <f>+Février!$DP$26</f>
        <v>0</v>
      </c>
      <c r="CQ6" s="303">
        <f>+Février!$DP$27</f>
        <v>0</v>
      </c>
      <c r="CR6" s="303">
        <f>+Février!$DP$28</f>
        <v>0</v>
      </c>
      <c r="CS6" s="303">
        <f>+Février!$DP$29</f>
        <v>0</v>
      </c>
      <c r="CT6" s="303">
        <f>+Février!$AH$86</f>
        <v>0</v>
      </c>
      <c r="CU6" s="303">
        <f>+Février!$AL$86</f>
        <v>0</v>
      </c>
      <c r="CV6" s="303">
        <f>+'Salaire mensuel base 10%'!E6</f>
        <v>0</v>
      </c>
      <c r="CW6" s="303">
        <f>+Février!$AD$137</f>
        <v>0</v>
      </c>
      <c r="CX6" s="833">
        <f>+Février!$DP$30</f>
        <v>0</v>
      </c>
    </row>
    <row r="7" spans="1:102" s="16" customFormat="1" x14ac:dyDescent="0.2">
      <c r="A7" s="302">
        <f>+Mars!$X$3</f>
        <v>46082</v>
      </c>
      <c r="B7" s="480">
        <f>+Mars!$DP$20</f>
        <v>0</v>
      </c>
      <c r="C7" s="303">
        <f>+Mars!$HO$16</f>
        <v>0</v>
      </c>
      <c r="D7" s="303">
        <f>+Mars!$T$30</f>
        <v>0</v>
      </c>
      <c r="E7" s="303">
        <f>+Mars!$EF$16</f>
        <v>0</v>
      </c>
      <c r="F7" s="303">
        <f>+Mars!$EG$16</f>
        <v>0</v>
      </c>
      <c r="G7" s="303">
        <f>+Mars!$EF$17</f>
        <v>0</v>
      </c>
      <c r="H7" s="303">
        <f>+Mars!$EG$17</f>
        <v>0</v>
      </c>
      <c r="I7" s="303">
        <f>+Mars!$EH$16</f>
        <v>0</v>
      </c>
      <c r="J7" s="303">
        <f>+Mars!$EI$16</f>
        <v>0</v>
      </c>
      <c r="K7" s="303">
        <f>+Mars!$EH$17</f>
        <v>0</v>
      </c>
      <c r="L7" s="303">
        <f>+Mars!$EI$17</f>
        <v>0</v>
      </c>
      <c r="M7" s="303">
        <f>+Mars!$AH$89</f>
        <v>0</v>
      </c>
      <c r="N7" s="303">
        <f>+Mars!$AH$90</f>
        <v>0</v>
      </c>
      <c r="O7" s="303">
        <f>+Mars!$AL$89</f>
        <v>0</v>
      </c>
      <c r="P7" s="303">
        <f>+Mars!$AL$90</f>
        <v>0</v>
      </c>
      <c r="Q7" s="303">
        <f>+Mars!$AH$92</f>
        <v>0</v>
      </c>
      <c r="R7" s="303">
        <f>+Mars!$AL$92</f>
        <v>0</v>
      </c>
      <c r="S7" s="303">
        <f>+Mars!$AH$87</f>
        <v>0</v>
      </c>
      <c r="T7" s="303">
        <f>+Mars!$AH$93</f>
        <v>0</v>
      </c>
      <c r="U7" s="303">
        <f>+Mars!$DP$13</f>
        <v>0</v>
      </c>
      <c r="V7" s="303">
        <f>+Mars!$DP$11</f>
        <v>0</v>
      </c>
      <c r="W7" s="303"/>
      <c r="X7" s="303"/>
      <c r="Y7" s="303" t="e">
        <f>+Mars!$DP$15</f>
        <v>#DIV/0!</v>
      </c>
      <c r="Z7" s="303">
        <f>+Mars!$DP$8</f>
        <v>0</v>
      </c>
      <c r="AA7" s="304">
        <f>+Mars!$EH$15</f>
        <v>0</v>
      </c>
      <c r="AB7" s="304">
        <f>'Retenue Mars'!BJ64</f>
        <v>0</v>
      </c>
      <c r="AC7" s="304">
        <f>+Mars!$N$62</f>
        <v>0</v>
      </c>
      <c r="AD7" s="304">
        <f>'Retenue Mars'!BV13</f>
        <v>0</v>
      </c>
      <c r="AE7" s="304">
        <f>'Retenue Mars'!BV14</f>
        <v>0</v>
      </c>
      <c r="AF7" s="304">
        <f>'Retenue Mars'!BV15</f>
        <v>0</v>
      </c>
      <c r="AG7" s="304">
        <f>'Retenue Mars'!BV16</f>
        <v>0</v>
      </c>
      <c r="AH7" s="304">
        <f>'Retenue Mars'!BV17</f>
        <v>0</v>
      </c>
      <c r="AI7" s="304">
        <f>'Retenue Mars'!BV18</f>
        <v>0</v>
      </c>
      <c r="AJ7" s="304">
        <f>'Retenue Mars'!BV19</f>
        <v>0</v>
      </c>
      <c r="AK7" s="304">
        <f>'Retenue Mars'!BV20</f>
        <v>0</v>
      </c>
      <c r="AL7" s="304">
        <f>'Retenue Mars'!BJ11</f>
        <v>0</v>
      </c>
      <c r="AM7" s="304" t="str">
        <f>'Retenue Mars'!BK3</f>
        <v>Méthode 1</v>
      </c>
      <c r="AN7" s="303">
        <f>+Mars!$T$35</f>
        <v>0</v>
      </c>
      <c r="AO7" s="303">
        <f>+Régularisation!$L$44</f>
        <v>0</v>
      </c>
      <c r="AP7" s="303">
        <f>+Régularisation!$L$45</f>
        <v>0</v>
      </c>
      <c r="AQ7" s="304" t="e">
        <f>+Régularisation!$L$54</f>
        <v>#DIV/0!</v>
      </c>
      <c r="AR7" s="304" t="e">
        <f>+Régularisation!$L$55</f>
        <v>#DIV/0!</v>
      </c>
      <c r="AS7" s="303">
        <f>+Régularisation!$L$69</f>
        <v>0</v>
      </c>
      <c r="AT7" s="303">
        <f>+Régularisation!$L$70</f>
        <v>0</v>
      </c>
      <c r="AU7" s="303">
        <f>+Régularisation!$L$71</f>
        <v>0</v>
      </c>
      <c r="AV7" s="303">
        <f>+Régularisation!$L$74</f>
        <v>0</v>
      </c>
      <c r="AW7" s="303">
        <f>+Régularisation!$L$75</f>
        <v>0</v>
      </c>
      <c r="AX7" s="303">
        <f>+Régularisation!$L$76</f>
        <v>0</v>
      </c>
      <c r="AY7" s="451">
        <f>+Régularisation!$L$78</f>
        <v>0</v>
      </c>
      <c r="AZ7" s="474">
        <f>+Mars!$R$87</f>
        <v>0</v>
      </c>
      <c r="BA7" s="474">
        <f>+Mars!$R$88</f>
        <v>0</v>
      </c>
      <c r="BB7" s="474">
        <f>+Mars!$R$89</f>
        <v>0</v>
      </c>
      <c r="BC7" s="474" t="e">
        <f>+Mars!$EG$2</f>
        <v>#DIV/0!</v>
      </c>
      <c r="BD7" s="474">
        <f>+Mars!$EG$1</f>
        <v>0</v>
      </c>
      <c r="BE7" s="482" t="e">
        <f>+Mars!$EG$2</f>
        <v>#DIV/0!</v>
      </c>
      <c r="BF7" s="482" t="e">
        <f>+Mars!$EG$3</f>
        <v>#DIV/0!</v>
      </c>
      <c r="BG7" s="482" t="e">
        <f>+Mars!$DK$27</f>
        <v>#DIV/0!</v>
      </c>
      <c r="BH7" s="482">
        <f>+Mars!$DK$28</f>
        <v>0</v>
      </c>
      <c r="BI7" s="482">
        <f>+Mars!$DM$28</f>
        <v>0</v>
      </c>
      <c r="BJ7" s="482">
        <f>+Mars!$DM$29</f>
        <v>0</v>
      </c>
      <c r="BK7" s="482">
        <f>IF(Mars!AL14,(Mars!HO16+Mars!T30)/Mars!AL14,0)</f>
        <v>0</v>
      </c>
      <c r="BL7" s="555">
        <f>+Mars!$T$32</f>
        <v>0</v>
      </c>
      <c r="BM7" s="555">
        <f>+Mars!$T$33</f>
        <v>0</v>
      </c>
      <c r="BN7" s="555">
        <f>+Mars!$BZ$98</f>
        <v>0</v>
      </c>
      <c r="BO7" s="555">
        <f>+Mars!$BZ$100</f>
        <v>0</v>
      </c>
      <c r="BP7" s="555">
        <f>+Mars!$BZ$102</f>
        <v>0</v>
      </c>
      <c r="BQ7" s="617">
        <f>+Mars!$BZ$74</f>
        <v>0</v>
      </c>
      <c r="BR7" s="870">
        <f>'Retenue Mars'!E52</f>
        <v>0</v>
      </c>
      <c r="BS7" s="928" t="str">
        <f>+Mars!$AA$63</f>
        <v/>
      </c>
      <c r="BT7" s="928" t="str">
        <f>+Mars!$AG$63</f>
        <v/>
      </c>
      <c r="BU7" s="928" t="str">
        <f>+Mars!$AJ$63</f>
        <v/>
      </c>
      <c r="BV7" s="928" t="str">
        <f>+Mars!$AM$63</f>
        <v/>
      </c>
      <c r="BW7" s="928" t="str">
        <f>+Mars!$AA$64</f>
        <v/>
      </c>
      <c r="BX7" s="928" t="str">
        <f>+Mars!$AG$64</f>
        <v/>
      </c>
      <c r="BY7" s="928" t="str">
        <f>+Mars!$AJ$64</f>
        <v/>
      </c>
      <c r="BZ7" s="928" t="str">
        <f>+Mars!$AM$64</f>
        <v/>
      </c>
      <c r="CA7" s="928" t="str">
        <f>+Mars!$AA$65</f>
        <v/>
      </c>
      <c r="CB7" s="928" t="str">
        <f>+Mars!$AG$65</f>
        <v/>
      </c>
      <c r="CC7" s="928" t="str">
        <f>+Mars!$AJ$65</f>
        <v/>
      </c>
      <c r="CD7" s="928" t="str">
        <f>+Mars!$AM$65</f>
        <v/>
      </c>
      <c r="CE7" s="928" t="str">
        <f>+Mars!$AA$66</f>
        <v/>
      </c>
      <c r="CF7" s="928" t="str">
        <f>+Mars!$AG$66</f>
        <v/>
      </c>
      <c r="CG7" s="928" t="str">
        <f>+Mars!$AJ$66</f>
        <v/>
      </c>
      <c r="CH7" s="928" t="str">
        <f>+Mars!$AM$66</f>
        <v/>
      </c>
      <c r="CI7" s="303">
        <f>+Mars!$DP$23</f>
        <v>0</v>
      </c>
      <c r="CJ7" s="303">
        <f>IFERROR(+VLOOKUP("Mars",'CP Année Incomplète au 31-05'!$L$17:$M$20,2,FALSE),0)</f>
        <v>0</v>
      </c>
      <c r="CK7" s="870">
        <f>+'CP Année Incomplète au 31-05'!$F$40</f>
        <v>0</v>
      </c>
      <c r="CL7" s="303" t="str">
        <f>+Mars!$B$34</f>
        <v/>
      </c>
      <c r="CM7" s="303">
        <f>+IF(CL7=S.CAL!$FT$3,SUM(Mars!$T$18:$W$31)+Mars!$T$33,AN7)</f>
        <v>0</v>
      </c>
      <c r="CN7" s="303">
        <f>SUM(Mars!$T$18:$W$31)+Mars!$T$33</f>
        <v>0</v>
      </c>
      <c r="CO7" s="555">
        <f>+Mars!$DP$25</f>
        <v>0</v>
      </c>
      <c r="CP7" s="303">
        <f>+Mars!$DP$26</f>
        <v>0</v>
      </c>
      <c r="CQ7" s="303">
        <f>+Mars!$DP$27</f>
        <v>0</v>
      </c>
      <c r="CR7" s="303">
        <f>+Mars!$DP$28</f>
        <v>0</v>
      </c>
      <c r="CS7" s="303">
        <f>+Mars!$DP$29</f>
        <v>0</v>
      </c>
      <c r="CT7" s="303">
        <f>+Mars!$AH$86</f>
        <v>0</v>
      </c>
      <c r="CU7" s="303">
        <f>+Mars!$AL$86</f>
        <v>0</v>
      </c>
      <c r="CV7" s="303">
        <f>+'Salaire mensuel base 10%'!E7</f>
        <v>0</v>
      </c>
      <c r="CW7" s="303">
        <f>+Mars!$AD$137</f>
        <v>0</v>
      </c>
      <c r="CX7" s="833">
        <f>+Mars!$DP$30</f>
        <v>0</v>
      </c>
    </row>
    <row r="8" spans="1:102" s="16" customFormat="1" x14ac:dyDescent="0.2">
      <c r="A8" s="302">
        <f>+Avril!$X$3</f>
        <v>46113</v>
      </c>
      <c r="B8" s="480">
        <f>+Avril!$DP$20</f>
        <v>0</v>
      </c>
      <c r="C8" s="303">
        <f>+Avril!$HO$16</f>
        <v>0</v>
      </c>
      <c r="D8" s="303">
        <f>+Avril!$T$30</f>
        <v>0</v>
      </c>
      <c r="E8" s="303">
        <f>+Avril!$EF$16</f>
        <v>0</v>
      </c>
      <c r="F8" s="303">
        <f>+Avril!$EG$16</f>
        <v>0</v>
      </c>
      <c r="G8" s="303">
        <f>+Avril!$EF$17</f>
        <v>0</v>
      </c>
      <c r="H8" s="303">
        <f>+Avril!$EG$17</f>
        <v>0</v>
      </c>
      <c r="I8" s="303">
        <f>+Avril!$EH$16</f>
        <v>0</v>
      </c>
      <c r="J8" s="303">
        <f>+Avril!$EI$16</f>
        <v>0</v>
      </c>
      <c r="K8" s="303">
        <f>+Avril!$EH$17</f>
        <v>0</v>
      </c>
      <c r="L8" s="303">
        <f>+Avril!$EI$17</f>
        <v>0</v>
      </c>
      <c r="M8" s="303">
        <f>+Avril!$AH$89</f>
        <v>0</v>
      </c>
      <c r="N8" s="303">
        <f>+Avril!$AH$90</f>
        <v>0</v>
      </c>
      <c r="O8" s="303">
        <f>+Avril!$AL$89</f>
        <v>0</v>
      </c>
      <c r="P8" s="303">
        <f>+Avril!$AL$90</f>
        <v>0</v>
      </c>
      <c r="Q8" s="303">
        <f>+Avril!$AH$92</f>
        <v>0</v>
      </c>
      <c r="R8" s="303">
        <f>+Avril!$AL$92</f>
        <v>0</v>
      </c>
      <c r="S8" s="303">
        <f>+Avril!$AH$87</f>
        <v>0</v>
      </c>
      <c r="T8" s="303">
        <f>+Avril!$AH$93</f>
        <v>0</v>
      </c>
      <c r="U8" s="303">
        <f>+Avril!$DP$13</f>
        <v>0</v>
      </c>
      <c r="V8" s="303">
        <f>+Avril!$DP$11</f>
        <v>0</v>
      </c>
      <c r="W8" s="303"/>
      <c r="X8" s="303"/>
      <c r="Y8" s="303" t="e">
        <f>+Avril!$DP$15</f>
        <v>#DIV/0!</v>
      </c>
      <c r="Z8" s="303">
        <f>+Avril!$DP$8</f>
        <v>0</v>
      </c>
      <c r="AA8" s="304">
        <f>+Avril!$EH$15</f>
        <v>0</v>
      </c>
      <c r="AB8" s="304">
        <f>'Retenue Avril'!BJ64</f>
        <v>0</v>
      </c>
      <c r="AC8" s="304">
        <f>+Avril!$N$62</f>
        <v>0</v>
      </c>
      <c r="AD8" s="304">
        <f>'Retenue Avril'!BV13</f>
        <v>0</v>
      </c>
      <c r="AE8" s="304">
        <f>'Retenue Avril'!BV14</f>
        <v>0</v>
      </c>
      <c r="AF8" s="304">
        <f>'Retenue Avril'!BV15</f>
        <v>0</v>
      </c>
      <c r="AG8" s="304">
        <f>'Retenue Avril'!BV16</f>
        <v>0</v>
      </c>
      <c r="AH8" s="304">
        <f>'Retenue Avril'!BV17</f>
        <v>0</v>
      </c>
      <c r="AI8" s="304">
        <f>'Retenue Avril'!BV18</f>
        <v>0</v>
      </c>
      <c r="AJ8" s="304">
        <f>'Retenue Avril'!BV19</f>
        <v>0</v>
      </c>
      <c r="AK8" s="304">
        <f>'Retenue Avril'!BV20</f>
        <v>0</v>
      </c>
      <c r="AL8" s="304">
        <f>'Retenue Avril'!BJ11</f>
        <v>0</v>
      </c>
      <c r="AM8" s="304" t="str">
        <f>'Retenue Avril'!BK3</f>
        <v>Méthode 1</v>
      </c>
      <c r="AN8" s="303">
        <f>+Avril!$T$35</f>
        <v>0</v>
      </c>
      <c r="AO8" s="303">
        <f>+Régularisation!$O$44</f>
        <v>0</v>
      </c>
      <c r="AP8" s="303">
        <f>+Régularisation!$O$45</f>
        <v>0</v>
      </c>
      <c r="AQ8" s="304" t="e">
        <f>+Régularisation!$O$54</f>
        <v>#DIV/0!</v>
      </c>
      <c r="AR8" s="304" t="e">
        <f>+Régularisation!$O$55</f>
        <v>#DIV/0!</v>
      </c>
      <c r="AS8" s="303">
        <f>+Régularisation!$O$69</f>
        <v>0</v>
      </c>
      <c r="AT8" s="303">
        <f>+Régularisation!$O$70</f>
        <v>0</v>
      </c>
      <c r="AU8" s="303">
        <f>+Régularisation!$O$71</f>
        <v>0</v>
      </c>
      <c r="AV8" s="303">
        <f>+Régularisation!$O$74</f>
        <v>0</v>
      </c>
      <c r="AW8" s="303">
        <f>+Régularisation!$O$75</f>
        <v>0</v>
      </c>
      <c r="AX8" s="303">
        <f>+Régularisation!$O$76</f>
        <v>0</v>
      </c>
      <c r="AY8" s="451">
        <f>+Régularisation!$O$78</f>
        <v>0</v>
      </c>
      <c r="AZ8" s="474">
        <f>+Avril!$R$87</f>
        <v>0</v>
      </c>
      <c r="BA8" s="474">
        <f>+Avril!$R$88</f>
        <v>0</v>
      </c>
      <c r="BB8" s="474">
        <f>+Avril!$R$89</f>
        <v>0</v>
      </c>
      <c r="BC8" s="474" t="e">
        <f>+Avril!$EG$2</f>
        <v>#DIV/0!</v>
      </c>
      <c r="BD8" s="474">
        <f>+Avril!$EG$1</f>
        <v>0</v>
      </c>
      <c r="BE8" s="482" t="e">
        <f>+Avril!$EG$2</f>
        <v>#DIV/0!</v>
      </c>
      <c r="BF8" s="482" t="e">
        <f>+Avril!$EG$3</f>
        <v>#DIV/0!</v>
      </c>
      <c r="BG8" s="482" t="e">
        <f>+Avril!$DK$27</f>
        <v>#DIV/0!</v>
      </c>
      <c r="BH8" s="482">
        <f>+Avril!$DK$28</f>
        <v>0</v>
      </c>
      <c r="BI8" s="482">
        <f>+Avril!$DM$28</f>
        <v>0</v>
      </c>
      <c r="BJ8" s="482">
        <f>+Avril!$DM$29</f>
        <v>0</v>
      </c>
      <c r="BK8" s="482">
        <f>IF(Avril!AL14,(Avril!HO16+Avril!T30)/Avril!AL14,0)</f>
        <v>0</v>
      </c>
      <c r="BL8" s="555">
        <f>+Avril!$T$32</f>
        <v>0</v>
      </c>
      <c r="BM8" s="555">
        <f>+Avril!$T$33</f>
        <v>0</v>
      </c>
      <c r="BN8" s="555">
        <f>+Avril!$BZ$98</f>
        <v>0</v>
      </c>
      <c r="BO8" s="555">
        <f>+Avril!$BZ$100</f>
        <v>0</v>
      </c>
      <c r="BP8" s="555">
        <f>+Avril!$BZ$102</f>
        <v>0</v>
      </c>
      <c r="BQ8" s="617">
        <f>+Avril!$BZ$74</f>
        <v>0</v>
      </c>
      <c r="BR8" s="870">
        <f>'Retenue Avril'!E52</f>
        <v>0</v>
      </c>
      <c r="BS8" s="928" t="str">
        <f>+Avril!$AA$63</f>
        <v/>
      </c>
      <c r="BT8" s="928" t="str">
        <f>+Avril!$AG$63</f>
        <v/>
      </c>
      <c r="BU8" s="928" t="str">
        <f>+Avril!$AJ$63</f>
        <v/>
      </c>
      <c r="BV8" s="928" t="str">
        <f>+Avril!$AM$63</f>
        <v/>
      </c>
      <c r="BW8" s="928" t="str">
        <f>+Avril!$AA$64</f>
        <v/>
      </c>
      <c r="BX8" s="928" t="str">
        <f>+Avril!$AG$64</f>
        <v/>
      </c>
      <c r="BY8" s="928" t="str">
        <f>+Avril!$AJ$64</f>
        <v/>
      </c>
      <c r="BZ8" s="928" t="str">
        <f>+Avril!$AM$64</f>
        <v/>
      </c>
      <c r="CA8" s="928" t="str">
        <f>+Avril!$AA$65</f>
        <v/>
      </c>
      <c r="CB8" s="928" t="str">
        <f>+Avril!$AG$65</f>
        <v/>
      </c>
      <c r="CC8" s="928" t="str">
        <f>+Avril!$AJ$65</f>
        <v/>
      </c>
      <c r="CD8" s="928" t="str">
        <f>+Avril!$AM$65</f>
        <v/>
      </c>
      <c r="CE8" s="928" t="str">
        <f>+Avril!$AA$66</f>
        <v/>
      </c>
      <c r="CF8" s="928" t="str">
        <f>+Avril!$AG$66</f>
        <v/>
      </c>
      <c r="CG8" s="928" t="str">
        <f>+Avril!$AJ$66</f>
        <v/>
      </c>
      <c r="CH8" s="928" t="str">
        <f>+Avril!$AM$66</f>
        <v/>
      </c>
      <c r="CI8" s="303">
        <f>+Avril!$DP$23</f>
        <v>0</v>
      </c>
      <c r="CJ8" s="303">
        <f>IFERROR(+VLOOKUP("Avril",'CP Année Incomplète au 31-05'!$L$17:$M$20,2,FALSE),0)</f>
        <v>0</v>
      </c>
      <c r="CK8" s="870">
        <f>+'CP Année Incomplète au 31-05'!$F$40</f>
        <v>0</v>
      </c>
      <c r="CL8" s="303" t="str">
        <f>+Avril!$B$34</f>
        <v/>
      </c>
      <c r="CM8" s="303">
        <f>+IF(CL8=S.CAL!$FT$3,SUM(Avril!$T$18:$W$31)+Avril!$T$33,AN8)</f>
        <v>0</v>
      </c>
      <c r="CN8" s="303">
        <f>SUM(Avril!$T$18:$W$31)+Avril!$T$33</f>
        <v>0</v>
      </c>
      <c r="CO8" s="555">
        <f>+Avril!$DP$25</f>
        <v>0</v>
      </c>
      <c r="CP8" s="303">
        <f>+Avril!$DP$26</f>
        <v>0</v>
      </c>
      <c r="CQ8" s="303">
        <f>+Avril!$DP$27</f>
        <v>0</v>
      </c>
      <c r="CR8" s="303">
        <f>+Avril!$DP$28</f>
        <v>0</v>
      </c>
      <c r="CS8" s="303">
        <f>+Avril!$DP$29</f>
        <v>0</v>
      </c>
      <c r="CT8" s="303">
        <f>+Avril!$AH$86</f>
        <v>0</v>
      </c>
      <c r="CU8" s="303">
        <f>+Avril!$AL$86</f>
        <v>0</v>
      </c>
      <c r="CV8" s="303">
        <f>+'Salaire mensuel base 10%'!E8</f>
        <v>0</v>
      </c>
      <c r="CW8" s="303">
        <f>+Avril!$AD$137</f>
        <v>0</v>
      </c>
      <c r="CX8" s="833">
        <f>+Avril!$DP$30</f>
        <v>0</v>
      </c>
    </row>
    <row r="9" spans="1:102" s="16" customFormat="1" x14ac:dyDescent="0.2">
      <c r="A9" s="302">
        <f>+Mai!$X$3</f>
        <v>46143</v>
      </c>
      <c r="B9" s="480">
        <f>+Mai!$DP$20</f>
        <v>0</v>
      </c>
      <c r="C9" s="303">
        <f>+Mai!$HO$16</f>
        <v>0</v>
      </c>
      <c r="D9" s="303">
        <f>+Mai!$T$30</f>
        <v>0</v>
      </c>
      <c r="E9" s="303">
        <f>+Mai!$EF$16</f>
        <v>0</v>
      </c>
      <c r="F9" s="303">
        <f>+Mai!$EG$16</f>
        <v>0</v>
      </c>
      <c r="G9" s="303">
        <f>+Mai!$EF$17</f>
        <v>0</v>
      </c>
      <c r="H9" s="303">
        <f>+Mai!$EG$17</f>
        <v>0</v>
      </c>
      <c r="I9" s="303">
        <f>+Mai!$EH$16</f>
        <v>0</v>
      </c>
      <c r="J9" s="303">
        <f>+Mai!$EI$16</f>
        <v>0</v>
      </c>
      <c r="K9" s="303">
        <f>+Mai!$EH$17</f>
        <v>0</v>
      </c>
      <c r="L9" s="303">
        <f>+Mai!$EI$17</f>
        <v>0</v>
      </c>
      <c r="M9" s="303">
        <f>+Mai!$AH$89</f>
        <v>0</v>
      </c>
      <c r="N9" s="303">
        <f>+Mai!$AH$90</f>
        <v>0</v>
      </c>
      <c r="O9" s="303">
        <f>+Mai!$AL$89</f>
        <v>0</v>
      </c>
      <c r="P9" s="303">
        <f>+Mai!$AL$90</f>
        <v>0</v>
      </c>
      <c r="Q9" s="303">
        <f>+Mai!$AH$92</f>
        <v>0</v>
      </c>
      <c r="R9" s="303">
        <f>+Mai!$AL$92</f>
        <v>0</v>
      </c>
      <c r="S9" s="303">
        <f>+Mai!$AH$87</f>
        <v>0</v>
      </c>
      <c r="T9" s="303">
        <f>+Mai!$AH$93</f>
        <v>0</v>
      </c>
      <c r="U9" s="303">
        <f>+Mai!$DP$13</f>
        <v>0</v>
      </c>
      <c r="V9" s="303">
        <f>+Mai!$DP$11</f>
        <v>0</v>
      </c>
      <c r="W9" s="303"/>
      <c r="X9" s="303"/>
      <c r="Y9" s="303" t="e">
        <f>+Mai!$DP$15</f>
        <v>#DIV/0!</v>
      </c>
      <c r="Z9" s="303">
        <f>+Mai!$DP$8</f>
        <v>0</v>
      </c>
      <c r="AA9" s="304">
        <f>+Mai!$EH$15</f>
        <v>0</v>
      </c>
      <c r="AB9" s="304">
        <f>'Retenue Mai'!BJ64</f>
        <v>0</v>
      </c>
      <c r="AC9" s="304">
        <f>+Mai!$N$62</f>
        <v>0</v>
      </c>
      <c r="AD9" s="304">
        <f>'Retenue Mai'!BV13</f>
        <v>0</v>
      </c>
      <c r="AE9" s="304">
        <f>'Retenue Mai'!BV14</f>
        <v>0</v>
      </c>
      <c r="AF9" s="304">
        <f>'Retenue Mai'!BV15</f>
        <v>0</v>
      </c>
      <c r="AG9" s="304">
        <f>'Retenue Mai'!BV16</f>
        <v>0</v>
      </c>
      <c r="AH9" s="304">
        <f>'Retenue Mai'!BV17</f>
        <v>0</v>
      </c>
      <c r="AI9" s="304">
        <f>'Retenue Mai'!BV18</f>
        <v>0</v>
      </c>
      <c r="AJ9" s="304">
        <f>'Retenue Mai'!BV19</f>
        <v>0</v>
      </c>
      <c r="AK9" s="304">
        <f>'Retenue Mai'!BV20</f>
        <v>0</v>
      </c>
      <c r="AL9" s="304">
        <f>'Retenue Mai'!BJ11</f>
        <v>0</v>
      </c>
      <c r="AM9" s="304" t="str">
        <f>'Retenue Mai'!BK3</f>
        <v>Méthode 1</v>
      </c>
      <c r="AN9" s="303">
        <f>+Mai!$T$35</f>
        <v>0</v>
      </c>
      <c r="AO9" s="303">
        <f>+Régularisation!$R$44</f>
        <v>0</v>
      </c>
      <c r="AP9" s="303">
        <f>+Régularisation!$R$45</f>
        <v>0</v>
      </c>
      <c r="AQ9" s="304" t="e">
        <f>+Régularisation!$R$54</f>
        <v>#DIV/0!</v>
      </c>
      <c r="AR9" s="304" t="e">
        <f>+Régularisation!$R$55</f>
        <v>#DIV/0!</v>
      </c>
      <c r="AS9" s="303">
        <f>+Régularisation!$R$69</f>
        <v>0</v>
      </c>
      <c r="AT9" s="303">
        <f>+Régularisation!$R$70</f>
        <v>0</v>
      </c>
      <c r="AU9" s="303">
        <f>+Régularisation!$R$71</f>
        <v>0</v>
      </c>
      <c r="AV9" s="303">
        <f>+Régularisation!$R$74</f>
        <v>0</v>
      </c>
      <c r="AW9" s="303">
        <f>+Régularisation!$R$75</f>
        <v>0</v>
      </c>
      <c r="AX9" s="303">
        <f>+Régularisation!$R$76</f>
        <v>0</v>
      </c>
      <c r="AY9" s="451">
        <f>+Régularisation!$R$78</f>
        <v>0</v>
      </c>
      <c r="AZ9" s="474">
        <f>+Mai!$R$87</f>
        <v>0</v>
      </c>
      <c r="BA9" s="474">
        <f>+Mai!$R$88</f>
        <v>0</v>
      </c>
      <c r="BB9" s="474">
        <f>+Mai!$R$89</f>
        <v>0</v>
      </c>
      <c r="BC9" s="474" t="e">
        <f>+Mai!$EG$2</f>
        <v>#DIV/0!</v>
      </c>
      <c r="BD9" s="474">
        <f>+Mai!$EG$1</f>
        <v>0</v>
      </c>
      <c r="BE9" s="482" t="e">
        <f>+Mai!$EG$2</f>
        <v>#DIV/0!</v>
      </c>
      <c r="BF9" s="482" t="e">
        <f>+Mai!$EG$3</f>
        <v>#DIV/0!</v>
      </c>
      <c r="BG9" s="482" t="e">
        <f>+Mai!$DK$27</f>
        <v>#DIV/0!</v>
      </c>
      <c r="BH9" s="482">
        <f>+Mai!$DK$28</f>
        <v>0</v>
      </c>
      <c r="BI9" s="482">
        <f>+Mai!$DM$28</f>
        <v>0</v>
      </c>
      <c r="BJ9" s="482">
        <f>+Mai!$DM$29</f>
        <v>0</v>
      </c>
      <c r="BK9" s="482">
        <f>IF(Mai!AL14,(Mai!HO16+Mai!T30)/Mai!AL14,0)</f>
        <v>0</v>
      </c>
      <c r="BL9" s="555">
        <f>+Mai!$T$32</f>
        <v>0</v>
      </c>
      <c r="BM9" s="555">
        <f>+Mai!$T$33</f>
        <v>0</v>
      </c>
      <c r="BN9" s="555">
        <f>+Mai!$BZ$98</f>
        <v>0</v>
      </c>
      <c r="BO9" s="555">
        <f>+Mai!$BZ$100</f>
        <v>0</v>
      </c>
      <c r="BP9" s="555">
        <f>+Mai!$BZ$102</f>
        <v>0</v>
      </c>
      <c r="BQ9" s="617">
        <f>+Mai!$BZ$74</f>
        <v>0</v>
      </c>
      <c r="BR9" s="870">
        <f>'Retenue Mai'!E52</f>
        <v>0</v>
      </c>
      <c r="BS9" s="928" t="str">
        <f>+Mai!$AA$63</f>
        <v/>
      </c>
      <c r="BT9" s="928" t="str">
        <f>+Mai!$AG$63</f>
        <v/>
      </c>
      <c r="BU9" s="928" t="str">
        <f>+Mai!$AJ$63</f>
        <v/>
      </c>
      <c r="BV9" s="928" t="str">
        <f>+Mai!$AM$63</f>
        <v/>
      </c>
      <c r="BW9" s="928" t="str">
        <f>+Mai!$AA$64</f>
        <v/>
      </c>
      <c r="BX9" s="928" t="str">
        <f>+Mai!$AG$64</f>
        <v/>
      </c>
      <c r="BY9" s="928" t="str">
        <f>+Mai!$AJ$64</f>
        <v/>
      </c>
      <c r="BZ9" s="928" t="str">
        <f>+Mai!$AM$64</f>
        <v/>
      </c>
      <c r="CA9" s="928" t="str">
        <f>+Mai!$AA$65</f>
        <v/>
      </c>
      <c r="CB9" s="928" t="str">
        <f>+Mai!$AG$65</f>
        <v/>
      </c>
      <c r="CC9" s="928" t="str">
        <f>+Mai!$AJ$65</f>
        <v/>
      </c>
      <c r="CD9" s="928" t="str">
        <f>+Mai!$AM$65</f>
        <v/>
      </c>
      <c r="CE9" s="928" t="str">
        <f>+Mai!$AA$66</f>
        <v/>
      </c>
      <c r="CF9" s="928" t="str">
        <f>+Mai!$AG$66</f>
        <v/>
      </c>
      <c r="CG9" s="928" t="str">
        <f>+Mai!$AJ$66</f>
        <v/>
      </c>
      <c r="CH9" s="928" t="str">
        <f>+Mai!$AM$66</f>
        <v/>
      </c>
      <c r="CI9" s="303">
        <f>+Mai!$DP$23</f>
        <v>0</v>
      </c>
      <c r="CJ9" s="303">
        <f>IFERROR(+VLOOKUP("Mai",'CP Année Incomplète au 31-05'!$L$17:$M$20,2,FALSE),0)</f>
        <v>0</v>
      </c>
      <c r="CK9" s="870">
        <f>+'CP Année Incomplète au 31-05'!$F$40</f>
        <v>0</v>
      </c>
      <c r="CL9" s="303" t="str">
        <f>+Mai!$B$34</f>
        <v/>
      </c>
      <c r="CM9" s="303">
        <f>+IF(CL9=S.CAL!$FT$3,SUM(Mai!$T$18:$W$31)+Mai!$T$33,AN9)</f>
        <v>0</v>
      </c>
      <c r="CN9" s="303">
        <f>SUM(Mai!$T$18:$W$31)+Mai!$T$33</f>
        <v>0</v>
      </c>
      <c r="CO9" s="555">
        <f>+Mai!$DP$25</f>
        <v>0</v>
      </c>
      <c r="CP9" s="303">
        <f>+Mai!$DP$26</f>
        <v>0</v>
      </c>
      <c r="CQ9" s="303">
        <f>+Mai!$DP$27</f>
        <v>0</v>
      </c>
      <c r="CR9" s="303">
        <f>+Mai!$DP$28</f>
        <v>0</v>
      </c>
      <c r="CS9" s="303">
        <f>+Mai!$DP$29</f>
        <v>0</v>
      </c>
      <c r="CT9" s="303">
        <f>+Mai!$AH$86</f>
        <v>0</v>
      </c>
      <c r="CU9" s="303">
        <f>+Mai!$AL$86</f>
        <v>0</v>
      </c>
      <c r="CV9" s="303">
        <f>+'Salaire mensuel base 10%'!E9</f>
        <v>0</v>
      </c>
      <c r="CW9" s="303">
        <f>+Mai!$AD$137</f>
        <v>0</v>
      </c>
      <c r="CX9" s="833">
        <f>+Mai!$DP$30</f>
        <v>0</v>
      </c>
    </row>
    <row r="10" spans="1:102" s="16" customFormat="1" x14ac:dyDescent="0.2">
      <c r="A10" s="302">
        <f>+Juin!$X$3</f>
        <v>46174</v>
      </c>
      <c r="B10" s="480">
        <f>+Juin!$DP$20</f>
        <v>0</v>
      </c>
      <c r="C10" s="303">
        <f>+Juin!$HO$16</f>
        <v>0</v>
      </c>
      <c r="D10" s="303">
        <f ca="1">+Juin!$T$30</f>
        <v>0</v>
      </c>
      <c r="E10" s="303">
        <f>+Juin!$EF$16</f>
        <v>0</v>
      </c>
      <c r="F10" s="303">
        <f>+Juin!$EG$16</f>
        <v>0</v>
      </c>
      <c r="G10" s="303">
        <f>+Juin!$EF$17</f>
        <v>0</v>
      </c>
      <c r="H10" s="303">
        <f>+Juin!$EG$17</f>
        <v>0</v>
      </c>
      <c r="I10" s="303">
        <f>+Juin!$EH$16</f>
        <v>0</v>
      </c>
      <c r="J10" s="303">
        <f>+Juin!$EI$16</f>
        <v>0</v>
      </c>
      <c r="K10" s="303">
        <f>+Juin!$EH$17</f>
        <v>0</v>
      </c>
      <c r="L10" s="303">
        <f>+Juin!$EI$17</f>
        <v>0</v>
      </c>
      <c r="M10" s="303">
        <f>+Juin!$AH$89</f>
        <v>0</v>
      </c>
      <c r="N10" s="303">
        <f>+Juin!$AH$90</f>
        <v>0</v>
      </c>
      <c r="O10" s="303">
        <f>+Juin!$AL$89</f>
        <v>0</v>
      </c>
      <c r="P10" s="303">
        <f>+Juin!$AL$90</f>
        <v>0</v>
      </c>
      <c r="Q10" s="303">
        <f>+Juin!$AH$92</f>
        <v>0</v>
      </c>
      <c r="R10" s="303">
        <f>+Juin!$AL$92</f>
        <v>0</v>
      </c>
      <c r="S10" s="303">
        <f>+Juin!$AH$87</f>
        <v>0</v>
      </c>
      <c r="T10" s="303">
        <f>+Juin!$AH$93</f>
        <v>0</v>
      </c>
      <c r="U10" s="303">
        <f>+Juin!$DP$13</f>
        <v>0</v>
      </c>
      <c r="V10" s="303">
        <f>+Juin!$DP$11</f>
        <v>0</v>
      </c>
      <c r="W10" s="304">
        <f>+'CP Année Incomplète au 31-05'!$G$71</f>
        <v>0</v>
      </c>
      <c r="X10" s="304">
        <f>+'CP Année Complète au 31-05'!$D$59</f>
        <v>0</v>
      </c>
      <c r="Y10" s="303" t="e">
        <f>+Juin!$DP$15</f>
        <v>#DIV/0!</v>
      </c>
      <c r="Z10" s="303">
        <f>+Juin!$DP$8</f>
        <v>0</v>
      </c>
      <c r="AA10" s="304">
        <f>+Juin!$EH$15</f>
        <v>0</v>
      </c>
      <c r="AB10" s="304">
        <f>'Retenue Juin'!BJ64</f>
        <v>0</v>
      </c>
      <c r="AC10" s="304">
        <f ca="1">+Juin!$N$62</f>
        <v>0</v>
      </c>
      <c r="AD10" s="304">
        <f>'Retenue Juin'!BV13</f>
        <v>0</v>
      </c>
      <c r="AE10" s="304">
        <f>'Retenue Juin'!BV14</f>
        <v>0</v>
      </c>
      <c r="AF10" s="304">
        <f>'Retenue Juin'!BV15</f>
        <v>0</v>
      </c>
      <c r="AG10" s="304">
        <f>'Retenue Juin'!BV16</f>
        <v>0</v>
      </c>
      <c r="AH10" s="304">
        <f>'Retenue Juin'!BV17</f>
        <v>0</v>
      </c>
      <c r="AI10" s="304">
        <f>'Retenue Juin'!BV18</f>
        <v>0</v>
      </c>
      <c r="AJ10" s="304">
        <f>'Retenue Juin'!BV19</f>
        <v>0</v>
      </c>
      <c r="AK10" s="304">
        <f>'Retenue Juin'!BV20</f>
        <v>0</v>
      </c>
      <c r="AL10" s="304">
        <f>'Retenue Juin'!BJ11</f>
        <v>0</v>
      </c>
      <c r="AM10" s="304" t="str">
        <f>'Retenue Juin'!BK3</f>
        <v>Méthode 1</v>
      </c>
      <c r="AN10" s="303">
        <f ca="1">+Juin!$T$35</f>
        <v>0</v>
      </c>
      <c r="AO10" s="303">
        <f>+Régularisation!$U$44</f>
        <v>0</v>
      </c>
      <c r="AP10" s="303">
        <f>+Régularisation!$U$45</f>
        <v>0</v>
      </c>
      <c r="AQ10" s="304" t="e">
        <f>+Régularisation!$U$54</f>
        <v>#DIV/0!</v>
      </c>
      <c r="AR10" s="304" t="e">
        <f>+Régularisation!$U$55</f>
        <v>#DIV/0!</v>
      </c>
      <c r="AS10" s="303">
        <f>+Régularisation!$U$69</f>
        <v>0</v>
      </c>
      <c r="AT10" s="303">
        <f>+Régularisation!$U$70</f>
        <v>0</v>
      </c>
      <c r="AU10" s="303">
        <f>+Régularisation!$U$71</f>
        <v>0</v>
      </c>
      <c r="AV10" s="303">
        <f>+Régularisation!$U$74</f>
        <v>0</v>
      </c>
      <c r="AW10" s="303">
        <f>+Régularisation!$U$75</f>
        <v>0</v>
      </c>
      <c r="AX10" s="303">
        <f>+Régularisation!$U$76</f>
        <v>0</v>
      </c>
      <c r="AY10" s="451">
        <f>+Régularisation!$U$78</f>
        <v>0</v>
      </c>
      <c r="AZ10" s="474">
        <f>+Juin!$R$87</f>
        <v>0</v>
      </c>
      <c r="BA10" s="474">
        <f>+Juin!$R$88</f>
        <v>0</v>
      </c>
      <c r="BB10" s="474">
        <f>+Juin!$R$89</f>
        <v>0</v>
      </c>
      <c r="BC10" s="474" t="e">
        <f>+Juin!$EG$2</f>
        <v>#DIV/0!</v>
      </c>
      <c r="BD10" s="474">
        <f ca="1">+Juin!$EG$1</f>
        <v>0</v>
      </c>
      <c r="BE10" s="482" t="e">
        <f>+Juin!$EG$2</f>
        <v>#DIV/0!</v>
      </c>
      <c r="BF10" s="482" t="e">
        <f>+Juin!$EG$3</f>
        <v>#DIV/0!</v>
      </c>
      <c r="BG10" s="482" t="e">
        <f>+Juin!$DK$27</f>
        <v>#DIV/0!</v>
      </c>
      <c r="BH10" s="482">
        <f>+Juin!$DK$28</f>
        <v>0</v>
      </c>
      <c r="BI10" s="482">
        <f>+Juin!$DM$28</f>
        <v>0</v>
      </c>
      <c r="BJ10" s="482">
        <f>+Juin!$DM$29</f>
        <v>0</v>
      </c>
      <c r="BK10" s="482">
        <f>IF(Juin!AL14,(Juin!HO16+Juin!T30)/Juin!AL14,0)</f>
        <v>0</v>
      </c>
      <c r="BL10" s="555">
        <f>+Juin!$T$32</f>
        <v>0</v>
      </c>
      <c r="BM10" s="555">
        <f>+Juin!$T$33</f>
        <v>0</v>
      </c>
      <c r="BN10" s="555">
        <f>+Juin!$BZ$98</f>
        <v>0</v>
      </c>
      <c r="BO10" s="555">
        <f>+Juin!$BZ$100</f>
        <v>0</v>
      </c>
      <c r="BP10" s="555">
        <f>+Juin!$BZ$102</f>
        <v>0</v>
      </c>
      <c r="BQ10" s="617">
        <f>+Juin!$BZ$74</f>
        <v>0</v>
      </c>
      <c r="BR10" s="870">
        <f>'Retenue Juin'!E52</f>
        <v>0</v>
      </c>
      <c r="BS10" s="928" t="str">
        <f>+Juin!$AA$63</f>
        <v/>
      </c>
      <c r="BT10" s="928" t="str">
        <f>+Juin!$AG$63</f>
        <v/>
      </c>
      <c r="BU10" s="928" t="str">
        <f>+Juin!$AJ$63</f>
        <v/>
      </c>
      <c r="BV10" s="928" t="str">
        <f>+Juin!$AM$63</f>
        <v/>
      </c>
      <c r="BW10" s="928" t="str">
        <f>+Juin!$AA$64</f>
        <v/>
      </c>
      <c r="BX10" s="928" t="str">
        <f>+Juin!$AG$64</f>
        <v/>
      </c>
      <c r="BY10" s="928" t="str">
        <f>+Juin!$AJ$64</f>
        <v/>
      </c>
      <c r="BZ10" s="928" t="str">
        <f>+Juin!$AM$64</f>
        <v/>
      </c>
      <c r="CA10" s="928" t="str">
        <f>+Juin!$AA$65</f>
        <v/>
      </c>
      <c r="CB10" s="928" t="str">
        <f>+Juin!$AG$65</f>
        <v/>
      </c>
      <c r="CC10" s="928" t="str">
        <f>+Juin!$AJ$65</f>
        <v/>
      </c>
      <c r="CD10" s="928" t="str">
        <f>+Juin!$AM$65</f>
        <v/>
      </c>
      <c r="CE10" s="928" t="str">
        <f>+Juin!$AA$66</f>
        <v/>
      </c>
      <c r="CF10" s="928" t="str">
        <f>+Juin!$AG$66</f>
        <v/>
      </c>
      <c r="CG10" s="928" t="str">
        <f>+Juin!$AJ$66</f>
        <v/>
      </c>
      <c r="CH10" s="928" t="str">
        <f>+Juin!$AM$66</f>
        <v/>
      </c>
      <c r="CI10" s="303">
        <f>+Juin!$DP$23</f>
        <v>0</v>
      </c>
      <c r="CJ10" s="303"/>
      <c r="CK10" s="304"/>
      <c r="CL10" s="303" t="str">
        <f>+Juin!$B$34</f>
        <v/>
      </c>
      <c r="CM10" s="303">
        <f ca="1">+IF(CL10=S.CAL!$FT$3,SUM(Juin!$T$18:$W$31)+Juin!$T$33,AN10)</f>
        <v>0</v>
      </c>
      <c r="CN10" s="303">
        <f ca="1">SUM(Juin!$T$18:$W$31)+Juin!$T$33</f>
        <v>0</v>
      </c>
      <c r="CO10" s="555">
        <f>+Juin!$DP$25</f>
        <v>0</v>
      </c>
      <c r="CP10" s="303">
        <f>+Juin!$DP$26</f>
        <v>0</v>
      </c>
      <c r="CQ10" s="303">
        <f>+Juin!$DP$27</f>
        <v>0</v>
      </c>
      <c r="CR10" s="303">
        <f>+Juin!$DP$28</f>
        <v>0</v>
      </c>
      <c r="CS10" s="303">
        <f>+Juin!$DP$29</f>
        <v>0</v>
      </c>
      <c r="CT10" s="303">
        <f>+Juin!$AH$86</f>
        <v>0</v>
      </c>
      <c r="CU10" s="303">
        <f>+Juin!$AL$86</f>
        <v>0</v>
      </c>
      <c r="CV10" s="303">
        <f>+'Salaire mensuel base 10%'!E10</f>
        <v>0</v>
      </c>
      <c r="CW10" s="303">
        <f>+Juin!$AD$137</f>
        <v>0</v>
      </c>
      <c r="CX10" s="833">
        <f>+Juin!$DP$30</f>
        <v>0</v>
      </c>
    </row>
    <row r="11" spans="1:102" s="16" customFormat="1" x14ac:dyDescent="0.2">
      <c r="A11" s="302">
        <f>+Juillet!$X$3</f>
        <v>46204</v>
      </c>
      <c r="B11" s="480">
        <f>+Juillet!$DP$20</f>
        <v>0</v>
      </c>
      <c r="C11" s="303">
        <f>+Juillet!$HO$16</f>
        <v>0</v>
      </c>
      <c r="D11" s="303">
        <f>+Juillet!$T$30</f>
        <v>0</v>
      </c>
      <c r="E11" s="303">
        <f>+Juillet!$EF$16</f>
        <v>0</v>
      </c>
      <c r="F11" s="303">
        <f>+Juillet!$EG$16</f>
        <v>0</v>
      </c>
      <c r="G11" s="303">
        <f>+Juillet!$EF$17</f>
        <v>0</v>
      </c>
      <c r="H11" s="303">
        <f>+Juillet!$EG$17</f>
        <v>0</v>
      </c>
      <c r="I11" s="303">
        <f>+Juillet!$EH$16</f>
        <v>0</v>
      </c>
      <c r="J11" s="303">
        <f>+Juillet!$EI$16</f>
        <v>0</v>
      </c>
      <c r="K11" s="303">
        <f>+Juillet!$EH$17</f>
        <v>0</v>
      </c>
      <c r="L11" s="303">
        <f>+Juillet!$EI$17</f>
        <v>0</v>
      </c>
      <c r="M11" s="303">
        <f>+Juillet!$AH$89</f>
        <v>0</v>
      </c>
      <c r="N11" s="303">
        <f>+Juillet!$AH$90</f>
        <v>0</v>
      </c>
      <c r="O11" s="303">
        <f>+Juillet!$AL$89</f>
        <v>0</v>
      </c>
      <c r="P11" s="303">
        <f>+Juillet!$AL$90</f>
        <v>0</v>
      </c>
      <c r="Q11" s="303">
        <f>+Juillet!$AH$92</f>
        <v>0</v>
      </c>
      <c r="R11" s="303">
        <f>+Juillet!$AL$92</f>
        <v>0</v>
      </c>
      <c r="S11" s="303">
        <f>+Juillet!$AH$87</f>
        <v>0</v>
      </c>
      <c r="T11" s="303">
        <f>+Juillet!$AH$93</f>
        <v>0</v>
      </c>
      <c r="U11" s="303">
        <f>+Juillet!$DP$13</f>
        <v>0</v>
      </c>
      <c r="V11" s="303">
        <f>+Juillet!$DP$11</f>
        <v>0</v>
      </c>
      <c r="W11" s="304">
        <f>+'CP Année Incomplète au 31-05'!$G$71</f>
        <v>0</v>
      </c>
      <c r="X11" s="304">
        <f>+'CP Année Complète au 31-05'!$D$59</f>
        <v>0</v>
      </c>
      <c r="Y11" s="303" t="e">
        <f>+Juillet!$DP$15</f>
        <v>#DIV/0!</v>
      </c>
      <c r="Z11" s="303">
        <f>+Juillet!$DP$8</f>
        <v>0</v>
      </c>
      <c r="AA11" s="304">
        <f>+Juillet!$EH$15</f>
        <v>0</v>
      </c>
      <c r="AB11" s="304">
        <f>'Retenue Juil'!BJ64</f>
        <v>0</v>
      </c>
      <c r="AC11" s="304">
        <f>+Juillet!$N$62</f>
        <v>0</v>
      </c>
      <c r="AD11" s="304">
        <f>'Retenue Juil'!BV13</f>
        <v>0</v>
      </c>
      <c r="AE11" s="304">
        <f>'Retenue Juil'!BV14</f>
        <v>0</v>
      </c>
      <c r="AF11" s="304">
        <f>'Retenue Juil'!BV15</f>
        <v>0</v>
      </c>
      <c r="AG11" s="304">
        <f>'Retenue Juil'!BV16</f>
        <v>0</v>
      </c>
      <c r="AH11" s="304">
        <f>'Retenue Juil'!BV17</f>
        <v>0</v>
      </c>
      <c r="AI11" s="304">
        <f>'Retenue Juil'!BV18</f>
        <v>0</v>
      </c>
      <c r="AJ11" s="304">
        <f>'Retenue Juil'!BV19</f>
        <v>0</v>
      </c>
      <c r="AK11" s="304">
        <f>'Retenue Juil'!BV20</f>
        <v>0</v>
      </c>
      <c r="AL11" s="304">
        <f>'Retenue Juil'!BJ11</f>
        <v>0</v>
      </c>
      <c r="AM11" s="304" t="str">
        <f>'Retenue Juil'!BK3</f>
        <v>Méthode 1</v>
      </c>
      <c r="AN11" s="303">
        <f>+Juillet!$T$35</f>
        <v>0</v>
      </c>
      <c r="AO11" s="303">
        <f>+Régularisation!$X$44</f>
        <v>0</v>
      </c>
      <c r="AP11" s="303">
        <f>+Régularisation!$X$45</f>
        <v>0</v>
      </c>
      <c r="AQ11" s="304" t="e">
        <f>+Régularisation!$X$54</f>
        <v>#DIV/0!</v>
      </c>
      <c r="AR11" s="304" t="e">
        <f>+Régularisation!$X$55</f>
        <v>#DIV/0!</v>
      </c>
      <c r="AS11" s="303">
        <f>+Régularisation!$X$69</f>
        <v>0</v>
      </c>
      <c r="AT11" s="303">
        <f>+Régularisation!$X$70</f>
        <v>0</v>
      </c>
      <c r="AU11" s="303">
        <f>+Régularisation!$X$71</f>
        <v>0</v>
      </c>
      <c r="AV11" s="303">
        <f>+Régularisation!$X$74</f>
        <v>0</v>
      </c>
      <c r="AW11" s="303">
        <f>+Régularisation!$X$75</f>
        <v>0</v>
      </c>
      <c r="AX11" s="303">
        <f>+Régularisation!$X$76</f>
        <v>0</v>
      </c>
      <c r="AY11" s="451">
        <f>+Régularisation!$X$78</f>
        <v>0</v>
      </c>
      <c r="AZ11" s="474">
        <f>+Juillet!$R$87</f>
        <v>0</v>
      </c>
      <c r="BA11" s="474">
        <f>+Juillet!$R$88</f>
        <v>0</v>
      </c>
      <c r="BB11" s="474">
        <f>+Juillet!$R$89</f>
        <v>0</v>
      </c>
      <c r="BC11" s="474" t="e">
        <f>+Juillet!$EG$2</f>
        <v>#DIV/0!</v>
      </c>
      <c r="BD11" s="474">
        <f>+Juillet!$EG$1</f>
        <v>0</v>
      </c>
      <c r="BE11" s="482" t="e">
        <f>+Juillet!$EG$2</f>
        <v>#DIV/0!</v>
      </c>
      <c r="BF11" s="482" t="e">
        <f>+Juillet!$EG$3</f>
        <v>#DIV/0!</v>
      </c>
      <c r="BG11" s="482" t="e">
        <f>+Juillet!$DK$27</f>
        <v>#DIV/0!</v>
      </c>
      <c r="BH11" s="482">
        <f>+Juillet!$DK$28</f>
        <v>0</v>
      </c>
      <c r="BI11" s="482">
        <f>+Juillet!$DM$28</f>
        <v>0</v>
      </c>
      <c r="BJ11" s="482">
        <f>+Juillet!$DM$29</f>
        <v>0</v>
      </c>
      <c r="BK11" s="482">
        <f>IF(Juillet!AL14,(Juillet!HO16+Juillet!T30)/Juillet!AL14,0)</f>
        <v>0</v>
      </c>
      <c r="BL11" s="555">
        <f>+Juillet!$T$32</f>
        <v>0</v>
      </c>
      <c r="BM11" s="555">
        <f>+Juillet!$T$33</f>
        <v>0</v>
      </c>
      <c r="BN11" s="555">
        <f>+Juillet!$BZ$98</f>
        <v>0</v>
      </c>
      <c r="BO11" s="555">
        <f>+Juillet!$BZ$100</f>
        <v>0</v>
      </c>
      <c r="BP11" s="555">
        <f>+Juillet!$BZ$102</f>
        <v>0</v>
      </c>
      <c r="BQ11" s="617">
        <f>+Juillet!$BZ$74</f>
        <v>0</v>
      </c>
      <c r="BR11" s="870">
        <f>'Retenue Juil'!E52</f>
        <v>0</v>
      </c>
      <c r="BS11" s="928" t="str">
        <f>+Juillet!$AA$63</f>
        <v/>
      </c>
      <c r="BT11" s="928" t="str">
        <f>+Juillet!$AG$63</f>
        <v/>
      </c>
      <c r="BU11" s="928" t="str">
        <f>+Juillet!$AJ$63</f>
        <v/>
      </c>
      <c r="BV11" s="928" t="str">
        <f>+Juillet!$AM$63</f>
        <v/>
      </c>
      <c r="BW11" s="928" t="str">
        <f>+Juillet!$AA$64</f>
        <v/>
      </c>
      <c r="BX11" s="928" t="str">
        <f>+Juillet!$AG$64</f>
        <v/>
      </c>
      <c r="BY11" s="928" t="str">
        <f>+Juillet!$AJ$64</f>
        <v/>
      </c>
      <c r="BZ11" s="928" t="str">
        <f>+Juillet!$AM$64</f>
        <v/>
      </c>
      <c r="CA11" s="928" t="str">
        <f>+Juillet!$AA$65</f>
        <v/>
      </c>
      <c r="CB11" s="928" t="str">
        <f>+Juillet!$AG$65</f>
        <v/>
      </c>
      <c r="CC11" s="928" t="str">
        <f>+Juillet!$AJ$65</f>
        <v/>
      </c>
      <c r="CD11" s="928" t="str">
        <f>+Juillet!$AM$65</f>
        <v/>
      </c>
      <c r="CE11" s="928" t="str">
        <f>+Juillet!$AA$66</f>
        <v/>
      </c>
      <c r="CF11" s="928" t="str">
        <f>+Juillet!$AG$66</f>
        <v/>
      </c>
      <c r="CG11" s="928" t="str">
        <f>+Juillet!$AJ$66</f>
        <v/>
      </c>
      <c r="CH11" s="928" t="str">
        <f>+Juillet!$AM$66</f>
        <v/>
      </c>
      <c r="CI11" s="303">
        <f>+Juillet!$DP$23</f>
        <v>0</v>
      </c>
      <c r="CJ11" s="303"/>
      <c r="CK11" s="304"/>
      <c r="CL11" s="303" t="str">
        <f>+Juillet!$B$34</f>
        <v/>
      </c>
      <c r="CM11" s="303">
        <f>+IF(CL11=S.CAL!$FT$3,SUM(Juillet!$T$18:$W$31)+Juillet!$T$33,AN11)</f>
        <v>0</v>
      </c>
      <c r="CN11" s="303">
        <f>SUM(Juillet!$T$18:$W$31)+Juillet!$T$33</f>
        <v>0</v>
      </c>
      <c r="CO11" s="555">
        <f>+Juillet!$DP$25</f>
        <v>0</v>
      </c>
      <c r="CP11" s="303">
        <f>+Juillet!$DP$26</f>
        <v>0</v>
      </c>
      <c r="CQ11" s="303">
        <f>+Juillet!$DP$27</f>
        <v>0</v>
      </c>
      <c r="CR11" s="303">
        <f>+Juillet!$DP$28</f>
        <v>0</v>
      </c>
      <c r="CS11" s="303">
        <f>+Juillet!$DP$29</f>
        <v>0</v>
      </c>
      <c r="CT11" s="303">
        <f>+Juillet!$AH$86</f>
        <v>0</v>
      </c>
      <c r="CU11" s="303">
        <f>+Juillet!$AL$86</f>
        <v>0</v>
      </c>
      <c r="CV11" s="303">
        <f>+'Salaire mensuel base 10%'!E11</f>
        <v>0</v>
      </c>
      <c r="CW11" s="303">
        <f>+Juillet!$AD$137</f>
        <v>0</v>
      </c>
      <c r="CX11" s="833">
        <f>+Juillet!$DP$30</f>
        <v>0</v>
      </c>
    </row>
    <row r="12" spans="1:102" s="16" customFormat="1" x14ac:dyDescent="0.2">
      <c r="A12" s="302">
        <f>+Aout!$X$3</f>
        <v>46235</v>
      </c>
      <c r="B12" s="480">
        <f>+Aout!$DP$20</f>
        <v>0</v>
      </c>
      <c r="C12" s="303">
        <f>+Aout!$HO$16</f>
        <v>0</v>
      </c>
      <c r="D12" s="303">
        <f>+Aout!$T$30</f>
        <v>0</v>
      </c>
      <c r="E12" s="303">
        <f>+Aout!$EF$16</f>
        <v>0</v>
      </c>
      <c r="F12" s="303">
        <f>+Aout!$EG$16</f>
        <v>0</v>
      </c>
      <c r="G12" s="303">
        <f>+Aout!$EF$17</f>
        <v>0</v>
      </c>
      <c r="H12" s="303">
        <f>+Aout!$EG$17</f>
        <v>0</v>
      </c>
      <c r="I12" s="303">
        <f>+Aout!$EH$16</f>
        <v>0</v>
      </c>
      <c r="J12" s="303">
        <f>+Aout!$EI$16</f>
        <v>0</v>
      </c>
      <c r="K12" s="303">
        <f>+Aout!$EH$17</f>
        <v>0</v>
      </c>
      <c r="L12" s="303">
        <f>+Aout!$EI$17</f>
        <v>0</v>
      </c>
      <c r="M12" s="303">
        <f>+Aout!$AH$89</f>
        <v>0</v>
      </c>
      <c r="N12" s="303">
        <f>+Aout!$AH$90</f>
        <v>0</v>
      </c>
      <c r="O12" s="303">
        <f>+Aout!$AL$89</f>
        <v>0</v>
      </c>
      <c r="P12" s="303">
        <f>+Aout!$AL$90</f>
        <v>0</v>
      </c>
      <c r="Q12" s="303">
        <f>+Aout!$AH$92</f>
        <v>0</v>
      </c>
      <c r="R12" s="303">
        <f>+Aout!$AL$92</f>
        <v>0</v>
      </c>
      <c r="S12" s="303">
        <f>+Aout!$AH$87</f>
        <v>0</v>
      </c>
      <c r="T12" s="303">
        <f>+Aout!$AH$93</f>
        <v>0</v>
      </c>
      <c r="U12" s="303">
        <f>+Aout!$DP$13</f>
        <v>0</v>
      </c>
      <c r="V12" s="303">
        <f>+Aout!$DP$11</f>
        <v>0</v>
      </c>
      <c r="W12" s="304">
        <f>+'CP Année Incomplète au 31-05'!$G$71</f>
        <v>0</v>
      </c>
      <c r="X12" s="304">
        <f>+'CP Année Complète au 31-05'!$D$59</f>
        <v>0</v>
      </c>
      <c r="Y12" s="303" t="e">
        <f>+Aout!$DP$15</f>
        <v>#DIV/0!</v>
      </c>
      <c r="Z12" s="303">
        <f>+Aout!$DP$8</f>
        <v>0</v>
      </c>
      <c r="AA12" s="304">
        <f>+Aout!$EH$15</f>
        <v>0</v>
      </c>
      <c r="AB12" s="304">
        <f>'Retenue Aout'!BJ64</f>
        <v>0</v>
      </c>
      <c r="AC12" s="304">
        <f>+Aout!$N$62</f>
        <v>0</v>
      </c>
      <c r="AD12" s="304">
        <f>'Retenue Aout'!BV13</f>
        <v>0</v>
      </c>
      <c r="AE12" s="304">
        <f>'Retenue Aout'!BV14</f>
        <v>0</v>
      </c>
      <c r="AF12" s="304">
        <f>'Retenue Aout'!BV15</f>
        <v>0</v>
      </c>
      <c r="AG12" s="304">
        <f>'Retenue Aout'!BV16</f>
        <v>0</v>
      </c>
      <c r="AH12" s="304">
        <f>'Retenue Aout'!BV17</f>
        <v>0</v>
      </c>
      <c r="AI12" s="304">
        <f>'Retenue Aout'!BV18</f>
        <v>0</v>
      </c>
      <c r="AJ12" s="304">
        <f>'Retenue Aout'!BV19</f>
        <v>0</v>
      </c>
      <c r="AK12" s="304">
        <f>'Retenue Aout'!BV20</f>
        <v>0</v>
      </c>
      <c r="AL12" s="304">
        <f>'Retenue Aout'!BJ11</f>
        <v>0</v>
      </c>
      <c r="AM12" s="304" t="str">
        <f>'Retenue Aout'!BK3</f>
        <v>Méthode 1</v>
      </c>
      <c r="AN12" s="303">
        <f>+Aout!$T$35</f>
        <v>0</v>
      </c>
      <c r="AO12" s="303">
        <f>+Régularisation!$AA$44</f>
        <v>0</v>
      </c>
      <c r="AP12" s="303">
        <f>+Régularisation!$AA$45</f>
        <v>0</v>
      </c>
      <c r="AQ12" s="304" t="e">
        <f>+Régularisation!$AA$54</f>
        <v>#DIV/0!</v>
      </c>
      <c r="AR12" s="304" t="e">
        <f>+Régularisation!$AA$55</f>
        <v>#DIV/0!</v>
      </c>
      <c r="AS12" s="303">
        <f>+Régularisation!$AA$69</f>
        <v>0</v>
      </c>
      <c r="AT12" s="303">
        <f>+Régularisation!$AA$70</f>
        <v>0</v>
      </c>
      <c r="AU12" s="303">
        <f>+Régularisation!$AA$71</f>
        <v>0</v>
      </c>
      <c r="AV12" s="303">
        <f>+Régularisation!$AA$74</f>
        <v>0</v>
      </c>
      <c r="AW12" s="303">
        <f>+Régularisation!$AA$75</f>
        <v>0</v>
      </c>
      <c r="AX12" s="303">
        <f>+Régularisation!$AA$76</f>
        <v>0</v>
      </c>
      <c r="AY12" s="451">
        <f>+Régularisation!$AA$78</f>
        <v>0</v>
      </c>
      <c r="AZ12" s="474">
        <f>+Aout!$R$87</f>
        <v>0</v>
      </c>
      <c r="BA12" s="474">
        <f>+Aout!$R$88</f>
        <v>0</v>
      </c>
      <c r="BB12" s="474">
        <f>+Aout!$R$89</f>
        <v>0</v>
      </c>
      <c r="BC12" s="474" t="e">
        <f>+Aout!$EG$2</f>
        <v>#DIV/0!</v>
      </c>
      <c r="BD12" s="474">
        <f>+Aout!$EG$1</f>
        <v>0</v>
      </c>
      <c r="BE12" s="482" t="e">
        <f>+Aout!$EG$2</f>
        <v>#DIV/0!</v>
      </c>
      <c r="BF12" s="482" t="e">
        <f>+Aout!$EG$3</f>
        <v>#DIV/0!</v>
      </c>
      <c r="BG12" s="482" t="e">
        <f>+Aout!$DK$27</f>
        <v>#DIV/0!</v>
      </c>
      <c r="BH12" s="482">
        <f>+Aout!$DK$28</f>
        <v>0</v>
      </c>
      <c r="BI12" s="482">
        <f>+Aout!$DM$28</f>
        <v>0</v>
      </c>
      <c r="BJ12" s="482">
        <f>+Aout!$DM$29</f>
        <v>0</v>
      </c>
      <c r="BK12" s="482">
        <f>IF(Aout!AL14,(Aout!HO16+Aout!T30)/Aout!AL14,0)</f>
        <v>0</v>
      </c>
      <c r="BL12" s="555">
        <f>+Aout!$T$32</f>
        <v>0</v>
      </c>
      <c r="BM12" s="555">
        <f>+Aout!$T$33</f>
        <v>0</v>
      </c>
      <c r="BN12" s="555">
        <f>+Aout!$BZ$98</f>
        <v>0</v>
      </c>
      <c r="BO12" s="555">
        <f>+Aout!$BZ$100</f>
        <v>0</v>
      </c>
      <c r="BP12" s="555">
        <f>+Aout!$BZ$102</f>
        <v>0</v>
      </c>
      <c r="BQ12" s="617">
        <f>+Aout!$BZ$74</f>
        <v>0</v>
      </c>
      <c r="BR12" s="870">
        <f>'Retenue Aout'!E52</f>
        <v>0</v>
      </c>
      <c r="BS12" s="928" t="str">
        <f>+Aout!$AA$63</f>
        <v/>
      </c>
      <c r="BT12" s="928" t="str">
        <f>+Aout!$AG$63</f>
        <v/>
      </c>
      <c r="BU12" s="928" t="str">
        <f>+Aout!$AJ$63</f>
        <v/>
      </c>
      <c r="BV12" s="928" t="str">
        <f>+Aout!$AM$63</f>
        <v/>
      </c>
      <c r="BW12" s="928" t="str">
        <f>+Aout!$AA$64</f>
        <v/>
      </c>
      <c r="BX12" s="928" t="str">
        <f>+Aout!$AG$64</f>
        <v/>
      </c>
      <c r="BY12" s="928" t="str">
        <f>+Aout!$AJ$64</f>
        <v/>
      </c>
      <c r="BZ12" s="928" t="str">
        <f>+Aout!$AM$64</f>
        <v/>
      </c>
      <c r="CA12" s="928" t="str">
        <f>+Aout!$AA$65</f>
        <v/>
      </c>
      <c r="CB12" s="928" t="str">
        <f>+Aout!$AG$65</f>
        <v/>
      </c>
      <c r="CC12" s="928" t="str">
        <f>+Aout!$AJ$65</f>
        <v/>
      </c>
      <c r="CD12" s="928" t="str">
        <f>+Aout!$AM$65</f>
        <v/>
      </c>
      <c r="CE12" s="928" t="str">
        <f>+Aout!$AA$66</f>
        <v/>
      </c>
      <c r="CF12" s="928" t="str">
        <f>+Aout!$AG$66</f>
        <v/>
      </c>
      <c r="CG12" s="928" t="str">
        <f>+Aout!$AJ$66</f>
        <v/>
      </c>
      <c r="CH12" s="928" t="str">
        <f>+Aout!$AM$66</f>
        <v/>
      </c>
      <c r="CI12" s="303">
        <f>+Aout!$DP$23</f>
        <v>0</v>
      </c>
      <c r="CJ12" s="303"/>
      <c r="CK12" s="304"/>
      <c r="CL12" s="303" t="str">
        <f>+Aout!$B$34</f>
        <v/>
      </c>
      <c r="CM12" s="303">
        <f>+IF(CL12=S.CAL!$FT$3,SUM(Aout!$T$18:$W$31)+Aout!$T$33,AN12)</f>
        <v>0</v>
      </c>
      <c r="CN12" s="303">
        <f>SUM(Aout!$T$18:$W$31)+Aout!$T$33</f>
        <v>0</v>
      </c>
      <c r="CO12" s="555">
        <f>+Aout!$DP$25</f>
        <v>0</v>
      </c>
      <c r="CP12" s="303">
        <f>+Aout!$DP$26</f>
        <v>0</v>
      </c>
      <c r="CQ12" s="303">
        <f>+Aout!$DP$27</f>
        <v>0</v>
      </c>
      <c r="CR12" s="303">
        <f>+Aout!$DP$28</f>
        <v>0</v>
      </c>
      <c r="CS12" s="303">
        <f>+Aout!$DP$29</f>
        <v>0</v>
      </c>
      <c r="CT12" s="303">
        <f>+Aout!$AH$86</f>
        <v>0</v>
      </c>
      <c r="CU12" s="303">
        <f>+Aout!$AL$86</f>
        <v>0</v>
      </c>
      <c r="CV12" s="303">
        <f>+'Salaire mensuel base 10%'!E12</f>
        <v>0</v>
      </c>
      <c r="CW12" s="303">
        <f>+Aout!$AD$137</f>
        <v>0</v>
      </c>
      <c r="CX12" s="833">
        <f>+Aout!$DP$30</f>
        <v>0</v>
      </c>
    </row>
    <row r="13" spans="1:102" s="16" customFormat="1" x14ac:dyDescent="0.2">
      <c r="A13" s="302">
        <f>+Septembre!$X$3</f>
        <v>46266</v>
      </c>
      <c r="B13" s="480">
        <f>+Septembre!$DP$20</f>
        <v>0</v>
      </c>
      <c r="C13" s="303">
        <f>+Septembre!$HO$16</f>
        <v>0</v>
      </c>
      <c r="D13" s="303">
        <f>+Septembre!$T$30</f>
        <v>0</v>
      </c>
      <c r="E13" s="303">
        <f>+Septembre!$EF$16</f>
        <v>0</v>
      </c>
      <c r="F13" s="303">
        <f>+Septembre!$EG$16</f>
        <v>0</v>
      </c>
      <c r="G13" s="303">
        <f>+Septembre!$EF$17</f>
        <v>0</v>
      </c>
      <c r="H13" s="303">
        <f>+Septembre!$EG$17</f>
        <v>0</v>
      </c>
      <c r="I13" s="303">
        <f>+Septembre!$EH$16</f>
        <v>0</v>
      </c>
      <c r="J13" s="303">
        <f>+Septembre!$EI$16</f>
        <v>0</v>
      </c>
      <c r="K13" s="303">
        <f>+Septembre!$EH$17</f>
        <v>0</v>
      </c>
      <c r="L13" s="303">
        <f>+Septembre!$EI$17</f>
        <v>0</v>
      </c>
      <c r="M13" s="303">
        <f>+Septembre!$AH$89</f>
        <v>0</v>
      </c>
      <c r="N13" s="303">
        <f>+Septembre!$AH$90</f>
        <v>0</v>
      </c>
      <c r="O13" s="303">
        <f>+Septembre!$AL$89</f>
        <v>0</v>
      </c>
      <c r="P13" s="303">
        <f>+Septembre!$AL$90</f>
        <v>0</v>
      </c>
      <c r="Q13" s="303">
        <f>+Septembre!$AH$92</f>
        <v>0</v>
      </c>
      <c r="R13" s="303">
        <f>+Septembre!$AL$92</f>
        <v>0</v>
      </c>
      <c r="S13" s="303">
        <f>+Septembre!$AH$87</f>
        <v>0</v>
      </c>
      <c r="T13" s="303">
        <f>+Septembre!$AH$93</f>
        <v>0</v>
      </c>
      <c r="U13" s="303">
        <f>+Septembre!$DP$13</f>
        <v>0</v>
      </c>
      <c r="V13" s="303">
        <f>+Septembre!$DP$11</f>
        <v>0</v>
      </c>
      <c r="W13" s="304">
        <f>+'CP Année Incomplète au 31-05'!$G$71</f>
        <v>0</v>
      </c>
      <c r="X13" s="304">
        <f>+'CP Année Complète au 31-05'!$D$59</f>
        <v>0</v>
      </c>
      <c r="Y13" s="303" t="e">
        <f>+Septembre!$DP$15</f>
        <v>#DIV/0!</v>
      </c>
      <c r="Z13" s="303">
        <f>+Septembre!$DP$8</f>
        <v>0</v>
      </c>
      <c r="AA13" s="304">
        <f>+Septembre!$EH$15</f>
        <v>0</v>
      </c>
      <c r="AB13" s="304">
        <f>'Retenue Sept'!BJ64</f>
        <v>0</v>
      </c>
      <c r="AC13" s="304">
        <f>+Septembre!$N$62</f>
        <v>0</v>
      </c>
      <c r="AD13" s="304">
        <f>'Retenue Sept'!BV13</f>
        <v>0</v>
      </c>
      <c r="AE13" s="304">
        <f>'Retenue Sept'!BV14</f>
        <v>0</v>
      </c>
      <c r="AF13" s="304">
        <f>'Retenue Sept'!BV15</f>
        <v>0</v>
      </c>
      <c r="AG13" s="304">
        <f>'Retenue Sept'!BV16</f>
        <v>0</v>
      </c>
      <c r="AH13" s="304">
        <f>'Retenue Sept'!BV17</f>
        <v>0</v>
      </c>
      <c r="AI13" s="304">
        <f>'Retenue Sept'!BV18</f>
        <v>0</v>
      </c>
      <c r="AJ13" s="304">
        <f>'Retenue Sept'!BV19</f>
        <v>0</v>
      </c>
      <c r="AK13" s="304">
        <f>'Retenue Sept'!BV20</f>
        <v>0</v>
      </c>
      <c r="AL13" s="304">
        <f>'Retenue Sept'!BJ11</f>
        <v>0</v>
      </c>
      <c r="AM13" s="304" t="str">
        <f>'Retenue Sept'!BK3</f>
        <v>Méthode 1</v>
      </c>
      <c r="AN13" s="303">
        <f>+Septembre!$T$35</f>
        <v>0</v>
      </c>
      <c r="AO13" s="303">
        <f>+Régularisation!$AD$44</f>
        <v>0</v>
      </c>
      <c r="AP13" s="303">
        <f>+Régularisation!$AD$45</f>
        <v>0</v>
      </c>
      <c r="AQ13" s="304" t="e">
        <f>+Régularisation!$AD$54</f>
        <v>#DIV/0!</v>
      </c>
      <c r="AR13" s="304" t="e">
        <f>+Régularisation!$AD$55</f>
        <v>#DIV/0!</v>
      </c>
      <c r="AS13" s="303">
        <f>+Régularisation!$AD$69</f>
        <v>0</v>
      </c>
      <c r="AT13" s="303">
        <f>+Régularisation!$AD$70</f>
        <v>0</v>
      </c>
      <c r="AU13" s="303">
        <f>+Régularisation!$AD$71</f>
        <v>0</v>
      </c>
      <c r="AV13" s="303">
        <f>+Régularisation!$AD$74</f>
        <v>0</v>
      </c>
      <c r="AW13" s="303">
        <f>+Régularisation!$AD$75</f>
        <v>0</v>
      </c>
      <c r="AX13" s="303">
        <f>+Régularisation!$AD$76</f>
        <v>0</v>
      </c>
      <c r="AY13" s="451">
        <f>+Régularisation!$AD$78</f>
        <v>0</v>
      </c>
      <c r="AZ13" s="474">
        <f>+Septembre!$R$87</f>
        <v>0</v>
      </c>
      <c r="BA13" s="474">
        <f>+Septembre!$R$88</f>
        <v>0</v>
      </c>
      <c r="BB13" s="474">
        <f>+Septembre!$R$89</f>
        <v>0</v>
      </c>
      <c r="BC13" s="474" t="e">
        <f>+Septembre!$EG$2</f>
        <v>#DIV/0!</v>
      </c>
      <c r="BD13" s="474">
        <f>+Septembre!$EG$1</f>
        <v>0</v>
      </c>
      <c r="BE13" s="482" t="e">
        <f>+Septembre!$EG$2</f>
        <v>#DIV/0!</v>
      </c>
      <c r="BF13" s="482" t="e">
        <f>+Septembre!$EG$3</f>
        <v>#DIV/0!</v>
      </c>
      <c r="BG13" s="482" t="e">
        <f>+Septembre!$DK$27</f>
        <v>#DIV/0!</v>
      </c>
      <c r="BH13" s="482">
        <f>+Septembre!$DK$28</f>
        <v>0</v>
      </c>
      <c r="BI13" s="482">
        <f>+Septembre!$DM$28</f>
        <v>0</v>
      </c>
      <c r="BJ13" s="482">
        <f>+Septembre!$DM$29</f>
        <v>0</v>
      </c>
      <c r="BK13" s="482">
        <f>IF(Septembre!AL14,(Septembre!HO16+Septembre!T30)/Septembre!AL14,0)</f>
        <v>0</v>
      </c>
      <c r="BL13" s="555">
        <f>+Septembre!$T$32</f>
        <v>0</v>
      </c>
      <c r="BM13" s="555">
        <f>+Septembre!$T$33</f>
        <v>0</v>
      </c>
      <c r="BN13" s="555">
        <f>+Septembre!$BZ$98</f>
        <v>0</v>
      </c>
      <c r="BO13" s="555">
        <f>+Septembre!$BZ$100</f>
        <v>0</v>
      </c>
      <c r="BP13" s="555">
        <f>+Septembre!$BZ$102</f>
        <v>0</v>
      </c>
      <c r="BQ13" s="617">
        <f>+Septembre!$BZ$74</f>
        <v>0</v>
      </c>
      <c r="BR13" s="870">
        <f>'Retenue Sept'!E52</f>
        <v>0</v>
      </c>
      <c r="BS13" s="928" t="str">
        <f>+Septembre!$AA$63</f>
        <v/>
      </c>
      <c r="BT13" s="928" t="str">
        <f>+Septembre!$AG$63</f>
        <v/>
      </c>
      <c r="BU13" s="928" t="str">
        <f>+Septembre!$AJ$63</f>
        <v/>
      </c>
      <c r="BV13" s="928" t="str">
        <f>+Septembre!$AM$63</f>
        <v/>
      </c>
      <c r="BW13" s="928" t="str">
        <f>+Septembre!$AA$64</f>
        <v/>
      </c>
      <c r="BX13" s="928" t="str">
        <f>+Septembre!$AG$64</f>
        <v/>
      </c>
      <c r="BY13" s="928" t="str">
        <f>+Septembre!$AJ$64</f>
        <v/>
      </c>
      <c r="BZ13" s="928" t="str">
        <f>+Septembre!$AM$64</f>
        <v/>
      </c>
      <c r="CA13" s="928" t="str">
        <f>+Septembre!$AA$65</f>
        <v/>
      </c>
      <c r="CB13" s="928" t="str">
        <f>+Septembre!$AG$65</f>
        <v/>
      </c>
      <c r="CC13" s="928" t="str">
        <f>+Septembre!$AJ$65</f>
        <v/>
      </c>
      <c r="CD13" s="928" t="str">
        <f>+Septembre!$AM$65</f>
        <v/>
      </c>
      <c r="CE13" s="928" t="str">
        <f>+Septembre!$AA$66</f>
        <v/>
      </c>
      <c r="CF13" s="928" t="str">
        <f>+Septembre!$AG$66</f>
        <v/>
      </c>
      <c r="CG13" s="928" t="str">
        <f>+Septembre!$AJ$66</f>
        <v/>
      </c>
      <c r="CH13" s="928" t="str">
        <f>+Septembre!$AM$66</f>
        <v/>
      </c>
      <c r="CI13" s="303">
        <f>+Septembre!$DP$23</f>
        <v>0</v>
      </c>
      <c r="CJ13" s="303"/>
      <c r="CK13" s="304"/>
      <c r="CL13" s="303" t="str">
        <f>+Septembre!$B$34</f>
        <v/>
      </c>
      <c r="CM13" s="303">
        <f>+IF(CL13=S.CAL!$FT$3,SUM(Septembre!$T$18:$W$31)+Septembre!$T$33,AN13)</f>
        <v>0</v>
      </c>
      <c r="CN13" s="303">
        <f>SUM(Septembre!$T$18:$W$31)+Septembre!$T$33</f>
        <v>0</v>
      </c>
      <c r="CO13" s="555">
        <f>+Septembre!$DP$25</f>
        <v>0</v>
      </c>
      <c r="CP13" s="303">
        <f>+Septembre!$DP$26</f>
        <v>0</v>
      </c>
      <c r="CQ13" s="303">
        <f>+Septembre!$DP$27</f>
        <v>0</v>
      </c>
      <c r="CR13" s="303">
        <f>+Septembre!$DP$28</f>
        <v>0</v>
      </c>
      <c r="CS13" s="303">
        <f>+Septembre!$DP$29</f>
        <v>0</v>
      </c>
      <c r="CT13" s="303">
        <f>+Septembre!$AH$86</f>
        <v>0</v>
      </c>
      <c r="CU13" s="303">
        <f>+Septembre!$AL$86</f>
        <v>0</v>
      </c>
      <c r="CV13" s="303">
        <f>+'Salaire mensuel base 10%'!E13</f>
        <v>0</v>
      </c>
      <c r="CW13" s="303">
        <f>+Septembre!$AD$137</f>
        <v>0</v>
      </c>
      <c r="CX13" s="833">
        <f>+Septembre!$DP$30</f>
        <v>0</v>
      </c>
    </row>
    <row r="14" spans="1:102" s="16" customFormat="1" x14ac:dyDescent="0.2">
      <c r="A14" s="302">
        <f>+Octobre!$X$3</f>
        <v>46296</v>
      </c>
      <c r="B14" s="480">
        <f>+Octobre!$DP$20</f>
        <v>0</v>
      </c>
      <c r="C14" s="303">
        <f>+Octobre!$HO$16</f>
        <v>0</v>
      </c>
      <c r="D14" s="303">
        <f>+Octobre!$T$30</f>
        <v>0</v>
      </c>
      <c r="E14" s="303">
        <f>+Octobre!$EF$16</f>
        <v>0</v>
      </c>
      <c r="F14" s="303">
        <f>+Octobre!$EG$16</f>
        <v>0</v>
      </c>
      <c r="G14" s="303">
        <f>+Octobre!$EF$17</f>
        <v>0</v>
      </c>
      <c r="H14" s="303">
        <f>+Octobre!$EG$17</f>
        <v>0</v>
      </c>
      <c r="I14" s="303">
        <f>+Octobre!$EH$16</f>
        <v>0</v>
      </c>
      <c r="J14" s="303">
        <f>+Octobre!$EI$16</f>
        <v>0</v>
      </c>
      <c r="K14" s="303">
        <f>+Octobre!$EH$17</f>
        <v>0</v>
      </c>
      <c r="L14" s="303">
        <f>+Octobre!$EI$17</f>
        <v>0</v>
      </c>
      <c r="M14" s="303">
        <f>+Octobre!$AH$89</f>
        <v>0</v>
      </c>
      <c r="N14" s="303">
        <f>+Octobre!$AH$90</f>
        <v>0</v>
      </c>
      <c r="O14" s="303">
        <f>+Octobre!$AL$89</f>
        <v>0</v>
      </c>
      <c r="P14" s="303">
        <f>+Octobre!$AL$90</f>
        <v>0</v>
      </c>
      <c r="Q14" s="303">
        <f>+Octobre!$AH$92</f>
        <v>0</v>
      </c>
      <c r="R14" s="303">
        <f>+Octobre!$AL$92</f>
        <v>0</v>
      </c>
      <c r="S14" s="303">
        <f>+Octobre!$AH$87</f>
        <v>0</v>
      </c>
      <c r="T14" s="303">
        <f>+Octobre!$AH$93</f>
        <v>0</v>
      </c>
      <c r="U14" s="303">
        <f>+Octobre!$DP$13</f>
        <v>0</v>
      </c>
      <c r="V14" s="303">
        <f>+Octobre!$DP$11</f>
        <v>0</v>
      </c>
      <c r="W14" s="304">
        <f>+'CP Année Incomplète au 31-05'!$G$71</f>
        <v>0</v>
      </c>
      <c r="X14" s="304">
        <f>+'CP Année Complète au 31-05'!$D$59</f>
        <v>0</v>
      </c>
      <c r="Y14" s="303" t="e">
        <f>+Octobre!$DP$15</f>
        <v>#DIV/0!</v>
      </c>
      <c r="Z14" s="303">
        <f>+Octobre!$DP$8</f>
        <v>0</v>
      </c>
      <c r="AA14" s="304">
        <f>+Octobre!$EH$15</f>
        <v>0</v>
      </c>
      <c r="AB14" s="304">
        <f>'Retenue Oct'!BJ64</f>
        <v>0</v>
      </c>
      <c r="AC14" s="304">
        <f>+Octobre!$N$62</f>
        <v>0</v>
      </c>
      <c r="AD14" s="304">
        <f>'Retenue Oct'!BV13</f>
        <v>0</v>
      </c>
      <c r="AE14" s="304">
        <f>'Retenue Oct'!BV14</f>
        <v>0</v>
      </c>
      <c r="AF14" s="304">
        <f>'Retenue Oct'!BV15</f>
        <v>0</v>
      </c>
      <c r="AG14" s="304">
        <f>'Retenue Oct'!BV16</f>
        <v>0</v>
      </c>
      <c r="AH14" s="304">
        <f>'Retenue Oct'!BV17</f>
        <v>0</v>
      </c>
      <c r="AI14" s="304">
        <f>'Retenue Oct'!BV18</f>
        <v>0</v>
      </c>
      <c r="AJ14" s="304">
        <f>'Retenue Oct'!BV19</f>
        <v>0</v>
      </c>
      <c r="AK14" s="304">
        <f>'Retenue Oct'!BV20</f>
        <v>0</v>
      </c>
      <c r="AL14" s="304">
        <f>'Retenue Oct'!BJ11</f>
        <v>0</v>
      </c>
      <c r="AM14" s="304" t="str">
        <f>'Retenue Oct'!BK3</f>
        <v>Méthode 1</v>
      </c>
      <c r="AN14" s="303">
        <f>+Octobre!$T$35</f>
        <v>0</v>
      </c>
      <c r="AO14" s="303">
        <f>+Régularisation!$AG$44</f>
        <v>0</v>
      </c>
      <c r="AP14" s="303">
        <f>+Régularisation!$AG$45</f>
        <v>0</v>
      </c>
      <c r="AQ14" s="304" t="e">
        <f>+Régularisation!$AG$54</f>
        <v>#DIV/0!</v>
      </c>
      <c r="AR14" s="304" t="e">
        <f>+Régularisation!$AG$55</f>
        <v>#DIV/0!</v>
      </c>
      <c r="AS14" s="303">
        <f>+Régularisation!$AG$69</f>
        <v>0</v>
      </c>
      <c r="AT14" s="303">
        <f>+Régularisation!$AG$70</f>
        <v>0</v>
      </c>
      <c r="AU14" s="303">
        <f>+Régularisation!$AG$71</f>
        <v>0</v>
      </c>
      <c r="AV14" s="303">
        <f>+Régularisation!$AG$74</f>
        <v>0</v>
      </c>
      <c r="AW14" s="303">
        <f>+Régularisation!$AG$75</f>
        <v>0</v>
      </c>
      <c r="AX14" s="303">
        <f>+Régularisation!$AG$76</f>
        <v>0</v>
      </c>
      <c r="AY14" s="451">
        <f>+Régularisation!$AG$78</f>
        <v>0</v>
      </c>
      <c r="AZ14" s="474">
        <f>+Octobre!$R$87</f>
        <v>0</v>
      </c>
      <c r="BA14" s="474">
        <f>+Octobre!$R$88</f>
        <v>0</v>
      </c>
      <c r="BB14" s="474">
        <f>+Octobre!$R$89</f>
        <v>0</v>
      </c>
      <c r="BC14" s="474" t="e">
        <f>+Octobre!$EG$2</f>
        <v>#DIV/0!</v>
      </c>
      <c r="BD14" s="474">
        <f>+Octobre!$EG$1</f>
        <v>0</v>
      </c>
      <c r="BE14" s="482" t="e">
        <f>+Octobre!$EG$2</f>
        <v>#DIV/0!</v>
      </c>
      <c r="BF14" s="482" t="e">
        <f>+Octobre!$EG$3</f>
        <v>#DIV/0!</v>
      </c>
      <c r="BG14" s="482" t="e">
        <f>+Octobre!$DK$27</f>
        <v>#DIV/0!</v>
      </c>
      <c r="BH14" s="482">
        <f>+Octobre!$DK$28</f>
        <v>0</v>
      </c>
      <c r="BI14" s="482">
        <f>+Octobre!$DM$28</f>
        <v>0</v>
      </c>
      <c r="BJ14" s="482">
        <f>+Octobre!$DM$29</f>
        <v>0</v>
      </c>
      <c r="BK14" s="482">
        <f>IF(Octobre!AL14,(Octobre!HO16+Octobre!T30)/Octobre!AL14,0)</f>
        <v>0</v>
      </c>
      <c r="BL14" s="555">
        <f>+Octobre!$T$32</f>
        <v>0</v>
      </c>
      <c r="BM14" s="555">
        <f>+Octobre!$T$33</f>
        <v>0</v>
      </c>
      <c r="BN14" s="555">
        <f>+Octobre!$BZ$98</f>
        <v>0</v>
      </c>
      <c r="BO14" s="555">
        <f>+Octobre!$BZ$100</f>
        <v>0</v>
      </c>
      <c r="BP14" s="555">
        <f>+Octobre!$BZ$102</f>
        <v>0</v>
      </c>
      <c r="BQ14" s="617">
        <f>+Octobre!$BZ$74</f>
        <v>0</v>
      </c>
      <c r="BR14" s="870">
        <f>'Retenue Oct'!E52</f>
        <v>0</v>
      </c>
      <c r="BS14" s="928" t="str">
        <f>+Octobre!$AA$63</f>
        <v/>
      </c>
      <c r="BT14" s="928" t="str">
        <f>+Octobre!$AG$63</f>
        <v/>
      </c>
      <c r="BU14" s="928" t="str">
        <f>+Octobre!$AJ$63</f>
        <v/>
      </c>
      <c r="BV14" s="928" t="str">
        <f>+Octobre!$AM$63</f>
        <v/>
      </c>
      <c r="BW14" s="928" t="str">
        <f>+Octobre!$AA$64</f>
        <v/>
      </c>
      <c r="BX14" s="928" t="str">
        <f>+Octobre!$AG$64</f>
        <v/>
      </c>
      <c r="BY14" s="928" t="str">
        <f>+Octobre!$AJ$64</f>
        <v/>
      </c>
      <c r="BZ14" s="928" t="str">
        <f>+Octobre!$AM$64</f>
        <v/>
      </c>
      <c r="CA14" s="928" t="str">
        <f>+Octobre!$AA$65</f>
        <v/>
      </c>
      <c r="CB14" s="928" t="str">
        <f>+Octobre!$AG$65</f>
        <v/>
      </c>
      <c r="CC14" s="928" t="str">
        <f>+Octobre!$AJ$65</f>
        <v/>
      </c>
      <c r="CD14" s="928" t="str">
        <f>+Octobre!$AM$65</f>
        <v/>
      </c>
      <c r="CE14" s="928" t="str">
        <f>+Octobre!$AA$66</f>
        <v/>
      </c>
      <c r="CF14" s="928" t="str">
        <f>+Octobre!$AG$66</f>
        <v/>
      </c>
      <c r="CG14" s="928" t="str">
        <f>+Octobre!$AJ$66</f>
        <v/>
      </c>
      <c r="CH14" s="928" t="str">
        <f>+Octobre!$AM$66</f>
        <v/>
      </c>
      <c r="CI14" s="303">
        <f>+Octobre!$DP$23</f>
        <v>0</v>
      </c>
      <c r="CJ14" s="303"/>
      <c r="CK14" s="304"/>
      <c r="CL14" s="303" t="str">
        <f>+Octobre!$B$34</f>
        <v/>
      </c>
      <c r="CM14" s="303">
        <f>+IF(CL14=S.CAL!$FT$3,SUM(Octobre!$T$18:$W$31)+Octobre!$T$33,AN14)</f>
        <v>0</v>
      </c>
      <c r="CN14" s="303">
        <f>SUM(Octobre!$T$18:$W$31)+Octobre!$T$33</f>
        <v>0</v>
      </c>
      <c r="CO14" s="555">
        <f>+Octobre!$DP$25</f>
        <v>0</v>
      </c>
      <c r="CP14" s="303">
        <f>+Octobre!$DP$26</f>
        <v>0</v>
      </c>
      <c r="CQ14" s="303">
        <f>+Octobre!$DP$27</f>
        <v>0</v>
      </c>
      <c r="CR14" s="303">
        <f>+Octobre!$DP$28</f>
        <v>0</v>
      </c>
      <c r="CS14" s="303">
        <f>+Octobre!$DP$29</f>
        <v>0</v>
      </c>
      <c r="CT14" s="303">
        <f>+Octobre!$AH$86</f>
        <v>0</v>
      </c>
      <c r="CU14" s="303">
        <f>+Octobre!$AL$86</f>
        <v>0</v>
      </c>
      <c r="CV14" s="303">
        <f>+'Salaire mensuel base 10%'!E14</f>
        <v>0</v>
      </c>
      <c r="CW14" s="303">
        <f>+Octobre!$AD$137</f>
        <v>0</v>
      </c>
      <c r="CX14" s="833">
        <f>+Octobre!$DP$30</f>
        <v>0</v>
      </c>
    </row>
    <row r="15" spans="1:102" s="16" customFormat="1" x14ac:dyDescent="0.2">
      <c r="A15" s="302">
        <f>+Novembre!$X$3</f>
        <v>46327</v>
      </c>
      <c r="B15" s="480">
        <f>+Novembre!$DP$20</f>
        <v>0</v>
      </c>
      <c r="C15" s="303">
        <f>+Novembre!$HO$16</f>
        <v>0</v>
      </c>
      <c r="D15" s="303">
        <f>+Novembre!$T$30</f>
        <v>0</v>
      </c>
      <c r="E15" s="303">
        <f>+Novembre!$EF$16</f>
        <v>0</v>
      </c>
      <c r="F15" s="303">
        <f>+Novembre!$EG$16</f>
        <v>0</v>
      </c>
      <c r="G15" s="303">
        <f>+Novembre!$EF$17</f>
        <v>0</v>
      </c>
      <c r="H15" s="303">
        <f>+Novembre!$EG$17</f>
        <v>0</v>
      </c>
      <c r="I15" s="303">
        <f>+Novembre!$EH$16</f>
        <v>0</v>
      </c>
      <c r="J15" s="303">
        <f>+Novembre!$EI$16</f>
        <v>0</v>
      </c>
      <c r="K15" s="303">
        <f>+Novembre!$EH$17</f>
        <v>0</v>
      </c>
      <c r="L15" s="303">
        <f>+Novembre!$EI$17</f>
        <v>0</v>
      </c>
      <c r="M15" s="303">
        <f>+Novembre!$AH$89</f>
        <v>0</v>
      </c>
      <c r="N15" s="303">
        <f>+Novembre!$AH$90</f>
        <v>0</v>
      </c>
      <c r="O15" s="303">
        <f>+Novembre!$AL$89</f>
        <v>0</v>
      </c>
      <c r="P15" s="303">
        <f>+Novembre!$AL$90</f>
        <v>0</v>
      </c>
      <c r="Q15" s="303">
        <f>+Novembre!$AH$92</f>
        <v>0</v>
      </c>
      <c r="R15" s="303">
        <f>+Novembre!$AL$92</f>
        <v>0</v>
      </c>
      <c r="S15" s="303">
        <f>+Novembre!$AH$87</f>
        <v>0</v>
      </c>
      <c r="T15" s="303">
        <f>+Novembre!$AH$93</f>
        <v>0</v>
      </c>
      <c r="U15" s="303">
        <f>+Novembre!$DP$13</f>
        <v>0</v>
      </c>
      <c r="V15" s="303">
        <f>+Novembre!$DP$11</f>
        <v>0</v>
      </c>
      <c r="W15" s="304">
        <f>+'CP Année Incomplète au 31-05'!$G$71</f>
        <v>0</v>
      </c>
      <c r="X15" s="304">
        <f>+'CP Année Complète au 31-05'!$D$59</f>
        <v>0</v>
      </c>
      <c r="Y15" s="303" t="e">
        <f>+Novembre!$DP$15</f>
        <v>#DIV/0!</v>
      </c>
      <c r="Z15" s="303">
        <f>+Novembre!$DP$8</f>
        <v>0</v>
      </c>
      <c r="AA15" s="304">
        <f>+Novembre!$EH$15</f>
        <v>0</v>
      </c>
      <c r="AB15" s="304">
        <f>'Retenue Nov'!BJ64</f>
        <v>0</v>
      </c>
      <c r="AC15" s="304">
        <f>+Novembre!$N$62</f>
        <v>0</v>
      </c>
      <c r="AD15" s="304">
        <f>'Retenue Nov'!BV13</f>
        <v>0</v>
      </c>
      <c r="AE15" s="304">
        <f>'Retenue Nov'!BV14</f>
        <v>0</v>
      </c>
      <c r="AF15" s="304">
        <f>'Retenue Nov'!BV15</f>
        <v>0</v>
      </c>
      <c r="AG15" s="304">
        <f>'Retenue Nov'!BV16</f>
        <v>0</v>
      </c>
      <c r="AH15" s="304">
        <f>'Retenue Nov'!BV17</f>
        <v>0</v>
      </c>
      <c r="AI15" s="304">
        <f>'Retenue Nov'!BV18</f>
        <v>0</v>
      </c>
      <c r="AJ15" s="304">
        <f>'Retenue Nov'!BV19</f>
        <v>0</v>
      </c>
      <c r="AK15" s="304">
        <f>'Retenue Nov'!BV20</f>
        <v>0</v>
      </c>
      <c r="AL15" s="304">
        <f>'Retenue Nov'!BJ11</f>
        <v>0</v>
      </c>
      <c r="AM15" s="304" t="str">
        <f>'Retenue Nov'!BK3</f>
        <v>Méthode 1</v>
      </c>
      <c r="AN15" s="303">
        <f>+Novembre!$T$35</f>
        <v>0</v>
      </c>
      <c r="AO15" s="303">
        <f>+Régularisation!$AJ$44</f>
        <v>0</v>
      </c>
      <c r="AP15" s="303">
        <f>+Régularisation!$AJ$45</f>
        <v>0</v>
      </c>
      <c r="AQ15" s="304" t="e">
        <f>+Régularisation!$AJ$54</f>
        <v>#DIV/0!</v>
      </c>
      <c r="AR15" s="304" t="e">
        <f>+Régularisation!$AJ$55</f>
        <v>#DIV/0!</v>
      </c>
      <c r="AS15" s="303">
        <f>+Régularisation!$AJ$69</f>
        <v>0</v>
      </c>
      <c r="AT15" s="303">
        <f>+Régularisation!$AJ$70</f>
        <v>0</v>
      </c>
      <c r="AU15" s="303">
        <f>+Régularisation!$AJ$71</f>
        <v>0</v>
      </c>
      <c r="AV15" s="303">
        <f>+Régularisation!$AJ$74</f>
        <v>0</v>
      </c>
      <c r="AW15" s="303">
        <f>+Régularisation!$AJ$75</f>
        <v>0</v>
      </c>
      <c r="AX15" s="303">
        <f>+Régularisation!$AJ$76</f>
        <v>0</v>
      </c>
      <c r="AY15" s="451">
        <f>+Régularisation!$AJ$78</f>
        <v>0</v>
      </c>
      <c r="AZ15" s="474">
        <f>+Novembre!$R$87</f>
        <v>0</v>
      </c>
      <c r="BA15" s="474">
        <f>+Novembre!$R$88</f>
        <v>0</v>
      </c>
      <c r="BB15" s="474">
        <f>+Novembre!$R$89</f>
        <v>0</v>
      </c>
      <c r="BC15" s="474" t="e">
        <f>+Novembre!$EG$2</f>
        <v>#DIV/0!</v>
      </c>
      <c r="BD15" s="474">
        <f>+Novembre!$EG$1</f>
        <v>0</v>
      </c>
      <c r="BE15" s="482" t="e">
        <f>+Novembre!$EG$2</f>
        <v>#DIV/0!</v>
      </c>
      <c r="BF15" s="482" t="e">
        <f>+Novembre!$EG$3</f>
        <v>#DIV/0!</v>
      </c>
      <c r="BG15" s="482" t="e">
        <f>+Novembre!$DK$27</f>
        <v>#DIV/0!</v>
      </c>
      <c r="BH15" s="482">
        <f>+Novembre!$DK$28</f>
        <v>0</v>
      </c>
      <c r="BI15" s="482">
        <f>+Novembre!$DM$28</f>
        <v>0</v>
      </c>
      <c r="BJ15" s="482">
        <f>+Novembre!$DM$29</f>
        <v>0</v>
      </c>
      <c r="BK15" s="482">
        <f>IF(Novembre!AL14,(Novembre!HO16+Novembre!T30)/Novembre!AL14,0)</f>
        <v>0</v>
      </c>
      <c r="BL15" s="555">
        <f>+Novembre!$T$32</f>
        <v>0</v>
      </c>
      <c r="BM15" s="555">
        <f>+Novembre!$T$33</f>
        <v>0</v>
      </c>
      <c r="BN15" s="555">
        <f>+Novembre!$BZ$98</f>
        <v>0</v>
      </c>
      <c r="BO15" s="555">
        <f>+Novembre!$BZ$100</f>
        <v>0</v>
      </c>
      <c r="BP15" s="555">
        <f>+Novembre!$BZ$102</f>
        <v>0</v>
      </c>
      <c r="BQ15" s="617">
        <f>+Novembre!$BZ$74</f>
        <v>0</v>
      </c>
      <c r="BR15" s="870">
        <f>'Retenue Nov'!E52</f>
        <v>0</v>
      </c>
      <c r="BS15" s="928" t="str">
        <f>+Novembre!$AA$63</f>
        <v/>
      </c>
      <c r="BT15" s="928" t="str">
        <f>+Novembre!$AG$63</f>
        <v/>
      </c>
      <c r="BU15" s="928" t="str">
        <f>+Novembre!$AJ$63</f>
        <v/>
      </c>
      <c r="BV15" s="928" t="str">
        <f>+Novembre!$AM$63</f>
        <v/>
      </c>
      <c r="BW15" s="928" t="str">
        <f>+Novembre!$AA$64</f>
        <v/>
      </c>
      <c r="BX15" s="928" t="str">
        <f>+Novembre!$AG$64</f>
        <v/>
      </c>
      <c r="BY15" s="928" t="str">
        <f>+Novembre!$AJ$64</f>
        <v/>
      </c>
      <c r="BZ15" s="928" t="str">
        <f>+Novembre!$AM$64</f>
        <v/>
      </c>
      <c r="CA15" s="928" t="str">
        <f>+Novembre!$AA$65</f>
        <v/>
      </c>
      <c r="CB15" s="928" t="str">
        <f>+Novembre!$AG$65</f>
        <v/>
      </c>
      <c r="CC15" s="928" t="str">
        <f>+Novembre!$AJ$65</f>
        <v/>
      </c>
      <c r="CD15" s="928" t="str">
        <f>+Novembre!$AM$65</f>
        <v/>
      </c>
      <c r="CE15" s="928" t="str">
        <f>+Novembre!$AA$66</f>
        <v/>
      </c>
      <c r="CF15" s="928" t="str">
        <f>+Novembre!$AG$66</f>
        <v/>
      </c>
      <c r="CG15" s="928" t="str">
        <f>+Novembre!$AJ$66</f>
        <v/>
      </c>
      <c r="CH15" s="928" t="str">
        <f>+Novembre!$AM$66</f>
        <v/>
      </c>
      <c r="CI15" s="303">
        <f>+Novembre!$DP$23</f>
        <v>0</v>
      </c>
      <c r="CJ15" s="303"/>
      <c r="CK15" s="304"/>
      <c r="CL15" s="303" t="str">
        <f>+Novembre!$B$34</f>
        <v/>
      </c>
      <c r="CM15" s="303">
        <f>+IF(CL15=S.CAL!$FT$3,SUM(Novembre!$T$18:$W$31)+Novembre!$T$33,AN15)</f>
        <v>0</v>
      </c>
      <c r="CN15" s="303">
        <f>SUM(Novembre!$T$18:$W$31)+Novembre!$T$33</f>
        <v>0</v>
      </c>
      <c r="CO15" s="555">
        <f>+Novembre!$DP$25</f>
        <v>0</v>
      </c>
      <c r="CP15" s="303">
        <f>+Novembre!$DP$26</f>
        <v>0</v>
      </c>
      <c r="CQ15" s="303">
        <f>+Novembre!$DP$27</f>
        <v>0</v>
      </c>
      <c r="CR15" s="303">
        <f>+Novembre!$DP$28</f>
        <v>0</v>
      </c>
      <c r="CS15" s="303">
        <f>+Novembre!$DP$29</f>
        <v>0</v>
      </c>
      <c r="CT15" s="303">
        <f>+Novembre!$AH$86</f>
        <v>0</v>
      </c>
      <c r="CU15" s="303">
        <f>+Novembre!$AL$86</f>
        <v>0</v>
      </c>
      <c r="CV15" s="303">
        <f>+'Salaire mensuel base 10%'!E15</f>
        <v>0</v>
      </c>
      <c r="CW15" s="303">
        <f>+Novembre!$AD$137</f>
        <v>0</v>
      </c>
      <c r="CX15" s="833">
        <f>+Novembre!$DP$30</f>
        <v>0</v>
      </c>
    </row>
    <row r="16" spans="1:102" s="16" customFormat="1" x14ac:dyDescent="0.2">
      <c r="A16" s="302">
        <f>+Décembre!$X$3</f>
        <v>46357</v>
      </c>
      <c r="B16" s="480">
        <f>+Décembre!$DP$20</f>
        <v>0</v>
      </c>
      <c r="C16" s="303">
        <f>+Décembre!$HO$16</f>
        <v>0</v>
      </c>
      <c r="D16" s="303">
        <f>+Décembre!$T$30</f>
        <v>0</v>
      </c>
      <c r="E16" s="303">
        <f>+Décembre!$EF$16</f>
        <v>0</v>
      </c>
      <c r="F16" s="303">
        <f>+Décembre!$EG$16</f>
        <v>0</v>
      </c>
      <c r="G16" s="303">
        <f>+Décembre!$EF$17</f>
        <v>0</v>
      </c>
      <c r="H16" s="303">
        <f>+Décembre!$EG$17</f>
        <v>0</v>
      </c>
      <c r="I16" s="303">
        <f>+Décembre!$EH$16</f>
        <v>0</v>
      </c>
      <c r="J16" s="303">
        <f>+Décembre!$EI$16</f>
        <v>0</v>
      </c>
      <c r="K16" s="303">
        <f>+Décembre!$EH$17</f>
        <v>0</v>
      </c>
      <c r="L16" s="303">
        <f>+Décembre!$EI$17</f>
        <v>0</v>
      </c>
      <c r="M16" s="303">
        <f>+Décembre!$AH$89</f>
        <v>0</v>
      </c>
      <c r="N16" s="303">
        <f>+Décembre!$AH$90</f>
        <v>0</v>
      </c>
      <c r="O16" s="303">
        <f>+Décembre!$AL$89</f>
        <v>0</v>
      </c>
      <c r="P16" s="303">
        <f>+Décembre!$AL$90</f>
        <v>0</v>
      </c>
      <c r="Q16" s="303">
        <f>+Décembre!$AH$92</f>
        <v>0</v>
      </c>
      <c r="R16" s="303">
        <f>+Décembre!$AL$92</f>
        <v>0</v>
      </c>
      <c r="S16" s="303">
        <f>+Décembre!$AH$87</f>
        <v>0</v>
      </c>
      <c r="T16" s="303">
        <f>+Décembre!$AH$93</f>
        <v>0</v>
      </c>
      <c r="U16" s="303">
        <f>+Décembre!$DP$13</f>
        <v>0</v>
      </c>
      <c r="V16" s="303">
        <f>+Décembre!$DP$11</f>
        <v>0</v>
      </c>
      <c r="W16" s="304">
        <f>+'CP Année Incomplète au 31-05'!$G$71</f>
        <v>0</v>
      </c>
      <c r="X16" s="304">
        <f>+'CP Année Complète au 31-05'!$D$59</f>
        <v>0</v>
      </c>
      <c r="Y16" s="304" t="e">
        <f>+Décembre!$DP$15</f>
        <v>#DIV/0!</v>
      </c>
      <c r="Z16" s="303">
        <f>+Décembre!$DP$8</f>
        <v>0</v>
      </c>
      <c r="AA16" s="304">
        <f>+Décembre!$EH$15</f>
        <v>0</v>
      </c>
      <c r="AB16" s="304">
        <f>'Retenue Déc'!BJ64</f>
        <v>0</v>
      </c>
      <c r="AC16" s="304">
        <f>+Décembre!$N$62</f>
        <v>0</v>
      </c>
      <c r="AD16" s="304">
        <f>'Retenue Déc'!BV13</f>
        <v>0</v>
      </c>
      <c r="AE16" s="304">
        <f>'Retenue Déc'!BV14</f>
        <v>0</v>
      </c>
      <c r="AF16" s="304">
        <f>'Retenue Déc'!BV15</f>
        <v>0</v>
      </c>
      <c r="AG16" s="304">
        <f>'Retenue Déc'!BV16</f>
        <v>0</v>
      </c>
      <c r="AH16" s="304">
        <f>'Retenue Déc'!BV17</f>
        <v>0</v>
      </c>
      <c r="AI16" s="304">
        <f>'Retenue Déc'!BV18</f>
        <v>0</v>
      </c>
      <c r="AJ16" s="304">
        <f>'Retenue Déc'!BV19</f>
        <v>0</v>
      </c>
      <c r="AK16" s="304">
        <f>'Retenue Déc'!BV20</f>
        <v>0</v>
      </c>
      <c r="AL16" s="304">
        <f>'Retenue Déc'!BJ11</f>
        <v>0</v>
      </c>
      <c r="AM16" s="304" t="str">
        <f>'Retenue Déc'!BK3</f>
        <v>Méthode 1</v>
      </c>
      <c r="AN16" s="303">
        <f>+Décembre!$T$35</f>
        <v>0</v>
      </c>
      <c r="AO16" s="303">
        <f>+Régularisation!$AM$44</f>
        <v>0</v>
      </c>
      <c r="AP16" s="303">
        <f>+Régularisation!$AM$45</f>
        <v>0</v>
      </c>
      <c r="AQ16" s="304" t="e">
        <f>+Régularisation!$AM$54</f>
        <v>#DIV/0!</v>
      </c>
      <c r="AR16" s="304" t="e">
        <f>+Régularisation!$AM$55</f>
        <v>#DIV/0!</v>
      </c>
      <c r="AS16" s="303">
        <f>+Régularisation!$AM$69</f>
        <v>0</v>
      </c>
      <c r="AT16" s="303">
        <f>+Régularisation!$AM$70</f>
        <v>0</v>
      </c>
      <c r="AU16" s="303">
        <f>+Régularisation!$AM$71</f>
        <v>0</v>
      </c>
      <c r="AV16" s="303">
        <f>+Régularisation!$AM$74</f>
        <v>0</v>
      </c>
      <c r="AW16" s="303">
        <f>+Régularisation!$AM$75</f>
        <v>0</v>
      </c>
      <c r="AX16" s="303">
        <f>+Régularisation!$AM$76</f>
        <v>0</v>
      </c>
      <c r="AY16" s="451">
        <f>+Régularisation!$AM$78</f>
        <v>0</v>
      </c>
      <c r="AZ16" s="474">
        <f>+Décembre!$R$87</f>
        <v>0</v>
      </c>
      <c r="BA16" s="474">
        <f>+Décembre!$R$88</f>
        <v>0</v>
      </c>
      <c r="BB16" s="474">
        <f>+Décembre!$R$89</f>
        <v>0</v>
      </c>
      <c r="BC16" s="474" t="e">
        <f>+Décembre!$EG$2</f>
        <v>#DIV/0!</v>
      </c>
      <c r="BD16" s="474">
        <f>+Décembre!$EG$1</f>
        <v>0</v>
      </c>
      <c r="BE16" s="482" t="e">
        <f>+Décembre!$EG$2</f>
        <v>#DIV/0!</v>
      </c>
      <c r="BF16" s="482" t="e">
        <f>+Décembre!$EG$3</f>
        <v>#DIV/0!</v>
      </c>
      <c r="BG16" s="482" t="e">
        <f>+Décembre!$DK$27</f>
        <v>#DIV/0!</v>
      </c>
      <c r="BH16" s="482">
        <f>+Décembre!$DK$28</f>
        <v>0</v>
      </c>
      <c r="BI16" s="482">
        <f>+Décembre!$DM$28</f>
        <v>0</v>
      </c>
      <c r="BJ16" s="482">
        <f>+Décembre!$DM$29</f>
        <v>0</v>
      </c>
      <c r="BK16" s="482">
        <f>IF(Décembre!AL14,(Décembre!HO16+Décembre!T30)/Décembre!AL14,0)</f>
        <v>0</v>
      </c>
      <c r="BL16" s="555">
        <f>+Décembre!$T$32</f>
        <v>0</v>
      </c>
      <c r="BM16" s="555">
        <f>+Décembre!$T$33</f>
        <v>0</v>
      </c>
      <c r="BN16" s="555">
        <f>+Décembre!$BZ$98</f>
        <v>0</v>
      </c>
      <c r="BO16" s="555">
        <f>+Décembre!$BZ$100</f>
        <v>0</v>
      </c>
      <c r="BP16" s="555">
        <f>+Décembre!$BZ$102</f>
        <v>0</v>
      </c>
      <c r="BQ16" s="617">
        <f>+Décembre!$BZ$74</f>
        <v>0</v>
      </c>
      <c r="BR16" s="870">
        <f>'Retenue Déc'!E52</f>
        <v>0</v>
      </c>
      <c r="BS16" s="928" t="str">
        <f>+Décembre!$AA$63</f>
        <v/>
      </c>
      <c r="BT16" s="928" t="str">
        <f>+Décembre!$AG$63</f>
        <v/>
      </c>
      <c r="BU16" s="928" t="str">
        <f>+Décembre!$AJ$63</f>
        <v/>
      </c>
      <c r="BV16" s="928" t="str">
        <f>+Décembre!$AM$63</f>
        <v/>
      </c>
      <c r="BW16" s="928" t="str">
        <f>+Décembre!$AA$64</f>
        <v/>
      </c>
      <c r="BX16" s="928" t="str">
        <f>+Décembre!$AG$64</f>
        <v/>
      </c>
      <c r="BY16" s="928" t="str">
        <f>+Décembre!$AJ$64</f>
        <v/>
      </c>
      <c r="BZ16" s="928" t="str">
        <f>+Décembre!$AM$64</f>
        <v/>
      </c>
      <c r="CA16" s="928" t="str">
        <f>+Décembre!$AA$65</f>
        <v/>
      </c>
      <c r="CB16" s="928" t="str">
        <f>+Décembre!$AG$65</f>
        <v/>
      </c>
      <c r="CC16" s="928" t="str">
        <f>+Décembre!$AJ$65</f>
        <v/>
      </c>
      <c r="CD16" s="928" t="str">
        <f>+Décembre!$AM$65</f>
        <v/>
      </c>
      <c r="CE16" s="928" t="str">
        <f>+Décembre!$AA$66</f>
        <v/>
      </c>
      <c r="CF16" s="928" t="str">
        <f>+Décembre!$AG$66</f>
        <v/>
      </c>
      <c r="CG16" s="928" t="str">
        <f>+Décembre!$AJ$66</f>
        <v/>
      </c>
      <c r="CH16" s="928" t="str">
        <f>+Décembre!$AM$66</f>
        <v/>
      </c>
      <c r="CI16" s="303">
        <f>+Décembre!$DP$23</f>
        <v>0</v>
      </c>
      <c r="CJ16" s="303"/>
      <c r="CK16" s="304"/>
      <c r="CL16" s="303" t="str">
        <f>+Décembre!$B$34</f>
        <v/>
      </c>
      <c r="CM16" s="303">
        <f>+IF(CL16=S.CAL!$FT$3,SUM(Décembre!$T$18:$W$31)+Décembre!$T$33,AN16)</f>
        <v>0</v>
      </c>
      <c r="CN16" s="303">
        <f>SUM(Décembre!$T$18:$W$31)+Décembre!$T$33</f>
        <v>0</v>
      </c>
      <c r="CO16" s="555">
        <f>+Décembre!$DP$25</f>
        <v>0</v>
      </c>
      <c r="CP16" s="303">
        <f>+Décembre!$DP$26</f>
        <v>0</v>
      </c>
      <c r="CQ16" s="303">
        <f>+Décembre!$DP$27</f>
        <v>0</v>
      </c>
      <c r="CR16" s="303">
        <f>+Décembre!$DP$28</f>
        <v>0</v>
      </c>
      <c r="CS16" s="303">
        <f>+Décembre!$DP$29</f>
        <v>0</v>
      </c>
      <c r="CT16" s="303">
        <f>+Décembre!$AH$86</f>
        <v>0</v>
      </c>
      <c r="CU16" s="303">
        <f>+Décembre!$AL$86</f>
        <v>0</v>
      </c>
      <c r="CV16" s="303">
        <f>+'Salaire mensuel base 10%'!E16</f>
        <v>0</v>
      </c>
      <c r="CW16" s="303">
        <f>+Décembre!$AD$137</f>
        <v>0</v>
      </c>
      <c r="CX16" s="833">
        <f>+Décembre!$DP$30</f>
        <v>0</v>
      </c>
    </row>
    <row r="17" spans="73:86" x14ac:dyDescent="0.2">
      <c r="BU17" s="477"/>
      <c r="BV17" s="477"/>
      <c r="BY17" s="477"/>
      <c r="BZ17" s="477"/>
      <c r="CC17" s="477"/>
      <c r="CD17" s="477"/>
      <c r="CG17" s="477"/>
      <c r="CH17" s="477"/>
    </row>
    <row r="18" spans="73:86" x14ac:dyDescent="0.2">
      <c r="BU18" s="477"/>
      <c r="BV18" s="477"/>
      <c r="BY18" s="477"/>
      <c r="BZ18" s="477"/>
      <c r="CC18" s="477"/>
      <c r="CD18" s="477"/>
      <c r="CG18" s="477"/>
      <c r="CH18" s="477"/>
    </row>
    <row r="19" spans="73:86" x14ac:dyDescent="0.2">
      <c r="BU19" s="477"/>
      <c r="BV19" s="477"/>
      <c r="BY19" s="477"/>
      <c r="BZ19" s="477"/>
      <c r="CC19" s="477"/>
      <c r="CD19" s="477"/>
      <c r="CG19" s="477"/>
      <c r="CH19" s="477"/>
    </row>
    <row r="20" spans="73:86" x14ac:dyDescent="0.2">
      <c r="BU20" s="477"/>
      <c r="BV20" s="477"/>
      <c r="BY20" s="477"/>
      <c r="BZ20" s="477"/>
      <c r="CC20" s="477"/>
      <c r="CD20" s="477"/>
      <c r="CG20" s="477"/>
      <c r="CH20" s="477"/>
    </row>
    <row r="21" spans="73:86" x14ac:dyDescent="0.2">
      <c r="BU21" s="477"/>
      <c r="BV21" s="477"/>
      <c r="BY21" s="477"/>
      <c r="BZ21" s="477"/>
      <c r="CC21" s="477"/>
      <c r="CD21" s="477"/>
      <c r="CG21" s="477"/>
      <c r="CH21" s="477"/>
    </row>
    <row r="22" spans="73:86" x14ac:dyDescent="0.2">
      <c r="BU22" s="477"/>
      <c r="BV22" s="477"/>
      <c r="BY22" s="477"/>
      <c r="BZ22" s="477"/>
      <c r="CC22" s="477"/>
      <c r="CD22" s="477"/>
      <c r="CG22" s="477"/>
      <c r="CH22" s="477"/>
    </row>
    <row r="23" spans="73:86" x14ac:dyDescent="0.2">
      <c r="BU23" s="477"/>
      <c r="BV23" s="477"/>
      <c r="BY23" s="477"/>
      <c r="BZ23" s="477"/>
      <c r="CC23" s="477"/>
      <c r="CD23" s="477"/>
      <c r="CG23" s="477"/>
      <c r="CH23" s="477"/>
    </row>
    <row r="24" spans="73:86" x14ac:dyDescent="0.2">
      <c r="BU24" s="477"/>
      <c r="BV24" s="477"/>
      <c r="BY24" s="477"/>
      <c r="BZ24" s="477"/>
      <c r="CC24" s="477"/>
      <c r="CD24" s="477"/>
      <c r="CG24" s="477"/>
      <c r="CH24" s="477"/>
    </row>
    <row r="25" spans="73:86" x14ac:dyDescent="0.2">
      <c r="BU25" s="477"/>
      <c r="BV25" s="477"/>
      <c r="BY25" s="477"/>
      <c r="BZ25" s="477"/>
      <c r="CC25" s="477"/>
      <c r="CD25" s="477"/>
      <c r="CG25" s="477"/>
      <c r="CH25" s="477"/>
    </row>
    <row r="26" spans="73:86" x14ac:dyDescent="0.2">
      <c r="BU26" s="477"/>
      <c r="BV26" s="477"/>
      <c r="BY26" s="477"/>
      <c r="BZ26" s="477"/>
      <c r="CC26" s="477"/>
      <c r="CD26" s="477"/>
      <c r="CG26" s="477"/>
      <c r="CH26" s="477"/>
    </row>
    <row r="27" spans="73:86" x14ac:dyDescent="0.2">
      <c r="BU27" s="477"/>
      <c r="BV27" s="477"/>
      <c r="BY27" s="477"/>
      <c r="BZ27" s="477"/>
      <c r="CC27" s="477"/>
      <c r="CD27" s="477"/>
      <c r="CG27" s="477"/>
      <c r="CH27" s="477"/>
    </row>
    <row r="28" spans="73:86" x14ac:dyDescent="0.2">
      <c r="BU28" s="477"/>
      <c r="BV28" s="477"/>
      <c r="BY28" s="477"/>
      <c r="BZ28" s="477"/>
      <c r="CC28" s="477"/>
      <c r="CD28" s="477"/>
      <c r="CG28" s="477"/>
      <c r="CH28" s="477"/>
    </row>
    <row r="29" spans="73:86" x14ac:dyDescent="0.2">
      <c r="BU29" s="477"/>
      <c r="BV29" s="477"/>
      <c r="BY29" s="477"/>
      <c r="BZ29" s="477"/>
      <c r="CC29" s="477"/>
      <c r="CD29" s="477"/>
      <c r="CG29" s="477"/>
      <c r="CH29" s="477"/>
    </row>
    <row r="30" spans="73:86" x14ac:dyDescent="0.2">
      <c r="BU30" s="477"/>
      <c r="BV30" s="477"/>
      <c r="BY30" s="477"/>
      <c r="BZ30" s="477"/>
      <c r="CC30" s="477"/>
      <c r="CD30" s="477"/>
      <c r="CG30" s="477"/>
      <c r="CH30" s="477"/>
    </row>
    <row r="31" spans="73:86" x14ac:dyDescent="0.2">
      <c r="BU31" s="477"/>
      <c r="BV31" s="477"/>
      <c r="BY31" s="477"/>
      <c r="BZ31" s="477"/>
      <c r="CC31" s="477"/>
      <c r="CD31" s="477"/>
      <c r="CG31" s="477"/>
      <c r="CH31" s="477"/>
    </row>
    <row r="32" spans="73:86" x14ac:dyDescent="0.2">
      <c r="BU32" s="477"/>
      <c r="BV32" s="477"/>
      <c r="BY32" s="477"/>
      <c r="BZ32" s="477"/>
      <c r="CC32" s="477"/>
      <c r="CD32" s="477"/>
      <c r="CG32" s="477"/>
      <c r="CH32" s="477"/>
    </row>
    <row r="33" spans="73:86" x14ac:dyDescent="0.2">
      <c r="BU33" s="477"/>
      <c r="BV33" s="477"/>
      <c r="BY33" s="477"/>
      <c r="BZ33" s="477"/>
      <c r="CC33" s="477"/>
      <c r="CD33" s="477"/>
      <c r="CG33" s="477"/>
      <c r="CH33" s="477"/>
    </row>
    <row r="34" spans="73:86" x14ac:dyDescent="0.2">
      <c r="BU34" s="477"/>
      <c r="BV34" s="477"/>
      <c r="BY34" s="477"/>
      <c r="BZ34" s="477"/>
      <c r="CC34" s="477"/>
      <c r="CD34" s="477"/>
      <c r="CG34" s="477"/>
      <c r="CH34" s="477"/>
    </row>
    <row r="35" spans="73:86" x14ac:dyDescent="0.2">
      <c r="BU35" s="477"/>
      <c r="BV35" s="477"/>
      <c r="BY35" s="477"/>
      <c r="BZ35" s="477"/>
      <c r="CC35" s="477"/>
      <c r="CD35" s="477"/>
      <c r="CG35" s="477"/>
      <c r="CH35" s="477"/>
    </row>
    <row r="36" spans="73:86" x14ac:dyDescent="0.2">
      <c r="BU36" s="477"/>
      <c r="BV36" s="477"/>
      <c r="BY36" s="477"/>
      <c r="BZ36" s="477"/>
      <c r="CC36" s="477"/>
      <c r="CD36" s="477"/>
      <c r="CG36" s="477"/>
      <c r="CH36" s="477"/>
    </row>
    <row r="37" spans="73:86" x14ac:dyDescent="0.2">
      <c r="BU37" s="477"/>
      <c r="BV37" s="477"/>
      <c r="BY37" s="477"/>
      <c r="BZ37" s="477"/>
      <c r="CC37" s="477"/>
      <c r="CD37" s="477"/>
      <c r="CG37" s="477"/>
      <c r="CH37" s="477"/>
    </row>
    <row r="38" spans="73:86" x14ac:dyDescent="0.2">
      <c r="BU38" s="477"/>
      <c r="BV38" s="477"/>
      <c r="BY38" s="477"/>
      <c r="BZ38" s="477"/>
      <c r="CC38" s="477"/>
      <c r="CD38" s="477"/>
      <c r="CG38" s="477"/>
      <c r="CH38" s="477"/>
    </row>
    <row r="39" spans="73:86" x14ac:dyDescent="0.2">
      <c r="BU39" s="477"/>
      <c r="BV39" s="477"/>
      <c r="BY39" s="477"/>
      <c r="BZ39" s="477"/>
      <c r="CC39" s="477"/>
      <c r="CD39" s="477"/>
      <c r="CG39" s="477"/>
      <c r="CH39" s="477"/>
    </row>
    <row r="40" spans="73:86" x14ac:dyDescent="0.2">
      <c r="BU40" s="477"/>
      <c r="BV40" s="477"/>
      <c r="BY40" s="477"/>
      <c r="BZ40" s="477"/>
      <c r="CC40" s="477"/>
      <c r="CD40" s="477"/>
      <c r="CG40" s="477"/>
      <c r="CH40" s="477"/>
    </row>
    <row r="41" spans="73:86" x14ac:dyDescent="0.2">
      <c r="BU41" s="477"/>
      <c r="BV41" s="477"/>
      <c r="BY41" s="477"/>
      <c r="BZ41" s="477"/>
      <c r="CC41" s="477"/>
      <c r="CD41" s="477"/>
      <c r="CG41" s="477"/>
      <c r="CH41" s="477"/>
    </row>
    <row r="42" spans="73:86" x14ac:dyDescent="0.2">
      <c r="BU42" s="477"/>
      <c r="BV42" s="477"/>
      <c r="BY42" s="477"/>
      <c r="BZ42" s="477"/>
      <c r="CC42" s="477"/>
      <c r="CD42" s="477"/>
      <c r="CG42" s="477"/>
      <c r="CH42" s="477"/>
    </row>
    <row r="43" spans="73:86" x14ac:dyDescent="0.2">
      <c r="BU43" s="477"/>
      <c r="BV43" s="477"/>
      <c r="BY43" s="477"/>
      <c r="BZ43" s="477"/>
      <c r="CC43" s="477"/>
      <c r="CD43" s="477"/>
      <c r="CG43" s="477"/>
      <c r="CH43" s="477"/>
    </row>
    <row r="44" spans="73:86" x14ac:dyDescent="0.2">
      <c r="BU44" s="477"/>
      <c r="BV44" s="477"/>
      <c r="BY44" s="477"/>
      <c r="BZ44" s="477"/>
      <c r="CC44" s="477"/>
      <c r="CD44" s="477"/>
      <c r="CG44" s="477"/>
      <c r="CH44" s="477"/>
    </row>
    <row r="45" spans="73:86" x14ac:dyDescent="0.2">
      <c r="BU45" s="477"/>
      <c r="BV45" s="477"/>
      <c r="BY45" s="477"/>
      <c r="BZ45" s="477"/>
      <c r="CC45" s="477"/>
      <c r="CD45" s="477"/>
      <c r="CG45" s="477"/>
      <c r="CH45" s="477"/>
    </row>
    <row r="46" spans="73:86" x14ac:dyDescent="0.2">
      <c r="BU46" s="477"/>
      <c r="BV46" s="477"/>
      <c r="BY46" s="477"/>
      <c r="BZ46" s="477"/>
      <c r="CC46" s="477"/>
      <c r="CD46" s="477"/>
      <c r="CG46" s="477"/>
      <c r="CH46" s="477"/>
    </row>
    <row r="47" spans="73:86" x14ac:dyDescent="0.2">
      <c r="BU47" s="477"/>
      <c r="BV47" s="477"/>
      <c r="BY47" s="477"/>
      <c r="BZ47" s="477"/>
      <c r="CC47" s="477"/>
      <c r="CD47" s="477"/>
      <c r="CG47" s="477"/>
      <c r="CH47" s="477"/>
    </row>
    <row r="48" spans="73:86" x14ac:dyDescent="0.2">
      <c r="BU48" s="477"/>
      <c r="BV48" s="477"/>
      <c r="BY48" s="477"/>
      <c r="BZ48" s="477"/>
      <c r="CC48" s="477"/>
      <c r="CD48" s="477"/>
      <c r="CG48" s="477"/>
      <c r="CH48" s="477"/>
    </row>
    <row r="49" spans="73:86" x14ac:dyDescent="0.2">
      <c r="BU49" s="477"/>
      <c r="BV49" s="477"/>
      <c r="BY49" s="477"/>
      <c r="BZ49" s="477"/>
      <c r="CC49" s="477"/>
      <c r="CD49" s="477"/>
      <c r="CG49" s="477"/>
      <c r="CH49" s="477"/>
    </row>
    <row r="50" spans="73:86" x14ac:dyDescent="0.2">
      <c r="BU50" s="477"/>
      <c r="BV50" s="477"/>
      <c r="BY50" s="477"/>
      <c r="BZ50" s="477"/>
      <c r="CC50" s="477"/>
      <c r="CD50" s="477"/>
      <c r="CG50" s="477"/>
      <c r="CH50" s="477"/>
    </row>
    <row r="51" spans="73:86" x14ac:dyDescent="0.2">
      <c r="BU51" s="477"/>
      <c r="BV51" s="477"/>
      <c r="BY51" s="477"/>
      <c r="BZ51" s="477"/>
      <c r="CC51" s="477"/>
      <c r="CD51" s="477"/>
      <c r="CG51" s="477"/>
      <c r="CH51" s="477"/>
    </row>
    <row r="52" spans="73:86" x14ac:dyDescent="0.2">
      <c r="BU52" s="477"/>
      <c r="BV52" s="477"/>
      <c r="BY52" s="477"/>
      <c r="BZ52" s="477"/>
      <c r="CC52" s="477"/>
      <c r="CD52" s="477"/>
      <c r="CG52" s="477"/>
      <c r="CH52" s="477"/>
    </row>
    <row r="53" spans="73:86" x14ac:dyDescent="0.2">
      <c r="BU53" s="477"/>
      <c r="BV53" s="477"/>
      <c r="BY53" s="477"/>
      <c r="BZ53" s="477"/>
      <c r="CC53" s="477"/>
      <c r="CD53" s="477"/>
      <c r="CG53" s="477"/>
      <c r="CH53" s="477"/>
    </row>
    <row r="54" spans="73:86" x14ac:dyDescent="0.2">
      <c r="BU54" s="477"/>
      <c r="BV54" s="477"/>
      <c r="BY54" s="477"/>
      <c r="BZ54" s="477"/>
      <c r="CC54" s="477"/>
      <c r="CD54" s="477"/>
      <c r="CG54" s="477"/>
      <c r="CH54" s="477"/>
    </row>
    <row r="55" spans="73:86" x14ac:dyDescent="0.2">
      <c r="BU55" s="477"/>
      <c r="BV55" s="477"/>
      <c r="BY55" s="477"/>
      <c r="BZ55" s="477"/>
      <c r="CC55" s="477"/>
      <c r="CD55" s="477"/>
      <c r="CG55" s="477"/>
      <c r="CH55" s="477"/>
    </row>
    <row r="56" spans="73:86" x14ac:dyDescent="0.2">
      <c r="BU56" s="477"/>
      <c r="BV56" s="477"/>
      <c r="BY56" s="477"/>
      <c r="BZ56" s="477"/>
      <c r="CC56" s="477"/>
      <c r="CD56" s="477"/>
      <c r="CG56" s="477"/>
      <c r="CH56" s="477"/>
    </row>
    <row r="57" spans="73:86" x14ac:dyDescent="0.2">
      <c r="BU57" s="477"/>
      <c r="BV57" s="477"/>
      <c r="BY57" s="477"/>
      <c r="BZ57" s="477"/>
      <c r="CC57" s="477"/>
      <c r="CD57" s="477"/>
      <c r="CG57" s="477"/>
      <c r="CH57" s="477"/>
    </row>
    <row r="58" spans="73:86" x14ac:dyDescent="0.2">
      <c r="BU58" s="477"/>
      <c r="BV58" s="477"/>
      <c r="BY58" s="477"/>
      <c r="BZ58" s="477"/>
      <c r="CC58" s="477"/>
      <c r="CD58" s="477"/>
      <c r="CG58" s="477"/>
      <c r="CH58" s="477"/>
    </row>
    <row r="59" spans="73:86" x14ac:dyDescent="0.2">
      <c r="BU59" s="477"/>
      <c r="BV59" s="477"/>
      <c r="BY59" s="477"/>
      <c r="BZ59" s="477"/>
      <c r="CC59" s="477"/>
      <c r="CD59" s="477"/>
      <c r="CG59" s="477"/>
      <c r="CH59" s="477"/>
    </row>
    <row r="60" spans="73:86" x14ac:dyDescent="0.2">
      <c r="BU60" s="477"/>
      <c r="BV60" s="477"/>
      <c r="BY60" s="477"/>
      <c r="BZ60" s="477"/>
      <c r="CC60" s="477"/>
      <c r="CD60" s="477"/>
      <c r="CG60" s="477"/>
      <c r="CH60" s="477"/>
    </row>
    <row r="61" spans="73:86" x14ac:dyDescent="0.2">
      <c r="BU61" s="477"/>
      <c r="BV61" s="477"/>
      <c r="BY61" s="477"/>
      <c r="BZ61" s="477"/>
      <c r="CC61" s="477"/>
      <c r="CD61" s="477"/>
      <c r="CG61" s="477"/>
      <c r="CH61" s="477"/>
    </row>
    <row r="62" spans="73:86" x14ac:dyDescent="0.2">
      <c r="BU62" s="477"/>
      <c r="BV62" s="477"/>
      <c r="BY62" s="477"/>
      <c r="BZ62" s="477"/>
      <c r="CC62" s="477"/>
      <c r="CD62" s="477"/>
      <c r="CG62" s="477"/>
      <c r="CH62" s="477"/>
    </row>
    <row r="63" spans="73:86" x14ac:dyDescent="0.2">
      <c r="BU63" s="477"/>
      <c r="BV63" s="477"/>
      <c r="BY63" s="477"/>
      <c r="BZ63" s="477"/>
      <c r="CC63" s="477"/>
      <c r="CD63" s="477"/>
      <c r="CG63" s="477"/>
      <c r="CH63" s="477"/>
    </row>
    <row r="64" spans="73:86" x14ac:dyDescent="0.2">
      <c r="BU64" s="477"/>
      <c r="BV64" s="477"/>
      <c r="BY64" s="477"/>
      <c r="BZ64" s="477"/>
      <c r="CC64" s="477"/>
      <c r="CD64" s="477"/>
      <c r="CG64" s="477"/>
      <c r="CH64" s="477"/>
    </row>
    <row r="65" spans="73:86" x14ac:dyDescent="0.2">
      <c r="BU65" s="477"/>
      <c r="BV65" s="477"/>
      <c r="BY65" s="477"/>
      <c r="BZ65" s="477"/>
      <c r="CC65" s="477"/>
      <c r="CD65" s="477"/>
      <c r="CG65" s="477"/>
      <c r="CH65" s="477"/>
    </row>
    <row r="66" spans="73:86" x14ac:dyDescent="0.2">
      <c r="BU66" s="477"/>
      <c r="BV66" s="477"/>
      <c r="BY66" s="477"/>
      <c r="BZ66" s="477"/>
      <c r="CC66" s="477"/>
      <c r="CD66" s="477"/>
      <c r="CG66" s="477"/>
      <c r="CH66" s="477"/>
    </row>
    <row r="67" spans="73:86" x14ac:dyDescent="0.2">
      <c r="BU67" s="477"/>
      <c r="BV67" s="477"/>
      <c r="BY67" s="477"/>
      <c r="BZ67" s="477"/>
      <c r="CC67" s="477"/>
      <c r="CD67" s="477"/>
      <c r="CG67" s="477"/>
      <c r="CH67" s="477"/>
    </row>
    <row r="68" spans="73:86" x14ac:dyDescent="0.2">
      <c r="BU68" s="477"/>
      <c r="BV68" s="477"/>
      <c r="BY68" s="477"/>
      <c r="BZ68" s="477"/>
      <c r="CC68" s="477"/>
      <c r="CD68" s="477"/>
      <c r="CG68" s="477"/>
      <c r="CH68" s="477"/>
    </row>
    <row r="69" spans="73:86" x14ac:dyDescent="0.2">
      <c r="BU69" s="477"/>
      <c r="BV69" s="477"/>
      <c r="BY69" s="477"/>
      <c r="BZ69" s="477"/>
      <c r="CC69" s="477"/>
      <c r="CD69" s="477"/>
      <c r="CG69" s="477"/>
      <c r="CH69" s="477"/>
    </row>
    <row r="70" spans="73:86" x14ac:dyDescent="0.2">
      <c r="BU70" s="477"/>
      <c r="BV70" s="477"/>
      <c r="BY70" s="477"/>
      <c r="BZ70" s="477"/>
      <c r="CC70" s="477"/>
      <c r="CD70" s="477"/>
      <c r="CG70" s="477"/>
      <c r="CH70" s="477"/>
    </row>
    <row r="71" spans="73:86" x14ac:dyDescent="0.2">
      <c r="BU71" s="477"/>
      <c r="BV71" s="477"/>
      <c r="BY71" s="477"/>
      <c r="BZ71" s="477"/>
      <c r="CC71" s="477"/>
      <c r="CD71" s="477"/>
      <c r="CG71" s="477"/>
      <c r="CH71" s="477"/>
    </row>
    <row r="72" spans="73:86" x14ac:dyDescent="0.2">
      <c r="BU72" s="477"/>
      <c r="BV72" s="477"/>
      <c r="BY72" s="477"/>
      <c r="BZ72" s="477"/>
      <c r="CC72" s="477"/>
      <c r="CD72" s="477"/>
      <c r="CG72" s="477"/>
      <c r="CH72" s="477"/>
    </row>
    <row r="73" spans="73:86" x14ac:dyDescent="0.2">
      <c r="BU73" s="477"/>
      <c r="BV73" s="477"/>
      <c r="BY73" s="477"/>
      <c r="BZ73" s="477"/>
      <c r="CC73" s="477"/>
      <c r="CD73" s="477"/>
      <c r="CG73" s="477"/>
      <c r="CH73" s="477"/>
    </row>
    <row r="74" spans="73:86" x14ac:dyDescent="0.2">
      <c r="BU74" s="477"/>
      <c r="BV74" s="477"/>
      <c r="BY74" s="477"/>
      <c r="BZ74" s="477"/>
      <c r="CC74" s="477"/>
      <c r="CD74" s="477"/>
      <c r="CG74" s="477"/>
      <c r="CH74" s="477"/>
    </row>
    <row r="75" spans="73:86" x14ac:dyDescent="0.2">
      <c r="BU75" s="477"/>
      <c r="BV75" s="477"/>
      <c r="BY75" s="477"/>
      <c r="BZ75" s="477"/>
      <c r="CC75" s="477"/>
      <c r="CD75" s="477"/>
      <c r="CG75" s="477"/>
      <c r="CH75" s="477"/>
    </row>
    <row r="76" spans="73:86" x14ac:dyDescent="0.2">
      <c r="BU76" s="477"/>
      <c r="BV76" s="477"/>
      <c r="BY76" s="477"/>
      <c r="BZ76" s="477"/>
      <c r="CC76" s="477"/>
      <c r="CD76" s="477"/>
      <c r="CG76" s="477"/>
      <c r="CH76" s="477"/>
    </row>
    <row r="77" spans="73:86" x14ac:dyDescent="0.2">
      <c r="BU77" s="477"/>
      <c r="BV77" s="477"/>
      <c r="BY77" s="477"/>
      <c r="BZ77" s="477"/>
      <c r="CC77" s="477"/>
      <c r="CD77" s="477"/>
      <c r="CG77" s="477"/>
      <c r="CH77" s="477"/>
    </row>
    <row r="78" spans="73:86" x14ac:dyDescent="0.2">
      <c r="BU78" s="477"/>
      <c r="BV78" s="477"/>
      <c r="BY78" s="477"/>
      <c r="BZ78" s="477"/>
      <c r="CC78" s="477"/>
      <c r="CD78" s="477"/>
      <c r="CG78" s="477"/>
      <c r="CH78" s="477"/>
    </row>
    <row r="79" spans="73:86" x14ac:dyDescent="0.2">
      <c r="BU79" s="477"/>
      <c r="BV79" s="477"/>
      <c r="BY79" s="477"/>
      <c r="BZ79" s="477"/>
      <c r="CC79" s="477"/>
      <c r="CD79" s="477"/>
      <c r="CG79" s="477"/>
      <c r="CH79" s="477"/>
    </row>
    <row r="80" spans="73:86" x14ac:dyDescent="0.2">
      <c r="BU80" s="477"/>
      <c r="BV80" s="477"/>
      <c r="BY80" s="477"/>
      <c r="BZ80" s="477"/>
      <c r="CC80" s="477"/>
      <c r="CD80" s="477"/>
      <c r="CG80" s="477"/>
      <c r="CH80" s="477"/>
    </row>
    <row r="81" spans="73:86" x14ac:dyDescent="0.2">
      <c r="BU81" s="477"/>
      <c r="BV81" s="477"/>
      <c r="BY81" s="477"/>
      <c r="BZ81" s="477"/>
      <c r="CC81" s="477"/>
      <c r="CD81" s="477"/>
      <c r="CG81" s="477"/>
      <c r="CH81" s="477"/>
    </row>
    <row r="82" spans="73:86" x14ac:dyDescent="0.2">
      <c r="BU82" s="477"/>
      <c r="BV82" s="477"/>
      <c r="BY82" s="477"/>
      <c r="BZ82" s="477"/>
      <c r="CC82" s="477"/>
      <c r="CD82" s="477"/>
      <c r="CG82" s="477"/>
      <c r="CH82" s="477"/>
    </row>
    <row r="83" spans="73:86" x14ac:dyDescent="0.2">
      <c r="BU83" s="477"/>
      <c r="BV83" s="477"/>
      <c r="BY83" s="477"/>
      <c r="BZ83" s="477"/>
      <c r="CC83" s="477"/>
      <c r="CD83" s="477"/>
      <c r="CG83" s="477"/>
      <c r="CH83" s="477"/>
    </row>
    <row r="84" spans="73:86" x14ac:dyDescent="0.2">
      <c r="BU84" s="477"/>
      <c r="BV84" s="477"/>
      <c r="BY84" s="477"/>
      <c r="BZ84" s="477"/>
      <c r="CC84" s="477"/>
      <c r="CD84" s="477"/>
      <c r="CG84" s="477"/>
      <c r="CH84" s="477"/>
    </row>
    <row r="85" spans="73:86" x14ac:dyDescent="0.2">
      <c r="BU85" s="477"/>
      <c r="BV85" s="477"/>
      <c r="BY85" s="477"/>
      <c r="BZ85" s="477"/>
      <c r="CC85" s="477"/>
      <c r="CD85" s="477"/>
      <c r="CG85" s="477"/>
      <c r="CH85" s="477"/>
    </row>
    <row r="86" spans="73:86" x14ac:dyDescent="0.2">
      <c r="BU86" s="477"/>
      <c r="BV86" s="477"/>
      <c r="BY86" s="477"/>
      <c r="BZ86" s="477"/>
      <c r="CC86" s="477"/>
      <c r="CD86" s="477"/>
      <c r="CG86" s="477"/>
      <c r="CH86" s="477"/>
    </row>
    <row r="87" spans="73:86" x14ac:dyDescent="0.2">
      <c r="BU87" s="477"/>
      <c r="BV87" s="477"/>
      <c r="BY87" s="477"/>
      <c r="BZ87" s="477"/>
      <c r="CC87" s="477"/>
      <c r="CD87" s="477"/>
      <c r="CG87" s="477"/>
      <c r="CH87" s="477"/>
    </row>
    <row r="88" spans="73:86" x14ac:dyDescent="0.2">
      <c r="BU88" s="477"/>
      <c r="BV88" s="477"/>
      <c r="BY88" s="477"/>
      <c r="BZ88" s="477"/>
      <c r="CC88" s="477"/>
      <c r="CD88" s="477"/>
      <c r="CG88" s="477"/>
      <c r="CH88" s="477"/>
    </row>
    <row r="89" spans="73:86" x14ac:dyDescent="0.2">
      <c r="BU89" s="477"/>
      <c r="BV89" s="477"/>
      <c r="BY89" s="477"/>
      <c r="BZ89" s="477"/>
      <c r="CC89" s="477"/>
      <c r="CD89" s="477"/>
      <c r="CG89" s="477"/>
      <c r="CH89" s="477"/>
    </row>
    <row r="90" spans="73:86" x14ac:dyDescent="0.2">
      <c r="BU90" s="477"/>
      <c r="BV90" s="477"/>
      <c r="BY90" s="477"/>
      <c r="BZ90" s="477"/>
      <c r="CC90" s="477"/>
      <c r="CD90" s="477"/>
      <c r="CG90" s="477"/>
      <c r="CH90" s="477"/>
    </row>
    <row r="91" spans="73:86" x14ac:dyDescent="0.2">
      <c r="BU91" s="477"/>
      <c r="BV91" s="477"/>
      <c r="BY91" s="477"/>
      <c r="BZ91" s="477"/>
      <c r="CC91" s="477"/>
      <c r="CD91" s="477"/>
      <c r="CG91" s="477"/>
      <c r="CH91" s="477"/>
    </row>
    <row r="92" spans="73:86" x14ac:dyDescent="0.2">
      <c r="BU92" s="477"/>
      <c r="BV92" s="477"/>
      <c r="BY92" s="477"/>
      <c r="BZ92" s="477"/>
      <c r="CC92" s="477"/>
      <c r="CD92" s="477"/>
      <c r="CG92" s="477"/>
      <c r="CH92" s="477"/>
    </row>
    <row r="93" spans="73:86" x14ac:dyDescent="0.2">
      <c r="BU93" s="477"/>
      <c r="BV93" s="477"/>
      <c r="BY93" s="477"/>
      <c r="BZ93" s="477"/>
      <c r="CC93" s="477"/>
      <c r="CD93" s="477"/>
      <c r="CG93" s="477"/>
      <c r="CH93" s="477"/>
    </row>
    <row r="94" spans="73:86" x14ac:dyDescent="0.2">
      <c r="BU94" s="477"/>
      <c r="BV94" s="477"/>
      <c r="BY94" s="477"/>
      <c r="BZ94" s="477"/>
      <c r="CC94" s="477"/>
      <c r="CD94" s="477"/>
      <c r="CG94" s="477"/>
      <c r="CH94" s="477"/>
    </row>
    <row r="95" spans="73:86" x14ac:dyDescent="0.2">
      <c r="BU95" s="477"/>
      <c r="BV95" s="477"/>
      <c r="BY95" s="477"/>
      <c r="BZ95" s="477"/>
      <c r="CC95" s="477"/>
      <c r="CD95" s="477"/>
      <c r="CG95" s="477"/>
      <c r="CH95" s="477"/>
    </row>
    <row r="96" spans="73:86" x14ac:dyDescent="0.2">
      <c r="BU96" s="477"/>
      <c r="BV96" s="477"/>
      <c r="BY96" s="477"/>
      <c r="BZ96" s="477"/>
      <c r="CC96" s="477"/>
      <c r="CD96" s="477"/>
      <c r="CG96" s="477"/>
      <c r="CH96" s="477"/>
    </row>
    <row r="97" spans="73:86" x14ac:dyDescent="0.2">
      <c r="BU97" s="477"/>
      <c r="BV97" s="477"/>
      <c r="BY97" s="477"/>
      <c r="BZ97" s="477"/>
      <c r="CC97" s="477"/>
      <c r="CD97" s="477"/>
      <c r="CG97" s="477"/>
      <c r="CH97" s="477"/>
    </row>
    <row r="98" spans="73:86" x14ac:dyDescent="0.2">
      <c r="BU98" s="477"/>
      <c r="BV98" s="477"/>
      <c r="BY98" s="477"/>
      <c r="BZ98" s="477"/>
      <c r="CC98" s="477"/>
      <c r="CD98" s="477"/>
      <c r="CG98" s="477"/>
      <c r="CH98" s="477"/>
    </row>
    <row r="99" spans="73:86" x14ac:dyDescent="0.2">
      <c r="BU99" s="477"/>
      <c r="BV99" s="477"/>
      <c r="BY99" s="477"/>
      <c r="BZ99" s="477"/>
      <c r="CC99" s="477"/>
      <c r="CD99" s="477"/>
      <c r="CG99" s="477"/>
      <c r="CH99" s="477"/>
    </row>
    <row r="100" spans="73:86" x14ac:dyDescent="0.2">
      <c r="BU100" s="477"/>
      <c r="BV100" s="477"/>
      <c r="BY100" s="477"/>
      <c r="BZ100" s="477"/>
      <c r="CC100" s="477"/>
      <c r="CD100" s="477"/>
      <c r="CG100" s="477"/>
      <c r="CH100" s="477"/>
    </row>
    <row r="101" spans="73:86" x14ac:dyDescent="0.2">
      <c r="BU101" s="477"/>
      <c r="BV101" s="477"/>
      <c r="BY101" s="477"/>
      <c r="BZ101" s="477"/>
      <c r="CC101" s="477"/>
      <c r="CD101" s="477"/>
      <c r="CG101" s="477"/>
      <c r="CH101" s="477"/>
    </row>
    <row r="102" spans="73:86" x14ac:dyDescent="0.2">
      <c r="BU102" s="477"/>
      <c r="BV102" s="477"/>
      <c r="BY102" s="477"/>
      <c r="BZ102" s="477"/>
      <c r="CC102" s="477"/>
      <c r="CD102" s="477"/>
      <c r="CG102" s="477"/>
      <c r="CH102" s="477"/>
    </row>
    <row r="103" spans="73:86" x14ac:dyDescent="0.2">
      <c r="BU103" s="477"/>
      <c r="BV103" s="477"/>
      <c r="BY103" s="477"/>
      <c r="BZ103" s="477"/>
      <c r="CC103" s="477"/>
      <c r="CD103" s="477"/>
      <c r="CG103" s="477"/>
      <c r="CH103" s="477"/>
    </row>
    <row r="104" spans="73:86" x14ac:dyDescent="0.2">
      <c r="BU104" s="477"/>
      <c r="BV104" s="477"/>
      <c r="BY104" s="477"/>
      <c r="BZ104" s="477"/>
      <c r="CC104" s="477"/>
      <c r="CD104" s="477"/>
      <c r="CG104" s="477"/>
      <c r="CH104" s="477"/>
    </row>
    <row r="105" spans="73:86" x14ac:dyDescent="0.2">
      <c r="BU105" s="477"/>
      <c r="BV105" s="477"/>
      <c r="BY105" s="477"/>
      <c r="BZ105" s="477"/>
      <c r="CC105" s="477"/>
      <c r="CD105" s="477"/>
      <c r="CG105" s="477"/>
      <c r="CH105" s="477"/>
    </row>
    <row r="106" spans="73:86" x14ac:dyDescent="0.2">
      <c r="BU106" s="477"/>
      <c r="BV106" s="477"/>
      <c r="BY106" s="477"/>
      <c r="BZ106" s="477"/>
      <c r="CC106" s="477"/>
      <c r="CD106" s="477"/>
      <c r="CG106" s="477"/>
      <c r="CH106" s="477"/>
    </row>
    <row r="107" spans="73:86" x14ac:dyDescent="0.2">
      <c r="BU107" s="477"/>
      <c r="BV107" s="477"/>
      <c r="BY107" s="477"/>
      <c r="BZ107" s="477"/>
      <c r="CC107" s="477"/>
      <c r="CD107" s="477"/>
      <c r="CG107" s="477"/>
      <c r="CH107" s="477"/>
    </row>
    <row r="108" spans="73:86" x14ac:dyDescent="0.2">
      <c r="BU108" s="477"/>
      <c r="BV108" s="477"/>
      <c r="BY108" s="477"/>
      <c r="BZ108" s="477"/>
      <c r="CC108" s="477"/>
      <c r="CD108" s="477"/>
      <c r="CG108" s="477"/>
      <c r="CH108" s="477"/>
    </row>
    <row r="109" spans="73:86" x14ac:dyDescent="0.2">
      <c r="BU109" s="477"/>
      <c r="BV109" s="477"/>
      <c r="BY109" s="477"/>
      <c r="BZ109" s="477"/>
      <c r="CC109" s="477"/>
      <c r="CD109" s="477"/>
      <c r="CG109" s="477"/>
      <c r="CH109" s="477"/>
    </row>
    <row r="110" spans="73:86" x14ac:dyDescent="0.2">
      <c r="BU110" s="477"/>
      <c r="BV110" s="477"/>
      <c r="BY110" s="477"/>
      <c r="BZ110" s="477"/>
      <c r="CC110" s="477"/>
      <c r="CD110" s="477"/>
      <c r="CG110" s="477"/>
      <c r="CH110" s="477"/>
    </row>
    <row r="111" spans="73:86" x14ac:dyDescent="0.2">
      <c r="BU111" s="477"/>
      <c r="BV111" s="477"/>
      <c r="BY111" s="477"/>
      <c r="BZ111" s="477"/>
      <c r="CC111" s="477"/>
      <c r="CD111" s="477"/>
      <c r="CG111" s="477"/>
      <c r="CH111" s="477"/>
    </row>
    <row r="112" spans="73:86" x14ac:dyDescent="0.2">
      <c r="BU112" s="477"/>
      <c r="BV112" s="477"/>
      <c r="BY112" s="477"/>
      <c r="BZ112" s="477"/>
      <c r="CC112" s="477"/>
      <c r="CD112" s="477"/>
      <c r="CG112" s="477"/>
      <c r="CH112" s="477"/>
    </row>
    <row r="113" spans="73:86" x14ac:dyDescent="0.2">
      <c r="BU113" s="477"/>
      <c r="BV113" s="477"/>
      <c r="BY113" s="477"/>
      <c r="BZ113" s="477"/>
      <c r="CC113" s="477"/>
      <c r="CD113" s="477"/>
      <c r="CG113" s="477"/>
      <c r="CH113" s="477"/>
    </row>
    <row r="114" spans="73:86" x14ac:dyDescent="0.2">
      <c r="BU114" s="477"/>
      <c r="BV114" s="477"/>
      <c r="BY114" s="477"/>
      <c r="BZ114" s="477"/>
      <c r="CC114" s="477"/>
      <c r="CD114" s="477"/>
      <c r="CG114" s="477"/>
      <c r="CH114" s="477"/>
    </row>
    <row r="115" spans="73:86" x14ac:dyDescent="0.2">
      <c r="BU115" s="477"/>
      <c r="BV115" s="477"/>
      <c r="BY115" s="477"/>
      <c r="BZ115" s="477"/>
      <c r="CC115" s="477"/>
      <c r="CD115" s="477"/>
      <c r="CG115" s="477"/>
      <c r="CH115" s="477"/>
    </row>
    <row r="116" spans="73:86" x14ac:dyDescent="0.2">
      <c r="BU116" s="477"/>
      <c r="BV116" s="477"/>
      <c r="BY116" s="477"/>
      <c r="BZ116" s="477"/>
      <c r="CC116" s="477"/>
      <c r="CD116" s="477"/>
      <c r="CG116" s="477"/>
      <c r="CH116" s="477"/>
    </row>
    <row r="117" spans="73:86" x14ac:dyDescent="0.2">
      <c r="BU117" s="477"/>
      <c r="BV117" s="477"/>
      <c r="BY117" s="477"/>
      <c r="BZ117" s="477"/>
      <c r="CC117" s="477"/>
      <c r="CD117" s="477"/>
      <c r="CG117" s="477"/>
      <c r="CH117" s="477"/>
    </row>
    <row r="118" spans="73:86" x14ac:dyDescent="0.2">
      <c r="BU118" s="477"/>
      <c r="BV118" s="477"/>
      <c r="BY118" s="477"/>
      <c r="BZ118" s="477"/>
      <c r="CC118" s="477"/>
      <c r="CD118" s="477"/>
      <c r="CG118" s="477"/>
      <c r="CH118" s="477"/>
    </row>
    <row r="119" spans="73:86" x14ac:dyDescent="0.2">
      <c r="BU119" s="477"/>
      <c r="BV119" s="477"/>
      <c r="BY119" s="477"/>
      <c r="BZ119" s="477"/>
      <c r="CC119" s="477"/>
      <c r="CD119" s="477"/>
      <c r="CG119" s="477"/>
      <c r="CH119" s="477"/>
    </row>
    <row r="120" spans="73:86" x14ac:dyDescent="0.2">
      <c r="BU120" s="477"/>
      <c r="BV120" s="477"/>
      <c r="BY120" s="477"/>
      <c r="BZ120" s="477"/>
      <c r="CC120" s="477"/>
      <c r="CD120" s="477"/>
      <c r="CG120" s="477"/>
      <c r="CH120" s="477"/>
    </row>
    <row r="121" spans="73:86" x14ac:dyDescent="0.2">
      <c r="BU121" s="477"/>
      <c r="BV121" s="477"/>
      <c r="BY121" s="477"/>
      <c r="BZ121" s="477"/>
      <c r="CC121" s="477"/>
      <c r="CD121" s="477"/>
      <c r="CG121" s="477"/>
      <c r="CH121" s="477"/>
    </row>
    <row r="122" spans="73:86" x14ac:dyDescent="0.2">
      <c r="BU122" s="477"/>
      <c r="BV122" s="477"/>
      <c r="BY122" s="477"/>
      <c r="BZ122" s="477"/>
      <c r="CC122" s="477"/>
      <c r="CD122" s="477"/>
      <c r="CG122" s="477"/>
      <c r="CH122" s="477"/>
    </row>
    <row r="123" spans="73:86" x14ac:dyDescent="0.2">
      <c r="BU123" s="477"/>
      <c r="BV123" s="477"/>
      <c r="BY123" s="477"/>
      <c r="BZ123" s="477"/>
      <c r="CC123" s="477"/>
      <c r="CD123" s="477"/>
      <c r="CG123" s="477"/>
      <c r="CH123" s="477"/>
    </row>
    <row r="124" spans="73:86" x14ac:dyDescent="0.2">
      <c r="BU124" s="477"/>
      <c r="BV124" s="477"/>
      <c r="BY124" s="477"/>
      <c r="BZ124" s="477"/>
      <c r="CC124" s="477"/>
      <c r="CD124" s="477"/>
      <c r="CG124" s="477"/>
      <c r="CH124" s="477"/>
    </row>
    <row r="125" spans="73:86" x14ac:dyDescent="0.2">
      <c r="BU125" s="477"/>
      <c r="BV125" s="477"/>
      <c r="BY125" s="477"/>
      <c r="BZ125" s="477"/>
      <c r="CC125" s="477"/>
      <c r="CD125" s="477"/>
      <c r="CG125" s="477"/>
      <c r="CH125" s="477"/>
    </row>
    <row r="126" spans="73:86" x14ac:dyDescent="0.2">
      <c r="BU126" s="477"/>
      <c r="BV126" s="477"/>
      <c r="BY126" s="477"/>
      <c r="BZ126" s="477"/>
      <c r="CC126" s="477"/>
      <c r="CD126" s="477"/>
      <c r="CG126" s="477"/>
      <c r="CH126" s="477"/>
    </row>
    <row r="127" spans="73:86" x14ac:dyDescent="0.2">
      <c r="BU127" s="477"/>
      <c r="BV127" s="477"/>
      <c r="BY127" s="477"/>
      <c r="BZ127" s="477"/>
      <c r="CC127" s="477"/>
      <c r="CD127" s="477"/>
      <c r="CG127" s="477"/>
      <c r="CH127" s="477"/>
    </row>
    <row r="128" spans="73:86" x14ac:dyDescent="0.2">
      <c r="BU128" s="477"/>
      <c r="BV128" s="477"/>
      <c r="BY128" s="477"/>
      <c r="BZ128" s="477"/>
      <c r="CC128" s="477"/>
      <c r="CD128" s="477"/>
      <c r="CG128" s="477"/>
      <c r="CH128" s="477"/>
    </row>
    <row r="129" spans="73:86" x14ac:dyDescent="0.2">
      <c r="BU129" s="477"/>
      <c r="BV129" s="477"/>
      <c r="BY129" s="477"/>
      <c r="BZ129" s="477"/>
      <c r="CC129" s="477"/>
      <c r="CD129" s="477"/>
      <c r="CG129" s="477"/>
      <c r="CH129" s="477"/>
    </row>
    <row r="130" spans="73:86" x14ac:dyDescent="0.2">
      <c r="BU130" s="477"/>
      <c r="BV130" s="477"/>
      <c r="BY130" s="477"/>
      <c r="BZ130" s="477"/>
      <c r="CC130" s="477"/>
      <c r="CD130" s="477"/>
      <c r="CG130" s="477"/>
      <c r="CH130" s="477"/>
    </row>
    <row r="131" spans="73:86" x14ac:dyDescent="0.2">
      <c r="BU131" s="477"/>
      <c r="BV131" s="477"/>
      <c r="BY131" s="477"/>
      <c r="BZ131" s="477"/>
      <c r="CC131" s="477"/>
      <c r="CD131" s="477"/>
      <c r="CG131" s="477"/>
      <c r="CH131" s="477"/>
    </row>
    <row r="132" spans="73:86" x14ac:dyDescent="0.2">
      <c r="BU132" s="477"/>
      <c r="BV132" s="477"/>
      <c r="BY132" s="477"/>
      <c r="BZ132" s="477"/>
      <c r="CC132" s="477"/>
      <c r="CD132" s="477"/>
      <c r="CG132" s="477"/>
      <c r="CH132" s="477"/>
    </row>
    <row r="133" spans="73:86" x14ac:dyDescent="0.2">
      <c r="BU133" s="477"/>
      <c r="BV133" s="477"/>
      <c r="BY133" s="477"/>
      <c r="BZ133" s="477"/>
      <c r="CC133" s="477"/>
      <c r="CD133" s="477"/>
      <c r="CG133" s="477"/>
      <c r="CH133" s="477"/>
    </row>
    <row r="134" spans="73:86" x14ac:dyDescent="0.2">
      <c r="BU134" s="477"/>
      <c r="BV134" s="477"/>
      <c r="BY134" s="477"/>
      <c r="BZ134" s="477"/>
      <c r="CC134" s="477"/>
      <c r="CD134" s="477"/>
      <c r="CG134" s="477"/>
      <c r="CH134" s="477"/>
    </row>
    <row r="135" spans="73:86" x14ac:dyDescent="0.2">
      <c r="BU135" s="477"/>
      <c r="BV135" s="477"/>
      <c r="BY135" s="477"/>
      <c r="BZ135" s="477"/>
      <c r="CC135" s="477"/>
      <c r="CD135" s="477"/>
      <c r="CG135" s="477"/>
      <c r="CH135" s="477"/>
    </row>
    <row r="136" spans="73:86" x14ac:dyDescent="0.2">
      <c r="BU136" s="477"/>
      <c r="BV136" s="477"/>
      <c r="BY136" s="477"/>
      <c r="BZ136" s="477"/>
      <c r="CC136" s="477"/>
      <c r="CD136" s="477"/>
      <c r="CG136" s="477"/>
      <c r="CH136" s="477"/>
    </row>
    <row r="137" spans="73:86" x14ac:dyDescent="0.2">
      <c r="BU137" s="477"/>
      <c r="BV137" s="477"/>
      <c r="BY137" s="477"/>
      <c r="BZ137" s="477"/>
      <c r="CC137" s="477"/>
      <c r="CD137" s="477"/>
      <c r="CG137" s="477"/>
      <c r="CH137" s="477"/>
    </row>
    <row r="138" spans="73:86" x14ac:dyDescent="0.2">
      <c r="BU138" s="477"/>
      <c r="BV138" s="477"/>
      <c r="BY138" s="477"/>
      <c r="BZ138" s="477"/>
      <c r="CC138" s="477"/>
      <c r="CD138" s="477"/>
      <c r="CG138" s="477"/>
      <c r="CH138" s="477"/>
    </row>
    <row r="139" spans="73:86" x14ac:dyDescent="0.2">
      <c r="BU139" s="477"/>
      <c r="BV139" s="477"/>
      <c r="BY139" s="477"/>
      <c r="BZ139" s="477"/>
      <c r="CC139" s="477"/>
      <c r="CD139" s="477"/>
      <c r="CG139" s="477"/>
      <c r="CH139" s="477"/>
    </row>
    <row r="140" spans="73:86" x14ac:dyDescent="0.2">
      <c r="BU140" s="477"/>
      <c r="BV140" s="477"/>
      <c r="BY140" s="477"/>
      <c r="BZ140" s="477"/>
      <c r="CC140" s="477"/>
      <c r="CD140" s="477"/>
      <c r="CG140" s="477"/>
      <c r="CH140" s="477"/>
    </row>
    <row r="141" spans="73:86" x14ac:dyDescent="0.2">
      <c r="BU141" s="477"/>
      <c r="BV141" s="477"/>
      <c r="BY141" s="477"/>
      <c r="BZ141" s="477"/>
      <c r="CC141" s="477"/>
      <c r="CD141" s="477"/>
      <c r="CG141" s="477"/>
      <c r="CH141" s="477"/>
    </row>
    <row r="142" spans="73:86" x14ac:dyDescent="0.2">
      <c r="BU142" s="477"/>
      <c r="BV142" s="477"/>
      <c r="BY142" s="477"/>
      <c r="BZ142" s="477"/>
      <c r="CC142" s="477"/>
      <c r="CD142" s="477"/>
      <c r="CG142" s="477"/>
      <c r="CH142" s="477"/>
    </row>
    <row r="143" spans="73:86" x14ac:dyDescent="0.2">
      <c r="BU143" s="477"/>
      <c r="BV143" s="477"/>
      <c r="BY143" s="477"/>
      <c r="BZ143" s="477"/>
      <c r="CC143" s="477"/>
      <c r="CD143" s="477"/>
      <c r="CG143" s="477"/>
      <c r="CH143" s="477"/>
    </row>
    <row r="144" spans="73:86" x14ac:dyDescent="0.2">
      <c r="BU144" s="477"/>
      <c r="BV144" s="477"/>
      <c r="BY144" s="477"/>
      <c r="BZ144" s="477"/>
      <c r="CC144" s="477"/>
      <c r="CD144" s="477"/>
      <c r="CG144" s="477"/>
      <c r="CH144" s="477"/>
    </row>
    <row r="145" spans="73:86" x14ac:dyDescent="0.2">
      <c r="BU145" s="477"/>
      <c r="BV145" s="477"/>
      <c r="BY145" s="477"/>
      <c r="BZ145" s="477"/>
      <c r="CC145" s="477"/>
      <c r="CD145" s="477"/>
      <c r="CG145" s="477"/>
      <c r="CH145" s="477"/>
    </row>
    <row r="146" spans="73:86" x14ac:dyDescent="0.2">
      <c r="BU146" s="477"/>
      <c r="BV146" s="477"/>
      <c r="BY146" s="477"/>
      <c r="BZ146" s="477"/>
      <c r="CC146" s="477"/>
      <c r="CD146" s="477"/>
      <c r="CG146" s="477"/>
      <c r="CH146" s="477"/>
    </row>
    <row r="147" spans="73:86" x14ac:dyDescent="0.2">
      <c r="BU147" s="477"/>
      <c r="BV147" s="477"/>
      <c r="BY147" s="477"/>
      <c r="BZ147" s="477"/>
      <c r="CC147" s="477"/>
      <c r="CD147" s="477"/>
      <c r="CG147" s="477"/>
      <c r="CH147" s="477"/>
    </row>
    <row r="148" spans="73:86" x14ac:dyDescent="0.2">
      <c r="BU148" s="477"/>
      <c r="BV148" s="477"/>
      <c r="BY148" s="477"/>
      <c r="BZ148" s="477"/>
      <c r="CC148" s="477"/>
      <c r="CD148" s="477"/>
      <c r="CG148" s="477"/>
      <c r="CH148" s="477"/>
    </row>
    <row r="149" spans="73:86" x14ac:dyDescent="0.2">
      <c r="BU149" s="477"/>
      <c r="BV149" s="477"/>
      <c r="BY149" s="477"/>
      <c r="BZ149" s="477"/>
      <c r="CC149" s="477"/>
      <c r="CD149" s="477"/>
      <c r="CG149" s="477"/>
      <c r="CH149" s="477"/>
    </row>
    <row r="150" spans="73:86" x14ac:dyDescent="0.2">
      <c r="BU150" s="477"/>
      <c r="BV150" s="477"/>
      <c r="BY150" s="477"/>
      <c r="BZ150" s="477"/>
      <c r="CC150" s="477"/>
      <c r="CD150" s="477"/>
      <c r="CG150" s="477"/>
      <c r="CH150" s="477"/>
    </row>
    <row r="151" spans="73:86" x14ac:dyDescent="0.2">
      <c r="BU151" s="477"/>
      <c r="BV151" s="477"/>
      <c r="BY151" s="477"/>
      <c r="BZ151" s="477"/>
      <c r="CC151" s="477"/>
      <c r="CD151" s="477"/>
      <c r="CG151" s="477"/>
      <c r="CH151" s="477"/>
    </row>
    <row r="152" spans="73:86" x14ac:dyDescent="0.2">
      <c r="BU152" s="477"/>
      <c r="BV152" s="477"/>
      <c r="BY152" s="477"/>
      <c r="BZ152" s="477"/>
      <c r="CC152" s="477"/>
      <c r="CD152" s="477"/>
      <c r="CG152" s="477"/>
      <c r="CH152" s="477"/>
    </row>
    <row r="153" spans="73:86" x14ac:dyDescent="0.2">
      <c r="BU153" s="477"/>
      <c r="BV153" s="477"/>
      <c r="BY153" s="477"/>
      <c r="BZ153" s="477"/>
      <c r="CC153" s="477"/>
      <c r="CD153" s="477"/>
      <c r="CG153" s="477"/>
      <c r="CH153" s="477"/>
    </row>
    <row r="154" spans="73:86" x14ac:dyDescent="0.2">
      <c r="BU154" s="477"/>
      <c r="BV154" s="477"/>
      <c r="BY154" s="477"/>
      <c r="BZ154" s="477"/>
      <c r="CC154" s="477"/>
      <c r="CD154" s="477"/>
      <c r="CG154" s="477"/>
      <c r="CH154" s="477"/>
    </row>
    <row r="155" spans="73:86" x14ac:dyDescent="0.2">
      <c r="BU155" s="477"/>
      <c r="BV155" s="477"/>
      <c r="BY155" s="477"/>
      <c r="BZ155" s="477"/>
      <c r="CC155" s="477"/>
      <c r="CD155" s="477"/>
      <c r="CG155" s="477"/>
      <c r="CH155" s="477"/>
    </row>
    <row r="156" spans="73:86" x14ac:dyDescent="0.2">
      <c r="BU156" s="477"/>
      <c r="BV156" s="477"/>
      <c r="BY156" s="477"/>
      <c r="BZ156" s="477"/>
      <c r="CC156" s="477"/>
      <c r="CD156" s="477"/>
      <c r="CG156" s="477"/>
      <c r="CH156" s="477"/>
    </row>
    <row r="157" spans="73:86" x14ac:dyDescent="0.2">
      <c r="BU157" s="477"/>
      <c r="BV157" s="477"/>
      <c r="BY157" s="477"/>
      <c r="BZ157" s="477"/>
      <c r="CC157" s="477"/>
      <c r="CD157" s="477"/>
      <c r="CG157" s="477"/>
      <c r="CH157" s="477"/>
    </row>
    <row r="158" spans="73:86" x14ac:dyDescent="0.2">
      <c r="BU158" s="477"/>
      <c r="BV158" s="477"/>
      <c r="BY158" s="477"/>
      <c r="BZ158" s="477"/>
      <c r="CC158" s="477"/>
      <c r="CD158" s="477"/>
      <c r="CG158" s="477"/>
      <c r="CH158" s="477"/>
    </row>
    <row r="159" spans="73:86" x14ac:dyDescent="0.2">
      <c r="BU159" s="477"/>
      <c r="BV159" s="477"/>
      <c r="BY159" s="477"/>
      <c r="BZ159" s="477"/>
      <c r="CC159" s="477"/>
      <c r="CD159" s="477"/>
      <c r="CG159" s="477"/>
      <c r="CH159" s="477"/>
    </row>
    <row r="160" spans="73:86" x14ac:dyDescent="0.2">
      <c r="BU160" s="477"/>
      <c r="BV160" s="477"/>
      <c r="BY160" s="477"/>
      <c r="BZ160" s="477"/>
      <c r="CC160" s="477"/>
      <c r="CD160" s="477"/>
      <c r="CG160" s="477"/>
      <c r="CH160" s="477"/>
    </row>
    <row r="161" spans="73:86" x14ac:dyDescent="0.2">
      <c r="BU161" s="477"/>
      <c r="BV161" s="477"/>
      <c r="BY161" s="477"/>
      <c r="BZ161" s="477"/>
      <c r="CC161" s="477"/>
      <c r="CD161" s="477"/>
      <c r="CG161" s="477"/>
      <c r="CH161" s="477"/>
    </row>
    <row r="162" spans="73:86" x14ac:dyDescent="0.2">
      <c r="BU162" s="477"/>
      <c r="BV162" s="477"/>
      <c r="BY162" s="477"/>
      <c r="BZ162" s="477"/>
      <c r="CC162" s="477"/>
      <c r="CD162" s="477"/>
      <c r="CG162" s="477"/>
      <c r="CH162" s="477"/>
    </row>
    <row r="163" spans="73:86" x14ac:dyDescent="0.2">
      <c r="BU163" s="477"/>
      <c r="BV163" s="477"/>
      <c r="BY163" s="477"/>
      <c r="BZ163" s="477"/>
      <c r="CC163" s="477"/>
      <c r="CD163" s="477"/>
      <c r="CG163" s="477"/>
      <c r="CH163" s="477"/>
    </row>
    <row r="164" spans="73:86" x14ac:dyDescent="0.2">
      <c r="BU164" s="477"/>
      <c r="BV164" s="477"/>
      <c r="BY164" s="477"/>
      <c r="BZ164" s="477"/>
      <c r="CC164" s="477"/>
      <c r="CD164" s="477"/>
      <c r="CG164" s="477"/>
      <c r="CH164" s="477"/>
    </row>
    <row r="165" spans="73:86" x14ac:dyDescent="0.2">
      <c r="BU165" s="477"/>
      <c r="BV165" s="477"/>
      <c r="BY165" s="477"/>
      <c r="BZ165" s="477"/>
      <c r="CC165" s="477"/>
      <c r="CD165" s="477"/>
      <c r="CG165" s="477"/>
      <c r="CH165" s="477"/>
    </row>
    <row r="166" spans="73:86" x14ac:dyDescent="0.2">
      <c r="BU166" s="477"/>
      <c r="BV166" s="477"/>
      <c r="BY166" s="477"/>
      <c r="BZ166" s="477"/>
      <c r="CC166" s="477"/>
      <c r="CD166" s="477"/>
      <c r="CG166" s="477"/>
      <c r="CH166" s="477"/>
    </row>
    <row r="167" spans="73:86" x14ac:dyDescent="0.2">
      <c r="BU167" s="477"/>
      <c r="BV167" s="477"/>
      <c r="BY167" s="477"/>
      <c r="BZ167" s="477"/>
      <c r="CC167" s="477"/>
      <c r="CD167" s="477"/>
      <c r="CG167" s="477"/>
      <c r="CH167" s="477"/>
    </row>
    <row r="168" spans="73:86" x14ac:dyDescent="0.2">
      <c r="BU168" s="477"/>
      <c r="BV168" s="477"/>
      <c r="BY168" s="477"/>
      <c r="BZ168" s="477"/>
      <c r="CC168" s="477"/>
      <c r="CD168" s="477"/>
      <c r="CG168" s="477"/>
      <c r="CH168" s="477"/>
    </row>
    <row r="169" spans="73:86" x14ac:dyDescent="0.2">
      <c r="BU169" s="477"/>
      <c r="BV169" s="477"/>
      <c r="BY169" s="477"/>
      <c r="BZ169" s="477"/>
      <c r="CC169" s="477"/>
      <c r="CD169" s="477"/>
      <c r="CG169" s="477"/>
      <c r="CH169" s="477"/>
    </row>
    <row r="170" spans="73:86" x14ac:dyDescent="0.2">
      <c r="BU170" s="477"/>
      <c r="BV170" s="477"/>
      <c r="BY170" s="477"/>
      <c r="BZ170" s="477"/>
      <c r="CC170" s="477"/>
      <c r="CD170" s="477"/>
      <c r="CG170" s="477"/>
      <c r="CH170" s="477"/>
    </row>
    <row r="171" spans="73:86" x14ac:dyDescent="0.2">
      <c r="BU171" s="477"/>
      <c r="BV171" s="477"/>
      <c r="BY171" s="477"/>
      <c r="BZ171" s="477"/>
      <c r="CC171" s="477"/>
      <c r="CD171" s="477"/>
      <c r="CG171" s="477"/>
      <c r="CH171" s="477"/>
    </row>
    <row r="172" spans="73:86" x14ac:dyDescent="0.2">
      <c r="BU172" s="477"/>
      <c r="BV172" s="477"/>
      <c r="BY172" s="477"/>
      <c r="BZ172" s="477"/>
      <c r="CC172" s="477"/>
      <c r="CD172" s="477"/>
      <c r="CG172" s="477"/>
      <c r="CH172" s="477"/>
    </row>
    <row r="173" spans="73:86" x14ac:dyDescent="0.2">
      <c r="BU173" s="477"/>
      <c r="BV173" s="477"/>
      <c r="BY173" s="477"/>
      <c r="BZ173" s="477"/>
      <c r="CC173" s="477"/>
      <c r="CD173" s="477"/>
      <c r="CG173" s="477"/>
      <c r="CH173" s="477"/>
    </row>
    <row r="174" spans="73:86" x14ac:dyDescent="0.2">
      <c r="BU174" s="477"/>
      <c r="BV174" s="477"/>
      <c r="BY174" s="477"/>
      <c r="BZ174" s="477"/>
      <c r="CC174" s="477"/>
      <c r="CD174" s="477"/>
      <c r="CG174" s="477"/>
      <c r="CH174" s="477"/>
    </row>
    <row r="175" spans="73:86" x14ac:dyDescent="0.2">
      <c r="BU175" s="477"/>
      <c r="BV175" s="477"/>
      <c r="BY175" s="477"/>
      <c r="BZ175" s="477"/>
      <c r="CC175" s="477"/>
      <c r="CD175" s="477"/>
      <c r="CG175" s="477"/>
      <c r="CH175" s="477"/>
    </row>
    <row r="176" spans="73:86" x14ac:dyDescent="0.2">
      <c r="BU176" s="477"/>
      <c r="BV176" s="477"/>
      <c r="BY176" s="477"/>
      <c r="BZ176" s="477"/>
      <c r="CC176" s="477"/>
      <c r="CD176" s="477"/>
      <c r="CG176" s="477"/>
      <c r="CH176" s="477"/>
    </row>
    <row r="177" spans="73:86" x14ac:dyDescent="0.2">
      <c r="BU177" s="477"/>
      <c r="BV177" s="477"/>
      <c r="BY177" s="477"/>
      <c r="BZ177" s="477"/>
      <c r="CC177" s="477"/>
      <c r="CD177" s="477"/>
      <c r="CG177" s="477"/>
      <c r="CH177" s="477"/>
    </row>
    <row r="178" spans="73:86" x14ac:dyDescent="0.2">
      <c r="BU178" s="477"/>
      <c r="BV178" s="477"/>
      <c r="BY178" s="477"/>
      <c r="BZ178" s="477"/>
      <c r="CC178" s="477"/>
      <c r="CD178" s="477"/>
      <c r="CG178" s="477"/>
      <c r="CH178" s="477"/>
    </row>
    <row r="179" spans="73:86" x14ac:dyDescent="0.2">
      <c r="BU179" s="477"/>
      <c r="BV179" s="477"/>
      <c r="BY179" s="477"/>
      <c r="BZ179" s="477"/>
      <c r="CC179" s="477"/>
      <c r="CD179" s="477"/>
      <c r="CG179" s="477"/>
      <c r="CH179" s="477"/>
    </row>
    <row r="180" spans="73:86" x14ac:dyDescent="0.2">
      <c r="BU180" s="477"/>
      <c r="BV180" s="477"/>
      <c r="BY180" s="477"/>
      <c r="BZ180" s="477"/>
      <c r="CC180" s="477"/>
      <c r="CD180" s="477"/>
      <c r="CG180" s="477"/>
      <c r="CH180" s="477"/>
    </row>
    <row r="181" spans="73:86" x14ac:dyDescent="0.2">
      <c r="BU181" s="477"/>
      <c r="BV181" s="477"/>
      <c r="BY181" s="477"/>
      <c r="BZ181" s="477"/>
      <c r="CC181" s="477"/>
      <c r="CD181" s="477"/>
      <c r="CG181" s="477"/>
      <c r="CH181" s="477"/>
    </row>
    <row r="182" spans="73:86" x14ac:dyDescent="0.2">
      <c r="BU182" s="477"/>
      <c r="BV182" s="477"/>
      <c r="BY182" s="477"/>
      <c r="BZ182" s="477"/>
      <c r="CC182" s="477"/>
      <c r="CD182" s="477"/>
      <c r="CG182" s="477"/>
      <c r="CH182" s="477"/>
    </row>
    <row r="183" spans="73:86" x14ac:dyDescent="0.2">
      <c r="BU183" s="477"/>
      <c r="BV183" s="477"/>
      <c r="BY183" s="477"/>
      <c r="BZ183" s="477"/>
      <c r="CC183" s="477"/>
      <c r="CD183" s="477"/>
      <c r="CG183" s="477"/>
      <c r="CH183" s="477"/>
    </row>
    <row r="184" spans="73:86" x14ac:dyDescent="0.2">
      <c r="BU184" s="477"/>
      <c r="BV184" s="477"/>
      <c r="BY184" s="477"/>
      <c r="BZ184" s="477"/>
      <c r="CC184" s="477"/>
      <c r="CD184" s="477"/>
      <c r="CG184" s="477"/>
      <c r="CH184" s="477"/>
    </row>
    <row r="185" spans="73:86" x14ac:dyDescent="0.2">
      <c r="BU185" s="477"/>
      <c r="BV185" s="477"/>
      <c r="BY185" s="477"/>
      <c r="BZ185" s="477"/>
      <c r="CC185" s="477"/>
      <c r="CD185" s="477"/>
      <c r="CG185" s="477"/>
      <c r="CH185" s="477"/>
    </row>
    <row r="186" spans="73:86" x14ac:dyDescent="0.2">
      <c r="BU186" s="477"/>
      <c r="BV186" s="477"/>
      <c r="BY186" s="477"/>
      <c r="BZ186" s="477"/>
      <c r="CC186" s="477"/>
      <c r="CD186" s="477"/>
      <c r="CG186" s="477"/>
      <c r="CH186" s="477"/>
    </row>
    <row r="187" spans="73:86" x14ac:dyDescent="0.2">
      <c r="BU187" s="477"/>
      <c r="BV187" s="477"/>
      <c r="BY187" s="477"/>
      <c r="BZ187" s="477"/>
      <c r="CC187" s="477"/>
      <c r="CD187" s="477"/>
      <c r="CG187" s="477"/>
      <c r="CH187" s="477"/>
    </row>
    <row r="188" spans="73:86" x14ac:dyDescent="0.2">
      <c r="BU188" s="477"/>
      <c r="BV188" s="477"/>
      <c r="BY188" s="477"/>
      <c r="BZ188" s="477"/>
      <c r="CC188" s="477"/>
      <c r="CD188" s="477"/>
      <c r="CG188" s="477"/>
      <c r="CH188" s="477"/>
    </row>
    <row r="189" spans="73:86" x14ac:dyDescent="0.2">
      <c r="BU189" s="477"/>
      <c r="BV189" s="477"/>
      <c r="BY189" s="477"/>
      <c r="BZ189" s="477"/>
      <c r="CC189" s="477"/>
      <c r="CD189" s="477"/>
      <c r="CG189" s="477"/>
      <c r="CH189" s="477"/>
    </row>
    <row r="190" spans="73:86" x14ac:dyDescent="0.2">
      <c r="BU190" s="477"/>
      <c r="BV190" s="477"/>
      <c r="BY190" s="477"/>
      <c r="BZ190" s="477"/>
      <c r="CC190" s="477"/>
      <c r="CD190" s="477"/>
      <c r="CG190" s="477"/>
      <c r="CH190" s="477"/>
    </row>
    <row r="191" spans="73:86" x14ac:dyDescent="0.2">
      <c r="BU191" s="477"/>
      <c r="BV191" s="477"/>
      <c r="BY191" s="477"/>
      <c r="BZ191" s="477"/>
      <c r="CC191" s="477"/>
      <c r="CD191" s="477"/>
      <c r="CG191" s="477"/>
      <c r="CH191" s="477"/>
    </row>
    <row r="192" spans="73:86" x14ac:dyDescent="0.2">
      <c r="BU192" s="477"/>
      <c r="BV192" s="477"/>
      <c r="BY192" s="477"/>
      <c r="BZ192" s="477"/>
      <c r="CC192" s="477"/>
      <c r="CD192" s="477"/>
      <c r="CG192" s="477"/>
      <c r="CH192" s="477"/>
    </row>
    <row r="193" spans="73:86" x14ac:dyDescent="0.2">
      <c r="BU193" s="477"/>
      <c r="BV193" s="477"/>
      <c r="BY193" s="477"/>
      <c r="BZ193" s="477"/>
      <c r="CC193" s="477"/>
      <c r="CD193" s="477"/>
      <c r="CG193" s="477"/>
      <c r="CH193" s="477"/>
    </row>
    <row r="194" spans="73:86" x14ac:dyDescent="0.2">
      <c r="BU194" s="477"/>
      <c r="BV194" s="477"/>
      <c r="BY194" s="477"/>
      <c r="BZ194" s="477"/>
      <c r="CC194" s="477"/>
      <c r="CD194" s="477"/>
      <c r="CG194" s="477"/>
      <c r="CH194" s="477"/>
    </row>
    <row r="195" spans="73:86" x14ac:dyDescent="0.2">
      <c r="BU195" s="477"/>
      <c r="BV195" s="477"/>
      <c r="BY195" s="477"/>
      <c r="BZ195" s="477"/>
      <c r="CC195" s="477"/>
      <c r="CD195" s="477"/>
      <c r="CG195" s="477"/>
      <c r="CH195" s="477"/>
    </row>
    <row r="196" spans="73:86" x14ac:dyDescent="0.2">
      <c r="BU196" s="477"/>
      <c r="BV196" s="477"/>
      <c r="BY196" s="477"/>
      <c r="BZ196" s="477"/>
      <c r="CC196" s="477"/>
      <c r="CD196" s="477"/>
      <c r="CG196" s="477"/>
      <c r="CH196" s="477"/>
    </row>
    <row r="197" spans="73:86" x14ac:dyDescent="0.2">
      <c r="BU197" s="477"/>
      <c r="BV197" s="477"/>
      <c r="BY197" s="477"/>
      <c r="BZ197" s="477"/>
      <c r="CC197" s="477"/>
      <c r="CD197" s="477"/>
      <c r="CG197" s="477"/>
      <c r="CH197" s="477"/>
    </row>
    <row r="198" spans="73:86" x14ac:dyDescent="0.2">
      <c r="BU198" s="477"/>
      <c r="BV198" s="477"/>
      <c r="BY198" s="477"/>
      <c r="BZ198" s="477"/>
      <c r="CC198" s="477"/>
      <c r="CD198" s="477"/>
      <c r="CG198" s="477"/>
      <c r="CH198" s="477"/>
    </row>
    <row r="199" spans="73:86" x14ac:dyDescent="0.2">
      <c r="BU199" s="477"/>
      <c r="BV199" s="477"/>
      <c r="BY199" s="477"/>
      <c r="BZ199" s="477"/>
      <c r="CC199" s="477"/>
      <c r="CD199" s="477"/>
      <c r="CG199" s="477"/>
      <c r="CH199" s="477"/>
    </row>
    <row r="200" spans="73:86" x14ac:dyDescent="0.2">
      <c r="BU200" s="477"/>
      <c r="BV200" s="477"/>
      <c r="BY200" s="477"/>
      <c r="BZ200" s="477"/>
      <c r="CC200" s="477"/>
      <c r="CD200" s="477"/>
      <c r="CG200" s="477"/>
      <c r="CH200" s="477"/>
    </row>
    <row r="201" spans="73:86" x14ac:dyDescent="0.2">
      <c r="BU201" s="477"/>
      <c r="BV201" s="477"/>
      <c r="BY201" s="477"/>
      <c r="BZ201" s="477"/>
      <c r="CC201" s="477"/>
      <c r="CD201" s="477"/>
      <c r="CG201" s="477"/>
      <c r="CH201" s="477"/>
    </row>
    <row r="202" spans="73:86" x14ac:dyDescent="0.2">
      <c r="BU202" s="477"/>
      <c r="BV202" s="477"/>
      <c r="BY202" s="477"/>
      <c r="BZ202" s="477"/>
      <c r="CC202" s="477"/>
      <c r="CD202" s="477"/>
      <c r="CG202" s="477"/>
      <c r="CH202" s="477"/>
    </row>
    <row r="203" spans="73:86" x14ac:dyDescent="0.2">
      <c r="BU203" s="477"/>
      <c r="BV203" s="477"/>
      <c r="BY203" s="477"/>
      <c r="BZ203" s="477"/>
      <c r="CC203" s="477"/>
      <c r="CD203" s="477"/>
      <c r="CG203" s="477"/>
      <c r="CH203" s="477"/>
    </row>
    <row r="204" spans="73:86" x14ac:dyDescent="0.2">
      <c r="BU204" s="477"/>
      <c r="BV204" s="477"/>
      <c r="BY204" s="477"/>
      <c r="BZ204" s="477"/>
      <c r="CC204" s="477"/>
      <c r="CD204" s="477"/>
      <c r="CG204" s="477"/>
      <c r="CH204" s="477"/>
    </row>
    <row r="205" spans="73:86" x14ac:dyDescent="0.2">
      <c r="BU205" s="477"/>
      <c r="BV205" s="477"/>
      <c r="BY205" s="477"/>
      <c r="BZ205" s="477"/>
      <c r="CC205" s="477"/>
      <c r="CD205" s="477"/>
      <c r="CG205" s="477"/>
      <c r="CH205" s="477"/>
    </row>
    <row r="206" spans="73:86" x14ac:dyDescent="0.2">
      <c r="BU206" s="477"/>
      <c r="BV206" s="477"/>
      <c r="BY206" s="477"/>
      <c r="BZ206" s="477"/>
      <c r="CC206" s="477"/>
      <c r="CD206" s="477"/>
      <c r="CG206" s="477"/>
      <c r="CH206" s="477"/>
    </row>
    <row r="207" spans="73:86" x14ac:dyDescent="0.2">
      <c r="BU207" s="477"/>
      <c r="BV207" s="477"/>
      <c r="BY207" s="477"/>
      <c r="BZ207" s="477"/>
      <c r="CC207" s="477"/>
      <c r="CD207" s="477"/>
      <c r="CG207" s="477"/>
      <c r="CH207" s="477"/>
    </row>
    <row r="208" spans="73:86" x14ac:dyDescent="0.2">
      <c r="BU208" s="477"/>
      <c r="BV208" s="477"/>
      <c r="BY208" s="477"/>
      <c r="BZ208" s="477"/>
      <c r="CC208" s="477"/>
      <c r="CD208" s="477"/>
      <c r="CG208" s="477"/>
      <c r="CH208" s="477"/>
    </row>
    <row r="209" spans="73:86" x14ac:dyDescent="0.2">
      <c r="BU209" s="477"/>
      <c r="BV209" s="477"/>
      <c r="BY209" s="477"/>
      <c r="BZ209" s="477"/>
      <c r="CC209" s="477"/>
      <c r="CD209" s="477"/>
      <c r="CG209" s="477"/>
      <c r="CH209" s="477"/>
    </row>
    <row r="210" spans="73:86" x14ac:dyDescent="0.2">
      <c r="BU210" s="477"/>
      <c r="BV210" s="477"/>
      <c r="BY210" s="477"/>
      <c r="BZ210" s="477"/>
      <c r="CC210" s="477"/>
      <c r="CD210" s="477"/>
      <c r="CG210" s="477"/>
      <c r="CH210" s="477"/>
    </row>
    <row r="211" spans="73:86" x14ac:dyDescent="0.2">
      <c r="BU211" s="477"/>
      <c r="BV211" s="477"/>
      <c r="BY211" s="477"/>
      <c r="BZ211" s="477"/>
      <c r="CC211" s="477"/>
      <c r="CD211" s="477"/>
      <c r="CG211" s="477"/>
      <c r="CH211" s="477"/>
    </row>
    <row r="212" spans="73:86" x14ac:dyDescent="0.2">
      <c r="BU212" s="477"/>
      <c r="BV212" s="477"/>
      <c r="BY212" s="477"/>
      <c r="BZ212" s="477"/>
      <c r="CC212" s="477"/>
      <c r="CD212" s="477"/>
      <c r="CG212" s="477"/>
      <c r="CH212" s="477"/>
    </row>
    <row r="213" spans="73:86" x14ac:dyDescent="0.2">
      <c r="BU213" s="477"/>
      <c r="BV213" s="477"/>
      <c r="BY213" s="477"/>
      <c r="BZ213" s="477"/>
      <c r="CC213" s="477"/>
      <c r="CD213" s="477"/>
      <c r="CG213" s="477"/>
      <c r="CH213" s="477"/>
    </row>
    <row r="214" spans="73:86" x14ac:dyDescent="0.2">
      <c r="BU214" s="477"/>
      <c r="BV214" s="477"/>
      <c r="BY214" s="477"/>
      <c r="BZ214" s="477"/>
      <c r="CC214" s="477"/>
      <c r="CD214" s="477"/>
      <c r="CG214" s="477"/>
      <c r="CH214" s="477"/>
    </row>
    <row r="215" spans="73:86" x14ac:dyDescent="0.2">
      <c r="BU215" s="477"/>
      <c r="BV215" s="477"/>
      <c r="BY215" s="477"/>
      <c r="BZ215" s="477"/>
      <c r="CC215" s="477"/>
      <c r="CD215" s="477"/>
      <c r="CG215" s="477"/>
      <c r="CH215" s="477"/>
    </row>
    <row r="216" spans="73:86" x14ac:dyDescent="0.2">
      <c r="BU216" s="477"/>
      <c r="BV216" s="477"/>
      <c r="BY216" s="477"/>
      <c r="BZ216" s="477"/>
      <c r="CC216" s="477"/>
      <c r="CD216" s="477"/>
      <c r="CG216" s="477"/>
      <c r="CH216" s="477"/>
    </row>
    <row r="217" spans="73:86" x14ac:dyDescent="0.2">
      <c r="BU217" s="477"/>
      <c r="BV217" s="477"/>
      <c r="BY217" s="477"/>
      <c r="BZ217" s="477"/>
      <c r="CC217" s="477"/>
      <c r="CD217" s="477"/>
      <c r="CG217" s="477"/>
      <c r="CH217" s="477"/>
    </row>
    <row r="218" spans="73:86" x14ac:dyDescent="0.2">
      <c r="BU218" s="477"/>
      <c r="BV218" s="477"/>
      <c r="BY218" s="477"/>
      <c r="BZ218" s="477"/>
      <c r="CC218" s="477"/>
      <c r="CD218" s="477"/>
      <c r="CG218" s="477"/>
      <c r="CH218" s="477"/>
    </row>
    <row r="219" spans="73:86" x14ac:dyDescent="0.2">
      <c r="BU219" s="477"/>
      <c r="BV219" s="477"/>
      <c r="BY219" s="477"/>
      <c r="BZ219" s="477"/>
      <c r="CC219" s="477"/>
      <c r="CD219" s="477"/>
      <c r="CG219" s="477"/>
      <c r="CH219" s="477"/>
    </row>
    <row r="220" spans="73:86" x14ac:dyDescent="0.2">
      <c r="BU220" s="477"/>
      <c r="BV220" s="477"/>
      <c r="BY220" s="477"/>
      <c r="BZ220" s="477"/>
      <c r="CC220" s="477"/>
      <c r="CD220" s="477"/>
      <c r="CG220" s="477"/>
      <c r="CH220" s="477"/>
    </row>
    <row r="221" spans="73:86" x14ac:dyDescent="0.2">
      <c r="BU221" s="477"/>
      <c r="BV221" s="477"/>
      <c r="BY221" s="477"/>
      <c r="BZ221" s="477"/>
      <c r="CC221" s="477"/>
      <c r="CD221" s="477"/>
      <c r="CG221" s="477"/>
      <c r="CH221" s="477"/>
    </row>
    <row r="222" spans="73:86" x14ac:dyDescent="0.2">
      <c r="BU222" s="477"/>
      <c r="BV222" s="477"/>
      <c r="BY222" s="477"/>
      <c r="BZ222" s="477"/>
      <c r="CC222" s="477"/>
      <c r="CD222" s="477"/>
      <c r="CG222" s="477"/>
      <c r="CH222" s="477"/>
    </row>
    <row r="223" spans="73:86" x14ac:dyDescent="0.2">
      <c r="BU223" s="477"/>
      <c r="BV223" s="477"/>
      <c r="BY223" s="477"/>
      <c r="BZ223" s="477"/>
      <c r="CC223" s="477"/>
      <c r="CD223" s="477"/>
      <c r="CG223" s="477"/>
      <c r="CH223" s="477"/>
    </row>
    <row r="224" spans="73:86" x14ac:dyDescent="0.2">
      <c r="BU224" s="477"/>
      <c r="BV224" s="477"/>
      <c r="BY224" s="477"/>
      <c r="BZ224" s="477"/>
      <c r="CC224" s="477"/>
      <c r="CD224" s="477"/>
      <c r="CG224" s="477"/>
      <c r="CH224" s="477"/>
    </row>
    <row r="225" spans="73:86" x14ac:dyDescent="0.2">
      <c r="BU225" s="477"/>
      <c r="BV225" s="477"/>
      <c r="BY225" s="477"/>
      <c r="BZ225" s="477"/>
      <c r="CC225" s="477"/>
      <c r="CD225" s="477"/>
      <c r="CG225" s="477"/>
      <c r="CH225" s="477"/>
    </row>
    <row r="226" spans="73:86" x14ac:dyDescent="0.2">
      <c r="BU226" s="477"/>
      <c r="BV226" s="477"/>
      <c r="BY226" s="477"/>
      <c r="BZ226" s="477"/>
      <c r="CC226" s="477"/>
      <c r="CD226" s="477"/>
      <c r="CG226" s="477"/>
      <c r="CH226" s="477"/>
    </row>
    <row r="227" spans="73:86" x14ac:dyDescent="0.2">
      <c r="BU227" s="477"/>
      <c r="BV227" s="477"/>
      <c r="BY227" s="477"/>
      <c r="BZ227" s="477"/>
      <c r="CC227" s="477"/>
      <c r="CD227" s="477"/>
      <c r="CG227" s="477"/>
      <c r="CH227" s="477"/>
    </row>
    <row r="228" spans="73:86" x14ac:dyDescent="0.2">
      <c r="BU228" s="477"/>
      <c r="BV228" s="477"/>
      <c r="BY228" s="477"/>
      <c r="BZ228" s="477"/>
      <c r="CC228" s="477"/>
      <c r="CD228" s="477"/>
      <c r="CG228" s="477"/>
      <c r="CH228" s="477"/>
    </row>
    <row r="229" spans="73:86" x14ac:dyDescent="0.2">
      <c r="BU229" s="477"/>
      <c r="BV229" s="477"/>
      <c r="BY229" s="477"/>
      <c r="BZ229" s="477"/>
      <c r="CC229" s="477"/>
      <c r="CD229" s="477"/>
      <c r="CG229" s="477"/>
      <c r="CH229" s="477"/>
    </row>
    <row r="230" spans="73:86" x14ac:dyDescent="0.2">
      <c r="BU230" s="477"/>
      <c r="BV230" s="477"/>
      <c r="BY230" s="477"/>
      <c r="BZ230" s="477"/>
      <c r="CC230" s="477"/>
      <c r="CD230" s="477"/>
      <c r="CG230" s="477"/>
      <c r="CH230" s="477"/>
    </row>
    <row r="231" spans="73:86" x14ac:dyDescent="0.2">
      <c r="BU231" s="477"/>
      <c r="BV231" s="477"/>
      <c r="BY231" s="477"/>
      <c r="BZ231" s="477"/>
      <c r="CC231" s="477"/>
      <c r="CD231" s="477"/>
      <c r="CG231" s="477"/>
      <c r="CH231" s="477"/>
    </row>
    <row r="232" spans="73:86" x14ac:dyDescent="0.2">
      <c r="BU232" s="477"/>
      <c r="BV232" s="477"/>
      <c r="BY232" s="477"/>
      <c r="BZ232" s="477"/>
      <c r="CC232" s="477"/>
      <c r="CD232" s="477"/>
      <c r="CG232" s="477"/>
      <c r="CH232" s="477"/>
    </row>
    <row r="233" spans="73:86" x14ac:dyDescent="0.2">
      <c r="BU233" s="477"/>
      <c r="BV233" s="477"/>
      <c r="BY233" s="477"/>
      <c r="BZ233" s="477"/>
      <c r="CC233" s="477"/>
      <c r="CD233" s="477"/>
      <c r="CG233" s="477"/>
      <c r="CH233" s="477"/>
    </row>
    <row r="234" spans="73:86" x14ac:dyDescent="0.2">
      <c r="BU234" s="477"/>
      <c r="BV234" s="477"/>
      <c r="BY234" s="477"/>
      <c r="BZ234" s="477"/>
      <c r="CC234" s="477"/>
      <c r="CD234" s="477"/>
      <c r="CG234" s="477"/>
      <c r="CH234" s="477"/>
    </row>
    <row r="235" spans="73:86" x14ac:dyDescent="0.2">
      <c r="BU235" s="477"/>
      <c r="BV235" s="477"/>
      <c r="BY235" s="477"/>
      <c r="BZ235" s="477"/>
      <c r="CC235" s="477"/>
      <c r="CD235" s="477"/>
      <c r="CG235" s="477"/>
      <c r="CH235" s="477"/>
    </row>
    <row r="236" spans="73:86" x14ac:dyDescent="0.2">
      <c r="BU236" s="477"/>
      <c r="BV236" s="477"/>
      <c r="BY236" s="477"/>
      <c r="BZ236" s="477"/>
      <c r="CC236" s="477"/>
      <c r="CD236" s="477"/>
      <c r="CG236" s="477"/>
      <c r="CH236" s="477"/>
    </row>
    <row r="237" spans="73:86" x14ac:dyDescent="0.2">
      <c r="BU237" s="477"/>
      <c r="BV237" s="477"/>
      <c r="BY237" s="477"/>
      <c r="BZ237" s="477"/>
      <c r="CC237" s="477"/>
      <c r="CD237" s="477"/>
      <c r="CG237" s="477"/>
      <c r="CH237" s="477"/>
    </row>
    <row r="238" spans="73:86" x14ac:dyDescent="0.2">
      <c r="BU238" s="477"/>
      <c r="BV238" s="477"/>
      <c r="BY238" s="477"/>
      <c r="BZ238" s="477"/>
      <c r="CC238" s="477"/>
      <c r="CD238" s="477"/>
      <c r="CG238" s="477"/>
      <c r="CH238" s="477"/>
    </row>
    <row r="239" spans="73:86" x14ac:dyDescent="0.2">
      <c r="BU239" s="477"/>
      <c r="BV239" s="477"/>
      <c r="BY239" s="477"/>
      <c r="BZ239" s="477"/>
      <c r="CC239" s="477"/>
      <c r="CD239" s="477"/>
      <c r="CG239" s="477"/>
      <c r="CH239" s="477"/>
    </row>
    <row r="240" spans="73:86" x14ac:dyDescent="0.2">
      <c r="BU240" s="477"/>
      <c r="BV240" s="477"/>
      <c r="BY240" s="477"/>
      <c r="BZ240" s="477"/>
      <c r="CC240" s="477"/>
      <c r="CD240" s="477"/>
      <c r="CG240" s="477"/>
      <c r="CH240" s="477"/>
    </row>
    <row r="241" spans="73:86" x14ac:dyDescent="0.2">
      <c r="BU241" s="477"/>
      <c r="BV241" s="477"/>
      <c r="BY241" s="477"/>
      <c r="BZ241" s="477"/>
      <c r="CC241" s="477"/>
      <c r="CD241" s="477"/>
      <c r="CG241" s="477"/>
      <c r="CH241" s="477"/>
    </row>
    <row r="242" spans="73:86" x14ac:dyDescent="0.2">
      <c r="BU242" s="477"/>
      <c r="BV242" s="477"/>
      <c r="BY242" s="477"/>
      <c r="BZ242" s="477"/>
      <c r="CC242" s="477"/>
      <c r="CD242" s="477"/>
      <c r="CG242" s="477"/>
      <c r="CH242" s="477"/>
    </row>
    <row r="243" spans="73:86" x14ac:dyDescent="0.2">
      <c r="BU243" s="477"/>
      <c r="BV243" s="477"/>
      <c r="BY243" s="477"/>
      <c r="BZ243" s="477"/>
      <c r="CC243" s="477"/>
      <c r="CD243" s="477"/>
      <c r="CG243" s="477"/>
      <c r="CH243" s="477"/>
    </row>
    <row r="244" spans="73:86" x14ac:dyDescent="0.2">
      <c r="BU244" s="477"/>
      <c r="BV244" s="477"/>
      <c r="BY244" s="477"/>
      <c r="BZ244" s="477"/>
      <c r="CC244" s="477"/>
      <c r="CD244" s="477"/>
      <c r="CG244" s="477"/>
      <c r="CH244" s="477"/>
    </row>
    <row r="245" spans="73:86" x14ac:dyDescent="0.2">
      <c r="BU245" s="477"/>
      <c r="BV245" s="477"/>
      <c r="BY245" s="477"/>
      <c r="BZ245" s="477"/>
      <c r="CC245" s="477"/>
      <c r="CD245" s="477"/>
      <c r="CG245" s="477"/>
      <c r="CH245" s="477"/>
    </row>
    <row r="246" spans="73:86" x14ac:dyDescent="0.2">
      <c r="BU246" s="477"/>
      <c r="BV246" s="477"/>
      <c r="BY246" s="477"/>
      <c r="BZ246" s="477"/>
      <c r="CC246" s="477"/>
      <c r="CD246" s="477"/>
      <c r="CG246" s="477"/>
      <c r="CH246" s="477"/>
    </row>
    <row r="247" spans="73:86" x14ac:dyDescent="0.2">
      <c r="BU247" s="477"/>
      <c r="BV247" s="477"/>
      <c r="BY247" s="477"/>
      <c r="BZ247" s="477"/>
      <c r="CC247" s="477"/>
      <c r="CD247" s="477"/>
      <c r="CG247" s="477"/>
      <c r="CH247" s="477"/>
    </row>
    <row r="248" spans="73:86" x14ac:dyDescent="0.2">
      <c r="BU248" s="477"/>
      <c r="BV248" s="477"/>
      <c r="BY248" s="477"/>
      <c r="BZ248" s="477"/>
      <c r="CC248" s="477"/>
      <c r="CD248" s="477"/>
      <c r="CG248" s="477"/>
      <c r="CH248" s="477"/>
    </row>
    <row r="249" spans="73:86" x14ac:dyDescent="0.2">
      <c r="BU249" s="477"/>
      <c r="BV249" s="477"/>
      <c r="BY249" s="477"/>
      <c r="BZ249" s="477"/>
      <c r="CC249" s="477"/>
      <c r="CD249" s="477"/>
      <c r="CG249" s="477"/>
      <c r="CH249" s="477"/>
    </row>
    <row r="250" spans="73:86" x14ac:dyDescent="0.2">
      <c r="BU250" s="477"/>
      <c r="BV250" s="477"/>
      <c r="BY250" s="477"/>
      <c r="BZ250" s="477"/>
      <c r="CC250" s="477"/>
      <c r="CD250" s="477"/>
      <c r="CG250" s="477"/>
      <c r="CH250" s="477"/>
    </row>
    <row r="251" spans="73:86" x14ac:dyDescent="0.2">
      <c r="BU251" s="477"/>
      <c r="BV251" s="477"/>
      <c r="BY251" s="477"/>
      <c r="BZ251" s="477"/>
      <c r="CC251" s="477"/>
      <c r="CD251" s="477"/>
      <c r="CG251" s="477"/>
      <c r="CH251" s="477"/>
    </row>
    <row r="252" spans="73:86" x14ac:dyDescent="0.2">
      <c r="BU252" s="477"/>
      <c r="BV252" s="477"/>
      <c r="BY252" s="477"/>
      <c r="BZ252" s="477"/>
      <c r="CC252" s="477"/>
      <c r="CD252" s="477"/>
      <c r="CG252" s="477"/>
      <c r="CH252" s="477"/>
    </row>
    <row r="253" spans="73:86" x14ac:dyDescent="0.2">
      <c r="BU253" s="477"/>
      <c r="BV253" s="477"/>
      <c r="BY253" s="477"/>
      <c r="BZ253" s="477"/>
      <c r="CC253" s="477"/>
      <c r="CD253" s="477"/>
      <c r="CG253" s="477"/>
      <c r="CH253" s="477"/>
    </row>
    <row r="254" spans="73:86" x14ac:dyDescent="0.2">
      <c r="BU254" s="477"/>
      <c r="BV254" s="477"/>
      <c r="BY254" s="477"/>
      <c r="BZ254" s="477"/>
      <c r="CC254" s="477"/>
      <c r="CD254" s="477"/>
      <c r="CG254" s="477"/>
      <c r="CH254" s="477"/>
    </row>
    <row r="255" spans="73:86" x14ac:dyDescent="0.2">
      <c r="BU255" s="477"/>
      <c r="BV255" s="477"/>
      <c r="BY255" s="477"/>
      <c r="BZ255" s="477"/>
      <c r="CC255" s="477"/>
      <c r="CD255" s="477"/>
      <c r="CG255" s="477"/>
      <c r="CH255" s="477"/>
    </row>
    <row r="256" spans="73:86" x14ac:dyDescent="0.2">
      <c r="BU256" s="477"/>
      <c r="BV256" s="477"/>
      <c r="BY256" s="477"/>
      <c r="BZ256" s="477"/>
      <c r="CC256" s="477"/>
      <c r="CD256" s="477"/>
      <c r="CG256" s="477"/>
      <c r="CH256" s="477"/>
    </row>
    <row r="257" spans="73:86" x14ac:dyDescent="0.2">
      <c r="BU257" s="477"/>
      <c r="BV257" s="477"/>
      <c r="BY257" s="477"/>
      <c r="BZ257" s="477"/>
      <c r="CC257" s="477"/>
      <c r="CD257" s="477"/>
      <c r="CG257" s="477"/>
      <c r="CH257" s="477"/>
    </row>
    <row r="258" spans="73:86" x14ac:dyDescent="0.2">
      <c r="BU258" s="477"/>
      <c r="BV258" s="477"/>
      <c r="BY258" s="477"/>
      <c r="BZ258" s="477"/>
      <c r="CC258" s="477"/>
      <c r="CD258" s="477"/>
      <c r="CG258" s="477"/>
      <c r="CH258" s="477"/>
    </row>
    <row r="259" spans="73:86" x14ac:dyDescent="0.2">
      <c r="BU259" s="477"/>
      <c r="BV259" s="477"/>
      <c r="BY259" s="477"/>
      <c r="BZ259" s="477"/>
      <c r="CC259" s="477"/>
      <c r="CD259" s="477"/>
      <c r="CG259" s="477"/>
      <c r="CH259" s="477"/>
    </row>
    <row r="260" spans="73:86" x14ac:dyDescent="0.2">
      <c r="BU260" s="477"/>
      <c r="BV260" s="477"/>
      <c r="BY260" s="477"/>
      <c r="BZ260" s="477"/>
      <c r="CC260" s="477"/>
      <c r="CD260" s="477"/>
      <c r="CG260" s="477"/>
      <c r="CH260" s="477"/>
    </row>
    <row r="261" spans="73:86" x14ac:dyDescent="0.2">
      <c r="BU261" s="477"/>
      <c r="BV261" s="477"/>
      <c r="BY261" s="477"/>
      <c r="BZ261" s="477"/>
      <c r="CC261" s="477"/>
      <c r="CD261" s="477"/>
      <c r="CG261" s="477"/>
      <c r="CH261" s="477"/>
    </row>
    <row r="262" spans="73:86" x14ac:dyDescent="0.2">
      <c r="BU262" s="477"/>
      <c r="BV262" s="477"/>
      <c r="BY262" s="477"/>
      <c r="BZ262" s="477"/>
      <c r="CC262" s="477"/>
      <c r="CD262" s="477"/>
    </row>
    <row r="263" spans="73:86" x14ac:dyDescent="0.2">
      <c r="BU263" s="477"/>
      <c r="BV263" s="477"/>
      <c r="BY263" s="477"/>
      <c r="BZ263" s="477"/>
      <c r="CC263" s="477"/>
      <c r="CD263" s="477"/>
    </row>
    <row r="264" spans="73:86" x14ac:dyDescent="0.2">
      <c r="BU264" s="477"/>
      <c r="BV264" s="477"/>
      <c r="BY264" s="477"/>
      <c r="BZ264" s="477"/>
      <c r="CC264" s="477"/>
      <c r="CD264" s="477"/>
    </row>
    <row r="265" spans="73:86" x14ac:dyDescent="0.2">
      <c r="BU265" s="477"/>
      <c r="BV265" s="477"/>
      <c r="BY265" s="477"/>
      <c r="BZ265" s="477"/>
      <c r="CC265" s="477"/>
      <c r="CD265" s="477"/>
    </row>
    <row r="266" spans="73:86" x14ac:dyDescent="0.2">
      <c r="BU266" s="477"/>
      <c r="BV266" s="477"/>
      <c r="BY266" s="477"/>
      <c r="BZ266" s="477"/>
      <c r="CC266" s="477"/>
      <c r="CD266" s="477"/>
    </row>
    <row r="267" spans="73:86" x14ac:dyDescent="0.2">
      <c r="BU267" s="477"/>
      <c r="BV267" s="477"/>
      <c r="BY267" s="477"/>
      <c r="BZ267" s="477"/>
      <c r="CC267" s="477"/>
      <c r="CD267" s="477"/>
    </row>
    <row r="268" spans="73:86" x14ac:dyDescent="0.2">
      <c r="BU268" s="477"/>
      <c r="BV268" s="477"/>
      <c r="BY268" s="477"/>
      <c r="BZ268" s="477"/>
      <c r="CC268" s="477"/>
      <c r="CD268" s="477"/>
    </row>
    <row r="269" spans="73:86" x14ac:dyDescent="0.2">
      <c r="BU269" s="477"/>
      <c r="BV269" s="477"/>
      <c r="BY269" s="477"/>
      <c r="BZ269" s="477"/>
      <c r="CC269" s="477"/>
      <c r="CD269" s="477"/>
    </row>
    <row r="270" spans="73:86" x14ac:dyDescent="0.2">
      <c r="BU270" s="477"/>
      <c r="BV270" s="477"/>
      <c r="BY270" s="477"/>
      <c r="BZ270" s="477"/>
      <c r="CC270" s="477"/>
      <c r="CD270" s="477"/>
    </row>
    <row r="271" spans="73:86" x14ac:dyDescent="0.2">
      <c r="BU271" s="477"/>
      <c r="BV271" s="477"/>
      <c r="BY271" s="477"/>
      <c r="BZ271" s="477"/>
      <c r="CC271" s="477"/>
      <c r="CD271" s="477"/>
    </row>
    <row r="272" spans="73:86" x14ac:dyDescent="0.2">
      <c r="BU272" s="477"/>
      <c r="BV272" s="477"/>
      <c r="BY272" s="477"/>
      <c r="BZ272" s="477"/>
      <c r="CC272" s="477"/>
      <c r="CD272" s="477"/>
    </row>
    <row r="273" spans="73:82" x14ac:dyDescent="0.2">
      <c r="BU273" s="477"/>
      <c r="BV273" s="477"/>
      <c r="BY273" s="477"/>
      <c r="BZ273" s="477"/>
      <c r="CC273" s="477"/>
      <c r="CD273" s="477"/>
    </row>
    <row r="274" spans="73:82" x14ac:dyDescent="0.2">
      <c r="BU274" s="477"/>
      <c r="BV274" s="477"/>
      <c r="BY274" s="477"/>
      <c r="BZ274" s="477"/>
    </row>
    <row r="275" spans="73:82" x14ac:dyDescent="0.2">
      <c r="BU275" s="477"/>
      <c r="BV275" s="477"/>
      <c r="BY275" s="477"/>
      <c r="BZ275" s="477"/>
    </row>
    <row r="276" spans="73:82" x14ac:dyDescent="0.2">
      <c r="BU276" s="477"/>
      <c r="BV276" s="477"/>
      <c r="BY276" s="477"/>
      <c r="BZ276" s="477"/>
    </row>
    <row r="277" spans="73:82" x14ac:dyDescent="0.2">
      <c r="BU277" s="477"/>
      <c r="BV277" s="477"/>
      <c r="BY277" s="477"/>
      <c r="BZ277" s="477"/>
    </row>
    <row r="278" spans="73:82" x14ac:dyDescent="0.2">
      <c r="BU278" s="477"/>
      <c r="BV278" s="477"/>
      <c r="BY278" s="477"/>
      <c r="BZ278" s="477"/>
    </row>
    <row r="279" spans="73:82" x14ac:dyDescent="0.2">
      <c r="BU279" s="477"/>
      <c r="BV279" s="477"/>
      <c r="BY279" s="477"/>
      <c r="BZ279" s="477"/>
    </row>
    <row r="280" spans="73:82" x14ac:dyDescent="0.2">
      <c r="BU280" s="477"/>
      <c r="BV280" s="477"/>
      <c r="BY280" s="477"/>
      <c r="BZ280" s="477"/>
    </row>
    <row r="281" spans="73:82" x14ac:dyDescent="0.2">
      <c r="BU281" s="477"/>
      <c r="BV281" s="477"/>
      <c r="BY281" s="477"/>
      <c r="BZ281" s="477"/>
    </row>
    <row r="282" spans="73:82" x14ac:dyDescent="0.2">
      <c r="BU282" s="477"/>
      <c r="BV282" s="477"/>
      <c r="BY282" s="477"/>
      <c r="BZ282" s="477"/>
    </row>
    <row r="283" spans="73:82" x14ac:dyDescent="0.2">
      <c r="BU283" s="477"/>
      <c r="BV283" s="477"/>
      <c r="BY283" s="477"/>
      <c r="BZ283" s="477"/>
    </row>
    <row r="284" spans="73:82" x14ac:dyDescent="0.2">
      <c r="BU284" s="477"/>
      <c r="BV284" s="477"/>
      <c r="BY284" s="477"/>
      <c r="BZ284" s="477"/>
    </row>
    <row r="285" spans="73:82" x14ac:dyDescent="0.2">
      <c r="BU285" s="477"/>
      <c r="BV285" s="477"/>
      <c r="BY285" s="477"/>
      <c r="BZ285" s="477"/>
    </row>
    <row r="286" spans="73:82" x14ac:dyDescent="0.2">
      <c r="BU286" s="477"/>
      <c r="BV286" s="477"/>
      <c r="BY286" s="477"/>
      <c r="BZ286" s="477"/>
    </row>
    <row r="287" spans="73:82" x14ac:dyDescent="0.2">
      <c r="BU287" s="477"/>
      <c r="BV287" s="477"/>
      <c r="BY287" s="477"/>
      <c r="BZ287" s="477"/>
    </row>
    <row r="288" spans="73:82" x14ac:dyDescent="0.2">
      <c r="BU288" s="477"/>
      <c r="BV288" s="477"/>
      <c r="BY288" s="477"/>
      <c r="BZ288" s="477"/>
    </row>
    <row r="289" spans="73:78" x14ac:dyDescent="0.2">
      <c r="BU289" s="477"/>
      <c r="BV289" s="477"/>
      <c r="BY289" s="477"/>
      <c r="BZ289" s="477"/>
    </row>
    <row r="290" spans="73:78" x14ac:dyDescent="0.2">
      <c r="BU290" s="477"/>
      <c r="BV290" s="477"/>
      <c r="BY290" s="477"/>
      <c r="BZ290" s="477"/>
    </row>
    <row r="291" spans="73:78" x14ac:dyDescent="0.2">
      <c r="BU291" s="477"/>
      <c r="BV291" s="477"/>
      <c r="BY291" s="477"/>
      <c r="BZ291" s="477"/>
    </row>
    <row r="292" spans="73:78" x14ac:dyDescent="0.2">
      <c r="BU292" s="477"/>
      <c r="BV292" s="477"/>
      <c r="BY292" s="477"/>
      <c r="BZ292" s="477"/>
    </row>
    <row r="293" spans="73:78" x14ac:dyDescent="0.2">
      <c r="BU293" s="477"/>
      <c r="BV293" s="477"/>
      <c r="BY293" s="477"/>
      <c r="BZ293" s="477"/>
    </row>
    <row r="294" spans="73:78" x14ac:dyDescent="0.2">
      <c r="BU294" s="477"/>
      <c r="BV294" s="477"/>
      <c r="BY294" s="477"/>
      <c r="BZ294" s="477"/>
    </row>
    <row r="295" spans="73:78" x14ac:dyDescent="0.2">
      <c r="BU295" s="477"/>
      <c r="BV295" s="477"/>
      <c r="BY295" s="477"/>
      <c r="BZ295" s="477"/>
    </row>
    <row r="296" spans="73:78" x14ac:dyDescent="0.2">
      <c r="BU296" s="477"/>
      <c r="BV296" s="477"/>
      <c r="BY296" s="477"/>
      <c r="BZ296" s="477"/>
    </row>
    <row r="297" spans="73:78" x14ac:dyDescent="0.2">
      <c r="BU297" s="477"/>
      <c r="BV297" s="477"/>
      <c r="BY297" s="477"/>
      <c r="BZ297" s="477"/>
    </row>
    <row r="298" spans="73:78" x14ac:dyDescent="0.2">
      <c r="BU298" s="477"/>
      <c r="BV298" s="477"/>
      <c r="BY298" s="477"/>
      <c r="BZ298" s="477"/>
    </row>
    <row r="299" spans="73:78" x14ac:dyDescent="0.2">
      <c r="BU299" s="477"/>
      <c r="BV299" s="477"/>
      <c r="BY299" s="477"/>
      <c r="BZ299" s="477"/>
    </row>
    <row r="300" spans="73:78" x14ac:dyDescent="0.2">
      <c r="BU300" s="477"/>
      <c r="BV300" s="477"/>
      <c r="BY300" s="477"/>
      <c r="BZ300" s="477"/>
    </row>
    <row r="301" spans="73:78" x14ac:dyDescent="0.2">
      <c r="BU301" s="477"/>
      <c r="BV301" s="477"/>
      <c r="BY301" s="477"/>
      <c r="BZ301" s="477"/>
    </row>
    <row r="302" spans="73:78" x14ac:dyDescent="0.2">
      <c r="BU302" s="477"/>
      <c r="BV302" s="477"/>
      <c r="BY302" s="477"/>
      <c r="BZ302" s="477"/>
    </row>
    <row r="303" spans="73:78" x14ac:dyDescent="0.2">
      <c r="BU303" s="477"/>
      <c r="BV303" s="477"/>
      <c r="BY303" s="477"/>
      <c r="BZ303" s="477"/>
    </row>
    <row r="304" spans="73:78" x14ac:dyDescent="0.2">
      <c r="BU304" s="477"/>
      <c r="BV304" s="477"/>
      <c r="BY304" s="477"/>
      <c r="BZ304" s="477"/>
    </row>
    <row r="305" spans="73:78" x14ac:dyDescent="0.2">
      <c r="BU305" s="477"/>
      <c r="BV305" s="477"/>
      <c r="BY305" s="477"/>
      <c r="BZ305" s="477"/>
    </row>
    <row r="306" spans="73:78" x14ac:dyDescent="0.2">
      <c r="BU306" s="477"/>
      <c r="BV306" s="477"/>
      <c r="BY306" s="477"/>
      <c r="BZ306" s="477"/>
    </row>
    <row r="307" spans="73:78" x14ac:dyDescent="0.2">
      <c r="BU307" s="477"/>
      <c r="BV307" s="477"/>
      <c r="BY307" s="477"/>
      <c r="BZ307" s="477"/>
    </row>
    <row r="308" spans="73:78" x14ac:dyDescent="0.2">
      <c r="BU308" s="477"/>
      <c r="BV308" s="477"/>
      <c r="BY308" s="477"/>
      <c r="BZ308" s="477"/>
    </row>
    <row r="309" spans="73:78" x14ac:dyDescent="0.2">
      <c r="BU309" s="477"/>
      <c r="BV309" s="477"/>
      <c r="BY309" s="477"/>
      <c r="BZ309" s="477"/>
    </row>
    <row r="310" spans="73:78" x14ac:dyDescent="0.2">
      <c r="BU310" s="477"/>
      <c r="BV310" s="477"/>
      <c r="BY310" s="477"/>
      <c r="BZ310" s="477"/>
    </row>
    <row r="311" spans="73:78" x14ac:dyDescent="0.2">
      <c r="BU311" s="477"/>
      <c r="BV311" s="477"/>
      <c r="BY311" s="477"/>
      <c r="BZ311" s="477"/>
    </row>
    <row r="312" spans="73:78" x14ac:dyDescent="0.2">
      <c r="BU312" s="477"/>
      <c r="BV312" s="477"/>
      <c r="BY312" s="477"/>
      <c r="BZ312" s="477"/>
    </row>
    <row r="313" spans="73:78" x14ac:dyDescent="0.2">
      <c r="BU313" s="477"/>
      <c r="BV313" s="477"/>
      <c r="BY313" s="477"/>
      <c r="BZ313" s="477"/>
    </row>
    <row r="314" spans="73:78" x14ac:dyDescent="0.2">
      <c r="BU314" s="477"/>
      <c r="BV314" s="477"/>
      <c r="BY314" s="477"/>
      <c r="BZ314" s="477"/>
    </row>
    <row r="315" spans="73:78" x14ac:dyDescent="0.2">
      <c r="BU315" s="477"/>
      <c r="BV315" s="477"/>
      <c r="BY315" s="477"/>
      <c r="BZ315" s="477"/>
    </row>
    <row r="316" spans="73:78" x14ac:dyDescent="0.2">
      <c r="BU316" s="477"/>
      <c r="BV316" s="477"/>
      <c r="BY316" s="477"/>
      <c r="BZ316" s="477"/>
    </row>
    <row r="317" spans="73:78" x14ac:dyDescent="0.2">
      <c r="BU317" s="477"/>
      <c r="BV317" s="477"/>
      <c r="BY317" s="477"/>
      <c r="BZ317" s="477"/>
    </row>
    <row r="318" spans="73:78" x14ac:dyDescent="0.2">
      <c r="BU318" s="477"/>
      <c r="BV318" s="477"/>
      <c r="BY318" s="477"/>
      <c r="BZ318" s="477"/>
    </row>
    <row r="319" spans="73:78" x14ac:dyDescent="0.2">
      <c r="BU319" s="477"/>
      <c r="BV319" s="477"/>
      <c r="BY319" s="477"/>
      <c r="BZ319" s="477"/>
    </row>
    <row r="320" spans="73:78" x14ac:dyDescent="0.2">
      <c r="BU320" s="477"/>
      <c r="BV320" s="477"/>
      <c r="BY320" s="477"/>
      <c r="BZ320" s="477"/>
    </row>
    <row r="321" spans="73:78" x14ac:dyDescent="0.2">
      <c r="BU321" s="477"/>
      <c r="BV321" s="477"/>
      <c r="BY321" s="477"/>
      <c r="BZ321" s="477"/>
    </row>
    <row r="322" spans="73:78" x14ac:dyDescent="0.2">
      <c r="BU322" s="477"/>
      <c r="BV322" s="477"/>
      <c r="BY322" s="477"/>
      <c r="BZ322" s="477"/>
    </row>
    <row r="323" spans="73:78" x14ac:dyDescent="0.2">
      <c r="BU323" s="477"/>
      <c r="BV323" s="477"/>
      <c r="BY323" s="477"/>
      <c r="BZ323" s="477"/>
    </row>
    <row r="324" spans="73:78" x14ac:dyDescent="0.2">
      <c r="BU324" s="477"/>
      <c r="BV324" s="477"/>
      <c r="BY324" s="477"/>
      <c r="BZ324" s="477"/>
    </row>
    <row r="325" spans="73:78" x14ac:dyDescent="0.2">
      <c r="BU325" s="477"/>
      <c r="BV325" s="477"/>
      <c r="BY325" s="477"/>
      <c r="BZ325" s="477"/>
    </row>
    <row r="326" spans="73:78" x14ac:dyDescent="0.2">
      <c r="BU326" s="477"/>
      <c r="BV326" s="477"/>
      <c r="BY326" s="477"/>
      <c r="BZ326" s="477"/>
    </row>
    <row r="327" spans="73:78" x14ac:dyDescent="0.2">
      <c r="BU327" s="477"/>
      <c r="BV327" s="477"/>
      <c r="BY327" s="477"/>
      <c r="BZ327" s="477"/>
    </row>
    <row r="328" spans="73:78" x14ac:dyDescent="0.2">
      <c r="BU328" s="477"/>
      <c r="BV328" s="477"/>
      <c r="BY328" s="477"/>
      <c r="BZ328" s="477"/>
    </row>
    <row r="329" spans="73:78" x14ac:dyDescent="0.2">
      <c r="BU329" s="477"/>
      <c r="BV329" s="477"/>
      <c r="BY329" s="477"/>
      <c r="BZ329" s="477"/>
    </row>
    <row r="330" spans="73:78" x14ac:dyDescent="0.2">
      <c r="BU330" s="477"/>
      <c r="BV330" s="477"/>
      <c r="BY330" s="477"/>
      <c r="BZ330" s="477"/>
    </row>
    <row r="331" spans="73:78" x14ac:dyDescent="0.2">
      <c r="BU331" s="477"/>
      <c r="BV331" s="477"/>
      <c r="BY331" s="477"/>
      <c r="BZ331" s="477"/>
    </row>
    <row r="332" spans="73:78" x14ac:dyDescent="0.2">
      <c r="BU332" s="477"/>
      <c r="BV332" s="477"/>
      <c r="BY332" s="477"/>
      <c r="BZ332" s="477"/>
    </row>
    <row r="333" spans="73:78" x14ac:dyDescent="0.2">
      <c r="BU333" s="477"/>
      <c r="BV333" s="477"/>
      <c r="BY333" s="477"/>
      <c r="BZ333" s="477"/>
    </row>
    <row r="334" spans="73:78" x14ac:dyDescent="0.2">
      <c r="BU334" s="477"/>
      <c r="BV334" s="477"/>
      <c r="BY334" s="477"/>
      <c r="BZ334" s="477"/>
    </row>
    <row r="335" spans="73:78" x14ac:dyDescent="0.2">
      <c r="BU335" s="477"/>
      <c r="BV335" s="477"/>
      <c r="BY335" s="477"/>
      <c r="BZ335" s="477"/>
    </row>
    <row r="336" spans="73:78" x14ac:dyDescent="0.2">
      <c r="BU336" s="477"/>
      <c r="BV336" s="477"/>
      <c r="BY336" s="477"/>
      <c r="BZ336" s="477"/>
    </row>
    <row r="337" spans="73:78" x14ac:dyDescent="0.2">
      <c r="BU337" s="477"/>
      <c r="BV337" s="477"/>
      <c r="BY337" s="477"/>
      <c r="BZ337" s="477"/>
    </row>
    <row r="338" spans="73:78" x14ac:dyDescent="0.2">
      <c r="BU338" s="477"/>
      <c r="BV338" s="477"/>
      <c r="BY338" s="477"/>
      <c r="BZ338" s="477"/>
    </row>
    <row r="339" spans="73:78" x14ac:dyDescent="0.2">
      <c r="BU339" s="477"/>
      <c r="BV339" s="477"/>
      <c r="BY339" s="477"/>
      <c r="BZ339" s="477"/>
    </row>
    <row r="340" spans="73:78" x14ac:dyDescent="0.2">
      <c r="BU340" s="477"/>
      <c r="BV340" s="477"/>
      <c r="BY340" s="477"/>
      <c r="BZ340" s="477"/>
    </row>
    <row r="341" spans="73:78" x14ac:dyDescent="0.2">
      <c r="BU341" s="477"/>
      <c r="BV341" s="477"/>
      <c r="BY341" s="477"/>
      <c r="BZ341" s="477"/>
    </row>
    <row r="342" spans="73:78" x14ac:dyDescent="0.2">
      <c r="BU342" s="477"/>
      <c r="BV342" s="477"/>
      <c r="BY342" s="477"/>
      <c r="BZ342" s="477"/>
    </row>
    <row r="343" spans="73:78" x14ac:dyDescent="0.2">
      <c r="BU343" s="477"/>
      <c r="BV343" s="477"/>
      <c r="BY343" s="477"/>
      <c r="BZ343" s="477"/>
    </row>
    <row r="344" spans="73:78" x14ac:dyDescent="0.2">
      <c r="BU344" s="477"/>
      <c r="BV344" s="477"/>
      <c r="BY344" s="477"/>
      <c r="BZ344" s="477"/>
    </row>
    <row r="345" spans="73:78" x14ac:dyDescent="0.2">
      <c r="BU345" s="477"/>
      <c r="BV345" s="477"/>
      <c r="BY345" s="477"/>
      <c r="BZ345" s="477"/>
    </row>
    <row r="346" spans="73:78" x14ac:dyDescent="0.2">
      <c r="BU346" s="477"/>
      <c r="BV346" s="477"/>
      <c r="BY346" s="477"/>
      <c r="BZ346" s="477"/>
    </row>
    <row r="347" spans="73:78" x14ac:dyDescent="0.2">
      <c r="BU347" s="477"/>
      <c r="BV347" s="477"/>
      <c r="BY347" s="477"/>
      <c r="BZ347" s="477"/>
    </row>
    <row r="348" spans="73:78" x14ac:dyDescent="0.2">
      <c r="BU348" s="477"/>
      <c r="BV348" s="477"/>
      <c r="BY348" s="477"/>
      <c r="BZ348" s="477"/>
    </row>
    <row r="349" spans="73:78" x14ac:dyDescent="0.2">
      <c r="BU349" s="477"/>
      <c r="BV349" s="477"/>
      <c r="BY349" s="477"/>
      <c r="BZ349" s="477"/>
    </row>
    <row r="350" spans="73:78" x14ac:dyDescent="0.2">
      <c r="BU350" s="477"/>
      <c r="BV350" s="477"/>
      <c r="BY350" s="477"/>
      <c r="BZ350" s="477"/>
    </row>
    <row r="351" spans="73:78" x14ac:dyDescent="0.2">
      <c r="BU351" s="477"/>
      <c r="BV351" s="477"/>
      <c r="BY351" s="477"/>
      <c r="BZ351" s="477"/>
    </row>
    <row r="352" spans="73:78" x14ac:dyDescent="0.2">
      <c r="BU352" s="477"/>
      <c r="BV352" s="477"/>
      <c r="BY352" s="477"/>
      <c r="BZ352" s="477"/>
    </row>
    <row r="353" spans="73:78" x14ac:dyDescent="0.2">
      <c r="BU353" s="477"/>
      <c r="BV353" s="477"/>
      <c r="BY353" s="477"/>
      <c r="BZ353" s="477"/>
    </row>
    <row r="354" spans="73:78" x14ac:dyDescent="0.2">
      <c r="BU354" s="477"/>
      <c r="BV354" s="477"/>
      <c r="BY354" s="477"/>
      <c r="BZ354" s="477"/>
    </row>
    <row r="355" spans="73:78" x14ac:dyDescent="0.2">
      <c r="BU355" s="477"/>
      <c r="BV355" s="477"/>
      <c r="BY355" s="477"/>
      <c r="BZ355" s="477"/>
    </row>
    <row r="356" spans="73:78" x14ac:dyDescent="0.2">
      <c r="BU356" s="477"/>
      <c r="BV356" s="477"/>
      <c r="BY356" s="477"/>
      <c r="BZ356" s="477"/>
    </row>
    <row r="357" spans="73:78" x14ac:dyDescent="0.2">
      <c r="BU357" s="477"/>
      <c r="BV357" s="477"/>
      <c r="BY357" s="477"/>
      <c r="BZ357" s="477"/>
    </row>
    <row r="358" spans="73:78" x14ac:dyDescent="0.2">
      <c r="BU358" s="477"/>
      <c r="BV358" s="477"/>
      <c r="BY358" s="477"/>
      <c r="BZ358" s="477"/>
    </row>
    <row r="359" spans="73:78" x14ac:dyDescent="0.2">
      <c r="BU359" s="477"/>
      <c r="BV359" s="477"/>
      <c r="BY359" s="477"/>
      <c r="BZ359" s="477"/>
    </row>
    <row r="360" spans="73:78" x14ac:dyDescent="0.2">
      <c r="BU360" s="477"/>
      <c r="BV360" s="477"/>
      <c r="BY360" s="477"/>
      <c r="BZ360" s="477"/>
    </row>
    <row r="361" spans="73:78" x14ac:dyDescent="0.2">
      <c r="BU361" s="477"/>
      <c r="BV361" s="477"/>
      <c r="BY361" s="477"/>
      <c r="BZ361" s="477"/>
    </row>
    <row r="362" spans="73:78" x14ac:dyDescent="0.2">
      <c r="BU362" s="477"/>
      <c r="BV362" s="477"/>
      <c r="BY362" s="477"/>
      <c r="BZ362" s="477"/>
    </row>
    <row r="363" spans="73:78" x14ac:dyDescent="0.2">
      <c r="BU363" s="477"/>
      <c r="BV363" s="477"/>
      <c r="BY363" s="477"/>
      <c r="BZ363" s="477"/>
    </row>
    <row r="364" spans="73:78" x14ac:dyDescent="0.2">
      <c r="BU364" s="477"/>
      <c r="BV364" s="477"/>
      <c r="BY364" s="477"/>
      <c r="BZ364" s="477"/>
    </row>
    <row r="365" spans="73:78" x14ac:dyDescent="0.2">
      <c r="BU365" s="477"/>
      <c r="BV365" s="477"/>
      <c r="BY365" s="477"/>
      <c r="BZ365" s="477"/>
    </row>
    <row r="366" spans="73:78" x14ac:dyDescent="0.2">
      <c r="BU366" s="477"/>
      <c r="BV366" s="477"/>
      <c r="BY366" s="477"/>
      <c r="BZ366" s="477"/>
    </row>
    <row r="367" spans="73:78" x14ac:dyDescent="0.2">
      <c r="BU367" s="477"/>
      <c r="BV367" s="477"/>
      <c r="BY367" s="477"/>
      <c r="BZ367" s="477"/>
    </row>
    <row r="368" spans="73:78" x14ac:dyDescent="0.2">
      <c r="BU368" s="477"/>
      <c r="BV368" s="477"/>
      <c r="BY368" s="477"/>
      <c r="BZ368" s="477"/>
    </row>
    <row r="369" spans="73:78" x14ac:dyDescent="0.2">
      <c r="BU369" s="477"/>
      <c r="BV369" s="477"/>
      <c r="BY369" s="477"/>
      <c r="BZ369" s="477"/>
    </row>
    <row r="370" spans="73:78" x14ac:dyDescent="0.2">
      <c r="BU370" s="477"/>
      <c r="BV370" s="477"/>
      <c r="BY370" s="477"/>
      <c r="BZ370" s="477"/>
    </row>
    <row r="371" spans="73:78" x14ac:dyDescent="0.2">
      <c r="BU371" s="477"/>
      <c r="BV371" s="477"/>
      <c r="BY371" s="477"/>
      <c r="BZ371" s="477"/>
    </row>
    <row r="372" spans="73:78" x14ac:dyDescent="0.2">
      <c r="BU372" s="477"/>
      <c r="BV372" s="477"/>
      <c r="BY372" s="477"/>
      <c r="BZ372" s="477"/>
    </row>
    <row r="373" spans="73:78" x14ac:dyDescent="0.2">
      <c r="BU373" s="477"/>
      <c r="BV373" s="477"/>
      <c r="BY373" s="477"/>
      <c r="BZ373" s="477"/>
    </row>
    <row r="374" spans="73:78" x14ac:dyDescent="0.2">
      <c r="BU374" s="477"/>
      <c r="BV374" s="477"/>
      <c r="BY374" s="477"/>
      <c r="BZ374" s="477"/>
    </row>
    <row r="375" spans="73:78" x14ac:dyDescent="0.2">
      <c r="BU375" s="477"/>
      <c r="BV375" s="477"/>
      <c r="BY375" s="477"/>
      <c r="BZ375" s="477"/>
    </row>
    <row r="376" spans="73:78" x14ac:dyDescent="0.2">
      <c r="BU376" s="477"/>
      <c r="BV376" s="477"/>
      <c r="BY376" s="477"/>
      <c r="BZ376" s="477"/>
    </row>
    <row r="377" spans="73:78" x14ac:dyDescent="0.2">
      <c r="BU377" s="477"/>
      <c r="BV377" s="477"/>
      <c r="BY377" s="477"/>
      <c r="BZ377" s="477"/>
    </row>
    <row r="378" spans="73:78" x14ac:dyDescent="0.2">
      <c r="BU378" s="477"/>
      <c r="BV378" s="477"/>
      <c r="BY378" s="477"/>
      <c r="BZ378" s="477"/>
    </row>
    <row r="379" spans="73:78" x14ac:dyDescent="0.2">
      <c r="BU379" s="477"/>
      <c r="BV379" s="477"/>
      <c r="BY379" s="477"/>
      <c r="BZ379" s="477"/>
    </row>
    <row r="380" spans="73:78" x14ac:dyDescent="0.2">
      <c r="BU380" s="477"/>
      <c r="BV380" s="477"/>
      <c r="BY380" s="477"/>
      <c r="BZ380" s="477"/>
    </row>
    <row r="381" spans="73:78" x14ac:dyDescent="0.2">
      <c r="BU381" s="477"/>
      <c r="BV381" s="477"/>
      <c r="BY381" s="477"/>
      <c r="BZ381" s="477"/>
    </row>
    <row r="382" spans="73:78" x14ac:dyDescent="0.2">
      <c r="BU382" s="477"/>
      <c r="BV382" s="477"/>
      <c r="BY382" s="477"/>
      <c r="BZ382" s="477"/>
    </row>
    <row r="383" spans="73:78" x14ac:dyDescent="0.2">
      <c r="BU383" s="477"/>
      <c r="BV383" s="477"/>
      <c r="BY383" s="477"/>
      <c r="BZ383" s="477"/>
    </row>
    <row r="384" spans="73:78" x14ac:dyDescent="0.2">
      <c r="BU384" s="477"/>
      <c r="BV384" s="477"/>
      <c r="BY384" s="477"/>
      <c r="BZ384" s="477"/>
    </row>
    <row r="385" spans="73:78" x14ac:dyDescent="0.2">
      <c r="BU385" s="477"/>
      <c r="BV385" s="477"/>
      <c r="BY385" s="477"/>
      <c r="BZ385" s="477"/>
    </row>
    <row r="386" spans="73:78" x14ac:dyDescent="0.2">
      <c r="BU386" s="477"/>
      <c r="BV386" s="477"/>
      <c r="BY386" s="477"/>
      <c r="BZ386" s="477"/>
    </row>
    <row r="387" spans="73:78" x14ac:dyDescent="0.2">
      <c r="BU387" s="477"/>
      <c r="BV387" s="477"/>
      <c r="BY387" s="477"/>
      <c r="BZ387" s="477"/>
    </row>
    <row r="388" spans="73:78" x14ac:dyDescent="0.2">
      <c r="BU388" s="477"/>
      <c r="BV388" s="477"/>
      <c r="BY388" s="477"/>
      <c r="BZ388" s="477"/>
    </row>
    <row r="389" spans="73:78" x14ac:dyDescent="0.2">
      <c r="BU389" s="477"/>
      <c r="BV389" s="477"/>
      <c r="BY389" s="477"/>
      <c r="BZ389" s="477"/>
    </row>
    <row r="390" spans="73:78" x14ac:dyDescent="0.2">
      <c r="BU390" s="477"/>
      <c r="BV390" s="477"/>
      <c r="BY390" s="477"/>
      <c r="BZ390" s="477"/>
    </row>
    <row r="391" spans="73:78" x14ac:dyDescent="0.2">
      <c r="BU391" s="477"/>
      <c r="BV391" s="477"/>
      <c r="BY391" s="477"/>
      <c r="BZ391" s="477"/>
    </row>
    <row r="392" spans="73:78" x14ac:dyDescent="0.2">
      <c r="BU392" s="477"/>
      <c r="BV392" s="477"/>
      <c r="BY392" s="477"/>
      <c r="BZ392" s="477"/>
    </row>
    <row r="393" spans="73:78" x14ac:dyDescent="0.2">
      <c r="BU393" s="477"/>
      <c r="BV393" s="477"/>
      <c r="BY393" s="477"/>
      <c r="BZ393" s="477"/>
    </row>
    <row r="394" spans="73:78" x14ac:dyDescent="0.2">
      <c r="BU394" s="477"/>
      <c r="BV394" s="477"/>
      <c r="BY394" s="477"/>
      <c r="BZ394" s="477"/>
    </row>
    <row r="395" spans="73:78" x14ac:dyDescent="0.2">
      <c r="BU395" s="477"/>
      <c r="BV395" s="477"/>
      <c r="BY395" s="477"/>
      <c r="BZ395" s="477"/>
    </row>
    <row r="396" spans="73:78" x14ac:dyDescent="0.2">
      <c r="BU396" s="477"/>
      <c r="BV396" s="477"/>
      <c r="BY396" s="477"/>
      <c r="BZ396" s="477"/>
    </row>
    <row r="397" spans="73:78" x14ac:dyDescent="0.2">
      <c r="BU397" s="477"/>
      <c r="BV397" s="477"/>
      <c r="BY397" s="477"/>
      <c r="BZ397" s="477"/>
    </row>
    <row r="398" spans="73:78" x14ac:dyDescent="0.2">
      <c r="BU398" s="477"/>
      <c r="BV398" s="477"/>
      <c r="BY398" s="477"/>
      <c r="BZ398" s="477"/>
    </row>
    <row r="399" spans="73:78" x14ac:dyDescent="0.2">
      <c r="BU399" s="477"/>
      <c r="BV399" s="477"/>
      <c r="BY399" s="477"/>
      <c r="BZ399" s="477"/>
    </row>
    <row r="400" spans="73:78" x14ac:dyDescent="0.2">
      <c r="BU400" s="477"/>
      <c r="BV400" s="477"/>
      <c r="BY400" s="477"/>
      <c r="BZ400" s="477"/>
    </row>
    <row r="401" spans="73:78" x14ac:dyDescent="0.2">
      <c r="BU401" s="477"/>
      <c r="BV401" s="477"/>
      <c r="BY401" s="477"/>
      <c r="BZ401" s="477"/>
    </row>
    <row r="402" spans="73:78" x14ac:dyDescent="0.2">
      <c r="BU402" s="477"/>
      <c r="BV402" s="477"/>
    </row>
    <row r="403" spans="73:78" x14ac:dyDescent="0.2">
      <c r="BU403" s="477"/>
      <c r="BV403" s="477"/>
    </row>
    <row r="404" spans="73:78" x14ac:dyDescent="0.2">
      <c r="BU404" s="477"/>
      <c r="BV404" s="477"/>
    </row>
    <row r="405" spans="73:78" x14ac:dyDescent="0.2">
      <c r="BU405" s="477"/>
      <c r="BV405" s="477"/>
    </row>
    <row r="406" spans="73:78" x14ac:dyDescent="0.2">
      <c r="BU406" s="477"/>
      <c r="BV406" s="477"/>
    </row>
    <row r="407" spans="73:78" x14ac:dyDescent="0.2">
      <c r="BU407" s="477"/>
      <c r="BV407" s="477"/>
    </row>
    <row r="408" spans="73:78" x14ac:dyDescent="0.2">
      <c r="BU408" s="477"/>
      <c r="BV408" s="477"/>
    </row>
    <row r="409" spans="73:78" x14ac:dyDescent="0.2">
      <c r="BU409" s="477"/>
      <c r="BV409" s="477"/>
    </row>
    <row r="410" spans="73:78" x14ac:dyDescent="0.2">
      <c r="BU410" s="477"/>
      <c r="BV410" s="477"/>
    </row>
    <row r="411" spans="73:78" x14ac:dyDescent="0.2">
      <c r="BU411" s="477"/>
      <c r="BV411" s="477"/>
    </row>
    <row r="412" spans="73:78" x14ac:dyDescent="0.2">
      <c r="BU412" s="477"/>
      <c r="BV412" s="477"/>
    </row>
    <row r="413" spans="73:78" x14ac:dyDescent="0.2">
      <c r="BU413" s="477"/>
      <c r="BV413" s="477"/>
    </row>
    <row r="414" spans="73:78" x14ac:dyDescent="0.2">
      <c r="BU414" s="477"/>
      <c r="BV414" s="477"/>
    </row>
    <row r="415" spans="73:78" x14ac:dyDescent="0.2">
      <c r="BU415" s="477"/>
      <c r="BV415" s="477"/>
    </row>
    <row r="416" spans="73:78" x14ac:dyDescent="0.2">
      <c r="BU416" s="477"/>
      <c r="BV416" s="477"/>
    </row>
    <row r="417" spans="73:74" x14ac:dyDescent="0.2">
      <c r="BU417" s="477"/>
      <c r="BV417" s="477"/>
    </row>
    <row r="418" spans="73:74" x14ac:dyDescent="0.2">
      <c r="BU418" s="477"/>
      <c r="BV418" s="477"/>
    </row>
    <row r="419" spans="73:74" x14ac:dyDescent="0.2">
      <c r="BU419" s="477"/>
      <c r="BV419" s="477"/>
    </row>
    <row r="420" spans="73:74" x14ac:dyDescent="0.2">
      <c r="BU420" s="477"/>
      <c r="BV420" s="477"/>
    </row>
    <row r="421" spans="73:74" x14ac:dyDescent="0.2">
      <c r="BU421" s="477"/>
      <c r="BV421" s="477"/>
    </row>
    <row r="422" spans="73:74" x14ac:dyDescent="0.2">
      <c r="BU422" s="477"/>
      <c r="BV422" s="477"/>
    </row>
    <row r="423" spans="73:74" x14ac:dyDescent="0.2">
      <c r="BU423" s="477"/>
      <c r="BV423" s="477"/>
    </row>
    <row r="424" spans="73:74" x14ac:dyDescent="0.2">
      <c r="BU424" s="477"/>
      <c r="BV424" s="477"/>
    </row>
    <row r="425" spans="73:74" x14ac:dyDescent="0.2">
      <c r="BU425" s="477"/>
      <c r="BV425" s="477"/>
    </row>
    <row r="426" spans="73:74" x14ac:dyDescent="0.2">
      <c r="BU426" s="477"/>
      <c r="BV426" s="477"/>
    </row>
    <row r="427" spans="73:74" x14ac:dyDescent="0.2">
      <c r="BU427" s="477"/>
      <c r="BV427" s="477"/>
    </row>
    <row r="428" spans="73:74" x14ac:dyDescent="0.2">
      <c r="BU428" s="477"/>
      <c r="BV428" s="477"/>
    </row>
    <row r="429" spans="73:74" x14ac:dyDescent="0.2">
      <c r="BU429" s="477"/>
      <c r="BV429" s="477"/>
    </row>
    <row r="430" spans="73:74" x14ac:dyDescent="0.2">
      <c r="BU430" s="477"/>
      <c r="BV430" s="477"/>
    </row>
    <row r="431" spans="73:74" x14ac:dyDescent="0.2">
      <c r="BU431" s="477"/>
      <c r="BV431" s="477"/>
    </row>
    <row r="432" spans="73:74" x14ac:dyDescent="0.2">
      <c r="BU432" s="477"/>
      <c r="BV432" s="477"/>
    </row>
    <row r="433" spans="73:74" x14ac:dyDescent="0.2">
      <c r="BU433" s="477"/>
      <c r="BV433" s="477"/>
    </row>
    <row r="434" spans="73:74" x14ac:dyDescent="0.2">
      <c r="BU434" s="477"/>
      <c r="BV434" s="477"/>
    </row>
    <row r="435" spans="73:74" x14ac:dyDescent="0.2">
      <c r="BU435" s="477"/>
      <c r="BV435" s="477"/>
    </row>
    <row r="436" spans="73:74" x14ac:dyDescent="0.2">
      <c r="BU436" s="477"/>
      <c r="BV436" s="477"/>
    </row>
    <row r="437" spans="73:74" x14ac:dyDescent="0.2">
      <c r="BU437" s="477"/>
      <c r="BV437" s="477"/>
    </row>
    <row r="438" spans="73:74" x14ac:dyDescent="0.2">
      <c r="BU438" s="477"/>
      <c r="BV438" s="477"/>
    </row>
    <row r="439" spans="73:74" x14ac:dyDescent="0.2">
      <c r="BU439" s="477"/>
      <c r="BV439" s="477"/>
    </row>
    <row r="440" spans="73:74" x14ac:dyDescent="0.2">
      <c r="BU440" s="477"/>
      <c r="BV440" s="477"/>
    </row>
    <row r="441" spans="73:74" x14ac:dyDescent="0.2">
      <c r="BU441" s="477"/>
      <c r="BV441" s="477"/>
    </row>
    <row r="442" spans="73:74" x14ac:dyDescent="0.2">
      <c r="BU442" s="477"/>
      <c r="BV442" s="477"/>
    </row>
    <row r="443" spans="73:74" x14ac:dyDescent="0.2">
      <c r="BU443" s="477"/>
      <c r="BV443" s="477"/>
    </row>
    <row r="444" spans="73:74" x14ac:dyDescent="0.2">
      <c r="BU444" s="477"/>
      <c r="BV444" s="477"/>
    </row>
    <row r="445" spans="73:74" x14ac:dyDescent="0.2">
      <c r="BU445" s="477"/>
      <c r="BV445" s="477"/>
    </row>
    <row r="446" spans="73:74" x14ac:dyDescent="0.2">
      <c r="BU446" s="477"/>
      <c r="BV446" s="477"/>
    </row>
    <row r="447" spans="73:74" x14ac:dyDescent="0.2">
      <c r="BU447" s="477"/>
      <c r="BV447" s="477"/>
    </row>
    <row r="448" spans="73:74" x14ac:dyDescent="0.2">
      <c r="BU448" s="477"/>
      <c r="BV448" s="477"/>
    </row>
    <row r="449" spans="73:74" x14ac:dyDescent="0.2">
      <c r="BU449" s="477"/>
      <c r="BV449" s="477"/>
    </row>
    <row r="450" spans="73:74" x14ac:dyDescent="0.2">
      <c r="BU450" s="477"/>
      <c r="BV450" s="477"/>
    </row>
    <row r="451" spans="73:74" x14ac:dyDescent="0.2">
      <c r="BU451" s="477"/>
      <c r="BV451" s="477"/>
    </row>
    <row r="452" spans="73:74" x14ac:dyDescent="0.2">
      <c r="BU452" s="477"/>
      <c r="BV452" s="477"/>
    </row>
    <row r="453" spans="73:74" x14ac:dyDescent="0.2">
      <c r="BU453" s="477"/>
      <c r="BV453" s="477"/>
    </row>
    <row r="454" spans="73:74" x14ac:dyDescent="0.2">
      <c r="BU454" s="477"/>
      <c r="BV454" s="477"/>
    </row>
    <row r="455" spans="73:74" x14ac:dyDescent="0.2">
      <c r="BU455" s="477"/>
      <c r="BV455" s="477"/>
    </row>
    <row r="456" spans="73:74" x14ac:dyDescent="0.2">
      <c r="BU456" s="477"/>
      <c r="BV456" s="477"/>
    </row>
    <row r="457" spans="73:74" x14ac:dyDescent="0.2">
      <c r="BU457" s="477"/>
      <c r="BV457" s="477"/>
    </row>
    <row r="458" spans="73:74" x14ac:dyDescent="0.2">
      <c r="BU458" s="477"/>
      <c r="BV458" s="477"/>
    </row>
    <row r="459" spans="73:74" x14ac:dyDescent="0.2">
      <c r="BU459" s="477"/>
      <c r="BV459" s="477"/>
    </row>
    <row r="460" spans="73:74" x14ac:dyDescent="0.2">
      <c r="BU460" s="477"/>
      <c r="BV460" s="477"/>
    </row>
    <row r="461" spans="73:74" x14ac:dyDescent="0.2">
      <c r="BU461" s="477"/>
      <c r="BV461" s="477"/>
    </row>
  </sheetData>
  <sheetProtection algorithmName="SHA-512" hashValue="uY4SPgifBUZB3yxyyYKleC77902UrG9fR9hIN0NZODPyxEjeZ3lUPSVLaT8svVwkxAhdkoWN0fb7NYfAVt4Jgw==" saltValue="nUf3zH+EWK2wDhgFUvZygA=="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FF66"/>
  </sheetPr>
  <dimension ref="A1:CE93"/>
  <sheetViews>
    <sheetView showGridLines="0" zoomScale="90" zoomScaleNormal="90" workbookViewId="0">
      <selection sqref="A1:AO1"/>
    </sheetView>
  </sheetViews>
  <sheetFormatPr baseColWidth="10" defaultColWidth="11.42578125" defaultRowHeight="12.75" x14ac:dyDescent="0.2"/>
  <cols>
    <col min="1" max="1" width="28.42578125" style="16" customWidth="1"/>
    <col min="2" max="2" width="12.140625" style="16" customWidth="1"/>
    <col min="3" max="5" width="11.42578125" style="16"/>
    <col min="6" max="13" width="16.140625" style="16" customWidth="1"/>
    <col min="14" max="16" width="11.42578125" style="16"/>
    <col min="17" max="21" width="11.42578125" style="16" customWidth="1"/>
    <col min="22" max="40" width="11.42578125" style="16"/>
    <col min="41" max="43" width="0" style="16" hidden="1" customWidth="1"/>
    <col min="44" max="83" width="11.42578125" style="16" hidden="1" customWidth="1"/>
    <col min="84" max="104" width="11.42578125" style="16" customWidth="1"/>
    <col min="105" max="16384" width="11.42578125" style="16"/>
  </cols>
  <sheetData>
    <row r="1" spans="1:65" ht="51.75" customHeight="1" x14ac:dyDescent="0.2">
      <c r="A1" s="2385" t="str">
        <f>+IF(AND(BM9="OUI",BM10=52),"Situation sur les CP, CDD calculé sur une année complète",IF(AND(BM9="OUI",BM10&lt;&gt;52),"Ne pas utiliser cette feuille, CDD calculé sur une année incomplète",IF(BM12="OUI","Ne pas utiliser cette feuille pour un contrat occasionnel","Situation sur les congés payés en Année Complète")))</f>
        <v>Situation sur les congés payés en Année Complète</v>
      </c>
      <c r="B1" s="2385"/>
      <c r="C1" s="2385"/>
      <c r="D1" s="2385"/>
      <c r="E1" s="2385"/>
      <c r="F1" s="2385"/>
      <c r="G1" s="2385"/>
      <c r="H1" s="2385"/>
      <c r="I1" s="2378" t="str">
        <f>+IF(AND(Identification!B95&lt;=J6,Identification!B95&gt;J4),BC1,"")</f>
        <v/>
      </c>
      <c r="J1" s="2378"/>
      <c r="K1" s="2378"/>
      <c r="L1" s="2378"/>
      <c r="M1" s="2378"/>
      <c r="N1" s="2378"/>
      <c r="O1" s="24" t="str">
        <f>+IF(AND(Identification!B95&lt;=J6,Identification!B95&gt;J4),"faux","")</f>
        <v/>
      </c>
      <c r="S1" s="24" t="s">
        <v>653</v>
      </c>
      <c r="T1" s="24"/>
      <c r="BC1" s="16" t="s">
        <v>1413</v>
      </c>
    </row>
    <row r="2" spans="1:65" x14ac:dyDescent="0.2">
      <c r="C2" s="2379" t="str">
        <f>+'Mode d''utilisation'!E2</f>
        <v>Syndicat National FO des Emplois de la Famille         www.emploisdelafamille-fo.fr</v>
      </c>
      <c r="D2" s="2379"/>
      <c r="E2" s="2379"/>
      <c r="F2" s="2379"/>
      <c r="G2" s="2379"/>
      <c r="H2" s="2379"/>
      <c r="I2" s="2379"/>
      <c r="S2" s="24">
        <v>1</v>
      </c>
      <c r="T2" s="24" t="str">
        <f>+IF(AND(A40&lt;&gt;"Hors période",B40=0),"JAUNE","NON")</f>
        <v>JAUNE</v>
      </c>
      <c r="BA2" s="29" t="s">
        <v>1314</v>
      </c>
      <c r="BB2" s="30">
        <f>+DATE(YEAR(Identification!B61)-1,4,30)</f>
        <v>45777</v>
      </c>
      <c r="BC2" s="16">
        <f>+DATEDIF(Identification!B49,BB2,"Y")</f>
        <v>125</v>
      </c>
    </row>
    <row r="3" spans="1:65" x14ac:dyDescent="0.2">
      <c r="C3" s="26"/>
      <c r="D3" s="27"/>
      <c r="E3" s="27"/>
      <c r="F3" s="27"/>
      <c r="G3" s="27"/>
      <c r="H3" s="27"/>
      <c r="I3" s="27"/>
      <c r="K3" s="377"/>
      <c r="S3" s="24">
        <v>2</v>
      </c>
      <c r="T3" s="24" t="str">
        <f t="shared" ref="T3:T9" si="0">+IF(AND(A41&lt;&gt;"Hors période",B41=0),"JAUNE","NON")</f>
        <v>JAUNE</v>
      </c>
      <c r="BA3" s="29" t="s">
        <v>1315</v>
      </c>
      <c r="BB3" s="16" t="str">
        <f>+IF(BC2&lt;21,"OUI","NON")</f>
        <v>NON</v>
      </c>
      <c r="BM3" s="30">
        <f>+DATE(YEAR(BM5),6,1)</f>
        <v>46174</v>
      </c>
    </row>
    <row r="4" spans="1:65" ht="15" customHeight="1" x14ac:dyDescent="0.2">
      <c r="I4" s="29" t="s">
        <v>8</v>
      </c>
      <c r="J4" s="30">
        <f>+Identification!B28</f>
        <v>0</v>
      </c>
      <c r="K4" s="377"/>
      <c r="S4" s="24">
        <v>3</v>
      </c>
      <c r="T4" s="24" t="str">
        <f t="shared" si="0"/>
        <v>JAUNE</v>
      </c>
      <c r="BB4" s="29" t="s">
        <v>1410</v>
      </c>
      <c r="BC4" s="16" t="str">
        <f>+IF(I1=BC1,"OUI",IF(AND(BM10&gt;0,BM10&lt;&gt;52),"OUI",IF(BM12="OUI","OUI","NON")))</f>
        <v>NON</v>
      </c>
      <c r="BK4" s="16" t="s">
        <v>595</v>
      </c>
      <c r="BL4" s="27" t="s">
        <v>597</v>
      </c>
      <c r="BM4" s="27" t="s">
        <v>596</v>
      </c>
    </row>
    <row r="5" spans="1:65" ht="15" customHeight="1" x14ac:dyDescent="0.2">
      <c r="A5" s="25" t="s">
        <v>655</v>
      </c>
      <c r="B5" s="25"/>
      <c r="K5" s="377"/>
      <c r="S5" s="24">
        <v>4</v>
      </c>
      <c r="T5" s="24" t="str">
        <f t="shared" si="0"/>
        <v>JAUNE</v>
      </c>
      <c r="BB5" s="29" t="s">
        <v>1703</v>
      </c>
      <c r="BC5" s="16" t="str">
        <f>+IF(DATE(YEAR(J6),5,1)&gt;J4,"OUI","NON")</f>
        <v>OUI</v>
      </c>
      <c r="BK5" s="16">
        <v>1</v>
      </c>
      <c r="BL5" s="30">
        <f>+IF(AND(BM5&lt;BM3,J4&lt;=DATE(YEAR(BM3)-1,6,1)),DATE(YEAR(BM3)-1,6,1),IF(AND(BM5&lt;BM3,J4&gt;=DATE(YEAR(BM3)-1,6,1)),J4,IF(J4&gt;BM3,J4,BM3)))</f>
        <v>45809</v>
      </c>
      <c r="BM5" s="30">
        <f>+J6</f>
        <v>46173</v>
      </c>
    </row>
    <row r="6" spans="1:65" x14ac:dyDescent="0.2">
      <c r="I6" s="29" t="s">
        <v>618</v>
      </c>
      <c r="J6" s="79">
        <f>+DATE(YEAR(Identification!B61),5,31)</f>
        <v>46173</v>
      </c>
      <c r="K6" s="377"/>
      <c r="S6" s="24">
        <v>5</v>
      </c>
      <c r="T6" s="24" t="str">
        <f t="shared" si="0"/>
        <v>JAUNE</v>
      </c>
      <c r="BL6" s="30"/>
      <c r="BM6" s="30"/>
    </row>
    <row r="7" spans="1:65" x14ac:dyDescent="0.2">
      <c r="K7" s="377"/>
      <c r="S7" s="24">
        <v>6</v>
      </c>
      <c r="T7" s="24" t="str">
        <f t="shared" si="0"/>
        <v>JAUNE</v>
      </c>
    </row>
    <row r="8" spans="1:65" x14ac:dyDescent="0.2">
      <c r="I8" s="29"/>
      <c r="J8" s="30"/>
      <c r="K8" s="377"/>
      <c r="S8" s="24">
        <v>7</v>
      </c>
      <c r="T8" s="24" t="str">
        <f t="shared" si="0"/>
        <v>JAUNE</v>
      </c>
      <c r="BK8" s="30">
        <f>+DATE(YEAR(BM5)-1,6,1)</f>
        <v>45809</v>
      </c>
      <c r="BL8" s="29" t="s">
        <v>601</v>
      </c>
      <c r="BM8" s="30">
        <f>DATE(YEAR(J6),MONTH(J6),1)</f>
        <v>46143</v>
      </c>
    </row>
    <row r="9" spans="1:65" ht="13.5" thickBot="1" x14ac:dyDescent="0.25">
      <c r="S9" s="24">
        <v>8</v>
      </c>
      <c r="T9" s="24" t="str">
        <f t="shared" ca="1" si="0"/>
        <v>JAUNE</v>
      </c>
      <c r="BL9" s="29" t="s">
        <v>1615</v>
      </c>
      <c r="BM9" s="16">
        <f>+VLOOKUP(DATE(YEAR(J6),MONTH(J6),1),BDD,87,FALSE)</f>
        <v>0</v>
      </c>
    </row>
    <row r="10" spans="1:65" ht="13.5" thickTop="1" x14ac:dyDescent="0.2">
      <c r="H10" s="1218" t="str">
        <f>+" Récapitulatif des informations au "&amp;TEXT(BM5,"jj/mm/aaaa")&amp;" en Année complète"</f>
        <v xml:space="preserve"> Récapitulatif des informations au 31/05/2026 en Année complète</v>
      </c>
      <c r="I10" s="1219"/>
      <c r="J10" s="1219"/>
      <c r="K10" s="1219"/>
      <c r="L10" s="1219"/>
      <c r="M10" s="1220"/>
      <c r="R10" s="24">
        <v>9</v>
      </c>
      <c r="S10" s="24" t="str">
        <f>+IF(AND(A48&lt;&gt;"Hors période",B48=0),"JAUNE","NON")</f>
        <v>JAUNE</v>
      </c>
      <c r="BL10" s="29" t="s">
        <v>1621</v>
      </c>
      <c r="BM10" s="16">
        <f>+VLOOKUP(DATE(YEAR(J6),MONTH(J6),1),BDD,26,FALSE)</f>
        <v>0</v>
      </c>
    </row>
    <row r="11" spans="1:65" x14ac:dyDescent="0.2">
      <c r="H11" s="1221"/>
      <c r="M11" s="1222"/>
      <c r="R11" s="24">
        <v>10</v>
      </c>
      <c r="S11" s="24" t="str">
        <f>+IF(AND(A49&lt;&gt;"Hors période",B49=0),"JAUNE","NON")</f>
        <v>JAUNE</v>
      </c>
      <c r="BL11" s="29" t="s">
        <v>1617</v>
      </c>
      <c r="BM11" s="16" t="str">
        <f>+IF(AND(BM9="OUI",BM10&lt;&gt;52),"OUI","NON")</f>
        <v>NON</v>
      </c>
    </row>
    <row r="12" spans="1:65" x14ac:dyDescent="0.2">
      <c r="H12" s="2402" t="str">
        <f>"Pour la période "&amp;+B13&amp;" il y a un complément à percevoir de :"</f>
        <v>Pour la période Du 01/06/2025 au 31/05/2026 il y a un complément à percevoir de :</v>
      </c>
      <c r="I12" s="2395"/>
      <c r="J12" s="2395"/>
      <c r="K12" s="2395"/>
      <c r="L12" s="2395"/>
      <c r="M12" s="1248">
        <f>+IF(H91&lt;=0,0,H91)</f>
        <v>0</v>
      </c>
      <c r="R12" s="24">
        <v>11</v>
      </c>
      <c r="S12" s="24" t="str">
        <f>+IF(AND(A50&lt;&gt;"Hors période",B50=0),"JAUNE","NON")</f>
        <v>JAUNE</v>
      </c>
      <c r="BL12" s="29" t="s">
        <v>1620</v>
      </c>
      <c r="BM12" s="16">
        <f>+VLOOKUP(DATE(YEAR(J6),MONTH(J6),1),BDD,97,FALSE)</f>
        <v>0</v>
      </c>
    </row>
    <row r="13" spans="1:65" x14ac:dyDescent="0.2">
      <c r="A13" s="16" t="s">
        <v>594</v>
      </c>
      <c r="B13" s="2380" t="str">
        <f>IF(J4&gt;J6,"Hors période du contrat","Du "&amp;TEXT(BL5,"jj/mm/aaaa")&amp;" au "&amp;TEXT(BM5,"jj/mm/aaaa"))</f>
        <v>Du 01/06/2025 au 31/05/2026</v>
      </c>
      <c r="C13" s="2380"/>
      <c r="D13" s="2380"/>
      <c r="H13" s="2392"/>
      <c r="I13" s="2381"/>
      <c r="K13" s="58"/>
      <c r="L13" s="29"/>
      <c r="M13" s="1249"/>
      <c r="R13" s="24">
        <v>12</v>
      </c>
      <c r="S13" s="24" t="str">
        <f>+IF(AND(A51&lt;&gt;"Hors période",B51=0),"JAUNE","NON")</f>
        <v>JAUNE</v>
      </c>
    </row>
    <row r="14" spans="1:65" x14ac:dyDescent="0.2">
      <c r="A14" s="16" t="s">
        <v>25</v>
      </c>
      <c r="B14" s="2381">
        <f>+Identification!B25</f>
        <v>0</v>
      </c>
      <c r="C14" s="2381"/>
      <c r="D14" s="2381"/>
      <c r="H14" s="1221"/>
      <c r="J14" s="39"/>
      <c r="K14" s="40"/>
      <c r="L14" s="29" t="s">
        <v>709</v>
      </c>
      <c r="M14" s="1250">
        <f ca="1">+D57</f>
        <v>0</v>
      </c>
      <c r="R14" s="24"/>
      <c r="S14" s="24"/>
    </row>
    <row r="15" spans="1:65" x14ac:dyDescent="0.2">
      <c r="C15" s="29"/>
      <c r="D15" s="34"/>
      <c r="H15" s="1221"/>
      <c r="J15" s="39"/>
      <c r="K15" s="40"/>
      <c r="L15" s="29"/>
      <c r="M15" s="1251"/>
      <c r="R15" s="24" t="s">
        <v>654</v>
      </c>
      <c r="S15" s="24" t="str">
        <f>+IF(J4&gt;F69,"NON","OUI")</f>
        <v>OUI</v>
      </c>
    </row>
    <row r="16" spans="1:65" x14ac:dyDescent="0.2">
      <c r="A16" s="45" t="s">
        <v>636</v>
      </c>
      <c r="H16" s="2403" t="s">
        <v>645</v>
      </c>
      <c r="I16" s="2404"/>
      <c r="J16" s="2404"/>
      <c r="K16" s="2404"/>
      <c r="L16" s="2404"/>
      <c r="M16" s="1252">
        <f>+F33</f>
        <v>0</v>
      </c>
      <c r="R16" s="24"/>
      <c r="S16" s="24"/>
    </row>
    <row r="17" spans="3:19" ht="13.5" thickBot="1" x14ac:dyDescent="0.25">
      <c r="H17" s="1253"/>
      <c r="I17" s="1237"/>
      <c r="J17" s="1254"/>
      <c r="K17" s="1255"/>
      <c r="L17" s="1237"/>
      <c r="M17" s="1247"/>
      <c r="R17" s="24"/>
      <c r="S17" s="24"/>
    </row>
    <row r="18" spans="3:19" ht="13.5" thickTop="1" x14ac:dyDescent="0.2">
      <c r="E18" s="29"/>
      <c r="J18" s="29"/>
      <c r="K18" s="37"/>
    </row>
    <row r="19" spans="3:19" x14ac:dyDescent="0.2">
      <c r="E19" s="29" t="s">
        <v>573</v>
      </c>
      <c r="F19" s="41">
        <f>IFERROR(IF(F20="",+MROUND(VLOOKUP(BM8,BDD,27,FALSE),0.005),F20),0)</f>
        <v>0</v>
      </c>
      <c r="G19" s="80"/>
      <c r="J19" s="29"/>
      <c r="K19" s="37"/>
    </row>
    <row r="20" spans="3:19" x14ac:dyDescent="0.2">
      <c r="E20" s="29" t="s">
        <v>492</v>
      </c>
      <c r="F20" s="1111"/>
      <c r="G20" s="49"/>
      <c r="H20" s="46" t="s">
        <v>572</v>
      </c>
      <c r="K20" s="37"/>
    </row>
    <row r="21" spans="3:19" x14ac:dyDescent="0.2">
      <c r="H21" s="47"/>
      <c r="K21" s="37"/>
    </row>
    <row r="22" spans="3:19" x14ac:dyDescent="0.2">
      <c r="H22" s="47" t="str">
        <f>+"L'AM a travaillé "&amp;F19&amp;" mois sur la période de référence (1er juin au 31 mai)"</f>
        <v>L'AM a travaillé 0 mois sur la période de référence (1er juin au 31 mai)</v>
      </c>
      <c r="K22" s="37"/>
    </row>
    <row r="23" spans="3:19" x14ac:dyDescent="0.2">
      <c r="E23" s="29" t="s">
        <v>1100</v>
      </c>
      <c r="F23" s="41">
        <f>IF(O1="faux",0,MIN(12,F19))</f>
        <v>0</v>
      </c>
      <c r="H23" s="47"/>
      <c r="K23" s="37"/>
    </row>
    <row r="24" spans="3:19" x14ac:dyDescent="0.2">
      <c r="H24" s="664" t="s">
        <v>1550</v>
      </c>
    </row>
    <row r="25" spans="3:19" x14ac:dyDescent="0.2">
      <c r="E25" s="29" t="s">
        <v>1637</v>
      </c>
      <c r="F25" s="1565">
        <f>IFERROR(IF(F26="",+MROUND(VLOOKUP(BM8,BDD,99,FALSE),0.005),F26),0)</f>
        <v>0</v>
      </c>
      <c r="H25" s="664"/>
    </row>
    <row r="26" spans="3:19" x14ac:dyDescent="0.2">
      <c r="E26" s="29" t="s">
        <v>492</v>
      </c>
      <c r="F26" s="1111"/>
      <c r="H26" s="664" t="s">
        <v>664</v>
      </c>
    </row>
    <row r="27" spans="3:19" x14ac:dyDescent="0.2">
      <c r="C27" s="29"/>
      <c r="H27" s="1524" t="s">
        <v>1639</v>
      </c>
    </row>
    <row r="28" spans="3:19" x14ac:dyDescent="0.2">
      <c r="C28" s="29" t="s">
        <v>574</v>
      </c>
      <c r="D28" s="1566">
        <f>IF(BC5="OUI",IF(D29="",+Identification!B55*2,D29),0)</f>
        <v>0</v>
      </c>
      <c r="E28" s="16" t="s">
        <v>662</v>
      </c>
      <c r="F28" s="1566">
        <f>IF(BB3="NON",ROUND(+(MIN(F33,30)-D31),0),F33-D31)</f>
        <v>0</v>
      </c>
    </row>
    <row r="29" spans="3:19" x14ac:dyDescent="0.2">
      <c r="C29" s="29" t="s">
        <v>492</v>
      </c>
      <c r="D29" s="1298"/>
      <c r="E29" s="377" t="str">
        <f>+IF(AND(D29&lt;&gt;0,BC5="NON"),"La date du contrat ne le permet pas","")</f>
        <v/>
      </c>
      <c r="F29" s="80"/>
      <c r="H29" s="47"/>
    </row>
    <row r="30" spans="3:19" x14ac:dyDescent="0.2">
      <c r="C30" s="29"/>
      <c r="D30" s="29"/>
      <c r="H30" s="47" t="str">
        <f>+"Nombre de mois travaillés ou calendaires ("&amp;F23&amp;" mois) x 2,5 jours + Jours suppl enfant de moins de 15 ans ("&amp;F28&amp;" jour(s))"</f>
        <v>Nombre de mois travaillés ou calendaires (0 mois) x 2,5 jours + Jours suppl enfant de moins de 15 ans (0 jour(s))</v>
      </c>
    </row>
    <row r="31" spans="3:19" x14ac:dyDescent="0.2">
      <c r="C31" s="29" t="s">
        <v>1317</v>
      </c>
      <c r="D31" s="1567">
        <f>ROUNDUP(IF(+F23*2.5+F25&lt;30,+F23*2.5+F25,30),0)</f>
        <v>0</v>
      </c>
      <c r="H31" s="16" t="str">
        <f>"+ jrs acquis sur arrêt de travail ("&amp;F25&amp;" jour(s))"</f>
        <v>+ jrs acquis sur arrêt de travail (0 jour(s))</v>
      </c>
    </row>
    <row r="32" spans="3:19" x14ac:dyDescent="0.2">
      <c r="C32" s="29"/>
      <c r="D32" s="29"/>
      <c r="G32" s="81"/>
      <c r="H32" s="47" t="str">
        <f>+"soit "&amp;F33&amp;" jour(s) ouvrable(s) maximum acquis."</f>
        <v>soit 0 jour(s) ouvrable(s) maximum acquis.</v>
      </c>
    </row>
    <row r="33" spans="1:13" x14ac:dyDescent="0.2">
      <c r="C33" s="29" t="s">
        <v>576</v>
      </c>
      <c r="D33" s="1566">
        <f>ROUND(+F23*2.5+D28+F25,2)</f>
        <v>0</v>
      </c>
      <c r="E33" s="51" t="s">
        <v>1316</v>
      </c>
      <c r="F33" s="1568">
        <f>IF(BB3="NON",IF(D33&lt;30,ROUNDUP(D33,0),30),IF(AND(BB3="OUI",D31&lt;=5),ROUNDUP(D31+(D28/2),0),ROUNDUP(D33,0)))</f>
        <v>0</v>
      </c>
    </row>
    <row r="36" spans="1:13" ht="28.5" customHeight="1" x14ac:dyDescent="0.2">
      <c r="A36" s="627" t="s">
        <v>583</v>
      </c>
    </row>
    <row r="38" spans="1:13" x14ac:dyDescent="0.2">
      <c r="A38" s="16" t="s">
        <v>584</v>
      </c>
    </row>
    <row r="39" spans="1:13" ht="38.25" x14ac:dyDescent="0.2">
      <c r="B39" s="628" t="s">
        <v>1660</v>
      </c>
      <c r="C39" s="54" t="s">
        <v>603</v>
      </c>
      <c r="D39" s="476" t="s">
        <v>610</v>
      </c>
      <c r="E39" s="82"/>
      <c r="F39" s="82"/>
    </row>
    <row r="40" spans="1:13" x14ac:dyDescent="0.2">
      <c r="A40" s="629">
        <f>+IF(AND(DATE(YEAR($BK$8),6,30)&gt;=$BK$8,DATE(YEAR($BK$8),6,1)&lt;=$BM$5,$J$4&lt;=DATE(YEAR($BK$8),6,1)),DATE(YEAR($BK$8),6,1),"Hors période")</f>
        <v>45809</v>
      </c>
      <c r="B40" s="31">
        <f t="shared" ref="B40:B51" si="1">IF($O$1="faux",0,IF(C40="",IFERROR(+VLOOKUP(A40,BDD,2,FALSE)+VLOOKUP(A40,BDD,100,FALSE),0),C40))</f>
        <v>0</v>
      </c>
      <c r="C40" s="1108"/>
      <c r="D40" s="31">
        <f>+ROUND((+B40*10%),2)</f>
        <v>0</v>
      </c>
      <c r="E40" s="59"/>
      <c r="F40" s="83"/>
      <c r="G40" s="82"/>
      <c r="H40" s="46" t="s">
        <v>572</v>
      </c>
    </row>
    <row r="41" spans="1:13" x14ac:dyDescent="0.2">
      <c r="A41" s="629">
        <f>+IF(AND(DATE(YEAR($BK$8),7,31)&gt;=$BK$8,DATE(YEAR($BK$8),7,1)&lt;=$BM$5,$J$4&lt;=DATE(YEAR($BK$8),7,31)),DATE(YEAR($BK$8),7,1),"Hors période")</f>
        <v>45839</v>
      </c>
      <c r="B41" s="31">
        <f t="shared" si="1"/>
        <v>0</v>
      </c>
      <c r="C41" s="1108"/>
      <c r="D41" s="31">
        <f t="shared" ref="D41:D51" si="2">+ROUND((+B41*10%),2)</f>
        <v>0</v>
      </c>
      <c r="E41" s="59"/>
      <c r="F41" s="83"/>
      <c r="G41" s="83"/>
      <c r="H41" s="47" t="s">
        <v>608</v>
      </c>
    </row>
    <row r="42" spans="1:13" x14ac:dyDescent="0.2">
      <c r="A42" s="629">
        <f>+IF(AND(DATE(YEAR($BK$8),8,31)&gt;=$BK$8,DATE(YEAR($BK$8),8,1)&lt;=$BM$5,$J$4&lt;=DATE(YEAR($BK$8),8,31)),DATE(YEAR($BK$8),8,1),"Hors période")</f>
        <v>45870</v>
      </c>
      <c r="B42" s="31">
        <f t="shared" si="1"/>
        <v>0</v>
      </c>
      <c r="C42" s="1108"/>
      <c r="D42" s="31">
        <f t="shared" si="2"/>
        <v>0</v>
      </c>
      <c r="E42" s="59"/>
      <c r="F42" s="83"/>
      <c r="G42" s="83"/>
      <c r="H42" s="47"/>
    </row>
    <row r="43" spans="1:13" x14ac:dyDescent="0.2">
      <c r="A43" s="629">
        <f>+IF(AND(DATE(YEAR($BK$8),9,30)&gt;=$BK$8,DATE(YEAR($BK$8),9,1)&lt;=$BM$5,$J$4&lt;=DATE(YEAR($BK$8),9,30)),DATE(YEAR($BK$8),9,1),"Hors période")</f>
        <v>45901</v>
      </c>
      <c r="B43" s="31">
        <f t="shared" si="1"/>
        <v>0</v>
      </c>
      <c r="C43" s="1108"/>
      <c r="D43" s="31">
        <f t="shared" si="2"/>
        <v>0</v>
      </c>
      <c r="E43" s="59"/>
      <c r="F43" s="83"/>
      <c r="G43" s="83"/>
      <c r="H43" s="47" t="s">
        <v>611</v>
      </c>
      <c r="I43" s="47"/>
      <c r="J43" s="47"/>
      <c r="K43" s="47"/>
      <c r="L43" s="47"/>
    </row>
    <row r="44" spans="1:13" x14ac:dyDescent="0.2">
      <c r="A44" s="629">
        <f>+IF(AND(DATE(YEAR($BK$8),10,31)&gt;=$BK$8,DATE(YEAR($BK$8),10,1)&lt;=$BM$5,$J$4&lt;=DATE(YEAR($BK$8),10,31)),DATE(YEAR($BK$8),10,1),"Hors période")</f>
        <v>45931</v>
      </c>
      <c r="B44" s="31">
        <f t="shared" si="1"/>
        <v>0</v>
      </c>
      <c r="C44" s="1108"/>
      <c r="D44" s="31">
        <f t="shared" si="2"/>
        <v>0</v>
      </c>
      <c r="E44" s="59"/>
      <c r="F44" s="83"/>
      <c r="G44" s="83"/>
      <c r="H44" s="47" t="str">
        <f>+"[Salaire du mois ("&amp;B42&amp;" euros) x 10%]"</f>
        <v>[Salaire du mois (0 euros) x 10%]</v>
      </c>
      <c r="I44" s="47"/>
      <c r="J44" s="47"/>
      <c r="K44" s="47"/>
      <c r="L44" s="47"/>
    </row>
    <row r="45" spans="1:13" x14ac:dyDescent="0.2">
      <c r="A45" s="629">
        <f>+IF(AND(DATE(YEAR($BK$8),11,30)&gt;=$BK$8,DATE(YEAR($BK$8),11,1)&lt;=$BM$5,$J$4&lt;=DATE(YEAR($BK$8),11,30)),DATE(YEAR($BK$8),11,1),"Hors période")</f>
        <v>45962</v>
      </c>
      <c r="B45" s="31">
        <f t="shared" si="1"/>
        <v>0</v>
      </c>
      <c r="C45" s="1108"/>
      <c r="D45" s="31">
        <f t="shared" si="2"/>
        <v>0</v>
      </c>
      <c r="E45" s="59"/>
      <c r="F45" s="83"/>
      <c r="G45" s="83"/>
      <c r="H45" s="47" t="str">
        <f>+"Soit pour la ligne du mois de Août "&amp;D42&amp;" euros"</f>
        <v>Soit pour la ligne du mois de Août 0 euros</v>
      </c>
      <c r="I45" s="47"/>
      <c r="J45" s="47"/>
      <c r="K45" s="47"/>
      <c r="L45" s="47"/>
    </row>
    <row r="46" spans="1:13" x14ac:dyDescent="0.2">
      <c r="A46" s="629">
        <f>+IF(AND(DATE(YEAR($BK$8),12,31)&gt;=$BK$8,DATE(YEAR($BK$8),12,1)&lt;=$BM$5,$J$4&lt;=DATE(YEAR($BK$8),12,31)),DATE(YEAR($BK$8),12,1),"Hors période")</f>
        <v>45992</v>
      </c>
      <c r="B46" s="31">
        <f t="shared" si="1"/>
        <v>0</v>
      </c>
      <c r="C46" s="1108"/>
      <c r="D46" s="31">
        <f t="shared" si="2"/>
        <v>0</v>
      </c>
      <c r="E46" s="59"/>
      <c r="F46" s="83"/>
      <c r="G46" s="83"/>
      <c r="H46" s="47"/>
      <c r="I46" s="47"/>
      <c r="J46" s="47"/>
      <c r="K46" s="47"/>
      <c r="L46" s="47"/>
    </row>
    <row r="47" spans="1:13" x14ac:dyDescent="0.2">
      <c r="A47" s="629">
        <f>+IF(AND(DATE(YEAR($BK$8)+1,1,31)&gt;=$BK$8,DATE(YEAR($BK$8)+1,1,1)&lt;=$BM$5,$J$4&lt;=DATE(YEAR($BK$8)+1,1,31)),DATE(YEAR($BK$8)+1,1,1),"Hors période")</f>
        <v>46023</v>
      </c>
      <c r="B47" s="31">
        <f t="shared" ca="1" si="1"/>
        <v>0</v>
      </c>
      <c r="C47" s="1108"/>
      <c r="D47" s="31">
        <f t="shared" ca="1" si="2"/>
        <v>0</v>
      </c>
      <c r="E47" s="59"/>
      <c r="F47" s="83"/>
      <c r="G47" s="83"/>
      <c r="H47" s="47" t="s">
        <v>588</v>
      </c>
      <c r="I47" s="47"/>
      <c r="J47" s="47"/>
      <c r="K47" s="47"/>
      <c r="L47" s="47"/>
      <c r="M47" s="58"/>
    </row>
    <row r="48" spans="1:13" x14ac:dyDescent="0.2">
      <c r="A48" s="629">
        <f>+IF(AND(DATE(YEAR($BK$8)+1,2,29)&gt;=$BK$8,DATE(YEAR($BK$8)+1,2,1)&lt;=$BM$5,$J$4&lt;=DATE(YEAR($BK$8)+1,2,29)),DATE(YEAR($BK$8)+1,2,1),"Hors période")</f>
        <v>46054</v>
      </c>
      <c r="B48" s="31">
        <f t="shared" si="1"/>
        <v>0</v>
      </c>
      <c r="C48" s="1108"/>
      <c r="D48" s="31">
        <f t="shared" si="2"/>
        <v>0</v>
      </c>
      <c r="E48" s="59"/>
      <c r="F48" s="83"/>
      <c r="G48" s="83"/>
      <c r="H48" s="47" t="s">
        <v>589</v>
      </c>
    </row>
    <row r="49" spans="1:10" x14ac:dyDescent="0.2">
      <c r="A49" s="629">
        <f>+IF(AND(DATE(YEAR($BK$8)+1,3,31)&gt;=$BK$8,DATE(YEAR($BK$8)+1,3,1)&lt;=$BM$5,$J$4&lt;=DATE(YEAR($BK$8)+1,3,31)),DATE(YEAR($BK$8)+1,3,1),"Hors période")</f>
        <v>46082</v>
      </c>
      <c r="B49" s="31">
        <f t="shared" si="1"/>
        <v>0</v>
      </c>
      <c r="C49" s="1108"/>
      <c r="D49" s="31">
        <f t="shared" si="2"/>
        <v>0</v>
      </c>
      <c r="E49" s="59"/>
      <c r="F49" s="83"/>
      <c r="G49" s="83"/>
      <c r="I49" s="56" t="str">
        <f ca="1">+D52&amp;" / "&amp;D31&amp;" X "&amp;F28</f>
        <v>0 / 0 X 0</v>
      </c>
      <c r="J49" s="47" t="str">
        <f>"= "&amp;IF(D33,ROUND(D52/D31*F28,2),0)</f>
        <v>= 0</v>
      </c>
    </row>
    <row r="50" spans="1:10" x14ac:dyDescent="0.2">
      <c r="A50" s="629">
        <f>+IF(AND(DATE(YEAR($BK$8)+1,4,30)&gt;=$BK$8,DATE(YEAR($BK$8)+1,4,1)&lt;=$BM$5,$J$4&lt;=DATE(YEAR($BK$8)+1,4,30)),DATE(YEAR($BK$8)+1,4,1),"Hors période")</f>
        <v>46113</v>
      </c>
      <c r="B50" s="31">
        <f t="shared" si="1"/>
        <v>0</v>
      </c>
      <c r="C50" s="1108"/>
      <c r="D50" s="31">
        <f t="shared" si="2"/>
        <v>0</v>
      </c>
      <c r="E50" s="59"/>
      <c r="F50" s="83"/>
      <c r="G50" s="83"/>
    </row>
    <row r="51" spans="1:10" x14ac:dyDescent="0.2">
      <c r="A51" s="629">
        <f>+IF(AND(DATE(YEAR($BK$8)+1,5,31)&gt;=$BK$8,DATE(YEAR($BK$8)+1,5,1)&lt;=$BM$5,$J$4&lt;=DATE(YEAR($BK$8)+1,5,31)),DATE(YEAR($BK$8)+1,5,1),"Hors période")</f>
        <v>46143</v>
      </c>
      <c r="B51" s="31">
        <f t="shared" si="1"/>
        <v>0</v>
      </c>
      <c r="C51" s="1108"/>
      <c r="D51" s="31">
        <f t="shared" si="2"/>
        <v>0</v>
      </c>
      <c r="E51" s="59"/>
      <c r="F51" s="83"/>
      <c r="G51" s="83"/>
      <c r="H51" s="47" t="str">
        <f ca="1">"Soit pour l'ensemble des mois un montant total de "&amp;ROUND(D57,2)&amp;" euros"</f>
        <v>Soit pour l'ensemble des mois un montant total de 0 euros</v>
      </c>
    </row>
    <row r="52" spans="1:10" x14ac:dyDescent="0.2">
      <c r="C52" s="38" t="s">
        <v>441</v>
      </c>
      <c r="D52" s="57">
        <f ca="1">ROUND(SUM(D40:D51),2)</f>
        <v>0</v>
      </c>
      <c r="G52" s="83"/>
      <c r="H52" s="47"/>
    </row>
    <row r="53" spans="1:10" x14ac:dyDescent="0.2">
      <c r="H53" s="47"/>
    </row>
    <row r="55" spans="1:10" x14ac:dyDescent="0.2">
      <c r="C55" s="29" t="s">
        <v>613</v>
      </c>
      <c r="D55" s="59">
        <f>IF(D31,+D52/D31*F28,0)</f>
        <v>0</v>
      </c>
    </row>
    <row r="57" spans="1:10" x14ac:dyDescent="0.2">
      <c r="A57" s="2409" t="s">
        <v>650</v>
      </c>
      <c r="B57" s="2409"/>
      <c r="C57" s="2409"/>
      <c r="D57" s="414">
        <f ca="1">IF(OR(BM12="OUI",AND(BM9="OUI",BM10&lt;&gt;52)),0,ROUND(SUM(D40:D51)+D55,2))</f>
        <v>0</v>
      </c>
      <c r="E57" s="84" t="s">
        <v>451</v>
      </c>
      <c r="F57" s="30">
        <f>+J6</f>
        <v>46173</v>
      </c>
    </row>
    <row r="59" spans="1:10" x14ac:dyDescent="0.2">
      <c r="A59" s="2410" t="s">
        <v>637</v>
      </c>
      <c r="B59" s="2410"/>
      <c r="C59" s="2410"/>
      <c r="D59" s="414">
        <f>IF(F33,+D57/F33,0)</f>
        <v>0</v>
      </c>
      <c r="E59" s="84" t="s">
        <v>451</v>
      </c>
      <c r="F59" s="30">
        <f>+F57</f>
        <v>46173</v>
      </c>
    </row>
    <row r="65" spans="1:16" hidden="1" x14ac:dyDescent="0.2">
      <c r="A65" s="2401" t="s">
        <v>1480</v>
      </c>
      <c r="B65" s="2401"/>
      <c r="C65" s="2401"/>
      <c r="D65" s="2401"/>
      <c r="E65" s="2401"/>
      <c r="F65" s="2401"/>
      <c r="G65" s="563"/>
      <c r="H65" s="563"/>
    </row>
    <row r="66" spans="1:16" hidden="1" x14ac:dyDescent="0.2">
      <c r="A66" s="2401"/>
      <c r="B66" s="2401"/>
      <c r="C66" s="2401"/>
      <c r="D66" s="2401"/>
      <c r="E66" s="2401"/>
      <c r="F66" s="2401"/>
      <c r="G66" s="1185"/>
      <c r="H66" s="563"/>
    </row>
    <row r="67" spans="1:16" hidden="1" x14ac:dyDescent="0.2">
      <c r="A67" s="1185"/>
      <c r="B67" s="1185"/>
      <c r="C67" s="1185"/>
      <c r="D67" s="1185"/>
      <c r="E67" s="1185"/>
      <c r="F67" s="1185"/>
      <c r="G67" s="1185"/>
      <c r="H67" s="563"/>
    </row>
    <row r="68" spans="1:16" hidden="1" x14ac:dyDescent="0.2">
      <c r="A68" s="1185"/>
      <c r="B68" s="1185"/>
      <c r="C68" s="1185"/>
      <c r="D68" s="1185"/>
      <c r="E68" s="1185"/>
      <c r="F68" s="1185"/>
      <c r="G68" s="1185"/>
      <c r="H68" s="563"/>
    </row>
    <row r="69" spans="1:16" hidden="1" x14ac:dyDescent="0.2">
      <c r="A69" s="2405" t="s">
        <v>651</v>
      </c>
      <c r="B69" s="2405"/>
      <c r="C69" s="2405"/>
      <c r="D69" s="1186">
        <f ca="1">+D57</f>
        <v>0</v>
      </c>
      <c r="E69" s="1187" t="s">
        <v>451</v>
      </c>
      <c r="F69" s="1188">
        <f>+DATE(YEAR(F57), 5,31)</f>
        <v>46173</v>
      </c>
      <c r="G69" s="1185"/>
      <c r="H69" s="563"/>
    </row>
    <row r="70" spans="1:16" hidden="1" x14ac:dyDescent="0.2">
      <c r="A70" s="1189"/>
      <c r="B70" s="1189"/>
      <c r="C70" s="1189"/>
      <c r="D70" s="1190"/>
      <c r="E70" s="1187"/>
      <c r="F70" s="1188"/>
      <c r="G70" s="1185"/>
      <c r="H70" s="563"/>
    </row>
    <row r="71" spans="1:16" hidden="1" x14ac:dyDescent="0.2">
      <c r="A71" s="1189"/>
      <c r="B71" s="1189"/>
      <c r="C71" s="1189"/>
      <c r="D71" s="1191"/>
      <c r="E71" s="1187"/>
      <c r="F71" s="1188"/>
      <c r="G71" s="1185"/>
      <c r="H71" s="563"/>
    </row>
    <row r="72" spans="1:16" hidden="1" x14ac:dyDescent="0.2">
      <c r="A72" s="2406" t="s">
        <v>576</v>
      </c>
      <c r="B72" s="2407"/>
      <c r="C72" s="2408"/>
      <c r="D72" s="1192">
        <f>+F33</f>
        <v>0</v>
      </c>
      <c r="E72" s="1187" t="s">
        <v>451</v>
      </c>
      <c r="F72" s="1188">
        <f>+DATE(YEAR(F59), 5,31)</f>
        <v>46173</v>
      </c>
      <c r="G72" s="1185"/>
      <c r="H72" s="563"/>
    </row>
    <row r="73" spans="1:16" hidden="1" x14ac:dyDescent="0.2">
      <c r="A73" s="1189"/>
      <c r="B73" s="1189"/>
      <c r="C73" s="1189"/>
      <c r="D73" s="1193"/>
      <c r="E73" s="1187"/>
      <c r="F73" s="1188"/>
      <c r="G73" s="1185"/>
      <c r="H73" s="563"/>
      <c r="I73" s="47"/>
      <c r="J73" s="47"/>
      <c r="K73" s="47"/>
      <c r="L73" s="47"/>
      <c r="M73" s="47"/>
      <c r="N73" s="47"/>
      <c r="O73" s="47"/>
      <c r="P73" s="47"/>
    </row>
    <row r="74" spans="1:16" hidden="1" x14ac:dyDescent="0.2">
      <c r="A74" s="563"/>
      <c r="B74" s="563"/>
      <c r="C74" s="1194"/>
      <c r="D74" s="1194"/>
      <c r="E74" s="1194"/>
      <c r="F74" s="1194"/>
      <c r="G74" s="1185"/>
      <c r="H74" s="563"/>
      <c r="I74" s="354"/>
      <c r="J74" s="354"/>
      <c r="K74" s="47"/>
      <c r="L74" s="47"/>
      <c r="M74" s="47"/>
      <c r="N74" s="47"/>
      <c r="O74" s="47"/>
      <c r="P74" s="47"/>
    </row>
    <row r="75" spans="1:16" ht="63.75" hidden="1" x14ac:dyDescent="0.2">
      <c r="A75" s="563"/>
      <c r="B75" s="1195" t="s">
        <v>707</v>
      </c>
      <c r="C75" s="1196" t="s">
        <v>703</v>
      </c>
      <c r="D75" s="1195" t="s">
        <v>641</v>
      </c>
      <c r="E75" s="1196" t="s">
        <v>708</v>
      </c>
      <c r="F75" s="1195" t="s">
        <v>642</v>
      </c>
      <c r="G75" s="1195" t="s">
        <v>643</v>
      </c>
      <c r="H75" s="1195" t="s">
        <v>706</v>
      </c>
      <c r="I75" s="354"/>
      <c r="J75" s="354"/>
      <c r="K75" s="47"/>
      <c r="L75" s="47"/>
      <c r="M75" s="47"/>
      <c r="N75" s="47"/>
      <c r="O75" s="47"/>
      <c r="P75" s="47"/>
    </row>
    <row r="76" spans="1:16" hidden="1" x14ac:dyDescent="0.2">
      <c r="A76" s="1197">
        <f>+IF(AND(DATE(YEAR($BK$8),6,30)&gt;=$BK$8,DATE(YEAR($BK$8),6,1)&lt;=$BM$5,$J$4&lt;=DATE(YEAR($BK$8),6,1)),DATE(YEAR($BK$8),6,1),"Hors période")</f>
        <v>45809</v>
      </c>
      <c r="B76" s="1192">
        <f t="shared" ref="B76:B87" si="3">+IF(C76="",IFERROR(+VLOOKUP(A76,BDD,16,FALSE),0),C76)</f>
        <v>0</v>
      </c>
      <c r="C76" s="1198"/>
      <c r="D76" s="1199">
        <f>+IF($D$72,$D$69/$D$72,0)</f>
        <v>0</v>
      </c>
      <c r="E76" s="1200"/>
      <c r="F76" s="1199">
        <f t="shared" ref="F76:F87" si="4">IFERROR(+IF(E76="",VLOOKUP(A76,BDD,28,FALSE),E76),0)</f>
        <v>0</v>
      </c>
      <c r="G76" s="1199">
        <f t="shared" ref="G76:G87" si="5">+D76*B76</f>
        <v>0</v>
      </c>
      <c r="H76" s="1199">
        <f t="shared" ref="H76:H87" si="6">+IF(G76-F76&gt;0,G76-F76,0)</f>
        <v>0</v>
      </c>
      <c r="I76" s="354"/>
      <c r="J76" s="354"/>
      <c r="K76" s="47"/>
      <c r="L76" s="47"/>
      <c r="M76" s="47"/>
      <c r="N76" s="47"/>
      <c r="O76" s="47"/>
      <c r="P76" s="47"/>
    </row>
    <row r="77" spans="1:16" hidden="1" x14ac:dyDescent="0.2">
      <c r="A77" s="1197">
        <f>+IF(AND(DATE(YEAR($BK$8),7,31)&gt;=$BK$8,DATE(YEAR($BK$8),7,1)&lt;=$BM$5,$J$4&lt;=DATE(YEAR($BK$8),7,31)),DATE(YEAR($BK$8),7,1),"Hors période")</f>
        <v>45839</v>
      </c>
      <c r="B77" s="1192">
        <f t="shared" si="3"/>
        <v>0</v>
      </c>
      <c r="C77" s="1198"/>
      <c r="D77" s="1199">
        <f t="shared" ref="D77:D87" si="7">+IF($D$72,$D$69/$D$72,0)</f>
        <v>0</v>
      </c>
      <c r="E77" s="1200"/>
      <c r="F77" s="1199">
        <f t="shared" si="4"/>
        <v>0</v>
      </c>
      <c r="G77" s="1199">
        <f t="shared" si="5"/>
        <v>0</v>
      </c>
      <c r="H77" s="1199">
        <f t="shared" si="6"/>
        <v>0</v>
      </c>
      <c r="I77" s="354"/>
      <c r="J77" s="354"/>
      <c r="K77" s="47"/>
      <c r="L77" s="47"/>
      <c r="M77" s="47"/>
      <c r="N77" s="47"/>
      <c r="O77" s="47"/>
      <c r="P77" s="47"/>
    </row>
    <row r="78" spans="1:16" hidden="1" x14ac:dyDescent="0.2">
      <c r="A78" s="1197">
        <f>+IF(AND(DATE(YEAR($BK$8),8,31)&gt;=$BK$8,DATE(YEAR($BK$8),8,1)&lt;=$BM$5,$J$4&lt;=DATE(YEAR($BK$8),8,31)),DATE(YEAR($BK$8),8,1),"Hors période")</f>
        <v>45870</v>
      </c>
      <c r="B78" s="1192">
        <f t="shared" si="3"/>
        <v>0</v>
      </c>
      <c r="C78" s="1198"/>
      <c r="D78" s="1199">
        <f t="shared" si="7"/>
        <v>0</v>
      </c>
      <c r="E78" s="1200"/>
      <c r="F78" s="1199">
        <f t="shared" si="4"/>
        <v>0</v>
      </c>
      <c r="G78" s="1199">
        <f t="shared" si="5"/>
        <v>0</v>
      </c>
      <c r="H78" s="1199">
        <f t="shared" si="6"/>
        <v>0</v>
      </c>
      <c r="I78" s="354"/>
      <c r="J78" s="354"/>
      <c r="K78" s="47"/>
      <c r="L78" s="47"/>
      <c r="M78" s="47"/>
      <c r="N78" s="47"/>
      <c r="O78" s="47"/>
      <c r="P78" s="47"/>
    </row>
    <row r="79" spans="1:16" hidden="1" x14ac:dyDescent="0.2">
      <c r="A79" s="1197">
        <f>+IF(AND(DATE(YEAR($BK$8),9,30)&gt;=$BK$8,DATE(YEAR($BK$8),9,1)&lt;=$BM$5,$J$4&lt;=DATE(YEAR($BK$8),9,30)),DATE(YEAR($BK$8),9,1),"Hors période")</f>
        <v>45901</v>
      </c>
      <c r="B79" s="1192">
        <f t="shared" si="3"/>
        <v>0</v>
      </c>
      <c r="C79" s="1198"/>
      <c r="D79" s="1199">
        <f t="shared" si="7"/>
        <v>0</v>
      </c>
      <c r="E79" s="1200"/>
      <c r="F79" s="1199">
        <f t="shared" si="4"/>
        <v>0</v>
      </c>
      <c r="G79" s="1199">
        <f t="shared" si="5"/>
        <v>0</v>
      </c>
      <c r="H79" s="1199">
        <f t="shared" si="6"/>
        <v>0</v>
      </c>
      <c r="I79" s="354"/>
      <c r="J79" s="354"/>
      <c r="K79" s="47"/>
      <c r="L79" s="47"/>
      <c r="M79" s="47"/>
      <c r="N79" s="47"/>
      <c r="O79" s="47"/>
      <c r="P79" s="47"/>
    </row>
    <row r="80" spans="1:16" hidden="1" x14ac:dyDescent="0.2">
      <c r="A80" s="1197">
        <f>+IF(AND(DATE(YEAR($BK$8),10,31)&gt;=$BK$8,DATE(YEAR($BK$8),10,1)&lt;=$BM$5,$J$4&lt;=DATE(YEAR($BK$8),10,31)),DATE(YEAR($BK$8),10,1),"Hors période")</f>
        <v>45931</v>
      </c>
      <c r="B80" s="1192">
        <f t="shared" si="3"/>
        <v>0</v>
      </c>
      <c r="C80" s="1198"/>
      <c r="D80" s="1199">
        <f t="shared" si="7"/>
        <v>0</v>
      </c>
      <c r="E80" s="1200"/>
      <c r="F80" s="1199">
        <f t="shared" si="4"/>
        <v>0</v>
      </c>
      <c r="G80" s="1199">
        <f t="shared" si="5"/>
        <v>0</v>
      </c>
      <c r="H80" s="1199">
        <f t="shared" si="6"/>
        <v>0</v>
      </c>
      <c r="I80" s="354"/>
      <c r="J80" s="354"/>
      <c r="K80" s="47"/>
      <c r="L80" s="47"/>
      <c r="M80" s="47"/>
      <c r="N80" s="47"/>
      <c r="O80" s="47"/>
      <c r="P80" s="47"/>
    </row>
    <row r="81" spans="1:16" hidden="1" x14ac:dyDescent="0.2">
      <c r="A81" s="1197">
        <f>+IF(AND(DATE(YEAR($BK$8),11,30)&gt;=$BK$8,DATE(YEAR($BK$8),11,1)&lt;=$BM$5,$J$4&lt;=DATE(YEAR($BK$8),11,30)),DATE(YEAR($BK$8),11,1),"Hors période")</f>
        <v>45962</v>
      </c>
      <c r="B81" s="1192">
        <f t="shared" si="3"/>
        <v>0</v>
      </c>
      <c r="C81" s="1198"/>
      <c r="D81" s="1199">
        <f t="shared" si="7"/>
        <v>0</v>
      </c>
      <c r="E81" s="1200"/>
      <c r="F81" s="1199">
        <f t="shared" si="4"/>
        <v>0</v>
      </c>
      <c r="G81" s="1199">
        <f t="shared" si="5"/>
        <v>0</v>
      </c>
      <c r="H81" s="1199">
        <f t="shared" si="6"/>
        <v>0</v>
      </c>
      <c r="I81" s="354"/>
      <c r="J81" s="354"/>
      <c r="K81" s="47"/>
      <c r="L81" s="47"/>
      <c r="M81" s="47"/>
      <c r="N81" s="47"/>
      <c r="O81" s="47"/>
      <c r="P81" s="47"/>
    </row>
    <row r="82" spans="1:16" hidden="1" x14ac:dyDescent="0.2">
      <c r="A82" s="1197">
        <f>+IF(AND(DATE(YEAR($BK$8),12,31)&gt;=$BK$8,DATE(YEAR($BK$8),12,1)&lt;=$BM$5,$J$4&lt;=DATE(YEAR($BK$8),12,31)),DATE(YEAR($BK$8),12,1),"Hors période")</f>
        <v>45992</v>
      </c>
      <c r="B82" s="1192">
        <f t="shared" si="3"/>
        <v>0</v>
      </c>
      <c r="C82" s="1198"/>
      <c r="D82" s="1199">
        <f t="shared" si="7"/>
        <v>0</v>
      </c>
      <c r="E82" s="1200"/>
      <c r="F82" s="1199">
        <f t="shared" si="4"/>
        <v>0</v>
      </c>
      <c r="G82" s="1199">
        <f t="shared" si="5"/>
        <v>0</v>
      </c>
      <c r="H82" s="1199">
        <f t="shared" si="6"/>
        <v>0</v>
      </c>
      <c r="I82" s="354"/>
      <c r="J82" s="354"/>
      <c r="K82" s="47"/>
      <c r="L82" s="47"/>
      <c r="M82" s="47"/>
      <c r="N82" s="47"/>
      <c r="O82" s="47"/>
      <c r="P82" s="47"/>
    </row>
    <row r="83" spans="1:16" hidden="1" x14ac:dyDescent="0.2">
      <c r="A83" s="1197">
        <f>+IF(AND(DATE(YEAR($BK$8)+1,1,31)&gt;=$BK$8,DATE(YEAR($BK$8)+1,1,1)&lt;=$BM$5,$J$4&lt;=DATE(YEAR($BK$8)+1,1,31)),DATE(YEAR($BK$8)+1,1,1),"Hors période")</f>
        <v>46023</v>
      </c>
      <c r="B83" s="1192">
        <f t="shared" si="3"/>
        <v>0</v>
      </c>
      <c r="C83" s="1198"/>
      <c r="D83" s="1199">
        <f t="shared" si="7"/>
        <v>0</v>
      </c>
      <c r="E83" s="1200"/>
      <c r="F83" s="1199">
        <f t="shared" si="4"/>
        <v>0</v>
      </c>
      <c r="G83" s="1199">
        <f t="shared" si="5"/>
        <v>0</v>
      </c>
      <c r="H83" s="1199">
        <f t="shared" si="6"/>
        <v>0</v>
      </c>
      <c r="I83" s="354"/>
      <c r="J83" s="354"/>
      <c r="K83" s="47"/>
      <c r="L83" s="47"/>
      <c r="M83" s="47"/>
      <c r="N83" s="47"/>
      <c r="O83" s="47"/>
      <c r="P83" s="47"/>
    </row>
    <row r="84" spans="1:16" hidden="1" x14ac:dyDescent="0.2">
      <c r="A84" s="1197">
        <f>+IF(AND(DATE(YEAR($BK$8)+1,2,29)&gt;=$BK$8,DATE(YEAR($BK$8)+1,2,1)&lt;=$BM$5,$J$4&lt;=DATE(YEAR($BK$8)+1,2,29)),DATE(YEAR($BK$8)+1,2,1),"Hors période")</f>
        <v>46054</v>
      </c>
      <c r="B84" s="1192">
        <f t="shared" si="3"/>
        <v>0</v>
      </c>
      <c r="C84" s="1198"/>
      <c r="D84" s="1199">
        <f t="shared" si="7"/>
        <v>0</v>
      </c>
      <c r="E84" s="1200"/>
      <c r="F84" s="1199">
        <f t="shared" si="4"/>
        <v>0</v>
      </c>
      <c r="G84" s="1199">
        <f t="shared" si="5"/>
        <v>0</v>
      </c>
      <c r="H84" s="1199">
        <f t="shared" si="6"/>
        <v>0</v>
      </c>
      <c r="I84" s="354"/>
      <c r="J84" s="354"/>
      <c r="K84" s="47"/>
      <c r="L84" s="47"/>
      <c r="M84" s="47"/>
      <c r="N84" s="47"/>
      <c r="O84" s="47"/>
      <c r="P84" s="47"/>
    </row>
    <row r="85" spans="1:16" hidden="1" x14ac:dyDescent="0.2">
      <c r="A85" s="1197">
        <f>+IF(AND(DATE(YEAR($BK$8)+1,3,31)&gt;=$BK$8,DATE(YEAR($BK$8)+1,3,1)&lt;=$BM$5,$J$4&lt;=DATE(YEAR($BK$8)+1,3,31)),DATE(YEAR($BK$8)+1,3,1),"Hors période")</f>
        <v>46082</v>
      </c>
      <c r="B85" s="1192">
        <f t="shared" si="3"/>
        <v>0</v>
      </c>
      <c r="C85" s="1198"/>
      <c r="D85" s="1199">
        <f t="shared" si="7"/>
        <v>0</v>
      </c>
      <c r="E85" s="1200"/>
      <c r="F85" s="1199">
        <f t="shared" si="4"/>
        <v>0</v>
      </c>
      <c r="G85" s="1199">
        <f t="shared" si="5"/>
        <v>0</v>
      </c>
      <c r="H85" s="1199">
        <f t="shared" si="6"/>
        <v>0</v>
      </c>
      <c r="I85" s="354"/>
      <c r="J85" s="354"/>
      <c r="K85" s="47"/>
      <c r="L85" s="47"/>
      <c r="M85" s="47"/>
      <c r="N85" s="47"/>
      <c r="O85" s="47"/>
      <c r="P85" s="47"/>
    </row>
    <row r="86" spans="1:16" hidden="1" x14ac:dyDescent="0.2">
      <c r="A86" s="1197">
        <f>+IF(AND(DATE(YEAR($BK$8)+1,4,30)&gt;=$BK$8,DATE(YEAR($BK$8)+1,4,1)&lt;=$BM$5,$J$4&lt;=DATE(YEAR($BK$8)+1,4,30)),DATE(YEAR($BK$8)+1,4,1),"Hors période")</f>
        <v>46113</v>
      </c>
      <c r="B86" s="1192">
        <f t="shared" si="3"/>
        <v>0</v>
      </c>
      <c r="C86" s="1198"/>
      <c r="D86" s="1199">
        <f t="shared" si="7"/>
        <v>0</v>
      </c>
      <c r="E86" s="1200"/>
      <c r="F86" s="1199">
        <f t="shared" si="4"/>
        <v>0</v>
      </c>
      <c r="G86" s="1199">
        <f t="shared" si="5"/>
        <v>0</v>
      </c>
      <c r="H86" s="1199">
        <f t="shared" si="6"/>
        <v>0</v>
      </c>
      <c r="I86" s="47"/>
      <c r="J86" s="47"/>
      <c r="K86" s="47"/>
      <c r="L86" s="47"/>
      <c r="M86" s="47"/>
      <c r="N86" s="47"/>
      <c r="O86" s="47"/>
      <c r="P86" s="47"/>
    </row>
    <row r="87" spans="1:16" hidden="1" x14ac:dyDescent="0.2">
      <c r="A87" s="1197">
        <f>+IF(AND(DATE(YEAR($BK$8)+1,5,31)&gt;=$BK$8,DATE(YEAR($BK$8)+1,5,1)&lt;=$BM$5,$J$4&lt;=DATE(YEAR($BK$8)+1,5,31)),DATE(YEAR($BK$8)+1,5,1),"Hors période")</f>
        <v>46143</v>
      </c>
      <c r="B87" s="1192">
        <f t="shared" si="3"/>
        <v>0</v>
      </c>
      <c r="C87" s="1198"/>
      <c r="D87" s="1199">
        <f t="shared" si="7"/>
        <v>0</v>
      </c>
      <c r="E87" s="1200"/>
      <c r="F87" s="1199">
        <f t="shared" si="4"/>
        <v>0</v>
      </c>
      <c r="G87" s="1199">
        <f t="shared" si="5"/>
        <v>0</v>
      </c>
      <c r="H87" s="1199">
        <f t="shared" si="6"/>
        <v>0</v>
      </c>
      <c r="I87" s="47"/>
      <c r="J87" s="47"/>
      <c r="K87" s="47"/>
      <c r="L87" s="47"/>
      <c r="M87" s="47"/>
      <c r="N87" s="47"/>
      <c r="O87" s="47"/>
      <c r="P87" s="47"/>
    </row>
    <row r="88" spans="1:16" hidden="1" x14ac:dyDescent="0.2">
      <c r="A88" s="563"/>
      <c r="B88" s="1201">
        <f>SUM(B76:B87)</f>
        <v>0</v>
      </c>
      <c r="C88" s="1189"/>
      <c r="D88" s="1202"/>
      <c r="E88" s="563"/>
      <c r="F88" s="1203">
        <f>SUM(F76:F87)</f>
        <v>0</v>
      </c>
      <c r="G88" s="1203">
        <f>SUM(G76:G87)</f>
        <v>0</v>
      </c>
      <c r="H88" s="1199">
        <f>SUM(H76:H87)</f>
        <v>0</v>
      </c>
      <c r="I88" s="47"/>
      <c r="J88" s="47"/>
      <c r="K88" s="47"/>
      <c r="L88" s="47"/>
      <c r="M88" s="47"/>
      <c r="N88" s="47"/>
      <c r="O88" s="47"/>
      <c r="P88" s="47"/>
    </row>
    <row r="89" spans="1:16" hidden="1" x14ac:dyDescent="0.2">
      <c r="A89" s="563"/>
      <c r="B89" s="563"/>
      <c r="C89" s="1189"/>
      <c r="D89" s="1202"/>
      <c r="E89" s="563"/>
      <c r="F89" s="563"/>
      <c r="G89" s="563"/>
      <c r="H89" s="563"/>
    </row>
    <row r="90" spans="1:16" hidden="1" x14ac:dyDescent="0.2">
      <c r="A90" s="563"/>
      <c r="B90" s="563"/>
      <c r="C90" s="563"/>
      <c r="D90" s="563"/>
      <c r="E90" s="563"/>
      <c r="F90" s="563"/>
      <c r="G90" s="563"/>
      <c r="H90" s="563"/>
    </row>
    <row r="91" spans="1:16" hidden="1" x14ac:dyDescent="0.2">
      <c r="A91" s="563"/>
      <c r="B91" s="563"/>
      <c r="C91" s="563"/>
      <c r="D91" s="563"/>
      <c r="E91" s="563"/>
      <c r="F91" s="2399" t="s">
        <v>644</v>
      </c>
      <c r="G91" s="2400"/>
      <c r="H91" s="1204">
        <f>ROUND(IF(H88&lt;0,0,H88),2)</f>
        <v>0</v>
      </c>
    </row>
    <row r="92" spans="1:16" hidden="1" x14ac:dyDescent="0.2">
      <c r="A92" s="563"/>
      <c r="B92" s="563"/>
      <c r="C92" s="563"/>
      <c r="D92" s="563"/>
      <c r="E92" s="563"/>
      <c r="F92" s="563"/>
      <c r="G92" s="563"/>
      <c r="H92" s="563"/>
    </row>
    <row r="93" spans="1:16" hidden="1" x14ac:dyDescent="0.2"/>
  </sheetData>
  <sheetProtection algorithmName="SHA-512" hashValue="grr/OgK8PXbh68qjXvoF01qnugMmDcNjy21GxAyLkmZX/aV3KQR6YWPGMnftms+SdO6g44XdiqDVsWfwmirWTQ==" saltValue="5OUzSXmsHPzNPvf/gslPxw==" spinCount="100000" sheet="1" objects="1" scenarios="1" formatCells="0" formatColumns="0" formatRows="0" insertColumns="0" insertRows="0" insertHyperlinks="0" sort="0" autoFilter="0" pivotTables="0"/>
  <mergeCells count="14">
    <mergeCell ref="F91:G91"/>
    <mergeCell ref="A65:F66"/>
    <mergeCell ref="H12:L12"/>
    <mergeCell ref="H16:L16"/>
    <mergeCell ref="A69:C69"/>
    <mergeCell ref="A72:C72"/>
    <mergeCell ref="A57:C57"/>
    <mergeCell ref="A59:C59"/>
    <mergeCell ref="I1:N1"/>
    <mergeCell ref="C2:I2"/>
    <mergeCell ref="B13:D13"/>
    <mergeCell ref="B14:D14"/>
    <mergeCell ref="H13:I13"/>
    <mergeCell ref="A1:H1"/>
  </mergeCells>
  <conditionalFormatting sqref="A65:G91">
    <cfRule type="expression" dxfId="939" priority="7">
      <formula>$S$15="NON"</formula>
    </cfRule>
  </conditionalFormatting>
  <conditionalFormatting sqref="A10:Q94">
    <cfRule type="expression" dxfId="938" priority="1">
      <formula>$BC$4="OUI"</formula>
    </cfRule>
  </conditionalFormatting>
  <conditionalFormatting sqref="C40">
    <cfRule type="expression" dxfId="937" priority="21">
      <formula>$T$2="JAUNE"</formula>
    </cfRule>
  </conditionalFormatting>
  <conditionalFormatting sqref="C41">
    <cfRule type="expression" dxfId="936" priority="20">
      <formula>$T$3="JAUNE"</formula>
    </cfRule>
  </conditionalFormatting>
  <conditionalFormatting sqref="C42">
    <cfRule type="expression" dxfId="935" priority="19">
      <formula>$T$4="JAUNE"</formula>
    </cfRule>
  </conditionalFormatting>
  <conditionalFormatting sqref="C43">
    <cfRule type="expression" dxfId="934" priority="18">
      <formula>$T$5="JAUNE"</formula>
    </cfRule>
  </conditionalFormatting>
  <conditionalFormatting sqref="C44">
    <cfRule type="expression" dxfId="933" priority="17">
      <formula>$T$6="JAUNE"</formula>
    </cfRule>
  </conditionalFormatting>
  <conditionalFormatting sqref="C45">
    <cfRule type="expression" dxfId="932" priority="16">
      <formula>$T$7="JAUNE"</formula>
    </cfRule>
  </conditionalFormatting>
  <conditionalFormatting sqref="C46">
    <cfRule type="expression" dxfId="931" priority="15">
      <formula>$T$8="JAUNE"</formula>
    </cfRule>
  </conditionalFormatting>
  <conditionalFormatting sqref="C47">
    <cfRule type="expression" dxfId="930" priority="14">
      <formula>$T$9="JAUNE"</formula>
    </cfRule>
  </conditionalFormatting>
  <conditionalFormatting sqref="C48">
    <cfRule type="expression" dxfId="929" priority="13">
      <formula>$S$10="JAUNE"</formula>
    </cfRule>
  </conditionalFormatting>
  <conditionalFormatting sqref="C49">
    <cfRule type="expression" dxfId="928" priority="12">
      <formula>$S$11="JAUNE"</formula>
    </cfRule>
  </conditionalFormatting>
  <conditionalFormatting sqref="C50">
    <cfRule type="expression" dxfId="927" priority="11">
      <formula>$S$12="JAUNE"</formula>
    </cfRule>
  </conditionalFormatting>
  <conditionalFormatting sqref="C51">
    <cfRule type="expression" dxfId="926" priority="10">
      <formula>$S$13="JAUNE"</formula>
    </cfRule>
  </conditionalFormatting>
  <conditionalFormatting sqref="F20 C40:C51 C76:C87 E76:E87">
    <cfRule type="notContainsBlanks" dxfId="925" priority="6">
      <formula>LEN(TRIM(C20))&gt;0</formula>
    </cfRule>
  </conditionalFormatting>
  <conditionalFormatting sqref="F26">
    <cfRule type="notContainsBlanks" dxfId="924" priority="2">
      <formula>LEN(TRIM(F26))&gt;0</formula>
    </cfRule>
  </conditionalFormatting>
  <conditionalFormatting sqref="H63:H72 H75:H91">
    <cfRule type="expression" dxfId="923" priority="9">
      <formula>$S$15="NON"</formula>
    </cfRule>
  </conditionalFormatting>
  <pageMargins left="0.25" right="0.25" top="0.75" bottom="0.75" header="0.3" footer="0.3"/>
  <pageSetup paperSize="9" scale="58" orientation="landscape" horizontalDpi="1200" verticalDpi="1200" r:id="rId1"/>
  <rowBreaks count="1" manualBreakCount="1">
    <brk id="59" max="13"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35" width="11.42578125" style="315" hidden="1" customWidth="1"/>
    <col min="136" max="136" width="14.140625" style="315" hidden="1" customWidth="1"/>
    <col min="137"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 ca="1">+T35-T32-T33-T34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DATE(YEAR(Janvier!X3),MONTH(Janvier!X3)+5,DAY(Janvier!X3))</f>
        <v>46174</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23</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IF(Mai!BY8="OUI","Contrat fini",BY2)</f>
        <v>Fiche info</v>
      </c>
      <c r="EF4" s="315" t="s">
        <v>1028</v>
      </c>
      <c r="EG4" s="737">
        <f>+Identification!B95</f>
        <v>0</v>
      </c>
      <c r="FG4" s="315">
        <f>IFERROR(IF(VLOOKUP(AT4,Mai!$AT$4:$AU$10,2,FALSE)&lt;&gt;Juin!AU4,"rouge","ok"),0)</f>
        <v>0</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46174</v>
      </c>
      <c r="Y5" s="2206"/>
      <c r="Z5" s="1743" t="s">
        <v>451</v>
      </c>
      <c r="AA5" s="1743"/>
      <c r="AB5" s="2206">
        <f>+IF(AND(DATE(YEAR(EG4),MONTH(EG4),DAY(EG4))&gt;=DATE(YEAR(X3),MONTH(X3),DAY(X3)),DATE(YEAR(EG4),MONTH(EG4),DAY(EG4))&lt;=DATE(YEAR(X3),MONTH(X3),DAY(EOMONTH(X3,0)))),EG4,EOMONTH(X3,0))</f>
        <v>46203</v>
      </c>
      <c r="AC5" s="2210"/>
      <c r="AP5" s="209"/>
      <c r="AQ5" s="318"/>
      <c r="AR5" s="209"/>
      <c r="AS5" s="210"/>
      <c r="AT5" s="301">
        <f t="array" ref="AT5">IFERROR(INDEX($BK$20:$BK$50,MATCH(0,INDEX(COUNTIF($AT$3:AT4,$BK$20:$BK$50),0,0),0)),"")</f>
        <v>24</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46203</v>
      </c>
      <c r="FG5" s="315">
        <f>IFERROR(IF(VLOOKUP(AT5,Mai!$AT$4:$AU$10,2,FALSE)&lt;&gt;Juin!AU5,"rouge","ok"),0)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25</v>
      </c>
      <c r="AU6" s="1122" t="s">
        <v>226</v>
      </c>
      <c r="BQ6" s="578"/>
      <c r="BR6" s="578"/>
      <c r="BS6" s="578"/>
      <c r="BT6" s="578"/>
      <c r="BU6" s="578"/>
      <c r="BV6" s="578"/>
      <c r="BW6" s="578"/>
      <c r="BX6" s="579" t="s">
        <v>509</v>
      </c>
      <c r="BY6" s="580" t="str">
        <f>+IF(BZ6="",Mai!BY6,BZ6)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IFERROR(IF(VLOOKUP(AT6,Mai!$AT$4:$AU$10,2,FALSE)&lt;&gt;Juin!AU6,"rouge","ok"),0)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26</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IFERROR(IF(VLOOKUP(AT7,Mai!$AT$4:$AU$10,2,FALSE)&lt;&gt;Juin!AU7,"rouge","ok"),0)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27</v>
      </c>
      <c r="AU8" s="1122" t="s">
        <v>226</v>
      </c>
      <c r="BG8" s="240"/>
      <c r="BH8" s="1439" t="str">
        <f>+AT3</f>
        <v>N° Sem.</v>
      </c>
      <c r="BI8" s="1440" t="s">
        <v>1552</v>
      </c>
      <c r="BQ8" s="1985" t="s">
        <v>210</v>
      </c>
      <c r="BR8" s="1986"/>
      <c r="BS8" s="1986"/>
      <c r="BT8" s="1986"/>
      <c r="BU8" s="1986"/>
      <c r="BV8" s="1986"/>
      <c r="BW8" s="1986"/>
      <c r="BX8" s="1986"/>
      <c r="BY8" s="965" t="str">
        <f>IF(BZ8="",Mai!BY8,BZ8)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 ca="1">+IF(AND(EO6="",R89=0,R87&gt;0,OR(T30&gt;0,T32&gt;0)),"OUI","")</f>
        <v/>
      </c>
      <c r="FG8" s="315">
        <f>IFERROR(IF(VLOOKUP(AT8,Mai!$AT$4:$AU$10,2,FALSE)&lt;&gt;Juin!AU8,"rouge","ok"),0)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232026</v>
      </c>
      <c r="BH9" s="1441">
        <f t="shared" ref="BH9:BH14" si="0">+AT4</f>
        <v>23</v>
      </c>
      <c r="BI9" s="1442">
        <f>IF($AR$13=S.CAL!$CU$2,+SUMIF(S.CAL!$FW$3:$FW$374,BG9,S.CAL!$FX$3:$FX$374),IF($AR$13=S.CAL!$CU$3,SUMIF(Feuilles_de_présence_planning!$EG$12:$EG$537,BG9,Feuilles_de_présence_planning!$EE$12:$EE$537),"err"))</f>
        <v>0</v>
      </c>
      <c r="BY9" s="196" t="str">
        <f>+IF(Mai!BY8="OUI","FIN","O")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IFERROR(IF(VLOOKUP(AT9,Mai!$AT$4:$AU$10,2,FALSE)&lt;&gt;Juin!AU9,"rouge","ok"),0)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242026</v>
      </c>
      <c r="BH10" s="1441">
        <f t="shared" si="0"/>
        <v>24</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IFERROR(IF(VLOOKUP(AT10,Mai!$AT$4:$AU$10,2,FALSE)&lt;&gt;Juin!AU10,"rouge","ok"),0)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252026</v>
      </c>
      <c r="BH11" s="1441">
        <f t="shared" si="0"/>
        <v>25</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262026</v>
      </c>
      <c r="BH12" s="1441">
        <f t="shared" si="0"/>
        <v>26</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1</v>
      </c>
      <c r="EN12" s="402" t="s">
        <v>1614</v>
      </c>
      <c r="EO12" s="852"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IF(AR14="",Mai!AR13,AR14)</f>
        <v>à partir du tableau ci-dessous</v>
      </c>
      <c r="AS13" s="2372"/>
      <c r="AT13" s="2372"/>
      <c r="AU13" s="2372"/>
      <c r="AV13" s="2372"/>
      <c r="AW13" s="2372"/>
      <c r="AX13" s="2372"/>
      <c r="AY13" s="2372"/>
      <c r="AZ13" s="2372"/>
      <c r="BA13" s="2355" t="s">
        <v>1086</v>
      </c>
      <c r="BB13" s="2355"/>
      <c r="BC13" s="2355"/>
      <c r="BD13" s="951"/>
      <c r="BG13" s="1430" t="str">
        <f t="shared" si="1"/>
        <v>272026</v>
      </c>
      <c r="BH13" s="1441">
        <f t="shared" si="0"/>
        <v>27</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+Juin!R89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ROUND('CP Année Complète au 31-05'!F19,2)</f>
        <v>0</v>
      </c>
      <c r="EG16" s="741">
        <f>MROUND('CP Année Incomplète au 31-05'!F24,0.05)</f>
        <v>0</v>
      </c>
      <c r="EH16" s="741">
        <v>0</v>
      </c>
      <c r="EI16" s="741">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Juin'!D18:D48,"&gt;0")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46174</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23</v>
      </c>
      <c r="AQ20" s="322"/>
      <c r="AR20" s="1123"/>
      <c r="AS20" s="314">
        <f t="shared" ref="AS20:AS50" si="3">SUM(AD20:AL20)</f>
        <v>0</v>
      </c>
      <c r="AT20" s="1124"/>
      <c r="AU20" s="1124"/>
      <c r="AV20" s="314"/>
      <c r="AW20" s="2150">
        <f>AB20</f>
        <v>46174</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infoA1</v>
      </c>
      <c r="BK20" s="129">
        <f>IFERROR(WEEKNUM(AB20,21),"")</f>
        <v>23</v>
      </c>
      <c r="BL20" s="129" t="str">
        <f t="shared" ref="BL20:BL50" si="4">+VLOOKUP(BK20,$AT$4:$AU$10,2,)</f>
        <v>A</v>
      </c>
      <c r="BM20" s="129">
        <f t="shared" ref="BM20:BM21" si="5">WEEKDAY(AB20,2)</f>
        <v>1</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46174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46174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23</v>
      </c>
      <c r="GA20" s="129">
        <f>+$X$4</f>
        <v>2026</v>
      </c>
      <c r="GB20" s="129" t="str">
        <f>+FZ20&amp;GA20</f>
        <v>232026</v>
      </c>
      <c r="GC20" s="223">
        <f>IF(AND($GD$53=S.CAL!$P$3,$GD$52=FZ20),GE20,IF(BH20="",0,BH20))</f>
        <v>0</v>
      </c>
      <c r="GD20" s="129" t="str">
        <f>IFERROR(+Juillet!$BY$2&amp;BL20&amp;BM20,0)</f>
        <v>Fiche infoA1</v>
      </c>
      <c r="GE20" s="129" t="str">
        <f t="shared" ref="GE20:GE50" si="19">+IFERROR(VLOOKUP(GD20,Base_heures,6,FALSE),"")</f>
        <v/>
      </c>
      <c r="GF20" s="223" t="str">
        <f>IF(FP20=1,GG20,AM20)</f>
        <v/>
      </c>
      <c r="GG20" s="1446" t="str">
        <f>+'Retenue Juin'!D18</f>
        <v/>
      </c>
      <c r="GH20" s="1446">
        <f>IF(Identification!$B$132="Non",+'Retenue Juin'!BF18,+'Retenue Juin'!BE18)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46175</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46175</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infoA2</v>
      </c>
      <c r="BK21" s="129">
        <f t="shared" ref="BK21" si="27">IFERROR(WEEKNUM(AB21,21),"")</f>
        <v>23</v>
      </c>
      <c r="BL21" s="129" t="str">
        <f t="shared" si="4"/>
        <v>A</v>
      </c>
      <c r="BM21" s="129">
        <f t="shared" si="5"/>
        <v>2</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46174</v>
      </c>
      <c r="EJ21" s="737"/>
      <c r="EK21" s="737"/>
      <c r="EQ21" s="748">
        <f t="shared" ref="EQ21" si="28">+AB21</f>
        <v>46175</v>
      </c>
      <c r="ER21" s="749">
        <f t="shared" si="10"/>
        <v>0</v>
      </c>
      <c r="ES21" s="750">
        <f t="shared" si="11"/>
        <v>0</v>
      </c>
      <c r="ET21" s="749">
        <f t="shared" si="12"/>
        <v>0</v>
      </c>
      <c r="EU21" s="750">
        <f t="shared" si="13"/>
        <v>0</v>
      </c>
      <c r="EV21" s="749" t="str">
        <f t="shared" si="14"/>
        <v/>
      </c>
      <c r="EW21" s="751">
        <f t="shared" ref="EW21:EW50" si="29">+EQ21</f>
        <v>46175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23</v>
      </c>
      <c r="GA21" s="129">
        <f t="shared" ref="GA21:GA50" si="39">+$X$4</f>
        <v>2026</v>
      </c>
      <c r="GB21" s="129" t="str">
        <f t="shared" ref="GB21:GB48" si="40">+FZ21&amp;GA21</f>
        <v>232026</v>
      </c>
      <c r="GC21" s="223">
        <f>IF(AND($GD$53=S.CAL!$P$3,$GD$52=FZ21),GE21,IF(BH21="",0,BH21))</f>
        <v>0</v>
      </c>
      <c r="GD21" s="129" t="str">
        <f>IFERROR(+Juillet!$BY$2&amp;BL21&amp;BM21,0)</f>
        <v>Fiche infoA2</v>
      </c>
      <c r="GE21" s="129" t="str">
        <f t="shared" si="19"/>
        <v/>
      </c>
      <c r="GF21" s="223" t="str">
        <f t="shared" ref="GF21:GF48" si="41">IF(FP21=1,GG21,AM21)</f>
        <v/>
      </c>
      <c r="GG21" s="1446" t="str">
        <f>+'Retenue Juin'!D19</f>
        <v/>
      </c>
      <c r="GH21" s="1446">
        <f>IF(Identification!$B$132="Non",+'Retenue Juin'!BF19,+'Retenue Juin'!BE19)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46176</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46176</v>
      </c>
      <c r="AX22" s="1761"/>
      <c r="AY22" s="314"/>
      <c r="AZ22" s="1104"/>
      <c r="BA22" s="973"/>
      <c r="BB22" s="543"/>
      <c r="BC22" s="548">
        <f t="shared" si="23"/>
        <v>0</v>
      </c>
      <c r="BD22" s="1104"/>
      <c r="BE22" s="807">
        <f t="shared" si="24"/>
        <v>0</v>
      </c>
      <c r="BF22" s="1128"/>
      <c r="BG22" s="222"/>
      <c r="BH22" s="548" t="str">
        <f t="shared" si="25"/>
        <v/>
      </c>
      <c r="BI22" s="1128"/>
      <c r="BJ22" s="129" t="str">
        <f t="shared" si="26"/>
        <v>Fiche infoA3</v>
      </c>
      <c r="BK22" s="129">
        <f t="shared" ref="BK22:BK50" si="49">IFERROR(WEEKNUM(AB22,21),"")</f>
        <v>23</v>
      </c>
      <c r="BL22" s="129" t="str">
        <f t="shared" si="4"/>
        <v>A</v>
      </c>
      <c r="BM22" s="129">
        <f t="shared" ref="BM22:BM47" si="50">WEEKDAY(AB22,2)</f>
        <v>3</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46203</v>
      </c>
      <c r="EJ22" s="737"/>
      <c r="EK22" s="737"/>
      <c r="EQ22" s="748">
        <f t="shared" ref="EQ22:EQ50" si="53">+AB22</f>
        <v>46176</v>
      </c>
      <c r="ER22" s="749">
        <f t="shared" si="10"/>
        <v>0</v>
      </c>
      <c r="ES22" s="750">
        <f t="shared" si="11"/>
        <v>0</v>
      </c>
      <c r="ET22" s="749">
        <f t="shared" si="12"/>
        <v>0</v>
      </c>
      <c r="EU22" s="750">
        <f t="shared" si="13"/>
        <v>0</v>
      </c>
      <c r="EV22" s="749" t="str">
        <f t="shared" si="14"/>
        <v/>
      </c>
      <c r="EW22" s="751">
        <f t="shared" si="29"/>
        <v>46176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23</v>
      </c>
      <c r="GA22" s="129">
        <f t="shared" si="39"/>
        <v>2026</v>
      </c>
      <c r="GB22" s="129" t="str">
        <f t="shared" si="40"/>
        <v>232026</v>
      </c>
      <c r="GC22" s="223">
        <f>IF(AND($GD$53=S.CAL!$P$3,$GD$52=FZ22),GE22,IF(BH22="",0,BH22))</f>
        <v>0</v>
      </c>
      <c r="GD22" s="129" t="str">
        <f>IFERROR(+Juillet!$BY$2&amp;BL22&amp;BM22,0)</f>
        <v>Fiche infoA3</v>
      </c>
      <c r="GE22" s="129" t="str">
        <f t="shared" si="19"/>
        <v/>
      </c>
      <c r="GF22" s="223" t="str">
        <f t="shared" si="41"/>
        <v/>
      </c>
      <c r="GG22" s="1446" t="str">
        <f>+'Retenue Juin'!D20</f>
        <v/>
      </c>
      <c r="GH22" s="1446">
        <f>IF(Identification!$B$132="Non",+'Retenue Juin'!BF20,+'Retenue Juin'!BE20)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46177</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46177</v>
      </c>
      <c r="AX23" s="1761"/>
      <c r="AY23" s="314"/>
      <c r="AZ23" s="1104"/>
      <c r="BA23" s="973"/>
      <c r="BB23" s="543"/>
      <c r="BC23" s="548">
        <f t="shared" si="23"/>
        <v>0</v>
      </c>
      <c r="BD23" s="1104"/>
      <c r="BE23" s="807">
        <f t="shared" si="24"/>
        <v>0</v>
      </c>
      <c r="BF23" s="1128"/>
      <c r="BG23" s="222"/>
      <c r="BH23" s="548" t="str">
        <f t="shared" si="25"/>
        <v/>
      </c>
      <c r="BI23" s="1128"/>
      <c r="BJ23" s="129" t="str">
        <f t="shared" si="26"/>
        <v>Fiche infoA4</v>
      </c>
      <c r="BK23" s="129">
        <f t="shared" si="49"/>
        <v>23</v>
      </c>
      <c r="BL23" s="129" t="str">
        <f t="shared" si="4"/>
        <v>A</v>
      </c>
      <c r="BM23" s="129">
        <f t="shared" si="50"/>
        <v>4</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46177</v>
      </c>
      <c r="ER23" s="749">
        <f t="shared" si="10"/>
        <v>0</v>
      </c>
      <c r="ES23" s="750">
        <f t="shared" si="11"/>
        <v>0</v>
      </c>
      <c r="ET23" s="749">
        <f t="shared" si="12"/>
        <v>0</v>
      </c>
      <c r="EU23" s="750">
        <f t="shared" si="13"/>
        <v>0</v>
      </c>
      <c r="EV23" s="749" t="str">
        <f t="shared" si="14"/>
        <v/>
      </c>
      <c r="EW23" s="751">
        <f t="shared" si="29"/>
        <v>46177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23</v>
      </c>
      <c r="GA23" s="129">
        <f t="shared" si="39"/>
        <v>2026</v>
      </c>
      <c r="GB23" s="129" t="str">
        <f t="shared" si="40"/>
        <v>232026</v>
      </c>
      <c r="GC23" s="223">
        <f>IF(AND($GD$53=S.CAL!$P$3,$GD$52=FZ23),GE23,IF(BH23="",0,BH23))</f>
        <v>0</v>
      </c>
      <c r="GD23" s="129" t="str">
        <f>IFERROR(+Juillet!$BY$2&amp;BL23&amp;BM23,0)</f>
        <v>Fiche infoA4</v>
      </c>
      <c r="GE23" s="129" t="str">
        <f t="shared" si="19"/>
        <v/>
      </c>
      <c r="GF23" s="223" t="str">
        <f t="shared" si="41"/>
        <v/>
      </c>
      <c r="GG23" s="1446" t="str">
        <f>+'Retenue Juin'!D21</f>
        <v/>
      </c>
      <c r="GH23" s="1446">
        <f>IF(Identification!$B$132="Non",+'Retenue Juin'!BF21,+'Retenue Juin'!BE21)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46178</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46178</v>
      </c>
      <c r="AX24" s="1761"/>
      <c r="AY24" s="314"/>
      <c r="AZ24" s="1104"/>
      <c r="BA24" s="973"/>
      <c r="BB24" s="543"/>
      <c r="BC24" s="548">
        <f t="shared" si="23"/>
        <v>0</v>
      </c>
      <c r="BD24" s="1104"/>
      <c r="BE24" s="807">
        <f t="shared" si="24"/>
        <v>0</v>
      </c>
      <c r="BF24" s="1128"/>
      <c r="BG24" s="222"/>
      <c r="BH24" s="548" t="str">
        <f t="shared" si="25"/>
        <v/>
      </c>
      <c r="BI24" s="1128"/>
      <c r="BJ24" s="129" t="str">
        <f t="shared" si="26"/>
        <v>Fiche infoA5</v>
      </c>
      <c r="BK24" s="129">
        <f t="shared" si="49"/>
        <v>23</v>
      </c>
      <c r="BL24" s="129" t="str">
        <f t="shared" si="4"/>
        <v>A</v>
      </c>
      <c r="BM24" s="129">
        <f t="shared" si="50"/>
        <v>5</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46178</v>
      </c>
      <c r="ER24" s="749">
        <f t="shared" si="10"/>
        <v>0</v>
      </c>
      <c r="ES24" s="750">
        <f t="shared" si="11"/>
        <v>0</v>
      </c>
      <c r="ET24" s="749">
        <f t="shared" si="12"/>
        <v>0</v>
      </c>
      <c r="EU24" s="750">
        <f t="shared" si="13"/>
        <v>0</v>
      </c>
      <c r="EV24" s="749" t="str">
        <f t="shared" si="14"/>
        <v/>
      </c>
      <c r="EW24" s="751">
        <f t="shared" si="29"/>
        <v>46178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23</v>
      </c>
      <c r="GA24" s="129">
        <f t="shared" si="39"/>
        <v>2026</v>
      </c>
      <c r="GB24" s="129" t="str">
        <f t="shared" si="40"/>
        <v>232026</v>
      </c>
      <c r="GC24" s="223">
        <f>IF(AND($GD$53=S.CAL!$P$3,$GD$52=FZ24),GE24,IF(BH24="",0,BH24))</f>
        <v>0</v>
      </c>
      <c r="GD24" s="129" t="str">
        <f>IFERROR(+Juillet!$BY$2&amp;BL24&amp;BM24,0)</f>
        <v>Fiche infoA5</v>
      </c>
      <c r="GE24" s="129" t="str">
        <f t="shared" si="19"/>
        <v/>
      </c>
      <c r="GF24" s="223" t="str">
        <f t="shared" si="41"/>
        <v/>
      </c>
      <c r="GG24" s="1446" t="str">
        <f>+'Retenue Juin'!D22</f>
        <v/>
      </c>
      <c r="GH24" s="1446">
        <f>IF(Identification!$B$132="Non",+'Retenue Juin'!BF22,+'Retenue Juin'!BE22)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Juin'!R48*-1)</f>
        <v>#DIV/0!</v>
      </c>
      <c r="M25" s="2142"/>
      <c r="N25" s="2142"/>
      <c r="O25" s="2143"/>
      <c r="P25" s="1753" t="e">
        <f>+IF(L25,T25/L25,0)</f>
        <v>#DIV/0!</v>
      </c>
      <c r="Q25" s="1969"/>
      <c r="R25" s="1969"/>
      <c r="S25" s="1970"/>
      <c r="T25" s="1966">
        <f>IF(A18="Salaire heures normales réelles",0,'Retenue Juin'!R52*-1)</f>
        <v>0</v>
      </c>
      <c r="U25" s="1967"/>
      <c r="V25" s="1967"/>
      <c r="W25" s="1968"/>
      <c r="X25" s="224"/>
      <c r="Y25" s="224"/>
      <c r="Z25" s="224"/>
      <c r="AA25" s="885" t="str">
        <f>IF(AND(BE25="OUI",$AR$13=S.CAL!$CU$2),"►",IF(AND(EV25="OUI",$AR$13=S.CAL!$CU$3),"►",""))</f>
        <v/>
      </c>
      <c r="AB25" s="1760">
        <f>+$X$3+5</f>
        <v>46179</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46179</v>
      </c>
      <c r="AX25" s="1761"/>
      <c r="AY25" s="314"/>
      <c r="AZ25" s="1104"/>
      <c r="BA25" s="973"/>
      <c r="BB25" s="543"/>
      <c r="BC25" s="548">
        <f t="shared" si="23"/>
        <v>0</v>
      </c>
      <c r="BD25" s="1104"/>
      <c r="BE25" s="807">
        <f t="shared" si="24"/>
        <v>0</v>
      </c>
      <c r="BF25" s="1128"/>
      <c r="BG25" s="222"/>
      <c r="BH25" s="548" t="str">
        <f t="shared" si="25"/>
        <v/>
      </c>
      <c r="BI25" s="1128"/>
      <c r="BJ25" s="129" t="str">
        <f t="shared" si="26"/>
        <v>Fiche infoA6</v>
      </c>
      <c r="BK25" s="129">
        <f t="shared" si="49"/>
        <v>23</v>
      </c>
      <c r="BL25" s="129" t="str">
        <f t="shared" si="4"/>
        <v>A</v>
      </c>
      <c r="BM25" s="129">
        <f t="shared" si="50"/>
        <v>6</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 ca="1">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46179</v>
      </c>
      <c r="ER25" s="749">
        <f t="shared" si="10"/>
        <v>0</v>
      </c>
      <c r="ES25" s="750">
        <f t="shared" si="11"/>
        <v>0</v>
      </c>
      <c r="ET25" s="749">
        <f t="shared" si="12"/>
        <v>0</v>
      </c>
      <c r="EU25" s="750">
        <f t="shared" si="13"/>
        <v>0</v>
      </c>
      <c r="EV25" s="749" t="str">
        <f t="shared" si="14"/>
        <v/>
      </c>
      <c r="EW25" s="751">
        <f t="shared" si="29"/>
        <v>46179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23</v>
      </c>
      <c r="GA25" s="129">
        <f t="shared" si="39"/>
        <v>2026</v>
      </c>
      <c r="GB25" s="129" t="str">
        <f t="shared" si="40"/>
        <v>232026</v>
      </c>
      <c r="GC25" s="223">
        <f>IF(AND($GD$53=S.CAL!$P$3,$GD$52=FZ25),GE25,IF(BH25="",0,BH25))</f>
        <v>0</v>
      </c>
      <c r="GD25" s="129" t="str">
        <f>IFERROR(+Juillet!$BY$2&amp;BL25&amp;BM25,0)</f>
        <v>Fiche infoA6</v>
      </c>
      <c r="GE25" s="129" t="str">
        <f t="shared" si="19"/>
        <v/>
      </c>
      <c r="GF25" s="223" t="str">
        <f t="shared" si="41"/>
        <v/>
      </c>
      <c r="GG25" s="1446" t="str">
        <f>+'Retenue Juin'!D23</f>
        <v/>
      </c>
      <c r="GH25" s="1446">
        <f>IF(Identification!$B$132="Non",+'Retenue Juin'!BF23,+'Retenue Juin'!BE23)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Juin'!R50*-1)</f>
        <v>#DIV/0!</v>
      </c>
      <c r="M26" s="2142"/>
      <c r="N26" s="2142"/>
      <c r="O26" s="2143"/>
      <c r="P26" s="1753" t="e">
        <f>+IF(L26,T26/L26,0)</f>
        <v>#DIV/0!</v>
      </c>
      <c r="Q26" s="1969"/>
      <c r="R26" s="1969"/>
      <c r="S26" s="1970"/>
      <c r="T26" s="1966">
        <f>IF(A18="Salaire heures normales réelles",0,'Retenue Juin'!R54*-1)</f>
        <v>0</v>
      </c>
      <c r="U26" s="1967"/>
      <c r="V26" s="1967"/>
      <c r="W26" s="1968"/>
      <c r="X26" s="221"/>
      <c r="Y26" s="221"/>
      <c r="Z26" s="221"/>
      <c r="AA26" s="885" t="str">
        <f>IF(AND(BE26="OUI",$AR$13=S.CAL!$CU$2),"►",IF(AND(EV26="OUI",$AR$13=S.CAL!$CU$3),"►",""))</f>
        <v/>
      </c>
      <c r="AB26" s="1760">
        <f>+$X$3+6</f>
        <v>46180</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46180</v>
      </c>
      <c r="AX26" s="1761"/>
      <c r="AY26" s="314"/>
      <c r="AZ26" s="1104"/>
      <c r="BA26" s="973"/>
      <c r="BB26" s="543"/>
      <c r="BC26" s="548">
        <f t="shared" si="23"/>
        <v>0</v>
      </c>
      <c r="BD26" s="1104"/>
      <c r="BE26" s="807">
        <f t="shared" si="24"/>
        <v>0</v>
      </c>
      <c r="BF26" s="1128"/>
      <c r="BG26" s="222"/>
      <c r="BH26" s="548" t="str">
        <f t="shared" si="25"/>
        <v/>
      </c>
      <c r="BI26" s="1128"/>
      <c r="BJ26" s="129" t="str">
        <f t="shared" si="26"/>
        <v>Fiche infoA7</v>
      </c>
      <c r="BK26" s="129">
        <f t="shared" si="49"/>
        <v>23</v>
      </c>
      <c r="BL26" s="129" t="str">
        <f t="shared" si="4"/>
        <v>A</v>
      </c>
      <c r="BM26" s="129">
        <f t="shared" si="50"/>
        <v>7</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46180</v>
      </c>
      <c r="ER26" s="749">
        <f t="shared" si="10"/>
        <v>0</v>
      </c>
      <c r="ES26" s="750">
        <f t="shared" si="11"/>
        <v>0</v>
      </c>
      <c r="ET26" s="749">
        <f t="shared" si="12"/>
        <v>0</v>
      </c>
      <c r="EU26" s="750">
        <f t="shared" si="13"/>
        <v>0</v>
      </c>
      <c r="EV26" s="749" t="str">
        <f t="shared" si="14"/>
        <v/>
      </c>
      <c r="EW26" s="751">
        <f t="shared" si="29"/>
        <v>46180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23</v>
      </c>
      <c r="GA26" s="129">
        <f t="shared" si="39"/>
        <v>2026</v>
      </c>
      <c r="GB26" s="129" t="str">
        <f t="shared" si="40"/>
        <v>232026</v>
      </c>
      <c r="GC26" s="223">
        <f>IF(AND($GD$53=S.CAL!$P$3,$GD$52=FZ26),GE26,IF(BH26="",0,BH26))</f>
        <v>0</v>
      </c>
      <c r="GD26" s="129" t="str">
        <f>IFERROR(+Juillet!$BY$2&amp;BL26&amp;BM26,0)</f>
        <v>Fiche infoA7</v>
      </c>
      <c r="GE26" s="129" t="str">
        <f t="shared" si="19"/>
        <v/>
      </c>
      <c r="GF26" s="223" t="str">
        <f t="shared" si="41"/>
        <v/>
      </c>
      <c r="GG26" s="1446" t="str">
        <f>+'Retenue Juin'!D24</f>
        <v/>
      </c>
      <c r="GH26" s="1446">
        <f>IF(Identification!$B$132="Non",+'Retenue Juin'!BF24,+'Retenue Juin'!BE24)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46181</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f t="shared" si="48"/>
        <v>24</v>
      </c>
      <c r="AQ27" s="322"/>
      <c r="AR27" s="1104"/>
      <c r="AS27" s="314">
        <f t="shared" si="3"/>
        <v>0</v>
      </c>
      <c r="AT27" s="1125"/>
      <c r="AU27" s="1125"/>
      <c r="AV27" s="314"/>
      <c r="AW27" s="1791">
        <f t="shared" si="22"/>
        <v>46181</v>
      </c>
      <c r="AX27" s="1761"/>
      <c r="AY27" s="314"/>
      <c r="AZ27" s="1104"/>
      <c r="BA27" s="973"/>
      <c r="BB27" s="543"/>
      <c r="BC27" s="548">
        <f t="shared" si="23"/>
        <v>0</v>
      </c>
      <c r="BD27" s="1104"/>
      <c r="BE27" s="807">
        <f t="shared" si="24"/>
        <v>0</v>
      </c>
      <c r="BF27" s="1128"/>
      <c r="BG27" s="222"/>
      <c r="BH27" s="548" t="str">
        <f t="shared" si="25"/>
        <v/>
      </c>
      <c r="BI27" s="1128"/>
      <c r="BJ27" s="129" t="str">
        <f t="shared" si="26"/>
        <v>Fiche infoA1</v>
      </c>
      <c r="BK27" s="129">
        <f t="shared" si="49"/>
        <v>24</v>
      </c>
      <c r="BL27" s="129" t="str">
        <f t="shared" si="4"/>
        <v>A</v>
      </c>
      <c r="BM27" s="129">
        <f t="shared" si="50"/>
        <v>1</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46181</v>
      </c>
      <c r="ER27" s="749">
        <f t="shared" si="10"/>
        <v>0</v>
      </c>
      <c r="ES27" s="750">
        <f t="shared" si="11"/>
        <v>0</v>
      </c>
      <c r="ET27" s="749">
        <f t="shared" si="12"/>
        <v>0</v>
      </c>
      <c r="EU27" s="750">
        <f t="shared" si="13"/>
        <v>0</v>
      </c>
      <c r="EV27" s="749" t="str">
        <f t="shared" si="14"/>
        <v/>
      </c>
      <c r="EW27" s="751">
        <f t="shared" si="29"/>
        <v>46181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24</v>
      </c>
      <c r="GA27" s="129">
        <f t="shared" si="39"/>
        <v>2026</v>
      </c>
      <c r="GB27" s="129" t="str">
        <f t="shared" si="40"/>
        <v>242026</v>
      </c>
      <c r="GC27" s="223">
        <f>IF(AND($GD$53=S.CAL!$P$3,$GD$52=FZ27),GE27,IF(BH27="",0,BH27))</f>
        <v>0</v>
      </c>
      <c r="GD27" s="129" t="str">
        <f>IFERROR(+Juillet!$BY$2&amp;BL27&amp;BM27,0)</f>
        <v>Fiche infoA1</v>
      </c>
      <c r="GE27" s="129" t="str">
        <f t="shared" si="19"/>
        <v/>
      </c>
      <c r="GF27" s="223" t="str">
        <f t="shared" si="41"/>
        <v/>
      </c>
      <c r="GG27" s="1446" t="str">
        <f>+'Retenue Juin'!D25</f>
        <v/>
      </c>
      <c r="GH27" s="1446">
        <f>IF(Identification!$B$132="Non",+'Retenue Juin'!BF25,+'Retenue Juin'!BE25)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46182</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46182</v>
      </c>
      <c r="AX28" s="1761"/>
      <c r="AY28" s="314"/>
      <c r="AZ28" s="1104"/>
      <c r="BA28" s="973"/>
      <c r="BB28" s="543"/>
      <c r="BC28" s="548">
        <f t="shared" si="23"/>
        <v>0</v>
      </c>
      <c r="BD28" s="1104"/>
      <c r="BE28" s="807">
        <f t="shared" si="24"/>
        <v>0</v>
      </c>
      <c r="BF28" s="1128"/>
      <c r="BG28" s="222"/>
      <c r="BH28" s="548" t="str">
        <f t="shared" si="25"/>
        <v/>
      </c>
      <c r="BI28" s="1128"/>
      <c r="BJ28" s="129" t="str">
        <f t="shared" si="26"/>
        <v>Fiche infoA2</v>
      </c>
      <c r="BK28" s="129">
        <f t="shared" si="49"/>
        <v>24</v>
      </c>
      <c r="BL28" s="129" t="str">
        <f t="shared" si="4"/>
        <v>A</v>
      </c>
      <c r="BM28" s="129">
        <f t="shared" si="50"/>
        <v>2</v>
      </c>
      <c r="BN28" s="223" t="str">
        <f t="shared" si="60"/>
        <v>Fiche info</v>
      </c>
      <c r="BO28" s="314" t="str">
        <f t="shared" si="51"/>
        <v/>
      </c>
      <c r="BP28" s="196" t="str">
        <f t="shared" si="52"/>
        <v/>
      </c>
      <c r="BQ28" s="196"/>
      <c r="BS28" s="2100" t="str">
        <f>+"Semaine numéro : "&amp;AT4</f>
        <v>Semaine numéro : 23</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+SUMIF(Mai!$BK$20:$BK$50,AT4,Mai!$AM$20:$AO$50)</f>
        <v>0</v>
      </c>
      <c r="CD28" s="196">
        <f>+SUMIF(Juillet!$BK$20:$BK$50,AT4,Juillet!$AM$20:$AO$50)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46182</v>
      </c>
      <c r="ER28" s="749">
        <f t="shared" si="10"/>
        <v>0</v>
      </c>
      <c r="ES28" s="750">
        <f t="shared" si="11"/>
        <v>0</v>
      </c>
      <c r="ET28" s="749">
        <f t="shared" si="12"/>
        <v>0</v>
      </c>
      <c r="EU28" s="750">
        <f t="shared" si="13"/>
        <v>0</v>
      </c>
      <c r="EV28" s="749" t="str">
        <f t="shared" si="14"/>
        <v/>
      </c>
      <c r="EW28" s="751">
        <f t="shared" si="29"/>
        <v>46182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24</v>
      </c>
      <c r="GA28" s="129">
        <f t="shared" si="39"/>
        <v>2026</v>
      </c>
      <c r="GB28" s="129" t="str">
        <f t="shared" si="40"/>
        <v>242026</v>
      </c>
      <c r="GC28" s="223">
        <f>IF(AND($GD$53=S.CAL!$P$3,$GD$52=FZ28),GE28,IF(BH28="",0,BH28))</f>
        <v>0</v>
      </c>
      <c r="GD28" s="129" t="str">
        <f>IFERROR(+Juillet!$BY$2&amp;BL28&amp;BM28,0)</f>
        <v>Fiche infoA2</v>
      </c>
      <c r="GE28" s="129" t="str">
        <f t="shared" si="19"/>
        <v/>
      </c>
      <c r="GF28" s="223" t="str">
        <f t="shared" si="41"/>
        <v/>
      </c>
      <c r="GG28" s="1446" t="str">
        <f>+'Retenue Juin'!D26</f>
        <v/>
      </c>
      <c r="GH28" s="1446">
        <f>IF(Identification!$B$132="Non",+'Retenue Juin'!BF26,+'Retenue Juin'!BE26)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46183</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46183</v>
      </c>
      <c r="AX29" s="1761"/>
      <c r="AY29" s="314"/>
      <c r="AZ29" s="1104"/>
      <c r="BA29" s="973"/>
      <c r="BB29" s="543"/>
      <c r="BC29" s="548">
        <f t="shared" si="23"/>
        <v>0</v>
      </c>
      <c r="BD29" s="1104"/>
      <c r="BE29" s="807">
        <f t="shared" si="24"/>
        <v>0</v>
      </c>
      <c r="BF29" s="1128"/>
      <c r="BG29" s="222"/>
      <c r="BH29" s="548" t="str">
        <f t="shared" si="25"/>
        <v/>
      </c>
      <c r="BI29" s="1128"/>
      <c r="BJ29" s="129" t="str">
        <f t="shared" si="26"/>
        <v>Fiche infoA3</v>
      </c>
      <c r="BK29" s="129">
        <f t="shared" si="49"/>
        <v>24</v>
      </c>
      <c r="BL29" s="129" t="str">
        <f t="shared" si="4"/>
        <v>A</v>
      </c>
      <c r="BM29" s="129">
        <f t="shared" si="50"/>
        <v>3</v>
      </c>
      <c r="BN29" s="223" t="str">
        <f t="shared" si="60"/>
        <v>Fiche info</v>
      </c>
      <c r="BO29" s="314" t="str">
        <f t="shared" si="51"/>
        <v/>
      </c>
      <c r="BP29" s="196" t="str">
        <f t="shared" si="52"/>
        <v/>
      </c>
      <c r="BQ29" s="196"/>
      <c r="BS29" s="2100" t="str">
        <f t="shared" ref="BS29:BS33" si="64">+"Semaine numéro : "&amp;AT5</f>
        <v>Semaine numéro : 24</v>
      </c>
      <c r="BT29" s="2101"/>
      <c r="BU29" s="2101"/>
      <c r="BV29" s="2101"/>
      <c r="BW29" s="2101"/>
      <c r="BX29" s="2102"/>
      <c r="BY29" s="1115"/>
      <c r="BZ29" s="656">
        <f t="shared" ref="BZ29:BZ33" si="65">+IF(BY29="",IF(AND(CC29&gt;0,CB29&gt;0),CC29+CB29,IF(CD29&gt;0,0,CB29)),BY29)</f>
        <v>0</v>
      </c>
      <c r="CA29" s="655">
        <f t="shared" si="62"/>
        <v>0</v>
      </c>
      <c r="CB29" s="196">
        <f t="shared" si="63"/>
        <v>0</v>
      </c>
      <c r="CC29" s="196">
        <f>+SUMIF(Mai!$BK$20:$BK$50,AT5,Mai!$AM$20:$AO$50)</f>
        <v>0</v>
      </c>
      <c r="CD29" s="196">
        <f>+SUMIF(Juillet!$BK$20:$BK$50,AT5,Juillet!$AM$20:$AO$50)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46183</v>
      </c>
      <c r="ER29" s="749">
        <f t="shared" si="10"/>
        <v>0</v>
      </c>
      <c r="ES29" s="750">
        <f t="shared" si="11"/>
        <v>0</v>
      </c>
      <c r="ET29" s="749">
        <f t="shared" si="12"/>
        <v>0</v>
      </c>
      <c r="EU29" s="750">
        <f t="shared" si="13"/>
        <v>0</v>
      </c>
      <c r="EV29" s="749" t="str">
        <f t="shared" si="14"/>
        <v/>
      </c>
      <c r="EW29" s="751">
        <f t="shared" si="29"/>
        <v>46183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24</v>
      </c>
      <c r="GA29" s="129">
        <f t="shared" si="39"/>
        <v>2026</v>
      </c>
      <c r="GB29" s="129" t="str">
        <f t="shared" si="40"/>
        <v>242026</v>
      </c>
      <c r="GC29" s="223">
        <f>IF(AND($GD$53=S.CAL!$P$3,$GD$52=FZ29),GE29,IF(BH29="",0,BH29))</f>
        <v>0</v>
      </c>
      <c r="GD29" s="129" t="str">
        <f>IFERROR(+Juillet!$BY$2&amp;BL29&amp;BM29,0)</f>
        <v>Fiche infoA3</v>
      </c>
      <c r="GE29" s="129" t="str">
        <f t="shared" si="19"/>
        <v/>
      </c>
      <c r="GF29" s="223" t="str">
        <f t="shared" si="41"/>
        <v/>
      </c>
      <c r="GG29" s="1446" t="str">
        <f>+'Retenue Juin'!D27</f>
        <v/>
      </c>
      <c r="GH29" s="1446">
        <f>IF(Identification!$B$132="Non",+'Retenue Juin'!BF27,+'Retenue Juin'!BE27)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 ca="1">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46184</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46184</v>
      </c>
      <c r="AX30" s="1761"/>
      <c r="AY30" s="314"/>
      <c r="AZ30" s="1104"/>
      <c r="BA30" s="973"/>
      <c r="BB30" s="543"/>
      <c r="BC30" s="548">
        <f t="shared" si="23"/>
        <v>0</v>
      </c>
      <c r="BD30" s="1104"/>
      <c r="BE30" s="807">
        <f t="shared" si="24"/>
        <v>0</v>
      </c>
      <c r="BF30" s="1128"/>
      <c r="BG30" s="222"/>
      <c r="BH30" s="548" t="str">
        <f t="shared" si="25"/>
        <v/>
      </c>
      <c r="BI30" s="1128"/>
      <c r="BJ30" s="129" t="str">
        <f t="shared" si="26"/>
        <v>Fiche infoA4</v>
      </c>
      <c r="BK30" s="129">
        <f t="shared" si="49"/>
        <v>24</v>
      </c>
      <c r="BL30" s="129" t="str">
        <f t="shared" si="4"/>
        <v>A</v>
      </c>
      <c r="BM30" s="129">
        <f t="shared" si="50"/>
        <v>4</v>
      </c>
      <c r="BN30" s="223" t="str">
        <f t="shared" si="60"/>
        <v>Fiche info</v>
      </c>
      <c r="BO30" s="314" t="str">
        <f t="shared" si="51"/>
        <v/>
      </c>
      <c r="BP30" s="196" t="str">
        <f t="shared" si="52"/>
        <v/>
      </c>
      <c r="BQ30" s="196"/>
      <c r="BS30" s="2100" t="str">
        <f t="shared" si="64"/>
        <v>Semaine numéro : 25</v>
      </c>
      <c r="BT30" s="2101"/>
      <c r="BU30" s="2101"/>
      <c r="BV30" s="2101"/>
      <c r="BW30" s="2101"/>
      <c r="BX30" s="2102"/>
      <c r="BY30" s="1115"/>
      <c r="BZ30" s="656">
        <f t="shared" si="65"/>
        <v>0</v>
      </c>
      <c r="CA30" s="655">
        <f t="shared" si="62"/>
        <v>0</v>
      </c>
      <c r="CB30" s="196">
        <f t="shared" si="63"/>
        <v>0</v>
      </c>
      <c r="CC30" s="196">
        <f>+SUMIF(Mai!$BK$20:$BK$50,AT6,Mai!$AM$20:$AO$50)</f>
        <v>0</v>
      </c>
      <c r="CD30" s="196">
        <f>+SUMIF(Juillet!$BK$20:$BK$50,AT6,Juillet!$AM$20:$AO$50)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 ca="1">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46184</v>
      </c>
      <c r="ER30" s="749">
        <f t="shared" si="10"/>
        <v>0</v>
      </c>
      <c r="ES30" s="750">
        <f t="shared" si="11"/>
        <v>0</v>
      </c>
      <c r="ET30" s="749">
        <f t="shared" si="12"/>
        <v>0</v>
      </c>
      <c r="EU30" s="750">
        <f t="shared" si="13"/>
        <v>0</v>
      </c>
      <c r="EV30" s="749" t="str">
        <f t="shared" si="14"/>
        <v/>
      </c>
      <c r="EW30" s="751">
        <f t="shared" si="29"/>
        <v>46184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24</v>
      </c>
      <c r="GA30" s="129">
        <f t="shared" si="39"/>
        <v>2026</v>
      </c>
      <c r="GB30" s="129" t="str">
        <f t="shared" si="40"/>
        <v>242026</v>
      </c>
      <c r="GC30" s="223">
        <f>IF(AND($GD$53=S.CAL!$P$3,$GD$52=FZ30),GE30,IF(BH30="",0,BH30))</f>
        <v>0</v>
      </c>
      <c r="GD30" s="129" t="str">
        <f>IFERROR(+Juillet!$BY$2&amp;BL30&amp;BM30,0)</f>
        <v>Fiche infoA4</v>
      </c>
      <c r="GE30" s="129" t="str">
        <f t="shared" si="19"/>
        <v/>
      </c>
      <c r="GF30" s="223" t="str">
        <f t="shared" si="41"/>
        <v/>
      </c>
      <c r="GG30" s="1446" t="str">
        <f>+'Retenue Juin'!D28</f>
        <v/>
      </c>
      <c r="GH30" s="1446">
        <f>IF(Identification!$B$132="Non",+'Retenue Juin'!BF28,+'Retenue Juin'!BE28)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46185</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46185</v>
      </c>
      <c r="AX31" s="1761"/>
      <c r="AY31" s="314"/>
      <c r="AZ31" s="1104"/>
      <c r="BA31" s="973"/>
      <c r="BB31" s="543"/>
      <c r="BC31" s="548">
        <f t="shared" si="23"/>
        <v>0</v>
      </c>
      <c r="BD31" s="1104"/>
      <c r="BE31" s="807">
        <f t="shared" si="24"/>
        <v>0</v>
      </c>
      <c r="BF31" s="1128"/>
      <c r="BG31" s="222"/>
      <c r="BH31" s="548" t="str">
        <f t="shared" si="25"/>
        <v/>
      </c>
      <c r="BI31" s="1128"/>
      <c r="BJ31" s="129" t="str">
        <f t="shared" si="26"/>
        <v>Fiche infoA5</v>
      </c>
      <c r="BK31" s="129">
        <f t="shared" si="49"/>
        <v>24</v>
      </c>
      <c r="BL31" s="129" t="str">
        <f t="shared" si="4"/>
        <v>A</v>
      </c>
      <c r="BM31" s="129">
        <f t="shared" si="50"/>
        <v>5</v>
      </c>
      <c r="BN31" s="223" t="str">
        <f t="shared" si="60"/>
        <v>Fiche info</v>
      </c>
      <c r="BO31" s="314" t="str">
        <f t="shared" si="51"/>
        <v/>
      </c>
      <c r="BP31" s="196" t="str">
        <f t="shared" si="52"/>
        <v/>
      </c>
      <c r="BQ31" s="196"/>
      <c r="BS31" s="2100" t="str">
        <f t="shared" si="64"/>
        <v>Semaine numéro : 26</v>
      </c>
      <c r="BT31" s="2101"/>
      <c r="BU31" s="2101"/>
      <c r="BV31" s="2101"/>
      <c r="BW31" s="2101"/>
      <c r="BX31" s="2102"/>
      <c r="BY31" s="1115"/>
      <c r="BZ31" s="656">
        <f t="shared" si="65"/>
        <v>0</v>
      </c>
      <c r="CA31" s="655">
        <f t="shared" si="62"/>
        <v>0</v>
      </c>
      <c r="CB31" s="196">
        <f t="shared" si="63"/>
        <v>0</v>
      </c>
      <c r="CC31" s="196">
        <f>+SUMIF(Mai!$BK$20:$BK$50,AT7,Mai!$AM$20:$AO$50)</f>
        <v>0</v>
      </c>
      <c r="CD31" s="196">
        <f>+SUMIF(Juillet!$BK$20:$BK$50,AT7,Juillet!$AM$20:$AO$50)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46185</v>
      </c>
      <c r="ER31" s="749">
        <f t="shared" si="10"/>
        <v>0</v>
      </c>
      <c r="ES31" s="750">
        <f t="shared" si="11"/>
        <v>0</v>
      </c>
      <c r="ET31" s="749">
        <f t="shared" si="12"/>
        <v>0</v>
      </c>
      <c r="EU31" s="750">
        <f t="shared" si="13"/>
        <v>0</v>
      </c>
      <c r="EV31" s="749" t="str">
        <f t="shared" si="14"/>
        <v/>
      </c>
      <c r="EW31" s="751">
        <f t="shared" si="29"/>
        <v>46185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24</v>
      </c>
      <c r="GA31" s="129">
        <f t="shared" si="39"/>
        <v>2026</v>
      </c>
      <c r="GB31" s="129" t="str">
        <f t="shared" si="40"/>
        <v>242026</v>
      </c>
      <c r="GC31" s="223">
        <f>IF(AND($GD$53=S.CAL!$P$3,$GD$52=FZ31),GE31,IF(BH31="",0,BH31))</f>
        <v>0</v>
      </c>
      <c r="GD31" s="129" t="str">
        <f>IFERROR(+Juillet!$BY$2&amp;BL31&amp;BM31,0)</f>
        <v>Fiche infoA5</v>
      </c>
      <c r="GE31" s="129" t="str">
        <f t="shared" si="19"/>
        <v/>
      </c>
      <c r="GF31" s="223" t="str">
        <f t="shared" si="41"/>
        <v/>
      </c>
      <c r="GG31" s="1446" t="str">
        <f>+'Retenue Juin'!D29</f>
        <v/>
      </c>
      <c r="GH31" s="1446">
        <f>IF(Identification!$B$132="Non",+'Retenue Juin'!BF29,+'Retenue Juin'!BE29)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46186</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46186</v>
      </c>
      <c r="AX32" s="1761"/>
      <c r="AY32" s="314"/>
      <c r="AZ32" s="1104"/>
      <c r="BA32" s="973"/>
      <c r="BB32" s="543"/>
      <c r="BC32" s="548">
        <f t="shared" si="23"/>
        <v>0</v>
      </c>
      <c r="BD32" s="1104"/>
      <c r="BE32" s="807">
        <f t="shared" si="24"/>
        <v>0</v>
      </c>
      <c r="BF32" s="1128"/>
      <c r="BG32" s="222"/>
      <c r="BH32" s="548" t="str">
        <f t="shared" si="25"/>
        <v/>
      </c>
      <c r="BI32" s="1128"/>
      <c r="BJ32" s="129" t="str">
        <f t="shared" si="26"/>
        <v>Fiche infoA6</v>
      </c>
      <c r="BK32" s="129">
        <f t="shared" si="49"/>
        <v>24</v>
      </c>
      <c r="BL32" s="129" t="str">
        <f t="shared" si="4"/>
        <v>A</v>
      </c>
      <c r="BM32" s="129">
        <f t="shared" si="50"/>
        <v>6</v>
      </c>
      <c r="BN32" s="223" t="str">
        <f t="shared" si="60"/>
        <v>Fiche info</v>
      </c>
      <c r="BO32" s="314" t="str">
        <f t="shared" si="51"/>
        <v/>
      </c>
      <c r="BP32" s="196" t="str">
        <f t="shared" si="52"/>
        <v/>
      </c>
      <c r="BQ32" s="196"/>
      <c r="BS32" s="2100" t="str">
        <f t="shared" si="64"/>
        <v>Semaine numéro : 27</v>
      </c>
      <c r="BT32" s="2101"/>
      <c r="BU32" s="2101"/>
      <c r="BV32" s="2101"/>
      <c r="BW32" s="2101"/>
      <c r="BX32" s="2102"/>
      <c r="BY32" s="1115"/>
      <c r="BZ32" s="656">
        <f t="shared" si="65"/>
        <v>0</v>
      </c>
      <c r="CA32" s="655">
        <f t="shared" si="62"/>
        <v>0</v>
      </c>
      <c r="CB32" s="196">
        <f t="shared" si="63"/>
        <v>0</v>
      </c>
      <c r="CC32" s="196">
        <f>+SUMIF(Mai!$BK$20:$BK$50,AT8,Mai!$AM$20:$AO$50)</f>
        <v>0</v>
      </c>
      <c r="CD32" s="196">
        <f>+SUMIF(Juillet!$BK$20:$BK$50,AT8,Juillet!$AM$20:$AO$50)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46186</v>
      </c>
      <c r="ER32" s="749">
        <f t="shared" si="10"/>
        <v>0</v>
      </c>
      <c r="ES32" s="750">
        <f t="shared" si="11"/>
        <v>0</v>
      </c>
      <c r="ET32" s="749">
        <f t="shared" si="12"/>
        <v>0</v>
      </c>
      <c r="EU32" s="750">
        <f t="shared" si="13"/>
        <v>0</v>
      </c>
      <c r="EV32" s="749" t="str">
        <f t="shared" si="14"/>
        <v/>
      </c>
      <c r="EW32" s="751">
        <f t="shared" si="29"/>
        <v>46186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24</v>
      </c>
      <c r="GA32" s="129">
        <f t="shared" si="39"/>
        <v>2026</v>
      </c>
      <c r="GB32" s="129" t="str">
        <f t="shared" si="40"/>
        <v>242026</v>
      </c>
      <c r="GC32" s="223">
        <f>IF(AND($GD$53=S.CAL!$P$3,$GD$52=FZ32),GE32,IF(BH32="",0,BH32))</f>
        <v>0</v>
      </c>
      <c r="GD32" s="129" t="str">
        <f>IFERROR(+Juillet!$BY$2&amp;BL32&amp;BM32,0)</f>
        <v>Fiche infoA6</v>
      </c>
      <c r="GE32" s="129" t="str">
        <f t="shared" si="19"/>
        <v/>
      </c>
      <c r="GF32" s="223" t="str">
        <f t="shared" si="41"/>
        <v/>
      </c>
      <c r="GG32" s="1446" t="str">
        <f>+'Retenue Juin'!D30</f>
        <v/>
      </c>
      <c r="GH32" s="1446">
        <f>IF(Identification!$B$132="Non",+'Retenue Juin'!BF30,+'Retenue Juin'!BE30)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46187</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46187</v>
      </c>
      <c r="AX33" s="1761"/>
      <c r="AY33" s="314"/>
      <c r="AZ33" s="1104"/>
      <c r="BA33" s="973"/>
      <c r="BB33" s="543"/>
      <c r="BC33" s="548">
        <f t="shared" si="23"/>
        <v>0</v>
      </c>
      <c r="BD33" s="1104"/>
      <c r="BE33" s="807">
        <f t="shared" si="24"/>
        <v>0</v>
      </c>
      <c r="BF33" s="1128"/>
      <c r="BG33" s="222"/>
      <c r="BH33" s="548" t="str">
        <f t="shared" si="25"/>
        <v/>
      </c>
      <c r="BI33" s="1128"/>
      <c r="BJ33" s="129" t="str">
        <f t="shared" si="26"/>
        <v>Fiche infoA7</v>
      </c>
      <c r="BK33" s="129">
        <f t="shared" si="49"/>
        <v>24</v>
      </c>
      <c r="BL33" s="129" t="str">
        <f t="shared" si="4"/>
        <v>A</v>
      </c>
      <c r="BM33" s="129">
        <f t="shared" si="50"/>
        <v>7</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+SUMIF(Mai!$BK$20:$BK$50,AT9,Mai!$AM$20:$AO$50)</f>
        <v>0</v>
      </c>
      <c r="CD33" s="196">
        <f>+SUMIF(Juillet!$BK$20:$BK$50,AT9,Juillet!$AM$20:$AO$50)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 ca="1">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46187</v>
      </c>
      <c r="ER33" s="749">
        <f t="shared" si="10"/>
        <v>0</v>
      </c>
      <c r="ES33" s="750">
        <f t="shared" si="11"/>
        <v>0</v>
      </c>
      <c r="ET33" s="749">
        <f t="shared" si="12"/>
        <v>0</v>
      </c>
      <c r="EU33" s="750">
        <f t="shared" si="13"/>
        <v>0</v>
      </c>
      <c r="EV33" s="749" t="str">
        <f t="shared" si="14"/>
        <v/>
      </c>
      <c r="EW33" s="751">
        <f t="shared" si="29"/>
        <v>46187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24</v>
      </c>
      <c r="GA33" s="129">
        <f t="shared" si="39"/>
        <v>2026</v>
      </c>
      <c r="GB33" s="129" t="str">
        <f t="shared" si="40"/>
        <v>242026</v>
      </c>
      <c r="GC33" s="223">
        <f>IF(AND($GD$53=S.CAL!$P$3,$GD$52=FZ33),GE33,IF(BH33="",0,BH33))</f>
        <v>0</v>
      </c>
      <c r="GD33" s="129" t="str">
        <f>IFERROR(+Juillet!$BY$2&amp;BL33&amp;BM33,0)</f>
        <v>Fiche infoA7</v>
      </c>
      <c r="GE33" s="129" t="str">
        <f t="shared" si="19"/>
        <v/>
      </c>
      <c r="GF33" s="223" t="str">
        <f t="shared" si="41"/>
        <v/>
      </c>
      <c r="GG33" s="1446" t="str">
        <f>+'Retenue Juin'!D31</f>
        <v/>
      </c>
      <c r="GH33" s="1446">
        <f>IF(Identification!$B$132="Non",+'Retenue Juin'!BF31,+'Retenue Juin'!BE31)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46188</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f t="shared" si="48"/>
        <v>25</v>
      </c>
      <c r="AQ34" s="322"/>
      <c r="AR34" s="1104"/>
      <c r="AS34" s="314">
        <f t="shared" si="3"/>
        <v>0</v>
      </c>
      <c r="AT34" s="1125"/>
      <c r="AU34" s="1125"/>
      <c r="AV34" s="314"/>
      <c r="AW34" s="1791">
        <f t="shared" si="22"/>
        <v>46188</v>
      </c>
      <c r="AX34" s="1761"/>
      <c r="AY34" s="314"/>
      <c r="AZ34" s="1104"/>
      <c r="BA34" s="973"/>
      <c r="BB34" s="543"/>
      <c r="BC34" s="548">
        <f t="shared" si="23"/>
        <v>0</v>
      </c>
      <c r="BD34" s="1104"/>
      <c r="BE34" s="807">
        <f t="shared" si="24"/>
        <v>0</v>
      </c>
      <c r="BF34" s="1128"/>
      <c r="BG34" s="222"/>
      <c r="BH34" s="548" t="str">
        <f t="shared" si="25"/>
        <v/>
      </c>
      <c r="BI34" s="1128"/>
      <c r="BJ34" s="129" t="str">
        <f t="shared" si="26"/>
        <v>Fiche infoA1</v>
      </c>
      <c r="BK34" s="129">
        <f t="shared" si="49"/>
        <v>25</v>
      </c>
      <c r="BL34" s="129" t="str">
        <f t="shared" si="4"/>
        <v>A</v>
      </c>
      <c r="BM34" s="129">
        <f t="shared" si="50"/>
        <v>1</v>
      </c>
      <c r="BN34" s="223" t="str">
        <f t="shared" si="60"/>
        <v>Fiche info</v>
      </c>
      <c r="BO34" s="314" t="str">
        <f t="shared" si="51"/>
        <v/>
      </c>
      <c r="BP34" s="196" t="str">
        <f t="shared" si="52"/>
        <v/>
      </c>
      <c r="BQ34" s="196"/>
      <c r="BZ34" s="658" t="s">
        <v>441</v>
      </c>
      <c r="CA34" s="659">
        <f>+IF(AND(DP14=1,OR(DP29="NON",DP29=0)),0,SUM(CA28:CA33))</f>
        <v>0</v>
      </c>
      <c r="DD34" s="196"/>
      <c r="DJ34" s="402" t="s">
        <v>156</v>
      </c>
      <c r="DK34" s="738">
        <f ca="1">+ROUND(DK30*0.9825*2.9/100,2)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46188</v>
      </c>
      <c r="ER34" s="749">
        <f t="shared" si="10"/>
        <v>0</v>
      </c>
      <c r="ES34" s="750">
        <f t="shared" si="11"/>
        <v>0</v>
      </c>
      <c r="ET34" s="749">
        <f t="shared" si="12"/>
        <v>0</v>
      </c>
      <c r="EU34" s="750">
        <f t="shared" si="13"/>
        <v>0</v>
      </c>
      <c r="EV34" s="749" t="str">
        <f t="shared" si="14"/>
        <v/>
      </c>
      <c r="EW34" s="751">
        <f t="shared" si="29"/>
        <v>46188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25</v>
      </c>
      <c r="GA34" s="129">
        <f t="shared" si="39"/>
        <v>2026</v>
      </c>
      <c r="GB34" s="129" t="str">
        <f t="shared" si="40"/>
        <v>252026</v>
      </c>
      <c r="GC34" s="223">
        <f>IF(AND($GD$53=S.CAL!$P$3,$GD$52=FZ34),GE34,IF(BH34="",0,BH34))</f>
        <v>0</v>
      </c>
      <c r="GD34" s="129" t="str">
        <f>IFERROR(+Juillet!$BY$2&amp;BL34&amp;BM34,0)</f>
        <v>Fiche infoA1</v>
      </c>
      <c r="GE34" s="129" t="str">
        <f t="shared" si="19"/>
        <v/>
      </c>
      <c r="GF34" s="223" t="str">
        <f t="shared" si="41"/>
        <v/>
      </c>
      <c r="GG34" s="1446" t="str">
        <f>+'Retenue Juin'!D32</f>
        <v/>
      </c>
      <c r="GH34" s="1446">
        <f>IF(Identification!$B$132="Non",+'Retenue Juin'!BF32,+'Retenue Juin'!BE32)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 ca="1">+ROUND(SUM(T18:W34),2)</f>
        <v>0</v>
      </c>
      <c r="U35" s="2107"/>
      <c r="V35" s="2107"/>
      <c r="W35" s="2108"/>
      <c r="X35" s="221"/>
      <c r="Y35" s="221"/>
      <c r="Z35" s="221"/>
      <c r="AA35" s="885" t="str">
        <f>IF(AND(BE35="OUI",$AR$13=S.CAL!$CU$2),"►",IF(AND(EV35="OUI",$AR$13=S.CAL!$CU$3),"►",""))</f>
        <v/>
      </c>
      <c r="AB35" s="1760">
        <f>+$X$3+15</f>
        <v>46189</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46189</v>
      </c>
      <c r="AX35" s="1761"/>
      <c r="AY35" s="314"/>
      <c r="AZ35" s="1104"/>
      <c r="BA35" s="973"/>
      <c r="BB35" s="543"/>
      <c r="BC35" s="548">
        <f t="shared" si="23"/>
        <v>0</v>
      </c>
      <c r="BD35" s="1104"/>
      <c r="BE35" s="807">
        <f t="shared" si="24"/>
        <v>0</v>
      </c>
      <c r="BF35" s="1128"/>
      <c r="BG35" s="222"/>
      <c r="BH35" s="548" t="str">
        <f t="shared" si="25"/>
        <v/>
      </c>
      <c r="BI35" s="1128"/>
      <c r="BJ35" s="129" t="str">
        <f t="shared" si="26"/>
        <v>Fiche infoA2</v>
      </c>
      <c r="BK35" s="129">
        <f t="shared" si="49"/>
        <v>25</v>
      </c>
      <c r="BL35" s="129" t="str">
        <f t="shared" si="4"/>
        <v>A</v>
      </c>
      <c r="BM35" s="129">
        <f t="shared" si="50"/>
        <v>2</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46189</v>
      </c>
      <c r="ER35" s="749">
        <f t="shared" si="10"/>
        <v>0</v>
      </c>
      <c r="ES35" s="750">
        <f t="shared" si="11"/>
        <v>0</v>
      </c>
      <c r="ET35" s="749">
        <f t="shared" si="12"/>
        <v>0</v>
      </c>
      <c r="EU35" s="750">
        <f t="shared" si="13"/>
        <v>0</v>
      </c>
      <c r="EV35" s="749" t="str">
        <f t="shared" si="14"/>
        <v/>
      </c>
      <c r="EW35" s="751">
        <f t="shared" si="29"/>
        <v>46189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25</v>
      </c>
      <c r="GA35" s="129">
        <f t="shared" si="39"/>
        <v>2026</v>
      </c>
      <c r="GB35" s="129" t="str">
        <f t="shared" si="40"/>
        <v>252026</v>
      </c>
      <c r="GC35" s="223">
        <f>IF(AND($GD$53=S.CAL!$P$3,$GD$52=FZ35),GE35,IF(BH35="",0,BH35))</f>
        <v>0</v>
      </c>
      <c r="GD35" s="129" t="str">
        <f>IFERROR(+Juillet!$BY$2&amp;BL35&amp;BM35,0)</f>
        <v>Fiche infoA2</v>
      </c>
      <c r="GE35" s="129" t="str">
        <f t="shared" si="19"/>
        <v/>
      </c>
      <c r="GF35" s="223" t="str">
        <f t="shared" si="41"/>
        <v/>
      </c>
      <c r="GG35" s="1446" t="str">
        <f>+'Retenue Juin'!D33</f>
        <v/>
      </c>
      <c r="GH35" s="1446">
        <f>IF(Identification!$B$132="Non",+'Retenue Juin'!BF33,+'Retenue Juin'!BE33)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46190</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46190</v>
      </c>
      <c r="AX36" s="1761"/>
      <c r="AY36" s="314"/>
      <c r="AZ36" s="1104"/>
      <c r="BA36" s="973"/>
      <c r="BB36" s="543"/>
      <c r="BC36" s="548">
        <f t="shared" si="23"/>
        <v>0</v>
      </c>
      <c r="BD36" s="1104"/>
      <c r="BE36" s="807">
        <f t="shared" si="24"/>
        <v>0</v>
      </c>
      <c r="BF36" s="1128"/>
      <c r="BG36" s="222"/>
      <c r="BH36" s="548" t="str">
        <f t="shared" si="25"/>
        <v/>
      </c>
      <c r="BI36" s="1128"/>
      <c r="BJ36" s="129" t="str">
        <f t="shared" si="26"/>
        <v>Fiche infoA3</v>
      </c>
      <c r="BK36" s="129">
        <f t="shared" si="49"/>
        <v>25</v>
      </c>
      <c r="BL36" s="129" t="str">
        <f t="shared" si="4"/>
        <v>A</v>
      </c>
      <c r="BM36" s="129">
        <f t="shared" si="50"/>
        <v>3</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 ca="1">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46190</v>
      </c>
      <c r="ER36" s="749">
        <f t="shared" si="10"/>
        <v>0</v>
      </c>
      <c r="ES36" s="750">
        <f t="shared" si="11"/>
        <v>0</v>
      </c>
      <c r="ET36" s="749">
        <f t="shared" si="12"/>
        <v>0</v>
      </c>
      <c r="EU36" s="750">
        <f t="shared" si="13"/>
        <v>0</v>
      </c>
      <c r="EV36" s="749" t="str">
        <f t="shared" si="14"/>
        <v/>
      </c>
      <c r="EW36" s="751">
        <f t="shared" si="29"/>
        <v>46190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25</v>
      </c>
      <c r="GA36" s="129">
        <f t="shared" si="39"/>
        <v>2026</v>
      </c>
      <c r="GB36" s="129" t="str">
        <f t="shared" si="40"/>
        <v>252026</v>
      </c>
      <c r="GC36" s="223">
        <f>IF(AND($GD$53=S.CAL!$P$3,$GD$52=FZ36),GE36,IF(BH36="",0,BH36))</f>
        <v>0</v>
      </c>
      <c r="GD36" s="129" t="str">
        <f>IFERROR(+Juillet!$BY$2&amp;BL36&amp;BM36,0)</f>
        <v>Fiche infoA3</v>
      </c>
      <c r="GE36" s="129" t="str">
        <f t="shared" si="19"/>
        <v/>
      </c>
      <c r="GF36" s="223" t="str">
        <f t="shared" si="41"/>
        <v/>
      </c>
      <c r="GG36" s="1446" t="str">
        <f>+'Retenue Juin'!D34</f>
        <v/>
      </c>
      <c r="GH36" s="1446">
        <f>IF(Identification!$B$132="Non",+'Retenue Juin'!BF34,+'Retenue Juin'!BE34)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46191</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46191</v>
      </c>
      <c r="AX37" s="1761"/>
      <c r="AY37" s="314"/>
      <c r="AZ37" s="1104"/>
      <c r="BA37" s="973"/>
      <c r="BB37" s="543"/>
      <c r="BC37" s="548">
        <f t="shared" si="23"/>
        <v>0</v>
      </c>
      <c r="BD37" s="1104"/>
      <c r="BE37" s="807">
        <f t="shared" si="24"/>
        <v>0</v>
      </c>
      <c r="BF37" s="1128"/>
      <c r="BG37" s="222"/>
      <c r="BH37" s="548" t="str">
        <f t="shared" si="25"/>
        <v/>
      </c>
      <c r="BI37" s="1128"/>
      <c r="BJ37" s="129" t="str">
        <f t="shared" si="26"/>
        <v>Fiche infoA4</v>
      </c>
      <c r="BK37" s="129">
        <f t="shared" si="49"/>
        <v>25</v>
      </c>
      <c r="BL37" s="129" t="str">
        <f t="shared" si="4"/>
        <v>A</v>
      </c>
      <c r="BM37" s="129">
        <f t="shared" si="50"/>
        <v>4</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46191</v>
      </c>
      <c r="ER37" s="749">
        <f t="shared" si="10"/>
        <v>0</v>
      </c>
      <c r="ES37" s="750">
        <f t="shared" si="11"/>
        <v>0</v>
      </c>
      <c r="ET37" s="749">
        <f t="shared" si="12"/>
        <v>0</v>
      </c>
      <c r="EU37" s="750">
        <f t="shared" si="13"/>
        <v>0</v>
      </c>
      <c r="EV37" s="749" t="str">
        <f t="shared" si="14"/>
        <v/>
      </c>
      <c r="EW37" s="751">
        <f t="shared" si="29"/>
        <v>46191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25</v>
      </c>
      <c r="GA37" s="129">
        <f t="shared" si="39"/>
        <v>2026</v>
      </c>
      <c r="GB37" s="129" t="str">
        <f t="shared" si="40"/>
        <v>252026</v>
      </c>
      <c r="GC37" s="223">
        <f>IF(AND($GD$53=S.CAL!$P$3,$GD$52=FZ37),GE37,IF(BH37="",0,BH37))</f>
        <v>0</v>
      </c>
      <c r="GD37" s="129" t="str">
        <f>IFERROR(+Juillet!$BY$2&amp;BL37&amp;BM37,0)</f>
        <v>Fiche infoA4</v>
      </c>
      <c r="GE37" s="129" t="str">
        <f t="shared" si="19"/>
        <v/>
      </c>
      <c r="GF37" s="223" t="str">
        <f t="shared" si="41"/>
        <v/>
      </c>
      <c r="GG37" s="1446" t="str">
        <f>+'Retenue Juin'!D35</f>
        <v/>
      </c>
      <c r="GH37" s="1446">
        <f>IF(Identification!$B$132="Non",+'Retenue Juin'!BF35,+'Retenue Juin'!BE35)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46192</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46192</v>
      </c>
      <c r="AX38" s="1761"/>
      <c r="AY38" s="314"/>
      <c r="AZ38" s="1104"/>
      <c r="BA38" s="973"/>
      <c r="BB38" s="543"/>
      <c r="BC38" s="548">
        <f t="shared" si="23"/>
        <v>0</v>
      </c>
      <c r="BD38" s="1104"/>
      <c r="BE38" s="807">
        <f t="shared" si="24"/>
        <v>0</v>
      </c>
      <c r="BF38" s="1128"/>
      <c r="BG38" s="222"/>
      <c r="BH38" s="548" t="str">
        <f t="shared" si="25"/>
        <v/>
      </c>
      <c r="BI38" s="1128"/>
      <c r="BJ38" s="129" t="str">
        <f t="shared" si="26"/>
        <v>Fiche infoA5</v>
      </c>
      <c r="BK38" s="129">
        <f t="shared" si="49"/>
        <v>25</v>
      </c>
      <c r="BL38" s="129" t="str">
        <f t="shared" si="4"/>
        <v>A</v>
      </c>
      <c r="BM38" s="129">
        <f t="shared" si="50"/>
        <v>5</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46192</v>
      </c>
      <c r="ER38" s="749">
        <f t="shared" si="10"/>
        <v>0</v>
      </c>
      <c r="ES38" s="750">
        <f t="shared" si="11"/>
        <v>0</v>
      </c>
      <c r="ET38" s="749">
        <f t="shared" si="12"/>
        <v>0</v>
      </c>
      <c r="EU38" s="750">
        <f t="shared" si="13"/>
        <v>0</v>
      </c>
      <c r="EV38" s="749" t="str">
        <f t="shared" si="14"/>
        <v/>
      </c>
      <c r="EW38" s="751">
        <f t="shared" si="29"/>
        <v>46192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25</v>
      </c>
      <c r="GA38" s="129">
        <f t="shared" si="39"/>
        <v>2026</v>
      </c>
      <c r="GB38" s="129" t="str">
        <f t="shared" si="40"/>
        <v>252026</v>
      </c>
      <c r="GC38" s="223">
        <f>IF(AND($GD$53=S.CAL!$P$3,$GD$52=FZ38),GE38,IF(BH38="",0,BH38))</f>
        <v>0</v>
      </c>
      <c r="GD38" s="129" t="str">
        <f>IFERROR(+Juillet!$BY$2&amp;BL38&amp;BM38,0)</f>
        <v>Fiche infoA5</v>
      </c>
      <c r="GE38" s="129" t="str">
        <f t="shared" si="19"/>
        <v/>
      </c>
      <c r="GF38" s="223" t="str">
        <f t="shared" si="41"/>
        <v/>
      </c>
      <c r="GG38" s="1446" t="str">
        <f>+'Retenue Juin'!D36</f>
        <v/>
      </c>
      <c r="GH38" s="1446">
        <f>IF(Identification!$B$132="Non",+'Retenue Juin'!BF36,+'Retenue Juin'!BE36)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46193</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46193</v>
      </c>
      <c r="AX39" s="1761"/>
      <c r="AY39" s="314"/>
      <c r="AZ39" s="1104"/>
      <c r="BA39" s="973"/>
      <c r="BB39" s="543"/>
      <c r="BC39" s="548">
        <f t="shared" si="23"/>
        <v>0</v>
      </c>
      <c r="BD39" s="1104"/>
      <c r="BE39" s="807">
        <f t="shared" si="24"/>
        <v>0</v>
      </c>
      <c r="BF39" s="1128"/>
      <c r="BG39" s="222"/>
      <c r="BH39" s="548" t="str">
        <f t="shared" si="25"/>
        <v/>
      </c>
      <c r="BI39" s="1128"/>
      <c r="BJ39" s="129" t="str">
        <f t="shared" si="26"/>
        <v>Fiche infoA6</v>
      </c>
      <c r="BK39" s="129">
        <f t="shared" si="49"/>
        <v>25</v>
      </c>
      <c r="BL39" s="129" t="str">
        <f t="shared" si="4"/>
        <v>A</v>
      </c>
      <c r="BM39" s="129">
        <f t="shared" si="50"/>
        <v>6</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46193</v>
      </c>
      <c r="ER39" s="749">
        <f t="shared" si="10"/>
        <v>0</v>
      </c>
      <c r="ES39" s="750">
        <f t="shared" si="11"/>
        <v>0</v>
      </c>
      <c r="ET39" s="749">
        <f t="shared" si="12"/>
        <v>0</v>
      </c>
      <c r="EU39" s="750">
        <f t="shared" si="13"/>
        <v>0</v>
      </c>
      <c r="EV39" s="749" t="str">
        <f t="shared" si="14"/>
        <v/>
      </c>
      <c r="EW39" s="751">
        <f t="shared" si="29"/>
        <v>46193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25</v>
      </c>
      <c r="GA39" s="129">
        <f t="shared" si="39"/>
        <v>2026</v>
      </c>
      <c r="GB39" s="129" t="str">
        <f t="shared" si="40"/>
        <v>252026</v>
      </c>
      <c r="GC39" s="223">
        <f>IF(AND($GD$53=S.CAL!$P$3,$GD$52=FZ39),GE39,IF(BH39="",0,BH39))</f>
        <v>0</v>
      </c>
      <c r="GD39" s="129" t="str">
        <f>IFERROR(+Juillet!$BY$2&amp;BL39&amp;BM39,0)</f>
        <v>Fiche infoA6</v>
      </c>
      <c r="GE39" s="129" t="str">
        <f t="shared" si="19"/>
        <v/>
      </c>
      <c r="GF39" s="223" t="str">
        <f t="shared" si="41"/>
        <v/>
      </c>
      <c r="GG39" s="1446" t="str">
        <f>+'Retenue Juin'!D37</f>
        <v/>
      </c>
      <c r="GH39" s="1446">
        <f>IF(Identification!$B$132="Non",+'Retenue Juin'!BF37,+'Retenue Juin'!BE37)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46194</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46194</v>
      </c>
      <c r="AX40" s="1761"/>
      <c r="AY40" s="314"/>
      <c r="AZ40" s="1104"/>
      <c r="BA40" s="973"/>
      <c r="BB40" s="543"/>
      <c r="BC40" s="548">
        <f t="shared" si="23"/>
        <v>0</v>
      </c>
      <c r="BD40" s="1104"/>
      <c r="BE40" s="807">
        <f t="shared" si="24"/>
        <v>0</v>
      </c>
      <c r="BF40" s="1128"/>
      <c r="BG40" s="222"/>
      <c r="BH40" s="548" t="str">
        <f t="shared" si="25"/>
        <v/>
      </c>
      <c r="BI40" s="1128"/>
      <c r="BJ40" s="129" t="str">
        <f t="shared" si="26"/>
        <v>Fiche infoA7</v>
      </c>
      <c r="BK40" s="129">
        <f t="shared" si="49"/>
        <v>25</v>
      </c>
      <c r="BL40" s="129" t="str">
        <f t="shared" si="4"/>
        <v>A</v>
      </c>
      <c r="BM40" s="129">
        <f t="shared" si="50"/>
        <v>7</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Juin'!P27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46194</v>
      </c>
      <c r="ER40" s="749">
        <f t="shared" si="10"/>
        <v>0</v>
      </c>
      <c r="ES40" s="750">
        <f t="shared" si="11"/>
        <v>0</v>
      </c>
      <c r="ET40" s="749">
        <f t="shared" si="12"/>
        <v>0</v>
      </c>
      <c r="EU40" s="750">
        <f t="shared" si="13"/>
        <v>0</v>
      </c>
      <c r="EV40" s="749" t="str">
        <f t="shared" si="14"/>
        <v/>
      </c>
      <c r="EW40" s="751">
        <f t="shared" si="29"/>
        <v>46194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25</v>
      </c>
      <c r="GA40" s="129">
        <f t="shared" si="39"/>
        <v>2026</v>
      </c>
      <c r="GB40" s="129" t="str">
        <f t="shared" si="40"/>
        <v>252026</v>
      </c>
      <c r="GC40" s="223">
        <f>IF(AND($GD$53=S.CAL!$P$3,$GD$52=FZ40),GE40,IF(BH40="",0,BH40))</f>
        <v>0</v>
      </c>
      <c r="GD40" s="129" t="str">
        <f>IFERROR(+Juillet!$BY$2&amp;BL40&amp;BM40,0)</f>
        <v>Fiche infoA7</v>
      </c>
      <c r="GE40" s="129" t="str">
        <f t="shared" si="19"/>
        <v/>
      </c>
      <c r="GF40" s="223" t="str">
        <f t="shared" si="41"/>
        <v/>
      </c>
      <c r="GG40" s="1446" t="str">
        <f>+'Retenue Juin'!D38</f>
        <v/>
      </c>
      <c r="GH40" s="1446">
        <f>IF(Identification!$B$132="Non",+'Retenue Juin'!BF38,+'Retenue Juin'!BE38)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 ca="1">+T35*INDEX(table_base_coef_salariale,MATCH(A41,Taux_cotisations!$A$75:$A$101,0),MATCH($X$3,Taux_cotisations!$A$75:$M$75,0))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 ca="1">ROUND(K41*H41,4)</f>
        <v>0</v>
      </c>
      <c r="O41" s="1869"/>
      <c r="P41" s="1869"/>
      <c r="Q41" s="221"/>
      <c r="R41" s="2351">
        <f ca="1">+T35*INDEX(table_base_coef_patronale,MATCH(A41,Taux_cotisations!$A$110:$A$136,0),MATCH($X$3,Taux_cotisations!$A$110:$M$110,0))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 ca="1">ROUND(U41*R41,2)</f>
        <v>0</v>
      </c>
      <c r="Y41" s="2347"/>
      <c r="Z41" s="2347"/>
      <c r="AA41" s="885" t="str">
        <f>IF(AND(BE41="OUI",$AR$13=S.CAL!$CU$2),"►",IF(AND(EV41="OUI",$AR$13=S.CAL!$CU$3),"►",""))</f>
        <v/>
      </c>
      <c r="AB41" s="1760">
        <f>+$X$3+21</f>
        <v>46195</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f t="shared" si="48"/>
        <v>26</v>
      </c>
      <c r="AQ41" s="322"/>
      <c r="AR41" s="1104"/>
      <c r="AS41" s="314">
        <f t="shared" si="3"/>
        <v>0</v>
      </c>
      <c r="AT41" s="1125"/>
      <c r="AU41" s="1125"/>
      <c r="AV41" s="314"/>
      <c r="AW41" s="1791">
        <f t="shared" si="22"/>
        <v>46195</v>
      </c>
      <c r="AX41" s="1761"/>
      <c r="AY41" s="314"/>
      <c r="AZ41" s="1104"/>
      <c r="BA41" s="973"/>
      <c r="BB41" s="543"/>
      <c r="BC41" s="548">
        <f t="shared" si="23"/>
        <v>0</v>
      </c>
      <c r="BD41" s="1104"/>
      <c r="BE41" s="807">
        <f t="shared" si="24"/>
        <v>0</v>
      </c>
      <c r="BF41" s="1128"/>
      <c r="BG41" s="222"/>
      <c r="BH41" s="548" t="str">
        <f t="shared" si="25"/>
        <v/>
      </c>
      <c r="BI41" s="1128"/>
      <c r="BJ41" s="129" t="str">
        <f t="shared" si="26"/>
        <v>Fiche infoA1</v>
      </c>
      <c r="BK41" s="129">
        <f t="shared" si="49"/>
        <v>26</v>
      </c>
      <c r="BL41" s="129" t="str">
        <f t="shared" si="4"/>
        <v>A</v>
      </c>
      <c r="BM41" s="129">
        <f t="shared" si="50"/>
        <v>1</v>
      </c>
      <c r="BN41" s="223" t="str">
        <f t="shared" si="60"/>
        <v>Fiche info</v>
      </c>
      <c r="BO41" s="314" t="str">
        <f t="shared" si="51"/>
        <v/>
      </c>
      <c r="BP41" s="196" t="str">
        <f t="shared" si="52"/>
        <v/>
      </c>
      <c r="BQ41" s="1948" t="s">
        <v>1047</v>
      </c>
      <c r="BR41" s="1948"/>
      <c r="BS41" s="1948"/>
      <c r="BT41" s="1948"/>
      <c r="BU41" s="1948"/>
      <c r="BV41" s="1948"/>
      <c r="BW41" s="583" t="str">
        <f>+IF(BX41="",Mai!BW41,BX41)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46195</v>
      </c>
      <c r="ER41" s="749">
        <f t="shared" si="10"/>
        <v>0</v>
      </c>
      <c r="ES41" s="750">
        <f t="shared" si="11"/>
        <v>0</v>
      </c>
      <c r="ET41" s="749">
        <f t="shared" si="12"/>
        <v>0</v>
      </c>
      <c r="EU41" s="750">
        <f t="shared" si="13"/>
        <v>0</v>
      </c>
      <c r="EV41" s="749" t="str">
        <f t="shared" si="14"/>
        <v/>
      </c>
      <c r="EW41" s="751">
        <f t="shared" si="29"/>
        <v>46195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26</v>
      </c>
      <c r="GA41" s="129">
        <f t="shared" si="39"/>
        <v>2026</v>
      </c>
      <c r="GB41" s="129" t="str">
        <f t="shared" si="40"/>
        <v>262026</v>
      </c>
      <c r="GC41" s="223">
        <f>IF(AND($GD$53=S.CAL!$P$3,$GD$52=FZ41),GE41,IF(BH41="",0,BH41))</f>
        <v>0</v>
      </c>
      <c r="GD41" s="129" t="str">
        <f>IFERROR(+Juillet!$BY$2&amp;BL41&amp;BM41,0)</f>
        <v>Fiche infoA1</v>
      </c>
      <c r="GE41" s="129" t="str">
        <f t="shared" si="19"/>
        <v/>
      </c>
      <c r="GF41" s="223" t="str">
        <f t="shared" si="41"/>
        <v/>
      </c>
      <c r="GG41" s="1446" t="str">
        <f>+'Retenue Juin'!D39</f>
        <v/>
      </c>
      <c r="GH41" s="1446">
        <f>IF(Identification!$B$132="Non",+'Retenue Juin'!BF39,+'Retenue Juin'!BE39)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 ca="1">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 ca="1">ROUND(K42*H42,4)</f>
        <v>0</v>
      </c>
      <c r="O42" s="1869"/>
      <c r="P42" s="1869"/>
      <c r="Q42" s="221"/>
      <c r="R42" s="2351">
        <f ca="1">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 ca="1">ROUND(U42*R42,2)</f>
        <v>0</v>
      </c>
      <c r="Y42" s="2347"/>
      <c r="Z42" s="2347"/>
      <c r="AA42" s="885" t="str">
        <f>IF(AND(BE42="OUI",$AR$13=S.CAL!$CU$2),"►",IF(AND(EV42="OUI",$AR$13=S.CAL!$CU$3),"►",""))</f>
        <v/>
      </c>
      <c r="AB42" s="1760">
        <f>+$X$3+22</f>
        <v>46196</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46196</v>
      </c>
      <c r="AX42" s="1761"/>
      <c r="AY42" s="314"/>
      <c r="AZ42" s="1104"/>
      <c r="BA42" s="973"/>
      <c r="BB42" s="543"/>
      <c r="BC42" s="548">
        <f t="shared" si="23"/>
        <v>0</v>
      </c>
      <c r="BD42" s="1104"/>
      <c r="BE42" s="807">
        <f t="shared" si="24"/>
        <v>0</v>
      </c>
      <c r="BF42" s="1128"/>
      <c r="BG42" s="222"/>
      <c r="BH42" s="548" t="str">
        <f t="shared" si="25"/>
        <v/>
      </c>
      <c r="BI42" s="1128"/>
      <c r="BJ42" s="129" t="str">
        <f t="shared" si="26"/>
        <v>Fiche infoA2</v>
      </c>
      <c r="BK42" s="129">
        <f t="shared" si="49"/>
        <v>26</v>
      </c>
      <c r="BL42" s="129" t="str">
        <f t="shared" si="4"/>
        <v>A</v>
      </c>
      <c r="BM42" s="129">
        <f t="shared" si="50"/>
        <v>2</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46196</v>
      </c>
      <c r="ER42" s="749">
        <f t="shared" si="10"/>
        <v>0</v>
      </c>
      <c r="ES42" s="750">
        <f t="shared" si="11"/>
        <v>0</v>
      </c>
      <c r="ET42" s="749">
        <f t="shared" si="12"/>
        <v>0</v>
      </c>
      <c r="EU42" s="750">
        <f t="shared" si="13"/>
        <v>0</v>
      </c>
      <c r="EV42" s="749" t="str">
        <f t="shared" si="14"/>
        <v/>
      </c>
      <c r="EW42" s="751">
        <f t="shared" si="29"/>
        <v>46196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26</v>
      </c>
      <c r="GA42" s="129">
        <f t="shared" si="39"/>
        <v>2026</v>
      </c>
      <c r="GB42" s="129" t="str">
        <f t="shared" si="40"/>
        <v>262026</v>
      </c>
      <c r="GC42" s="223">
        <f>IF(AND($GD$53=S.CAL!$P$3,$GD$52=FZ42),GE42,IF(BH42="",0,BH42))</f>
        <v>0</v>
      </c>
      <c r="GD42" s="129" t="str">
        <f>IFERROR(+Juillet!$BY$2&amp;BL42&amp;BM42,0)</f>
        <v>Fiche infoA2</v>
      </c>
      <c r="GE42" s="129" t="str">
        <f t="shared" si="19"/>
        <v/>
      </c>
      <c r="GF42" s="223" t="str">
        <f t="shared" si="41"/>
        <v/>
      </c>
      <c r="GG42" s="1446" t="str">
        <f>+'Retenue Juin'!D40</f>
        <v/>
      </c>
      <c r="GH42" s="1446">
        <f>IF(Identification!$B$132="Non",+'Retenue Juin'!BF40,+'Retenue Juin'!BE40)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 ca="1">+IF(AND(T35&gt;0,T35&gt;EG6),(T35-EG6)*INDEX(table_base_coef_patronale,MATCH(A43,Taux_cotisations!$A$110:$A$136,0),MATCH($X$3,Taux_cotisations!$A$110:$M$110,0)),0)</f>
        <v>0</v>
      </c>
      <c r="S43" s="2351"/>
      <c r="T43" s="2351"/>
      <c r="U43" s="2352">
        <f ca="1">IF(R43=0,0,INDEX(table_taux_patronales,MATCH(A43,Taux_cotisations!$A$39:$A$65,0),MATCH($X$3,Taux_cotisations!$A$39:$M$39,0)))</f>
        <v>0</v>
      </c>
      <c r="V43" s="2352"/>
      <c r="W43" s="2352"/>
      <c r="X43" s="2347">
        <f ca="1">ROUND(U43*R43,2)</f>
        <v>0</v>
      </c>
      <c r="Y43" s="2347"/>
      <c r="Z43" s="2347"/>
      <c r="AA43" s="885" t="str">
        <f>IF(AND(BE43="OUI",$AR$13=S.CAL!$CU$2),"►",IF(AND(EV43="OUI",$AR$13=S.CAL!$CU$3),"►",""))</f>
        <v/>
      </c>
      <c r="AB43" s="1760">
        <f>+$X$3+23</f>
        <v>46197</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46197</v>
      </c>
      <c r="AX43" s="1761"/>
      <c r="AY43" s="314"/>
      <c r="AZ43" s="1104"/>
      <c r="BA43" s="973"/>
      <c r="BB43" s="543"/>
      <c r="BC43" s="548">
        <f t="shared" si="23"/>
        <v>0</v>
      </c>
      <c r="BD43" s="1104"/>
      <c r="BE43" s="807">
        <f t="shared" si="24"/>
        <v>0</v>
      </c>
      <c r="BF43" s="1128"/>
      <c r="BG43" s="222"/>
      <c r="BH43" s="548" t="str">
        <f t="shared" si="25"/>
        <v/>
      </c>
      <c r="BI43" s="1128"/>
      <c r="BJ43" s="129" t="str">
        <f t="shared" si="26"/>
        <v>Fiche infoA3</v>
      </c>
      <c r="BK43" s="129">
        <f t="shared" si="49"/>
        <v>26</v>
      </c>
      <c r="BL43" s="129" t="str">
        <f t="shared" si="4"/>
        <v>A</v>
      </c>
      <c r="BM43" s="129">
        <f t="shared" si="50"/>
        <v>3</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46197</v>
      </c>
      <c r="ER43" s="749">
        <f t="shared" si="10"/>
        <v>0</v>
      </c>
      <c r="ES43" s="750">
        <f t="shared" si="11"/>
        <v>0</v>
      </c>
      <c r="ET43" s="749">
        <f t="shared" si="12"/>
        <v>0</v>
      </c>
      <c r="EU43" s="750">
        <f t="shared" si="13"/>
        <v>0</v>
      </c>
      <c r="EV43" s="749" t="str">
        <f t="shared" si="14"/>
        <v/>
      </c>
      <c r="EW43" s="751">
        <f t="shared" si="29"/>
        <v>46197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26</v>
      </c>
      <c r="GA43" s="129">
        <f t="shared" si="39"/>
        <v>2026</v>
      </c>
      <c r="GB43" s="129" t="str">
        <f t="shared" si="40"/>
        <v>262026</v>
      </c>
      <c r="GC43" s="223">
        <f>IF(AND($GD$53=S.CAL!$P$3,$GD$52=FZ43),GE43,IF(BH43="",0,BH43))</f>
        <v>0</v>
      </c>
      <c r="GD43" s="129" t="str">
        <f>IFERROR(+Juillet!$BY$2&amp;BL43&amp;BM43,0)</f>
        <v>Fiche infoA3</v>
      </c>
      <c r="GE43" s="129" t="str">
        <f t="shared" si="19"/>
        <v/>
      </c>
      <c r="GF43" s="223" t="str">
        <f t="shared" si="41"/>
        <v/>
      </c>
      <c r="GG43" s="1446" t="str">
        <f>+'Retenue Juin'!D41</f>
        <v/>
      </c>
      <c r="GH43" s="1446">
        <f>IF(Identification!$B$132="Non",+'Retenue Juin'!BF41,+'Retenue Juin'!BE41)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46198</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46198</v>
      </c>
      <c r="AX44" s="1761"/>
      <c r="AY44" s="314"/>
      <c r="AZ44" s="1104"/>
      <c r="BA44" s="973"/>
      <c r="BB44" s="543"/>
      <c r="BC44" s="548">
        <f t="shared" si="23"/>
        <v>0</v>
      </c>
      <c r="BD44" s="1104"/>
      <c r="BE44" s="807">
        <f t="shared" si="24"/>
        <v>0</v>
      </c>
      <c r="BF44" s="1128"/>
      <c r="BG44" s="222"/>
      <c r="BH44" s="548" t="str">
        <f t="shared" si="25"/>
        <v/>
      </c>
      <c r="BI44" s="1128"/>
      <c r="BJ44" s="129" t="str">
        <f t="shared" si="26"/>
        <v>Fiche infoA4</v>
      </c>
      <c r="BK44" s="129">
        <f t="shared" si="49"/>
        <v>26</v>
      </c>
      <c r="BL44" s="129" t="str">
        <f t="shared" si="4"/>
        <v>A</v>
      </c>
      <c r="BM44" s="129">
        <f t="shared" si="50"/>
        <v>4</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+IF(CC45="",Mai!CC44,CC45)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46198</v>
      </c>
      <c r="ER44" s="749">
        <f t="shared" si="10"/>
        <v>0</v>
      </c>
      <c r="ES44" s="750">
        <f t="shared" si="11"/>
        <v>0</v>
      </c>
      <c r="ET44" s="749">
        <f t="shared" si="12"/>
        <v>0</v>
      </c>
      <c r="EU44" s="750">
        <f t="shared" si="13"/>
        <v>0</v>
      </c>
      <c r="EV44" s="749" t="str">
        <f t="shared" si="14"/>
        <v/>
      </c>
      <c r="EW44" s="751">
        <f t="shared" si="29"/>
        <v>46198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26</v>
      </c>
      <c r="GA44" s="129">
        <f t="shared" si="39"/>
        <v>2026</v>
      </c>
      <c r="GB44" s="129" t="str">
        <f t="shared" si="40"/>
        <v>262026</v>
      </c>
      <c r="GC44" s="223">
        <f>IF(AND($GD$53=S.CAL!$P$3,$GD$52=FZ44),GE44,IF(BH44="",0,BH44))</f>
        <v>0</v>
      </c>
      <c r="GD44" s="129" t="str">
        <f>IFERROR(+Juillet!$BY$2&amp;BL44&amp;BM44,0)</f>
        <v>Fiche infoA4</v>
      </c>
      <c r="GE44" s="129" t="str">
        <f t="shared" si="19"/>
        <v/>
      </c>
      <c r="GF44" s="223" t="str">
        <f t="shared" si="41"/>
        <v/>
      </c>
      <c r="GG44" s="1446" t="str">
        <f>+'Retenue Juin'!D42</f>
        <v/>
      </c>
      <c r="GH44" s="1446">
        <f>IF(Identification!$B$132="Non",+'Retenue Juin'!BF42,+'Retenue Juin'!BE42)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 ca="1">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 ca="1">ROUND(U45*R45,2)</f>
        <v>0</v>
      </c>
      <c r="Y45" s="2347"/>
      <c r="Z45" s="2347"/>
      <c r="AA45" s="885" t="str">
        <f>IF(AND(BE45="OUI",$AR$13=S.CAL!$CU$2),"►",IF(AND(EV45="OUI",$AR$13=S.CAL!$CU$3),"►",""))</f>
        <v/>
      </c>
      <c r="AB45" s="1760">
        <f>+$X$3+25</f>
        <v>46199</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46199</v>
      </c>
      <c r="AX45" s="1761"/>
      <c r="AY45" s="314"/>
      <c r="AZ45" s="1104"/>
      <c r="BA45" s="973"/>
      <c r="BB45" s="543"/>
      <c r="BC45" s="548">
        <f t="shared" si="23"/>
        <v>0</v>
      </c>
      <c r="BD45" s="1104"/>
      <c r="BE45" s="807">
        <f t="shared" si="24"/>
        <v>0</v>
      </c>
      <c r="BF45" s="1128"/>
      <c r="BG45" s="222"/>
      <c r="BH45" s="548" t="str">
        <f t="shared" si="25"/>
        <v/>
      </c>
      <c r="BI45" s="1128"/>
      <c r="BJ45" s="129" t="str">
        <f t="shared" si="26"/>
        <v>Fiche infoA5</v>
      </c>
      <c r="BK45" s="129">
        <f t="shared" si="49"/>
        <v>26</v>
      </c>
      <c r="BL45" s="129" t="str">
        <f t="shared" si="4"/>
        <v>A</v>
      </c>
      <c r="BM45" s="129">
        <f t="shared" si="50"/>
        <v>5</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46199</v>
      </c>
      <c r="ER45" s="749">
        <f t="shared" si="10"/>
        <v>0</v>
      </c>
      <c r="ES45" s="750">
        <f t="shared" si="11"/>
        <v>0</v>
      </c>
      <c r="ET45" s="749">
        <f t="shared" si="12"/>
        <v>0</v>
      </c>
      <c r="EU45" s="750">
        <f t="shared" si="13"/>
        <v>0</v>
      </c>
      <c r="EV45" s="749" t="str">
        <f t="shared" si="14"/>
        <v/>
      </c>
      <c r="EW45" s="751">
        <f t="shared" si="29"/>
        <v>46199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26</v>
      </c>
      <c r="GA45" s="129">
        <f t="shared" si="39"/>
        <v>2026</v>
      </c>
      <c r="GB45" s="129" t="str">
        <f t="shared" si="40"/>
        <v>262026</v>
      </c>
      <c r="GC45" s="223">
        <f>IF(AND($GD$53=S.CAL!$P$3,$GD$52=FZ45),GE45,IF(BH45="",0,BH45))</f>
        <v>0</v>
      </c>
      <c r="GD45" s="129" t="str">
        <f>IFERROR(+Juillet!$BY$2&amp;BL45&amp;BM45,0)</f>
        <v>Fiche infoA5</v>
      </c>
      <c r="GE45" s="129" t="str">
        <f t="shared" si="19"/>
        <v/>
      </c>
      <c r="GF45" s="223" t="str">
        <f t="shared" si="41"/>
        <v/>
      </c>
      <c r="GG45" s="1446" t="str">
        <f>+'Retenue Juin'!D43</f>
        <v/>
      </c>
      <c r="GH45" s="1446">
        <f>IF(Identification!$B$132="Non",+'Retenue Juin'!BF43,+'Retenue Juin'!BE43)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46200</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46200</v>
      </c>
      <c r="AX46" s="1761"/>
      <c r="AY46" s="314"/>
      <c r="AZ46" s="1104"/>
      <c r="BA46" s="973"/>
      <c r="BB46" s="543"/>
      <c r="BC46" s="548">
        <f t="shared" si="23"/>
        <v>0</v>
      </c>
      <c r="BD46" s="1104"/>
      <c r="BE46" s="807">
        <f t="shared" si="24"/>
        <v>0</v>
      </c>
      <c r="BF46" s="1128"/>
      <c r="BG46" s="222"/>
      <c r="BH46" s="548" t="str">
        <f t="shared" si="25"/>
        <v/>
      </c>
      <c r="BI46" s="1128"/>
      <c r="BJ46" s="129" t="str">
        <f t="shared" si="26"/>
        <v>Fiche infoA6</v>
      </c>
      <c r="BK46" s="129">
        <f t="shared" si="49"/>
        <v>26</v>
      </c>
      <c r="BL46" s="129" t="str">
        <f t="shared" si="4"/>
        <v>A</v>
      </c>
      <c r="BM46" s="129">
        <f t="shared" si="50"/>
        <v>6</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46200</v>
      </c>
      <c r="ER46" s="749">
        <f t="shared" si="10"/>
        <v>0</v>
      </c>
      <c r="ES46" s="750">
        <f t="shared" si="11"/>
        <v>0</v>
      </c>
      <c r="ET46" s="749">
        <f t="shared" si="12"/>
        <v>0</v>
      </c>
      <c r="EU46" s="750">
        <f t="shared" si="13"/>
        <v>0</v>
      </c>
      <c r="EV46" s="749" t="str">
        <f t="shared" si="14"/>
        <v/>
      </c>
      <c r="EW46" s="751">
        <f t="shared" si="29"/>
        <v>46200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26</v>
      </c>
      <c r="GA46" s="129">
        <f t="shared" si="39"/>
        <v>2026</v>
      </c>
      <c r="GB46" s="129" t="str">
        <f t="shared" si="40"/>
        <v>262026</v>
      </c>
      <c r="GC46" s="223">
        <f>IF(AND($GD$53=S.CAL!$P$3,$GD$52=FZ46),GE46,IF(BH46="",0,BH46))</f>
        <v>0</v>
      </c>
      <c r="GD46" s="129" t="str">
        <f>IFERROR(+Juillet!$BY$2&amp;BL46&amp;BM46,0)</f>
        <v>Fiche infoA6</v>
      </c>
      <c r="GE46" s="129" t="str">
        <f t="shared" si="19"/>
        <v/>
      </c>
      <c r="GF46" s="223" t="str">
        <f t="shared" si="41"/>
        <v/>
      </c>
      <c r="GG46" s="1446" t="str">
        <f>+'Retenue Juin'!D44</f>
        <v/>
      </c>
      <c r="GH46" s="1446">
        <f>IF(Identification!$B$132="Non",+'Retenue Juin'!BF44,+'Retenue Juin'!BE44)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46201</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46201</v>
      </c>
      <c r="AX47" s="1761"/>
      <c r="AY47" s="314"/>
      <c r="AZ47" s="1104"/>
      <c r="BA47" s="973"/>
      <c r="BB47" s="543"/>
      <c r="BC47" s="548">
        <f t="shared" si="23"/>
        <v>0</v>
      </c>
      <c r="BD47" s="1104"/>
      <c r="BE47" s="807">
        <f t="shared" si="24"/>
        <v>0</v>
      </c>
      <c r="BF47" s="1128"/>
      <c r="BG47" s="222"/>
      <c r="BH47" s="548" t="str">
        <f t="shared" si="25"/>
        <v/>
      </c>
      <c r="BI47" s="1128"/>
      <c r="BJ47" s="129" t="str">
        <f t="shared" si="26"/>
        <v>Fiche infoA7</v>
      </c>
      <c r="BK47" s="129">
        <f t="shared" si="49"/>
        <v>26</v>
      </c>
      <c r="BL47" s="129" t="str">
        <f t="shared" si="4"/>
        <v>A</v>
      </c>
      <c r="BM47" s="129">
        <f t="shared" si="50"/>
        <v>7</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IF(CF47="",Mai!CE47,CF47)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46201</v>
      </c>
      <c r="ER47" s="749">
        <f t="shared" si="10"/>
        <v>0</v>
      </c>
      <c r="ES47" s="750">
        <f t="shared" si="11"/>
        <v>0</v>
      </c>
      <c r="ET47" s="749">
        <f t="shared" si="12"/>
        <v>0</v>
      </c>
      <c r="EU47" s="750">
        <f t="shared" si="13"/>
        <v>0</v>
      </c>
      <c r="EV47" s="749" t="str">
        <f t="shared" si="14"/>
        <v/>
      </c>
      <c r="EW47" s="751">
        <f t="shared" si="29"/>
        <v>46201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26</v>
      </c>
      <c r="GA47" s="129">
        <f t="shared" si="39"/>
        <v>2026</v>
      </c>
      <c r="GB47" s="129" t="str">
        <f t="shared" si="40"/>
        <v>262026</v>
      </c>
      <c r="GC47" s="223">
        <f>IF(AND($GD$53=S.CAL!$P$3,$GD$52=FZ47),GE47,IF(BH47="",0,BH47))</f>
        <v>0</v>
      </c>
      <c r="GD47" s="129" t="str">
        <f>IFERROR(+Juillet!$BY$2&amp;BL47&amp;BM47,0)</f>
        <v>Fiche infoA7</v>
      </c>
      <c r="GE47" s="129" t="str">
        <f t="shared" si="19"/>
        <v/>
      </c>
      <c r="GF47" s="223" t="str">
        <f t="shared" si="41"/>
        <v/>
      </c>
      <c r="GG47" s="1446" t="str">
        <f>+'Retenue Juin'!D45</f>
        <v/>
      </c>
      <c r="GH47" s="1446">
        <f>IF(Identification!$B$132="Non",+'Retenue Juin'!BF45,+'Retenue Juin'!BE45)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 ca="1">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 ca="1">ROUND(K48*H48,4)</f>
        <v>0</v>
      </c>
      <c r="O48" s="1869"/>
      <c r="P48" s="1869"/>
      <c r="Q48" s="221"/>
      <c r="R48" s="2351">
        <f ca="1">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 ca="1">ROUND(U48*R48,2)</f>
        <v>0</v>
      </c>
      <c r="Y48" s="2347"/>
      <c r="Z48" s="2347"/>
      <c r="AA48" s="885" t="str">
        <f>IF(AND(BE48="OUI",$AR$13=S.CAL!$CU$2),"►",IF(AND(EV48="OUI",$AR$13=S.CAL!$CU$3),"►",""))</f>
        <v/>
      </c>
      <c r="AB48" s="1760">
        <f>IF(AB20+28&lt;DATE(YEAR(AB20),MONTH(AB20)+1,DAY(AB20)),AB20+28,"")</f>
        <v>46202</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f t="shared" si="48"/>
        <v>27</v>
      </c>
      <c r="AQ48" s="322"/>
      <c r="AR48" s="1104"/>
      <c r="AS48" s="314">
        <f t="shared" si="3"/>
        <v>0</v>
      </c>
      <c r="AT48" s="1125"/>
      <c r="AU48" s="1125"/>
      <c r="AV48" s="314"/>
      <c r="AW48" s="1791">
        <f t="shared" si="22"/>
        <v>46202</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infoA1</v>
      </c>
      <c r="BK48" s="129">
        <f t="shared" si="49"/>
        <v>27</v>
      </c>
      <c r="BL48" s="129" t="str">
        <f t="shared" si="4"/>
        <v>A</v>
      </c>
      <c r="BM48" s="129">
        <f>IFERROR(WEEKDAY(AB48,2),0)</f>
        <v>1</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46202</v>
      </c>
      <c r="ER48" s="749">
        <f t="shared" si="10"/>
        <v>0</v>
      </c>
      <c r="ES48" s="750">
        <f t="shared" si="11"/>
        <v>0</v>
      </c>
      <c r="ET48" s="749">
        <f t="shared" si="12"/>
        <v>0</v>
      </c>
      <c r="EU48" s="750">
        <f t="shared" si="13"/>
        <v>0</v>
      </c>
      <c r="EV48" s="749" t="str">
        <f t="shared" si="14"/>
        <v/>
      </c>
      <c r="EW48" s="751">
        <f t="shared" si="29"/>
        <v>46202</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27</v>
      </c>
      <c r="GA48" s="129">
        <f t="shared" si="39"/>
        <v>2026</v>
      </c>
      <c r="GB48" s="129" t="str">
        <f t="shared" si="40"/>
        <v>272026</v>
      </c>
      <c r="GC48" s="223">
        <f>IF(AND($GD$53=S.CAL!$P$3,$GD$52=FZ48),GE48,IF(BH48="",0,BH48))</f>
        <v>0</v>
      </c>
      <c r="GD48" s="129" t="str">
        <f>IFERROR(+Juillet!$BY$2&amp;BL48&amp;BM48,0)</f>
        <v>Fiche infoA1</v>
      </c>
      <c r="GE48" s="129" t="str">
        <f t="shared" si="19"/>
        <v/>
      </c>
      <c r="GF48" s="223" t="str">
        <f t="shared" si="41"/>
        <v/>
      </c>
      <c r="GG48" s="1446" t="str">
        <f>+'Retenue Juin'!D46</f>
        <v/>
      </c>
      <c r="GH48" s="1446">
        <f>IF(Identification!$B$132="Non",+'Retenue Juin'!BF46,+'Retenue Juin'!BE46)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46203</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46203</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infoA2</v>
      </c>
      <c r="BK49" s="129">
        <f t="shared" si="49"/>
        <v>27</v>
      </c>
      <c r="BL49" s="129" t="str">
        <f t="shared" si="4"/>
        <v>A</v>
      </c>
      <c r="BM49" s="129">
        <f>IFERROR(WEEKDAY(AB49,2),0)</f>
        <v>2</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IF(CF49="",Mai!CE49,CF49)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46203</v>
      </c>
      <c r="ER49" s="749">
        <f t="shared" si="10"/>
        <v>0</v>
      </c>
      <c r="ES49" s="750">
        <f t="shared" si="11"/>
        <v>0</v>
      </c>
      <c r="ET49" s="749">
        <f t="shared" si="12"/>
        <v>0</v>
      </c>
      <c r="EU49" s="750">
        <f t="shared" si="13"/>
        <v>0</v>
      </c>
      <c r="EV49" s="749" t="str">
        <f t="shared" si="14"/>
        <v/>
      </c>
      <c r="EW49" s="751">
        <f t="shared" si="29"/>
        <v>46203</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27</v>
      </c>
      <c r="GA49" s="129">
        <f t="shared" si="39"/>
        <v>2026</v>
      </c>
      <c r="GB49" s="129" t="str">
        <f t="shared" ref="GB49:GB50" si="67">+FZ49&amp;GA49</f>
        <v>272026</v>
      </c>
      <c r="GC49" s="223">
        <f>IF(AND($GD$53=S.CAL!$P$3,$GD$52=FZ49),GE49,IF(BH49="",0,BH49))</f>
        <v>0</v>
      </c>
      <c r="GD49" s="129" t="str">
        <f>IFERROR(+Juillet!$BY$2&amp;BL49&amp;BM49,0)</f>
        <v>Fiche infoA2</v>
      </c>
      <c r="GE49" s="129" t="str">
        <f t="shared" si="19"/>
        <v/>
      </c>
      <c r="GF49" s="223" t="str">
        <f t="shared" ref="GF49:GF50" si="68">IF(FP49=1,GG49,AM49)</f>
        <v/>
      </c>
      <c r="GG49" s="1446" t="str">
        <f>+'Retenue Juin'!D47</f>
        <v/>
      </c>
      <c r="GH49" s="1446">
        <f>IF(Identification!$B$132="Non",+'Retenue Juin'!BF47,+'Retenue Juin'!BE47)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 ca="1">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ca="1" si="69">ROUND(U50*R50,2)</f>
        <v>0</v>
      </c>
      <c r="Y50" s="2347"/>
      <c r="Z50" s="2347"/>
      <c r="AA50" s="885" t="str">
        <f>IF(AND(BE50="OUI",$AR$13=S.CAL!$CU$2),"►",IF(AND(EV50="OUI",$AR$13=S.CAL!$CU$3),"►",""))</f>
        <v/>
      </c>
      <c r="AB50" s="1760" t="str">
        <f>IF(AB20+30&lt;DATE(YEAR(AB20),MONTH(AB20)+1,DAY(AB20)),AB20+30,"")</f>
        <v/>
      </c>
      <c r="AC50" s="1761"/>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t="str">
        <f t="shared" si="22"/>
        <v/>
      </c>
      <c r="AX50" s="2027"/>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t="str">
        <f t="shared" si="38"/>
        <v/>
      </c>
      <c r="GA50" s="129">
        <f t="shared" si="39"/>
        <v>2026</v>
      </c>
      <c r="GB50" s="129" t="str">
        <f t="shared" si="67"/>
        <v>2026</v>
      </c>
      <c r="GC50" s="223">
        <f>IF(AND($GD$53=S.CAL!$P$3,$GD$52=FZ50),GE50,IF(BH50="",0,BH50))</f>
        <v>0</v>
      </c>
      <c r="GD50" s="129" t="str">
        <f>IFERROR(+Juillet!$BY$2&amp;BL50&amp;BM50,0)</f>
        <v>Fiche infoA0</v>
      </c>
      <c r="GE50" s="129" t="str">
        <f t="shared" si="19"/>
        <v/>
      </c>
      <c r="GF50" s="223" t="str">
        <f t="shared" si="68"/>
        <v/>
      </c>
      <c r="GG50" s="1446" t="str">
        <f>+'Retenue Juin'!D48</f>
        <v/>
      </c>
      <c r="GH50" s="1446">
        <f>IF(Identification!$B$132="Non",+'Retenue Juin'!BF48,+'Retenue Juin'!BE48)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 ca="1">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ca="1"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27</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IF(CF53="",+Mai!CE53,CF53)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 ca="1">+$T$35*INDEX(table_base_coef_patronale,MATCH(A54,Taux_cotisations!$A$110:$A$136,0),MATCH($X$3,Taux_cotisations!$A$110:$M$110,0))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 ca="1">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IF(CF54="",Mai!CE54,CF54)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IF(CF55&gt;0,CF55,IF(AND(CE53=Mai!CE53,CE54=Mai!CE54),Mai!CE55,IF(OR(CE53&lt;&gt;Mai!CE53,CE54&lt;&gt;Mai!CE54),CE53/CE54)))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 ca="1">+$T$35*INDEX(table_base_coef_patronale,MATCH(A56,Taux_cotisations!$A$110:$A$136,0),MATCH($X$3,Taux_cotisations!$A$110:$M$110,0))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ca="1" si="72">ROUND(U56*R56,2)</f>
        <v>0</v>
      </c>
      <c r="Y56" s="2347"/>
      <c r="Z56" s="2347"/>
      <c r="AA56" s="229"/>
      <c r="AB56" s="1776" t="s">
        <v>1208</v>
      </c>
      <c r="AC56" s="1776"/>
      <c r="AD56" s="1776"/>
      <c r="AE56" s="1776"/>
      <c r="AF56" s="1776"/>
      <c r="AG56" s="1776"/>
      <c r="AH56" s="1776"/>
      <c r="AI56" s="1776"/>
      <c r="AJ56" s="1776"/>
      <c r="AK56" s="1776"/>
      <c r="AL56" s="1776"/>
      <c r="AM56" s="1924">
        <f>'Retenue Juin'!E52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+IF(BY57="",Mai!BY56,BY57)</f>
        <v>24</v>
      </c>
      <c r="BZ56" s="611" t="s">
        <v>1049</v>
      </c>
      <c r="CA56" s="614">
        <f>+IF(CA57="",Mai!CA56,CA57)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 ca="1">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ca="1" si="72"/>
        <v>0</v>
      </c>
      <c r="Y57" s="2347"/>
      <c r="Z57" s="2347"/>
      <c r="AA57" s="229"/>
      <c r="AB57" s="1776" t="s">
        <v>1209</v>
      </c>
      <c r="AC57" s="1776"/>
      <c r="AD57" s="1776"/>
      <c r="AE57" s="1776"/>
      <c r="AF57" s="1776"/>
      <c r="AG57" s="1776"/>
      <c r="AH57" s="1776"/>
      <c r="AI57" s="1776"/>
      <c r="AJ57" s="1776"/>
      <c r="AK57" s="1776"/>
      <c r="AL57" s="1776"/>
      <c r="AM57" s="2051">
        <f ca="1">+EG1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IF(CF57="",+Mai!CE57,CF57)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IF(CF58="",Mai!CE58,CF58)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+IF(CA61="",Mai!CA60,CA61)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 ca="1">ROUND(SUM(N40:P59),2)</f>
        <v>0</v>
      </c>
      <c r="O61" s="1905"/>
      <c r="P61" s="1906"/>
      <c r="Q61" s="233"/>
      <c r="R61" s="1844" t="s">
        <v>126</v>
      </c>
      <c r="S61" s="1845"/>
      <c r="T61" s="1845"/>
      <c r="U61" s="1845"/>
      <c r="V61" s="1845"/>
      <c r="W61" s="1846"/>
      <c r="X61" s="1911">
        <f ca="1">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 ca="1">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+IF(BA65="",Mai!K67,BA65)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+IF(BA68="",Mai!K68,BA68)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 ca="1">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 ca="1">+(T35*3.15%)-((H57+H58)*1.7%)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 ca="1">+ROUND((T18+T23+T24+T25+T29+HO16+T30+T31+T32+T33+T34)-(N61-(N57+N58)),2)</f>
        <v>0</v>
      </c>
      <c r="F74" s="1774"/>
      <c r="G74" s="1931"/>
      <c r="H74" s="2286">
        <f ca="1">E74+Mai!H74</f>
        <v>0</v>
      </c>
      <c r="I74" s="2287"/>
      <c r="J74" s="2287"/>
      <c r="K74" s="2288"/>
      <c r="L74" s="1840" t="s">
        <v>1572</v>
      </c>
      <c r="M74" s="1840"/>
      <c r="N74" s="1840"/>
      <c r="O74" s="1840"/>
      <c r="P74" s="1840"/>
      <c r="Q74" s="1841">
        <f ca="1">+N62+N71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E75+Mai!H75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Juin'!EH51=0,"",'Retenue Juin'!EH51),AX76)</f>
        <v/>
      </c>
      <c r="AZ75" s="1772"/>
      <c r="BA75" s="918" t="str">
        <f>+IF(BA76="",IF('Retenue Juin'!EF51=0,"",'Retenue Juin'!EF51),BA76)</f>
        <v/>
      </c>
      <c r="BB75" s="919"/>
      <c r="BC75" s="920" t="str">
        <f>IF(BC76="",IF(+'Retenue Juin'!EG51=0,"",'Retenue Juin'!EG51),BC76)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Juin'!E50&amp;" hrs / "&amp;'Retenue Juin'!D50&amp;"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 ca="1">+Q78*-1</f>
        <v>0</v>
      </c>
      <c r="F76" s="1774"/>
      <c r="G76" s="1931"/>
      <c r="H76" s="1859">
        <f ca="1">E76+Mai!H76</f>
        <v>0</v>
      </c>
      <c r="I76" s="1774"/>
      <c r="J76" s="1774"/>
      <c r="K76" s="1860"/>
      <c r="L76" s="1840" t="s">
        <v>65</v>
      </c>
      <c r="M76" s="1840"/>
      <c r="N76" s="1840"/>
      <c r="O76" s="1840"/>
      <c r="P76" s="1890"/>
      <c r="Q76" s="1841">
        <f ca="1">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+E77+Mai!H77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 ca="1">+IFERROR(IF(BY6="non",DK36,E74),0)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 ca="1">MROUND(+CC80+CC81,0.5)</f>
        <v>0</v>
      </c>
      <c r="CA77" s="643" t="s">
        <v>1079</v>
      </c>
    </row>
    <row r="78" spans="1:83" ht="15" customHeight="1" x14ac:dyDescent="0.2">
      <c r="H78" s="1010"/>
      <c r="I78" s="1010"/>
      <c r="J78" s="1010"/>
      <c r="K78" s="232"/>
      <c r="L78" s="1827" t="s">
        <v>68</v>
      </c>
      <c r="M78" s="1827"/>
      <c r="N78" s="1827"/>
      <c r="O78" s="1827"/>
      <c r="P78" s="2323"/>
      <c r="Q78" s="1841">
        <f ca="1">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+IF(AR78="",Mai!AL78,AR78)</f>
        <v>0</v>
      </c>
      <c r="AM78" s="2299"/>
      <c r="AN78" s="2299"/>
      <c r="AO78" s="2299"/>
      <c r="AQ78" s="420" t="s">
        <v>750</v>
      </c>
      <c r="AR78" s="2344"/>
      <c r="AS78" s="2344"/>
      <c r="AT78" s="2058" t="str">
        <f>IFERROR(VLOOKUP(AY78,'Liste des Libellés'!$A$4:$F$32,6,FALSE),"")</f>
        <v/>
      </c>
      <c r="AU78" s="2058"/>
      <c r="AV78" s="2058"/>
      <c r="AW78" s="2058"/>
      <c r="AX78" s="917"/>
      <c r="AY78" s="1772" t="str">
        <f>+IF(AX79="",IF('Retenue Juin'!EH53=0,"",'Retenue Juin'!EH53),AX79)</f>
        <v/>
      </c>
      <c r="AZ78" s="1772"/>
      <c r="BA78" s="918" t="str">
        <f>+IF(BA79="",IF('Retenue Juin'!EF53=0,"",'Retenue Juin'!EF53),BA79)</f>
        <v/>
      </c>
      <c r="BB78" s="919"/>
      <c r="BC78" s="920" t="str">
        <f>IF(BC79="",IF(+'Retenue Juin'!EG53=0,"",'Retenue Juin'!EG53),BC79)</f>
        <v/>
      </c>
      <c r="BD78" s="952"/>
      <c r="BE78" s="129"/>
      <c r="BF78" s="129"/>
      <c r="BG78" s="129"/>
      <c r="BH78" s="129"/>
      <c r="BI78" s="129"/>
      <c r="CA78" s="649"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84" t="s">
        <v>141</v>
      </c>
      <c r="B80" s="1984"/>
      <c r="C80" s="1984"/>
      <c r="D80" s="1984"/>
      <c r="E80" s="2366"/>
      <c r="F80" s="2324" t="str">
        <f>+Mai!F80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84" t="s">
        <v>142</v>
      </c>
      <c r="B81" s="1984"/>
      <c r="C81" s="1984"/>
      <c r="D81" s="1984"/>
      <c r="E81" s="2366"/>
      <c r="F81" s="1933">
        <f ca="1">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Juin'!EH55=0,"",'Retenue Juin'!EH55),AX82)</f>
        <v/>
      </c>
      <c r="AZ81" s="1772"/>
      <c r="BA81" s="918" t="str">
        <f>+IF(BA82="",IF('Retenue Juin'!EF55=0,"",'Retenue Juin'!EF55),BA82)</f>
        <v/>
      </c>
      <c r="BB81" s="919"/>
      <c r="BC81" s="920" t="str">
        <f>IF(BC82="",IF(+'Retenue Juin'!EG55=0,"",'Retenue Juin'!EG55),BC82)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 ca="1">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MROUND(+IF(DP8=52,EF16,EG16),0.05)</f>
        <v>0</v>
      </c>
      <c r="AI83" s="2070"/>
      <c r="AJ83" s="2070"/>
      <c r="AK83" s="2071"/>
      <c r="AL83" s="2413"/>
      <c r="AM83" s="2414"/>
      <c r="AN83" s="2414"/>
      <c r="AO83" s="2415"/>
      <c r="AP83" s="237"/>
      <c r="AQ83" s="323"/>
      <c r="AR83" s="237"/>
      <c r="AU83" s="129"/>
      <c r="AV83" s="129"/>
      <c r="AW83" s="129"/>
      <c r="AX83" s="913"/>
      <c r="AY83" s="913"/>
      <c r="AZ83" s="913"/>
      <c r="BA83" s="913"/>
      <c r="BB83" s="913"/>
      <c r="BC83" s="913"/>
      <c r="BD83" s="913"/>
      <c r="BE83" s="129"/>
      <c r="BF83" s="129"/>
      <c r="BG83" s="129"/>
      <c r="BH83" s="129"/>
      <c r="BI83" s="129"/>
      <c r="BJ83" s="271"/>
      <c r="BK83" s="272"/>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S84" s="402" t="s">
        <v>492</v>
      </c>
      <c r="AT84" s="2057" t="str">
        <f>IFERROR(VLOOKUP(AY84,'Liste des Libellés'!$A$4:$F$32,6,FALSE),"")</f>
        <v/>
      </c>
      <c r="AU84" s="2058"/>
      <c r="AV84" s="2058"/>
      <c r="AW84" s="2058"/>
      <c r="AX84" s="917"/>
      <c r="AY84" s="1772" t="str">
        <f>+IF(AX85="",IF('Retenue Juin'!EH57=0,"",'Retenue Juin'!EH57),AX85)</f>
        <v/>
      </c>
      <c r="AZ84" s="1772"/>
      <c r="BA84" s="918" t="str">
        <f>+IF(BA85="",IF('Retenue Juin'!EF57=0,"",'Retenue Juin'!EF57),BA85)</f>
        <v/>
      </c>
      <c r="BB84" s="919"/>
      <c r="BC84" s="920" t="str">
        <f>IF(BC85="",IF(+'Retenue Juin'!EG57=0,"",'Retenue Juin'!EG57),BC85)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 ca="1">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402"/>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Mai!F86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+IF(AR86="",IF(DP8=52,'CP Année Complète au 31-05'!F25,'CP Année Incomplète au 31-05'!F27),IF(DP8=52,'CP Année Complète au 31-05'!F25+AR86,'CP Année Incomplète au 31-05'!F27+AR86))</f>
        <v>0</v>
      </c>
      <c r="AI86" s="1734"/>
      <c r="AJ86" s="1734"/>
      <c r="AK86" s="1735"/>
      <c r="AL86" s="1733">
        <f>IF(AS86="",IF(DP8=52,EI29,+EI25),IF(DP8=52,EI29+AS86,+EI25+AS86))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 ca="1">+IF(Identification!B125="Net",IF(OR(BZ118="Scénario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46203</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IF(DP8=52,'CP Année Complète au 31-05'!F28,'CP Année Incomplète au 31-05'!F31)</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+Mai!AL89+Mai!AL90</f>
        <v>0</v>
      </c>
      <c r="AI89" s="1734"/>
      <c r="AJ89" s="1734"/>
      <c r="AK89" s="1735"/>
      <c r="AL89" s="1733"/>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IFERROR(IF(DP8=52,+'CP Année Complète au 31-05'!D57,0),0)</f>
        <v>0</v>
      </c>
      <c r="H99" s="2411"/>
      <c r="I99" s="241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IFERROR(IF(DP8=52,+'CP Année Complète au 31-05'!F33,0),0)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232026</v>
      </c>
      <c r="BA107" s="1450">
        <f>+$AT$4</f>
        <v>23</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242026</v>
      </c>
      <c r="BA108" s="1455">
        <f>+$AT$5</f>
        <v>24</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252026</v>
      </c>
      <c r="BA109" s="1455">
        <f>+$AT$6</f>
        <v>25</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262026</v>
      </c>
      <c r="BA110" s="1455">
        <f>+$AT$7</f>
        <v>26</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272026</v>
      </c>
      <c r="BA111" s="1455">
        <f>+$AT$8</f>
        <v>27</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232026</v>
      </c>
      <c r="BA142" s="1450">
        <f>+$AT$4</f>
        <v>23</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242026</v>
      </c>
      <c r="BA143" s="1455">
        <f>+$AT$5</f>
        <v>24</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252026</v>
      </c>
      <c r="BA144" s="1455">
        <f>+$AT$6</f>
        <v>25</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262026</v>
      </c>
      <c r="BA145" s="1455">
        <f>+$AT$7</f>
        <v>26</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272026</v>
      </c>
      <c r="BA146" s="1455">
        <f>+$AT$8</f>
        <v>27</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Yx7ak6KlRFuVpLOzplIcJb5LXi9po76V5hcCJYD3Dp5M2NCen9yyPSJDeZt0LiGkvbBIuq0dBGGvjC/ujUBNdw==" saltValue="VA7VqMuD6p5sBejQgr8xoA=="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922" priority="16">
      <formula>$U$14=0</formula>
    </cfRule>
  </conditionalFormatting>
  <conditionalFormatting sqref="B26:K26">
    <cfRule type="expression" dxfId="921" priority="26">
      <formula>$U$14=0</formula>
    </cfRule>
  </conditionalFormatting>
  <conditionalFormatting sqref="B29:K29">
    <cfRule type="cellIs" dxfId="920" priority="13" operator="greaterThan">
      <formula>0</formula>
    </cfRule>
  </conditionalFormatting>
  <conditionalFormatting sqref="C70:G70">
    <cfRule type="cellIs" dxfId="919" priority="7" operator="greaterThan">
      <formula>0</formula>
    </cfRule>
  </conditionalFormatting>
  <conditionalFormatting sqref="F87:I87">
    <cfRule type="cellIs" dxfId="918" priority="2" operator="greaterThan">
      <formula>0</formula>
    </cfRule>
  </conditionalFormatting>
  <conditionalFormatting sqref="F86:L86">
    <cfRule type="cellIs" dxfId="917" priority="3" operator="greaterThan">
      <formula>0</formula>
    </cfRule>
  </conditionalFormatting>
  <conditionalFormatting sqref="H65:J65">
    <cfRule type="expression" dxfId="916" priority="38">
      <formula>AND($AX$60="Oui",$AZ$62="")</formula>
    </cfRule>
    <cfRule type="expression" dxfId="915" priority="40">
      <formula>AND($AX$60="Oui",$AZ$62="hrs")</formula>
    </cfRule>
  </conditionalFormatting>
  <conditionalFormatting sqref="H66:J66">
    <cfRule type="expression" dxfId="914" priority="34">
      <formula>AND($AX$61="Oui",$AZ$63="")</formula>
    </cfRule>
    <cfRule type="expression" dxfId="913" priority="35">
      <formula>AND($AX$61="Oui",$AZ$63="jrs")</formula>
    </cfRule>
    <cfRule type="expression" dxfId="912" priority="36">
      <formula>AND($BW$41="Non",$AX$61="Non")</formula>
    </cfRule>
    <cfRule type="expression" dxfId="911" priority="37">
      <formula>AND($BW$41="Oui",$AX$61="Non")</formula>
    </cfRule>
  </conditionalFormatting>
  <conditionalFormatting sqref="H70:J71">
    <cfRule type="cellIs" dxfId="910" priority="6" operator="greaterThan">
      <formula>0</formula>
    </cfRule>
  </conditionalFormatting>
  <conditionalFormatting sqref="H65:K66">
    <cfRule type="cellIs" dxfId="909" priority="33" operator="equal">
      <formula>0</formula>
    </cfRule>
  </conditionalFormatting>
  <conditionalFormatting sqref="H67:M68">
    <cfRule type="cellIs" dxfId="908" priority="54" operator="equal">
      <formula>0</formula>
    </cfRule>
  </conditionalFormatting>
  <conditionalFormatting sqref="H69:M69">
    <cfRule type="cellIs" dxfId="907" priority="8" operator="greaterThan">
      <formula>0</formula>
    </cfRule>
  </conditionalFormatting>
  <conditionalFormatting sqref="H40:Z60">
    <cfRule type="cellIs" dxfId="906" priority="32" operator="equal">
      <formula>0</formula>
    </cfRule>
  </conditionalFormatting>
  <conditionalFormatting sqref="K81:K82 L82:T83 K88:T88 K89:Q90">
    <cfRule type="expression" dxfId="905" priority="514">
      <formula>$EO$6="OUI"</formula>
    </cfRule>
  </conditionalFormatting>
  <conditionalFormatting sqref="K87">
    <cfRule type="expression" dxfId="904" priority="4">
      <formula>$EO$6="OUI"</formula>
    </cfRule>
  </conditionalFormatting>
  <conditionalFormatting sqref="L18:O19">
    <cfRule type="cellIs" dxfId="903" priority="20" operator="equal">
      <formula>0</formula>
    </cfRule>
  </conditionalFormatting>
  <conditionalFormatting sqref="L21:O22">
    <cfRule type="cellIs" dxfId="902" priority="31" operator="equal">
      <formula>0</formula>
    </cfRule>
  </conditionalFormatting>
  <conditionalFormatting sqref="L27:O28">
    <cfRule type="cellIs" dxfId="901" priority="14" operator="greaterThan">
      <formula>0</formula>
    </cfRule>
  </conditionalFormatting>
  <conditionalFormatting sqref="L30:O32">
    <cfRule type="cellIs" dxfId="900" priority="12" operator="greaterThan">
      <formula>0</formula>
    </cfRule>
  </conditionalFormatting>
  <conditionalFormatting sqref="L34:O34">
    <cfRule type="cellIs" dxfId="899" priority="10" operator="greaterThan">
      <formula>0</formula>
    </cfRule>
  </conditionalFormatting>
  <conditionalFormatting sqref="L23:S24">
    <cfRule type="cellIs" dxfId="898" priority="15" operator="greaterThan">
      <formula>0</formula>
    </cfRule>
  </conditionalFormatting>
  <conditionalFormatting sqref="L25:S26">
    <cfRule type="containsErrors" dxfId="897" priority="24">
      <formula>ISERROR(L25)</formula>
    </cfRule>
    <cfRule type="cellIs" dxfId="896" priority="25" operator="equal">
      <formula>0</formula>
    </cfRule>
  </conditionalFormatting>
  <conditionalFormatting sqref="M87:T87">
    <cfRule type="expression" dxfId="895" priority="511">
      <formula>$EO$6="OUI"</formula>
    </cfRule>
  </conditionalFormatting>
  <conditionalFormatting sqref="N65:P71">
    <cfRule type="cellIs" dxfId="894" priority="60" operator="equal">
      <formula>0</formula>
    </cfRule>
  </conditionalFormatting>
  <conditionalFormatting sqref="O86">
    <cfRule type="expression" dxfId="893" priority="515">
      <formula>EO6="OUI"</formula>
    </cfRule>
  </conditionalFormatting>
  <conditionalFormatting sqref="O14:T14">
    <cfRule type="expression" dxfId="892" priority="210">
      <formula>$U$14=0</formula>
    </cfRule>
  </conditionalFormatting>
  <conditionalFormatting sqref="P20">
    <cfRule type="expression" dxfId="891" priority="17">
      <formula>$DP$14=1</formula>
    </cfRule>
  </conditionalFormatting>
  <conditionalFormatting sqref="P18:S18">
    <cfRule type="expression" dxfId="890" priority="21">
      <formula>$L$18=0</formula>
    </cfRule>
  </conditionalFormatting>
  <conditionalFormatting sqref="P19:S19">
    <cfRule type="expression" dxfId="889" priority="19">
      <formula>$L$19=0</formula>
    </cfRule>
  </conditionalFormatting>
  <conditionalFormatting sqref="P21:S21">
    <cfRule type="expression" dxfId="888" priority="30">
      <formula>$L$21=0</formula>
    </cfRule>
  </conditionalFormatting>
  <conditionalFormatting sqref="P22:S22">
    <cfRule type="expression" dxfId="887" priority="29">
      <formula>$L$22=0</formula>
    </cfRule>
  </conditionalFormatting>
  <conditionalFormatting sqref="R87:T87">
    <cfRule type="expression" dxfId="886" priority="510">
      <formula>$EO$7="OUI"</formula>
    </cfRule>
  </conditionalFormatting>
  <conditionalFormatting sqref="R89:T89">
    <cfRule type="expression" dxfId="885" priority="505">
      <formula>$EO$8="OUI"</formula>
    </cfRule>
    <cfRule type="expression" dxfId="884" priority="506">
      <formula>$EO$6="OUI"</formula>
    </cfRule>
  </conditionalFormatting>
  <conditionalFormatting sqref="R90:T90">
    <cfRule type="expression" dxfId="883" priority="513">
      <formula>$EO$6="OUI"</formula>
    </cfRule>
    <cfRule type="expression" dxfId="882" priority="512">
      <formula>$EO$7="OUI"</formula>
    </cfRule>
  </conditionalFormatting>
  <conditionalFormatting sqref="T20">
    <cfRule type="expression" dxfId="881" priority="18">
      <formula>$DP$14=1</formula>
    </cfRule>
  </conditionalFormatting>
  <conditionalFormatting sqref="T30:T32">
    <cfRule type="cellIs" dxfId="880" priority="28" operator="equal">
      <formula>0</formula>
    </cfRule>
  </conditionalFormatting>
  <conditionalFormatting sqref="T18:W19">
    <cfRule type="cellIs" dxfId="879" priority="22" operator="equal">
      <formula>0</formula>
    </cfRule>
  </conditionalFormatting>
  <conditionalFormatting sqref="T21:W28">
    <cfRule type="cellIs" dxfId="878" priority="27" operator="equal">
      <formula>0</formula>
    </cfRule>
  </conditionalFormatting>
  <conditionalFormatting sqref="T29:W29">
    <cfRule type="cellIs" dxfId="877" priority="11" operator="greaterThan">
      <formula>0</formula>
    </cfRule>
  </conditionalFormatting>
  <conditionalFormatting sqref="T33:W33">
    <cfRule type="cellIs" dxfId="876" priority="9" operator="greaterThan">
      <formula>0</formula>
    </cfRule>
  </conditionalFormatting>
  <conditionalFormatting sqref="T34:W34">
    <cfRule type="cellIs" dxfId="875" priority="23" operator="equal">
      <formula>0</formula>
    </cfRule>
  </conditionalFormatting>
  <conditionalFormatting sqref="U14:X14">
    <cfRule type="cellIs" dxfId="874" priority="208" operator="equal">
      <formula>0</formula>
    </cfRule>
  </conditionalFormatting>
  <conditionalFormatting sqref="V80:AF81">
    <cfRule type="cellIs" dxfId="873" priority="1" operator="notEqual">
      <formula>"Commentaires :"</formula>
    </cfRule>
  </conditionalFormatting>
  <conditionalFormatting sqref="Y73:AO75">
    <cfRule type="expression" dxfId="872" priority="64">
      <formula>$DP$8=52</formula>
    </cfRule>
  </conditionalFormatting>
  <conditionalFormatting sqref="AB20:AC50">
    <cfRule type="expression" dxfId="871" priority="430">
      <formula>VLOOKUP(AB20,base_feries,1,FALSE)</formula>
    </cfRule>
    <cfRule type="expression" dxfId="870" priority="429">
      <formula>OR(WEEKDAY(AB20,2)=6,WEEKDAY(AB20,2)=7)</formula>
    </cfRule>
    <cfRule type="expression" dxfId="869" priority="428">
      <formula>WEEKDAY(AB20,2)=7</formula>
    </cfRule>
  </conditionalFormatting>
  <conditionalFormatting sqref="AD20:AF50">
    <cfRule type="cellIs" dxfId="868" priority="300" operator="equal">
      <formula>0</formula>
    </cfRule>
    <cfRule type="expression" dxfId="867" priority="299">
      <formula>FC20="oui"</formula>
    </cfRule>
  </conditionalFormatting>
  <conditionalFormatting sqref="AG20:AI50">
    <cfRule type="expression" dxfId="866" priority="301">
      <formula>FC20="oui"</formula>
    </cfRule>
  </conditionalFormatting>
  <conditionalFormatting sqref="AH83:AH84">
    <cfRule type="cellIs" dxfId="865" priority="523" stopIfTrue="1" operator="equal">
      <formula>0</formula>
    </cfRule>
  </conditionalFormatting>
  <conditionalFormatting sqref="AH89:AH91">
    <cfRule type="cellIs" dxfId="864" priority="70" stopIfTrue="1" operator="equal">
      <formula>0</formula>
    </cfRule>
  </conditionalFormatting>
  <conditionalFormatting sqref="AH93:AK93">
    <cfRule type="cellIs" dxfId="863" priority="516" operator="equal">
      <formula>0</formula>
    </cfRule>
  </conditionalFormatting>
  <conditionalFormatting sqref="AH86:AL87">
    <cfRule type="cellIs" dxfId="862" priority="65" stopIfTrue="1" operator="equal">
      <formula>0</formula>
    </cfRule>
  </conditionalFormatting>
  <conditionalFormatting sqref="AH92:AO92">
    <cfRule type="cellIs" dxfId="861" priority="240" operator="lessThan">
      <formula>-0.001</formula>
    </cfRule>
  </conditionalFormatting>
  <conditionalFormatting sqref="AJ20:AL50">
    <cfRule type="expression" dxfId="860" priority="302">
      <formula>FC20="oui"</formula>
    </cfRule>
  </conditionalFormatting>
  <conditionalFormatting sqref="AL89:AL91">
    <cfRule type="cellIs" dxfId="859" priority="69" stopIfTrue="1" operator="equal">
      <formula>0</formula>
    </cfRule>
  </conditionalFormatting>
  <conditionalFormatting sqref="AL93">
    <cfRule type="cellIs" dxfId="858" priority="524" stopIfTrue="1" operator="equal">
      <formula>0</formula>
    </cfRule>
  </conditionalFormatting>
  <conditionalFormatting sqref="AM20:AO50">
    <cfRule type="expression" dxfId="857" priority="303">
      <formula>FC20="oui"</formula>
    </cfRule>
  </conditionalFormatting>
  <conditionalFormatting sqref="AP20:AP50">
    <cfRule type="expression" dxfId="856" priority="147">
      <formula>BL20="F"</formula>
    </cfRule>
    <cfRule type="expression" dxfId="855" priority="146">
      <formula>BL20="G"</formula>
    </cfRule>
    <cfRule type="expression" dxfId="854" priority="145">
      <formula>BL20="H"</formula>
    </cfRule>
    <cfRule type="expression" dxfId="853" priority="151">
      <formula>BL20="B"</formula>
    </cfRule>
    <cfRule type="expression" dxfId="852" priority="150">
      <formula>BL20="C"</formula>
    </cfRule>
    <cfRule type="expression" dxfId="851" priority="149">
      <formula>BL20="D"</formula>
    </cfRule>
    <cfRule type="expression" dxfId="850" priority="148">
      <formula>BL20="E"</formula>
    </cfRule>
  </conditionalFormatting>
  <conditionalFormatting sqref="AQ62:AU62">
    <cfRule type="expression" dxfId="849" priority="46">
      <formula>$AT$60="Non"</formula>
    </cfRule>
  </conditionalFormatting>
  <conditionalFormatting sqref="AQ63:AU63">
    <cfRule type="expression" dxfId="848" priority="43">
      <formula>$AT$61="Non"</formula>
    </cfRule>
  </conditionalFormatting>
  <conditionalFormatting sqref="AR20:AR50">
    <cfRule type="expression" dxfId="847" priority="186">
      <formula>FN20=10</formula>
    </cfRule>
    <cfRule type="expression" dxfId="846" priority="190">
      <formula>AND(AR20&lt;&gt;"",AZ20&lt;&gt;"")</formula>
    </cfRule>
    <cfRule type="expression" dxfId="845" priority="182">
      <formula>FC20="oui"</formula>
    </cfRule>
    <cfRule type="expression" dxfId="844" priority="174">
      <formula>AB20=""</formula>
    </cfRule>
  </conditionalFormatting>
  <conditionalFormatting sqref="AR17:BJ50">
    <cfRule type="expression" dxfId="843" priority="49">
      <formula>$EX$13="oui"</formula>
    </cfRule>
  </conditionalFormatting>
  <conditionalFormatting sqref="AS51:BJ51 DK51">
    <cfRule type="expression" dxfId="842" priority="135">
      <formula>$EX$13="oui"</formula>
    </cfRule>
  </conditionalFormatting>
  <conditionalFormatting sqref="AT4:AT10">
    <cfRule type="expression" dxfId="841" priority="447">
      <formula>AU4="F"</formula>
    </cfRule>
    <cfRule type="expression" dxfId="840" priority="451">
      <formula>AU4="B"</formula>
    </cfRule>
    <cfRule type="expression" dxfId="839" priority="450">
      <formula>AU4="C"</formula>
    </cfRule>
    <cfRule type="expression" dxfId="838" priority="449">
      <formula>AU4="D"</formula>
    </cfRule>
    <cfRule type="expression" dxfId="837" priority="445">
      <formula>AU4="H"</formula>
    </cfRule>
    <cfRule type="expression" dxfId="836" priority="446">
      <formula>AU4="G"</formula>
    </cfRule>
    <cfRule type="expression" dxfId="835" priority="448">
      <formula>AU4="E"</formula>
    </cfRule>
  </conditionalFormatting>
  <conditionalFormatting sqref="AT20:AT50">
    <cfRule type="expression" dxfId="834" priority="181">
      <formula>AB20=""</formula>
    </cfRule>
    <cfRule type="expression" dxfId="833" priority="185">
      <formula>FC20="oui"</formula>
    </cfRule>
  </conditionalFormatting>
  <conditionalFormatting sqref="AU4:AU10">
    <cfRule type="expression" dxfId="832" priority="380">
      <formula>AT4=""</formula>
    </cfRule>
    <cfRule type="expression" dxfId="831" priority="381">
      <formula>FG4="rouge"</formula>
    </cfRule>
  </conditionalFormatting>
  <conditionalFormatting sqref="AU20:AU50">
    <cfRule type="expression" dxfId="830" priority="189">
      <formula>FC20="oui"</formula>
    </cfRule>
    <cfRule type="expression" dxfId="829" priority="180">
      <formula>AB20=""</formula>
    </cfRule>
  </conditionalFormatting>
  <conditionalFormatting sqref="AW20:AX50">
    <cfRule type="expression" dxfId="828" priority="192">
      <formula>WEEKDAY(AW20,2)=7</formula>
    </cfRule>
    <cfRule type="expression" dxfId="827" priority="194">
      <formula>VLOOKUP(AW20,base_feries,1,FALSE)</formula>
    </cfRule>
    <cfRule type="expression" dxfId="826" priority="193">
      <formula>OR(WEEKDAY(AW20,2)=6,WEEKDAY(AW20,2)=7)</formula>
    </cfRule>
  </conditionalFormatting>
  <conditionalFormatting sqref="AX62:AZ62">
    <cfRule type="expression" dxfId="825" priority="45">
      <formula>$AX$60="Non"</formula>
    </cfRule>
  </conditionalFormatting>
  <conditionalFormatting sqref="AX63:AZ63">
    <cfRule type="expression" dxfId="824" priority="42">
      <formula>$AX$61="Non"</formula>
    </cfRule>
  </conditionalFormatting>
  <conditionalFormatting sqref="AZ20:AZ50">
    <cfRule type="expression" dxfId="823" priority="52">
      <formula>FL20=10</formula>
    </cfRule>
    <cfRule type="expression" dxfId="822" priority="51">
      <formula>FC20="oui"</formula>
    </cfRule>
    <cfRule type="expression" dxfId="821" priority="50">
      <formula>AB20=""</formula>
    </cfRule>
    <cfRule type="expression" dxfId="820" priority="53">
      <formula>AND(AR20&lt;&gt;"",AZ20&lt;&gt;"")</formula>
    </cfRule>
  </conditionalFormatting>
  <conditionalFormatting sqref="BA20:BA50">
    <cfRule type="expression" dxfId="819" priority="179">
      <formula>AB20=""</formula>
    </cfRule>
    <cfRule type="expression" dxfId="818" priority="183">
      <formula>FC20="oui"</formula>
    </cfRule>
  </conditionalFormatting>
  <conditionalFormatting sqref="BA62">
    <cfRule type="expression" dxfId="817" priority="44">
      <formula>$BA$60="Non"</formula>
    </cfRule>
  </conditionalFormatting>
  <conditionalFormatting sqref="BA63">
    <cfRule type="expression" dxfId="816" priority="41">
      <formula>$BA$61="Non"</formula>
    </cfRule>
  </conditionalFormatting>
  <conditionalFormatting sqref="BA102 BA103:BH115">
    <cfRule type="expression" dxfId="815" priority="66">
      <formula>$DP$8=52</formula>
    </cfRule>
  </conditionalFormatting>
  <conditionalFormatting sqref="BA137">
    <cfRule type="expression" dxfId="814" priority="95">
      <formula>$DP$8=52</formula>
    </cfRule>
  </conditionalFormatting>
  <conditionalFormatting sqref="BA138:BH149">
    <cfRule type="expression" dxfId="813" priority="67">
      <formula>$DP$8=52</formula>
    </cfRule>
  </conditionalFormatting>
  <conditionalFormatting sqref="BC20:BC55">
    <cfRule type="expression" dxfId="812" priority="176">
      <formula>AJ20=""</formula>
    </cfRule>
    <cfRule type="cellIs" dxfId="811" priority="188" operator="equal">
      <formula>0</formula>
    </cfRule>
  </conditionalFormatting>
  <conditionalFormatting sqref="BC112:BH112">
    <cfRule type="expression" dxfId="810" priority="96">
      <formula>$BA$112=""</formula>
    </cfRule>
  </conditionalFormatting>
  <conditionalFormatting sqref="BC147:BH147">
    <cfRule type="expression" dxfId="809" priority="68">
      <formula>$BA$112=""</formula>
    </cfRule>
  </conditionalFormatting>
  <conditionalFormatting sqref="BD20:BD50">
    <cfRule type="expression" dxfId="808" priority="177">
      <formula>FL20="oui"</formula>
    </cfRule>
  </conditionalFormatting>
  <conditionalFormatting sqref="BE20:BE50">
    <cfRule type="expression" dxfId="807" priority="187">
      <formula>OR(BE20=0,BE20="")</formula>
    </cfRule>
  </conditionalFormatting>
  <conditionalFormatting sqref="BH20:BH50">
    <cfRule type="expression" dxfId="806" priority="136">
      <formula>AO20=""</formula>
    </cfRule>
    <cfRule type="cellIs" dxfId="805" priority="173" operator="equal">
      <formula>0</formula>
    </cfRule>
  </conditionalFormatting>
  <conditionalFormatting sqref="BI9:BI14">
    <cfRule type="cellIs" dxfId="804" priority="102" operator="equal">
      <formula>0</formula>
    </cfRule>
  </conditionalFormatting>
  <conditionalFormatting sqref="BQ54">
    <cfRule type="expression" dxfId="803" priority="425">
      <formula>$BW$41="Non"</formula>
    </cfRule>
  </conditionalFormatting>
  <conditionalFormatting sqref="BQ36:CA36">
    <cfRule type="expression" dxfId="802" priority="426">
      <formula>$BW$41="Oui"</formula>
    </cfRule>
  </conditionalFormatting>
  <conditionalFormatting sqref="BS21:CA34">
    <cfRule type="expression" dxfId="801" priority="82">
      <formula>$EO$12="NON"</formula>
    </cfRule>
  </conditionalFormatting>
  <conditionalFormatting sqref="BY28:BY33">
    <cfRule type="notContainsBlanks" dxfId="800" priority="83">
      <formula>LEN(TRIM(BY28))&gt;0</formula>
    </cfRule>
  </conditionalFormatting>
  <conditionalFormatting sqref="BY56">
    <cfRule type="duplicateValues" dxfId="799" priority="473"/>
    <cfRule type="expression" dxfId="798" priority="472">
      <formula>$BW$41="Oui"</formula>
    </cfRule>
  </conditionalFormatting>
  <conditionalFormatting sqref="BY60">
    <cfRule type="cellIs" dxfId="797" priority="467" operator="lessThan">
      <formula>$BY$59</formula>
    </cfRule>
    <cfRule type="expression" dxfId="796" priority="466">
      <formula>$BW$41="Oui"</formula>
    </cfRule>
    <cfRule type="duplicateValues" dxfId="795" priority="468"/>
  </conditionalFormatting>
  <conditionalFormatting sqref="CA56">
    <cfRule type="expression" dxfId="794" priority="276">
      <formula>AND($CA$56&lt;$CE$47,$BW$41="Non")</formula>
    </cfRule>
  </conditionalFormatting>
  <conditionalFormatting sqref="CB78">
    <cfRule type="cellIs" dxfId="793" priority="561" stopIfTrue="1" operator="equal">
      <formula>"NON"</formula>
    </cfRule>
    <cfRule type="cellIs" dxfId="792" priority="562" stopIfTrue="1" operator="equal">
      <formula>"OUI"</formula>
    </cfRule>
  </conditionalFormatting>
  <conditionalFormatting sqref="CE53:CE54">
    <cfRule type="expression" dxfId="791" priority="154">
      <formula>$BW$41="Non"</formula>
    </cfRule>
  </conditionalFormatting>
  <conditionalFormatting sqref="CE57:CE58">
    <cfRule type="expression" dxfId="790" priority="153">
      <formula>$BW$41="Non"</formula>
    </cfRule>
  </conditionalFormatting>
  <conditionalFormatting sqref="CE3:CF3">
    <cfRule type="expression" dxfId="789" priority="114">
      <formula>AND($CE$3="",$CE$5&lt;&gt;"")</formula>
    </cfRule>
    <cfRule type="expression" dxfId="788" priority="115">
      <formula>$CD$3=""</formula>
    </cfRule>
    <cfRule type="expression" dxfId="787" priority="113">
      <formula>$FX$3="vrai"</formula>
    </cfRule>
  </conditionalFormatting>
  <conditionalFormatting sqref="CE5:CF5">
    <cfRule type="expression" dxfId="786" priority="122">
      <formula>OR(AND(CE5&lt;&gt;0,CE5&lt;AJ4),AND(CE5&lt;&gt;0,CE5&gt;EG5),AND(CE5&lt;&gt;0,CE5&lt;AB20))</formula>
    </cfRule>
    <cfRule type="expression" dxfId="785" priority="121">
      <formula>CD5=""</formula>
    </cfRule>
    <cfRule type="expression" dxfId="784" priority="120">
      <formula>$FX$5="vrai"</formula>
    </cfRule>
  </conditionalFormatting>
  <conditionalFormatting sqref="CE8:CF8">
    <cfRule type="cellIs" dxfId="783" priority="119" operator="greaterThan">
      <formula>$CE$5</formula>
    </cfRule>
    <cfRule type="expression" dxfId="782" priority="116">
      <formula>$FX$8="vrai"</formula>
    </cfRule>
    <cfRule type="expression" dxfId="781" priority="117">
      <formula>CD8=""</formula>
    </cfRule>
    <cfRule type="expression" dxfId="780" priority="118">
      <formula>AND(CE8&lt;&gt;0,CE8&lt;AJ4)</formula>
    </cfRule>
  </conditionalFormatting>
  <conditionalFormatting sqref="CF47">
    <cfRule type="notContainsBlanks" dxfId="779" priority="412">
      <formula>LEN(TRIM(CF47))&gt;0</formula>
    </cfRule>
  </conditionalFormatting>
  <conditionalFormatting sqref="CF49">
    <cfRule type="notContainsBlanks" dxfId="778" priority="411">
      <formula>LEN(TRIM(CF49))&gt;0</formula>
    </cfRule>
  </conditionalFormatting>
  <conditionalFormatting sqref="CF53:CF54">
    <cfRule type="expression" dxfId="776" priority="157">
      <formula>$BW$41="Non"</formula>
    </cfRule>
  </conditionalFormatting>
  <conditionalFormatting sqref="CF57:CF58">
    <cfRule type="expression" dxfId="773" priority="155">
      <formula>$BW$41="Non"</formula>
    </cfRule>
  </conditionalFormatting>
  <conditionalFormatting sqref="CG8:CI8">
    <cfRule type="expression" dxfId="772" priority="249">
      <formula>CD8=""</formula>
    </cfRule>
  </conditionalFormatting>
  <conditionalFormatting sqref="GW16:HR16">
    <cfRule type="expression" dxfId="771" priority="402">
      <formula>$AE$123="NON"</formula>
    </cfRule>
  </conditionalFormatting>
  <conditionalFormatting sqref="HG16:HJ16">
    <cfRule type="expression" dxfId="770" priority="4933">
      <formula>AR123&gt;0</formula>
    </cfRule>
  </conditionalFormatting>
  <conditionalFormatting sqref="HK16:HN16">
    <cfRule type="expression" dxfId="769" priority="4934">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E00-000000000000}">
      <formula1>0</formula1>
      <formula2>0</formula2>
    </dataValidation>
    <dataValidation type="list" allowBlank="1" showInputMessage="1" showErrorMessage="1" sqref="F80:H80" xr:uid="{00000000-0002-0000-1E00-000001000000}">
      <formula1>"Chèque,Espèce,Virement,Pajemploi +,CESU"</formula1>
    </dataValidation>
    <dataValidation type="list" allowBlank="1" showInputMessage="1" showErrorMessage="1" sqref="F82:H82" xr:uid="{00000000-0002-0000-1E00-000002000000}">
      <formula1>"' ,Chèque,Espèce,Virement,Pajemploi +,CESU"</formula1>
    </dataValidation>
    <dataValidation type="list" allowBlank="1" showInputMessage="1" showErrorMessage="1" sqref="AU4:AU10" xr:uid="{00000000-0002-0000-1E00-000003000000}">
      <formula1>"A,B,C,D,E,F,G,H"</formula1>
    </dataValidation>
    <dataValidation showInputMessage="1" showErrorMessage="1" sqref="BY6" xr:uid="{00000000-0002-0000-1E00-000004000000}"/>
    <dataValidation type="list" allowBlank="1" showInputMessage="1" showErrorMessage="1" sqref="L123:M123 L125:M125 AI127:AJ127 AJ125:AK125 CC132 BF20:BF50" xr:uid="{00000000-0002-0000-1E00-000006000000}">
      <formula1>"OUI,NON"</formula1>
    </dataValidation>
    <dataValidation type="list" allowBlank="1" showInputMessage="1" showErrorMessage="1" sqref="BX41" xr:uid="{00000000-0002-0000-1E00-000007000000}">
      <formula1>Table_utilisation_tab_entretien</formula1>
    </dataValidation>
    <dataValidation type="list" showInputMessage="1" showErrorMessage="1" sqref="AR14:AZ14" xr:uid="{00000000-0002-0000-1E00-000009000000}">
      <formula1>calendrier_bs</formula1>
    </dataValidation>
    <dataValidation type="list" showInputMessage="1" showErrorMessage="1" sqref="BZ118" xr:uid="{00000000-0002-0000-1E00-00000A000000}">
      <formula1>"Scénario 1,Scénario 2,Scénario 3,Scénario 4,"</formula1>
    </dataValidation>
    <dataValidation type="list" allowBlank="1" showInputMessage="1" showErrorMessage="1" sqref="BZ2" xr:uid="{00000000-0002-0000-1E00-00000B000000}">
      <formula1>Source_liste_fiche2</formula1>
    </dataValidation>
    <dataValidation type="list" allowBlank="1" showInputMessage="1" sqref="CF58 CF54 DJ51:DK52" xr:uid="{00000000-0002-0000-1E00-00000C000000}">
      <formula1>"1,2,3,4,5,6,7,8,9,10,11,12,13"</formula1>
    </dataValidation>
    <dataValidation allowBlank="1" showInputMessage="1" sqref="BY56 BY60 CE54 CE58" xr:uid="{00000000-0002-0000-1E00-00000D000000}"/>
    <dataValidation type="list" allowBlank="1" showInputMessage="1" sqref="BY57" xr:uid="{00000000-0002-0000-1E00-00000E000000}">
      <formula1>"0,1,2,3,4,5,6,7,8,9,10,11,12,13,14,24"</formula1>
    </dataValidation>
    <dataValidation type="list" allowBlank="1" showInputMessage="1" showErrorMessage="1" sqref="AX76:AY76 AX79:AY79 AX82:AY82 AX85:AY85" xr:uid="{00000000-0002-0000-1E00-00000F000000}">
      <formula1>liste_attestation_modif_pole</formula1>
    </dataValidation>
    <dataValidation type="list" allowBlank="1" showInputMessage="1" showErrorMessage="1" sqref="CE3:CF3" xr:uid="{00000000-0002-0000-1E00-000010000000}">
      <formula1>motif_rupture</formula1>
    </dataValidation>
    <dataValidation type="list" showInputMessage="1" showErrorMessage="1" error="Vous devez choisir entre :_x000a_ - cellule vide_x000a_ - CP Acq_x000a_ - CP Ant" sqref="AR20:AR50" xr:uid="{00000000-0002-0000-1E00-000011000000}">
      <formula1>Source_pose_CP</formula1>
    </dataValidation>
    <dataValidation type="list" allowBlank="1" showInputMessage="1" showErrorMessage="1" sqref="BA60:BA61 AT60:AT61 AX60:AY61" xr:uid="{8AE5959A-5A00-4BFF-A00E-96C6B9834BE2}">
      <formula1>"Non,Oui"</formula1>
    </dataValidation>
    <dataValidation allowBlank="1" showInputMessage="1" showErrorMessage="1" prompt="Vous pouvez choisir avec la petite flèche à droite &quot;Salaires heures normales réelles &quot;" sqref="A18:K18" xr:uid="{CC9712B7-7C19-4550-9004-FDBFD35FC7CD}"/>
    <dataValidation type="list" errorStyle="information" allowBlank="1" showInputMessage="1" showErrorMessage="1" error="Faites Entrée pour valider le nombre d'heures" sqref="AZ20:AZ50" xr:uid="{0AF54322-76F6-4458-98BC-8C34B20174D5}">
      <formula1>liste_motif</formula1>
    </dataValidation>
    <dataValidation type="list" allowBlank="1" showInputMessage="1" showErrorMessage="1" sqref="AZ62:AZ63" xr:uid="{8C1CABB5-67D4-4153-844A-E6CB40A27BC8}">
      <formula1>liste_hrs_jrs</formula1>
    </dataValidation>
    <dataValidation type="list" allowBlank="1" showInputMessage="1" showErrorMessage="1" sqref="AO131:AP133 AH133:AI133" xr:uid="{1BA1DD1E-5FE7-4284-9753-B7A116642329}">
      <formula1>"Oui,Non"</formula1>
    </dataValidation>
    <dataValidation type="list" allowBlank="1" showInputMessage="1" showErrorMessage="1" sqref="AJ135:AK135" xr:uid="{18599FB1-AE23-44D2-86D9-D5E29F3F8E3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58" id="{89C9F843-55A0-4547-965B-81943A9630B5}">
            <xm:f>AND($EO$11="NON",$CC$44=S.CAL!$BC$4)</xm:f>
            <x14:dxf>
              <fill>
                <patternFill>
                  <bgColor rgb="FFFF0000"/>
                </patternFill>
              </fill>
            </x14:dxf>
          </x14:cfRule>
          <xm:sqref>CF53:CF54</xm:sqref>
        </x14:conditionalFormatting>
        <x14:conditionalFormatting xmlns:xm="http://schemas.microsoft.com/office/excel/2006/main">
          <x14:cfRule type="expression" priority="152" id="{17C3F80F-B211-4B33-8D16-E69CB89323F2}">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6" id="{4D57FA5F-5A2A-4521-BFE0-3E86F926B21A}">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13000000}">
          <x14:formula1>
            <xm:f>S.CAL!$V$2:$V$4</xm:f>
          </x14:formula1>
          <xm:sqref>BZ8 AN123:AO123 AN129:AO129</xm:sqref>
        </x14:dataValidation>
        <x14:dataValidation type="list" allowBlank="1" showInputMessage="1" showErrorMessage="1" xr:uid="{00000000-0002-0000-1E00-000014000000}">
          <x14:formula1>
            <xm:f>S.CAL!$S$2:$S$4</xm:f>
          </x14:formula1>
          <xm:sqref>BZ6</xm:sqref>
        </x14:dataValidation>
        <x14:dataValidation type="list" allowBlank="1" showInputMessage="1" showErrorMessage="1" xr:uid="{F4632C7D-8BA0-4186-B29D-0C864827A002}">
          <x14:formula1>
            <xm:f>S.CAL!$BC$2:$BC$5</xm:f>
          </x14:formula1>
          <xm:sqref>CC45:CD45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39.5703125" style="315" hidden="1" customWidth="1"/>
    <col min="145"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DATE(YEAR(Janvier!X3),MONTH(Janvier!X3)+6,DAY(Janvier!X3))</f>
        <v>46204</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27</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IF(Juin!BY8="OUI","Contrat fini",BY2)</f>
        <v>Fiche info</v>
      </c>
      <c r="EF4" s="315" t="s">
        <v>1028</v>
      </c>
      <c r="EG4" s="737">
        <f>+Identification!B95</f>
        <v>0</v>
      </c>
      <c r="FG4" s="315" t="str">
        <f>IFERROR(IF(VLOOKUP(AT4,Juin!$AT$4:$AU$10,2,FALSE)&lt;&gt;Juillet!AU4,"rouge","ok"),0)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46204</v>
      </c>
      <c r="Y5" s="2206"/>
      <c r="Z5" s="1743" t="s">
        <v>451</v>
      </c>
      <c r="AA5" s="1743"/>
      <c r="AB5" s="2206">
        <f>+IF(AND(DATE(YEAR(EG4),MONTH(EG4),DAY(EG4))&gt;=DATE(YEAR(X3),MONTH(X3),DAY(X3)),DATE(YEAR(EG4),MONTH(EG4),DAY(EG4))&lt;=DATE(YEAR(X3),MONTH(X3),DAY(EOMONTH(X3,0)))),EG4,EOMONTH(X3,0))</f>
        <v>46234</v>
      </c>
      <c r="AC5" s="2210"/>
      <c r="AP5" s="209"/>
      <c r="AQ5" s="318"/>
      <c r="AR5" s="209"/>
      <c r="AS5" s="210"/>
      <c r="AT5" s="301">
        <f t="array" ref="AT5">IFERROR(INDEX($BK$20:$BK$50,MATCH(0,INDEX(COUNTIF($AT$3:AT4,$BK$20:$BK$50),0,0),0)),"")</f>
        <v>28</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46234</v>
      </c>
      <c r="FG5" s="315">
        <f>IFERROR(IF(VLOOKUP(AT5,Juin!$AT$4:$AU$10,2,FALSE)&lt;&gt;Juillet!AU5,"rouge","ok"),0)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29</v>
      </c>
      <c r="AU6" s="1122" t="s">
        <v>226</v>
      </c>
      <c r="BQ6" s="578"/>
      <c r="BR6" s="578"/>
      <c r="BS6" s="578"/>
      <c r="BT6" s="578"/>
      <c r="BU6" s="578"/>
      <c r="BV6" s="578"/>
      <c r="BW6" s="578"/>
      <c r="BX6" s="579" t="s">
        <v>509</v>
      </c>
      <c r="BY6" s="580" t="str">
        <f>+IF(BZ6="",Juin!BY6,BZ6)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IFERROR(IF(VLOOKUP(AT6,Juin!$AT$4:$AU$10,2,FALSE)&lt;&gt;Juillet!AU6,"rouge","ok"),0)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30</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IFERROR(IF(VLOOKUP(AT7,Juin!$AT$4:$AU$10,2,FALSE)&lt;&gt;Juillet!AU7,"rouge","ok"),0)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31</v>
      </c>
      <c r="AU8" s="1122" t="s">
        <v>226</v>
      </c>
      <c r="BG8" s="240"/>
      <c r="BH8" s="1439" t="str">
        <f>+AT3</f>
        <v>N° Sem.</v>
      </c>
      <c r="BI8" s="1440" t="s">
        <v>1552</v>
      </c>
      <c r="BQ8" s="1985" t="s">
        <v>210</v>
      </c>
      <c r="BR8" s="1986"/>
      <c r="BS8" s="1986"/>
      <c r="BT8" s="1986"/>
      <c r="BU8" s="1986"/>
      <c r="BV8" s="1986"/>
      <c r="BW8" s="1986"/>
      <c r="BX8" s="1986"/>
      <c r="BY8" s="965" t="str">
        <f>IF(BZ8="",Juin!BY8,BZ8)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IFERROR(IF(VLOOKUP(AT8,Juin!$AT$4:$AU$10,2,FALSE)&lt;&gt;Juillet!AU8,"rouge","ok"),0)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272026</v>
      </c>
      <c r="BH9" s="1441">
        <f t="shared" ref="BH9:BH14" si="0">+AT4</f>
        <v>27</v>
      </c>
      <c r="BI9" s="1442">
        <f>IF($AR$13=S.CAL!$CU$2,+SUMIF(S.CAL!$FW$3:$FW$374,BG9,S.CAL!$FX$3:$FX$374),IF($AR$13=S.CAL!$CU$3,SUMIF(Feuilles_de_présence_planning!$EG$12:$EG$537,BG9,Feuilles_de_présence_planning!$EE$12:$EE$537),"err"))</f>
        <v>0</v>
      </c>
      <c r="BY9" s="196" t="str">
        <f>+IF(Juin!BY8="OUI","FIN","O")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IFERROR(IF(VLOOKUP(AT9,Juin!$AT$4:$AU$10,2,FALSE)&lt;&gt;Juillet!AU9,"rouge","ok"),0)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282026</v>
      </c>
      <c r="BH10" s="1441">
        <f t="shared" si="0"/>
        <v>28</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IFERROR(IF(VLOOKUP(AT10,Juin!$AT$4:$AU$10,2,FALSE)&lt;&gt;Juillet!AU10,"rouge","ok"),0)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292026</v>
      </c>
      <c r="BH11" s="1441">
        <f t="shared" si="0"/>
        <v>29</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302026</v>
      </c>
      <c r="BH12" s="1441">
        <f t="shared" si="0"/>
        <v>30</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2</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IF(AR14="",Juin!AR13,AR14)</f>
        <v>à partir du tableau ci-dessous</v>
      </c>
      <c r="AS13" s="2372"/>
      <c r="AT13" s="2372"/>
      <c r="AU13" s="2372"/>
      <c r="AV13" s="2372"/>
      <c r="AW13" s="2372"/>
      <c r="AX13" s="2372"/>
      <c r="AY13" s="2372"/>
      <c r="AZ13" s="2372"/>
      <c r="BA13" s="2355" t="s">
        <v>1086</v>
      </c>
      <c r="BB13" s="2355"/>
      <c r="BC13" s="2355"/>
      <c r="BD13" s="951"/>
      <c r="BG13" s="1430" t="str">
        <f t="shared" si="1"/>
        <v>312026</v>
      </c>
      <c r="BH13" s="1441">
        <f t="shared" si="0"/>
        <v>31</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+Juin!R89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+Juin!EF16</f>
        <v>0</v>
      </c>
      <c r="EG16" s="741">
        <f>+Juin!EG16</f>
        <v>0</v>
      </c>
      <c r="EH16" s="741">
        <f>+Juin!EH16+Juin!EH17</f>
        <v>0</v>
      </c>
      <c r="EI16" s="741">
        <f>+Juin!EI16+Juin!EI17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Juil'!D18:D48,"&gt;0")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46204</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27</v>
      </c>
      <c r="AQ20" s="322"/>
      <c r="AR20" s="1123"/>
      <c r="AS20" s="314">
        <f t="shared" ref="AS20:AS50" si="3">SUM(AD20:AL20)</f>
        <v>0</v>
      </c>
      <c r="AT20" s="1124"/>
      <c r="AU20" s="1124"/>
      <c r="AV20" s="314"/>
      <c r="AW20" s="2150">
        <f>AB20</f>
        <v>46204</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infoA3</v>
      </c>
      <c r="BK20" s="129">
        <f>IFERROR(WEEKNUM(AB20,21),"")</f>
        <v>27</v>
      </c>
      <c r="BL20" s="129" t="str">
        <f t="shared" ref="BL20:BL50" si="4">+VLOOKUP(BK20,$AT$4:$AU$10,2,)</f>
        <v>A</v>
      </c>
      <c r="BM20" s="129">
        <f t="shared" ref="BM20:BM21" si="5">WEEKDAY(AB20,2)</f>
        <v>3</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48">
        <f>+AB20</f>
        <v>46204</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46204</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27</v>
      </c>
      <c r="GA20" s="129">
        <f>+$X$4</f>
        <v>2026</v>
      </c>
      <c r="GB20" s="129" t="str">
        <f>+FZ20&amp;GA20</f>
        <v>272026</v>
      </c>
      <c r="GC20" s="223">
        <f>IF(AND($GD$53=S.CAL!$P$3,$GD$52=FZ20),GE20,IF(BH20="",0,BH20))</f>
        <v>0</v>
      </c>
      <c r="GD20" s="129" t="str">
        <f>IFERROR(+Aout!$BY$2&amp;BL20&amp;BM20,0)</f>
        <v>Fiche infoA3</v>
      </c>
      <c r="GE20" s="129" t="str">
        <f t="shared" ref="GE20:GE50" si="19">+IFERROR(VLOOKUP(GD20,Base_heures,6,FALSE),"")</f>
        <v/>
      </c>
      <c r="GF20" s="223" t="str">
        <f>IF(FP20=1,GG20,AM20)</f>
        <v/>
      </c>
      <c r="GG20" s="1446" t="str">
        <f>+'Retenue Juil'!D18</f>
        <v/>
      </c>
      <c r="GH20" s="1446">
        <f>IF(Identification!$B$132="Non",+'Retenue Juil'!BF18,+'Retenue Juil'!BE18)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46205</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46205</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infoA4</v>
      </c>
      <c r="BK21" s="129">
        <f t="shared" ref="BK21" si="27">IFERROR(WEEKNUM(AB21,21),"")</f>
        <v>27</v>
      </c>
      <c r="BL21" s="129" t="str">
        <f t="shared" si="4"/>
        <v>A</v>
      </c>
      <c r="BM21" s="129">
        <f t="shared" si="5"/>
        <v>4</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46204</v>
      </c>
      <c r="EJ21" s="737"/>
      <c r="EK21" s="737"/>
      <c r="EQ21" s="748">
        <f t="shared" ref="EQ21" si="28">+AB21</f>
        <v>46205</v>
      </c>
      <c r="ER21" s="749">
        <f t="shared" si="10"/>
        <v>0</v>
      </c>
      <c r="ES21" s="750">
        <f t="shared" si="11"/>
        <v>0</v>
      </c>
      <c r="ET21" s="749">
        <f t="shared" si="12"/>
        <v>0</v>
      </c>
      <c r="EU21" s="750">
        <f t="shared" si="13"/>
        <v>0</v>
      </c>
      <c r="EV21" s="749" t="str">
        <f t="shared" si="14"/>
        <v/>
      </c>
      <c r="EW21" s="751">
        <f t="shared" ref="EW21:EW50" si="29">+EQ21</f>
        <v>46205</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27</v>
      </c>
      <c r="GA21" s="129">
        <f t="shared" ref="GA21:GA50" si="39">+$X$4</f>
        <v>2026</v>
      </c>
      <c r="GB21" s="129" t="str">
        <f t="shared" ref="GB21:GB48" si="40">+FZ21&amp;GA21</f>
        <v>272026</v>
      </c>
      <c r="GC21" s="223">
        <f>IF(AND($GD$53=S.CAL!$P$3,$GD$52=FZ21),GE21,IF(BH21="",0,BH21))</f>
        <v>0</v>
      </c>
      <c r="GD21" s="129" t="str">
        <f>IFERROR(+Aout!$BY$2&amp;BL21&amp;BM21,0)</f>
        <v>Fiche infoA4</v>
      </c>
      <c r="GE21" s="129" t="str">
        <f t="shared" si="19"/>
        <v/>
      </c>
      <c r="GF21" s="223" t="str">
        <f t="shared" ref="GF21:GF48" si="41">IF(FP21=1,GG21,AM21)</f>
        <v/>
      </c>
      <c r="GG21" s="1446" t="str">
        <f>+'Retenue Juil'!D19</f>
        <v/>
      </c>
      <c r="GH21" s="1446">
        <f>IF(Identification!$B$132="Non",+'Retenue Juil'!BF19,+'Retenue Juil'!BE19)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46206</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46206</v>
      </c>
      <c r="AX22" s="1761"/>
      <c r="AY22" s="314"/>
      <c r="AZ22" s="1104"/>
      <c r="BA22" s="973"/>
      <c r="BB22" s="543"/>
      <c r="BC22" s="548">
        <f t="shared" si="23"/>
        <v>0</v>
      </c>
      <c r="BD22" s="1104"/>
      <c r="BE22" s="807">
        <f t="shared" si="24"/>
        <v>0</v>
      </c>
      <c r="BF22" s="1128"/>
      <c r="BG22" s="222"/>
      <c r="BH22" s="548" t="str">
        <f t="shared" si="25"/>
        <v/>
      </c>
      <c r="BI22" s="1128"/>
      <c r="BJ22" s="129" t="str">
        <f t="shared" si="26"/>
        <v>Fiche infoA5</v>
      </c>
      <c r="BK22" s="129">
        <f t="shared" ref="BK22:BK50" si="49">IFERROR(WEEKNUM(AB22,21),"")</f>
        <v>27</v>
      </c>
      <c r="BL22" s="129" t="str">
        <f t="shared" si="4"/>
        <v>A</v>
      </c>
      <c r="BM22" s="129">
        <f t="shared" ref="BM22:BM47" si="50">WEEKDAY(AB22,2)</f>
        <v>5</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46234</v>
      </c>
      <c r="EJ22" s="737"/>
      <c r="EK22" s="737"/>
      <c r="EQ22" s="748">
        <f t="shared" ref="EQ22:EQ50" si="53">+AB22</f>
        <v>46206</v>
      </c>
      <c r="ER22" s="749">
        <f t="shared" si="10"/>
        <v>0</v>
      </c>
      <c r="ES22" s="750">
        <f t="shared" si="11"/>
        <v>0</v>
      </c>
      <c r="ET22" s="749">
        <f t="shared" si="12"/>
        <v>0</v>
      </c>
      <c r="EU22" s="750">
        <f t="shared" si="13"/>
        <v>0</v>
      </c>
      <c r="EV22" s="749" t="str">
        <f t="shared" si="14"/>
        <v/>
      </c>
      <c r="EW22" s="751">
        <f t="shared" si="29"/>
        <v>46206</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27</v>
      </c>
      <c r="GA22" s="129">
        <f t="shared" si="39"/>
        <v>2026</v>
      </c>
      <c r="GB22" s="129" t="str">
        <f t="shared" si="40"/>
        <v>272026</v>
      </c>
      <c r="GC22" s="223">
        <f>IF(AND($GD$53=S.CAL!$P$3,$GD$52=FZ22),GE22,IF(BH22="",0,BH22))</f>
        <v>0</v>
      </c>
      <c r="GD22" s="129" t="str">
        <f>IFERROR(+Aout!$BY$2&amp;BL22&amp;BM22,0)</f>
        <v>Fiche infoA5</v>
      </c>
      <c r="GE22" s="129" t="str">
        <f t="shared" si="19"/>
        <v/>
      </c>
      <c r="GF22" s="223" t="str">
        <f t="shared" si="41"/>
        <v/>
      </c>
      <c r="GG22" s="1446" t="str">
        <f>+'Retenue Juil'!D20</f>
        <v/>
      </c>
      <c r="GH22" s="1446">
        <f>IF(Identification!$B$132="Non",+'Retenue Juil'!BF20,+'Retenue Juil'!BE20)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46207</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46207</v>
      </c>
      <c r="AX23" s="1761"/>
      <c r="AY23" s="314"/>
      <c r="AZ23" s="1104"/>
      <c r="BA23" s="973"/>
      <c r="BB23" s="543"/>
      <c r="BC23" s="548">
        <f t="shared" si="23"/>
        <v>0</v>
      </c>
      <c r="BD23" s="1104"/>
      <c r="BE23" s="807">
        <f t="shared" si="24"/>
        <v>0</v>
      </c>
      <c r="BF23" s="1128"/>
      <c r="BG23" s="222"/>
      <c r="BH23" s="548" t="str">
        <f t="shared" si="25"/>
        <v/>
      </c>
      <c r="BI23" s="1128"/>
      <c r="BJ23" s="129" t="str">
        <f t="shared" si="26"/>
        <v>Fiche infoA6</v>
      </c>
      <c r="BK23" s="129">
        <f t="shared" si="49"/>
        <v>27</v>
      </c>
      <c r="BL23" s="129" t="str">
        <f t="shared" si="4"/>
        <v>A</v>
      </c>
      <c r="BM23" s="129">
        <f t="shared" si="50"/>
        <v>6</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46207</v>
      </c>
      <c r="ER23" s="749">
        <f t="shared" si="10"/>
        <v>0</v>
      </c>
      <c r="ES23" s="750">
        <f t="shared" si="11"/>
        <v>0</v>
      </c>
      <c r="ET23" s="749">
        <f t="shared" si="12"/>
        <v>0</v>
      </c>
      <c r="EU23" s="750">
        <f t="shared" si="13"/>
        <v>0</v>
      </c>
      <c r="EV23" s="749" t="str">
        <f t="shared" si="14"/>
        <v/>
      </c>
      <c r="EW23" s="751">
        <f t="shared" si="29"/>
        <v>46207</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27</v>
      </c>
      <c r="GA23" s="129">
        <f t="shared" si="39"/>
        <v>2026</v>
      </c>
      <c r="GB23" s="129" t="str">
        <f t="shared" si="40"/>
        <v>272026</v>
      </c>
      <c r="GC23" s="223">
        <f>IF(AND($GD$53=S.CAL!$P$3,$GD$52=FZ23),GE23,IF(BH23="",0,BH23))</f>
        <v>0</v>
      </c>
      <c r="GD23" s="129" t="str">
        <f>IFERROR(+Aout!$BY$2&amp;BL23&amp;BM23,0)</f>
        <v>Fiche infoA6</v>
      </c>
      <c r="GE23" s="129" t="str">
        <f t="shared" si="19"/>
        <v/>
      </c>
      <c r="GF23" s="223" t="str">
        <f t="shared" si="41"/>
        <v/>
      </c>
      <c r="GG23" s="1446" t="str">
        <f>+'Retenue Juil'!D21</f>
        <v/>
      </c>
      <c r="GH23" s="1446">
        <f>IF(Identification!$B$132="Non",+'Retenue Juil'!BF21,+'Retenue Juil'!BE21)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46208</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46208</v>
      </c>
      <c r="AX24" s="1761"/>
      <c r="AY24" s="314"/>
      <c r="AZ24" s="1104"/>
      <c r="BA24" s="973"/>
      <c r="BB24" s="543"/>
      <c r="BC24" s="548">
        <f t="shared" si="23"/>
        <v>0</v>
      </c>
      <c r="BD24" s="1104"/>
      <c r="BE24" s="807">
        <f t="shared" si="24"/>
        <v>0</v>
      </c>
      <c r="BF24" s="1128"/>
      <c r="BG24" s="222"/>
      <c r="BH24" s="548" t="str">
        <f t="shared" si="25"/>
        <v/>
      </c>
      <c r="BI24" s="1128"/>
      <c r="BJ24" s="129" t="str">
        <f t="shared" si="26"/>
        <v>Fiche infoA7</v>
      </c>
      <c r="BK24" s="129">
        <f t="shared" si="49"/>
        <v>27</v>
      </c>
      <c r="BL24" s="129" t="str">
        <f t="shared" si="4"/>
        <v>A</v>
      </c>
      <c r="BM24" s="129">
        <f t="shared" si="50"/>
        <v>7</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46208</v>
      </c>
      <c r="ER24" s="749">
        <f t="shared" si="10"/>
        <v>0</v>
      </c>
      <c r="ES24" s="750">
        <f t="shared" si="11"/>
        <v>0</v>
      </c>
      <c r="ET24" s="749">
        <f t="shared" si="12"/>
        <v>0</v>
      </c>
      <c r="EU24" s="750">
        <f t="shared" si="13"/>
        <v>0</v>
      </c>
      <c r="EV24" s="749" t="str">
        <f t="shared" si="14"/>
        <v/>
      </c>
      <c r="EW24" s="751">
        <f t="shared" si="29"/>
        <v>46208</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27</v>
      </c>
      <c r="GA24" s="129">
        <f t="shared" si="39"/>
        <v>2026</v>
      </c>
      <c r="GB24" s="129" t="str">
        <f t="shared" si="40"/>
        <v>272026</v>
      </c>
      <c r="GC24" s="223">
        <f>IF(AND($GD$53=S.CAL!$P$3,$GD$52=FZ24),GE24,IF(BH24="",0,BH24))</f>
        <v>0</v>
      </c>
      <c r="GD24" s="129" t="str">
        <f>IFERROR(+Aout!$BY$2&amp;BL24&amp;BM24,0)</f>
        <v>Fiche infoA7</v>
      </c>
      <c r="GE24" s="129" t="str">
        <f t="shared" si="19"/>
        <v/>
      </c>
      <c r="GF24" s="223" t="str">
        <f t="shared" si="41"/>
        <v/>
      </c>
      <c r="GG24" s="1446" t="str">
        <f>+'Retenue Juil'!D22</f>
        <v/>
      </c>
      <c r="GH24" s="1446">
        <f>IF(Identification!$B$132="Non",+'Retenue Juil'!BF22,+'Retenue Juil'!BE22)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Juil'!R48*-1)</f>
        <v>#DIV/0!</v>
      </c>
      <c r="M25" s="2142"/>
      <c r="N25" s="2142"/>
      <c r="O25" s="2143"/>
      <c r="P25" s="1753" t="e">
        <f>+IF(L25,T25/L25,0)</f>
        <v>#DIV/0!</v>
      </c>
      <c r="Q25" s="1969"/>
      <c r="R25" s="1969"/>
      <c r="S25" s="1970"/>
      <c r="T25" s="1966">
        <f>IF(A18="Salaire heures normales réelles",0,'Retenue Juil'!R52*-1)</f>
        <v>0</v>
      </c>
      <c r="U25" s="1967"/>
      <c r="V25" s="1967"/>
      <c r="W25" s="1968"/>
      <c r="X25" s="224"/>
      <c r="Y25" s="224"/>
      <c r="Z25" s="224"/>
      <c r="AA25" s="885" t="str">
        <f>IF(AND(BE25="OUI",$AR$13=S.CAL!$CU$2),"►",IF(AND(EV25="OUI",$AR$13=S.CAL!$CU$3),"►",""))</f>
        <v/>
      </c>
      <c r="AB25" s="1760">
        <f>+$X$3+5</f>
        <v>46209</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f t="shared" si="48"/>
        <v>28</v>
      </c>
      <c r="AQ25" s="322"/>
      <c r="AR25" s="1104"/>
      <c r="AS25" s="314">
        <f t="shared" si="3"/>
        <v>0</v>
      </c>
      <c r="AT25" s="1125"/>
      <c r="AU25" s="1125"/>
      <c r="AV25" s="314"/>
      <c r="AW25" s="1791">
        <f t="shared" si="22"/>
        <v>46209</v>
      </c>
      <c r="AX25" s="1761"/>
      <c r="AY25" s="314"/>
      <c r="AZ25" s="1104"/>
      <c r="BA25" s="973"/>
      <c r="BB25" s="543"/>
      <c r="BC25" s="548">
        <f t="shared" si="23"/>
        <v>0</v>
      </c>
      <c r="BD25" s="1104"/>
      <c r="BE25" s="807">
        <f t="shared" si="24"/>
        <v>0</v>
      </c>
      <c r="BF25" s="1128"/>
      <c r="BG25" s="222"/>
      <c r="BH25" s="548" t="str">
        <f t="shared" si="25"/>
        <v/>
      </c>
      <c r="BI25" s="1128"/>
      <c r="BJ25" s="129" t="str">
        <f t="shared" si="26"/>
        <v>Fiche infoA1</v>
      </c>
      <c r="BK25" s="129">
        <f t="shared" si="49"/>
        <v>28</v>
      </c>
      <c r="BL25" s="129" t="str">
        <f t="shared" si="4"/>
        <v>A</v>
      </c>
      <c r="BM25" s="129">
        <f t="shared" si="50"/>
        <v>1</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46209</v>
      </c>
      <c r="ER25" s="749">
        <f t="shared" si="10"/>
        <v>0</v>
      </c>
      <c r="ES25" s="750">
        <f t="shared" si="11"/>
        <v>0</v>
      </c>
      <c r="ET25" s="749">
        <f t="shared" si="12"/>
        <v>0</v>
      </c>
      <c r="EU25" s="750">
        <f t="shared" si="13"/>
        <v>0</v>
      </c>
      <c r="EV25" s="749" t="str">
        <f t="shared" si="14"/>
        <v/>
      </c>
      <c r="EW25" s="751">
        <f t="shared" si="29"/>
        <v>46209</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28</v>
      </c>
      <c r="GA25" s="129">
        <f t="shared" si="39"/>
        <v>2026</v>
      </c>
      <c r="GB25" s="129" t="str">
        <f t="shared" si="40"/>
        <v>282026</v>
      </c>
      <c r="GC25" s="223">
        <f>IF(AND($GD$53=S.CAL!$P$3,$GD$52=FZ25),GE25,IF(BH25="",0,BH25))</f>
        <v>0</v>
      </c>
      <c r="GD25" s="129" t="str">
        <f>IFERROR(+Aout!$BY$2&amp;BL25&amp;BM25,0)</f>
        <v>Fiche infoA1</v>
      </c>
      <c r="GE25" s="129" t="str">
        <f t="shared" si="19"/>
        <v/>
      </c>
      <c r="GF25" s="223" t="str">
        <f t="shared" si="41"/>
        <v/>
      </c>
      <c r="GG25" s="1446" t="str">
        <f>+'Retenue Juil'!D23</f>
        <v/>
      </c>
      <c r="GH25" s="1446">
        <f>IF(Identification!$B$132="Non",+'Retenue Juil'!BF23,+'Retenue Juil'!BE23)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Juil'!R50*-1)</f>
        <v>#DIV/0!</v>
      </c>
      <c r="M26" s="2142"/>
      <c r="N26" s="2142"/>
      <c r="O26" s="2143"/>
      <c r="P26" s="1753" t="e">
        <f>+IF(L26,T26/L26,0)</f>
        <v>#DIV/0!</v>
      </c>
      <c r="Q26" s="1969"/>
      <c r="R26" s="1969"/>
      <c r="S26" s="1970"/>
      <c r="T26" s="1966">
        <f>IF(A18="Salaire heures normales réelles",0,'Retenue Juil'!R54*-1)</f>
        <v>0</v>
      </c>
      <c r="U26" s="1967"/>
      <c r="V26" s="1967"/>
      <c r="W26" s="1968"/>
      <c r="X26" s="221"/>
      <c r="Y26" s="221"/>
      <c r="Z26" s="221"/>
      <c r="AA26" s="885" t="str">
        <f>IF(AND(BE26="OUI",$AR$13=S.CAL!$CU$2),"►",IF(AND(EV26="OUI",$AR$13=S.CAL!$CU$3),"►",""))</f>
        <v/>
      </c>
      <c r="AB26" s="1760">
        <f>+$X$3+6</f>
        <v>46210</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46210</v>
      </c>
      <c r="AX26" s="1761"/>
      <c r="AY26" s="314"/>
      <c r="AZ26" s="1104"/>
      <c r="BA26" s="973"/>
      <c r="BB26" s="543"/>
      <c r="BC26" s="548">
        <f t="shared" si="23"/>
        <v>0</v>
      </c>
      <c r="BD26" s="1104"/>
      <c r="BE26" s="807">
        <f t="shared" si="24"/>
        <v>0</v>
      </c>
      <c r="BF26" s="1128"/>
      <c r="BG26" s="222"/>
      <c r="BH26" s="548" t="str">
        <f t="shared" si="25"/>
        <v/>
      </c>
      <c r="BI26" s="1128"/>
      <c r="BJ26" s="129" t="str">
        <f t="shared" si="26"/>
        <v>Fiche infoA2</v>
      </c>
      <c r="BK26" s="129">
        <f t="shared" si="49"/>
        <v>28</v>
      </c>
      <c r="BL26" s="129" t="str">
        <f t="shared" si="4"/>
        <v>A</v>
      </c>
      <c r="BM26" s="129">
        <f t="shared" si="50"/>
        <v>2</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46210</v>
      </c>
      <c r="ER26" s="749">
        <f t="shared" si="10"/>
        <v>0</v>
      </c>
      <c r="ES26" s="750">
        <f t="shared" si="11"/>
        <v>0</v>
      </c>
      <c r="ET26" s="749">
        <f t="shared" si="12"/>
        <v>0</v>
      </c>
      <c r="EU26" s="750">
        <f t="shared" si="13"/>
        <v>0</v>
      </c>
      <c r="EV26" s="749" t="str">
        <f t="shared" si="14"/>
        <v/>
      </c>
      <c r="EW26" s="751">
        <f t="shared" si="29"/>
        <v>46210</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28</v>
      </c>
      <c r="GA26" s="129">
        <f t="shared" si="39"/>
        <v>2026</v>
      </c>
      <c r="GB26" s="129" t="str">
        <f t="shared" si="40"/>
        <v>282026</v>
      </c>
      <c r="GC26" s="223">
        <f>IF(AND($GD$53=S.CAL!$P$3,$GD$52=FZ26),GE26,IF(BH26="",0,BH26))</f>
        <v>0</v>
      </c>
      <c r="GD26" s="129" t="str">
        <f>IFERROR(+Aout!$BY$2&amp;BL26&amp;BM26,0)</f>
        <v>Fiche infoA2</v>
      </c>
      <c r="GE26" s="129" t="str">
        <f t="shared" si="19"/>
        <v/>
      </c>
      <c r="GF26" s="223" t="str">
        <f t="shared" si="41"/>
        <v/>
      </c>
      <c r="GG26" s="1446" t="str">
        <f>+'Retenue Juil'!D24</f>
        <v/>
      </c>
      <c r="GH26" s="1446">
        <f>IF(Identification!$B$132="Non",+'Retenue Juil'!BF24,+'Retenue Juil'!BE24)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46211</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46211</v>
      </c>
      <c r="AX27" s="1761"/>
      <c r="AY27" s="314"/>
      <c r="AZ27" s="1104"/>
      <c r="BA27" s="973"/>
      <c r="BB27" s="543"/>
      <c r="BC27" s="548">
        <f t="shared" si="23"/>
        <v>0</v>
      </c>
      <c r="BD27" s="1104"/>
      <c r="BE27" s="807">
        <f t="shared" si="24"/>
        <v>0</v>
      </c>
      <c r="BF27" s="1128"/>
      <c r="BG27" s="222"/>
      <c r="BH27" s="548" t="str">
        <f t="shared" si="25"/>
        <v/>
      </c>
      <c r="BI27" s="1128"/>
      <c r="BJ27" s="129" t="str">
        <f t="shared" si="26"/>
        <v>Fiche infoA3</v>
      </c>
      <c r="BK27" s="129">
        <f t="shared" si="49"/>
        <v>28</v>
      </c>
      <c r="BL27" s="129" t="str">
        <f t="shared" si="4"/>
        <v>A</v>
      </c>
      <c r="BM27" s="129">
        <f t="shared" si="50"/>
        <v>3</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46211</v>
      </c>
      <c r="ER27" s="749">
        <f t="shared" si="10"/>
        <v>0</v>
      </c>
      <c r="ES27" s="750">
        <f t="shared" si="11"/>
        <v>0</v>
      </c>
      <c r="ET27" s="749">
        <f t="shared" si="12"/>
        <v>0</v>
      </c>
      <c r="EU27" s="750">
        <f t="shared" si="13"/>
        <v>0</v>
      </c>
      <c r="EV27" s="749" t="str">
        <f t="shared" si="14"/>
        <v/>
      </c>
      <c r="EW27" s="751">
        <f t="shared" si="29"/>
        <v>46211</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28</v>
      </c>
      <c r="GA27" s="129">
        <f t="shared" si="39"/>
        <v>2026</v>
      </c>
      <c r="GB27" s="129" t="str">
        <f t="shared" si="40"/>
        <v>282026</v>
      </c>
      <c r="GC27" s="223">
        <f>IF(AND($GD$53=S.CAL!$P$3,$GD$52=FZ27),GE27,IF(BH27="",0,BH27))</f>
        <v>0</v>
      </c>
      <c r="GD27" s="129" t="str">
        <f>IFERROR(+Aout!$BY$2&amp;BL27&amp;BM27,0)</f>
        <v>Fiche infoA3</v>
      </c>
      <c r="GE27" s="129" t="str">
        <f t="shared" si="19"/>
        <v/>
      </c>
      <c r="GF27" s="223" t="str">
        <f t="shared" si="41"/>
        <v/>
      </c>
      <c r="GG27" s="1446" t="str">
        <f>+'Retenue Juil'!D25</f>
        <v/>
      </c>
      <c r="GH27" s="1446">
        <f>IF(Identification!$B$132="Non",+'Retenue Juil'!BF25,+'Retenue Juil'!BE25)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46212</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46212</v>
      </c>
      <c r="AX28" s="1761"/>
      <c r="AY28" s="314"/>
      <c r="AZ28" s="1104"/>
      <c r="BA28" s="973"/>
      <c r="BB28" s="543"/>
      <c r="BC28" s="548">
        <f t="shared" si="23"/>
        <v>0</v>
      </c>
      <c r="BD28" s="1104"/>
      <c r="BE28" s="807">
        <f t="shared" si="24"/>
        <v>0</v>
      </c>
      <c r="BF28" s="1128"/>
      <c r="BG28" s="222"/>
      <c r="BH28" s="548" t="str">
        <f t="shared" si="25"/>
        <v/>
      </c>
      <c r="BI28" s="1128"/>
      <c r="BJ28" s="129" t="str">
        <f t="shared" si="26"/>
        <v>Fiche infoA4</v>
      </c>
      <c r="BK28" s="129">
        <f t="shared" si="49"/>
        <v>28</v>
      </c>
      <c r="BL28" s="129" t="str">
        <f t="shared" si="4"/>
        <v>A</v>
      </c>
      <c r="BM28" s="129">
        <f t="shared" si="50"/>
        <v>4</v>
      </c>
      <c r="BN28" s="223" t="str">
        <f t="shared" si="60"/>
        <v>Fiche info</v>
      </c>
      <c r="BO28" s="314" t="str">
        <f t="shared" si="51"/>
        <v/>
      </c>
      <c r="BP28" s="196" t="str">
        <f t="shared" si="52"/>
        <v/>
      </c>
      <c r="BQ28" s="196"/>
      <c r="BS28" s="2100" t="str">
        <f>+"Semaine numéro : "&amp;AT4</f>
        <v>Semaine numéro : 27</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+SUMIF(Juin!$BK$20:$BK$50,AT4,Juin!$AM$20:$AO$50)</f>
        <v>0</v>
      </c>
      <c r="CD28" s="196">
        <f>+SUMIF(Aout!$BK$20:$BK$50,AT4,Aout!$AM$20:$AO$50)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46212</v>
      </c>
      <c r="ER28" s="749">
        <f t="shared" si="10"/>
        <v>0</v>
      </c>
      <c r="ES28" s="750">
        <f t="shared" si="11"/>
        <v>0</v>
      </c>
      <c r="ET28" s="749">
        <f t="shared" si="12"/>
        <v>0</v>
      </c>
      <c r="EU28" s="750">
        <f t="shared" si="13"/>
        <v>0</v>
      </c>
      <c r="EV28" s="749" t="str">
        <f t="shared" si="14"/>
        <v/>
      </c>
      <c r="EW28" s="751">
        <f t="shared" si="29"/>
        <v>46212</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28</v>
      </c>
      <c r="GA28" s="129">
        <f t="shared" si="39"/>
        <v>2026</v>
      </c>
      <c r="GB28" s="129" t="str">
        <f t="shared" si="40"/>
        <v>282026</v>
      </c>
      <c r="GC28" s="223">
        <f>IF(AND($GD$53=S.CAL!$P$3,$GD$52=FZ28),GE28,IF(BH28="",0,BH28))</f>
        <v>0</v>
      </c>
      <c r="GD28" s="129" t="str">
        <f>IFERROR(+Aout!$BY$2&amp;BL28&amp;BM28,0)</f>
        <v>Fiche infoA4</v>
      </c>
      <c r="GE28" s="129" t="str">
        <f t="shared" si="19"/>
        <v/>
      </c>
      <c r="GF28" s="223" t="str">
        <f t="shared" si="41"/>
        <v/>
      </c>
      <c r="GG28" s="1446" t="str">
        <f>+'Retenue Juil'!D26</f>
        <v/>
      </c>
      <c r="GH28" s="1446">
        <f>IF(Identification!$B$132="Non",+'Retenue Juil'!BF26,+'Retenue Juil'!BE26)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46213</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46213</v>
      </c>
      <c r="AX29" s="1761"/>
      <c r="AY29" s="314"/>
      <c r="AZ29" s="1104"/>
      <c r="BA29" s="973"/>
      <c r="BB29" s="543"/>
      <c r="BC29" s="548">
        <f t="shared" si="23"/>
        <v>0</v>
      </c>
      <c r="BD29" s="1104"/>
      <c r="BE29" s="807">
        <f t="shared" si="24"/>
        <v>0</v>
      </c>
      <c r="BF29" s="1128"/>
      <c r="BG29" s="222"/>
      <c r="BH29" s="548" t="str">
        <f t="shared" si="25"/>
        <v/>
      </c>
      <c r="BI29" s="1128"/>
      <c r="BJ29" s="129" t="str">
        <f t="shared" si="26"/>
        <v>Fiche infoA5</v>
      </c>
      <c r="BK29" s="129">
        <f t="shared" si="49"/>
        <v>28</v>
      </c>
      <c r="BL29" s="129" t="str">
        <f t="shared" si="4"/>
        <v>A</v>
      </c>
      <c r="BM29" s="129">
        <f t="shared" si="50"/>
        <v>5</v>
      </c>
      <c r="BN29" s="223" t="str">
        <f t="shared" si="60"/>
        <v>Fiche info</v>
      </c>
      <c r="BO29" s="314" t="str">
        <f t="shared" si="51"/>
        <v/>
      </c>
      <c r="BP29" s="196" t="str">
        <f t="shared" si="52"/>
        <v/>
      </c>
      <c r="BQ29" s="196"/>
      <c r="BS29" s="2100" t="str">
        <f t="shared" ref="BS29:BS33" si="64">+"Semaine numéro : "&amp;AT5</f>
        <v>Semaine numéro : 28</v>
      </c>
      <c r="BT29" s="2101"/>
      <c r="BU29" s="2101"/>
      <c r="BV29" s="2101"/>
      <c r="BW29" s="2101"/>
      <c r="BX29" s="2102"/>
      <c r="BY29" s="1115"/>
      <c r="BZ29" s="656">
        <f t="shared" ref="BZ29:BZ33" si="65">+IF(BY29="",IF(AND(CC29&gt;0,CB29&gt;0),CC29+CB29,IF(CD29&gt;0,0,CB29)),BY29)</f>
        <v>0</v>
      </c>
      <c r="CA29" s="655">
        <f t="shared" si="62"/>
        <v>0</v>
      </c>
      <c r="CB29" s="196">
        <f t="shared" si="63"/>
        <v>0</v>
      </c>
      <c r="CC29" s="196">
        <f>+SUMIF(Juin!$BK$20:$BK$50,AT5,Juin!$AM$20:$AO$50)</f>
        <v>0</v>
      </c>
      <c r="CD29" s="196">
        <f>+SUMIF(Aout!$BK$20:$BK$50,AT5,Aout!$AM$20:$AO$50)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46213</v>
      </c>
      <c r="ER29" s="749">
        <f t="shared" si="10"/>
        <v>0</v>
      </c>
      <c r="ES29" s="750">
        <f t="shared" si="11"/>
        <v>0</v>
      </c>
      <c r="ET29" s="749">
        <f t="shared" si="12"/>
        <v>0</v>
      </c>
      <c r="EU29" s="750">
        <f t="shared" si="13"/>
        <v>0</v>
      </c>
      <c r="EV29" s="749" t="str">
        <f t="shared" si="14"/>
        <v/>
      </c>
      <c r="EW29" s="751">
        <f t="shared" si="29"/>
        <v>46213</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28</v>
      </c>
      <c r="GA29" s="129">
        <f t="shared" si="39"/>
        <v>2026</v>
      </c>
      <c r="GB29" s="129" t="str">
        <f t="shared" si="40"/>
        <v>282026</v>
      </c>
      <c r="GC29" s="223">
        <f>IF(AND($GD$53=S.CAL!$P$3,$GD$52=FZ29),GE29,IF(BH29="",0,BH29))</f>
        <v>0</v>
      </c>
      <c r="GD29" s="129" t="str">
        <f>IFERROR(+Aout!$BY$2&amp;BL29&amp;BM29,0)</f>
        <v>Fiche infoA5</v>
      </c>
      <c r="GE29" s="129" t="str">
        <f t="shared" si="19"/>
        <v/>
      </c>
      <c r="GF29" s="223" t="str">
        <f t="shared" si="41"/>
        <v/>
      </c>
      <c r="GG29" s="1446" t="str">
        <f>+'Retenue Juil'!D27</f>
        <v/>
      </c>
      <c r="GH29" s="1446">
        <f>IF(Identification!$B$132="Non",+'Retenue Juil'!BF27,+'Retenue Juil'!BE27)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46214</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46214</v>
      </c>
      <c r="AX30" s="1761"/>
      <c r="AY30" s="314"/>
      <c r="AZ30" s="1104"/>
      <c r="BA30" s="973"/>
      <c r="BB30" s="543"/>
      <c r="BC30" s="548">
        <f t="shared" si="23"/>
        <v>0</v>
      </c>
      <c r="BD30" s="1104"/>
      <c r="BE30" s="807">
        <f t="shared" si="24"/>
        <v>0</v>
      </c>
      <c r="BF30" s="1128"/>
      <c r="BG30" s="222"/>
      <c r="BH30" s="548" t="str">
        <f t="shared" si="25"/>
        <v/>
      </c>
      <c r="BI30" s="1128"/>
      <c r="BJ30" s="129" t="str">
        <f t="shared" si="26"/>
        <v>Fiche infoA6</v>
      </c>
      <c r="BK30" s="129">
        <f t="shared" si="49"/>
        <v>28</v>
      </c>
      <c r="BL30" s="129" t="str">
        <f t="shared" si="4"/>
        <v>A</v>
      </c>
      <c r="BM30" s="129">
        <f t="shared" si="50"/>
        <v>6</v>
      </c>
      <c r="BN30" s="223" t="str">
        <f t="shared" si="60"/>
        <v>Fiche info</v>
      </c>
      <c r="BO30" s="314" t="str">
        <f t="shared" si="51"/>
        <v/>
      </c>
      <c r="BP30" s="196" t="str">
        <f t="shared" si="52"/>
        <v/>
      </c>
      <c r="BQ30" s="196"/>
      <c r="BS30" s="2100" t="str">
        <f t="shared" si="64"/>
        <v>Semaine numéro : 29</v>
      </c>
      <c r="BT30" s="2101"/>
      <c r="BU30" s="2101"/>
      <c r="BV30" s="2101"/>
      <c r="BW30" s="2101"/>
      <c r="BX30" s="2102"/>
      <c r="BY30" s="1115"/>
      <c r="BZ30" s="656">
        <f t="shared" si="65"/>
        <v>0</v>
      </c>
      <c r="CA30" s="655">
        <f t="shared" si="62"/>
        <v>0</v>
      </c>
      <c r="CB30" s="196">
        <f t="shared" si="63"/>
        <v>0</v>
      </c>
      <c r="CC30" s="196">
        <f>+SUMIF(Juin!$BK$20:$BK$50,AT6,Juin!$AM$20:$AO$50)</f>
        <v>0</v>
      </c>
      <c r="CD30" s="196">
        <f>+SUMIF(Aout!$BK$20:$BK$50,AT6,Aout!$AM$20:$AO$50)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46214</v>
      </c>
      <c r="ER30" s="749">
        <f t="shared" si="10"/>
        <v>0</v>
      </c>
      <c r="ES30" s="750">
        <f t="shared" si="11"/>
        <v>0</v>
      </c>
      <c r="ET30" s="749">
        <f t="shared" si="12"/>
        <v>0</v>
      </c>
      <c r="EU30" s="750">
        <f t="shared" si="13"/>
        <v>0</v>
      </c>
      <c r="EV30" s="749" t="str">
        <f t="shared" si="14"/>
        <v/>
      </c>
      <c r="EW30" s="751">
        <f t="shared" si="29"/>
        <v>46214</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28</v>
      </c>
      <c r="GA30" s="129">
        <f t="shared" si="39"/>
        <v>2026</v>
      </c>
      <c r="GB30" s="129" t="str">
        <f t="shared" si="40"/>
        <v>282026</v>
      </c>
      <c r="GC30" s="223">
        <f>IF(AND($GD$53=S.CAL!$P$3,$GD$52=FZ30),GE30,IF(BH30="",0,BH30))</f>
        <v>0</v>
      </c>
      <c r="GD30" s="129" t="str">
        <f>IFERROR(+Aout!$BY$2&amp;BL30&amp;BM30,0)</f>
        <v>Fiche infoA6</v>
      </c>
      <c r="GE30" s="129" t="str">
        <f t="shared" si="19"/>
        <v/>
      </c>
      <c r="GF30" s="223" t="str">
        <f t="shared" si="41"/>
        <v/>
      </c>
      <c r="GG30" s="1446" t="str">
        <f>+'Retenue Juil'!D28</f>
        <v/>
      </c>
      <c r="GH30" s="1446">
        <f>IF(Identification!$B$132="Non",+'Retenue Juil'!BF28,+'Retenue Juil'!BE28)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46215</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46215</v>
      </c>
      <c r="AX31" s="1761"/>
      <c r="AY31" s="314"/>
      <c r="AZ31" s="1104"/>
      <c r="BA31" s="973"/>
      <c r="BB31" s="543"/>
      <c r="BC31" s="548">
        <f t="shared" si="23"/>
        <v>0</v>
      </c>
      <c r="BD31" s="1104"/>
      <c r="BE31" s="807">
        <f t="shared" si="24"/>
        <v>0</v>
      </c>
      <c r="BF31" s="1128"/>
      <c r="BG31" s="222"/>
      <c r="BH31" s="548" t="str">
        <f t="shared" si="25"/>
        <v/>
      </c>
      <c r="BI31" s="1128"/>
      <c r="BJ31" s="129" t="str">
        <f t="shared" si="26"/>
        <v>Fiche infoA7</v>
      </c>
      <c r="BK31" s="129">
        <f t="shared" si="49"/>
        <v>28</v>
      </c>
      <c r="BL31" s="129" t="str">
        <f t="shared" si="4"/>
        <v>A</v>
      </c>
      <c r="BM31" s="129">
        <f t="shared" si="50"/>
        <v>7</v>
      </c>
      <c r="BN31" s="223" t="str">
        <f t="shared" si="60"/>
        <v>Fiche info</v>
      </c>
      <c r="BO31" s="314" t="str">
        <f t="shared" si="51"/>
        <v/>
      </c>
      <c r="BP31" s="196" t="str">
        <f t="shared" si="52"/>
        <v/>
      </c>
      <c r="BQ31" s="196"/>
      <c r="BS31" s="2100" t="str">
        <f t="shared" si="64"/>
        <v>Semaine numéro : 30</v>
      </c>
      <c r="BT31" s="2101"/>
      <c r="BU31" s="2101"/>
      <c r="BV31" s="2101"/>
      <c r="BW31" s="2101"/>
      <c r="BX31" s="2102"/>
      <c r="BY31" s="1115"/>
      <c r="BZ31" s="656">
        <f t="shared" si="65"/>
        <v>0</v>
      </c>
      <c r="CA31" s="655">
        <f t="shared" si="62"/>
        <v>0</v>
      </c>
      <c r="CB31" s="196">
        <f t="shared" si="63"/>
        <v>0</v>
      </c>
      <c r="CC31" s="196">
        <f>+SUMIF(Juin!$BK$20:$BK$50,AT7,Juin!$AM$20:$AO$50)</f>
        <v>0</v>
      </c>
      <c r="CD31" s="196">
        <f>+SUMIF(Aout!$BK$20:$BK$50,AT7,Aout!$AM$20:$AO$50)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46215</v>
      </c>
      <c r="ER31" s="749">
        <f t="shared" si="10"/>
        <v>0</v>
      </c>
      <c r="ES31" s="750">
        <f t="shared" si="11"/>
        <v>0</v>
      </c>
      <c r="ET31" s="749">
        <f t="shared" si="12"/>
        <v>0</v>
      </c>
      <c r="EU31" s="750">
        <f t="shared" si="13"/>
        <v>0</v>
      </c>
      <c r="EV31" s="749" t="str">
        <f t="shared" si="14"/>
        <v/>
      </c>
      <c r="EW31" s="751">
        <f t="shared" si="29"/>
        <v>46215</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28</v>
      </c>
      <c r="GA31" s="129">
        <f t="shared" si="39"/>
        <v>2026</v>
      </c>
      <c r="GB31" s="129" t="str">
        <f t="shared" si="40"/>
        <v>282026</v>
      </c>
      <c r="GC31" s="223">
        <f>IF(AND($GD$53=S.CAL!$P$3,$GD$52=FZ31),GE31,IF(BH31="",0,BH31))</f>
        <v>0</v>
      </c>
      <c r="GD31" s="129" t="str">
        <f>IFERROR(+Aout!$BY$2&amp;BL31&amp;BM31,0)</f>
        <v>Fiche infoA7</v>
      </c>
      <c r="GE31" s="129" t="str">
        <f t="shared" si="19"/>
        <v/>
      </c>
      <c r="GF31" s="223" t="str">
        <f t="shared" si="41"/>
        <v/>
      </c>
      <c r="GG31" s="1446" t="str">
        <f>+'Retenue Juil'!D29</f>
        <v/>
      </c>
      <c r="GH31" s="1446">
        <f>IF(Identification!$B$132="Non",+'Retenue Juil'!BF29,+'Retenue Juil'!BE29)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46216</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f t="shared" si="48"/>
        <v>29</v>
      </c>
      <c r="AQ32" s="322"/>
      <c r="AR32" s="1104"/>
      <c r="AS32" s="314">
        <f t="shared" si="3"/>
        <v>0</v>
      </c>
      <c r="AT32" s="1125"/>
      <c r="AU32" s="1125"/>
      <c r="AV32" s="314"/>
      <c r="AW32" s="1791">
        <f t="shared" si="22"/>
        <v>46216</v>
      </c>
      <c r="AX32" s="1761"/>
      <c r="AY32" s="314"/>
      <c r="AZ32" s="1104"/>
      <c r="BA32" s="973"/>
      <c r="BB32" s="543"/>
      <c r="BC32" s="548">
        <f t="shared" si="23"/>
        <v>0</v>
      </c>
      <c r="BD32" s="1104"/>
      <c r="BE32" s="807">
        <f t="shared" si="24"/>
        <v>0</v>
      </c>
      <c r="BF32" s="1128"/>
      <c r="BG32" s="222"/>
      <c r="BH32" s="548" t="str">
        <f t="shared" si="25"/>
        <v/>
      </c>
      <c r="BI32" s="1128"/>
      <c r="BJ32" s="129" t="str">
        <f t="shared" si="26"/>
        <v>Fiche infoA1</v>
      </c>
      <c r="BK32" s="129">
        <f t="shared" si="49"/>
        <v>29</v>
      </c>
      <c r="BL32" s="129" t="str">
        <f t="shared" si="4"/>
        <v>A</v>
      </c>
      <c r="BM32" s="129">
        <f t="shared" si="50"/>
        <v>1</v>
      </c>
      <c r="BN32" s="223" t="str">
        <f t="shared" si="60"/>
        <v>Fiche info</v>
      </c>
      <c r="BO32" s="314" t="str">
        <f t="shared" si="51"/>
        <v/>
      </c>
      <c r="BP32" s="196" t="str">
        <f t="shared" si="52"/>
        <v/>
      </c>
      <c r="BQ32" s="196"/>
      <c r="BS32" s="2100" t="str">
        <f t="shared" si="64"/>
        <v>Semaine numéro : 31</v>
      </c>
      <c r="BT32" s="2101"/>
      <c r="BU32" s="2101"/>
      <c r="BV32" s="2101"/>
      <c r="BW32" s="2101"/>
      <c r="BX32" s="2102"/>
      <c r="BY32" s="1115"/>
      <c r="BZ32" s="656">
        <f t="shared" si="65"/>
        <v>0</v>
      </c>
      <c r="CA32" s="655">
        <f t="shared" si="62"/>
        <v>0</v>
      </c>
      <c r="CB32" s="196">
        <f t="shared" si="63"/>
        <v>0</v>
      </c>
      <c r="CC32" s="196">
        <f>+SUMIF(Juin!$BK$20:$BK$50,AT8,Juin!$AM$20:$AO$50)</f>
        <v>0</v>
      </c>
      <c r="CD32" s="196">
        <f>+SUMIF(Aout!$BK$20:$BK$50,AT8,Aout!$AM$20:$AO$50)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46216</v>
      </c>
      <c r="ER32" s="749">
        <f t="shared" si="10"/>
        <v>0</v>
      </c>
      <c r="ES32" s="750">
        <f t="shared" si="11"/>
        <v>0</v>
      </c>
      <c r="ET32" s="749">
        <f t="shared" si="12"/>
        <v>0</v>
      </c>
      <c r="EU32" s="750">
        <f t="shared" si="13"/>
        <v>0</v>
      </c>
      <c r="EV32" s="749" t="str">
        <f t="shared" si="14"/>
        <v/>
      </c>
      <c r="EW32" s="751">
        <f t="shared" si="29"/>
        <v>46216</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29</v>
      </c>
      <c r="GA32" s="129">
        <f t="shared" si="39"/>
        <v>2026</v>
      </c>
      <c r="GB32" s="129" t="str">
        <f t="shared" si="40"/>
        <v>292026</v>
      </c>
      <c r="GC32" s="223">
        <f>IF(AND($GD$53=S.CAL!$P$3,$GD$52=FZ32),GE32,IF(BH32="",0,BH32))</f>
        <v>0</v>
      </c>
      <c r="GD32" s="129" t="str">
        <f>IFERROR(+Aout!$BY$2&amp;BL32&amp;BM32,0)</f>
        <v>Fiche infoA1</v>
      </c>
      <c r="GE32" s="129" t="str">
        <f t="shared" si="19"/>
        <v/>
      </c>
      <c r="GF32" s="223" t="str">
        <f t="shared" si="41"/>
        <v/>
      </c>
      <c r="GG32" s="1446" t="str">
        <f>+'Retenue Juil'!D30</f>
        <v/>
      </c>
      <c r="GH32" s="1446">
        <f>IF(Identification!$B$132="Non",+'Retenue Juil'!BF30,+'Retenue Juil'!BE30)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46217</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46217</v>
      </c>
      <c r="AX33" s="1761"/>
      <c r="AY33" s="314"/>
      <c r="AZ33" s="1104"/>
      <c r="BA33" s="973"/>
      <c r="BB33" s="543"/>
      <c r="BC33" s="548">
        <f t="shared" si="23"/>
        <v>0</v>
      </c>
      <c r="BD33" s="1104"/>
      <c r="BE33" s="807">
        <f t="shared" si="24"/>
        <v>0</v>
      </c>
      <c r="BF33" s="1128"/>
      <c r="BG33" s="222"/>
      <c r="BH33" s="548" t="str">
        <f t="shared" si="25"/>
        <v/>
      </c>
      <c r="BI33" s="1128"/>
      <c r="BJ33" s="129" t="str">
        <f t="shared" si="26"/>
        <v>Fiche infoA2</v>
      </c>
      <c r="BK33" s="129">
        <f t="shared" si="49"/>
        <v>29</v>
      </c>
      <c r="BL33" s="129" t="str">
        <f t="shared" si="4"/>
        <v>A</v>
      </c>
      <c r="BM33" s="129">
        <f t="shared" si="50"/>
        <v>2</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+SUMIF(Juin!$BK$20:$BK$50,AT9,Juin!$AM$20:$AO$50)</f>
        <v>0</v>
      </c>
      <c r="CD33" s="196">
        <f>+SUMIF(Aout!$BK$20:$BK$50,AT9,Aout!$AM$20:$AO$50)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46217</v>
      </c>
      <c r="ER33" s="749">
        <f t="shared" si="10"/>
        <v>0</v>
      </c>
      <c r="ES33" s="750">
        <f t="shared" si="11"/>
        <v>0</v>
      </c>
      <c r="ET33" s="749">
        <f t="shared" si="12"/>
        <v>0</v>
      </c>
      <c r="EU33" s="750">
        <f t="shared" si="13"/>
        <v>0</v>
      </c>
      <c r="EV33" s="749" t="str">
        <f t="shared" si="14"/>
        <v/>
      </c>
      <c r="EW33" s="751">
        <f t="shared" si="29"/>
        <v>46217</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29</v>
      </c>
      <c r="GA33" s="129">
        <f t="shared" si="39"/>
        <v>2026</v>
      </c>
      <c r="GB33" s="129" t="str">
        <f t="shared" si="40"/>
        <v>292026</v>
      </c>
      <c r="GC33" s="223">
        <f>IF(AND($GD$53=S.CAL!$P$3,$GD$52=FZ33),GE33,IF(BH33="",0,BH33))</f>
        <v>0</v>
      </c>
      <c r="GD33" s="129" t="str">
        <f>IFERROR(+Aout!$BY$2&amp;BL33&amp;BM33,0)</f>
        <v>Fiche infoA2</v>
      </c>
      <c r="GE33" s="129" t="str">
        <f t="shared" si="19"/>
        <v/>
      </c>
      <c r="GF33" s="223" t="str">
        <f t="shared" si="41"/>
        <v/>
      </c>
      <c r="GG33" s="1446" t="str">
        <f>+'Retenue Juil'!D31</f>
        <v/>
      </c>
      <c r="GH33" s="1446">
        <f>IF(Identification!$B$132="Non",+'Retenue Juil'!BF31,+'Retenue Juil'!BE31)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46218</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46218</v>
      </c>
      <c r="AX34" s="1761"/>
      <c r="AY34" s="314"/>
      <c r="AZ34" s="1104"/>
      <c r="BA34" s="973"/>
      <c r="BB34" s="543"/>
      <c r="BC34" s="548">
        <f t="shared" si="23"/>
        <v>0</v>
      </c>
      <c r="BD34" s="1104"/>
      <c r="BE34" s="807">
        <f t="shared" si="24"/>
        <v>0</v>
      </c>
      <c r="BF34" s="1128"/>
      <c r="BG34" s="222"/>
      <c r="BH34" s="548" t="str">
        <f t="shared" si="25"/>
        <v/>
      </c>
      <c r="BI34" s="1128"/>
      <c r="BJ34" s="129" t="str">
        <f t="shared" si="26"/>
        <v>Fiche infoA3</v>
      </c>
      <c r="BK34" s="129">
        <f t="shared" si="49"/>
        <v>29</v>
      </c>
      <c r="BL34" s="129" t="str">
        <f t="shared" si="4"/>
        <v>A</v>
      </c>
      <c r="BM34" s="129">
        <f t="shared" si="50"/>
        <v>3</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46218</v>
      </c>
      <c r="ER34" s="749">
        <f t="shared" si="10"/>
        <v>0</v>
      </c>
      <c r="ES34" s="750">
        <f t="shared" si="11"/>
        <v>0</v>
      </c>
      <c r="ET34" s="749">
        <f t="shared" si="12"/>
        <v>0</v>
      </c>
      <c r="EU34" s="750">
        <f t="shared" si="13"/>
        <v>0</v>
      </c>
      <c r="EV34" s="749" t="str">
        <f t="shared" si="14"/>
        <v/>
      </c>
      <c r="EW34" s="751">
        <f t="shared" si="29"/>
        <v>46218</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29</v>
      </c>
      <c r="GA34" s="129">
        <f t="shared" si="39"/>
        <v>2026</v>
      </c>
      <c r="GB34" s="129" t="str">
        <f t="shared" si="40"/>
        <v>292026</v>
      </c>
      <c r="GC34" s="223">
        <f>IF(AND($GD$53=S.CAL!$P$3,$GD$52=FZ34),GE34,IF(BH34="",0,BH34))</f>
        <v>0</v>
      </c>
      <c r="GD34" s="129" t="str">
        <f>IFERROR(+Aout!$BY$2&amp;BL34&amp;BM34,0)</f>
        <v>Fiche infoA3</v>
      </c>
      <c r="GE34" s="129" t="str">
        <f t="shared" si="19"/>
        <v/>
      </c>
      <c r="GF34" s="223" t="str">
        <f t="shared" si="41"/>
        <v/>
      </c>
      <c r="GG34" s="1446" t="str">
        <f>+'Retenue Juil'!D32</f>
        <v/>
      </c>
      <c r="GH34" s="1446">
        <f>IF(Identification!$B$132="Non",+'Retenue Juil'!BF32,+'Retenue Juil'!BE32)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46219</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46219</v>
      </c>
      <c r="AX35" s="1761"/>
      <c r="AY35" s="314"/>
      <c r="AZ35" s="1104"/>
      <c r="BA35" s="973"/>
      <c r="BB35" s="543"/>
      <c r="BC35" s="548">
        <f t="shared" si="23"/>
        <v>0</v>
      </c>
      <c r="BD35" s="1104"/>
      <c r="BE35" s="807">
        <f t="shared" si="24"/>
        <v>0</v>
      </c>
      <c r="BF35" s="1128"/>
      <c r="BG35" s="222"/>
      <c r="BH35" s="548" t="str">
        <f t="shared" si="25"/>
        <v/>
      </c>
      <c r="BI35" s="1128"/>
      <c r="BJ35" s="129" t="str">
        <f t="shared" si="26"/>
        <v>Fiche infoA4</v>
      </c>
      <c r="BK35" s="129">
        <f t="shared" si="49"/>
        <v>29</v>
      </c>
      <c r="BL35" s="129" t="str">
        <f t="shared" si="4"/>
        <v>A</v>
      </c>
      <c r="BM35" s="129">
        <f t="shared" si="50"/>
        <v>4</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46219</v>
      </c>
      <c r="ER35" s="749">
        <f t="shared" si="10"/>
        <v>0</v>
      </c>
      <c r="ES35" s="750">
        <f t="shared" si="11"/>
        <v>0</v>
      </c>
      <c r="ET35" s="749">
        <f t="shared" si="12"/>
        <v>0</v>
      </c>
      <c r="EU35" s="750">
        <f t="shared" si="13"/>
        <v>0</v>
      </c>
      <c r="EV35" s="749" t="str">
        <f t="shared" si="14"/>
        <v/>
      </c>
      <c r="EW35" s="751">
        <f t="shared" si="29"/>
        <v>46219</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29</v>
      </c>
      <c r="GA35" s="129">
        <f t="shared" si="39"/>
        <v>2026</v>
      </c>
      <c r="GB35" s="129" t="str">
        <f t="shared" si="40"/>
        <v>292026</v>
      </c>
      <c r="GC35" s="223">
        <f>IF(AND($GD$53=S.CAL!$P$3,$GD$52=FZ35),GE35,IF(BH35="",0,BH35))</f>
        <v>0</v>
      </c>
      <c r="GD35" s="129" t="str">
        <f>IFERROR(+Aout!$BY$2&amp;BL35&amp;BM35,0)</f>
        <v>Fiche infoA4</v>
      </c>
      <c r="GE35" s="129" t="str">
        <f t="shared" si="19"/>
        <v/>
      </c>
      <c r="GF35" s="223" t="str">
        <f t="shared" si="41"/>
        <v/>
      </c>
      <c r="GG35" s="1446" t="str">
        <f>+'Retenue Juil'!D33</f>
        <v/>
      </c>
      <c r="GH35" s="1446">
        <f>IF(Identification!$B$132="Non",+'Retenue Juil'!BF33,+'Retenue Juil'!BE33)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46220</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46220</v>
      </c>
      <c r="AX36" s="1761"/>
      <c r="AY36" s="314"/>
      <c r="AZ36" s="1104"/>
      <c r="BA36" s="973"/>
      <c r="BB36" s="543"/>
      <c r="BC36" s="548">
        <f t="shared" si="23"/>
        <v>0</v>
      </c>
      <c r="BD36" s="1104"/>
      <c r="BE36" s="807">
        <f t="shared" si="24"/>
        <v>0</v>
      </c>
      <c r="BF36" s="1128"/>
      <c r="BG36" s="222"/>
      <c r="BH36" s="548" t="str">
        <f t="shared" si="25"/>
        <v/>
      </c>
      <c r="BI36" s="1128"/>
      <c r="BJ36" s="129" t="str">
        <f t="shared" si="26"/>
        <v>Fiche infoA5</v>
      </c>
      <c r="BK36" s="129">
        <f t="shared" si="49"/>
        <v>29</v>
      </c>
      <c r="BL36" s="129" t="str">
        <f t="shared" si="4"/>
        <v>A</v>
      </c>
      <c r="BM36" s="129">
        <f t="shared" si="50"/>
        <v>5</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46220</v>
      </c>
      <c r="ER36" s="749">
        <f t="shared" si="10"/>
        <v>0</v>
      </c>
      <c r="ES36" s="750">
        <f t="shared" si="11"/>
        <v>0</v>
      </c>
      <c r="ET36" s="749">
        <f t="shared" si="12"/>
        <v>0</v>
      </c>
      <c r="EU36" s="750">
        <f t="shared" si="13"/>
        <v>0</v>
      </c>
      <c r="EV36" s="749" t="str">
        <f t="shared" si="14"/>
        <v/>
      </c>
      <c r="EW36" s="751">
        <f t="shared" si="29"/>
        <v>46220</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29</v>
      </c>
      <c r="GA36" s="129">
        <f t="shared" si="39"/>
        <v>2026</v>
      </c>
      <c r="GB36" s="129" t="str">
        <f t="shared" si="40"/>
        <v>292026</v>
      </c>
      <c r="GC36" s="223">
        <f>IF(AND($GD$53=S.CAL!$P$3,$GD$52=FZ36),GE36,IF(BH36="",0,BH36))</f>
        <v>0</v>
      </c>
      <c r="GD36" s="129" t="str">
        <f>IFERROR(+Aout!$BY$2&amp;BL36&amp;BM36,0)</f>
        <v>Fiche infoA5</v>
      </c>
      <c r="GE36" s="129" t="str">
        <f t="shared" si="19"/>
        <v/>
      </c>
      <c r="GF36" s="223" t="str">
        <f t="shared" si="41"/>
        <v/>
      </c>
      <c r="GG36" s="1446" t="str">
        <f>+'Retenue Juil'!D34</f>
        <v/>
      </c>
      <c r="GH36" s="1446">
        <f>IF(Identification!$B$132="Non",+'Retenue Juil'!BF34,+'Retenue Juil'!BE34)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46221</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46221</v>
      </c>
      <c r="AX37" s="1761"/>
      <c r="AY37" s="314"/>
      <c r="AZ37" s="1104"/>
      <c r="BA37" s="973"/>
      <c r="BB37" s="543"/>
      <c r="BC37" s="548">
        <f t="shared" si="23"/>
        <v>0</v>
      </c>
      <c r="BD37" s="1104"/>
      <c r="BE37" s="807">
        <f t="shared" si="24"/>
        <v>0</v>
      </c>
      <c r="BF37" s="1128"/>
      <c r="BG37" s="222"/>
      <c r="BH37" s="548" t="str">
        <f t="shared" si="25"/>
        <v/>
      </c>
      <c r="BI37" s="1128"/>
      <c r="BJ37" s="129" t="str">
        <f t="shared" si="26"/>
        <v>Fiche infoA6</v>
      </c>
      <c r="BK37" s="129">
        <f t="shared" si="49"/>
        <v>29</v>
      </c>
      <c r="BL37" s="129" t="str">
        <f t="shared" si="4"/>
        <v>A</v>
      </c>
      <c r="BM37" s="129">
        <f t="shared" si="50"/>
        <v>6</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46221</v>
      </c>
      <c r="ER37" s="749">
        <f t="shared" si="10"/>
        <v>0</v>
      </c>
      <c r="ES37" s="750">
        <f t="shared" si="11"/>
        <v>0</v>
      </c>
      <c r="ET37" s="749">
        <f t="shared" si="12"/>
        <v>0</v>
      </c>
      <c r="EU37" s="750">
        <f t="shared" si="13"/>
        <v>0</v>
      </c>
      <c r="EV37" s="749" t="str">
        <f t="shared" si="14"/>
        <v/>
      </c>
      <c r="EW37" s="751">
        <f t="shared" si="29"/>
        <v>46221</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29</v>
      </c>
      <c r="GA37" s="129">
        <f t="shared" si="39"/>
        <v>2026</v>
      </c>
      <c r="GB37" s="129" t="str">
        <f t="shared" si="40"/>
        <v>292026</v>
      </c>
      <c r="GC37" s="223">
        <f>IF(AND($GD$53=S.CAL!$P$3,$GD$52=FZ37),GE37,IF(BH37="",0,BH37))</f>
        <v>0</v>
      </c>
      <c r="GD37" s="129" t="str">
        <f>IFERROR(+Aout!$BY$2&amp;BL37&amp;BM37,0)</f>
        <v>Fiche infoA6</v>
      </c>
      <c r="GE37" s="129" t="str">
        <f t="shared" si="19"/>
        <v/>
      </c>
      <c r="GF37" s="223" t="str">
        <f t="shared" si="41"/>
        <v/>
      </c>
      <c r="GG37" s="1446" t="str">
        <f>+'Retenue Juil'!D35</f>
        <v/>
      </c>
      <c r="GH37" s="1446">
        <f>IF(Identification!$B$132="Non",+'Retenue Juil'!BF35,+'Retenue Juil'!BE35)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46222</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46222</v>
      </c>
      <c r="AX38" s="1761"/>
      <c r="AY38" s="314"/>
      <c r="AZ38" s="1104"/>
      <c r="BA38" s="973"/>
      <c r="BB38" s="543"/>
      <c r="BC38" s="548">
        <f t="shared" si="23"/>
        <v>0</v>
      </c>
      <c r="BD38" s="1104"/>
      <c r="BE38" s="807">
        <f t="shared" si="24"/>
        <v>0</v>
      </c>
      <c r="BF38" s="1128"/>
      <c r="BG38" s="222"/>
      <c r="BH38" s="548" t="str">
        <f t="shared" si="25"/>
        <v/>
      </c>
      <c r="BI38" s="1128"/>
      <c r="BJ38" s="129" t="str">
        <f t="shared" si="26"/>
        <v>Fiche infoA7</v>
      </c>
      <c r="BK38" s="129">
        <f t="shared" si="49"/>
        <v>29</v>
      </c>
      <c r="BL38" s="129" t="str">
        <f t="shared" si="4"/>
        <v>A</v>
      </c>
      <c r="BM38" s="129">
        <f t="shared" si="50"/>
        <v>7</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46222</v>
      </c>
      <c r="ER38" s="749">
        <f t="shared" si="10"/>
        <v>0</v>
      </c>
      <c r="ES38" s="750">
        <f t="shared" si="11"/>
        <v>0</v>
      </c>
      <c r="ET38" s="749">
        <f t="shared" si="12"/>
        <v>0</v>
      </c>
      <c r="EU38" s="750">
        <f t="shared" si="13"/>
        <v>0</v>
      </c>
      <c r="EV38" s="749" t="str">
        <f t="shared" si="14"/>
        <v/>
      </c>
      <c r="EW38" s="751">
        <f t="shared" si="29"/>
        <v>46222</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29</v>
      </c>
      <c r="GA38" s="129">
        <f t="shared" si="39"/>
        <v>2026</v>
      </c>
      <c r="GB38" s="129" t="str">
        <f t="shared" si="40"/>
        <v>292026</v>
      </c>
      <c r="GC38" s="223">
        <f>IF(AND($GD$53=S.CAL!$P$3,$GD$52=FZ38),GE38,IF(BH38="",0,BH38))</f>
        <v>0</v>
      </c>
      <c r="GD38" s="129" t="str">
        <f>IFERROR(+Aout!$BY$2&amp;BL38&amp;BM38,0)</f>
        <v>Fiche infoA7</v>
      </c>
      <c r="GE38" s="129" t="str">
        <f t="shared" si="19"/>
        <v/>
      </c>
      <c r="GF38" s="223" t="str">
        <f t="shared" si="41"/>
        <v/>
      </c>
      <c r="GG38" s="1446" t="str">
        <f>+'Retenue Juil'!D36</f>
        <v/>
      </c>
      <c r="GH38" s="1446">
        <f>IF(Identification!$B$132="Non",+'Retenue Juil'!BF36,+'Retenue Juil'!BE36)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46223</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f t="shared" si="48"/>
        <v>30</v>
      </c>
      <c r="AQ39" s="322"/>
      <c r="AR39" s="1104"/>
      <c r="AS39" s="314">
        <f t="shared" si="3"/>
        <v>0</v>
      </c>
      <c r="AT39" s="1125"/>
      <c r="AU39" s="1125"/>
      <c r="AV39" s="314"/>
      <c r="AW39" s="1791">
        <f t="shared" si="22"/>
        <v>46223</v>
      </c>
      <c r="AX39" s="1761"/>
      <c r="AY39" s="314"/>
      <c r="AZ39" s="1104"/>
      <c r="BA39" s="973"/>
      <c r="BB39" s="543"/>
      <c r="BC39" s="548">
        <f t="shared" si="23"/>
        <v>0</v>
      </c>
      <c r="BD39" s="1104"/>
      <c r="BE39" s="807">
        <f t="shared" si="24"/>
        <v>0</v>
      </c>
      <c r="BF39" s="1128"/>
      <c r="BG39" s="222"/>
      <c r="BH39" s="548" t="str">
        <f t="shared" si="25"/>
        <v/>
      </c>
      <c r="BI39" s="1128"/>
      <c r="BJ39" s="129" t="str">
        <f t="shared" si="26"/>
        <v>Fiche infoA1</v>
      </c>
      <c r="BK39" s="129">
        <f t="shared" si="49"/>
        <v>30</v>
      </c>
      <c r="BL39" s="129" t="str">
        <f t="shared" si="4"/>
        <v>A</v>
      </c>
      <c r="BM39" s="129">
        <f t="shared" si="50"/>
        <v>1</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46223</v>
      </c>
      <c r="ER39" s="749">
        <f t="shared" si="10"/>
        <v>0</v>
      </c>
      <c r="ES39" s="750">
        <f t="shared" si="11"/>
        <v>0</v>
      </c>
      <c r="ET39" s="749">
        <f t="shared" si="12"/>
        <v>0</v>
      </c>
      <c r="EU39" s="750">
        <f t="shared" si="13"/>
        <v>0</v>
      </c>
      <c r="EV39" s="749" t="str">
        <f t="shared" si="14"/>
        <v/>
      </c>
      <c r="EW39" s="751">
        <f t="shared" si="29"/>
        <v>46223</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30</v>
      </c>
      <c r="GA39" s="129">
        <f t="shared" si="39"/>
        <v>2026</v>
      </c>
      <c r="GB39" s="129" t="str">
        <f t="shared" si="40"/>
        <v>302026</v>
      </c>
      <c r="GC39" s="223">
        <f>IF(AND($GD$53=S.CAL!$P$3,$GD$52=FZ39),GE39,IF(BH39="",0,BH39))</f>
        <v>0</v>
      </c>
      <c r="GD39" s="129" t="str">
        <f>IFERROR(+Aout!$BY$2&amp;BL39&amp;BM39,0)</f>
        <v>Fiche infoA1</v>
      </c>
      <c r="GE39" s="129" t="str">
        <f t="shared" si="19"/>
        <v/>
      </c>
      <c r="GF39" s="223" t="str">
        <f t="shared" si="41"/>
        <v/>
      </c>
      <c r="GG39" s="1446" t="str">
        <f>+'Retenue Juil'!D37</f>
        <v/>
      </c>
      <c r="GH39" s="1446">
        <f>IF(Identification!$B$132="Non",+'Retenue Juil'!BF37,+'Retenue Juil'!BE37)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46224</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46224</v>
      </c>
      <c r="AX40" s="1761"/>
      <c r="AY40" s="314"/>
      <c r="AZ40" s="1104"/>
      <c r="BA40" s="973"/>
      <c r="BB40" s="543"/>
      <c r="BC40" s="548">
        <f t="shared" si="23"/>
        <v>0</v>
      </c>
      <c r="BD40" s="1104"/>
      <c r="BE40" s="807">
        <f t="shared" si="24"/>
        <v>0</v>
      </c>
      <c r="BF40" s="1128"/>
      <c r="BG40" s="222"/>
      <c r="BH40" s="548" t="str">
        <f t="shared" si="25"/>
        <v/>
      </c>
      <c r="BI40" s="1128"/>
      <c r="BJ40" s="129" t="str">
        <f t="shared" si="26"/>
        <v>Fiche infoA2</v>
      </c>
      <c r="BK40" s="129">
        <f t="shared" si="49"/>
        <v>30</v>
      </c>
      <c r="BL40" s="129" t="str">
        <f t="shared" si="4"/>
        <v>A</v>
      </c>
      <c r="BM40" s="129">
        <f t="shared" si="50"/>
        <v>2</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Juil'!P27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46224</v>
      </c>
      <c r="ER40" s="749">
        <f t="shared" si="10"/>
        <v>0</v>
      </c>
      <c r="ES40" s="750">
        <f t="shared" si="11"/>
        <v>0</v>
      </c>
      <c r="ET40" s="749">
        <f t="shared" si="12"/>
        <v>0</v>
      </c>
      <c r="EU40" s="750">
        <f t="shared" si="13"/>
        <v>0</v>
      </c>
      <c r="EV40" s="749" t="str">
        <f t="shared" si="14"/>
        <v/>
      </c>
      <c r="EW40" s="751">
        <f t="shared" si="29"/>
        <v>46224</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30</v>
      </c>
      <c r="GA40" s="129">
        <f t="shared" si="39"/>
        <v>2026</v>
      </c>
      <c r="GB40" s="129" t="str">
        <f t="shared" si="40"/>
        <v>302026</v>
      </c>
      <c r="GC40" s="223">
        <f>IF(AND($GD$53=S.CAL!$P$3,$GD$52=FZ40),GE40,IF(BH40="",0,BH40))</f>
        <v>0</v>
      </c>
      <c r="GD40" s="129" t="str">
        <f>IFERROR(+Aout!$BY$2&amp;BL40&amp;BM40,0)</f>
        <v>Fiche infoA2</v>
      </c>
      <c r="GE40" s="129" t="str">
        <f t="shared" si="19"/>
        <v/>
      </c>
      <c r="GF40" s="223" t="str">
        <f t="shared" si="41"/>
        <v/>
      </c>
      <c r="GG40" s="1446" t="str">
        <f>+'Retenue Juil'!D38</f>
        <v/>
      </c>
      <c r="GH40" s="1446">
        <f>IF(Identification!$B$132="Non",+'Retenue Juil'!BF38,+'Retenue Juil'!BE38)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46225</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46225</v>
      </c>
      <c r="AX41" s="1761"/>
      <c r="AY41" s="314"/>
      <c r="AZ41" s="1104"/>
      <c r="BA41" s="973"/>
      <c r="BB41" s="543"/>
      <c r="BC41" s="548">
        <f t="shared" si="23"/>
        <v>0</v>
      </c>
      <c r="BD41" s="1104"/>
      <c r="BE41" s="807">
        <f t="shared" si="24"/>
        <v>0</v>
      </c>
      <c r="BF41" s="1128"/>
      <c r="BG41" s="222"/>
      <c r="BH41" s="548" t="str">
        <f t="shared" si="25"/>
        <v/>
      </c>
      <c r="BI41" s="1128"/>
      <c r="BJ41" s="129" t="str">
        <f t="shared" si="26"/>
        <v>Fiche infoA3</v>
      </c>
      <c r="BK41" s="129">
        <f t="shared" si="49"/>
        <v>30</v>
      </c>
      <c r="BL41" s="129" t="str">
        <f t="shared" si="4"/>
        <v>A</v>
      </c>
      <c r="BM41" s="129">
        <f t="shared" si="50"/>
        <v>3</v>
      </c>
      <c r="BN41" s="223" t="str">
        <f t="shared" si="60"/>
        <v>Fiche info</v>
      </c>
      <c r="BO41" s="314" t="str">
        <f t="shared" si="51"/>
        <v/>
      </c>
      <c r="BP41" s="196" t="str">
        <f t="shared" si="52"/>
        <v/>
      </c>
      <c r="BQ41" s="1948" t="s">
        <v>1047</v>
      </c>
      <c r="BR41" s="1948"/>
      <c r="BS41" s="1948"/>
      <c r="BT41" s="1948"/>
      <c r="BU41" s="1948"/>
      <c r="BV41" s="1948"/>
      <c r="BW41" s="583" t="str">
        <f>+IF(BX41="",Juin!BW41,BX41)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46225</v>
      </c>
      <c r="ER41" s="749">
        <f t="shared" si="10"/>
        <v>0</v>
      </c>
      <c r="ES41" s="750">
        <f t="shared" si="11"/>
        <v>0</v>
      </c>
      <c r="ET41" s="749">
        <f t="shared" si="12"/>
        <v>0</v>
      </c>
      <c r="EU41" s="750">
        <f t="shared" si="13"/>
        <v>0</v>
      </c>
      <c r="EV41" s="749" t="str">
        <f t="shared" si="14"/>
        <v/>
      </c>
      <c r="EW41" s="751">
        <f t="shared" si="29"/>
        <v>46225</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30</v>
      </c>
      <c r="GA41" s="129">
        <f t="shared" si="39"/>
        <v>2026</v>
      </c>
      <c r="GB41" s="129" t="str">
        <f t="shared" si="40"/>
        <v>302026</v>
      </c>
      <c r="GC41" s="223">
        <f>IF(AND($GD$53=S.CAL!$P$3,$GD$52=FZ41),GE41,IF(BH41="",0,BH41))</f>
        <v>0</v>
      </c>
      <c r="GD41" s="129" t="str">
        <f>IFERROR(+Aout!$BY$2&amp;BL41&amp;BM41,0)</f>
        <v>Fiche infoA3</v>
      </c>
      <c r="GE41" s="129" t="str">
        <f t="shared" si="19"/>
        <v/>
      </c>
      <c r="GF41" s="223" t="str">
        <f t="shared" si="41"/>
        <v/>
      </c>
      <c r="GG41" s="1446" t="str">
        <f>+'Retenue Juil'!D39</f>
        <v/>
      </c>
      <c r="GH41" s="1446">
        <f>IF(Identification!$B$132="Non",+'Retenue Juil'!BF39,+'Retenue Juil'!BE39)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46226</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46226</v>
      </c>
      <c r="AX42" s="1761"/>
      <c r="AY42" s="314"/>
      <c r="AZ42" s="1104"/>
      <c r="BA42" s="973"/>
      <c r="BB42" s="543"/>
      <c r="BC42" s="548">
        <f t="shared" si="23"/>
        <v>0</v>
      </c>
      <c r="BD42" s="1104"/>
      <c r="BE42" s="807">
        <f t="shared" si="24"/>
        <v>0</v>
      </c>
      <c r="BF42" s="1128"/>
      <c r="BG42" s="222"/>
      <c r="BH42" s="548" t="str">
        <f t="shared" si="25"/>
        <v/>
      </c>
      <c r="BI42" s="1128"/>
      <c r="BJ42" s="129" t="str">
        <f t="shared" si="26"/>
        <v>Fiche infoA4</v>
      </c>
      <c r="BK42" s="129">
        <f t="shared" si="49"/>
        <v>30</v>
      </c>
      <c r="BL42" s="129" t="str">
        <f t="shared" si="4"/>
        <v>A</v>
      </c>
      <c r="BM42" s="129">
        <f t="shared" si="50"/>
        <v>4</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46226</v>
      </c>
      <c r="ER42" s="749">
        <f t="shared" si="10"/>
        <v>0</v>
      </c>
      <c r="ES42" s="750">
        <f t="shared" si="11"/>
        <v>0</v>
      </c>
      <c r="ET42" s="749">
        <f t="shared" si="12"/>
        <v>0</v>
      </c>
      <c r="EU42" s="750">
        <f t="shared" si="13"/>
        <v>0</v>
      </c>
      <c r="EV42" s="749" t="str">
        <f t="shared" si="14"/>
        <v/>
      </c>
      <c r="EW42" s="751">
        <f t="shared" si="29"/>
        <v>46226</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30</v>
      </c>
      <c r="GA42" s="129">
        <f t="shared" si="39"/>
        <v>2026</v>
      </c>
      <c r="GB42" s="129" t="str">
        <f t="shared" si="40"/>
        <v>302026</v>
      </c>
      <c r="GC42" s="223">
        <f>IF(AND($GD$53=S.CAL!$P$3,$GD$52=FZ42),GE42,IF(BH42="",0,BH42))</f>
        <v>0</v>
      </c>
      <c r="GD42" s="129" t="str">
        <f>IFERROR(+Aout!$BY$2&amp;BL42&amp;BM42,0)</f>
        <v>Fiche infoA4</v>
      </c>
      <c r="GE42" s="129" t="str">
        <f t="shared" si="19"/>
        <v/>
      </c>
      <c r="GF42" s="223" t="str">
        <f t="shared" si="41"/>
        <v/>
      </c>
      <c r="GG42" s="1446" t="str">
        <f>+'Retenue Juil'!D40</f>
        <v/>
      </c>
      <c r="GH42" s="1446">
        <f>IF(Identification!$B$132="Non",+'Retenue Juil'!BF40,+'Retenue Juil'!BE40)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46227</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46227</v>
      </c>
      <c r="AX43" s="1761"/>
      <c r="AY43" s="314"/>
      <c r="AZ43" s="1104"/>
      <c r="BA43" s="973"/>
      <c r="BB43" s="543"/>
      <c r="BC43" s="548">
        <f t="shared" si="23"/>
        <v>0</v>
      </c>
      <c r="BD43" s="1104"/>
      <c r="BE43" s="807">
        <f t="shared" si="24"/>
        <v>0</v>
      </c>
      <c r="BF43" s="1128"/>
      <c r="BG43" s="222"/>
      <c r="BH43" s="548" t="str">
        <f t="shared" si="25"/>
        <v/>
      </c>
      <c r="BI43" s="1128"/>
      <c r="BJ43" s="129" t="str">
        <f t="shared" si="26"/>
        <v>Fiche infoA5</v>
      </c>
      <c r="BK43" s="129">
        <f t="shared" si="49"/>
        <v>30</v>
      </c>
      <c r="BL43" s="129" t="str">
        <f t="shared" si="4"/>
        <v>A</v>
      </c>
      <c r="BM43" s="129">
        <f t="shared" si="50"/>
        <v>5</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46227</v>
      </c>
      <c r="ER43" s="749">
        <f t="shared" si="10"/>
        <v>0</v>
      </c>
      <c r="ES43" s="750">
        <f t="shared" si="11"/>
        <v>0</v>
      </c>
      <c r="ET43" s="749">
        <f t="shared" si="12"/>
        <v>0</v>
      </c>
      <c r="EU43" s="750">
        <f t="shared" si="13"/>
        <v>0</v>
      </c>
      <c r="EV43" s="749" t="str">
        <f t="shared" si="14"/>
        <v/>
      </c>
      <c r="EW43" s="751">
        <f t="shared" si="29"/>
        <v>46227</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30</v>
      </c>
      <c r="GA43" s="129">
        <f t="shared" si="39"/>
        <v>2026</v>
      </c>
      <c r="GB43" s="129" t="str">
        <f t="shared" si="40"/>
        <v>302026</v>
      </c>
      <c r="GC43" s="223">
        <f>IF(AND($GD$53=S.CAL!$P$3,$GD$52=FZ43),GE43,IF(BH43="",0,BH43))</f>
        <v>0</v>
      </c>
      <c r="GD43" s="129" t="str">
        <f>IFERROR(+Aout!$BY$2&amp;BL43&amp;BM43,0)</f>
        <v>Fiche infoA5</v>
      </c>
      <c r="GE43" s="129" t="str">
        <f t="shared" si="19"/>
        <v/>
      </c>
      <c r="GF43" s="223" t="str">
        <f t="shared" si="41"/>
        <v/>
      </c>
      <c r="GG43" s="1446" t="str">
        <f>+'Retenue Juil'!D41</f>
        <v/>
      </c>
      <c r="GH43" s="1446">
        <f>IF(Identification!$B$132="Non",+'Retenue Juil'!BF41,+'Retenue Juil'!BE41)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46228</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46228</v>
      </c>
      <c r="AX44" s="1761"/>
      <c r="AY44" s="314"/>
      <c r="AZ44" s="1104"/>
      <c r="BA44" s="973"/>
      <c r="BB44" s="543"/>
      <c r="BC44" s="548">
        <f t="shared" si="23"/>
        <v>0</v>
      </c>
      <c r="BD44" s="1104"/>
      <c r="BE44" s="807">
        <f t="shared" si="24"/>
        <v>0</v>
      </c>
      <c r="BF44" s="1128"/>
      <c r="BG44" s="222"/>
      <c r="BH44" s="548" t="str">
        <f t="shared" si="25"/>
        <v/>
      </c>
      <c r="BI44" s="1128"/>
      <c r="BJ44" s="129" t="str">
        <f t="shared" si="26"/>
        <v>Fiche infoA6</v>
      </c>
      <c r="BK44" s="129">
        <f t="shared" si="49"/>
        <v>30</v>
      </c>
      <c r="BL44" s="129" t="str">
        <f t="shared" si="4"/>
        <v>A</v>
      </c>
      <c r="BM44" s="129">
        <f t="shared" si="50"/>
        <v>6</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+IF(CC45="",Juin!CC44,CC45)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46228</v>
      </c>
      <c r="ER44" s="749">
        <f t="shared" si="10"/>
        <v>0</v>
      </c>
      <c r="ES44" s="750">
        <f t="shared" si="11"/>
        <v>0</v>
      </c>
      <c r="ET44" s="749">
        <f t="shared" si="12"/>
        <v>0</v>
      </c>
      <c r="EU44" s="750">
        <f t="shared" si="13"/>
        <v>0</v>
      </c>
      <c r="EV44" s="749" t="str">
        <f t="shared" si="14"/>
        <v/>
      </c>
      <c r="EW44" s="751">
        <f t="shared" si="29"/>
        <v>46228</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30</v>
      </c>
      <c r="GA44" s="129">
        <f t="shared" si="39"/>
        <v>2026</v>
      </c>
      <c r="GB44" s="129" t="str">
        <f t="shared" si="40"/>
        <v>302026</v>
      </c>
      <c r="GC44" s="223">
        <f>IF(AND($GD$53=S.CAL!$P$3,$GD$52=FZ44),GE44,IF(BH44="",0,BH44))</f>
        <v>0</v>
      </c>
      <c r="GD44" s="129" t="str">
        <f>IFERROR(+Aout!$BY$2&amp;BL44&amp;BM44,0)</f>
        <v>Fiche infoA6</v>
      </c>
      <c r="GE44" s="129" t="str">
        <f t="shared" si="19"/>
        <v/>
      </c>
      <c r="GF44" s="223" t="str">
        <f t="shared" si="41"/>
        <v/>
      </c>
      <c r="GG44" s="1446" t="str">
        <f>+'Retenue Juil'!D42</f>
        <v/>
      </c>
      <c r="GH44" s="1446">
        <f>IF(Identification!$B$132="Non",+'Retenue Juil'!BF42,+'Retenue Juil'!BE42)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46229</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46229</v>
      </c>
      <c r="AX45" s="1761"/>
      <c r="AY45" s="314"/>
      <c r="AZ45" s="1104"/>
      <c r="BA45" s="973"/>
      <c r="BB45" s="543"/>
      <c r="BC45" s="548">
        <f t="shared" si="23"/>
        <v>0</v>
      </c>
      <c r="BD45" s="1104"/>
      <c r="BE45" s="807">
        <f t="shared" si="24"/>
        <v>0</v>
      </c>
      <c r="BF45" s="1128"/>
      <c r="BG45" s="222"/>
      <c r="BH45" s="548" t="str">
        <f t="shared" si="25"/>
        <v/>
      </c>
      <c r="BI45" s="1128"/>
      <c r="BJ45" s="129" t="str">
        <f t="shared" si="26"/>
        <v>Fiche infoA7</v>
      </c>
      <c r="BK45" s="129">
        <f t="shared" si="49"/>
        <v>30</v>
      </c>
      <c r="BL45" s="129" t="str">
        <f t="shared" si="4"/>
        <v>A</v>
      </c>
      <c r="BM45" s="129">
        <f t="shared" si="50"/>
        <v>7</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46229</v>
      </c>
      <c r="ER45" s="749">
        <f t="shared" si="10"/>
        <v>0</v>
      </c>
      <c r="ES45" s="750">
        <f t="shared" si="11"/>
        <v>0</v>
      </c>
      <c r="ET45" s="749">
        <f t="shared" si="12"/>
        <v>0</v>
      </c>
      <c r="EU45" s="750">
        <f t="shared" si="13"/>
        <v>0</v>
      </c>
      <c r="EV45" s="749" t="str">
        <f t="shared" si="14"/>
        <v/>
      </c>
      <c r="EW45" s="751">
        <f t="shared" si="29"/>
        <v>46229</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30</v>
      </c>
      <c r="GA45" s="129">
        <f t="shared" si="39"/>
        <v>2026</v>
      </c>
      <c r="GB45" s="129" t="str">
        <f t="shared" si="40"/>
        <v>302026</v>
      </c>
      <c r="GC45" s="223">
        <f>IF(AND($GD$53=S.CAL!$P$3,$GD$52=FZ45),GE45,IF(BH45="",0,BH45))</f>
        <v>0</v>
      </c>
      <c r="GD45" s="129" t="str">
        <f>IFERROR(+Aout!$BY$2&amp;BL45&amp;BM45,0)</f>
        <v>Fiche infoA7</v>
      </c>
      <c r="GE45" s="129" t="str">
        <f t="shared" si="19"/>
        <v/>
      </c>
      <c r="GF45" s="223" t="str">
        <f t="shared" si="41"/>
        <v/>
      </c>
      <c r="GG45" s="1446" t="str">
        <f>+'Retenue Juil'!D43</f>
        <v/>
      </c>
      <c r="GH45" s="1446">
        <f>IF(Identification!$B$132="Non",+'Retenue Juil'!BF43,+'Retenue Juil'!BE43)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46230</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f t="shared" si="48"/>
        <v>31</v>
      </c>
      <c r="AQ46" s="322"/>
      <c r="AR46" s="1104"/>
      <c r="AS46" s="314">
        <f t="shared" si="3"/>
        <v>0</v>
      </c>
      <c r="AT46" s="1125"/>
      <c r="AU46" s="1125"/>
      <c r="AV46" s="314"/>
      <c r="AW46" s="1791">
        <f t="shared" si="22"/>
        <v>46230</v>
      </c>
      <c r="AX46" s="1761"/>
      <c r="AY46" s="314"/>
      <c r="AZ46" s="1104"/>
      <c r="BA46" s="973"/>
      <c r="BB46" s="543"/>
      <c r="BC46" s="548">
        <f t="shared" si="23"/>
        <v>0</v>
      </c>
      <c r="BD46" s="1104"/>
      <c r="BE46" s="807">
        <f t="shared" si="24"/>
        <v>0</v>
      </c>
      <c r="BF46" s="1128"/>
      <c r="BG46" s="222"/>
      <c r="BH46" s="548" t="str">
        <f t="shared" si="25"/>
        <v/>
      </c>
      <c r="BI46" s="1128"/>
      <c r="BJ46" s="129" t="str">
        <f t="shared" si="26"/>
        <v>Fiche infoA1</v>
      </c>
      <c r="BK46" s="129">
        <f t="shared" si="49"/>
        <v>31</v>
      </c>
      <c r="BL46" s="129" t="str">
        <f t="shared" si="4"/>
        <v>A</v>
      </c>
      <c r="BM46" s="129">
        <f t="shared" si="50"/>
        <v>1</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46230</v>
      </c>
      <c r="ER46" s="749">
        <f t="shared" si="10"/>
        <v>0</v>
      </c>
      <c r="ES46" s="750">
        <f t="shared" si="11"/>
        <v>0</v>
      </c>
      <c r="ET46" s="749">
        <f t="shared" si="12"/>
        <v>0</v>
      </c>
      <c r="EU46" s="750">
        <f t="shared" si="13"/>
        <v>0</v>
      </c>
      <c r="EV46" s="749" t="str">
        <f t="shared" si="14"/>
        <v/>
      </c>
      <c r="EW46" s="751">
        <f t="shared" si="29"/>
        <v>46230</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31</v>
      </c>
      <c r="GA46" s="129">
        <f t="shared" si="39"/>
        <v>2026</v>
      </c>
      <c r="GB46" s="129" t="str">
        <f t="shared" si="40"/>
        <v>312026</v>
      </c>
      <c r="GC46" s="223">
        <f>IF(AND($GD$53=S.CAL!$P$3,$GD$52=FZ46),GE46,IF(BH46="",0,BH46))</f>
        <v>0</v>
      </c>
      <c r="GD46" s="129" t="str">
        <f>IFERROR(+Aout!$BY$2&amp;BL46&amp;BM46,0)</f>
        <v>Fiche infoA1</v>
      </c>
      <c r="GE46" s="129" t="str">
        <f t="shared" si="19"/>
        <v/>
      </c>
      <c r="GF46" s="223" t="str">
        <f t="shared" si="41"/>
        <v/>
      </c>
      <c r="GG46" s="1446" t="str">
        <f>+'Retenue Juil'!D44</f>
        <v/>
      </c>
      <c r="GH46" s="1446">
        <f>IF(Identification!$B$132="Non",+'Retenue Juil'!BF44,+'Retenue Juil'!BE44)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46231</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46231</v>
      </c>
      <c r="AX47" s="1761"/>
      <c r="AY47" s="314"/>
      <c r="AZ47" s="1104"/>
      <c r="BA47" s="973"/>
      <c r="BB47" s="543"/>
      <c r="BC47" s="548">
        <f t="shared" si="23"/>
        <v>0</v>
      </c>
      <c r="BD47" s="1104"/>
      <c r="BE47" s="807">
        <f t="shared" si="24"/>
        <v>0</v>
      </c>
      <c r="BF47" s="1128"/>
      <c r="BG47" s="222"/>
      <c r="BH47" s="548" t="str">
        <f t="shared" si="25"/>
        <v/>
      </c>
      <c r="BI47" s="1128"/>
      <c r="BJ47" s="129" t="str">
        <f t="shared" si="26"/>
        <v>Fiche infoA2</v>
      </c>
      <c r="BK47" s="129">
        <f t="shared" si="49"/>
        <v>31</v>
      </c>
      <c r="BL47" s="129" t="str">
        <f t="shared" si="4"/>
        <v>A</v>
      </c>
      <c r="BM47" s="129">
        <f t="shared" si="50"/>
        <v>2</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IF(CF47="",Juin!CE47,CF47)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46231</v>
      </c>
      <c r="ER47" s="749">
        <f t="shared" si="10"/>
        <v>0</v>
      </c>
      <c r="ES47" s="750">
        <f t="shared" si="11"/>
        <v>0</v>
      </c>
      <c r="ET47" s="749">
        <f t="shared" si="12"/>
        <v>0</v>
      </c>
      <c r="EU47" s="750">
        <f t="shared" si="13"/>
        <v>0</v>
      </c>
      <c r="EV47" s="749" t="str">
        <f t="shared" si="14"/>
        <v/>
      </c>
      <c r="EW47" s="751">
        <f t="shared" si="29"/>
        <v>46231</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31</v>
      </c>
      <c r="GA47" s="129">
        <f t="shared" si="39"/>
        <v>2026</v>
      </c>
      <c r="GB47" s="129" t="str">
        <f t="shared" si="40"/>
        <v>312026</v>
      </c>
      <c r="GC47" s="223">
        <f>IF(AND($GD$53=S.CAL!$P$3,$GD$52=FZ47),GE47,IF(BH47="",0,BH47))</f>
        <v>0</v>
      </c>
      <c r="GD47" s="129" t="str">
        <f>IFERROR(+Aout!$BY$2&amp;BL47&amp;BM47,0)</f>
        <v>Fiche infoA2</v>
      </c>
      <c r="GE47" s="129" t="str">
        <f t="shared" si="19"/>
        <v/>
      </c>
      <c r="GF47" s="223" t="str">
        <f t="shared" si="41"/>
        <v/>
      </c>
      <c r="GG47" s="1446" t="str">
        <f>+'Retenue Juil'!D45</f>
        <v/>
      </c>
      <c r="GH47" s="1446">
        <f>IF(Identification!$B$132="Non",+'Retenue Juil'!BF45,+'Retenue Juil'!BE45)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46232</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46232</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infoA3</v>
      </c>
      <c r="BK48" s="129">
        <f t="shared" si="49"/>
        <v>31</v>
      </c>
      <c r="BL48" s="129" t="str">
        <f t="shared" si="4"/>
        <v>A</v>
      </c>
      <c r="BM48" s="129">
        <f>IFERROR(WEEKDAY(AB48,2),0)</f>
        <v>3</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46232</v>
      </c>
      <c r="ER48" s="749">
        <f t="shared" si="10"/>
        <v>0</v>
      </c>
      <c r="ES48" s="750">
        <f t="shared" si="11"/>
        <v>0</v>
      </c>
      <c r="ET48" s="749">
        <f t="shared" si="12"/>
        <v>0</v>
      </c>
      <c r="EU48" s="750">
        <f t="shared" si="13"/>
        <v>0</v>
      </c>
      <c r="EV48" s="749" t="str">
        <f t="shared" si="14"/>
        <v/>
      </c>
      <c r="EW48" s="751">
        <f t="shared" si="29"/>
        <v>46232</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31</v>
      </c>
      <c r="GA48" s="129">
        <f t="shared" si="39"/>
        <v>2026</v>
      </c>
      <c r="GB48" s="129" t="str">
        <f t="shared" si="40"/>
        <v>312026</v>
      </c>
      <c r="GC48" s="223">
        <f>IF(AND($GD$53=S.CAL!$P$3,$GD$52=FZ48),GE48,IF(BH48="",0,BH48))</f>
        <v>0</v>
      </c>
      <c r="GD48" s="129" t="str">
        <f>IFERROR(+Aout!$BY$2&amp;BL48&amp;BM48,0)</f>
        <v>Fiche infoA3</v>
      </c>
      <c r="GE48" s="129" t="str">
        <f t="shared" si="19"/>
        <v/>
      </c>
      <c r="GF48" s="223" t="str">
        <f t="shared" si="41"/>
        <v/>
      </c>
      <c r="GG48" s="1446" t="str">
        <f>+'Retenue Juil'!D46</f>
        <v/>
      </c>
      <c r="GH48" s="1446">
        <f>IF(Identification!$B$132="Non",+'Retenue Juil'!BF46,+'Retenue Juil'!BE46)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46233</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46233</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infoA4</v>
      </c>
      <c r="BK49" s="129">
        <f t="shared" si="49"/>
        <v>31</v>
      </c>
      <c r="BL49" s="129" t="str">
        <f t="shared" si="4"/>
        <v>A</v>
      </c>
      <c r="BM49" s="129">
        <f>IFERROR(WEEKDAY(AB49,2),0)</f>
        <v>4</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IF(CF49="",Juin!CE49,CF49)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46233</v>
      </c>
      <c r="ER49" s="749">
        <f t="shared" si="10"/>
        <v>0</v>
      </c>
      <c r="ES49" s="750">
        <f t="shared" si="11"/>
        <v>0</v>
      </c>
      <c r="ET49" s="749">
        <f t="shared" si="12"/>
        <v>0</v>
      </c>
      <c r="EU49" s="750">
        <f t="shared" si="13"/>
        <v>0</v>
      </c>
      <c r="EV49" s="749" t="str">
        <f t="shared" si="14"/>
        <v/>
      </c>
      <c r="EW49" s="751">
        <f t="shared" si="29"/>
        <v>46233</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31</v>
      </c>
      <c r="GA49" s="129">
        <f t="shared" si="39"/>
        <v>2026</v>
      </c>
      <c r="GB49" s="129" t="str">
        <f t="shared" ref="GB49:GB50" si="67">+FZ49&amp;GA49</f>
        <v>312026</v>
      </c>
      <c r="GC49" s="223">
        <f>IF(AND($GD$53=S.CAL!$P$3,$GD$52=FZ49),GE49,IF(BH49="",0,BH49))</f>
        <v>0</v>
      </c>
      <c r="GD49" s="129" t="str">
        <f>IFERROR(+Aout!$BY$2&amp;BL49&amp;BM49,0)</f>
        <v>Fiche infoA4</v>
      </c>
      <c r="GE49" s="129" t="str">
        <f t="shared" si="19"/>
        <v/>
      </c>
      <c r="GF49" s="223" t="str">
        <f t="shared" ref="GF49:GF50" si="68">IF(FP49=1,GG49,AM49)</f>
        <v/>
      </c>
      <c r="GG49" s="1446" t="str">
        <f>+'Retenue Juil'!D47</f>
        <v/>
      </c>
      <c r="GH49" s="1446">
        <f>IF(Identification!$B$132="Non",+'Retenue Juil'!BF47,+'Retenue Juil'!BE47)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f>IF(AB20+30&lt;DATE(YEAR(AB20),MONTH(AB20)+1,DAY(AB20)),AB20+30,"")</f>
        <v>46234</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f t="shared" si="22"/>
        <v>46234</v>
      </c>
      <c r="AX50" s="2027"/>
      <c r="AY50" s="314"/>
      <c r="AZ50" s="1105"/>
      <c r="BA50" s="974"/>
      <c r="BB50" s="543"/>
      <c r="BC50" s="546">
        <f t="shared" si="23"/>
        <v>0</v>
      </c>
      <c r="BD50" s="1105"/>
      <c r="BE50" s="808">
        <f t="shared" si="24"/>
        <v>0</v>
      </c>
      <c r="BF50" s="1129"/>
      <c r="BG50" s="222"/>
      <c r="BH50" s="546" t="str">
        <f t="shared" si="25"/>
        <v/>
      </c>
      <c r="BI50" s="1129"/>
      <c r="BJ50" s="129" t="str">
        <f t="shared" si="66"/>
        <v>Fiche infoA5</v>
      </c>
      <c r="BK50" s="129">
        <f t="shared" si="49"/>
        <v>31</v>
      </c>
      <c r="BL50" s="129" t="str">
        <f t="shared" si="4"/>
        <v>A</v>
      </c>
      <c r="BM50" s="129">
        <f>IFERROR(WEEKDAY(AB50,2),0)</f>
        <v>5</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46234</v>
      </c>
      <c r="ER50" s="769">
        <f t="shared" si="10"/>
        <v>0</v>
      </c>
      <c r="ES50" s="770">
        <f t="shared" si="11"/>
        <v>0</v>
      </c>
      <c r="ET50" s="769">
        <f t="shared" si="12"/>
        <v>0</v>
      </c>
      <c r="EU50" s="770">
        <f t="shared" si="13"/>
        <v>0</v>
      </c>
      <c r="EV50" s="769" t="str">
        <f t="shared" si="14"/>
        <v/>
      </c>
      <c r="EW50" s="771">
        <f t="shared" si="29"/>
        <v>46234</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31</v>
      </c>
      <c r="GA50" s="129">
        <f t="shared" si="39"/>
        <v>2026</v>
      </c>
      <c r="GB50" s="129" t="str">
        <f t="shared" si="67"/>
        <v>312026</v>
      </c>
      <c r="GC50" s="223">
        <f>IF(AND($GD$53=S.CAL!$P$3,$GD$52=FZ50),GE50,IF(BH50="",0,BH50))</f>
        <v>0</v>
      </c>
      <c r="GD50" s="129" t="str">
        <f>IFERROR(+Aout!$BY$2&amp;BL50&amp;BM50,0)</f>
        <v>Fiche infoA5</v>
      </c>
      <c r="GE50" s="129" t="str">
        <f t="shared" si="19"/>
        <v/>
      </c>
      <c r="GF50" s="223" t="str">
        <f t="shared" si="68"/>
        <v/>
      </c>
      <c r="GG50" s="1446" t="str">
        <f>+'Retenue Juil'!D48</f>
        <v/>
      </c>
      <c r="GH50" s="1446">
        <f>IF(Identification!$B$132="Non",+'Retenue Juil'!BF48,+'Retenue Juil'!BE48)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31</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IF(CF53="",+Juin!CE53,CF53)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IF(CF54="",Juin!CE54,CF54)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IF(CF55&gt;0,CF55,IF(AND(CE53=Juin!CE53,CE54=Juin!CE54),Juin!CE55,IF(OR(CE53&lt;&gt;Juin!CE53,CE54&lt;&gt;Juin!CE54),CE53/CE54)))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Juil'!E52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+IF(BY57="",Juin!BY56,BY57)</f>
        <v>24</v>
      </c>
      <c r="BZ56" s="611" t="s">
        <v>1049</v>
      </c>
      <c r="CA56" s="614">
        <f>+IF(CA57="",Juin!CA56,CA57)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IF(CF57="",+Juin!CE57,CF57)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IF(CF58="",Juin!CE58,CF58)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+IF(CA61="",Juin!CA60,CA61)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+IF(BA65="",Juin!K67,BA65)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+IF(BA68="",Juin!K68,BA68)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E74+Juin!H74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E75+Juin!H75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Juil'!EH51=0,"",'Retenue Juil'!EH51),AX76)</f>
        <v/>
      </c>
      <c r="AZ75" s="1772"/>
      <c r="BA75" s="918" t="str">
        <f>+IF(BA76="",IF('Retenue Juil'!EF51=0,"",'Retenue Juil'!EF51),BA76)</f>
        <v/>
      </c>
      <c r="BB75" s="919"/>
      <c r="BC75" s="920" t="str">
        <f>IF(BC76="",IF(+'Retenue Juil'!EG51=0,"",'Retenue Juil'!EG51),BC76)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Juil'!E50&amp;" hrs / "&amp;'Retenue Juil'!D50&amp;"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E76+Juin!H76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+E77+Juin!H77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+IF(AR78="",Juin!AL78,AR78)</f>
        <v>0</v>
      </c>
      <c r="AM78" s="2299"/>
      <c r="AN78" s="2299"/>
      <c r="AO78" s="2299"/>
      <c r="AQ78" s="420" t="s">
        <v>750</v>
      </c>
      <c r="AR78" s="2344"/>
      <c r="AS78" s="2344"/>
      <c r="AT78" s="2058" t="str">
        <f>IFERROR(VLOOKUP(AY78,'Liste des Libellés'!$A$4:$F$32,6,FALSE),"")</f>
        <v/>
      </c>
      <c r="AU78" s="2058"/>
      <c r="AV78" s="2058"/>
      <c r="AW78" s="2058"/>
      <c r="AX78" s="917"/>
      <c r="AY78" s="1772" t="str">
        <f>+IF(AX79="",IF('Retenue Juil'!EH53=0,"",'Retenue Juil'!EH53),AX79)</f>
        <v/>
      </c>
      <c r="AZ78" s="1772"/>
      <c r="BA78" s="918" t="str">
        <f>+IF(BA79="",IF('Retenue Juil'!EF53=0,"",'Retenue Juil'!EF53),BA79)</f>
        <v/>
      </c>
      <c r="BB78" s="919"/>
      <c r="BC78" s="920" t="str">
        <f>IF(BC79="",IF(+'Retenue Juil'!EG53=0,"",'Retenue Juil'!EG53),BC79)</f>
        <v/>
      </c>
      <c r="BD78" s="952"/>
      <c r="BE78" s="129"/>
      <c r="BF78" s="129"/>
      <c r="BG78" s="129"/>
      <c r="BH78" s="129"/>
      <c r="BI78" s="129"/>
      <c r="CA78" s="649"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84" t="s">
        <v>141</v>
      </c>
      <c r="B80" s="1984"/>
      <c r="C80" s="1984"/>
      <c r="D80" s="1984"/>
      <c r="E80" s="2366"/>
      <c r="F80" s="2324" t="str">
        <f>+Juin!F80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Juil'!EH55=0,"",'Retenue Juil'!EH55),AX82)</f>
        <v/>
      </c>
      <c r="AZ81" s="1772"/>
      <c r="BA81" s="918" t="str">
        <f>+IF(BA82="",IF('Retenue Juil'!EF55=0,"",'Retenue Juil'!EF55),BA82)</f>
        <v/>
      </c>
      <c r="BB81" s="919"/>
      <c r="BC81" s="920" t="str">
        <f>IF(BC82="",IF(+'Retenue Juil'!EG55=0,"",'Retenue Juil'!EG55),BC82)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Juil'!EH57=0,"",'Retenue Juil'!EH57),AX85)</f>
        <v/>
      </c>
      <c r="AZ84" s="1772"/>
      <c r="BA84" s="918" t="str">
        <f>+IF(BA85="",IF('Retenue Juil'!EF57=0,"",'Retenue Juil'!EF57),BA85)</f>
        <v/>
      </c>
      <c r="BB84" s="919"/>
      <c r="BC84" s="920" t="str">
        <f>IF(BC85="",IF(+'Retenue Juil'!EG57=0,"",'Retenue Juil'!EG57),BC85)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Juin!F86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IF(AR86="",+Juin!AH86,AR86)</f>
        <v>0</v>
      </c>
      <c r="AI86" s="1734"/>
      <c r="AJ86" s="1734"/>
      <c r="AK86" s="1735"/>
      <c r="AL86" s="1733">
        <f>IF(AS86="",IF(DP8=52,+EI29+Juin!AL86,+EI25+Juin!AL86),IF(DP8=52,+EI29+Juin!AL86+AS86,+EI25+Juin!AL86+AS86))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46234</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+Juin!AH87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+Juin!AH89+Juin!AH90</f>
        <v>0</v>
      </c>
      <c r="AI89" s="1734"/>
      <c r="AJ89" s="1734"/>
      <c r="AK89" s="1735"/>
      <c r="AL89" s="1733">
        <f>+Juin!AL90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+Juin!G99</f>
        <v>0</v>
      </c>
      <c r="H99" s="2411"/>
      <c r="I99" s="241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+Juin!G100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272026</v>
      </c>
      <c r="BA107" s="1450">
        <f>+$AT$4</f>
        <v>27</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282026</v>
      </c>
      <c r="BA108" s="1455">
        <f>+$AT$5</f>
        <v>28</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292026</v>
      </c>
      <c r="BA109" s="1455">
        <f>+$AT$6</f>
        <v>29</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302026</v>
      </c>
      <c r="BA110" s="1455">
        <f>+$AT$7</f>
        <v>30</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312026</v>
      </c>
      <c r="BA111" s="1455">
        <f>+$AT$8</f>
        <v>31</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272026</v>
      </c>
      <c r="BA142" s="1450">
        <f>+$AT$4</f>
        <v>27</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282026</v>
      </c>
      <c r="BA143" s="1455">
        <f>+$AT$5</f>
        <v>28</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292026</v>
      </c>
      <c r="BA144" s="1455">
        <f>+$AT$6</f>
        <v>29</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302026</v>
      </c>
      <c r="BA145" s="1455">
        <f>+$AT$7</f>
        <v>30</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312026</v>
      </c>
      <c r="BA146" s="1455">
        <f>+$AT$8</f>
        <v>31</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2d780vgmKHTPkAkdvPwfongWF8TteprFeGRtd+3Mnqy2U6P0SU4Rz338aJyCWIXpcE3xTiINQAJISul9ubBS7A==" saltValue="oR1LyJ3xXYKXgQII5kEVlw=="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768" priority="16">
      <formula>$U$14=0</formula>
    </cfRule>
  </conditionalFormatting>
  <conditionalFormatting sqref="B26:K26">
    <cfRule type="expression" dxfId="767" priority="26">
      <formula>$U$14=0</formula>
    </cfRule>
  </conditionalFormatting>
  <conditionalFormatting sqref="B29:K29">
    <cfRule type="cellIs" dxfId="766" priority="13" operator="greaterThan">
      <formula>0</formula>
    </cfRule>
  </conditionalFormatting>
  <conditionalFormatting sqref="C70:G70">
    <cfRule type="cellIs" dxfId="765" priority="7" operator="greaterThan">
      <formula>0</formula>
    </cfRule>
  </conditionalFormatting>
  <conditionalFormatting sqref="F87:I87">
    <cfRule type="cellIs" dxfId="764" priority="2" operator="greaterThan">
      <formula>0</formula>
    </cfRule>
  </conditionalFormatting>
  <conditionalFormatting sqref="F86:L86">
    <cfRule type="cellIs" dxfId="763" priority="3" operator="greaterThan">
      <formula>0</formula>
    </cfRule>
  </conditionalFormatting>
  <conditionalFormatting sqref="H65:J65">
    <cfRule type="expression" dxfId="762" priority="40">
      <formula>AND($AX$60="Oui",$AZ$62="hrs")</formula>
    </cfRule>
    <cfRule type="expression" dxfId="761" priority="38">
      <formula>AND($AX$60="Oui",$AZ$62="")</formula>
    </cfRule>
  </conditionalFormatting>
  <conditionalFormatting sqref="H66:J66">
    <cfRule type="expression" dxfId="760" priority="36">
      <formula>AND($BW$41="Non",$AX$61="Non")</formula>
    </cfRule>
    <cfRule type="expression" dxfId="759" priority="35">
      <formula>AND($AX$61="Oui",$AZ$63="jrs")</formula>
    </cfRule>
    <cfRule type="expression" dxfId="758" priority="34">
      <formula>AND($AX$61="Oui",$AZ$63="")</formula>
    </cfRule>
    <cfRule type="expression" dxfId="757" priority="37">
      <formula>AND($BW$41="Oui",$AX$61="Non")</formula>
    </cfRule>
  </conditionalFormatting>
  <conditionalFormatting sqref="H70:J71">
    <cfRule type="cellIs" dxfId="756" priority="6" operator="greaterThan">
      <formula>0</formula>
    </cfRule>
  </conditionalFormatting>
  <conditionalFormatting sqref="H65:K66">
    <cfRule type="cellIs" dxfId="755" priority="33" operator="equal">
      <formula>0</formula>
    </cfRule>
  </conditionalFormatting>
  <conditionalFormatting sqref="H67:M68">
    <cfRule type="cellIs" dxfId="754" priority="54" operator="equal">
      <formula>0</formula>
    </cfRule>
  </conditionalFormatting>
  <conditionalFormatting sqref="H69:M69">
    <cfRule type="cellIs" dxfId="753" priority="8" operator="greaterThan">
      <formula>0</formula>
    </cfRule>
  </conditionalFormatting>
  <conditionalFormatting sqref="H40:Z60">
    <cfRule type="cellIs" dxfId="752" priority="32" operator="equal">
      <formula>0</formula>
    </cfRule>
  </conditionalFormatting>
  <conditionalFormatting sqref="K81:K82 L82:T83 K88:T88 K89:Q90">
    <cfRule type="expression" dxfId="751" priority="514">
      <formula>$EO$6="OUI"</formula>
    </cfRule>
  </conditionalFormatting>
  <conditionalFormatting sqref="K87">
    <cfRule type="expression" dxfId="750" priority="4">
      <formula>$EO$6="OUI"</formula>
    </cfRule>
  </conditionalFormatting>
  <conditionalFormatting sqref="L18:O19">
    <cfRule type="cellIs" dxfId="749" priority="20" operator="equal">
      <formula>0</formula>
    </cfRule>
  </conditionalFormatting>
  <conditionalFormatting sqref="L21:O22">
    <cfRule type="cellIs" dxfId="748" priority="31" operator="equal">
      <formula>0</formula>
    </cfRule>
  </conditionalFormatting>
  <conditionalFormatting sqref="L27:O28">
    <cfRule type="cellIs" dxfId="747" priority="14" operator="greaterThan">
      <formula>0</formula>
    </cfRule>
  </conditionalFormatting>
  <conditionalFormatting sqref="L30:O32">
    <cfRule type="cellIs" dxfId="746" priority="12" operator="greaterThan">
      <formula>0</formula>
    </cfRule>
  </conditionalFormatting>
  <conditionalFormatting sqref="L34:O34">
    <cfRule type="cellIs" dxfId="745" priority="10" operator="greaterThan">
      <formula>0</formula>
    </cfRule>
  </conditionalFormatting>
  <conditionalFormatting sqref="L23:S24">
    <cfRule type="cellIs" dxfId="744" priority="15" operator="greaterThan">
      <formula>0</formula>
    </cfRule>
  </conditionalFormatting>
  <conditionalFormatting sqref="L25:S26">
    <cfRule type="containsErrors" dxfId="743" priority="24">
      <formula>ISERROR(L25)</formula>
    </cfRule>
    <cfRule type="cellIs" dxfId="742" priority="25" operator="equal">
      <formula>0</formula>
    </cfRule>
  </conditionalFormatting>
  <conditionalFormatting sqref="M87:T87">
    <cfRule type="expression" dxfId="741" priority="511">
      <formula>$EO$6="OUI"</formula>
    </cfRule>
  </conditionalFormatting>
  <conditionalFormatting sqref="N65:P71">
    <cfRule type="cellIs" dxfId="740" priority="60" operator="equal">
      <formula>0</formula>
    </cfRule>
  </conditionalFormatting>
  <conditionalFormatting sqref="O86">
    <cfRule type="expression" dxfId="739" priority="515">
      <formula>EO6="OUI"</formula>
    </cfRule>
  </conditionalFormatting>
  <conditionalFormatting sqref="O14:T14">
    <cfRule type="expression" dxfId="738" priority="209">
      <formula>$U$14=0</formula>
    </cfRule>
  </conditionalFormatting>
  <conditionalFormatting sqref="P20">
    <cfRule type="expression" dxfId="737" priority="17">
      <formula>$DP$14=1</formula>
    </cfRule>
  </conditionalFormatting>
  <conditionalFormatting sqref="P18:S18">
    <cfRule type="expression" dxfId="736" priority="21">
      <formula>$L$18=0</formula>
    </cfRule>
  </conditionalFormatting>
  <conditionalFormatting sqref="P19:S19">
    <cfRule type="expression" dxfId="735" priority="19">
      <formula>$L$19=0</formula>
    </cfRule>
  </conditionalFormatting>
  <conditionalFormatting sqref="P21:S21">
    <cfRule type="expression" dxfId="734" priority="30">
      <formula>$L$21=0</formula>
    </cfRule>
  </conditionalFormatting>
  <conditionalFormatting sqref="P22:S22">
    <cfRule type="expression" dxfId="733" priority="29">
      <formula>$L$22=0</formula>
    </cfRule>
  </conditionalFormatting>
  <conditionalFormatting sqref="R87:T87">
    <cfRule type="expression" dxfId="732" priority="510">
      <formula>$EO$7="OUI"</formula>
    </cfRule>
  </conditionalFormatting>
  <conditionalFormatting sqref="R89:T89">
    <cfRule type="expression" dxfId="731" priority="506">
      <formula>$EO$6="OUI"</formula>
    </cfRule>
    <cfRule type="expression" dxfId="730" priority="505">
      <formula>$EO$8="OUI"</formula>
    </cfRule>
  </conditionalFormatting>
  <conditionalFormatting sqref="R90:T90">
    <cfRule type="expression" dxfId="729" priority="512">
      <formula>$EO$7="OUI"</formula>
    </cfRule>
    <cfRule type="expression" dxfId="728" priority="513">
      <formula>$EO$6="OUI"</formula>
    </cfRule>
  </conditionalFormatting>
  <conditionalFormatting sqref="T20">
    <cfRule type="expression" dxfId="727" priority="18">
      <formula>$DP$14=1</formula>
    </cfRule>
  </conditionalFormatting>
  <conditionalFormatting sqref="T30:T32">
    <cfRule type="cellIs" dxfId="726" priority="28" operator="equal">
      <formula>0</formula>
    </cfRule>
  </conditionalFormatting>
  <conditionalFormatting sqref="T18:W19">
    <cfRule type="cellIs" dxfId="725" priority="22" operator="equal">
      <formula>0</formula>
    </cfRule>
  </conditionalFormatting>
  <conditionalFormatting sqref="T21:W28">
    <cfRule type="cellIs" dxfId="724" priority="27" operator="equal">
      <formula>0</formula>
    </cfRule>
  </conditionalFormatting>
  <conditionalFormatting sqref="T29:W29">
    <cfRule type="cellIs" dxfId="723" priority="11" operator="greaterThan">
      <formula>0</formula>
    </cfRule>
  </conditionalFormatting>
  <conditionalFormatting sqref="T33:W33">
    <cfRule type="cellIs" dxfId="722" priority="9" operator="greaterThan">
      <formula>0</formula>
    </cfRule>
  </conditionalFormatting>
  <conditionalFormatting sqref="T34:W34">
    <cfRule type="cellIs" dxfId="721" priority="23" operator="equal">
      <formula>0</formula>
    </cfRule>
  </conditionalFormatting>
  <conditionalFormatting sqref="U14:X14">
    <cfRule type="cellIs" dxfId="720" priority="207" operator="equal">
      <formula>0</formula>
    </cfRule>
  </conditionalFormatting>
  <conditionalFormatting sqref="V80:AF81">
    <cfRule type="cellIs" dxfId="719" priority="1" operator="notEqual">
      <formula>"Commentaires :"</formula>
    </cfRule>
  </conditionalFormatting>
  <conditionalFormatting sqref="Y73:AO75">
    <cfRule type="expression" dxfId="718" priority="64">
      <formula>$DP$8=52</formula>
    </cfRule>
  </conditionalFormatting>
  <conditionalFormatting sqref="AB20:AC50">
    <cfRule type="expression" dxfId="717" priority="430">
      <formula>VLOOKUP(AB20,base_feries,1,FALSE)</formula>
    </cfRule>
    <cfRule type="expression" dxfId="716" priority="429">
      <formula>OR(WEEKDAY(AB20,2)=6,WEEKDAY(AB20,2)=7)</formula>
    </cfRule>
    <cfRule type="expression" dxfId="715" priority="428">
      <formula>WEEKDAY(AB20,2)=7</formula>
    </cfRule>
  </conditionalFormatting>
  <conditionalFormatting sqref="AD20:AF50">
    <cfRule type="cellIs" dxfId="714" priority="300" operator="equal">
      <formula>0</formula>
    </cfRule>
    <cfRule type="expression" dxfId="713" priority="299">
      <formula>FC20="oui"</formula>
    </cfRule>
  </conditionalFormatting>
  <conditionalFormatting sqref="AG20:AI50">
    <cfRule type="expression" dxfId="712" priority="301">
      <formula>FC20="oui"</formula>
    </cfRule>
  </conditionalFormatting>
  <conditionalFormatting sqref="AH83:AH84">
    <cfRule type="cellIs" dxfId="711" priority="524" stopIfTrue="1" operator="equal">
      <formula>0</formula>
    </cfRule>
  </conditionalFormatting>
  <conditionalFormatting sqref="AH89:AH91">
    <cfRule type="cellIs" dxfId="710" priority="69" stopIfTrue="1" operator="equal">
      <formula>0</formula>
    </cfRule>
  </conditionalFormatting>
  <conditionalFormatting sqref="AH93:AK93">
    <cfRule type="cellIs" dxfId="709" priority="516" operator="equal">
      <formula>0</formula>
    </cfRule>
  </conditionalFormatting>
  <conditionalFormatting sqref="AH86:AL87">
    <cfRule type="cellIs" dxfId="708" priority="65" stopIfTrue="1" operator="equal">
      <formula>0</formula>
    </cfRule>
  </conditionalFormatting>
  <conditionalFormatting sqref="AH92:AO92">
    <cfRule type="cellIs" dxfId="707" priority="239" operator="lessThan">
      <formula>-0.001</formula>
    </cfRule>
  </conditionalFormatting>
  <conditionalFormatting sqref="AJ20:AL50">
    <cfRule type="expression" dxfId="706" priority="302">
      <formula>FC20="oui"</formula>
    </cfRule>
  </conditionalFormatting>
  <conditionalFormatting sqref="AL83">
    <cfRule type="cellIs" dxfId="705" priority="523" stopIfTrue="1" operator="equal">
      <formula>0</formula>
    </cfRule>
  </conditionalFormatting>
  <conditionalFormatting sqref="AL89:AL91">
    <cfRule type="cellIs" dxfId="704" priority="68" stopIfTrue="1" operator="equal">
      <formula>0</formula>
    </cfRule>
  </conditionalFormatting>
  <conditionalFormatting sqref="AL93">
    <cfRule type="cellIs" dxfId="703" priority="521" stopIfTrue="1" operator="equal">
      <formula>0</formula>
    </cfRule>
  </conditionalFormatting>
  <conditionalFormatting sqref="AM20:AO50">
    <cfRule type="expression" dxfId="702" priority="303">
      <formula>FC20="oui"</formula>
    </cfRule>
  </conditionalFormatting>
  <conditionalFormatting sqref="AP20:AP50">
    <cfRule type="expression" dxfId="701" priority="147">
      <formula>BL20="E"</formula>
    </cfRule>
    <cfRule type="expression" dxfId="700" priority="150">
      <formula>BL20="B"</formula>
    </cfRule>
    <cfRule type="expression" dxfId="699" priority="149">
      <formula>BL20="C"</formula>
    </cfRule>
    <cfRule type="expression" dxfId="698" priority="148">
      <formula>BL20="D"</formula>
    </cfRule>
    <cfRule type="expression" dxfId="697" priority="144">
      <formula>BL20="H"</formula>
    </cfRule>
    <cfRule type="expression" dxfId="696" priority="145">
      <formula>BL20="G"</formula>
    </cfRule>
    <cfRule type="expression" dxfId="695" priority="146">
      <formula>BL20="F"</formula>
    </cfRule>
  </conditionalFormatting>
  <conditionalFormatting sqref="AQ62:AU62">
    <cfRule type="expression" dxfId="694" priority="46">
      <formula>$AT$60="Non"</formula>
    </cfRule>
  </conditionalFormatting>
  <conditionalFormatting sqref="AQ63:AU63">
    <cfRule type="expression" dxfId="693" priority="43">
      <formula>$AT$61="Non"</formula>
    </cfRule>
  </conditionalFormatting>
  <conditionalFormatting sqref="AR20:AR50">
    <cfRule type="expression" dxfId="692" priority="189">
      <formula>AND(AR20&lt;&gt;"",AZ20&lt;&gt;"")</formula>
    </cfRule>
    <cfRule type="expression" dxfId="691" priority="185">
      <formula>FN20=10</formula>
    </cfRule>
    <cfRule type="expression" dxfId="690" priority="181">
      <formula>FC20="oui"</formula>
    </cfRule>
    <cfRule type="expression" dxfId="689" priority="173">
      <formula>AB20=""</formula>
    </cfRule>
  </conditionalFormatting>
  <conditionalFormatting sqref="AR17:BJ50">
    <cfRule type="expression" dxfId="688" priority="49">
      <formula>$EX$13="oui"</formula>
    </cfRule>
  </conditionalFormatting>
  <conditionalFormatting sqref="AS51:BJ51 DK51">
    <cfRule type="expression" dxfId="687" priority="134">
      <formula>$EX$13="oui"</formula>
    </cfRule>
  </conditionalFormatting>
  <conditionalFormatting sqref="AT4:AT10">
    <cfRule type="expression" dxfId="686" priority="445">
      <formula>AU4="H"</formula>
    </cfRule>
    <cfRule type="expression" dxfId="685" priority="447">
      <formula>AU4="F"</formula>
    </cfRule>
    <cfRule type="expression" dxfId="684" priority="448">
      <formula>AU4="E"</formula>
    </cfRule>
    <cfRule type="expression" dxfId="683" priority="449">
      <formula>AU4="D"</formula>
    </cfRule>
    <cfRule type="expression" dxfId="682" priority="451">
      <formula>AU4="B"</formula>
    </cfRule>
    <cfRule type="expression" dxfId="681" priority="446">
      <formula>AU4="G"</formula>
    </cfRule>
    <cfRule type="expression" dxfId="680" priority="450">
      <formula>AU4="C"</formula>
    </cfRule>
  </conditionalFormatting>
  <conditionalFormatting sqref="AT20:AT50">
    <cfRule type="expression" dxfId="679" priority="184">
      <formula>FC20="oui"</formula>
    </cfRule>
    <cfRule type="expression" dxfId="678" priority="180">
      <formula>AB20=""</formula>
    </cfRule>
  </conditionalFormatting>
  <conditionalFormatting sqref="AU4:AU10">
    <cfRule type="expression" dxfId="677" priority="381">
      <formula>FG4="rouge"</formula>
    </cfRule>
    <cfRule type="expression" dxfId="676" priority="380">
      <formula>AT4=""</formula>
    </cfRule>
  </conditionalFormatting>
  <conditionalFormatting sqref="AU20:AU50">
    <cfRule type="expression" dxfId="675" priority="179">
      <formula>AB20=""</formula>
    </cfRule>
    <cfRule type="expression" dxfId="674" priority="188">
      <formula>FC20="oui"</formula>
    </cfRule>
  </conditionalFormatting>
  <conditionalFormatting sqref="AW20:AX50">
    <cfRule type="expression" dxfId="673" priority="191">
      <formula>WEEKDAY(AW20,2)=7</formula>
    </cfRule>
    <cfRule type="expression" dxfId="672" priority="192">
      <formula>OR(WEEKDAY(AW20,2)=6,WEEKDAY(AW20,2)=7)</formula>
    </cfRule>
    <cfRule type="expression" dxfId="671" priority="193">
      <formula>VLOOKUP(AW20,base_feries,1,FALSE)</formula>
    </cfRule>
  </conditionalFormatting>
  <conditionalFormatting sqref="AX62:AZ62">
    <cfRule type="expression" dxfId="670" priority="45">
      <formula>$AX$60="Non"</formula>
    </cfRule>
  </conditionalFormatting>
  <conditionalFormatting sqref="AX63:AZ63">
    <cfRule type="expression" dxfId="669" priority="42">
      <formula>$AX$61="Non"</formula>
    </cfRule>
  </conditionalFormatting>
  <conditionalFormatting sqref="AZ20:AZ50">
    <cfRule type="expression" dxfId="668" priority="50">
      <formula>AB20=""</formula>
    </cfRule>
    <cfRule type="expression" dxfId="667" priority="53">
      <formula>AND(AR20&lt;&gt;"",AZ20&lt;&gt;"")</formula>
    </cfRule>
    <cfRule type="expression" dxfId="666" priority="52">
      <formula>FL20=10</formula>
    </cfRule>
    <cfRule type="expression" dxfId="665" priority="51">
      <formula>FC20="oui"</formula>
    </cfRule>
  </conditionalFormatting>
  <conditionalFormatting sqref="BA20:BA50">
    <cfRule type="expression" dxfId="664" priority="178">
      <formula>AB20=""</formula>
    </cfRule>
    <cfRule type="expression" dxfId="663" priority="182">
      <formula>FC20="oui"</formula>
    </cfRule>
  </conditionalFormatting>
  <conditionalFormatting sqref="BA62">
    <cfRule type="expression" dxfId="662" priority="44">
      <formula>$BA$60="Non"</formula>
    </cfRule>
  </conditionalFormatting>
  <conditionalFormatting sqref="BA63">
    <cfRule type="expression" dxfId="661" priority="41">
      <formula>$BA$61="Non"</formula>
    </cfRule>
  </conditionalFormatting>
  <conditionalFormatting sqref="BA102 BA103:BH115">
    <cfRule type="expression" dxfId="660" priority="66">
      <formula>$DP$8=52</formula>
    </cfRule>
  </conditionalFormatting>
  <conditionalFormatting sqref="BA137 BA138:BH149">
    <cfRule type="expression" dxfId="659" priority="67">
      <formula>$DP$8=52</formula>
    </cfRule>
  </conditionalFormatting>
  <conditionalFormatting sqref="BC20:BC55">
    <cfRule type="cellIs" dxfId="658" priority="187" operator="equal">
      <formula>0</formula>
    </cfRule>
    <cfRule type="expression" dxfId="657" priority="175">
      <formula>AJ20=""</formula>
    </cfRule>
  </conditionalFormatting>
  <conditionalFormatting sqref="BC112:BH112">
    <cfRule type="expression" dxfId="656" priority="95">
      <formula>$BA$112=""</formula>
    </cfRule>
  </conditionalFormatting>
  <conditionalFormatting sqref="BC147:BH147">
    <cfRule type="expression" dxfId="655" priority="94">
      <formula>$BA$112=""</formula>
    </cfRule>
  </conditionalFormatting>
  <conditionalFormatting sqref="BD20:BD50">
    <cfRule type="expression" dxfId="654" priority="176">
      <formula>FL20="oui"</formula>
    </cfRule>
  </conditionalFormatting>
  <conditionalFormatting sqref="BE20:BE50">
    <cfRule type="expression" dxfId="653" priority="186">
      <formula>OR(BE20=0,BE20="")</formula>
    </cfRule>
  </conditionalFormatting>
  <conditionalFormatting sqref="BH20:BH50">
    <cfRule type="expression" dxfId="652" priority="135">
      <formula>AO20=""</formula>
    </cfRule>
    <cfRule type="cellIs" dxfId="651" priority="172" operator="equal">
      <formula>0</formula>
    </cfRule>
  </conditionalFormatting>
  <conditionalFormatting sqref="BI9:BI14">
    <cfRule type="cellIs" dxfId="650" priority="101" operator="equal">
      <formula>0</formula>
    </cfRule>
  </conditionalFormatting>
  <conditionalFormatting sqref="BQ54">
    <cfRule type="expression" dxfId="649" priority="425">
      <formula>$BW$41="Non"</formula>
    </cfRule>
  </conditionalFormatting>
  <conditionalFormatting sqref="BQ36:CA36">
    <cfRule type="expression" dxfId="648" priority="426">
      <formula>$BW$41="Oui"</formula>
    </cfRule>
  </conditionalFormatting>
  <conditionalFormatting sqref="BS21:CA34">
    <cfRule type="expression" dxfId="647" priority="81">
      <formula>$EO$12="NON"</formula>
    </cfRule>
  </conditionalFormatting>
  <conditionalFormatting sqref="BY28:BY33">
    <cfRule type="notContainsBlanks" dxfId="646" priority="82">
      <formula>LEN(TRIM(BY28))&gt;0</formula>
    </cfRule>
  </conditionalFormatting>
  <conditionalFormatting sqref="BY56">
    <cfRule type="duplicateValues" dxfId="645" priority="473"/>
    <cfRule type="expression" dxfId="644" priority="472">
      <formula>$BW$41="Oui"</formula>
    </cfRule>
  </conditionalFormatting>
  <conditionalFormatting sqref="BY60">
    <cfRule type="expression" dxfId="643" priority="466">
      <formula>$BW$41="Oui"</formula>
    </cfRule>
    <cfRule type="cellIs" dxfId="642" priority="467" operator="lessThan">
      <formula>$BY$59</formula>
    </cfRule>
    <cfRule type="duplicateValues" dxfId="641" priority="468"/>
  </conditionalFormatting>
  <conditionalFormatting sqref="CA56">
    <cfRule type="expression" dxfId="639" priority="276">
      <formula>AND($CA$56&lt;$CE$47,$BW$41="Non")</formula>
    </cfRule>
  </conditionalFormatting>
  <conditionalFormatting sqref="CB78">
    <cfRule type="cellIs" dxfId="638" priority="563" stopIfTrue="1" operator="equal">
      <formula>"NON"</formula>
    </cfRule>
    <cfRule type="cellIs" dxfId="637" priority="564" stopIfTrue="1" operator="equal">
      <formula>"OUI"</formula>
    </cfRule>
  </conditionalFormatting>
  <conditionalFormatting sqref="CE53:CE54">
    <cfRule type="expression" dxfId="636" priority="153">
      <formula>$BW$41="Non"</formula>
    </cfRule>
  </conditionalFormatting>
  <conditionalFormatting sqref="CE57:CE58">
    <cfRule type="expression" dxfId="635" priority="152">
      <formula>$BW$41="Non"</formula>
    </cfRule>
  </conditionalFormatting>
  <conditionalFormatting sqref="CE3:CF3">
    <cfRule type="expression" dxfId="634" priority="114">
      <formula>$CD$3=""</formula>
    </cfRule>
    <cfRule type="expression" dxfId="633" priority="113">
      <formula>AND($CE$3="",$CE$5&lt;&gt;"")</formula>
    </cfRule>
    <cfRule type="expression" dxfId="632" priority="112">
      <formula>$FX$3="vrai"</formula>
    </cfRule>
  </conditionalFormatting>
  <conditionalFormatting sqref="CE5:CF5">
    <cfRule type="expression" dxfId="631" priority="121">
      <formula>OR(AND(CE5&lt;&gt;0,CE5&lt;AJ4),AND(CE5&lt;&gt;0,CE5&gt;EG5),AND(CE5&lt;&gt;0,CE5&lt;AB20))</formula>
    </cfRule>
    <cfRule type="expression" dxfId="630" priority="120">
      <formula>CD5=""</formula>
    </cfRule>
    <cfRule type="expression" dxfId="629" priority="119">
      <formula>$FX$5="vrai"</formula>
    </cfRule>
  </conditionalFormatting>
  <conditionalFormatting sqref="CE8:CF8">
    <cfRule type="cellIs" dxfId="628" priority="118" operator="greaterThan">
      <formula>$CE$5</formula>
    </cfRule>
    <cfRule type="expression" dxfId="627" priority="117">
      <formula>AND(CE8&lt;&gt;0,CE8&lt;AJ4)</formula>
    </cfRule>
    <cfRule type="expression" dxfId="626" priority="116">
      <formula>CD8=""</formula>
    </cfRule>
    <cfRule type="expression" dxfId="625" priority="115">
      <formula>$FX$8="vrai"</formula>
    </cfRule>
  </conditionalFormatting>
  <conditionalFormatting sqref="CF47">
    <cfRule type="notContainsBlanks" dxfId="624" priority="412">
      <formula>LEN(TRIM(CF47))&gt;0</formula>
    </cfRule>
  </conditionalFormatting>
  <conditionalFormatting sqref="CF49">
    <cfRule type="notContainsBlanks" dxfId="623" priority="411">
      <formula>LEN(TRIM(CF49))&gt;0</formula>
    </cfRule>
  </conditionalFormatting>
  <conditionalFormatting sqref="CF53:CF54">
    <cfRule type="expression" dxfId="621" priority="156">
      <formula>$BW$41="Non"</formula>
    </cfRule>
  </conditionalFormatting>
  <conditionalFormatting sqref="CF57:CF58">
    <cfRule type="expression" dxfId="619" priority="154">
      <formula>$BW$41="Non"</formula>
    </cfRule>
  </conditionalFormatting>
  <conditionalFormatting sqref="CG8:CI8">
    <cfRule type="expression" dxfId="617" priority="248">
      <formula>CD8=""</formula>
    </cfRule>
  </conditionalFormatting>
  <conditionalFormatting sqref="GW16:HR16">
    <cfRule type="expression" dxfId="616" priority="402">
      <formula>$AE$123="NON"</formula>
    </cfRule>
  </conditionalFormatting>
  <conditionalFormatting sqref="HG16:HJ16">
    <cfRule type="expression" dxfId="615" priority="4926">
      <formula>AR123&gt;0</formula>
    </cfRule>
  </conditionalFormatting>
  <conditionalFormatting sqref="HK16:HN16">
    <cfRule type="expression" dxfId="614" priority="492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1F00-000000000000}">
      <formula1>0</formula1>
      <formula2>0</formula2>
    </dataValidation>
    <dataValidation type="list" allowBlank="1" showInputMessage="1" showErrorMessage="1" sqref="F80:H80" xr:uid="{00000000-0002-0000-1F00-000001000000}">
      <formula1>"Chèque,Espèce,Virement,Pajemploi +,CESU"</formula1>
    </dataValidation>
    <dataValidation type="list" allowBlank="1" showInputMessage="1" showErrorMessage="1" sqref="F82:H82" xr:uid="{00000000-0002-0000-1F00-000002000000}">
      <formula1>"' ,Chèque,Espèce,Virement,Pajemploi +,CESU"</formula1>
    </dataValidation>
    <dataValidation type="list" allowBlank="1" showInputMessage="1" showErrorMessage="1" sqref="AU4:AU10" xr:uid="{00000000-0002-0000-1F00-000003000000}">
      <formula1>"A,B,C,D,E,F,G,H"</formula1>
    </dataValidation>
    <dataValidation showInputMessage="1" showErrorMessage="1" sqref="BY6" xr:uid="{00000000-0002-0000-1F00-000004000000}"/>
    <dataValidation type="list" allowBlank="1" showInputMessage="1" showErrorMessage="1" sqref="L123:M123 L125:M125 AI127:AJ127 AJ125:AK125 CC132 BF20:BF50" xr:uid="{00000000-0002-0000-1F00-000006000000}">
      <formula1>"OUI,NON"</formula1>
    </dataValidation>
    <dataValidation type="list" allowBlank="1" showInputMessage="1" showErrorMessage="1" sqref="BX41" xr:uid="{00000000-0002-0000-1F00-000007000000}">
      <formula1>Table_utilisation_tab_entretien</formula1>
    </dataValidation>
    <dataValidation type="list" showInputMessage="1" showErrorMessage="1" sqref="AR14:AZ14" xr:uid="{00000000-0002-0000-1F00-000009000000}">
      <formula1>calendrier_bs</formula1>
    </dataValidation>
    <dataValidation type="list" showInputMessage="1" showErrorMessage="1" sqref="BZ118" xr:uid="{00000000-0002-0000-1F00-00000A000000}">
      <formula1>"Scénario 1,Scénario 2,Scénario 3,Scénario 4,"</formula1>
    </dataValidation>
    <dataValidation type="list" allowBlank="1" showInputMessage="1" showErrorMessage="1" sqref="BZ2" xr:uid="{00000000-0002-0000-1F00-00000B000000}">
      <formula1>Source_liste_fiche2</formula1>
    </dataValidation>
    <dataValidation type="list" allowBlank="1" showInputMessage="1" sqref="CF58 CF54 DJ51:DK52" xr:uid="{00000000-0002-0000-1F00-00000C000000}">
      <formula1>"1,2,3,4,5,6,7,8,9,10,11,12,13"</formula1>
    </dataValidation>
    <dataValidation allowBlank="1" showInputMessage="1" sqref="BY56 BY60 CE54 CE58" xr:uid="{00000000-0002-0000-1F00-00000D000000}"/>
    <dataValidation type="list" allowBlank="1" showInputMessage="1" sqref="BY57" xr:uid="{00000000-0002-0000-1F00-00000E000000}">
      <formula1>"0,1,2,3,4,5,6,7,8,9,10,11,12,13,14,24"</formula1>
    </dataValidation>
    <dataValidation type="list" allowBlank="1" showInputMessage="1" showErrorMessage="1" sqref="AX76:AY76 AX79:AY79 AX82:AY82 AX85:AY85" xr:uid="{00000000-0002-0000-1F00-00000F000000}">
      <formula1>liste_attestation_modif_pole</formula1>
    </dataValidation>
    <dataValidation type="list" allowBlank="1" showInputMessage="1" showErrorMessage="1" sqref="CE3:CF3" xr:uid="{00000000-0002-0000-1F00-000010000000}">
      <formula1>motif_rupture</formula1>
    </dataValidation>
    <dataValidation type="list" showInputMessage="1" showErrorMessage="1" error="Vous devez choisir entre :_x000a_ - cellule vide_x000a_ - CP Acq_x000a_ - CP Ant" sqref="AR20:AR50" xr:uid="{00000000-0002-0000-1F00-000011000000}">
      <formula1>Source_pose_CP</formula1>
    </dataValidation>
    <dataValidation type="list" allowBlank="1" showInputMessage="1" showErrorMessage="1" sqref="BA60:BA61 AT60:AT61 AX60:AY61" xr:uid="{C2A548A5-1D02-4155-980F-A8B819AE966F}">
      <formula1>"Non,Oui"</formula1>
    </dataValidation>
    <dataValidation allowBlank="1" showInputMessage="1" showErrorMessage="1" prompt="Vous pouvez choisir avec la petite flèche à droite &quot;Salaires heures normales réelles &quot;" sqref="A18:K18" xr:uid="{373ED2D2-536F-4F32-9FA5-1A7B76654453}"/>
    <dataValidation type="list" errorStyle="information" allowBlank="1" showInputMessage="1" showErrorMessage="1" error="Faites Entrée pour valider le nombre d'heures" sqref="AZ20:AZ50" xr:uid="{677373B3-D30B-458D-AF02-CB97FD009984}">
      <formula1>liste_motif</formula1>
    </dataValidation>
    <dataValidation type="list" allowBlank="1" showInputMessage="1" showErrorMessage="1" sqref="AZ62:AZ63" xr:uid="{8273F4F3-9902-4180-AECC-1DC184BB3A3A}">
      <formula1>liste_hrs_jrs</formula1>
    </dataValidation>
    <dataValidation type="list" allowBlank="1" showInputMessage="1" showErrorMessage="1" sqref="AO131:AP133 AH133:AI133" xr:uid="{43E27230-9BB8-4627-90EE-86173E8AEE35}">
      <formula1>"Oui,Non"</formula1>
    </dataValidation>
    <dataValidation type="list" allowBlank="1" showInputMessage="1" showErrorMessage="1" sqref="AJ135:AK135" xr:uid="{7AE01155-86E4-44C1-90E9-BC9C36ADA0B1}">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FF79DBA9-2003-40E3-87CC-E0E26585A6F5}">
            <xm:f>Janvier!$BY$8="OUI"</xm:f>
            <x14:dxf>
              <font>
                <color theme="0"/>
              </font>
              <fill>
                <patternFill>
                  <bgColor theme="0"/>
                </patternFill>
              </fill>
            </x14:dxf>
          </x14:cfRule>
          <xm:sqref>BZ8</xm:sqref>
        </x14:conditionalFormatting>
        <x14:conditionalFormatting xmlns:xm="http://schemas.microsoft.com/office/excel/2006/main">
          <x14:cfRule type="expression" priority="157" id="{D89E0CBE-EE86-4565-B7C3-0690C60F55C6}">
            <xm:f>AND($EO$11="NON",$CC$44=S.CAL!$BC$4)</xm:f>
            <x14:dxf>
              <fill>
                <patternFill>
                  <bgColor rgb="FFFF0000"/>
                </patternFill>
              </fill>
            </x14:dxf>
          </x14:cfRule>
          <xm:sqref>CF53:CF54</xm:sqref>
        </x14:conditionalFormatting>
        <x14:conditionalFormatting xmlns:xm="http://schemas.microsoft.com/office/excel/2006/main">
          <x14:cfRule type="expression" priority="151" id="{AAA298DE-30DC-406B-8E62-5F01D04ADE70}">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3E57B602-165E-4862-8765-95C75DCAC11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1F00-000013000000}">
          <x14:formula1>
            <xm:f>S.CAL!$V$2:$V$4</xm:f>
          </x14:formula1>
          <xm:sqref>BZ8 AN123:AO123 AN129:AO129</xm:sqref>
        </x14:dataValidation>
        <x14:dataValidation type="list" allowBlank="1" showInputMessage="1" showErrorMessage="1" xr:uid="{00000000-0002-0000-1F00-000014000000}">
          <x14:formula1>
            <xm:f>S.CAL!$S$2:$S$4</xm:f>
          </x14:formula1>
          <xm:sqref>BZ6</xm:sqref>
        </x14:dataValidation>
        <x14:dataValidation type="list" allowBlank="1" showInputMessage="1" showErrorMessage="1" xr:uid="{6DEE6444-B139-435C-9B17-41CB3E5664F8}">
          <x14:formula1>
            <xm:f>S.CAL!$BC$2:$BC$5</xm:f>
          </x14:formula1>
          <xm:sqref>CC45:CD45</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5.7109375" style="129" customWidth="1"/>
    <col min="81" max="81" width="13.710937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DATE(YEAR(Janvier!X3),MONTH(Janvier!X3)+7,DAY(Janvier!X3))</f>
        <v>46235</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31</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IF(Juillet!BY8="OUI","Contrat fini",BY2)</f>
        <v>Fiche info</v>
      </c>
      <c r="EF4" s="315" t="s">
        <v>1028</v>
      </c>
      <c r="EG4" s="737">
        <f>+Identification!B95</f>
        <v>0</v>
      </c>
      <c r="FG4" s="315" t="str">
        <f>IFERROR(IF(VLOOKUP(AT4,Juillet!$AT$4:$AU$10,2,FALSE)&lt;&gt;Aout!AU4,"rouge","ok"),0)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46235</v>
      </c>
      <c r="Y5" s="2206"/>
      <c r="Z5" s="1743" t="s">
        <v>451</v>
      </c>
      <c r="AA5" s="1743"/>
      <c r="AB5" s="2206">
        <f>+IF(AND(DATE(YEAR(EG4),MONTH(EG4),DAY(EG4))&gt;=DATE(YEAR(X3),MONTH(X3),DAY(X3)),DATE(YEAR(EG4),MONTH(EG4),DAY(EG4))&lt;=DATE(YEAR(X3),MONTH(X3),DAY(EOMONTH(X3,0)))),EG4,EOMONTH(X3,0))</f>
        <v>46265</v>
      </c>
      <c r="AC5" s="2210"/>
      <c r="AP5" s="209"/>
      <c r="AQ5" s="318"/>
      <c r="AR5" s="209"/>
      <c r="AS5" s="210"/>
      <c r="AT5" s="301">
        <f t="array" ref="AT5">IFERROR(INDEX($BK$20:$BK$50,MATCH(0,INDEX(COUNTIF($AT$3:AT4,$BK$20:$BK$50),0,0),0)),"")</f>
        <v>32</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46265</v>
      </c>
      <c r="FG5" s="315">
        <f>IFERROR(IF(VLOOKUP(AT5,Juillet!$AT$4:$AU$10,2,FALSE)&lt;&gt;Aout!AU5,"rouge","ok"),0)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33</v>
      </c>
      <c r="AU6" s="1122" t="s">
        <v>226</v>
      </c>
      <c r="BQ6" s="578"/>
      <c r="BR6" s="578"/>
      <c r="BS6" s="578"/>
      <c r="BT6" s="578"/>
      <c r="BU6" s="578"/>
      <c r="BV6" s="578"/>
      <c r="BW6" s="578"/>
      <c r="BX6" s="579" t="s">
        <v>509</v>
      </c>
      <c r="BY6" s="580" t="str">
        <f>+IF(BZ6="",Juillet!BY6,BZ6)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IFERROR(IF(VLOOKUP(AT6,Juillet!$AT$4:$AU$10,2,FALSE)&lt;&gt;Aout!AU6,"rouge","ok"),0)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34</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IFERROR(IF(VLOOKUP(AT7,Juillet!$AT$4:$AU$10,2,FALSE)&lt;&gt;Aout!AU7,"rouge","ok"),0)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35</v>
      </c>
      <c r="AU8" s="1122" t="s">
        <v>226</v>
      </c>
      <c r="BG8" s="240"/>
      <c r="BH8" s="1439" t="str">
        <f>+AT3</f>
        <v>N° Sem.</v>
      </c>
      <c r="BI8" s="1440" t="s">
        <v>1552</v>
      </c>
      <c r="BQ8" s="1985" t="s">
        <v>210</v>
      </c>
      <c r="BR8" s="1986"/>
      <c r="BS8" s="1986"/>
      <c r="BT8" s="1986"/>
      <c r="BU8" s="1986"/>
      <c r="BV8" s="1986"/>
      <c r="BW8" s="1986"/>
      <c r="BX8" s="1986"/>
      <c r="BY8" s="965" t="str">
        <f>IF(BZ8="",Juillet!BY8,BZ8)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IFERROR(IF(VLOOKUP(AT8,Juillet!$AT$4:$AU$10,2,FALSE)&lt;&gt;Aout!AU8,"rouge","ok"),0)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f t="array" ref="AT9">IFERROR(INDEX($BK$20:$BK$50,MATCH(0,INDEX(COUNTIF($AT$3:AT8,$BK$20:$BK$50),0,0),0)),"")</f>
        <v>36</v>
      </c>
      <c r="AU9" s="1122" t="s">
        <v>226</v>
      </c>
      <c r="BG9" s="1430" t="str">
        <f>+BH9&amp;$X$4</f>
        <v>312026</v>
      </c>
      <c r="BH9" s="1441">
        <f t="shared" ref="BH9:BH14" si="0">+AT4</f>
        <v>31</v>
      </c>
      <c r="BI9" s="1442">
        <f>IF($AR$13=S.CAL!$CU$2,+SUMIF(S.CAL!$FW$3:$FW$374,BG9,S.CAL!$FX$3:$FX$374),IF($AR$13=S.CAL!$CU$3,SUMIF(Feuilles_de_présence_planning!$EG$12:$EG$537,BG9,Feuilles_de_présence_planning!$EE$12:$EE$537),"err"))</f>
        <v>0</v>
      </c>
      <c r="BY9" s="196" t="str">
        <f>+IF(Juillet!BY8="OUI","FIN","O")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IFERROR(IF(VLOOKUP(AT9,Juillet!$AT$4:$AU$10,2,FALSE)&lt;&gt;Aout!AU9,"rouge","ok"),0)</f>
        <v>0</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322026</v>
      </c>
      <c r="BH10" s="1441">
        <f t="shared" si="0"/>
        <v>32</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IFERROR(IF(VLOOKUP(AT10,Juillet!$AT$4:$AU$10,2,FALSE)&lt;&gt;Aout!AU10,"rouge","ok"),0)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332026</v>
      </c>
      <c r="BH11" s="1441">
        <f t="shared" si="0"/>
        <v>33</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342026</v>
      </c>
      <c r="BH12" s="1441">
        <f t="shared" si="0"/>
        <v>34</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3</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IF(AR14="",Juillet!AR13,AR14)</f>
        <v>à partir du tableau ci-dessous</v>
      </c>
      <c r="AS13" s="2372"/>
      <c r="AT13" s="2372"/>
      <c r="AU13" s="2372"/>
      <c r="AV13" s="2372"/>
      <c r="AW13" s="2372"/>
      <c r="AX13" s="2372"/>
      <c r="AY13" s="2372"/>
      <c r="AZ13" s="2372"/>
      <c r="BA13" s="2355" t="s">
        <v>1086</v>
      </c>
      <c r="BB13" s="2355"/>
      <c r="BC13" s="2355"/>
      <c r="BD13" s="951"/>
      <c r="BG13" s="1430" t="str">
        <f t="shared" si="1"/>
        <v>352026</v>
      </c>
      <c r="BH13" s="1441">
        <f t="shared" si="0"/>
        <v>35</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Juillet!EO13+Juillet!R89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362026</v>
      </c>
      <c r="BH14" s="1443">
        <f t="shared" si="0"/>
        <v>36</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+Juillet!EF16</f>
        <v>0</v>
      </c>
      <c r="EG16" s="741">
        <f>+Juillet!EG16</f>
        <v>0</v>
      </c>
      <c r="EH16" s="741">
        <f>+Juillet!EH16+Juillet!EH17</f>
        <v>0</v>
      </c>
      <c r="EI16" s="741">
        <f>+Juillet!EI16+Juillet!EI17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Aout'!D18:D48,"&gt;0")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46235</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31</v>
      </c>
      <c r="AQ20" s="322"/>
      <c r="AR20" s="1123"/>
      <c r="AS20" s="314">
        <f t="shared" ref="AS20:AS50" si="3">SUM(AD20:AL20)</f>
        <v>0</v>
      </c>
      <c r="AT20" s="1124"/>
      <c r="AU20" s="1124"/>
      <c r="AV20" s="314"/>
      <c r="AW20" s="2150">
        <f>AB20</f>
        <v>46235</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infoA6</v>
      </c>
      <c r="BK20" s="129">
        <f>IFERROR(WEEKNUM(AB20,21),"")</f>
        <v>31</v>
      </c>
      <c r="BL20" s="129" t="str">
        <f t="shared" ref="BL20:BL50" si="4">+VLOOKUP(BK20,$AT$4:$AU$10,2,)</f>
        <v>A</v>
      </c>
      <c r="BM20" s="129">
        <f t="shared" ref="BM20:BM21" si="5">WEEKDAY(AB20,2)</f>
        <v>6</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46235</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46235</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31</v>
      </c>
      <c r="GA20" s="129">
        <f>+$X$4</f>
        <v>2026</v>
      </c>
      <c r="GB20" s="129" t="str">
        <f>+FZ20&amp;GA20</f>
        <v>312026</v>
      </c>
      <c r="GC20" s="223">
        <f>IF(AND($GD$53=S.CAL!$P$3,$GD$52=FZ20),GE20,IF(BH20="",0,BH20))</f>
        <v>0</v>
      </c>
      <c r="GD20" s="129" t="str">
        <f>IFERROR(+Septembre!$BY$2&amp;BL20&amp;BM20,0)</f>
        <v>Fiche infoA6</v>
      </c>
      <c r="GE20" s="129" t="str">
        <f t="shared" ref="GE20:GE50" si="19">+IFERROR(VLOOKUP(GD20,Base_heures,6,FALSE),"")</f>
        <v/>
      </c>
      <c r="GF20" s="223" t="str">
        <f>IF(FP20=1,GG20,AM20)</f>
        <v/>
      </c>
      <c r="GG20" s="1446" t="str">
        <f>+'Retenue Aout'!D18</f>
        <v/>
      </c>
      <c r="GH20" s="1446">
        <f>IF(Identification!$B$132="Non",+'Retenue Aout'!BF18,+'Retenue Aout'!BE18)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46236</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46236</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infoA7</v>
      </c>
      <c r="BK21" s="129">
        <f t="shared" ref="BK21" si="27">IFERROR(WEEKNUM(AB21,21),"")</f>
        <v>31</v>
      </c>
      <c r="BL21" s="129" t="str">
        <f t="shared" si="4"/>
        <v>A</v>
      </c>
      <c r="BM21" s="129">
        <f t="shared" si="5"/>
        <v>7</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46235</v>
      </c>
      <c r="EJ21" s="737"/>
      <c r="EK21" s="737"/>
      <c r="EQ21" s="748">
        <f t="shared" ref="EQ21" si="28">+AB21</f>
        <v>46236</v>
      </c>
      <c r="ER21" s="749">
        <f t="shared" si="10"/>
        <v>0</v>
      </c>
      <c r="ES21" s="750">
        <f t="shared" si="11"/>
        <v>0</v>
      </c>
      <c r="ET21" s="749">
        <f t="shared" si="12"/>
        <v>0</v>
      </c>
      <c r="EU21" s="750">
        <f t="shared" si="13"/>
        <v>0</v>
      </c>
      <c r="EV21" s="749" t="str">
        <f t="shared" si="14"/>
        <v/>
      </c>
      <c r="EW21" s="751">
        <f t="shared" ref="EW21:EW50" si="29">+EQ21</f>
        <v>46236</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31</v>
      </c>
      <c r="GA21" s="129">
        <f t="shared" ref="GA21:GA50" si="39">+$X$4</f>
        <v>2026</v>
      </c>
      <c r="GB21" s="129" t="str">
        <f t="shared" ref="GB21:GB48" si="40">+FZ21&amp;GA21</f>
        <v>312026</v>
      </c>
      <c r="GC21" s="223">
        <f>IF(AND($GD$53=S.CAL!$P$3,$GD$52=FZ21),GE21,IF(BH21="",0,BH21))</f>
        <v>0</v>
      </c>
      <c r="GD21" s="129" t="str">
        <f>IFERROR(+Septembre!$BY$2&amp;BL21&amp;BM21,0)</f>
        <v>Fiche infoA7</v>
      </c>
      <c r="GE21" s="129" t="str">
        <f t="shared" si="19"/>
        <v/>
      </c>
      <c r="GF21" s="223" t="str">
        <f t="shared" ref="GF21:GF48" si="41">IF(FP21=1,GG21,AM21)</f>
        <v/>
      </c>
      <c r="GG21" s="1446" t="str">
        <f>+'Retenue Aout'!D19</f>
        <v/>
      </c>
      <c r="GH21" s="1446">
        <f>IF(Identification!$B$132="Non",+'Retenue Aout'!BF19,+'Retenue Aout'!BE19)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46237</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f t="shared" ref="AP22:AP50" si="48">IFERROR(IF(WEEKDAY(AB22,11)=1,WEEKNUM(AB22,21),""),"")</f>
        <v>32</v>
      </c>
      <c r="AQ22" s="322"/>
      <c r="AR22" s="1104"/>
      <c r="AS22" s="314">
        <f t="shared" si="3"/>
        <v>0</v>
      </c>
      <c r="AT22" s="1125"/>
      <c r="AU22" s="1125"/>
      <c r="AV22" s="314"/>
      <c r="AW22" s="1791">
        <f t="shared" si="22"/>
        <v>46237</v>
      </c>
      <c r="AX22" s="1761"/>
      <c r="AY22" s="314"/>
      <c r="AZ22" s="1104"/>
      <c r="BA22" s="973"/>
      <c r="BB22" s="543"/>
      <c r="BC22" s="548">
        <f t="shared" si="23"/>
        <v>0</v>
      </c>
      <c r="BD22" s="1104"/>
      <c r="BE22" s="807">
        <f t="shared" si="24"/>
        <v>0</v>
      </c>
      <c r="BF22" s="1128"/>
      <c r="BG22" s="222"/>
      <c r="BH22" s="548" t="str">
        <f t="shared" si="25"/>
        <v/>
      </c>
      <c r="BI22" s="1128"/>
      <c r="BJ22" s="129" t="str">
        <f t="shared" si="26"/>
        <v>Fiche infoA1</v>
      </c>
      <c r="BK22" s="129">
        <f t="shared" ref="BK22:BK50" si="49">IFERROR(WEEKNUM(AB22,21),"")</f>
        <v>32</v>
      </c>
      <c r="BL22" s="129" t="str">
        <f t="shared" si="4"/>
        <v>A</v>
      </c>
      <c r="BM22" s="129">
        <f t="shared" ref="BM22:BM47" si="50">WEEKDAY(AB22,2)</f>
        <v>1</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46265</v>
      </c>
      <c r="EJ22" s="737"/>
      <c r="EK22" s="737"/>
      <c r="EQ22" s="748">
        <f t="shared" ref="EQ22:EQ50" si="53">+AB22</f>
        <v>46237</v>
      </c>
      <c r="ER22" s="749">
        <f t="shared" si="10"/>
        <v>0</v>
      </c>
      <c r="ES22" s="750">
        <f t="shared" si="11"/>
        <v>0</v>
      </c>
      <c r="ET22" s="749">
        <f t="shared" si="12"/>
        <v>0</v>
      </c>
      <c r="EU22" s="750">
        <f t="shared" si="13"/>
        <v>0</v>
      </c>
      <c r="EV22" s="749" t="str">
        <f t="shared" si="14"/>
        <v/>
      </c>
      <c r="EW22" s="751">
        <f t="shared" si="29"/>
        <v>46237</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32</v>
      </c>
      <c r="GA22" s="129">
        <f t="shared" si="39"/>
        <v>2026</v>
      </c>
      <c r="GB22" s="129" t="str">
        <f t="shared" si="40"/>
        <v>322026</v>
      </c>
      <c r="GC22" s="223">
        <f>IF(AND($GD$53=S.CAL!$P$3,$GD$52=FZ22),GE22,IF(BH22="",0,BH22))</f>
        <v>0</v>
      </c>
      <c r="GD22" s="129" t="str">
        <f>IFERROR(+Septembre!$BY$2&amp;BL22&amp;BM22,0)</f>
        <v>Fiche infoA1</v>
      </c>
      <c r="GE22" s="129" t="str">
        <f t="shared" si="19"/>
        <v/>
      </c>
      <c r="GF22" s="223" t="str">
        <f t="shared" si="41"/>
        <v/>
      </c>
      <c r="GG22" s="1446" t="str">
        <f>+'Retenue Aout'!D20</f>
        <v/>
      </c>
      <c r="GH22" s="1446">
        <f>IF(Identification!$B$132="Non",+'Retenue Aout'!BF20,+'Retenue Aout'!BE20)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46238</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46238</v>
      </c>
      <c r="AX23" s="1761"/>
      <c r="AY23" s="314"/>
      <c r="AZ23" s="1104"/>
      <c r="BA23" s="973"/>
      <c r="BB23" s="543"/>
      <c r="BC23" s="548">
        <f t="shared" si="23"/>
        <v>0</v>
      </c>
      <c r="BD23" s="1104"/>
      <c r="BE23" s="807">
        <f t="shared" si="24"/>
        <v>0</v>
      </c>
      <c r="BF23" s="1128"/>
      <c r="BG23" s="222"/>
      <c r="BH23" s="548" t="str">
        <f t="shared" si="25"/>
        <v/>
      </c>
      <c r="BI23" s="1128"/>
      <c r="BJ23" s="129" t="str">
        <f t="shared" si="26"/>
        <v>Fiche infoA2</v>
      </c>
      <c r="BK23" s="129">
        <f t="shared" si="49"/>
        <v>32</v>
      </c>
      <c r="BL23" s="129" t="str">
        <f t="shared" si="4"/>
        <v>A</v>
      </c>
      <c r="BM23" s="129">
        <f t="shared" si="50"/>
        <v>2</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46238</v>
      </c>
      <c r="ER23" s="749">
        <f t="shared" si="10"/>
        <v>0</v>
      </c>
      <c r="ES23" s="750">
        <f t="shared" si="11"/>
        <v>0</v>
      </c>
      <c r="ET23" s="749">
        <f t="shared" si="12"/>
        <v>0</v>
      </c>
      <c r="EU23" s="750">
        <f t="shared" si="13"/>
        <v>0</v>
      </c>
      <c r="EV23" s="749" t="str">
        <f t="shared" si="14"/>
        <v/>
      </c>
      <c r="EW23" s="751">
        <f t="shared" si="29"/>
        <v>46238</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32</v>
      </c>
      <c r="GA23" s="129">
        <f t="shared" si="39"/>
        <v>2026</v>
      </c>
      <c r="GB23" s="129" t="str">
        <f t="shared" si="40"/>
        <v>322026</v>
      </c>
      <c r="GC23" s="223">
        <f>IF(AND($GD$53=S.CAL!$P$3,$GD$52=FZ23),GE23,IF(BH23="",0,BH23))</f>
        <v>0</v>
      </c>
      <c r="GD23" s="129" t="str">
        <f>IFERROR(+Septembre!$BY$2&amp;BL23&amp;BM23,0)</f>
        <v>Fiche infoA2</v>
      </c>
      <c r="GE23" s="129" t="str">
        <f t="shared" si="19"/>
        <v/>
      </c>
      <c r="GF23" s="223" t="str">
        <f t="shared" si="41"/>
        <v/>
      </c>
      <c r="GG23" s="1446" t="str">
        <f>+'Retenue Aout'!D21</f>
        <v/>
      </c>
      <c r="GH23" s="1446">
        <f>IF(Identification!$B$132="Non",+'Retenue Aout'!BF21,+'Retenue Aout'!BE21)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46239</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46239</v>
      </c>
      <c r="AX24" s="1761"/>
      <c r="AY24" s="314"/>
      <c r="AZ24" s="1104"/>
      <c r="BA24" s="973"/>
      <c r="BB24" s="543"/>
      <c r="BC24" s="548">
        <f t="shared" si="23"/>
        <v>0</v>
      </c>
      <c r="BD24" s="1104"/>
      <c r="BE24" s="807">
        <f t="shared" si="24"/>
        <v>0</v>
      </c>
      <c r="BF24" s="1128"/>
      <c r="BG24" s="222"/>
      <c r="BH24" s="548" t="str">
        <f t="shared" si="25"/>
        <v/>
      </c>
      <c r="BI24" s="1128"/>
      <c r="BJ24" s="129" t="str">
        <f t="shared" si="26"/>
        <v>Fiche infoA3</v>
      </c>
      <c r="BK24" s="129">
        <f t="shared" si="49"/>
        <v>32</v>
      </c>
      <c r="BL24" s="129" t="str">
        <f t="shared" si="4"/>
        <v>A</v>
      </c>
      <c r="BM24" s="129">
        <f t="shared" si="50"/>
        <v>3</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46239</v>
      </c>
      <c r="ER24" s="749">
        <f t="shared" si="10"/>
        <v>0</v>
      </c>
      <c r="ES24" s="750">
        <f t="shared" si="11"/>
        <v>0</v>
      </c>
      <c r="ET24" s="749">
        <f t="shared" si="12"/>
        <v>0</v>
      </c>
      <c r="EU24" s="750">
        <f t="shared" si="13"/>
        <v>0</v>
      </c>
      <c r="EV24" s="749" t="str">
        <f t="shared" si="14"/>
        <v/>
      </c>
      <c r="EW24" s="751">
        <f t="shared" si="29"/>
        <v>46239</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32</v>
      </c>
      <c r="GA24" s="129">
        <f t="shared" si="39"/>
        <v>2026</v>
      </c>
      <c r="GB24" s="129" t="str">
        <f t="shared" si="40"/>
        <v>322026</v>
      </c>
      <c r="GC24" s="223">
        <f>IF(AND($GD$53=S.CAL!$P$3,$GD$52=FZ24),GE24,IF(BH24="",0,BH24))</f>
        <v>0</v>
      </c>
      <c r="GD24" s="129" t="str">
        <f>IFERROR(+Septembre!$BY$2&amp;BL24&amp;BM24,0)</f>
        <v>Fiche infoA3</v>
      </c>
      <c r="GE24" s="129" t="str">
        <f t="shared" si="19"/>
        <v/>
      </c>
      <c r="GF24" s="223" t="str">
        <f t="shared" si="41"/>
        <v/>
      </c>
      <c r="GG24" s="1446" t="str">
        <f>+'Retenue Aout'!D22</f>
        <v/>
      </c>
      <c r="GH24" s="1446">
        <f>IF(Identification!$B$132="Non",+'Retenue Aout'!BF22,+'Retenue Aout'!BE22)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Aout'!R48*-1)</f>
        <v>#DIV/0!</v>
      </c>
      <c r="M25" s="2142"/>
      <c r="N25" s="2142"/>
      <c r="O25" s="2143"/>
      <c r="P25" s="1753" t="e">
        <f>+IF(L25,T25/L25,0)</f>
        <v>#DIV/0!</v>
      </c>
      <c r="Q25" s="1969"/>
      <c r="R25" s="1969"/>
      <c r="S25" s="1970"/>
      <c r="T25" s="1966">
        <f>IF(A18="Salaire heures normales réelles",0,'Retenue Aout'!R52*-1)</f>
        <v>0</v>
      </c>
      <c r="U25" s="1967"/>
      <c r="V25" s="1967"/>
      <c r="W25" s="1968"/>
      <c r="X25" s="224"/>
      <c r="Y25" s="224"/>
      <c r="Z25" s="224"/>
      <c r="AA25" s="885" t="str">
        <f>IF(AND(BE25="OUI",$AR$13=S.CAL!$CU$2),"►",IF(AND(EV25="OUI",$AR$13=S.CAL!$CU$3),"►",""))</f>
        <v/>
      </c>
      <c r="AB25" s="1760">
        <f>+$X$3+5</f>
        <v>46240</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46240</v>
      </c>
      <c r="AX25" s="1761"/>
      <c r="AY25" s="314"/>
      <c r="AZ25" s="1104"/>
      <c r="BA25" s="973"/>
      <c r="BB25" s="543"/>
      <c r="BC25" s="548">
        <f t="shared" si="23"/>
        <v>0</v>
      </c>
      <c r="BD25" s="1104"/>
      <c r="BE25" s="807">
        <f t="shared" si="24"/>
        <v>0</v>
      </c>
      <c r="BF25" s="1128"/>
      <c r="BG25" s="222"/>
      <c r="BH25" s="548" t="str">
        <f t="shared" si="25"/>
        <v/>
      </c>
      <c r="BI25" s="1128"/>
      <c r="BJ25" s="129" t="str">
        <f t="shared" si="26"/>
        <v>Fiche infoA4</v>
      </c>
      <c r="BK25" s="129">
        <f t="shared" si="49"/>
        <v>32</v>
      </c>
      <c r="BL25" s="129" t="str">
        <f t="shared" si="4"/>
        <v>A</v>
      </c>
      <c r="BM25" s="129">
        <f t="shared" si="50"/>
        <v>4</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46240</v>
      </c>
      <c r="ER25" s="749">
        <f t="shared" si="10"/>
        <v>0</v>
      </c>
      <c r="ES25" s="750">
        <f t="shared" si="11"/>
        <v>0</v>
      </c>
      <c r="ET25" s="749">
        <f t="shared" si="12"/>
        <v>0</v>
      </c>
      <c r="EU25" s="750">
        <f t="shared" si="13"/>
        <v>0</v>
      </c>
      <c r="EV25" s="749" t="str">
        <f t="shared" si="14"/>
        <v/>
      </c>
      <c r="EW25" s="751">
        <f t="shared" si="29"/>
        <v>46240</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32</v>
      </c>
      <c r="GA25" s="129">
        <f t="shared" si="39"/>
        <v>2026</v>
      </c>
      <c r="GB25" s="129" t="str">
        <f t="shared" si="40"/>
        <v>322026</v>
      </c>
      <c r="GC25" s="223">
        <f>IF(AND($GD$53=S.CAL!$P$3,$GD$52=FZ25),GE25,IF(BH25="",0,BH25))</f>
        <v>0</v>
      </c>
      <c r="GD25" s="129" t="str">
        <f>IFERROR(+Septembre!$BY$2&amp;BL25&amp;BM25,0)</f>
        <v>Fiche infoA4</v>
      </c>
      <c r="GE25" s="129" t="str">
        <f t="shared" si="19"/>
        <v/>
      </c>
      <c r="GF25" s="223" t="str">
        <f t="shared" si="41"/>
        <v/>
      </c>
      <c r="GG25" s="1446" t="str">
        <f>+'Retenue Aout'!D23</f>
        <v/>
      </c>
      <c r="GH25" s="1446">
        <f>IF(Identification!$B$132="Non",+'Retenue Aout'!BF23,+'Retenue Aout'!BE23)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Aout'!R50*-1)</f>
        <v>#DIV/0!</v>
      </c>
      <c r="M26" s="2142"/>
      <c r="N26" s="2142"/>
      <c r="O26" s="2143"/>
      <c r="P26" s="1753" t="e">
        <f>+IF(L26,T26/L26,0)</f>
        <v>#DIV/0!</v>
      </c>
      <c r="Q26" s="1969"/>
      <c r="R26" s="1969"/>
      <c r="S26" s="1970"/>
      <c r="T26" s="1966">
        <f>IF(A18="Salaire heures normales réelles",0,'Retenue Aout'!R54*-1)</f>
        <v>0</v>
      </c>
      <c r="U26" s="1967"/>
      <c r="V26" s="1967"/>
      <c r="W26" s="1968"/>
      <c r="X26" s="221"/>
      <c r="Y26" s="221"/>
      <c r="Z26" s="221"/>
      <c r="AA26" s="885" t="str">
        <f>IF(AND(BE26="OUI",$AR$13=S.CAL!$CU$2),"►",IF(AND(EV26="OUI",$AR$13=S.CAL!$CU$3),"►",""))</f>
        <v/>
      </c>
      <c r="AB26" s="1760">
        <f>+$X$3+6</f>
        <v>46241</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46241</v>
      </c>
      <c r="AX26" s="1761"/>
      <c r="AY26" s="314"/>
      <c r="AZ26" s="1104"/>
      <c r="BA26" s="973"/>
      <c r="BB26" s="543"/>
      <c r="BC26" s="548">
        <f t="shared" si="23"/>
        <v>0</v>
      </c>
      <c r="BD26" s="1104"/>
      <c r="BE26" s="807">
        <f t="shared" si="24"/>
        <v>0</v>
      </c>
      <c r="BF26" s="1128"/>
      <c r="BG26" s="222"/>
      <c r="BH26" s="548" t="str">
        <f t="shared" si="25"/>
        <v/>
      </c>
      <c r="BI26" s="1128"/>
      <c r="BJ26" s="129" t="str">
        <f t="shared" si="26"/>
        <v>Fiche infoA5</v>
      </c>
      <c r="BK26" s="129">
        <f t="shared" si="49"/>
        <v>32</v>
      </c>
      <c r="BL26" s="129" t="str">
        <f t="shared" si="4"/>
        <v>A</v>
      </c>
      <c r="BM26" s="129">
        <f t="shared" si="50"/>
        <v>5</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46241</v>
      </c>
      <c r="ER26" s="749">
        <f t="shared" si="10"/>
        <v>0</v>
      </c>
      <c r="ES26" s="750">
        <f t="shared" si="11"/>
        <v>0</v>
      </c>
      <c r="ET26" s="749">
        <f t="shared" si="12"/>
        <v>0</v>
      </c>
      <c r="EU26" s="750">
        <f t="shared" si="13"/>
        <v>0</v>
      </c>
      <c r="EV26" s="749" t="str">
        <f t="shared" si="14"/>
        <v/>
      </c>
      <c r="EW26" s="751">
        <f t="shared" si="29"/>
        <v>46241</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32</v>
      </c>
      <c r="GA26" s="129">
        <f t="shared" si="39"/>
        <v>2026</v>
      </c>
      <c r="GB26" s="129" t="str">
        <f t="shared" si="40"/>
        <v>322026</v>
      </c>
      <c r="GC26" s="223">
        <f>IF(AND($GD$53=S.CAL!$P$3,$GD$52=FZ26),GE26,IF(BH26="",0,BH26))</f>
        <v>0</v>
      </c>
      <c r="GD26" s="129" t="str">
        <f>IFERROR(+Septembre!$BY$2&amp;BL26&amp;BM26,0)</f>
        <v>Fiche infoA5</v>
      </c>
      <c r="GE26" s="129" t="str">
        <f t="shared" si="19"/>
        <v/>
      </c>
      <c r="GF26" s="223" t="str">
        <f t="shared" si="41"/>
        <v/>
      </c>
      <c r="GG26" s="1446" t="str">
        <f>+'Retenue Aout'!D24</f>
        <v/>
      </c>
      <c r="GH26" s="1446">
        <f>IF(Identification!$B$132="Non",+'Retenue Aout'!BF24,+'Retenue Aout'!BE24)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46242</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46242</v>
      </c>
      <c r="AX27" s="1761"/>
      <c r="AY27" s="314"/>
      <c r="AZ27" s="1104"/>
      <c r="BA27" s="973"/>
      <c r="BB27" s="543"/>
      <c r="BC27" s="548">
        <f t="shared" si="23"/>
        <v>0</v>
      </c>
      <c r="BD27" s="1104"/>
      <c r="BE27" s="807">
        <f t="shared" si="24"/>
        <v>0</v>
      </c>
      <c r="BF27" s="1128"/>
      <c r="BG27" s="222"/>
      <c r="BH27" s="548" t="str">
        <f t="shared" si="25"/>
        <v/>
      </c>
      <c r="BI27" s="1128"/>
      <c r="BJ27" s="129" t="str">
        <f t="shared" si="26"/>
        <v>Fiche infoA6</v>
      </c>
      <c r="BK27" s="129">
        <f t="shared" si="49"/>
        <v>32</v>
      </c>
      <c r="BL27" s="129" t="str">
        <f t="shared" si="4"/>
        <v>A</v>
      </c>
      <c r="BM27" s="129">
        <f t="shared" si="50"/>
        <v>6</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46242</v>
      </c>
      <c r="ER27" s="749">
        <f t="shared" si="10"/>
        <v>0</v>
      </c>
      <c r="ES27" s="750">
        <f t="shared" si="11"/>
        <v>0</v>
      </c>
      <c r="ET27" s="749">
        <f t="shared" si="12"/>
        <v>0</v>
      </c>
      <c r="EU27" s="750">
        <f t="shared" si="13"/>
        <v>0</v>
      </c>
      <c r="EV27" s="749" t="str">
        <f t="shared" si="14"/>
        <v/>
      </c>
      <c r="EW27" s="751">
        <f t="shared" si="29"/>
        <v>46242</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32</v>
      </c>
      <c r="GA27" s="129">
        <f t="shared" si="39"/>
        <v>2026</v>
      </c>
      <c r="GB27" s="129" t="str">
        <f t="shared" si="40"/>
        <v>322026</v>
      </c>
      <c r="GC27" s="223">
        <f>IF(AND($GD$53=S.CAL!$P$3,$GD$52=FZ27),GE27,IF(BH27="",0,BH27))</f>
        <v>0</v>
      </c>
      <c r="GD27" s="129" t="str">
        <f>IFERROR(+Septembre!$BY$2&amp;BL27&amp;BM27,0)</f>
        <v>Fiche infoA6</v>
      </c>
      <c r="GE27" s="129" t="str">
        <f t="shared" si="19"/>
        <v/>
      </c>
      <c r="GF27" s="223" t="str">
        <f t="shared" si="41"/>
        <v/>
      </c>
      <c r="GG27" s="1446" t="str">
        <f>+'Retenue Aout'!D25</f>
        <v/>
      </c>
      <c r="GH27" s="1446">
        <f>IF(Identification!$B$132="Non",+'Retenue Aout'!BF25,+'Retenue Aout'!BE25)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46243</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46243</v>
      </c>
      <c r="AX28" s="1761"/>
      <c r="AY28" s="314"/>
      <c r="AZ28" s="1104"/>
      <c r="BA28" s="973"/>
      <c r="BB28" s="543"/>
      <c r="BC28" s="548">
        <f t="shared" si="23"/>
        <v>0</v>
      </c>
      <c r="BD28" s="1104"/>
      <c r="BE28" s="807">
        <f t="shared" si="24"/>
        <v>0</v>
      </c>
      <c r="BF28" s="1128"/>
      <c r="BG28" s="222"/>
      <c r="BH28" s="548" t="str">
        <f t="shared" si="25"/>
        <v/>
      </c>
      <c r="BI28" s="1128"/>
      <c r="BJ28" s="129" t="str">
        <f t="shared" si="26"/>
        <v>Fiche infoA7</v>
      </c>
      <c r="BK28" s="129">
        <f t="shared" si="49"/>
        <v>32</v>
      </c>
      <c r="BL28" s="129" t="str">
        <f t="shared" si="4"/>
        <v>A</v>
      </c>
      <c r="BM28" s="129">
        <f t="shared" si="50"/>
        <v>7</v>
      </c>
      <c r="BN28" s="223" t="str">
        <f t="shared" si="60"/>
        <v>Fiche info</v>
      </c>
      <c r="BO28" s="314" t="str">
        <f t="shared" si="51"/>
        <v/>
      </c>
      <c r="BP28" s="196" t="str">
        <f t="shared" si="52"/>
        <v/>
      </c>
      <c r="BQ28" s="196"/>
      <c r="BS28" s="2100" t="str">
        <f>+"Semaine numéro : "&amp;AT4</f>
        <v>Semaine numéro : 31</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+SUMIF(Juillet!$BK$20:$BK$50,AT4,Juillet!$AM$20:$AO$50)</f>
        <v>0</v>
      </c>
      <c r="CD28" s="196">
        <f>+SUMIF(Septembre!$BK$20:$BK$50,AT4,Septembre!$AM$20:$AO$50)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46243</v>
      </c>
      <c r="ER28" s="749">
        <f t="shared" si="10"/>
        <v>0</v>
      </c>
      <c r="ES28" s="750">
        <f t="shared" si="11"/>
        <v>0</v>
      </c>
      <c r="ET28" s="749">
        <f t="shared" si="12"/>
        <v>0</v>
      </c>
      <c r="EU28" s="750">
        <f t="shared" si="13"/>
        <v>0</v>
      </c>
      <c r="EV28" s="749" t="str">
        <f t="shared" si="14"/>
        <v/>
      </c>
      <c r="EW28" s="751">
        <f t="shared" si="29"/>
        <v>46243</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32</v>
      </c>
      <c r="GA28" s="129">
        <f t="shared" si="39"/>
        <v>2026</v>
      </c>
      <c r="GB28" s="129" t="str">
        <f t="shared" si="40"/>
        <v>322026</v>
      </c>
      <c r="GC28" s="223">
        <f>IF(AND($GD$53=S.CAL!$P$3,$GD$52=FZ28),GE28,IF(BH28="",0,BH28))</f>
        <v>0</v>
      </c>
      <c r="GD28" s="129" t="str">
        <f>IFERROR(+Septembre!$BY$2&amp;BL28&amp;BM28,0)</f>
        <v>Fiche infoA7</v>
      </c>
      <c r="GE28" s="129" t="str">
        <f t="shared" si="19"/>
        <v/>
      </c>
      <c r="GF28" s="223" t="str">
        <f t="shared" si="41"/>
        <v/>
      </c>
      <c r="GG28" s="1446" t="str">
        <f>+'Retenue Aout'!D26</f>
        <v/>
      </c>
      <c r="GH28" s="1446">
        <f>IF(Identification!$B$132="Non",+'Retenue Aout'!BF26,+'Retenue Aout'!BE26)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46244</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f t="shared" si="48"/>
        <v>33</v>
      </c>
      <c r="AQ29" s="322"/>
      <c r="AR29" s="1104"/>
      <c r="AS29" s="314">
        <f t="shared" si="3"/>
        <v>0</v>
      </c>
      <c r="AT29" s="1125"/>
      <c r="AU29" s="1125"/>
      <c r="AV29" s="314"/>
      <c r="AW29" s="1791">
        <f t="shared" si="22"/>
        <v>46244</v>
      </c>
      <c r="AX29" s="1761"/>
      <c r="AY29" s="314"/>
      <c r="AZ29" s="1104"/>
      <c r="BA29" s="973"/>
      <c r="BB29" s="543"/>
      <c r="BC29" s="548">
        <f t="shared" si="23"/>
        <v>0</v>
      </c>
      <c r="BD29" s="1104"/>
      <c r="BE29" s="807">
        <f t="shared" si="24"/>
        <v>0</v>
      </c>
      <c r="BF29" s="1128"/>
      <c r="BG29" s="222"/>
      <c r="BH29" s="548" t="str">
        <f t="shared" si="25"/>
        <v/>
      </c>
      <c r="BI29" s="1128"/>
      <c r="BJ29" s="129" t="str">
        <f t="shared" si="26"/>
        <v>Fiche infoA1</v>
      </c>
      <c r="BK29" s="129">
        <f t="shared" si="49"/>
        <v>33</v>
      </c>
      <c r="BL29" s="129" t="str">
        <f t="shared" si="4"/>
        <v>A</v>
      </c>
      <c r="BM29" s="129">
        <f t="shared" si="50"/>
        <v>1</v>
      </c>
      <c r="BN29" s="223" t="str">
        <f t="shared" si="60"/>
        <v>Fiche info</v>
      </c>
      <c r="BO29" s="314" t="str">
        <f t="shared" si="51"/>
        <v/>
      </c>
      <c r="BP29" s="196" t="str">
        <f t="shared" si="52"/>
        <v/>
      </c>
      <c r="BQ29" s="196"/>
      <c r="BS29" s="2100" t="str">
        <f t="shared" ref="BS29:BS33" si="64">+"Semaine numéro : "&amp;AT5</f>
        <v>Semaine numéro : 32</v>
      </c>
      <c r="BT29" s="2101"/>
      <c r="BU29" s="2101"/>
      <c r="BV29" s="2101"/>
      <c r="BW29" s="2101"/>
      <c r="BX29" s="2102"/>
      <c r="BY29" s="1115"/>
      <c r="BZ29" s="656">
        <f t="shared" ref="BZ29:BZ33" si="65">+IF(BY29="",IF(AND(CC29&gt;0,CB29&gt;0),CC29+CB29,IF(CD29&gt;0,0,CB29)),BY29)</f>
        <v>0</v>
      </c>
      <c r="CA29" s="655">
        <f t="shared" si="62"/>
        <v>0</v>
      </c>
      <c r="CB29" s="196">
        <f t="shared" si="63"/>
        <v>0</v>
      </c>
      <c r="CC29" s="196">
        <f>+SUMIF(Juillet!$BK$20:$BK$50,AT5,Juillet!$AM$20:$AO$50)</f>
        <v>0</v>
      </c>
      <c r="CD29" s="196">
        <f>+SUMIF(Septembre!$BK$20:$BK$50,AT5,Septembre!$AM$20:$AO$50)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46244</v>
      </c>
      <c r="ER29" s="749">
        <f t="shared" si="10"/>
        <v>0</v>
      </c>
      <c r="ES29" s="750">
        <f t="shared" si="11"/>
        <v>0</v>
      </c>
      <c r="ET29" s="749">
        <f t="shared" si="12"/>
        <v>0</v>
      </c>
      <c r="EU29" s="750">
        <f t="shared" si="13"/>
        <v>0</v>
      </c>
      <c r="EV29" s="749" t="str">
        <f t="shared" si="14"/>
        <v/>
      </c>
      <c r="EW29" s="751">
        <f t="shared" si="29"/>
        <v>46244</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33</v>
      </c>
      <c r="GA29" s="129">
        <f t="shared" si="39"/>
        <v>2026</v>
      </c>
      <c r="GB29" s="129" t="str">
        <f t="shared" si="40"/>
        <v>332026</v>
      </c>
      <c r="GC29" s="223">
        <f>IF(AND($GD$53=S.CAL!$P$3,$GD$52=FZ29),GE29,IF(BH29="",0,BH29))</f>
        <v>0</v>
      </c>
      <c r="GD29" s="129" t="str">
        <f>IFERROR(+Septembre!$BY$2&amp;BL29&amp;BM29,0)</f>
        <v>Fiche infoA1</v>
      </c>
      <c r="GE29" s="129" t="str">
        <f t="shared" si="19"/>
        <v/>
      </c>
      <c r="GF29" s="223" t="str">
        <f t="shared" si="41"/>
        <v/>
      </c>
      <c r="GG29" s="1446" t="str">
        <f>+'Retenue Aout'!D27</f>
        <v/>
      </c>
      <c r="GH29" s="1446">
        <f>IF(Identification!$B$132="Non",+'Retenue Aout'!BF27,+'Retenue Aout'!BE27)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46245</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46245</v>
      </c>
      <c r="AX30" s="1761"/>
      <c r="AY30" s="314"/>
      <c r="AZ30" s="1104"/>
      <c r="BA30" s="973"/>
      <c r="BB30" s="543"/>
      <c r="BC30" s="548">
        <f t="shared" si="23"/>
        <v>0</v>
      </c>
      <c r="BD30" s="1104"/>
      <c r="BE30" s="807">
        <f t="shared" si="24"/>
        <v>0</v>
      </c>
      <c r="BF30" s="1128"/>
      <c r="BG30" s="222"/>
      <c r="BH30" s="548" t="str">
        <f t="shared" si="25"/>
        <v/>
      </c>
      <c r="BI30" s="1128"/>
      <c r="BJ30" s="129" t="str">
        <f t="shared" si="26"/>
        <v>Fiche infoA2</v>
      </c>
      <c r="BK30" s="129">
        <f t="shared" si="49"/>
        <v>33</v>
      </c>
      <c r="BL30" s="129" t="str">
        <f t="shared" si="4"/>
        <v>A</v>
      </c>
      <c r="BM30" s="129">
        <f t="shared" si="50"/>
        <v>2</v>
      </c>
      <c r="BN30" s="223" t="str">
        <f t="shared" si="60"/>
        <v>Fiche info</v>
      </c>
      <c r="BO30" s="314" t="str">
        <f t="shared" si="51"/>
        <v/>
      </c>
      <c r="BP30" s="196" t="str">
        <f t="shared" si="52"/>
        <v/>
      </c>
      <c r="BQ30" s="196"/>
      <c r="BS30" s="2100" t="str">
        <f t="shared" si="64"/>
        <v>Semaine numéro : 33</v>
      </c>
      <c r="BT30" s="2101"/>
      <c r="BU30" s="2101"/>
      <c r="BV30" s="2101"/>
      <c r="BW30" s="2101"/>
      <c r="BX30" s="2102"/>
      <c r="BY30" s="1115"/>
      <c r="BZ30" s="656">
        <f t="shared" si="65"/>
        <v>0</v>
      </c>
      <c r="CA30" s="655">
        <f t="shared" si="62"/>
        <v>0</v>
      </c>
      <c r="CB30" s="196">
        <f t="shared" si="63"/>
        <v>0</v>
      </c>
      <c r="CC30" s="196">
        <f>+SUMIF(Juillet!$BK$20:$BK$50,AT6,Juillet!$AM$20:$AO$50)</f>
        <v>0</v>
      </c>
      <c r="CD30" s="196">
        <f>+SUMIF(Septembre!$BK$20:$BK$50,AT6,Septembre!$AM$20:$AO$50)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46245</v>
      </c>
      <c r="ER30" s="749">
        <f t="shared" si="10"/>
        <v>0</v>
      </c>
      <c r="ES30" s="750">
        <f t="shared" si="11"/>
        <v>0</v>
      </c>
      <c r="ET30" s="749">
        <f t="shared" si="12"/>
        <v>0</v>
      </c>
      <c r="EU30" s="750">
        <f t="shared" si="13"/>
        <v>0</v>
      </c>
      <c r="EV30" s="749" t="str">
        <f t="shared" si="14"/>
        <v/>
      </c>
      <c r="EW30" s="751">
        <f t="shared" si="29"/>
        <v>46245</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33</v>
      </c>
      <c r="GA30" s="129">
        <f t="shared" si="39"/>
        <v>2026</v>
      </c>
      <c r="GB30" s="129" t="str">
        <f t="shared" si="40"/>
        <v>332026</v>
      </c>
      <c r="GC30" s="223">
        <f>IF(AND($GD$53=S.CAL!$P$3,$GD$52=FZ30),GE30,IF(BH30="",0,BH30))</f>
        <v>0</v>
      </c>
      <c r="GD30" s="129" t="str">
        <f>IFERROR(+Septembre!$BY$2&amp;BL30&amp;BM30,0)</f>
        <v>Fiche infoA2</v>
      </c>
      <c r="GE30" s="129" t="str">
        <f t="shared" si="19"/>
        <v/>
      </c>
      <c r="GF30" s="223" t="str">
        <f t="shared" si="41"/>
        <v/>
      </c>
      <c r="GG30" s="1446" t="str">
        <f>+'Retenue Aout'!D28</f>
        <v/>
      </c>
      <c r="GH30" s="1446">
        <f>IF(Identification!$B$132="Non",+'Retenue Aout'!BF28,+'Retenue Aout'!BE28)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46246</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46246</v>
      </c>
      <c r="AX31" s="1761"/>
      <c r="AY31" s="314"/>
      <c r="AZ31" s="1104"/>
      <c r="BA31" s="973"/>
      <c r="BB31" s="543"/>
      <c r="BC31" s="548">
        <f t="shared" si="23"/>
        <v>0</v>
      </c>
      <c r="BD31" s="1104"/>
      <c r="BE31" s="807">
        <f t="shared" si="24"/>
        <v>0</v>
      </c>
      <c r="BF31" s="1128"/>
      <c r="BG31" s="222"/>
      <c r="BH31" s="548" t="str">
        <f t="shared" si="25"/>
        <v/>
      </c>
      <c r="BI31" s="1128"/>
      <c r="BJ31" s="129" t="str">
        <f t="shared" si="26"/>
        <v>Fiche infoA3</v>
      </c>
      <c r="BK31" s="129">
        <f t="shared" si="49"/>
        <v>33</v>
      </c>
      <c r="BL31" s="129" t="str">
        <f t="shared" si="4"/>
        <v>A</v>
      </c>
      <c r="BM31" s="129">
        <f t="shared" si="50"/>
        <v>3</v>
      </c>
      <c r="BN31" s="223" t="str">
        <f t="shared" si="60"/>
        <v>Fiche info</v>
      </c>
      <c r="BO31" s="314" t="str">
        <f t="shared" si="51"/>
        <v/>
      </c>
      <c r="BP31" s="196" t="str">
        <f t="shared" si="52"/>
        <v/>
      </c>
      <c r="BQ31" s="196"/>
      <c r="BS31" s="2100" t="str">
        <f t="shared" si="64"/>
        <v>Semaine numéro : 34</v>
      </c>
      <c r="BT31" s="2101"/>
      <c r="BU31" s="2101"/>
      <c r="BV31" s="2101"/>
      <c r="BW31" s="2101"/>
      <c r="BX31" s="2102"/>
      <c r="BY31" s="1115"/>
      <c r="BZ31" s="656">
        <f t="shared" si="65"/>
        <v>0</v>
      </c>
      <c r="CA31" s="655">
        <f t="shared" si="62"/>
        <v>0</v>
      </c>
      <c r="CB31" s="196">
        <f t="shared" si="63"/>
        <v>0</v>
      </c>
      <c r="CC31" s="196">
        <f>+SUMIF(Juillet!$BK$20:$BK$50,AT7,Juillet!$AM$20:$AO$50)</f>
        <v>0</v>
      </c>
      <c r="CD31" s="196">
        <f>+SUMIF(Septembre!$BK$20:$BK$50,AT7,Septembre!$AM$20:$AO$50)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46246</v>
      </c>
      <c r="ER31" s="749">
        <f t="shared" si="10"/>
        <v>0</v>
      </c>
      <c r="ES31" s="750">
        <f t="shared" si="11"/>
        <v>0</v>
      </c>
      <c r="ET31" s="749">
        <f t="shared" si="12"/>
        <v>0</v>
      </c>
      <c r="EU31" s="750">
        <f t="shared" si="13"/>
        <v>0</v>
      </c>
      <c r="EV31" s="749" t="str">
        <f t="shared" si="14"/>
        <v/>
      </c>
      <c r="EW31" s="751">
        <f t="shared" si="29"/>
        <v>46246</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33</v>
      </c>
      <c r="GA31" s="129">
        <f t="shared" si="39"/>
        <v>2026</v>
      </c>
      <c r="GB31" s="129" t="str">
        <f t="shared" si="40"/>
        <v>332026</v>
      </c>
      <c r="GC31" s="223">
        <f>IF(AND($GD$53=S.CAL!$P$3,$GD$52=FZ31),GE31,IF(BH31="",0,BH31))</f>
        <v>0</v>
      </c>
      <c r="GD31" s="129" t="str">
        <f>IFERROR(+Septembre!$BY$2&amp;BL31&amp;BM31,0)</f>
        <v>Fiche infoA3</v>
      </c>
      <c r="GE31" s="129" t="str">
        <f t="shared" si="19"/>
        <v/>
      </c>
      <c r="GF31" s="223" t="str">
        <f t="shared" si="41"/>
        <v/>
      </c>
      <c r="GG31" s="1446" t="str">
        <f>+'Retenue Aout'!D29</f>
        <v/>
      </c>
      <c r="GH31" s="1446">
        <f>IF(Identification!$B$132="Non",+'Retenue Aout'!BF29,+'Retenue Aout'!BE29)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46247</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46247</v>
      </c>
      <c r="AX32" s="1761"/>
      <c r="AY32" s="314"/>
      <c r="AZ32" s="1104"/>
      <c r="BA32" s="973"/>
      <c r="BB32" s="543"/>
      <c r="BC32" s="548">
        <f t="shared" si="23"/>
        <v>0</v>
      </c>
      <c r="BD32" s="1104"/>
      <c r="BE32" s="807">
        <f t="shared" si="24"/>
        <v>0</v>
      </c>
      <c r="BF32" s="1128"/>
      <c r="BG32" s="222"/>
      <c r="BH32" s="548" t="str">
        <f t="shared" si="25"/>
        <v/>
      </c>
      <c r="BI32" s="1128"/>
      <c r="BJ32" s="129" t="str">
        <f t="shared" si="26"/>
        <v>Fiche infoA4</v>
      </c>
      <c r="BK32" s="129">
        <f t="shared" si="49"/>
        <v>33</v>
      </c>
      <c r="BL32" s="129" t="str">
        <f t="shared" si="4"/>
        <v>A</v>
      </c>
      <c r="BM32" s="129">
        <f t="shared" si="50"/>
        <v>4</v>
      </c>
      <c r="BN32" s="223" t="str">
        <f t="shared" si="60"/>
        <v>Fiche info</v>
      </c>
      <c r="BO32" s="314" t="str">
        <f t="shared" si="51"/>
        <v/>
      </c>
      <c r="BP32" s="196" t="str">
        <f t="shared" si="52"/>
        <v/>
      </c>
      <c r="BQ32" s="196"/>
      <c r="BS32" s="2100" t="str">
        <f t="shared" si="64"/>
        <v>Semaine numéro : 35</v>
      </c>
      <c r="BT32" s="2101"/>
      <c r="BU32" s="2101"/>
      <c r="BV32" s="2101"/>
      <c r="BW32" s="2101"/>
      <c r="BX32" s="2102"/>
      <c r="BY32" s="1115"/>
      <c r="BZ32" s="656">
        <f t="shared" si="65"/>
        <v>0</v>
      </c>
      <c r="CA32" s="655">
        <f t="shared" si="62"/>
        <v>0</v>
      </c>
      <c r="CB32" s="196">
        <f t="shared" si="63"/>
        <v>0</v>
      </c>
      <c r="CC32" s="196">
        <f>+SUMIF(Juillet!$BK$20:$BK$50,AT8,Juillet!$AM$20:$AO$50)</f>
        <v>0</v>
      </c>
      <c r="CD32" s="196">
        <f>+SUMIF(Septembre!$BK$20:$BK$50,AT8,Septembre!$AM$20:$AO$50)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46247</v>
      </c>
      <c r="ER32" s="749">
        <f t="shared" si="10"/>
        <v>0</v>
      </c>
      <c r="ES32" s="750">
        <f t="shared" si="11"/>
        <v>0</v>
      </c>
      <c r="ET32" s="749">
        <f t="shared" si="12"/>
        <v>0</v>
      </c>
      <c r="EU32" s="750">
        <f t="shared" si="13"/>
        <v>0</v>
      </c>
      <c r="EV32" s="749" t="str">
        <f t="shared" si="14"/>
        <v/>
      </c>
      <c r="EW32" s="751">
        <f t="shared" si="29"/>
        <v>46247</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33</v>
      </c>
      <c r="GA32" s="129">
        <f t="shared" si="39"/>
        <v>2026</v>
      </c>
      <c r="GB32" s="129" t="str">
        <f t="shared" si="40"/>
        <v>332026</v>
      </c>
      <c r="GC32" s="223">
        <f>IF(AND($GD$53=S.CAL!$P$3,$GD$52=FZ32),GE32,IF(BH32="",0,BH32))</f>
        <v>0</v>
      </c>
      <c r="GD32" s="129" t="str">
        <f>IFERROR(+Septembre!$BY$2&amp;BL32&amp;BM32,0)</f>
        <v>Fiche infoA4</v>
      </c>
      <c r="GE32" s="129" t="str">
        <f t="shared" si="19"/>
        <v/>
      </c>
      <c r="GF32" s="223" t="str">
        <f t="shared" si="41"/>
        <v/>
      </c>
      <c r="GG32" s="1446" t="str">
        <f>+'Retenue Aout'!D30</f>
        <v/>
      </c>
      <c r="GH32" s="1446">
        <f>IF(Identification!$B$132="Non",+'Retenue Aout'!BF30,+'Retenue Aout'!BE30)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46248</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46248</v>
      </c>
      <c r="AX33" s="1761"/>
      <c r="AY33" s="314"/>
      <c r="AZ33" s="1104"/>
      <c r="BA33" s="973"/>
      <c r="BB33" s="543"/>
      <c r="BC33" s="548">
        <f t="shared" si="23"/>
        <v>0</v>
      </c>
      <c r="BD33" s="1104"/>
      <c r="BE33" s="807">
        <f t="shared" si="24"/>
        <v>0</v>
      </c>
      <c r="BF33" s="1128"/>
      <c r="BG33" s="222"/>
      <c r="BH33" s="548" t="str">
        <f t="shared" si="25"/>
        <v/>
      </c>
      <c r="BI33" s="1128"/>
      <c r="BJ33" s="129" t="str">
        <f t="shared" si="26"/>
        <v>Fiche infoA5</v>
      </c>
      <c r="BK33" s="129">
        <f t="shared" si="49"/>
        <v>33</v>
      </c>
      <c r="BL33" s="129" t="str">
        <f t="shared" si="4"/>
        <v>A</v>
      </c>
      <c r="BM33" s="129">
        <f t="shared" si="50"/>
        <v>5</v>
      </c>
      <c r="BN33" s="223" t="str">
        <f t="shared" si="60"/>
        <v>Fiche info</v>
      </c>
      <c r="BO33" s="314" t="str">
        <f t="shared" si="51"/>
        <v/>
      </c>
      <c r="BP33" s="196" t="str">
        <f t="shared" si="52"/>
        <v/>
      </c>
      <c r="BQ33" s="196"/>
      <c r="BS33" s="2100" t="str">
        <f t="shared" si="64"/>
        <v>Semaine numéro : 36</v>
      </c>
      <c r="BT33" s="2101"/>
      <c r="BU33" s="2101"/>
      <c r="BV33" s="2101"/>
      <c r="BW33" s="2101"/>
      <c r="BX33" s="2102"/>
      <c r="BY33" s="1115"/>
      <c r="BZ33" s="656">
        <f t="shared" si="65"/>
        <v>0</v>
      </c>
      <c r="CA33" s="655">
        <f t="shared" si="62"/>
        <v>0</v>
      </c>
      <c r="CB33" s="196">
        <f t="shared" si="63"/>
        <v>0</v>
      </c>
      <c r="CC33" s="196">
        <f>+SUMIF(Juillet!$BK$20:$BK$50,AT9,Juillet!$AM$20:$AO$50)</f>
        <v>0</v>
      </c>
      <c r="CD33" s="196">
        <f>+SUMIF(Septembre!$BK$20:$BK$50,AT9,Septembre!$AM$20:$AO$50)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46248</v>
      </c>
      <c r="ER33" s="749">
        <f t="shared" si="10"/>
        <v>0</v>
      </c>
      <c r="ES33" s="750">
        <f t="shared" si="11"/>
        <v>0</v>
      </c>
      <c r="ET33" s="749">
        <f t="shared" si="12"/>
        <v>0</v>
      </c>
      <c r="EU33" s="750">
        <f t="shared" si="13"/>
        <v>0</v>
      </c>
      <c r="EV33" s="749" t="str">
        <f t="shared" si="14"/>
        <v/>
      </c>
      <c r="EW33" s="751">
        <f t="shared" si="29"/>
        <v>46248</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33</v>
      </c>
      <c r="GA33" s="129">
        <f t="shared" si="39"/>
        <v>2026</v>
      </c>
      <c r="GB33" s="129" t="str">
        <f t="shared" si="40"/>
        <v>332026</v>
      </c>
      <c r="GC33" s="223">
        <f>IF(AND($GD$53=S.CAL!$P$3,$GD$52=FZ33),GE33,IF(BH33="",0,BH33))</f>
        <v>0</v>
      </c>
      <c r="GD33" s="129" t="str">
        <f>IFERROR(+Septembre!$BY$2&amp;BL33&amp;BM33,0)</f>
        <v>Fiche infoA5</v>
      </c>
      <c r="GE33" s="129" t="str">
        <f t="shared" si="19"/>
        <v/>
      </c>
      <c r="GF33" s="223" t="str">
        <f t="shared" si="41"/>
        <v/>
      </c>
      <c r="GG33" s="1446" t="str">
        <f>+'Retenue Aout'!D31</f>
        <v/>
      </c>
      <c r="GH33" s="1446">
        <f>IF(Identification!$B$132="Non",+'Retenue Aout'!BF31,+'Retenue Aout'!BE31)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46249</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46249</v>
      </c>
      <c r="AX34" s="1761"/>
      <c r="AY34" s="314"/>
      <c r="AZ34" s="1104"/>
      <c r="BA34" s="973"/>
      <c r="BB34" s="543"/>
      <c r="BC34" s="548">
        <f t="shared" si="23"/>
        <v>0</v>
      </c>
      <c r="BD34" s="1104"/>
      <c r="BE34" s="807">
        <f t="shared" si="24"/>
        <v>0</v>
      </c>
      <c r="BF34" s="1128"/>
      <c r="BG34" s="222"/>
      <c r="BH34" s="548" t="str">
        <f t="shared" si="25"/>
        <v/>
      </c>
      <c r="BI34" s="1128"/>
      <c r="BJ34" s="129" t="str">
        <f t="shared" si="26"/>
        <v>Fiche infoA6</v>
      </c>
      <c r="BK34" s="129">
        <f t="shared" si="49"/>
        <v>33</v>
      </c>
      <c r="BL34" s="129" t="str">
        <f t="shared" si="4"/>
        <v>A</v>
      </c>
      <c r="BM34" s="129">
        <f t="shared" si="50"/>
        <v>6</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46249</v>
      </c>
      <c r="ER34" s="749">
        <f t="shared" si="10"/>
        <v>0</v>
      </c>
      <c r="ES34" s="750">
        <f t="shared" si="11"/>
        <v>0</v>
      </c>
      <c r="ET34" s="749">
        <f t="shared" si="12"/>
        <v>0</v>
      </c>
      <c r="EU34" s="750">
        <f t="shared" si="13"/>
        <v>0</v>
      </c>
      <c r="EV34" s="749" t="str">
        <f t="shared" si="14"/>
        <v/>
      </c>
      <c r="EW34" s="751">
        <f t="shared" si="29"/>
        <v>46249</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33</v>
      </c>
      <c r="GA34" s="129">
        <f t="shared" si="39"/>
        <v>2026</v>
      </c>
      <c r="GB34" s="129" t="str">
        <f t="shared" si="40"/>
        <v>332026</v>
      </c>
      <c r="GC34" s="223">
        <f>IF(AND($GD$53=S.CAL!$P$3,$GD$52=FZ34),GE34,IF(BH34="",0,BH34))</f>
        <v>0</v>
      </c>
      <c r="GD34" s="129" t="str">
        <f>IFERROR(+Septembre!$BY$2&amp;BL34&amp;BM34,0)</f>
        <v>Fiche infoA6</v>
      </c>
      <c r="GE34" s="129" t="str">
        <f t="shared" si="19"/>
        <v/>
      </c>
      <c r="GF34" s="223" t="str">
        <f t="shared" si="41"/>
        <v/>
      </c>
      <c r="GG34" s="1446" t="str">
        <f>+'Retenue Aout'!D32</f>
        <v/>
      </c>
      <c r="GH34" s="1446">
        <f>IF(Identification!$B$132="Non",+'Retenue Aout'!BF32,+'Retenue Aout'!BE32)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46250</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46250</v>
      </c>
      <c r="AX35" s="1761"/>
      <c r="AY35" s="314"/>
      <c r="AZ35" s="1104"/>
      <c r="BA35" s="973"/>
      <c r="BB35" s="543"/>
      <c r="BC35" s="548">
        <f t="shared" si="23"/>
        <v>0</v>
      </c>
      <c r="BD35" s="1104"/>
      <c r="BE35" s="807">
        <f t="shared" si="24"/>
        <v>0</v>
      </c>
      <c r="BF35" s="1128"/>
      <c r="BG35" s="222"/>
      <c r="BH35" s="548" t="str">
        <f t="shared" si="25"/>
        <v/>
      </c>
      <c r="BI35" s="1128"/>
      <c r="BJ35" s="129" t="str">
        <f t="shared" si="26"/>
        <v>Fiche infoA7</v>
      </c>
      <c r="BK35" s="129">
        <f t="shared" si="49"/>
        <v>33</v>
      </c>
      <c r="BL35" s="129" t="str">
        <f t="shared" si="4"/>
        <v>A</v>
      </c>
      <c r="BM35" s="129">
        <f t="shared" si="50"/>
        <v>7</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46250</v>
      </c>
      <c r="ER35" s="749">
        <f t="shared" si="10"/>
        <v>0</v>
      </c>
      <c r="ES35" s="750">
        <f t="shared" si="11"/>
        <v>0</v>
      </c>
      <c r="ET35" s="749">
        <f t="shared" si="12"/>
        <v>0</v>
      </c>
      <c r="EU35" s="750">
        <f t="shared" si="13"/>
        <v>0</v>
      </c>
      <c r="EV35" s="749" t="str">
        <f t="shared" si="14"/>
        <v/>
      </c>
      <c r="EW35" s="751">
        <f t="shared" si="29"/>
        <v>46250</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33</v>
      </c>
      <c r="GA35" s="129">
        <f t="shared" si="39"/>
        <v>2026</v>
      </c>
      <c r="GB35" s="129" t="str">
        <f t="shared" si="40"/>
        <v>332026</v>
      </c>
      <c r="GC35" s="223">
        <f>IF(AND($GD$53=S.CAL!$P$3,$GD$52=FZ35),GE35,IF(BH35="",0,BH35))</f>
        <v>0</v>
      </c>
      <c r="GD35" s="129" t="str">
        <f>IFERROR(+Septembre!$BY$2&amp;BL35&amp;BM35,0)</f>
        <v>Fiche infoA7</v>
      </c>
      <c r="GE35" s="129" t="str">
        <f t="shared" si="19"/>
        <v/>
      </c>
      <c r="GF35" s="223" t="str">
        <f t="shared" si="41"/>
        <v/>
      </c>
      <c r="GG35" s="1446" t="str">
        <f>+'Retenue Aout'!D33</f>
        <v/>
      </c>
      <c r="GH35" s="1446">
        <f>IF(Identification!$B$132="Non",+'Retenue Aout'!BF33,+'Retenue Aout'!BE33)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46251</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f t="shared" si="48"/>
        <v>34</v>
      </c>
      <c r="AQ36" s="322"/>
      <c r="AR36" s="1104"/>
      <c r="AS36" s="314">
        <f t="shared" si="3"/>
        <v>0</v>
      </c>
      <c r="AT36" s="1125"/>
      <c r="AU36" s="1125"/>
      <c r="AV36" s="314"/>
      <c r="AW36" s="1791">
        <f t="shared" si="22"/>
        <v>46251</v>
      </c>
      <c r="AX36" s="1761"/>
      <c r="AY36" s="314"/>
      <c r="AZ36" s="1104"/>
      <c r="BA36" s="973"/>
      <c r="BB36" s="543"/>
      <c r="BC36" s="548">
        <f t="shared" si="23"/>
        <v>0</v>
      </c>
      <c r="BD36" s="1104"/>
      <c r="BE36" s="807">
        <f t="shared" si="24"/>
        <v>0</v>
      </c>
      <c r="BF36" s="1128"/>
      <c r="BG36" s="222"/>
      <c r="BH36" s="548" t="str">
        <f t="shared" si="25"/>
        <v/>
      </c>
      <c r="BI36" s="1128"/>
      <c r="BJ36" s="129" t="str">
        <f t="shared" si="26"/>
        <v>Fiche infoA1</v>
      </c>
      <c r="BK36" s="129">
        <f t="shared" si="49"/>
        <v>34</v>
      </c>
      <c r="BL36" s="129" t="str">
        <f t="shared" si="4"/>
        <v>A</v>
      </c>
      <c r="BM36" s="129">
        <f t="shared" si="50"/>
        <v>1</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46251</v>
      </c>
      <c r="ER36" s="749">
        <f t="shared" si="10"/>
        <v>0</v>
      </c>
      <c r="ES36" s="750">
        <f t="shared" si="11"/>
        <v>0</v>
      </c>
      <c r="ET36" s="749">
        <f t="shared" si="12"/>
        <v>0</v>
      </c>
      <c r="EU36" s="750">
        <f t="shared" si="13"/>
        <v>0</v>
      </c>
      <c r="EV36" s="749" t="str">
        <f t="shared" si="14"/>
        <v/>
      </c>
      <c r="EW36" s="751">
        <f t="shared" si="29"/>
        <v>46251</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34</v>
      </c>
      <c r="GA36" s="129">
        <f t="shared" si="39"/>
        <v>2026</v>
      </c>
      <c r="GB36" s="129" t="str">
        <f t="shared" si="40"/>
        <v>342026</v>
      </c>
      <c r="GC36" s="223">
        <f>IF(AND($GD$53=S.CAL!$P$3,$GD$52=FZ36),GE36,IF(BH36="",0,BH36))</f>
        <v>0</v>
      </c>
      <c r="GD36" s="129" t="str">
        <f>IFERROR(+Septembre!$BY$2&amp;BL36&amp;BM36,0)</f>
        <v>Fiche infoA1</v>
      </c>
      <c r="GE36" s="129" t="str">
        <f t="shared" si="19"/>
        <v/>
      </c>
      <c r="GF36" s="223" t="str">
        <f t="shared" si="41"/>
        <v/>
      </c>
      <c r="GG36" s="1446" t="str">
        <f>+'Retenue Aout'!D34</f>
        <v/>
      </c>
      <c r="GH36" s="1446">
        <f>IF(Identification!$B$132="Non",+'Retenue Aout'!BF34,+'Retenue Aout'!BE34)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46252</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46252</v>
      </c>
      <c r="AX37" s="1761"/>
      <c r="AY37" s="314"/>
      <c r="AZ37" s="1104"/>
      <c r="BA37" s="973"/>
      <c r="BB37" s="543"/>
      <c r="BC37" s="548">
        <f t="shared" si="23"/>
        <v>0</v>
      </c>
      <c r="BD37" s="1104"/>
      <c r="BE37" s="807">
        <f t="shared" si="24"/>
        <v>0</v>
      </c>
      <c r="BF37" s="1128"/>
      <c r="BG37" s="222"/>
      <c r="BH37" s="548" t="str">
        <f t="shared" si="25"/>
        <v/>
      </c>
      <c r="BI37" s="1128"/>
      <c r="BJ37" s="129" t="str">
        <f t="shared" si="26"/>
        <v>Fiche infoA2</v>
      </c>
      <c r="BK37" s="129">
        <f t="shared" si="49"/>
        <v>34</v>
      </c>
      <c r="BL37" s="129" t="str">
        <f t="shared" si="4"/>
        <v>A</v>
      </c>
      <c r="BM37" s="129">
        <f t="shared" si="50"/>
        <v>2</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46252</v>
      </c>
      <c r="ER37" s="749">
        <f t="shared" si="10"/>
        <v>0</v>
      </c>
      <c r="ES37" s="750">
        <f t="shared" si="11"/>
        <v>0</v>
      </c>
      <c r="ET37" s="749">
        <f t="shared" si="12"/>
        <v>0</v>
      </c>
      <c r="EU37" s="750">
        <f t="shared" si="13"/>
        <v>0</v>
      </c>
      <c r="EV37" s="749" t="str">
        <f t="shared" si="14"/>
        <v/>
      </c>
      <c r="EW37" s="751">
        <f t="shared" si="29"/>
        <v>46252</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34</v>
      </c>
      <c r="GA37" s="129">
        <f t="shared" si="39"/>
        <v>2026</v>
      </c>
      <c r="GB37" s="129" t="str">
        <f t="shared" si="40"/>
        <v>342026</v>
      </c>
      <c r="GC37" s="223">
        <f>IF(AND($GD$53=S.CAL!$P$3,$GD$52=FZ37),GE37,IF(BH37="",0,BH37))</f>
        <v>0</v>
      </c>
      <c r="GD37" s="129" t="str">
        <f>IFERROR(+Septembre!$BY$2&amp;BL37&amp;BM37,0)</f>
        <v>Fiche infoA2</v>
      </c>
      <c r="GE37" s="129" t="str">
        <f t="shared" si="19"/>
        <v/>
      </c>
      <c r="GF37" s="223" t="str">
        <f t="shared" si="41"/>
        <v/>
      </c>
      <c r="GG37" s="1446" t="str">
        <f>+'Retenue Aout'!D35</f>
        <v/>
      </c>
      <c r="GH37" s="1446">
        <f>IF(Identification!$B$132="Non",+'Retenue Aout'!BF35,+'Retenue Aout'!BE35)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46253</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46253</v>
      </c>
      <c r="AX38" s="1761"/>
      <c r="AY38" s="314"/>
      <c r="AZ38" s="1104"/>
      <c r="BA38" s="973"/>
      <c r="BB38" s="543"/>
      <c r="BC38" s="548">
        <f t="shared" si="23"/>
        <v>0</v>
      </c>
      <c r="BD38" s="1104"/>
      <c r="BE38" s="807">
        <f t="shared" si="24"/>
        <v>0</v>
      </c>
      <c r="BF38" s="1128"/>
      <c r="BG38" s="222"/>
      <c r="BH38" s="548" t="str">
        <f t="shared" si="25"/>
        <v/>
      </c>
      <c r="BI38" s="1128"/>
      <c r="BJ38" s="129" t="str">
        <f t="shared" si="26"/>
        <v>Fiche infoA3</v>
      </c>
      <c r="BK38" s="129">
        <f t="shared" si="49"/>
        <v>34</v>
      </c>
      <c r="BL38" s="129" t="str">
        <f t="shared" si="4"/>
        <v>A</v>
      </c>
      <c r="BM38" s="129">
        <f t="shared" si="50"/>
        <v>3</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46253</v>
      </c>
      <c r="ER38" s="749">
        <f t="shared" si="10"/>
        <v>0</v>
      </c>
      <c r="ES38" s="750">
        <f t="shared" si="11"/>
        <v>0</v>
      </c>
      <c r="ET38" s="749">
        <f t="shared" si="12"/>
        <v>0</v>
      </c>
      <c r="EU38" s="750">
        <f t="shared" si="13"/>
        <v>0</v>
      </c>
      <c r="EV38" s="749" t="str">
        <f t="shared" si="14"/>
        <v/>
      </c>
      <c r="EW38" s="751">
        <f t="shared" si="29"/>
        <v>46253</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34</v>
      </c>
      <c r="GA38" s="129">
        <f t="shared" si="39"/>
        <v>2026</v>
      </c>
      <c r="GB38" s="129" t="str">
        <f t="shared" si="40"/>
        <v>342026</v>
      </c>
      <c r="GC38" s="223">
        <f>IF(AND($GD$53=S.CAL!$P$3,$GD$52=FZ38),GE38,IF(BH38="",0,BH38))</f>
        <v>0</v>
      </c>
      <c r="GD38" s="129" t="str">
        <f>IFERROR(+Septembre!$BY$2&amp;BL38&amp;BM38,0)</f>
        <v>Fiche infoA3</v>
      </c>
      <c r="GE38" s="129" t="str">
        <f t="shared" si="19"/>
        <v/>
      </c>
      <c r="GF38" s="223" t="str">
        <f t="shared" si="41"/>
        <v/>
      </c>
      <c r="GG38" s="1446" t="str">
        <f>+'Retenue Aout'!D36</f>
        <v/>
      </c>
      <c r="GH38" s="1446">
        <f>IF(Identification!$B$132="Non",+'Retenue Aout'!BF36,+'Retenue Aout'!BE36)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46254</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46254</v>
      </c>
      <c r="AX39" s="1761"/>
      <c r="AY39" s="314"/>
      <c r="AZ39" s="1104"/>
      <c r="BA39" s="973"/>
      <c r="BB39" s="543"/>
      <c r="BC39" s="548">
        <f t="shared" si="23"/>
        <v>0</v>
      </c>
      <c r="BD39" s="1104"/>
      <c r="BE39" s="807">
        <f t="shared" si="24"/>
        <v>0</v>
      </c>
      <c r="BF39" s="1128"/>
      <c r="BG39" s="222"/>
      <c r="BH39" s="548" t="str">
        <f t="shared" si="25"/>
        <v/>
      </c>
      <c r="BI39" s="1128"/>
      <c r="BJ39" s="129" t="str">
        <f t="shared" si="26"/>
        <v>Fiche infoA4</v>
      </c>
      <c r="BK39" s="129">
        <f t="shared" si="49"/>
        <v>34</v>
      </c>
      <c r="BL39" s="129" t="str">
        <f t="shared" si="4"/>
        <v>A</v>
      </c>
      <c r="BM39" s="129">
        <f t="shared" si="50"/>
        <v>4</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46254</v>
      </c>
      <c r="ER39" s="749">
        <f t="shared" si="10"/>
        <v>0</v>
      </c>
      <c r="ES39" s="750">
        <f t="shared" si="11"/>
        <v>0</v>
      </c>
      <c r="ET39" s="749">
        <f t="shared" si="12"/>
        <v>0</v>
      </c>
      <c r="EU39" s="750">
        <f t="shared" si="13"/>
        <v>0</v>
      </c>
      <c r="EV39" s="749" t="str">
        <f t="shared" si="14"/>
        <v/>
      </c>
      <c r="EW39" s="751">
        <f t="shared" si="29"/>
        <v>46254</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34</v>
      </c>
      <c r="GA39" s="129">
        <f t="shared" si="39"/>
        <v>2026</v>
      </c>
      <c r="GB39" s="129" t="str">
        <f t="shared" si="40"/>
        <v>342026</v>
      </c>
      <c r="GC39" s="223">
        <f>IF(AND($GD$53=S.CAL!$P$3,$GD$52=FZ39),GE39,IF(BH39="",0,BH39))</f>
        <v>0</v>
      </c>
      <c r="GD39" s="129" t="str">
        <f>IFERROR(+Septembre!$BY$2&amp;BL39&amp;BM39,0)</f>
        <v>Fiche infoA4</v>
      </c>
      <c r="GE39" s="129" t="str">
        <f t="shared" si="19"/>
        <v/>
      </c>
      <c r="GF39" s="223" t="str">
        <f t="shared" si="41"/>
        <v/>
      </c>
      <c r="GG39" s="1446" t="str">
        <f>+'Retenue Aout'!D37</f>
        <v/>
      </c>
      <c r="GH39" s="1446">
        <f>IF(Identification!$B$132="Non",+'Retenue Aout'!BF37,+'Retenue Aout'!BE37)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46255</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46255</v>
      </c>
      <c r="AX40" s="1761"/>
      <c r="AY40" s="314"/>
      <c r="AZ40" s="1104"/>
      <c r="BA40" s="973"/>
      <c r="BB40" s="543"/>
      <c r="BC40" s="548">
        <f t="shared" si="23"/>
        <v>0</v>
      </c>
      <c r="BD40" s="1104"/>
      <c r="BE40" s="807">
        <f t="shared" si="24"/>
        <v>0</v>
      </c>
      <c r="BF40" s="1128"/>
      <c r="BG40" s="222"/>
      <c r="BH40" s="548" t="str">
        <f t="shared" si="25"/>
        <v/>
      </c>
      <c r="BI40" s="1128"/>
      <c r="BJ40" s="129" t="str">
        <f t="shared" si="26"/>
        <v>Fiche infoA5</v>
      </c>
      <c r="BK40" s="129">
        <f t="shared" si="49"/>
        <v>34</v>
      </c>
      <c r="BL40" s="129" t="str">
        <f t="shared" si="4"/>
        <v>A</v>
      </c>
      <c r="BM40" s="129">
        <f t="shared" si="50"/>
        <v>5</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Aout'!P27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46255</v>
      </c>
      <c r="ER40" s="749">
        <f t="shared" si="10"/>
        <v>0</v>
      </c>
      <c r="ES40" s="750">
        <f t="shared" si="11"/>
        <v>0</v>
      </c>
      <c r="ET40" s="749">
        <f t="shared" si="12"/>
        <v>0</v>
      </c>
      <c r="EU40" s="750">
        <f t="shared" si="13"/>
        <v>0</v>
      </c>
      <c r="EV40" s="749" t="str">
        <f t="shared" si="14"/>
        <v/>
      </c>
      <c r="EW40" s="751">
        <f t="shared" si="29"/>
        <v>46255</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34</v>
      </c>
      <c r="GA40" s="129">
        <f t="shared" si="39"/>
        <v>2026</v>
      </c>
      <c r="GB40" s="129" t="str">
        <f t="shared" si="40"/>
        <v>342026</v>
      </c>
      <c r="GC40" s="223">
        <f>IF(AND($GD$53=S.CAL!$P$3,$GD$52=FZ40),GE40,IF(BH40="",0,BH40))</f>
        <v>0</v>
      </c>
      <c r="GD40" s="129" t="str">
        <f>IFERROR(+Septembre!$BY$2&amp;BL40&amp;BM40,0)</f>
        <v>Fiche infoA5</v>
      </c>
      <c r="GE40" s="129" t="str">
        <f t="shared" si="19"/>
        <v/>
      </c>
      <c r="GF40" s="223" t="str">
        <f t="shared" si="41"/>
        <v/>
      </c>
      <c r="GG40" s="1446" t="str">
        <f>+'Retenue Aout'!D38</f>
        <v/>
      </c>
      <c r="GH40" s="1446">
        <f>IF(Identification!$B$132="Non",+'Retenue Aout'!BF38,+'Retenue Aout'!BE38)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46256</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46256</v>
      </c>
      <c r="AX41" s="1761"/>
      <c r="AY41" s="314"/>
      <c r="AZ41" s="1104"/>
      <c r="BA41" s="973"/>
      <c r="BB41" s="543"/>
      <c r="BC41" s="548">
        <f t="shared" si="23"/>
        <v>0</v>
      </c>
      <c r="BD41" s="1104"/>
      <c r="BE41" s="807">
        <f t="shared" si="24"/>
        <v>0</v>
      </c>
      <c r="BF41" s="1128"/>
      <c r="BG41" s="222"/>
      <c r="BH41" s="548" t="str">
        <f t="shared" si="25"/>
        <v/>
      </c>
      <c r="BI41" s="1128"/>
      <c r="BJ41" s="129" t="str">
        <f t="shared" si="26"/>
        <v>Fiche infoA6</v>
      </c>
      <c r="BK41" s="129">
        <f t="shared" si="49"/>
        <v>34</v>
      </c>
      <c r="BL41" s="129" t="str">
        <f t="shared" si="4"/>
        <v>A</v>
      </c>
      <c r="BM41" s="129">
        <f t="shared" si="50"/>
        <v>6</v>
      </c>
      <c r="BN41" s="223" t="str">
        <f t="shared" si="60"/>
        <v>Fiche info</v>
      </c>
      <c r="BO41" s="314" t="str">
        <f t="shared" si="51"/>
        <v/>
      </c>
      <c r="BP41" s="196" t="str">
        <f t="shared" si="52"/>
        <v/>
      </c>
      <c r="BQ41" s="1948" t="s">
        <v>1047</v>
      </c>
      <c r="BR41" s="1948"/>
      <c r="BS41" s="1948"/>
      <c r="BT41" s="1948"/>
      <c r="BU41" s="1948"/>
      <c r="BV41" s="1948"/>
      <c r="BW41" s="583" t="str">
        <f>+IF(BX41="",Juillet!BW41,BX41)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46256</v>
      </c>
      <c r="ER41" s="749">
        <f t="shared" si="10"/>
        <v>0</v>
      </c>
      <c r="ES41" s="750">
        <f t="shared" si="11"/>
        <v>0</v>
      </c>
      <c r="ET41" s="749">
        <f t="shared" si="12"/>
        <v>0</v>
      </c>
      <c r="EU41" s="750">
        <f t="shared" si="13"/>
        <v>0</v>
      </c>
      <c r="EV41" s="749" t="str">
        <f t="shared" si="14"/>
        <v/>
      </c>
      <c r="EW41" s="751">
        <f t="shared" si="29"/>
        <v>46256</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34</v>
      </c>
      <c r="GA41" s="129">
        <f t="shared" si="39"/>
        <v>2026</v>
      </c>
      <c r="GB41" s="129" t="str">
        <f t="shared" si="40"/>
        <v>342026</v>
      </c>
      <c r="GC41" s="223">
        <f>IF(AND($GD$53=S.CAL!$P$3,$GD$52=FZ41),GE41,IF(BH41="",0,BH41))</f>
        <v>0</v>
      </c>
      <c r="GD41" s="129" t="str">
        <f>IFERROR(+Septembre!$BY$2&amp;BL41&amp;BM41,0)</f>
        <v>Fiche infoA6</v>
      </c>
      <c r="GE41" s="129" t="str">
        <f t="shared" si="19"/>
        <v/>
      </c>
      <c r="GF41" s="223" t="str">
        <f t="shared" si="41"/>
        <v/>
      </c>
      <c r="GG41" s="1446" t="str">
        <f>+'Retenue Aout'!D39</f>
        <v/>
      </c>
      <c r="GH41" s="1446">
        <f>IF(Identification!$B$132="Non",+'Retenue Aout'!BF39,+'Retenue Aout'!BE39)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46257</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46257</v>
      </c>
      <c r="AX42" s="1761"/>
      <c r="AY42" s="314"/>
      <c r="AZ42" s="1104"/>
      <c r="BA42" s="973"/>
      <c r="BB42" s="543"/>
      <c r="BC42" s="548">
        <f t="shared" si="23"/>
        <v>0</v>
      </c>
      <c r="BD42" s="1104"/>
      <c r="BE42" s="807">
        <f t="shared" si="24"/>
        <v>0</v>
      </c>
      <c r="BF42" s="1128"/>
      <c r="BG42" s="222"/>
      <c r="BH42" s="548" t="str">
        <f t="shared" si="25"/>
        <v/>
      </c>
      <c r="BI42" s="1128"/>
      <c r="BJ42" s="129" t="str">
        <f t="shared" si="26"/>
        <v>Fiche infoA7</v>
      </c>
      <c r="BK42" s="129">
        <f t="shared" si="49"/>
        <v>34</v>
      </c>
      <c r="BL42" s="129" t="str">
        <f t="shared" si="4"/>
        <v>A</v>
      </c>
      <c r="BM42" s="129">
        <f t="shared" si="50"/>
        <v>7</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46257</v>
      </c>
      <c r="ER42" s="749">
        <f t="shared" si="10"/>
        <v>0</v>
      </c>
      <c r="ES42" s="750">
        <f t="shared" si="11"/>
        <v>0</v>
      </c>
      <c r="ET42" s="749">
        <f t="shared" si="12"/>
        <v>0</v>
      </c>
      <c r="EU42" s="750">
        <f t="shared" si="13"/>
        <v>0</v>
      </c>
      <c r="EV42" s="749" t="str">
        <f t="shared" si="14"/>
        <v/>
      </c>
      <c r="EW42" s="751">
        <f t="shared" si="29"/>
        <v>46257</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34</v>
      </c>
      <c r="GA42" s="129">
        <f t="shared" si="39"/>
        <v>2026</v>
      </c>
      <c r="GB42" s="129" t="str">
        <f t="shared" si="40"/>
        <v>342026</v>
      </c>
      <c r="GC42" s="223">
        <f>IF(AND($GD$53=S.CAL!$P$3,$GD$52=FZ42),GE42,IF(BH42="",0,BH42))</f>
        <v>0</v>
      </c>
      <c r="GD42" s="129" t="str">
        <f>IFERROR(+Septembre!$BY$2&amp;BL42&amp;BM42,0)</f>
        <v>Fiche infoA7</v>
      </c>
      <c r="GE42" s="129" t="str">
        <f t="shared" si="19"/>
        <v/>
      </c>
      <c r="GF42" s="223" t="str">
        <f t="shared" si="41"/>
        <v/>
      </c>
      <c r="GG42" s="1446" t="str">
        <f>+'Retenue Aout'!D40</f>
        <v/>
      </c>
      <c r="GH42" s="1446">
        <f>IF(Identification!$B$132="Non",+'Retenue Aout'!BF40,+'Retenue Aout'!BE40)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46258</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f t="shared" si="48"/>
        <v>35</v>
      </c>
      <c r="AQ43" s="322"/>
      <c r="AR43" s="1104"/>
      <c r="AS43" s="314">
        <f t="shared" si="3"/>
        <v>0</v>
      </c>
      <c r="AT43" s="1125"/>
      <c r="AU43" s="1125"/>
      <c r="AV43" s="314"/>
      <c r="AW43" s="1791">
        <f t="shared" si="22"/>
        <v>46258</v>
      </c>
      <c r="AX43" s="1761"/>
      <c r="AY43" s="314"/>
      <c r="AZ43" s="1104"/>
      <c r="BA43" s="973"/>
      <c r="BB43" s="543"/>
      <c r="BC43" s="548">
        <f t="shared" si="23"/>
        <v>0</v>
      </c>
      <c r="BD43" s="1104"/>
      <c r="BE43" s="807">
        <f t="shared" si="24"/>
        <v>0</v>
      </c>
      <c r="BF43" s="1128"/>
      <c r="BG43" s="222"/>
      <c r="BH43" s="548" t="str">
        <f t="shared" si="25"/>
        <v/>
      </c>
      <c r="BI43" s="1128"/>
      <c r="BJ43" s="129" t="str">
        <f t="shared" si="26"/>
        <v>Fiche infoA1</v>
      </c>
      <c r="BK43" s="129">
        <f t="shared" si="49"/>
        <v>35</v>
      </c>
      <c r="BL43" s="129" t="str">
        <f t="shared" si="4"/>
        <v>A</v>
      </c>
      <c r="BM43" s="129">
        <f t="shared" si="50"/>
        <v>1</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46258</v>
      </c>
      <c r="ER43" s="749">
        <f t="shared" si="10"/>
        <v>0</v>
      </c>
      <c r="ES43" s="750">
        <f t="shared" si="11"/>
        <v>0</v>
      </c>
      <c r="ET43" s="749">
        <f t="shared" si="12"/>
        <v>0</v>
      </c>
      <c r="EU43" s="750">
        <f t="shared" si="13"/>
        <v>0</v>
      </c>
      <c r="EV43" s="749" t="str">
        <f t="shared" si="14"/>
        <v/>
      </c>
      <c r="EW43" s="751">
        <f t="shared" si="29"/>
        <v>46258</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35</v>
      </c>
      <c r="GA43" s="129">
        <f t="shared" si="39"/>
        <v>2026</v>
      </c>
      <c r="GB43" s="129" t="str">
        <f t="shared" si="40"/>
        <v>352026</v>
      </c>
      <c r="GC43" s="223">
        <f>IF(AND($GD$53=S.CAL!$P$3,$GD$52=FZ43),GE43,IF(BH43="",0,BH43))</f>
        <v>0</v>
      </c>
      <c r="GD43" s="129" t="str">
        <f>IFERROR(+Septembre!$BY$2&amp;BL43&amp;BM43,0)</f>
        <v>Fiche infoA1</v>
      </c>
      <c r="GE43" s="129" t="str">
        <f t="shared" si="19"/>
        <v/>
      </c>
      <c r="GF43" s="223" t="str">
        <f t="shared" si="41"/>
        <v/>
      </c>
      <c r="GG43" s="1446" t="str">
        <f>+'Retenue Aout'!D41</f>
        <v/>
      </c>
      <c r="GH43" s="1446">
        <f>IF(Identification!$B$132="Non",+'Retenue Aout'!BF41,+'Retenue Aout'!BE41)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46259</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46259</v>
      </c>
      <c r="AX44" s="1761"/>
      <c r="AY44" s="314"/>
      <c r="AZ44" s="1104"/>
      <c r="BA44" s="973"/>
      <c r="BB44" s="543"/>
      <c r="BC44" s="548">
        <f t="shared" si="23"/>
        <v>0</v>
      </c>
      <c r="BD44" s="1104"/>
      <c r="BE44" s="807">
        <f t="shared" si="24"/>
        <v>0</v>
      </c>
      <c r="BF44" s="1128"/>
      <c r="BG44" s="222"/>
      <c r="BH44" s="548" t="str">
        <f t="shared" si="25"/>
        <v/>
      </c>
      <c r="BI44" s="1128"/>
      <c r="BJ44" s="129" t="str">
        <f t="shared" si="26"/>
        <v>Fiche infoA2</v>
      </c>
      <c r="BK44" s="129">
        <f t="shared" si="49"/>
        <v>35</v>
      </c>
      <c r="BL44" s="129" t="str">
        <f t="shared" si="4"/>
        <v>A</v>
      </c>
      <c r="BM44" s="129">
        <f t="shared" si="50"/>
        <v>2</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+IF(CC45="",Juillet!CC44,CC45)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46259</v>
      </c>
      <c r="ER44" s="749">
        <f t="shared" si="10"/>
        <v>0</v>
      </c>
      <c r="ES44" s="750">
        <f t="shared" si="11"/>
        <v>0</v>
      </c>
      <c r="ET44" s="749">
        <f t="shared" si="12"/>
        <v>0</v>
      </c>
      <c r="EU44" s="750">
        <f t="shared" si="13"/>
        <v>0</v>
      </c>
      <c r="EV44" s="749" t="str">
        <f t="shared" si="14"/>
        <v/>
      </c>
      <c r="EW44" s="751">
        <f t="shared" si="29"/>
        <v>46259</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35</v>
      </c>
      <c r="GA44" s="129">
        <f t="shared" si="39"/>
        <v>2026</v>
      </c>
      <c r="GB44" s="129" t="str">
        <f t="shared" si="40"/>
        <v>352026</v>
      </c>
      <c r="GC44" s="223">
        <f>IF(AND($GD$53=S.CAL!$P$3,$GD$52=FZ44),GE44,IF(BH44="",0,BH44))</f>
        <v>0</v>
      </c>
      <c r="GD44" s="129" t="str">
        <f>IFERROR(+Septembre!$BY$2&amp;BL44&amp;BM44,0)</f>
        <v>Fiche infoA2</v>
      </c>
      <c r="GE44" s="129" t="str">
        <f t="shared" si="19"/>
        <v/>
      </c>
      <c r="GF44" s="223" t="str">
        <f t="shared" si="41"/>
        <v/>
      </c>
      <c r="GG44" s="1446" t="str">
        <f>+'Retenue Aout'!D42</f>
        <v/>
      </c>
      <c r="GH44" s="1446">
        <f>IF(Identification!$B$132="Non",+'Retenue Aout'!BF42,+'Retenue Aout'!BE42)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46260</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46260</v>
      </c>
      <c r="AX45" s="1761"/>
      <c r="AY45" s="314"/>
      <c r="AZ45" s="1104"/>
      <c r="BA45" s="973"/>
      <c r="BB45" s="543"/>
      <c r="BC45" s="548">
        <f t="shared" si="23"/>
        <v>0</v>
      </c>
      <c r="BD45" s="1104"/>
      <c r="BE45" s="807">
        <f t="shared" si="24"/>
        <v>0</v>
      </c>
      <c r="BF45" s="1128"/>
      <c r="BG45" s="222"/>
      <c r="BH45" s="548" t="str">
        <f t="shared" si="25"/>
        <v/>
      </c>
      <c r="BI45" s="1128"/>
      <c r="BJ45" s="129" t="str">
        <f t="shared" si="26"/>
        <v>Fiche infoA3</v>
      </c>
      <c r="BK45" s="129">
        <f t="shared" si="49"/>
        <v>35</v>
      </c>
      <c r="BL45" s="129" t="str">
        <f t="shared" si="4"/>
        <v>A</v>
      </c>
      <c r="BM45" s="129">
        <f t="shared" si="50"/>
        <v>3</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46260</v>
      </c>
      <c r="ER45" s="749">
        <f t="shared" si="10"/>
        <v>0</v>
      </c>
      <c r="ES45" s="750">
        <f t="shared" si="11"/>
        <v>0</v>
      </c>
      <c r="ET45" s="749">
        <f t="shared" si="12"/>
        <v>0</v>
      </c>
      <c r="EU45" s="750">
        <f t="shared" si="13"/>
        <v>0</v>
      </c>
      <c r="EV45" s="749" t="str">
        <f t="shared" si="14"/>
        <v/>
      </c>
      <c r="EW45" s="751">
        <f t="shared" si="29"/>
        <v>46260</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35</v>
      </c>
      <c r="GA45" s="129">
        <f t="shared" si="39"/>
        <v>2026</v>
      </c>
      <c r="GB45" s="129" t="str">
        <f t="shared" si="40"/>
        <v>352026</v>
      </c>
      <c r="GC45" s="223">
        <f>IF(AND($GD$53=S.CAL!$P$3,$GD$52=FZ45),GE45,IF(BH45="",0,BH45))</f>
        <v>0</v>
      </c>
      <c r="GD45" s="129" t="str">
        <f>IFERROR(+Septembre!$BY$2&amp;BL45&amp;BM45,0)</f>
        <v>Fiche infoA3</v>
      </c>
      <c r="GE45" s="129" t="str">
        <f t="shared" si="19"/>
        <v/>
      </c>
      <c r="GF45" s="223" t="str">
        <f t="shared" si="41"/>
        <v/>
      </c>
      <c r="GG45" s="1446" t="str">
        <f>+'Retenue Aout'!D43</f>
        <v/>
      </c>
      <c r="GH45" s="1446">
        <f>IF(Identification!$B$132="Non",+'Retenue Aout'!BF43,+'Retenue Aout'!BE43)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46261</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46261</v>
      </c>
      <c r="AX46" s="1761"/>
      <c r="AY46" s="314"/>
      <c r="AZ46" s="1104"/>
      <c r="BA46" s="973"/>
      <c r="BB46" s="543"/>
      <c r="BC46" s="548">
        <f t="shared" si="23"/>
        <v>0</v>
      </c>
      <c r="BD46" s="1104"/>
      <c r="BE46" s="807">
        <f t="shared" si="24"/>
        <v>0</v>
      </c>
      <c r="BF46" s="1128"/>
      <c r="BG46" s="222"/>
      <c r="BH46" s="548" t="str">
        <f t="shared" si="25"/>
        <v/>
      </c>
      <c r="BI46" s="1128"/>
      <c r="BJ46" s="129" t="str">
        <f t="shared" si="26"/>
        <v>Fiche infoA4</v>
      </c>
      <c r="BK46" s="129">
        <f t="shared" si="49"/>
        <v>35</v>
      </c>
      <c r="BL46" s="129" t="str">
        <f t="shared" si="4"/>
        <v>A</v>
      </c>
      <c r="BM46" s="129">
        <f t="shared" si="50"/>
        <v>4</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46261</v>
      </c>
      <c r="ER46" s="749">
        <f t="shared" si="10"/>
        <v>0</v>
      </c>
      <c r="ES46" s="750">
        <f t="shared" si="11"/>
        <v>0</v>
      </c>
      <c r="ET46" s="749">
        <f t="shared" si="12"/>
        <v>0</v>
      </c>
      <c r="EU46" s="750">
        <f t="shared" si="13"/>
        <v>0</v>
      </c>
      <c r="EV46" s="749" t="str">
        <f t="shared" si="14"/>
        <v/>
      </c>
      <c r="EW46" s="751">
        <f t="shared" si="29"/>
        <v>46261</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35</v>
      </c>
      <c r="GA46" s="129">
        <f t="shared" si="39"/>
        <v>2026</v>
      </c>
      <c r="GB46" s="129" t="str">
        <f t="shared" si="40"/>
        <v>352026</v>
      </c>
      <c r="GC46" s="223">
        <f>IF(AND($GD$53=S.CAL!$P$3,$GD$52=FZ46),GE46,IF(BH46="",0,BH46))</f>
        <v>0</v>
      </c>
      <c r="GD46" s="129" t="str">
        <f>IFERROR(+Septembre!$BY$2&amp;BL46&amp;BM46,0)</f>
        <v>Fiche infoA4</v>
      </c>
      <c r="GE46" s="129" t="str">
        <f t="shared" si="19"/>
        <v/>
      </c>
      <c r="GF46" s="223" t="str">
        <f t="shared" si="41"/>
        <v/>
      </c>
      <c r="GG46" s="1446" t="str">
        <f>+'Retenue Aout'!D44</f>
        <v/>
      </c>
      <c r="GH46" s="1446">
        <f>IF(Identification!$B$132="Non",+'Retenue Aout'!BF44,+'Retenue Aout'!BE44)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46262</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46262</v>
      </c>
      <c r="AX47" s="1761"/>
      <c r="AY47" s="314"/>
      <c r="AZ47" s="1104"/>
      <c r="BA47" s="973"/>
      <c r="BB47" s="543"/>
      <c r="BC47" s="548">
        <f t="shared" si="23"/>
        <v>0</v>
      </c>
      <c r="BD47" s="1104"/>
      <c r="BE47" s="807">
        <f t="shared" si="24"/>
        <v>0</v>
      </c>
      <c r="BF47" s="1128"/>
      <c r="BG47" s="222"/>
      <c r="BH47" s="548" t="str">
        <f t="shared" si="25"/>
        <v/>
      </c>
      <c r="BI47" s="1128"/>
      <c r="BJ47" s="129" t="str">
        <f t="shared" si="26"/>
        <v>Fiche infoA5</v>
      </c>
      <c r="BK47" s="129">
        <f t="shared" si="49"/>
        <v>35</v>
      </c>
      <c r="BL47" s="129" t="str">
        <f t="shared" si="4"/>
        <v>A</v>
      </c>
      <c r="BM47" s="129">
        <f t="shared" si="50"/>
        <v>5</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IF(CF47="",Juillet!CE47,CF47)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46262</v>
      </c>
      <c r="ER47" s="749">
        <f t="shared" si="10"/>
        <v>0</v>
      </c>
      <c r="ES47" s="750">
        <f t="shared" si="11"/>
        <v>0</v>
      </c>
      <c r="ET47" s="749">
        <f t="shared" si="12"/>
        <v>0</v>
      </c>
      <c r="EU47" s="750">
        <f t="shared" si="13"/>
        <v>0</v>
      </c>
      <c r="EV47" s="749" t="str">
        <f t="shared" si="14"/>
        <v/>
      </c>
      <c r="EW47" s="751">
        <f t="shared" si="29"/>
        <v>46262</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35</v>
      </c>
      <c r="GA47" s="129">
        <f t="shared" si="39"/>
        <v>2026</v>
      </c>
      <c r="GB47" s="129" t="str">
        <f t="shared" si="40"/>
        <v>352026</v>
      </c>
      <c r="GC47" s="223">
        <f>IF(AND($GD$53=S.CAL!$P$3,$GD$52=FZ47),GE47,IF(BH47="",0,BH47))</f>
        <v>0</v>
      </c>
      <c r="GD47" s="129" t="str">
        <f>IFERROR(+Septembre!$BY$2&amp;BL47&amp;BM47,0)</f>
        <v>Fiche infoA5</v>
      </c>
      <c r="GE47" s="129" t="str">
        <f t="shared" si="19"/>
        <v/>
      </c>
      <c r="GF47" s="223" t="str">
        <f t="shared" si="41"/>
        <v/>
      </c>
      <c r="GG47" s="1446" t="str">
        <f>+'Retenue Aout'!D45</f>
        <v/>
      </c>
      <c r="GH47" s="1446">
        <f>IF(Identification!$B$132="Non",+'Retenue Aout'!BF45,+'Retenue Aout'!BE45)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46263</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46263</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infoA6</v>
      </c>
      <c r="BK48" s="129">
        <f t="shared" si="49"/>
        <v>35</v>
      </c>
      <c r="BL48" s="129" t="str">
        <f t="shared" si="4"/>
        <v>A</v>
      </c>
      <c r="BM48" s="129">
        <f>IFERROR(WEEKDAY(AB48,2),0)</f>
        <v>6</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46263</v>
      </c>
      <c r="ER48" s="749">
        <f t="shared" si="10"/>
        <v>0</v>
      </c>
      <c r="ES48" s="750">
        <f t="shared" si="11"/>
        <v>0</v>
      </c>
      <c r="ET48" s="749">
        <f t="shared" si="12"/>
        <v>0</v>
      </c>
      <c r="EU48" s="750">
        <f t="shared" si="13"/>
        <v>0</v>
      </c>
      <c r="EV48" s="749" t="str">
        <f t="shared" si="14"/>
        <v/>
      </c>
      <c r="EW48" s="751">
        <f t="shared" si="29"/>
        <v>46263</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35</v>
      </c>
      <c r="GA48" s="129">
        <f t="shared" si="39"/>
        <v>2026</v>
      </c>
      <c r="GB48" s="129" t="str">
        <f t="shared" si="40"/>
        <v>352026</v>
      </c>
      <c r="GC48" s="223">
        <f>IF(AND($GD$53=S.CAL!$P$3,$GD$52=FZ48),GE48,IF(BH48="",0,BH48))</f>
        <v>0</v>
      </c>
      <c r="GD48" s="129" t="str">
        <f>IFERROR(+Septembre!$BY$2&amp;BL48&amp;BM48,0)</f>
        <v>Fiche infoA6</v>
      </c>
      <c r="GE48" s="129" t="str">
        <f t="shared" si="19"/>
        <v/>
      </c>
      <c r="GF48" s="223" t="str">
        <f t="shared" si="41"/>
        <v/>
      </c>
      <c r="GG48" s="1446" t="str">
        <f>+'Retenue Aout'!D46</f>
        <v/>
      </c>
      <c r="GH48" s="1446">
        <f>IF(Identification!$B$132="Non",+'Retenue Aout'!BF46,+'Retenue Aout'!BE46)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46264</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46264</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infoA7</v>
      </c>
      <c r="BK49" s="129">
        <f t="shared" si="49"/>
        <v>35</v>
      </c>
      <c r="BL49" s="129" t="str">
        <f t="shared" si="4"/>
        <v>A</v>
      </c>
      <c r="BM49" s="129">
        <f>IFERROR(WEEKDAY(AB49,2),0)</f>
        <v>7</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IF(CF49="",Juillet!CE49,CF49)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46264</v>
      </c>
      <c r="ER49" s="749">
        <f t="shared" si="10"/>
        <v>0</v>
      </c>
      <c r="ES49" s="750">
        <f t="shared" si="11"/>
        <v>0</v>
      </c>
      <c r="ET49" s="749">
        <f t="shared" si="12"/>
        <v>0</v>
      </c>
      <c r="EU49" s="750">
        <f t="shared" si="13"/>
        <v>0</v>
      </c>
      <c r="EV49" s="749" t="str">
        <f t="shared" si="14"/>
        <v/>
      </c>
      <c r="EW49" s="751">
        <f t="shared" si="29"/>
        <v>46264</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35</v>
      </c>
      <c r="GA49" s="129">
        <f t="shared" si="39"/>
        <v>2026</v>
      </c>
      <c r="GB49" s="129" t="str">
        <f t="shared" ref="GB49:GB50" si="67">+FZ49&amp;GA49</f>
        <v>352026</v>
      </c>
      <c r="GC49" s="223">
        <f>IF(AND($GD$53=S.CAL!$P$3,$GD$52=FZ49),GE49,IF(BH49="",0,BH49))</f>
        <v>0</v>
      </c>
      <c r="GD49" s="129" t="str">
        <f>IFERROR(+Septembre!$BY$2&amp;BL49&amp;BM49,0)</f>
        <v>Fiche infoA7</v>
      </c>
      <c r="GE49" s="129" t="str">
        <f t="shared" si="19"/>
        <v/>
      </c>
      <c r="GF49" s="223" t="str">
        <f t="shared" ref="GF49:GF50" si="68">IF(FP49=1,GG49,AM49)</f>
        <v/>
      </c>
      <c r="GG49" s="1446" t="str">
        <f>+'Retenue Aout'!D47</f>
        <v/>
      </c>
      <c r="GH49" s="1446">
        <f>IF(Identification!$B$132="Non",+'Retenue Aout'!BF47,+'Retenue Aout'!BE47)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f>IF(AB20+30&lt;DATE(YEAR(AB20),MONTH(AB20)+1,DAY(AB20)),AB20+30,"")</f>
        <v>46265</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f t="shared" si="48"/>
        <v>36</v>
      </c>
      <c r="AQ50" s="322"/>
      <c r="AR50" s="1105"/>
      <c r="AS50" s="314">
        <f t="shared" si="3"/>
        <v>0</v>
      </c>
      <c r="AT50" s="1126"/>
      <c r="AU50" s="1126"/>
      <c r="AV50" s="314"/>
      <c r="AW50" s="2026">
        <f t="shared" si="22"/>
        <v>46265</v>
      </c>
      <c r="AX50" s="2027"/>
      <c r="AY50" s="314"/>
      <c r="AZ50" s="1105"/>
      <c r="BA50" s="974"/>
      <c r="BB50" s="543"/>
      <c r="BC50" s="546">
        <f t="shared" si="23"/>
        <v>0</v>
      </c>
      <c r="BD50" s="1105"/>
      <c r="BE50" s="808">
        <f t="shared" si="24"/>
        <v>0</v>
      </c>
      <c r="BF50" s="1129"/>
      <c r="BG50" s="222"/>
      <c r="BH50" s="546" t="str">
        <f t="shared" si="25"/>
        <v/>
      </c>
      <c r="BI50" s="1129"/>
      <c r="BJ50" s="129" t="str">
        <f t="shared" si="66"/>
        <v>Fiche infoA1</v>
      </c>
      <c r="BK50" s="129">
        <f t="shared" si="49"/>
        <v>36</v>
      </c>
      <c r="BL50" s="129" t="str">
        <f t="shared" si="4"/>
        <v>A</v>
      </c>
      <c r="BM50" s="129">
        <f>IFERROR(WEEKDAY(AB50,2),0)</f>
        <v>1</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46265</v>
      </c>
      <c r="ER50" s="769">
        <f t="shared" si="10"/>
        <v>0</v>
      </c>
      <c r="ES50" s="770">
        <f t="shared" si="11"/>
        <v>0</v>
      </c>
      <c r="ET50" s="769">
        <f t="shared" si="12"/>
        <v>0</v>
      </c>
      <c r="EU50" s="770">
        <f t="shared" si="13"/>
        <v>0</v>
      </c>
      <c r="EV50" s="769" t="str">
        <f t="shared" si="14"/>
        <v/>
      </c>
      <c r="EW50" s="771">
        <f t="shared" si="29"/>
        <v>46265</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36</v>
      </c>
      <c r="GA50" s="129">
        <f t="shared" si="39"/>
        <v>2026</v>
      </c>
      <c r="GB50" s="129" t="str">
        <f t="shared" si="67"/>
        <v>362026</v>
      </c>
      <c r="GC50" s="223">
        <f>IF(AND($GD$53=S.CAL!$P$3,$GD$52=FZ50),GE50,IF(BH50="",0,BH50))</f>
        <v>0</v>
      </c>
      <c r="GD50" s="129" t="str">
        <f>IFERROR(+Septembre!$BY$2&amp;BL50&amp;BM50,0)</f>
        <v>Fiche infoA1</v>
      </c>
      <c r="GE50" s="129" t="str">
        <f t="shared" si="19"/>
        <v/>
      </c>
      <c r="GF50" s="223" t="str">
        <f t="shared" si="68"/>
        <v/>
      </c>
      <c r="GG50" s="1446" t="str">
        <f>+'Retenue Aout'!D48</f>
        <v/>
      </c>
      <c r="GH50" s="1446">
        <f>IF(Identification!$B$132="Non",+'Retenue Aout'!BF48,+'Retenue Aout'!BE48)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36</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IF(CF53="",+Juillet!CE53,CF53)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IF(CF54="",Juillet!CE54,CF54)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IF(CF55&gt;0,CF55,IF(AND(CE53=Juillet!CE53,CE54=Juillet!CE54),Juillet!CE55,IF(OR(CE53&lt;&gt;Juillet!CE53,CE54&lt;&gt;Juillet!CE54),CE53/CE54)))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Aout'!E52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+IF(BY57="",Juillet!BY56,BY57)</f>
        <v>24</v>
      </c>
      <c r="BZ56" s="611" t="s">
        <v>1049</v>
      </c>
      <c r="CA56" s="614">
        <f>+IF(CA57="",Juillet!CA56,CA57)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IF(CF57="",+Juillet!CE57,CF57)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IF(CF58="",Juillet!CE58,CF58)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+IF(CA61="",Juillet!CA60,CA61)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+IF(BA65="",Juillet!K67,BA65)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+IF(BA68="",Juillet!K68,BA68)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E74+Juillet!H74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E75+Juillet!H75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Aout'!EH51=0,"",'Retenue Aout'!EH51),AX76)</f>
        <v/>
      </c>
      <c r="AZ75" s="1772"/>
      <c r="BA75" s="918" t="str">
        <f>+IF(BA76="",IF('Retenue Aout'!EF51=0,"",'Retenue Aout'!EF51),BA76)</f>
        <v/>
      </c>
      <c r="BB75" s="919"/>
      <c r="BC75" s="920" t="str">
        <f>IF(BC76="",IF(+'Retenue Aout'!EG51=0,"",'Retenue Aout'!EG51),BC76)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Aout'!E50&amp;" hrs / "&amp;'Retenue Aout'!D50&amp;"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E76+Juillet!H76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+E77+Juillet!H77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IF(AR78="",+Juillet!AL78,AR78)</f>
        <v>0</v>
      </c>
      <c r="AM78" s="2299"/>
      <c r="AN78" s="2299"/>
      <c r="AO78" s="2299"/>
      <c r="AQ78" s="420" t="s">
        <v>750</v>
      </c>
      <c r="AR78" s="2344"/>
      <c r="AS78" s="2344"/>
      <c r="AT78" s="2058" t="str">
        <f>IFERROR(VLOOKUP(AY78,'Liste des Libellés'!$A$4:$F$32,6,FALSE),"")</f>
        <v/>
      </c>
      <c r="AU78" s="2058"/>
      <c r="AV78" s="2058"/>
      <c r="AW78" s="2058"/>
      <c r="AX78" s="917"/>
      <c r="AY78" s="1772" t="str">
        <f>+IF(AX79="",IF('Retenue Aout'!EH53=0,"",'Retenue Aout'!EH53),AX79)</f>
        <v/>
      </c>
      <c r="AZ78" s="1772"/>
      <c r="BA78" s="918" t="str">
        <f>+IF(BA79="",IF('Retenue Aout'!EF53=0,"",'Retenue Aout'!EF53),BA79)</f>
        <v/>
      </c>
      <c r="BB78" s="919"/>
      <c r="BC78" s="920" t="str">
        <f>IF(BC79="",IF(+'Retenue Aout'!EG53=0,"",'Retenue Aout'!EG53),BC79)</f>
        <v/>
      </c>
      <c r="BD78" s="952"/>
      <c r="BE78" s="129"/>
      <c r="BF78" s="129"/>
      <c r="BG78" s="129"/>
      <c r="BH78" s="129"/>
      <c r="BI78" s="129"/>
      <c r="CA78" s="649" t="s">
        <v>1077</v>
      </c>
      <c r="CB78" s="211"/>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84" t="s">
        <v>141</v>
      </c>
      <c r="B80" s="1984"/>
      <c r="C80" s="1984"/>
      <c r="D80" s="1984"/>
      <c r="E80" s="2366"/>
      <c r="F80" s="2324" t="str">
        <f>+Juillet!F80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Aout'!EH55=0,"",'Retenue Aout'!EH55),AX82)</f>
        <v/>
      </c>
      <c r="AZ81" s="1772"/>
      <c r="BA81" s="918" t="str">
        <f>+IF(BA82="",IF('Retenue Aout'!EF55=0,"",'Retenue Aout'!EF55),BA82)</f>
        <v/>
      </c>
      <c r="BB81" s="919"/>
      <c r="BC81" s="920" t="str">
        <f>IF(BC82="",IF(+'Retenue Aout'!EG55=0,"",'Retenue Aout'!EG55),BC82)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Aout'!EH57=0,"",'Retenue Aout'!EH57),AX85)</f>
        <v/>
      </c>
      <c r="AZ84" s="1772"/>
      <c r="BA84" s="918" t="str">
        <f>+IF(BA85="",IF('Retenue Aout'!EF57=0,"",'Retenue Aout'!EF57),BA85)</f>
        <v/>
      </c>
      <c r="BB84" s="919"/>
      <c r="BC84" s="920" t="str">
        <f>IF(BC85="",IF(+'Retenue Aout'!EG57=0,"",'Retenue Aout'!EG57),BC85)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Juillet!F86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IF(AR86="",+Juillet!AH86,AR86)</f>
        <v>0</v>
      </c>
      <c r="AI86" s="1734"/>
      <c r="AJ86" s="1734"/>
      <c r="AK86" s="1735"/>
      <c r="AL86" s="1733">
        <f>IF(AS86="",IF(DP8=52,+EI29+Juillet!AL86,+EI25+Juillet!AL86),IF(DP8=52,+EI29+Juillet!AL86+AS86,+EI25+Juillet!AL86+AS86))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46265</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+Juillet!AH87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+Juillet!AH89+Juillet!AH90</f>
        <v>0</v>
      </c>
      <c r="AI89" s="1734"/>
      <c r="AJ89" s="1734"/>
      <c r="AK89" s="1735"/>
      <c r="AL89" s="1733">
        <f>+Juillet!AL89+Juillet!AL90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+Juillet!G99</f>
        <v>0</v>
      </c>
      <c r="H99" s="2411"/>
      <c r="I99" s="241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+Juillet!G100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312026</v>
      </c>
      <c r="BA107" s="1450">
        <f>+$AT$4</f>
        <v>31</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322026</v>
      </c>
      <c r="BA108" s="1455">
        <f>+$AT$5</f>
        <v>32</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332026</v>
      </c>
      <c r="BA109" s="1455">
        <f>+$AT$6</f>
        <v>33</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342026</v>
      </c>
      <c r="BA110" s="1455">
        <f>+$AT$7</f>
        <v>34</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352026</v>
      </c>
      <c r="BA111" s="1455">
        <f>+$AT$8</f>
        <v>35</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362026</v>
      </c>
      <c r="BA112" s="1460">
        <f>+$AT$9</f>
        <v>36</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312026</v>
      </c>
      <c r="BA142" s="1450">
        <f>+$AT$4</f>
        <v>31</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322026</v>
      </c>
      <c r="BA143" s="1455">
        <f>+$AT$5</f>
        <v>32</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332026</v>
      </c>
      <c r="BA144" s="1455">
        <f>+$AT$6</f>
        <v>33</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342026</v>
      </c>
      <c r="BA145" s="1455">
        <f>+$AT$7</f>
        <v>34</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352026</v>
      </c>
      <c r="BA146" s="1455">
        <f>+$AT$8</f>
        <v>35</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362026</v>
      </c>
      <c r="BA147" s="1460">
        <f>+$AT$9</f>
        <v>36</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wHhajvOEsPh6hEutsheGxixQ/lYjC+FC4aqxrR5LBmiZV+HZJEU4fgrxupLLvtl6eoYen5vGMIePDeAh/bo+GA==" saltValue="HWECxey/G+MiWPSdcg2zlA=="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613" priority="16">
      <formula>$U$14=0</formula>
    </cfRule>
  </conditionalFormatting>
  <conditionalFormatting sqref="B26:K26">
    <cfRule type="expression" dxfId="612" priority="26">
      <formula>$U$14=0</formula>
    </cfRule>
  </conditionalFormatting>
  <conditionalFormatting sqref="B29:K29">
    <cfRule type="cellIs" dxfId="611" priority="13" operator="greaterThan">
      <formula>0</formula>
    </cfRule>
  </conditionalFormatting>
  <conditionalFormatting sqref="C70:G70">
    <cfRule type="cellIs" dxfId="610" priority="7" operator="greaterThan">
      <formula>0</formula>
    </cfRule>
  </conditionalFormatting>
  <conditionalFormatting sqref="F87:I87">
    <cfRule type="cellIs" dxfId="609" priority="2" operator="greaterThan">
      <formula>0</formula>
    </cfRule>
  </conditionalFormatting>
  <conditionalFormatting sqref="F86:L86">
    <cfRule type="cellIs" dxfId="608" priority="3" operator="greaterThan">
      <formula>0</formula>
    </cfRule>
  </conditionalFormatting>
  <conditionalFormatting sqref="H65:J65">
    <cfRule type="expression" dxfId="607" priority="40">
      <formula>AND($AX$60="Oui",$AZ$62="hrs")</formula>
    </cfRule>
    <cfRule type="expression" dxfId="606" priority="38">
      <formula>AND($AX$60="Oui",$AZ$62="")</formula>
    </cfRule>
  </conditionalFormatting>
  <conditionalFormatting sqref="H66:J66">
    <cfRule type="expression" dxfId="605" priority="36">
      <formula>AND($BW$41="Non",$AX$61="Non")</formula>
    </cfRule>
    <cfRule type="expression" dxfId="604" priority="35">
      <formula>AND($AX$61="Oui",$AZ$63="jrs")</formula>
    </cfRule>
    <cfRule type="expression" dxfId="603" priority="34">
      <formula>AND($AX$61="Oui",$AZ$63="")</formula>
    </cfRule>
    <cfRule type="expression" dxfId="602" priority="37">
      <formula>AND($BW$41="Oui",$AX$61="Non")</formula>
    </cfRule>
  </conditionalFormatting>
  <conditionalFormatting sqref="H70:J71">
    <cfRule type="cellIs" dxfId="601" priority="6" operator="greaterThan">
      <formula>0</formula>
    </cfRule>
  </conditionalFormatting>
  <conditionalFormatting sqref="H65:K66">
    <cfRule type="cellIs" dxfId="600" priority="33" operator="equal">
      <formula>0</formula>
    </cfRule>
  </conditionalFormatting>
  <conditionalFormatting sqref="H67:M68">
    <cfRule type="cellIs" dxfId="599" priority="54" operator="equal">
      <formula>0</formula>
    </cfRule>
  </conditionalFormatting>
  <conditionalFormatting sqref="H69:M69">
    <cfRule type="cellIs" dxfId="598" priority="8" operator="greaterThan">
      <formula>0</formula>
    </cfRule>
  </conditionalFormatting>
  <conditionalFormatting sqref="H40:Z60">
    <cfRule type="cellIs" dxfId="597" priority="32" operator="equal">
      <formula>0</formula>
    </cfRule>
  </conditionalFormatting>
  <conditionalFormatting sqref="K81:K82 L82:T83 K88:T88 K89:Q90">
    <cfRule type="expression" dxfId="596" priority="514">
      <formula>$EO$6="OUI"</formula>
    </cfRule>
  </conditionalFormatting>
  <conditionalFormatting sqref="K87">
    <cfRule type="expression" dxfId="595" priority="4">
      <formula>$EO$6="OUI"</formula>
    </cfRule>
  </conditionalFormatting>
  <conditionalFormatting sqref="L18:O19">
    <cfRule type="cellIs" dxfId="594" priority="20" operator="equal">
      <formula>0</formula>
    </cfRule>
  </conditionalFormatting>
  <conditionalFormatting sqref="L21:O22">
    <cfRule type="cellIs" dxfId="593" priority="31" operator="equal">
      <formula>0</formula>
    </cfRule>
  </conditionalFormatting>
  <conditionalFormatting sqref="L27:O28">
    <cfRule type="cellIs" dxfId="592" priority="14" operator="greaterThan">
      <formula>0</formula>
    </cfRule>
  </conditionalFormatting>
  <conditionalFormatting sqref="L30:O32">
    <cfRule type="cellIs" dxfId="591" priority="12" operator="greaterThan">
      <formula>0</formula>
    </cfRule>
  </conditionalFormatting>
  <conditionalFormatting sqref="L34:O34">
    <cfRule type="cellIs" dxfId="590" priority="10" operator="greaterThan">
      <formula>0</formula>
    </cfRule>
  </conditionalFormatting>
  <conditionalFormatting sqref="L23:S24">
    <cfRule type="cellIs" dxfId="589" priority="15" operator="greaterThan">
      <formula>0</formula>
    </cfRule>
  </conditionalFormatting>
  <conditionalFormatting sqref="L25:S26">
    <cfRule type="containsErrors" dxfId="588" priority="24">
      <formula>ISERROR(L25)</formula>
    </cfRule>
    <cfRule type="cellIs" dxfId="587" priority="25" operator="equal">
      <formula>0</formula>
    </cfRule>
  </conditionalFormatting>
  <conditionalFormatting sqref="M87:T87">
    <cfRule type="expression" dxfId="586" priority="511">
      <formula>$EO$6="OUI"</formula>
    </cfRule>
  </conditionalFormatting>
  <conditionalFormatting sqref="N65:P71">
    <cfRule type="cellIs" dxfId="585" priority="60" operator="equal">
      <formula>0</formula>
    </cfRule>
  </conditionalFormatting>
  <conditionalFormatting sqref="O86">
    <cfRule type="expression" dxfId="584" priority="515">
      <formula>EO6="OUI"</formula>
    </cfRule>
  </conditionalFormatting>
  <conditionalFormatting sqref="O14:T14">
    <cfRule type="expression" dxfId="583" priority="209">
      <formula>$U$14=0</formula>
    </cfRule>
  </conditionalFormatting>
  <conditionalFormatting sqref="P20">
    <cfRule type="expression" dxfId="582" priority="17">
      <formula>$DP$14=1</formula>
    </cfRule>
  </conditionalFormatting>
  <conditionalFormatting sqref="P18:S18">
    <cfRule type="expression" dxfId="581" priority="21">
      <formula>$L$18=0</formula>
    </cfRule>
  </conditionalFormatting>
  <conditionalFormatting sqref="P19:S19">
    <cfRule type="expression" dxfId="580" priority="19">
      <formula>$L$19=0</formula>
    </cfRule>
  </conditionalFormatting>
  <conditionalFormatting sqref="P21:S21">
    <cfRule type="expression" dxfId="579" priority="30">
      <formula>$L$21=0</formula>
    </cfRule>
  </conditionalFormatting>
  <conditionalFormatting sqref="P22:S22">
    <cfRule type="expression" dxfId="578" priority="29">
      <formula>$L$22=0</formula>
    </cfRule>
  </conditionalFormatting>
  <conditionalFormatting sqref="R87:T87">
    <cfRule type="expression" dxfId="577" priority="510">
      <formula>$EO$7="OUI"</formula>
    </cfRule>
  </conditionalFormatting>
  <conditionalFormatting sqref="R89:T89">
    <cfRule type="expression" dxfId="576" priority="506">
      <formula>$EO$6="OUI"</formula>
    </cfRule>
    <cfRule type="expression" dxfId="575" priority="505">
      <formula>$EO$8="OUI"</formula>
    </cfRule>
  </conditionalFormatting>
  <conditionalFormatting sqref="R90:T90">
    <cfRule type="expression" dxfId="574" priority="512">
      <formula>$EO$7="OUI"</formula>
    </cfRule>
    <cfRule type="expression" dxfId="573" priority="513">
      <formula>$EO$6="OUI"</formula>
    </cfRule>
  </conditionalFormatting>
  <conditionalFormatting sqref="T20">
    <cfRule type="expression" dxfId="572" priority="18">
      <formula>$DP$14=1</formula>
    </cfRule>
  </conditionalFormatting>
  <conditionalFormatting sqref="T30:T32">
    <cfRule type="cellIs" dxfId="571" priority="28" operator="equal">
      <formula>0</formula>
    </cfRule>
  </conditionalFormatting>
  <conditionalFormatting sqref="T18:W19">
    <cfRule type="cellIs" dxfId="570" priority="22" operator="equal">
      <formula>0</formula>
    </cfRule>
  </conditionalFormatting>
  <conditionalFormatting sqref="T21:W28">
    <cfRule type="cellIs" dxfId="569" priority="27" operator="equal">
      <formula>0</formula>
    </cfRule>
  </conditionalFormatting>
  <conditionalFormatting sqref="T29:W29">
    <cfRule type="cellIs" dxfId="568" priority="11" operator="greaterThan">
      <formula>0</formula>
    </cfRule>
  </conditionalFormatting>
  <conditionalFormatting sqref="T33:W33">
    <cfRule type="cellIs" dxfId="567" priority="9" operator="greaterThan">
      <formula>0</formula>
    </cfRule>
  </conditionalFormatting>
  <conditionalFormatting sqref="T34:W34">
    <cfRule type="cellIs" dxfId="566" priority="23" operator="equal">
      <formula>0</formula>
    </cfRule>
  </conditionalFormatting>
  <conditionalFormatting sqref="U14:X14">
    <cfRule type="cellIs" dxfId="565" priority="207" operator="equal">
      <formula>0</formula>
    </cfRule>
  </conditionalFormatting>
  <conditionalFormatting sqref="V80:AF81">
    <cfRule type="cellIs" dxfId="564" priority="1" operator="notEqual">
      <formula>"Commentaires :"</formula>
    </cfRule>
  </conditionalFormatting>
  <conditionalFormatting sqref="Y73:AO75">
    <cfRule type="expression" dxfId="563" priority="64">
      <formula>$DP$8=52</formula>
    </cfRule>
  </conditionalFormatting>
  <conditionalFormatting sqref="AB20:AC50">
    <cfRule type="expression" dxfId="562" priority="430">
      <formula>VLOOKUP(AB20,base_feries,1,FALSE)</formula>
    </cfRule>
    <cfRule type="expression" dxfId="561" priority="429">
      <formula>OR(WEEKDAY(AB20,2)=6,WEEKDAY(AB20,2)=7)</formula>
    </cfRule>
    <cfRule type="expression" dxfId="560" priority="428">
      <formula>WEEKDAY(AB20,2)=7</formula>
    </cfRule>
  </conditionalFormatting>
  <conditionalFormatting sqref="AD20:AF50">
    <cfRule type="cellIs" dxfId="559" priority="300" operator="equal">
      <formula>0</formula>
    </cfRule>
    <cfRule type="expression" dxfId="558" priority="299">
      <formula>FC20="oui"</formula>
    </cfRule>
  </conditionalFormatting>
  <conditionalFormatting sqref="AG20:AI50">
    <cfRule type="expression" dxfId="557" priority="301">
      <formula>FC20="oui"</formula>
    </cfRule>
  </conditionalFormatting>
  <conditionalFormatting sqref="AH83:AH84">
    <cfRule type="cellIs" dxfId="556" priority="524" stopIfTrue="1" operator="equal">
      <formula>0</formula>
    </cfRule>
  </conditionalFormatting>
  <conditionalFormatting sqref="AH89:AH91">
    <cfRule type="cellIs" dxfId="555" priority="69" stopIfTrue="1" operator="equal">
      <formula>0</formula>
    </cfRule>
  </conditionalFormatting>
  <conditionalFormatting sqref="AH93:AK93">
    <cfRule type="cellIs" dxfId="554" priority="516" operator="equal">
      <formula>0</formula>
    </cfRule>
  </conditionalFormatting>
  <conditionalFormatting sqref="AH86:AL87">
    <cfRule type="cellIs" dxfId="553" priority="65" stopIfTrue="1" operator="equal">
      <formula>0</formula>
    </cfRule>
  </conditionalFormatting>
  <conditionalFormatting sqref="AH92:AO92">
    <cfRule type="cellIs" dxfId="552" priority="239" operator="lessThan">
      <formula>-0.001</formula>
    </cfRule>
  </conditionalFormatting>
  <conditionalFormatting sqref="AJ20:AL50">
    <cfRule type="expression" dxfId="551" priority="302">
      <formula>FC20="oui"</formula>
    </cfRule>
  </conditionalFormatting>
  <conditionalFormatting sqref="AL83">
    <cfRule type="cellIs" dxfId="550" priority="523" stopIfTrue="1" operator="equal">
      <formula>0</formula>
    </cfRule>
  </conditionalFormatting>
  <conditionalFormatting sqref="AL89:AL91">
    <cfRule type="cellIs" dxfId="549" priority="68" stopIfTrue="1" operator="equal">
      <formula>0</formula>
    </cfRule>
  </conditionalFormatting>
  <conditionalFormatting sqref="AL93">
    <cfRule type="cellIs" dxfId="548" priority="522" stopIfTrue="1" operator="equal">
      <formula>0</formula>
    </cfRule>
  </conditionalFormatting>
  <conditionalFormatting sqref="AM20:AO50">
    <cfRule type="expression" dxfId="547" priority="303">
      <formula>FC20="oui"</formula>
    </cfRule>
  </conditionalFormatting>
  <conditionalFormatting sqref="AP20:AP50">
    <cfRule type="expression" dxfId="546" priority="147">
      <formula>BL20="E"</formula>
    </cfRule>
    <cfRule type="expression" dxfId="545" priority="150">
      <formula>BL20="B"</formula>
    </cfRule>
    <cfRule type="expression" dxfId="544" priority="149">
      <formula>BL20="C"</formula>
    </cfRule>
    <cfRule type="expression" dxfId="543" priority="148">
      <formula>BL20="D"</formula>
    </cfRule>
    <cfRule type="expression" dxfId="542" priority="144">
      <formula>BL20="H"</formula>
    </cfRule>
    <cfRule type="expression" dxfId="541" priority="145">
      <formula>BL20="G"</formula>
    </cfRule>
    <cfRule type="expression" dxfId="540" priority="146">
      <formula>BL20="F"</formula>
    </cfRule>
  </conditionalFormatting>
  <conditionalFormatting sqref="AQ62:AU62">
    <cfRule type="expression" dxfId="539" priority="46">
      <formula>$AT$60="Non"</formula>
    </cfRule>
  </conditionalFormatting>
  <conditionalFormatting sqref="AQ63:AU63">
    <cfRule type="expression" dxfId="538" priority="43">
      <formula>$AT$61="Non"</formula>
    </cfRule>
  </conditionalFormatting>
  <conditionalFormatting sqref="AR20:AR50">
    <cfRule type="expression" dxfId="537" priority="189">
      <formula>AND(AR20&lt;&gt;"",AZ20&lt;&gt;"")</formula>
    </cfRule>
    <cfRule type="expression" dxfId="536" priority="185">
      <formula>FN20=10</formula>
    </cfRule>
    <cfRule type="expression" dxfId="535" priority="181">
      <formula>FC20="oui"</formula>
    </cfRule>
    <cfRule type="expression" dxfId="534" priority="173">
      <formula>AB20=""</formula>
    </cfRule>
  </conditionalFormatting>
  <conditionalFormatting sqref="AR17:BJ50">
    <cfRule type="expression" dxfId="533" priority="49">
      <formula>$EX$13="oui"</formula>
    </cfRule>
  </conditionalFormatting>
  <conditionalFormatting sqref="AS51:BJ51 DK51">
    <cfRule type="expression" dxfId="532" priority="134">
      <formula>$EX$13="oui"</formula>
    </cfRule>
  </conditionalFormatting>
  <conditionalFormatting sqref="AT4:AT10">
    <cfRule type="expression" dxfId="531" priority="445">
      <formula>AU4="H"</formula>
    </cfRule>
    <cfRule type="expression" dxfId="530" priority="447">
      <formula>AU4="F"</formula>
    </cfRule>
    <cfRule type="expression" dxfId="529" priority="448">
      <formula>AU4="E"</formula>
    </cfRule>
    <cfRule type="expression" dxfId="528" priority="449">
      <formula>AU4="D"</formula>
    </cfRule>
    <cfRule type="expression" dxfId="527" priority="451">
      <formula>AU4="B"</formula>
    </cfRule>
    <cfRule type="expression" dxfId="526" priority="446">
      <formula>AU4="G"</formula>
    </cfRule>
    <cfRule type="expression" dxfId="525" priority="450">
      <formula>AU4="C"</formula>
    </cfRule>
  </conditionalFormatting>
  <conditionalFormatting sqref="AT20:AT50">
    <cfRule type="expression" dxfId="524" priority="184">
      <formula>FC20="oui"</formula>
    </cfRule>
    <cfRule type="expression" dxfId="523" priority="180">
      <formula>AB20=""</formula>
    </cfRule>
  </conditionalFormatting>
  <conditionalFormatting sqref="AU4:AU10">
    <cfRule type="expression" dxfId="522" priority="381">
      <formula>FG4="rouge"</formula>
    </cfRule>
    <cfRule type="expression" dxfId="521" priority="380">
      <formula>AT4=""</formula>
    </cfRule>
  </conditionalFormatting>
  <conditionalFormatting sqref="AU20:AU50">
    <cfRule type="expression" dxfId="520" priority="179">
      <formula>AB20=""</formula>
    </cfRule>
    <cfRule type="expression" dxfId="519" priority="188">
      <formula>FC20="oui"</formula>
    </cfRule>
  </conditionalFormatting>
  <conditionalFormatting sqref="AW20:AX50">
    <cfRule type="expression" dxfId="518" priority="191">
      <formula>WEEKDAY(AW20,2)=7</formula>
    </cfRule>
    <cfRule type="expression" dxfId="517" priority="192">
      <formula>OR(WEEKDAY(AW20,2)=6,WEEKDAY(AW20,2)=7)</formula>
    </cfRule>
    <cfRule type="expression" dxfId="516" priority="193">
      <formula>VLOOKUP(AW20,base_feries,1,FALSE)</formula>
    </cfRule>
  </conditionalFormatting>
  <conditionalFormatting sqref="AX62:AZ62">
    <cfRule type="expression" dxfId="515" priority="45">
      <formula>$AX$60="Non"</formula>
    </cfRule>
  </conditionalFormatting>
  <conditionalFormatting sqref="AX63:AZ63">
    <cfRule type="expression" dxfId="514" priority="42">
      <formula>$AX$61="Non"</formula>
    </cfRule>
  </conditionalFormatting>
  <conditionalFormatting sqref="AZ20:AZ50">
    <cfRule type="expression" dxfId="513" priority="50">
      <formula>AB20=""</formula>
    </cfRule>
    <cfRule type="expression" dxfId="512" priority="53">
      <formula>AND(AR20&lt;&gt;"",AZ20&lt;&gt;"")</formula>
    </cfRule>
    <cfRule type="expression" dxfId="511" priority="52">
      <formula>FL20=10</formula>
    </cfRule>
    <cfRule type="expression" dxfId="510" priority="51">
      <formula>FC20="oui"</formula>
    </cfRule>
  </conditionalFormatting>
  <conditionalFormatting sqref="BA20:BA50">
    <cfRule type="expression" dxfId="509" priority="178">
      <formula>AB20=""</formula>
    </cfRule>
    <cfRule type="expression" dxfId="508" priority="182">
      <formula>FC20="oui"</formula>
    </cfRule>
  </conditionalFormatting>
  <conditionalFormatting sqref="BA62">
    <cfRule type="expression" dxfId="507" priority="44">
      <formula>$BA$60="Non"</formula>
    </cfRule>
  </conditionalFormatting>
  <conditionalFormatting sqref="BA63">
    <cfRule type="expression" dxfId="506" priority="41">
      <formula>$BA$61="Non"</formula>
    </cfRule>
  </conditionalFormatting>
  <conditionalFormatting sqref="BA102 BA103:BH115">
    <cfRule type="expression" dxfId="505" priority="66">
      <formula>$DP$8=52</formula>
    </cfRule>
  </conditionalFormatting>
  <conditionalFormatting sqref="BA137 BA138:BH149">
    <cfRule type="expression" dxfId="504" priority="67">
      <formula>$DP$8=52</formula>
    </cfRule>
  </conditionalFormatting>
  <conditionalFormatting sqref="BC20:BC55">
    <cfRule type="cellIs" dxfId="503" priority="187" operator="equal">
      <formula>0</formula>
    </cfRule>
    <cfRule type="expression" dxfId="502" priority="175">
      <formula>AJ20=""</formula>
    </cfRule>
  </conditionalFormatting>
  <conditionalFormatting sqref="BC112:BH112">
    <cfRule type="expression" dxfId="501" priority="95">
      <formula>$BA$112=""</formula>
    </cfRule>
  </conditionalFormatting>
  <conditionalFormatting sqref="BC147:BH147">
    <cfRule type="expression" dxfId="500" priority="94">
      <formula>$BA$112=""</formula>
    </cfRule>
  </conditionalFormatting>
  <conditionalFormatting sqref="BD20:BD50">
    <cfRule type="expression" dxfId="499" priority="176">
      <formula>FL20="oui"</formula>
    </cfRule>
  </conditionalFormatting>
  <conditionalFormatting sqref="BE20:BE50">
    <cfRule type="expression" dxfId="498" priority="186">
      <formula>OR(BE20=0,BE20="")</formula>
    </cfRule>
  </conditionalFormatting>
  <conditionalFormatting sqref="BH20:BH50">
    <cfRule type="expression" dxfId="497" priority="135">
      <formula>AO20=""</formula>
    </cfRule>
    <cfRule type="cellIs" dxfId="496" priority="172" operator="equal">
      <formula>0</formula>
    </cfRule>
  </conditionalFormatting>
  <conditionalFormatting sqref="BI9:BI14">
    <cfRule type="cellIs" dxfId="495" priority="101" operator="equal">
      <formula>0</formula>
    </cfRule>
  </conditionalFormatting>
  <conditionalFormatting sqref="BQ54">
    <cfRule type="expression" dxfId="494" priority="425">
      <formula>$BW$41="Non"</formula>
    </cfRule>
  </conditionalFormatting>
  <conditionalFormatting sqref="BQ36:CA36">
    <cfRule type="expression" dxfId="493" priority="426">
      <formula>$BW$41="Oui"</formula>
    </cfRule>
  </conditionalFormatting>
  <conditionalFormatting sqref="BS21:CA34">
    <cfRule type="expression" dxfId="492" priority="81">
      <formula>$EO$12="NON"</formula>
    </cfRule>
  </conditionalFormatting>
  <conditionalFormatting sqref="BY28:BY33">
    <cfRule type="notContainsBlanks" dxfId="491" priority="82">
      <formula>LEN(TRIM(BY28))&gt;0</formula>
    </cfRule>
  </conditionalFormatting>
  <conditionalFormatting sqref="BY56">
    <cfRule type="duplicateValues" dxfId="490" priority="473"/>
    <cfRule type="expression" dxfId="489" priority="472">
      <formula>$BW$41="Oui"</formula>
    </cfRule>
  </conditionalFormatting>
  <conditionalFormatting sqref="BY60">
    <cfRule type="expression" dxfId="488" priority="466">
      <formula>$BW$41="Oui"</formula>
    </cfRule>
    <cfRule type="cellIs" dxfId="487" priority="467" operator="lessThan">
      <formula>$BY$59</formula>
    </cfRule>
    <cfRule type="duplicateValues" dxfId="486" priority="468"/>
  </conditionalFormatting>
  <conditionalFormatting sqref="CA56">
    <cfRule type="expression" dxfId="484" priority="276">
      <formula>AND($CA$56&lt;$CE$47,$BW$41="Non")</formula>
    </cfRule>
  </conditionalFormatting>
  <conditionalFormatting sqref="CB78">
    <cfRule type="cellIs" dxfId="483" priority="564" stopIfTrue="1" operator="equal">
      <formula>"NON"</formula>
    </cfRule>
    <cfRule type="cellIs" dxfId="482" priority="565" stopIfTrue="1" operator="equal">
      <formula>"OUI"</formula>
    </cfRule>
  </conditionalFormatting>
  <conditionalFormatting sqref="CE53:CE54">
    <cfRule type="expression" dxfId="481" priority="153">
      <formula>$BW$41="Non"</formula>
    </cfRule>
  </conditionalFormatting>
  <conditionalFormatting sqref="CE57:CE58">
    <cfRule type="expression" dxfId="480" priority="152">
      <formula>$BW$41="Non"</formula>
    </cfRule>
  </conditionalFormatting>
  <conditionalFormatting sqref="CE3:CF3">
    <cfRule type="expression" dxfId="479" priority="114">
      <formula>$CD$3=""</formula>
    </cfRule>
    <cfRule type="expression" dxfId="478" priority="113">
      <formula>AND($CE$3="",$CE$5&lt;&gt;"")</formula>
    </cfRule>
    <cfRule type="expression" dxfId="477" priority="112">
      <formula>$FX$3="vrai"</formula>
    </cfRule>
  </conditionalFormatting>
  <conditionalFormatting sqref="CE5:CF5">
    <cfRule type="expression" dxfId="476" priority="121">
      <formula>OR(AND(CE5&lt;&gt;0,CE5&lt;AJ4),AND(CE5&lt;&gt;0,CE5&gt;EG5),AND(CE5&lt;&gt;0,CE5&lt;AB20))</formula>
    </cfRule>
    <cfRule type="expression" dxfId="475" priority="120">
      <formula>CD5=""</formula>
    </cfRule>
    <cfRule type="expression" dxfId="474" priority="119">
      <formula>$FX$5="vrai"</formula>
    </cfRule>
  </conditionalFormatting>
  <conditionalFormatting sqref="CE8:CF8">
    <cfRule type="cellIs" dxfId="473" priority="118" operator="greaterThan">
      <formula>$CE$5</formula>
    </cfRule>
    <cfRule type="expression" dxfId="472" priority="117">
      <formula>AND(CE8&lt;&gt;0,CE8&lt;AJ4)</formula>
    </cfRule>
    <cfRule type="expression" dxfId="471" priority="116">
      <formula>CD8=""</formula>
    </cfRule>
    <cfRule type="expression" dxfId="470" priority="115">
      <formula>$FX$8="vrai"</formula>
    </cfRule>
  </conditionalFormatting>
  <conditionalFormatting sqref="CF47">
    <cfRule type="notContainsBlanks" dxfId="469" priority="412">
      <formula>LEN(TRIM(CF47))&gt;0</formula>
    </cfRule>
  </conditionalFormatting>
  <conditionalFormatting sqref="CF49">
    <cfRule type="notContainsBlanks" dxfId="468" priority="411">
      <formula>LEN(TRIM(CF49))&gt;0</formula>
    </cfRule>
  </conditionalFormatting>
  <conditionalFormatting sqref="CF53:CF54">
    <cfRule type="expression" dxfId="466" priority="156">
      <formula>$BW$41="Non"</formula>
    </cfRule>
  </conditionalFormatting>
  <conditionalFormatting sqref="CF57:CF58">
    <cfRule type="expression" dxfId="464" priority="154">
      <formula>$BW$41="Non"</formula>
    </cfRule>
  </conditionalFormatting>
  <conditionalFormatting sqref="CG8:CI8">
    <cfRule type="expression" dxfId="462" priority="248">
      <formula>CD8=""</formula>
    </cfRule>
  </conditionalFormatting>
  <conditionalFormatting sqref="GW16:HR16">
    <cfRule type="expression" dxfId="461" priority="402">
      <formula>$AE$123="NON"</formula>
    </cfRule>
  </conditionalFormatting>
  <conditionalFormatting sqref="HG16:HJ16">
    <cfRule type="expression" dxfId="460" priority="4920">
      <formula>AR123&gt;0</formula>
    </cfRule>
  </conditionalFormatting>
  <conditionalFormatting sqref="HK16:HN16">
    <cfRule type="expression" dxfId="459" priority="4921">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000-000000000000}">
      <formula1>0</formula1>
      <formula2>0</formula2>
    </dataValidation>
    <dataValidation type="list" allowBlank="1" showInputMessage="1" showErrorMessage="1" sqref="F80:H80" xr:uid="{00000000-0002-0000-2000-000001000000}">
      <formula1>"Chèque,Espèce,Virement,Pajemploi +,CESU"</formula1>
    </dataValidation>
    <dataValidation type="list" allowBlank="1" showInputMessage="1" showErrorMessage="1" sqref="F82:H82" xr:uid="{00000000-0002-0000-2000-000002000000}">
      <formula1>"' ,Chèque,Espèce,Virement,Pajemploi +,CESU"</formula1>
    </dataValidation>
    <dataValidation type="list" allowBlank="1" showInputMessage="1" showErrorMessage="1" sqref="AU4:AU10" xr:uid="{00000000-0002-0000-2000-000003000000}">
      <formula1>"A,B,C,D,E,F,G,H"</formula1>
    </dataValidation>
    <dataValidation showInputMessage="1" showErrorMessage="1" sqref="BY6" xr:uid="{00000000-0002-0000-2000-000004000000}"/>
    <dataValidation type="list" allowBlank="1" showInputMessage="1" showErrorMessage="1" sqref="L123:M123 L125:M125 AI127:AJ127 AJ125:AK125 CC132 BF20:BF50" xr:uid="{00000000-0002-0000-2000-000006000000}">
      <formula1>"OUI,NON"</formula1>
    </dataValidation>
    <dataValidation type="list" allowBlank="1" showInputMessage="1" showErrorMessage="1" sqref="BX41" xr:uid="{00000000-0002-0000-2000-000007000000}">
      <formula1>Table_utilisation_tab_entretien</formula1>
    </dataValidation>
    <dataValidation type="list" showInputMessage="1" showErrorMessage="1" sqref="AR14:AZ14" xr:uid="{00000000-0002-0000-2000-000009000000}">
      <formula1>calendrier_bs</formula1>
    </dataValidation>
    <dataValidation type="list" showInputMessage="1" showErrorMessage="1" sqref="BZ118" xr:uid="{00000000-0002-0000-2000-00000A000000}">
      <formula1>"Scénario 1,Scénario 2,Scénario 3,Scénario 4,"</formula1>
    </dataValidation>
    <dataValidation type="list" allowBlank="1" showInputMessage="1" showErrorMessage="1" sqref="BZ2" xr:uid="{00000000-0002-0000-2000-00000B000000}">
      <formula1>Source_liste_fiche2</formula1>
    </dataValidation>
    <dataValidation type="list" allowBlank="1" showInputMessage="1" sqref="CF58 CF54 DJ51:DK52" xr:uid="{00000000-0002-0000-2000-00000C000000}">
      <formula1>"1,2,3,4,5,6,7,8,9,10,11,12,13"</formula1>
    </dataValidation>
    <dataValidation allowBlank="1" showInputMessage="1" sqref="BY56 BY60 CE54 CE58" xr:uid="{00000000-0002-0000-2000-00000D000000}"/>
    <dataValidation type="list" allowBlank="1" showInputMessage="1" sqref="BY57" xr:uid="{00000000-0002-0000-2000-00000E000000}">
      <formula1>"0,1,2,3,4,5,6,7,8,9,10,11,12,13,14,24"</formula1>
    </dataValidation>
    <dataValidation type="list" allowBlank="1" showInputMessage="1" showErrorMessage="1" sqref="AX76:AY76 AX79:AY79 AX82:AY82 AX85:AY85" xr:uid="{00000000-0002-0000-2000-00000F000000}">
      <formula1>liste_attestation_modif_pole</formula1>
    </dataValidation>
    <dataValidation type="list" allowBlank="1" showInputMessage="1" showErrorMessage="1" sqref="CE3:CF3" xr:uid="{00000000-0002-0000-2000-000010000000}">
      <formula1>motif_rupture</formula1>
    </dataValidation>
    <dataValidation type="list" showInputMessage="1" showErrorMessage="1" error="Vous devez choisir entre :_x000a_ - cellule vide_x000a_ - CP Acq_x000a_ - CP Ant" sqref="AR20:AR50" xr:uid="{00000000-0002-0000-2000-000011000000}">
      <formula1>Source_pose_CP</formula1>
    </dataValidation>
    <dataValidation type="list" allowBlank="1" showInputMessage="1" showErrorMessage="1" sqref="BA60:BA61 AT60:AT61 AX60:AY61" xr:uid="{0B0B5F9F-2CBC-4B52-87A1-79C6CC3DAAD4}">
      <formula1>"Non,Oui"</formula1>
    </dataValidation>
    <dataValidation allowBlank="1" showInputMessage="1" showErrorMessage="1" prompt="Vous pouvez choisir avec la petite flèche à droite &quot;Salaires heures normales réelles &quot;" sqref="A18:K18" xr:uid="{E2552885-FC17-4E2C-9FB3-92557A34E4F9}"/>
    <dataValidation type="list" errorStyle="information" allowBlank="1" showInputMessage="1" showErrorMessage="1" error="Faites Entrée pour valider le nombre d'heures" sqref="AZ20:AZ50" xr:uid="{D4B755CE-110B-4946-907B-682F8066322E}">
      <formula1>liste_motif</formula1>
    </dataValidation>
    <dataValidation type="list" allowBlank="1" showInputMessage="1" showErrorMessage="1" sqref="AZ62:AZ63" xr:uid="{2257BFCA-0018-48D6-866F-F6DB30981FAB}">
      <formula1>liste_hrs_jrs</formula1>
    </dataValidation>
    <dataValidation type="list" allowBlank="1" showInputMessage="1" showErrorMessage="1" sqref="AO131:AP133 AH133:AI133" xr:uid="{32FA9D33-73B4-492C-9E6B-CCB6687E46AF}">
      <formula1>"Oui,Non"</formula1>
    </dataValidation>
    <dataValidation type="list" allowBlank="1" showInputMessage="1" showErrorMessage="1" sqref="AJ135:AK135" xr:uid="{05284E86-311D-4670-B4BD-EA3EEFAB0468}">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BC9398EC-023E-44C8-811B-D474D8B624D9}">
            <xm:f>Février!$BY$8="OUI"</xm:f>
            <x14:dxf>
              <font>
                <color theme="0"/>
              </font>
              <fill>
                <patternFill>
                  <bgColor theme="0"/>
                </patternFill>
              </fill>
            </x14:dxf>
          </x14:cfRule>
          <xm:sqref>BZ8</xm:sqref>
        </x14:conditionalFormatting>
        <x14:conditionalFormatting xmlns:xm="http://schemas.microsoft.com/office/excel/2006/main">
          <x14:cfRule type="expression" priority="157" id="{90C5F3E5-8000-4B90-B18F-B92210971BF7}">
            <xm:f>AND($EO$11="NON",$CC$44=S.CAL!$BC$4)</xm:f>
            <x14:dxf>
              <fill>
                <patternFill>
                  <bgColor rgb="FFFF0000"/>
                </patternFill>
              </fill>
            </x14:dxf>
          </x14:cfRule>
          <xm:sqref>CF53:CF54</xm:sqref>
        </x14:conditionalFormatting>
        <x14:conditionalFormatting xmlns:xm="http://schemas.microsoft.com/office/excel/2006/main">
          <x14:cfRule type="expression" priority="151" id="{F9392833-ECED-4E76-B80A-354CD8197FF8}">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EC1C6C5A-A38F-4222-921D-8777E43181D0}">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000-000013000000}">
          <x14:formula1>
            <xm:f>S.CAL!$V$2:$V$4</xm:f>
          </x14:formula1>
          <xm:sqref>BZ8 AN123:AO123 AN129:AO129</xm:sqref>
        </x14:dataValidation>
        <x14:dataValidation type="list" allowBlank="1" showInputMessage="1" showErrorMessage="1" xr:uid="{00000000-0002-0000-2000-000014000000}">
          <x14:formula1>
            <xm:f>S.CAL!$S$2:$S$4</xm:f>
          </x14:formula1>
          <xm:sqref>BZ6</xm:sqref>
        </x14:dataValidation>
        <x14:dataValidation type="list" allowBlank="1" showInputMessage="1" showErrorMessage="1" xr:uid="{99122D19-5AD9-4554-9D5D-7699B4EA8E15}">
          <x14:formula1>
            <xm:f>S.CAL!$BC$2:$BC$5</xm:f>
          </x14:formula1>
          <xm:sqref>CC45:CD45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43" width="11.42578125" style="315" hidden="1" customWidth="1"/>
    <col min="144" max="144" width="39.5703125" style="315" hidden="1" customWidth="1"/>
    <col min="145"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DATE(YEAR(Janvier!X3),MONTH(Janvier!X3)+8,DAY(Janvier!X3))</f>
        <v>46266</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36</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IF(Aout!BY8="OUI","Contrat fini",BY2)</f>
        <v>Fiche info</v>
      </c>
      <c r="EF4" s="315" t="s">
        <v>1028</v>
      </c>
      <c r="EG4" s="737">
        <f>+Identification!B95</f>
        <v>0</v>
      </c>
      <c r="FG4" s="315" t="str">
        <f>IFERROR(IF(VLOOKUP(AT4,Aout!$AT$4:$AU$10,2,FALSE)&lt;&gt;Septembre!AU4,"rouge","ok"),0)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46266</v>
      </c>
      <c r="Y5" s="2206"/>
      <c r="Z5" s="1743" t="s">
        <v>451</v>
      </c>
      <c r="AA5" s="1743"/>
      <c r="AB5" s="2206">
        <f>+IF(AND(DATE(YEAR(EG4),MONTH(EG4),DAY(EG4))&gt;=DATE(YEAR(X3),MONTH(X3),DAY(X3)),DATE(YEAR(EG4),MONTH(EG4),DAY(EG4))&lt;=DATE(YEAR(X3),MONTH(X3),DAY(EOMONTH(X3,0)))),EG4,EOMONTH(X3,0))</f>
        <v>46295</v>
      </c>
      <c r="AC5" s="2210"/>
      <c r="AP5" s="209"/>
      <c r="AQ5" s="318"/>
      <c r="AR5" s="209"/>
      <c r="AS5" s="210"/>
      <c r="AT5" s="301">
        <f t="array" ref="AT5">IFERROR(INDEX($BK$20:$BK$50,MATCH(0,INDEX(COUNTIF($AT$3:AT4,$BK$20:$BK$50),0,0),0)),"")</f>
        <v>37</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46295</v>
      </c>
      <c r="FG5" s="315">
        <f>IFERROR(IF(VLOOKUP(AT5,Aout!$AT$4:$AU$10,2,FALSE)&lt;&gt;Septembre!AU5,"rouge","ok"),0)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38</v>
      </c>
      <c r="AU6" s="1122" t="s">
        <v>226</v>
      </c>
      <c r="BQ6" s="578"/>
      <c r="BR6" s="578"/>
      <c r="BS6" s="578"/>
      <c r="BT6" s="578"/>
      <c r="BU6" s="578"/>
      <c r="BV6" s="578"/>
      <c r="BW6" s="578"/>
      <c r="BX6" s="579" t="s">
        <v>509</v>
      </c>
      <c r="BY6" s="580" t="str">
        <f>+IF(BZ6="",Aout!BY6,BZ6)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IFERROR(IF(VLOOKUP(AT6,Aout!$AT$4:$AU$10,2,FALSE)&lt;&gt;Septembre!AU6,"rouge","ok"),0)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39</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IFERROR(IF(VLOOKUP(AT7,Aout!$AT$4:$AU$10,2,FALSE)&lt;&gt;Septembre!AU7,"rouge","ok"),0)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40</v>
      </c>
      <c r="AU8" s="1122" t="s">
        <v>226</v>
      </c>
      <c r="BG8" s="240"/>
      <c r="BH8" s="1439" t="str">
        <f>+AT3</f>
        <v>N° Sem.</v>
      </c>
      <c r="BI8" s="1440" t="s">
        <v>1552</v>
      </c>
      <c r="BQ8" s="1985" t="s">
        <v>210</v>
      </c>
      <c r="BR8" s="1986"/>
      <c r="BS8" s="1986"/>
      <c r="BT8" s="1986"/>
      <c r="BU8" s="1986"/>
      <c r="BV8" s="1986"/>
      <c r="BW8" s="1986"/>
      <c r="BX8" s="1986"/>
      <c r="BY8" s="965" t="str">
        <f>IF(BZ8="",Aout!BY8,BZ8)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IFERROR(IF(VLOOKUP(AT8,Aout!$AT$4:$AU$10,2,FALSE)&lt;&gt;Septembre!AU8,"rouge","ok"),0)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362026</v>
      </c>
      <c r="BH9" s="1441">
        <f t="shared" ref="BH9:BH14" si="0">+AT4</f>
        <v>36</v>
      </c>
      <c r="BI9" s="1442">
        <f>IF($AR$13=S.CAL!$CU$2,+SUMIF(S.CAL!$FW$3:$FW$374,BG9,S.CAL!$FX$3:$FX$374),IF($AR$13=S.CAL!$CU$3,SUMIF(Feuilles_de_présence_planning!$EG$12:$EG$537,BG9,Feuilles_de_présence_planning!$EE$12:$EE$537),"err"))</f>
        <v>0</v>
      </c>
      <c r="BY9" s="196" t="str">
        <f>+IF(Aout!BY8="OUI","FIN","O")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IFERROR(IF(VLOOKUP(AT9,Aout!$AT$4:$AU$10,2,FALSE)&lt;&gt;Septembre!AU9,"rouge","ok"),0)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372026</v>
      </c>
      <c r="BH10" s="1441">
        <f t="shared" si="0"/>
        <v>37</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IFERROR(IF(VLOOKUP(AT10,Aout!$AT$4:$AU$10,2,FALSE)&lt;&gt;Septembre!AU10,"rouge","ok"),0)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382026</v>
      </c>
      <c r="BH11" s="1441">
        <f t="shared" si="0"/>
        <v>38</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392026</v>
      </c>
      <c r="BH12" s="1441">
        <f t="shared" si="0"/>
        <v>39</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4</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IF(AR14="",Aout!AR13,AR14)</f>
        <v>à partir du tableau ci-dessous</v>
      </c>
      <c r="AS13" s="2372"/>
      <c r="AT13" s="2372"/>
      <c r="AU13" s="2372"/>
      <c r="AV13" s="2372"/>
      <c r="AW13" s="2372"/>
      <c r="AX13" s="2372"/>
      <c r="AY13" s="2372"/>
      <c r="AZ13" s="2372"/>
      <c r="BA13" s="2355" t="s">
        <v>1086</v>
      </c>
      <c r="BB13" s="2355"/>
      <c r="BC13" s="2355"/>
      <c r="BD13" s="951"/>
      <c r="BG13" s="1430" t="str">
        <f t="shared" si="1"/>
        <v>402026</v>
      </c>
      <c r="BH13" s="1441">
        <f t="shared" si="0"/>
        <v>40</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Aout!EO13+Aout!R89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+Aout!EF16</f>
        <v>0</v>
      </c>
      <c r="EG16" s="741">
        <f>+Aout!EG16</f>
        <v>0</v>
      </c>
      <c r="EH16" s="741">
        <f>+Aout!EH16+Aout!EH17</f>
        <v>0</v>
      </c>
      <c r="EI16" s="741">
        <f>+Aout!EI16+Aout!EI17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Sept'!D18:D48,"&gt;0")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46266</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36</v>
      </c>
      <c r="AQ20" s="322"/>
      <c r="AR20" s="1123"/>
      <c r="AS20" s="314">
        <f t="shared" ref="AS20:AS50" si="3">SUM(AD20:AL20)</f>
        <v>0</v>
      </c>
      <c r="AT20" s="1124"/>
      <c r="AU20" s="1124"/>
      <c r="AV20" s="314"/>
      <c r="AW20" s="2150">
        <f>AB20</f>
        <v>46266</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infoA2</v>
      </c>
      <c r="BK20" s="129">
        <f>IFERROR(WEEKNUM(AB20,21),"")</f>
        <v>36</v>
      </c>
      <c r="BL20" s="129" t="str">
        <f t="shared" ref="BL20:BL50" si="4">+VLOOKUP(BK20,$AT$4:$AU$10,2,)</f>
        <v>A</v>
      </c>
      <c r="BM20" s="129">
        <f t="shared" ref="BM20:BM21" si="5">WEEKDAY(AB20,2)</f>
        <v>2</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26</v>
      </c>
      <c r="EQ20" s="748">
        <f>+AB20</f>
        <v>46266</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46266</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36</v>
      </c>
      <c r="GA20" s="129">
        <f>+$X$4</f>
        <v>2026</v>
      </c>
      <c r="GB20" s="129" t="str">
        <f>+FZ20&amp;GA20</f>
        <v>362026</v>
      </c>
      <c r="GC20" s="223">
        <f>IF(AND($GD$53=S.CAL!$P$3,$GD$52=FZ20),GE20,IF(BH20="",0,BH20))</f>
        <v>0</v>
      </c>
      <c r="GD20" s="129" t="str">
        <f>IFERROR(+Octobre!$BY$2&amp;BL20&amp;BM20,0)</f>
        <v>Fiche infoA2</v>
      </c>
      <c r="GE20" s="129" t="str">
        <f t="shared" ref="GE20:GE50" si="19">+IFERROR(VLOOKUP(GD20,Base_heures,6,FALSE),"")</f>
        <v/>
      </c>
      <c r="GF20" s="223" t="str">
        <f>IF(FP20=1,GG20,AM20)</f>
        <v/>
      </c>
      <c r="GG20" s="1446" t="str">
        <f>+'Retenue Sept'!D18</f>
        <v/>
      </c>
      <c r="GH20" s="1446">
        <f>IF(Identification!$B$132="Non",+'Retenue Sept'!BF18,+'Retenue Sept'!BE18)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46267</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46267</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infoA3</v>
      </c>
      <c r="BK21" s="129">
        <f t="shared" ref="BK21" si="27">IFERROR(WEEKNUM(AB21,21),"")</f>
        <v>36</v>
      </c>
      <c r="BL21" s="129" t="str">
        <f t="shared" si="4"/>
        <v>A</v>
      </c>
      <c r="BM21" s="129">
        <f t="shared" si="5"/>
        <v>3</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46266</v>
      </c>
      <c r="EJ21" s="737"/>
      <c r="EK21" s="737"/>
      <c r="EQ21" s="748">
        <f t="shared" ref="EQ21" si="28">+AB21</f>
        <v>46267</v>
      </c>
      <c r="ER21" s="749">
        <f t="shared" si="10"/>
        <v>0</v>
      </c>
      <c r="ES21" s="750">
        <f t="shared" si="11"/>
        <v>0</v>
      </c>
      <c r="ET21" s="749">
        <f t="shared" si="12"/>
        <v>0</v>
      </c>
      <c r="EU21" s="750">
        <f t="shared" si="13"/>
        <v>0</v>
      </c>
      <c r="EV21" s="749" t="str">
        <f t="shared" si="14"/>
        <v/>
      </c>
      <c r="EW21" s="751">
        <f t="shared" ref="EW21:EW50" si="29">+EQ21</f>
        <v>46267</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49" si="38">IFERROR(WEEKNUM(AB21,21),"")</f>
        <v>36</v>
      </c>
      <c r="GA21" s="129">
        <f t="shared" ref="GA21:GA50" si="39">+$X$4</f>
        <v>2026</v>
      </c>
      <c r="GB21" s="129" t="str">
        <f t="shared" ref="GB21:GB48" si="40">+FZ21&amp;GA21</f>
        <v>362026</v>
      </c>
      <c r="GC21" s="223">
        <f>IF(AND($GD$53=S.CAL!$P$3,$GD$52=FZ21),GE21,IF(BH21="",0,BH21))</f>
        <v>0</v>
      </c>
      <c r="GD21" s="129" t="str">
        <f>IFERROR(+Octobre!$BY$2&amp;BL21&amp;BM21,0)</f>
        <v>Fiche infoA3</v>
      </c>
      <c r="GE21" s="129" t="str">
        <f t="shared" si="19"/>
        <v/>
      </c>
      <c r="GF21" s="223" t="str">
        <f t="shared" ref="GF21:GF48" si="41">IF(FP21=1,GG21,AM21)</f>
        <v/>
      </c>
      <c r="GG21" s="1446" t="str">
        <f>+'Retenue Sept'!D19</f>
        <v/>
      </c>
      <c r="GH21" s="1446">
        <f>IF(Identification!$B$132="Non",+'Retenue Sept'!BF19,+'Retenue Sept'!BE19)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46268</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46268</v>
      </c>
      <c r="AX22" s="1761"/>
      <c r="AY22" s="314"/>
      <c r="AZ22" s="1104"/>
      <c r="BA22" s="973"/>
      <c r="BB22" s="543"/>
      <c r="BC22" s="548">
        <f t="shared" si="23"/>
        <v>0</v>
      </c>
      <c r="BD22" s="1104"/>
      <c r="BE22" s="807">
        <f t="shared" si="24"/>
        <v>0</v>
      </c>
      <c r="BF22" s="1128"/>
      <c r="BG22" s="222"/>
      <c r="BH22" s="548" t="str">
        <f t="shared" si="25"/>
        <v/>
      </c>
      <c r="BI22" s="1128"/>
      <c r="BJ22" s="129" t="str">
        <f t="shared" si="26"/>
        <v>Fiche infoA4</v>
      </c>
      <c r="BK22" s="129">
        <f t="shared" ref="BK22:BK50" si="49">IFERROR(WEEKNUM(AB22,21),"")</f>
        <v>36</v>
      </c>
      <c r="BL22" s="129" t="str">
        <f t="shared" si="4"/>
        <v>A</v>
      </c>
      <c r="BM22" s="129">
        <f t="shared" ref="BM22:BM47" si="50">WEEKDAY(AB22,2)</f>
        <v>4</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46295</v>
      </c>
      <c r="EJ22" s="737"/>
      <c r="EK22" s="737"/>
      <c r="EQ22" s="748">
        <f t="shared" ref="EQ22:EQ50" si="53">+AB22</f>
        <v>46268</v>
      </c>
      <c r="ER22" s="749">
        <f t="shared" si="10"/>
        <v>0</v>
      </c>
      <c r="ES22" s="750">
        <f t="shared" si="11"/>
        <v>0</v>
      </c>
      <c r="ET22" s="749">
        <f t="shared" si="12"/>
        <v>0</v>
      </c>
      <c r="EU22" s="750">
        <f t="shared" si="13"/>
        <v>0</v>
      </c>
      <c r="EV22" s="749" t="str">
        <f t="shared" si="14"/>
        <v/>
      </c>
      <c r="EW22" s="751">
        <f t="shared" si="29"/>
        <v>46268</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36</v>
      </c>
      <c r="GA22" s="129">
        <f t="shared" si="39"/>
        <v>2026</v>
      </c>
      <c r="GB22" s="129" t="str">
        <f t="shared" si="40"/>
        <v>362026</v>
      </c>
      <c r="GC22" s="223">
        <f>IF(AND($GD$53=S.CAL!$P$3,$GD$52=FZ22),GE22,IF(BH22="",0,BH22))</f>
        <v>0</v>
      </c>
      <c r="GD22" s="129" t="str">
        <f>IFERROR(+Octobre!$BY$2&amp;BL22&amp;BM22,0)</f>
        <v>Fiche infoA4</v>
      </c>
      <c r="GE22" s="129" t="str">
        <f t="shared" si="19"/>
        <v/>
      </c>
      <c r="GF22" s="223" t="str">
        <f t="shared" si="41"/>
        <v/>
      </c>
      <c r="GG22" s="1446" t="str">
        <f>+'Retenue Sept'!D20</f>
        <v/>
      </c>
      <c r="GH22" s="1446">
        <f>IF(Identification!$B$132="Non",+'Retenue Sept'!BF20,+'Retenue Sept'!BE20)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46269</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46269</v>
      </c>
      <c r="AX23" s="1761"/>
      <c r="AY23" s="314"/>
      <c r="AZ23" s="1104"/>
      <c r="BA23" s="973"/>
      <c r="BB23" s="543"/>
      <c r="BC23" s="548">
        <f t="shared" si="23"/>
        <v>0</v>
      </c>
      <c r="BD23" s="1104"/>
      <c r="BE23" s="807">
        <f t="shared" si="24"/>
        <v>0</v>
      </c>
      <c r="BF23" s="1128"/>
      <c r="BG23" s="222"/>
      <c r="BH23" s="548" t="str">
        <f t="shared" si="25"/>
        <v/>
      </c>
      <c r="BI23" s="1128"/>
      <c r="BJ23" s="129" t="str">
        <f t="shared" si="26"/>
        <v>Fiche infoA5</v>
      </c>
      <c r="BK23" s="129">
        <f t="shared" si="49"/>
        <v>36</v>
      </c>
      <c r="BL23" s="129" t="str">
        <f t="shared" si="4"/>
        <v>A</v>
      </c>
      <c r="BM23" s="129">
        <f t="shared" si="50"/>
        <v>5</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46269</v>
      </c>
      <c r="ER23" s="749">
        <f t="shared" si="10"/>
        <v>0</v>
      </c>
      <c r="ES23" s="750">
        <f t="shared" si="11"/>
        <v>0</v>
      </c>
      <c r="ET23" s="749">
        <f t="shared" si="12"/>
        <v>0</v>
      </c>
      <c r="EU23" s="750">
        <f t="shared" si="13"/>
        <v>0</v>
      </c>
      <c r="EV23" s="749" t="str">
        <f t="shared" si="14"/>
        <v/>
      </c>
      <c r="EW23" s="751">
        <f t="shared" si="29"/>
        <v>46269</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36</v>
      </c>
      <c r="GA23" s="129">
        <f t="shared" si="39"/>
        <v>2026</v>
      </c>
      <c r="GB23" s="129" t="str">
        <f t="shared" si="40"/>
        <v>362026</v>
      </c>
      <c r="GC23" s="223">
        <f>IF(AND($GD$53=S.CAL!$P$3,$GD$52=FZ23),GE23,IF(BH23="",0,BH23))</f>
        <v>0</v>
      </c>
      <c r="GD23" s="129" t="str">
        <f>IFERROR(+Octobre!$BY$2&amp;BL23&amp;BM23,0)</f>
        <v>Fiche infoA5</v>
      </c>
      <c r="GE23" s="129" t="str">
        <f t="shared" si="19"/>
        <v/>
      </c>
      <c r="GF23" s="223" t="str">
        <f t="shared" si="41"/>
        <v/>
      </c>
      <c r="GG23" s="1446" t="str">
        <f>+'Retenue Sept'!D21</f>
        <v/>
      </c>
      <c r="GH23" s="1446">
        <f>IF(Identification!$B$132="Non",+'Retenue Sept'!BF21,+'Retenue Sept'!BE21)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46270</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46270</v>
      </c>
      <c r="AX24" s="1761"/>
      <c r="AY24" s="314"/>
      <c r="AZ24" s="1104"/>
      <c r="BA24" s="973"/>
      <c r="BB24" s="543"/>
      <c r="BC24" s="548">
        <f t="shared" si="23"/>
        <v>0</v>
      </c>
      <c r="BD24" s="1104"/>
      <c r="BE24" s="807">
        <f t="shared" si="24"/>
        <v>0</v>
      </c>
      <c r="BF24" s="1128"/>
      <c r="BG24" s="222"/>
      <c r="BH24" s="548" t="str">
        <f t="shared" si="25"/>
        <v/>
      </c>
      <c r="BI24" s="1128"/>
      <c r="BJ24" s="129" t="str">
        <f t="shared" si="26"/>
        <v>Fiche infoA6</v>
      </c>
      <c r="BK24" s="129">
        <f t="shared" si="49"/>
        <v>36</v>
      </c>
      <c r="BL24" s="129" t="str">
        <f t="shared" si="4"/>
        <v>A</v>
      </c>
      <c r="BM24" s="129">
        <f t="shared" si="50"/>
        <v>6</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46270</v>
      </c>
      <c r="ER24" s="749">
        <f t="shared" si="10"/>
        <v>0</v>
      </c>
      <c r="ES24" s="750">
        <f t="shared" si="11"/>
        <v>0</v>
      </c>
      <c r="ET24" s="749">
        <f t="shared" si="12"/>
        <v>0</v>
      </c>
      <c r="EU24" s="750">
        <f t="shared" si="13"/>
        <v>0</v>
      </c>
      <c r="EV24" s="749" t="str">
        <f t="shared" si="14"/>
        <v/>
      </c>
      <c r="EW24" s="751">
        <f t="shared" si="29"/>
        <v>46270</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36</v>
      </c>
      <c r="GA24" s="129">
        <f t="shared" si="39"/>
        <v>2026</v>
      </c>
      <c r="GB24" s="129" t="str">
        <f t="shared" si="40"/>
        <v>362026</v>
      </c>
      <c r="GC24" s="223">
        <f>IF(AND($GD$53=S.CAL!$P$3,$GD$52=FZ24),GE24,IF(BH24="",0,BH24))</f>
        <v>0</v>
      </c>
      <c r="GD24" s="129" t="str">
        <f>IFERROR(+Octobre!$BY$2&amp;BL24&amp;BM24,0)</f>
        <v>Fiche infoA6</v>
      </c>
      <c r="GE24" s="129" t="str">
        <f t="shared" si="19"/>
        <v/>
      </c>
      <c r="GF24" s="223" t="str">
        <f t="shared" si="41"/>
        <v/>
      </c>
      <c r="GG24" s="1446" t="str">
        <f>+'Retenue Sept'!D22</f>
        <v/>
      </c>
      <c r="GH24" s="1446">
        <f>IF(Identification!$B$132="Non",+'Retenue Sept'!BF22,+'Retenue Sept'!BE22)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Sept'!R48*-1)</f>
        <v>#DIV/0!</v>
      </c>
      <c r="M25" s="2142"/>
      <c r="N25" s="2142"/>
      <c r="O25" s="2143"/>
      <c r="P25" s="1753" t="e">
        <f>+IF(L25,T25/L25,0)</f>
        <v>#DIV/0!</v>
      </c>
      <c r="Q25" s="1969"/>
      <c r="R25" s="1969"/>
      <c r="S25" s="1970"/>
      <c r="T25" s="1966">
        <f>IF(A18="Salaire heures normales réelles",0,'Retenue Sept'!R52*-1)</f>
        <v>0</v>
      </c>
      <c r="U25" s="1967"/>
      <c r="V25" s="1967"/>
      <c r="W25" s="1968"/>
      <c r="X25" s="224"/>
      <c r="Y25" s="224"/>
      <c r="Z25" s="224"/>
      <c r="AA25" s="885" t="str">
        <f>IF(AND(BE25="OUI",$AR$13=S.CAL!$CU$2),"►",IF(AND(EV25="OUI",$AR$13=S.CAL!$CU$3),"►",""))</f>
        <v/>
      </c>
      <c r="AB25" s="1760">
        <f>+$X$3+5</f>
        <v>46271</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46271</v>
      </c>
      <c r="AX25" s="1761"/>
      <c r="AY25" s="314"/>
      <c r="AZ25" s="1104"/>
      <c r="BA25" s="973"/>
      <c r="BB25" s="543"/>
      <c r="BC25" s="548">
        <f t="shared" si="23"/>
        <v>0</v>
      </c>
      <c r="BD25" s="1104"/>
      <c r="BE25" s="807">
        <f t="shared" si="24"/>
        <v>0</v>
      </c>
      <c r="BF25" s="1128"/>
      <c r="BG25" s="222"/>
      <c r="BH25" s="548" t="str">
        <f t="shared" si="25"/>
        <v/>
      </c>
      <c r="BI25" s="1128"/>
      <c r="BJ25" s="129" t="str">
        <f t="shared" si="26"/>
        <v>Fiche infoA7</v>
      </c>
      <c r="BK25" s="129">
        <f t="shared" si="49"/>
        <v>36</v>
      </c>
      <c r="BL25" s="129" t="str">
        <f t="shared" si="4"/>
        <v>A</v>
      </c>
      <c r="BM25" s="129">
        <f t="shared" si="50"/>
        <v>7</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46271</v>
      </c>
      <c r="ER25" s="749">
        <f t="shared" si="10"/>
        <v>0</v>
      </c>
      <c r="ES25" s="750">
        <f t="shared" si="11"/>
        <v>0</v>
      </c>
      <c r="ET25" s="749">
        <f t="shared" si="12"/>
        <v>0</v>
      </c>
      <c r="EU25" s="750">
        <f t="shared" si="13"/>
        <v>0</v>
      </c>
      <c r="EV25" s="749" t="str">
        <f t="shared" si="14"/>
        <v/>
      </c>
      <c r="EW25" s="751">
        <f t="shared" si="29"/>
        <v>46271</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36</v>
      </c>
      <c r="GA25" s="129">
        <f t="shared" si="39"/>
        <v>2026</v>
      </c>
      <c r="GB25" s="129" t="str">
        <f t="shared" si="40"/>
        <v>362026</v>
      </c>
      <c r="GC25" s="223">
        <f>IF(AND($GD$53=S.CAL!$P$3,$GD$52=FZ25),GE25,IF(BH25="",0,BH25))</f>
        <v>0</v>
      </c>
      <c r="GD25" s="129" t="str">
        <f>IFERROR(+Octobre!$BY$2&amp;BL25&amp;BM25,0)</f>
        <v>Fiche infoA7</v>
      </c>
      <c r="GE25" s="129" t="str">
        <f t="shared" si="19"/>
        <v/>
      </c>
      <c r="GF25" s="223" t="str">
        <f t="shared" si="41"/>
        <v/>
      </c>
      <c r="GG25" s="1446" t="str">
        <f>+'Retenue Sept'!D23</f>
        <v/>
      </c>
      <c r="GH25" s="1446">
        <f>IF(Identification!$B$132="Non",+'Retenue Sept'!BF23,+'Retenue Sept'!BE23)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Sept'!R50*-1)</f>
        <v>#DIV/0!</v>
      </c>
      <c r="M26" s="2142"/>
      <c r="N26" s="2142"/>
      <c r="O26" s="2143"/>
      <c r="P26" s="1753" t="e">
        <f>+IF(L26,T26/L26,0)</f>
        <v>#DIV/0!</v>
      </c>
      <c r="Q26" s="1969"/>
      <c r="R26" s="1969"/>
      <c r="S26" s="1970"/>
      <c r="T26" s="1966">
        <f>IF(A18="Salaire heures normales réelles",0,'Retenue Sept'!R54*-1)</f>
        <v>0</v>
      </c>
      <c r="U26" s="1967"/>
      <c r="V26" s="1967"/>
      <c r="W26" s="1968"/>
      <c r="X26" s="221"/>
      <c r="Y26" s="221"/>
      <c r="Z26" s="221"/>
      <c r="AA26" s="885" t="str">
        <f>IF(AND(BE26="OUI",$AR$13=S.CAL!$CU$2),"►",IF(AND(EV26="OUI",$AR$13=S.CAL!$CU$3),"►",""))</f>
        <v/>
      </c>
      <c r="AB26" s="1760">
        <f>+$X$3+6</f>
        <v>46272</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f t="shared" si="48"/>
        <v>37</v>
      </c>
      <c r="AQ26" s="322"/>
      <c r="AR26" s="1104"/>
      <c r="AS26" s="314">
        <f t="shared" si="3"/>
        <v>0</v>
      </c>
      <c r="AT26" s="1125"/>
      <c r="AU26" s="1125"/>
      <c r="AV26" s="314"/>
      <c r="AW26" s="1791">
        <f t="shared" si="22"/>
        <v>46272</v>
      </c>
      <c r="AX26" s="1761"/>
      <c r="AY26" s="314"/>
      <c r="AZ26" s="1104"/>
      <c r="BA26" s="973"/>
      <c r="BB26" s="543"/>
      <c r="BC26" s="548">
        <f t="shared" si="23"/>
        <v>0</v>
      </c>
      <c r="BD26" s="1104"/>
      <c r="BE26" s="807">
        <f t="shared" si="24"/>
        <v>0</v>
      </c>
      <c r="BF26" s="1128"/>
      <c r="BG26" s="222"/>
      <c r="BH26" s="548" t="str">
        <f t="shared" si="25"/>
        <v/>
      </c>
      <c r="BI26" s="1128"/>
      <c r="BJ26" s="129" t="str">
        <f t="shared" si="26"/>
        <v>Fiche infoA1</v>
      </c>
      <c r="BK26" s="129">
        <f t="shared" si="49"/>
        <v>37</v>
      </c>
      <c r="BL26" s="129" t="str">
        <f t="shared" si="4"/>
        <v>A</v>
      </c>
      <c r="BM26" s="129">
        <f t="shared" si="50"/>
        <v>1</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46272</v>
      </c>
      <c r="ER26" s="749">
        <f t="shared" si="10"/>
        <v>0</v>
      </c>
      <c r="ES26" s="750">
        <f t="shared" si="11"/>
        <v>0</v>
      </c>
      <c r="ET26" s="749">
        <f t="shared" si="12"/>
        <v>0</v>
      </c>
      <c r="EU26" s="750">
        <f t="shared" si="13"/>
        <v>0</v>
      </c>
      <c r="EV26" s="749" t="str">
        <f t="shared" si="14"/>
        <v/>
      </c>
      <c r="EW26" s="751">
        <f t="shared" si="29"/>
        <v>46272</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37</v>
      </c>
      <c r="GA26" s="129">
        <f t="shared" si="39"/>
        <v>2026</v>
      </c>
      <c r="GB26" s="129" t="str">
        <f t="shared" si="40"/>
        <v>372026</v>
      </c>
      <c r="GC26" s="223">
        <f>IF(AND($GD$53=S.CAL!$P$3,$GD$52=FZ26),GE26,IF(BH26="",0,BH26))</f>
        <v>0</v>
      </c>
      <c r="GD26" s="129" t="str">
        <f>IFERROR(+Octobre!$BY$2&amp;BL26&amp;BM26,0)</f>
        <v>Fiche infoA1</v>
      </c>
      <c r="GE26" s="129" t="str">
        <f t="shared" si="19"/>
        <v/>
      </c>
      <c r="GF26" s="223" t="str">
        <f t="shared" si="41"/>
        <v/>
      </c>
      <c r="GG26" s="1446" t="str">
        <f>+'Retenue Sept'!D24</f>
        <v/>
      </c>
      <c r="GH26" s="1446">
        <f>IF(Identification!$B$132="Non",+'Retenue Sept'!BF24,+'Retenue Sept'!BE24)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46273</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46273</v>
      </c>
      <c r="AX27" s="1761"/>
      <c r="AY27" s="314"/>
      <c r="AZ27" s="1104"/>
      <c r="BA27" s="973"/>
      <c r="BB27" s="543"/>
      <c r="BC27" s="548">
        <f t="shared" si="23"/>
        <v>0</v>
      </c>
      <c r="BD27" s="1104"/>
      <c r="BE27" s="807">
        <f t="shared" si="24"/>
        <v>0</v>
      </c>
      <c r="BF27" s="1128"/>
      <c r="BG27" s="222"/>
      <c r="BH27" s="548" t="str">
        <f t="shared" si="25"/>
        <v/>
      </c>
      <c r="BI27" s="1128"/>
      <c r="BJ27" s="129" t="str">
        <f t="shared" si="26"/>
        <v>Fiche infoA2</v>
      </c>
      <c r="BK27" s="129">
        <f t="shared" si="49"/>
        <v>37</v>
      </c>
      <c r="BL27" s="129" t="str">
        <f t="shared" si="4"/>
        <v>A</v>
      </c>
      <c r="BM27" s="129">
        <f t="shared" si="50"/>
        <v>2</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46273</v>
      </c>
      <c r="ER27" s="749">
        <f t="shared" si="10"/>
        <v>0</v>
      </c>
      <c r="ES27" s="750">
        <f t="shared" si="11"/>
        <v>0</v>
      </c>
      <c r="ET27" s="749">
        <f t="shared" si="12"/>
        <v>0</v>
      </c>
      <c r="EU27" s="750">
        <f t="shared" si="13"/>
        <v>0</v>
      </c>
      <c r="EV27" s="749" t="str">
        <f t="shared" si="14"/>
        <v/>
      </c>
      <c r="EW27" s="751">
        <f t="shared" si="29"/>
        <v>46273</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37</v>
      </c>
      <c r="GA27" s="129">
        <f t="shared" si="39"/>
        <v>2026</v>
      </c>
      <c r="GB27" s="129" t="str">
        <f t="shared" si="40"/>
        <v>372026</v>
      </c>
      <c r="GC27" s="223">
        <f>IF(AND($GD$53=S.CAL!$P$3,$GD$52=FZ27),GE27,IF(BH27="",0,BH27))</f>
        <v>0</v>
      </c>
      <c r="GD27" s="129" t="str">
        <f>IFERROR(+Octobre!$BY$2&amp;BL27&amp;BM27,0)</f>
        <v>Fiche infoA2</v>
      </c>
      <c r="GE27" s="129" t="str">
        <f t="shared" si="19"/>
        <v/>
      </c>
      <c r="GF27" s="223" t="str">
        <f t="shared" si="41"/>
        <v/>
      </c>
      <c r="GG27" s="1446" t="str">
        <f>+'Retenue Sept'!D25</f>
        <v/>
      </c>
      <c r="GH27" s="1446">
        <f>IF(Identification!$B$132="Non",+'Retenue Sept'!BF25,+'Retenue Sept'!BE25)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46274</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46274</v>
      </c>
      <c r="AX28" s="1761"/>
      <c r="AY28" s="314"/>
      <c r="AZ28" s="1104"/>
      <c r="BA28" s="973"/>
      <c r="BB28" s="543"/>
      <c r="BC28" s="548">
        <f t="shared" si="23"/>
        <v>0</v>
      </c>
      <c r="BD28" s="1104"/>
      <c r="BE28" s="807">
        <f t="shared" si="24"/>
        <v>0</v>
      </c>
      <c r="BF28" s="1128"/>
      <c r="BG28" s="222"/>
      <c r="BH28" s="548" t="str">
        <f t="shared" si="25"/>
        <v/>
      </c>
      <c r="BI28" s="1128"/>
      <c r="BJ28" s="129" t="str">
        <f t="shared" si="26"/>
        <v>Fiche infoA3</v>
      </c>
      <c r="BK28" s="129">
        <f t="shared" si="49"/>
        <v>37</v>
      </c>
      <c r="BL28" s="129" t="str">
        <f t="shared" si="4"/>
        <v>A</v>
      </c>
      <c r="BM28" s="129">
        <f t="shared" si="50"/>
        <v>3</v>
      </c>
      <c r="BN28" s="223" t="str">
        <f t="shared" si="60"/>
        <v>Fiche info</v>
      </c>
      <c r="BO28" s="314" t="str">
        <f t="shared" si="51"/>
        <v/>
      </c>
      <c r="BP28" s="196" t="str">
        <f t="shared" si="52"/>
        <v/>
      </c>
      <c r="BQ28" s="196"/>
      <c r="BS28" s="2100" t="str">
        <f>+"Semaine numéro : "&amp;AT4</f>
        <v>Semaine numéro : 36</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+SUMIF(Aout!$BK$20:$BK$50,AT4,Aout!$AM$20:$AO$50)</f>
        <v>0</v>
      </c>
      <c r="CD28" s="196">
        <f>+SUMIF(Octobre!$BK$20:$BK$50,AT4,Octobre!$AM$20:$AO$50)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46274</v>
      </c>
      <c r="ER28" s="749">
        <f t="shared" si="10"/>
        <v>0</v>
      </c>
      <c r="ES28" s="750">
        <f t="shared" si="11"/>
        <v>0</v>
      </c>
      <c r="ET28" s="749">
        <f t="shared" si="12"/>
        <v>0</v>
      </c>
      <c r="EU28" s="750">
        <f t="shared" si="13"/>
        <v>0</v>
      </c>
      <c r="EV28" s="749" t="str">
        <f t="shared" si="14"/>
        <v/>
      </c>
      <c r="EW28" s="751">
        <f t="shared" si="29"/>
        <v>46274</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37</v>
      </c>
      <c r="GA28" s="129">
        <f t="shared" si="39"/>
        <v>2026</v>
      </c>
      <c r="GB28" s="129" t="str">
        <f t="shared" si="40"/>
        <v>372026</v>
      </c>
      <c r="GC28" s="223">
        <f>IF(AND($GD$53=S.CAL!$P$3,$GD$52=FZ28),GE28,IF(BH28="",0,BH28))</f>
        <v>0</v>
      </c>
      <c r="GD28" s="129" t="str">
        <f>IFERROR(+Octobre!$BY$2&amp;BL28&amp;BM28,0)</f>
        <v>Fiche infoA3</v>
      </c>
      <c r="GE28" s="129" t="str">
        <f t="shared" si="19"/>
        <v/>
      </c>
      <c r="GF28" s="223" t="str">
        <f t="shared" si="41"/>
        <v/>
      </c>
      <c r="GG28" s="1446" t="str">
        <f>+'Retenue Sept'!D26</f>
        <v/>
      </c>
      <c r="GH28" s="1446">
        <f>IF(Identification!$B$132="Non",+'Retenue Sept'!BF26,+'Retenue Sept'!BE26)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46275</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46275</v>
      </c>
      <c r="AX29" s="1761"/>
      <c r="AY29" s="314"/>
      <c r="AZ29" s="1104"/>
      <c r="BA29" s="973"/>
      <c r="BB29" s="543"/>
      <c r="BC29" s="548">
        <f t="shared" si="23"/>
        <v>0</v>
      </c>
      <c r="BD29" s="1104"/>
      <c r="BE29" s="807">
        <f t="shared" si="24"/>
        <v>0</v>
      </c>
      <c r="BF29" s="1128"/>
      <c r="BG29" s="222"/>
      <c r="BH29" s="548" t="str">
        <f t="shared" si="25"/>
        <v/>
      </c>
      <c r="BI29" s="1128"/>
      <c r="BJ29" s="129" t="str">
        <f t="shared" si="26"/>
        <v>Fiche infoA4</v>
      </c>
      <c r="BK29" s="129">
        <f t="shared" si="49"/>
        <v>37</v>
      </c>
      <c r="BL29" s="129" t="str">
        <f t="shared" si="4"/>
        <v>A</v>
      </c>
      <c r="BM29" s="129">
        <f t="shared" si="50"/>
        <v>4</v>
      </c>
      <c r="BN29" s="223" t="str">
        <f t="shared" si="60"/>
        <v>Fiche info</v>
      </c>
      <c r="BO29" s="314" t="str">
        <f t="shared" si="51"/>
        <v/>
      </c>
      <c r="BP29" s="196" t="str">
        <f t="shared" si="52"/>
        <v/>
      </c>
      <c r="BQ29" s="196"/>
      <c r="BS29" s="2100" t="str">
        <f t="shared" ref="BS29:BS33" si="64">+"Semaine numéro : "&amp;AT5</f>
        <v>Semaine numéro : 37</v>
      </c>
      <c r="BT29" s="2101"/>
      <c r="BU29" s="2101"/>
      <c r="BV29" s="2101"/>
      <c r="BW29" s="2101"/>
      <c r="BX29" s="2102"/>
      <c r="BY29" s="1115"/>
      <c r="BZ29" s="656">
        <f t="shared" ref="BZ29:BZ33" si="65">+IF(BY29="",IF(AND(CC29&gt;0,CB29&gt;0),CC29+CB29,IF(CD29&gt;0,0,CB29)),BY29)</f>
        <v>0</v>
      </c>
      <c r="CA29" s="655">
        <f t="shared" si="62"/>
        <v>0</v>
      </c>
      <c r="CB29" s="196">
        <f t="shared" si="63"/>
        <v>0</v>
      </c>
      <c r="CC29" s="196">
        <f>+SUMIF(Aout!$BK$20:$BK$50,AT5,Aout!$AM$20:$AO$50)</f>
        <v>0</v>
      </c>
      <c r="CD29" s="196">
        <f>+SUMIF(Octobre!$BK$20:$BK$50,AT5,Octobre!$AM$20:$AO$50)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46275</v>
      </c>
      <c r="ER29" s="749">
        <f t="shared" si="10"/>
        <v>0</v>
      </c>
      <c r="ES29" s="750">
        <f t="shared" si="11"/>
        <v>0</v>
      </c>
      <c r="ET29" s="749">
        <f t="shared" si="12"/>
        <v>0</v>
      </c>
      <c r="EU29" s="750">
        <f t="shared" si="13"/>
        <v>0</v>
      </c>
      <c r="EV29" s="749" t="str">
        <f t="shared" si="14"/>
        <v/>
      </c>
      <c r="EW29" s="751">
        <f t="shared" si="29"/>
        <v>46275</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37</v>
      </c>
      <c r="GA29" s="129">
        <f t="shared" si="39"/>
        <v>2026</v>
      </c>
      <c r="GB29" s="129" t="str">
        <f t="shared" si="40"/>
        <v>372026</v>
      </c>
      <c r="GC29" s="223">
        <f>IF(AND($GD$53=S.CAL!$P$3,$GD$52=FZ29),GE29,IF(BH29="",0,BH29))</f>
        <v>0</v>
      </c>
      <c r="GD29" s="129" t="str">
        <f>IFERROR(+Octobre!$BY$2&amp;BL29&amp;BM29,0)</f>
        <v>Fiche infoA4</v>
      </c>
      <c r="GE29" s="129" t="str">
        <f t="shared" si="19"/>
        <v/>
      </c>
      <c r="GF29" s="223" t="str">
        <f t="shared" si="41"/>
        <v/>
      </c>
      <c r="GG29" s="1446" t="str">
        <f>+'Retenue Sept'!D27</f>
        <v/>
      </c>
      <c r="GH29" s="1446">
        <f>IF(Identification!$B$132="Non",+'Retenue Sept'!BF27,+'Retenue Sept'!BE27)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46276</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46276</v>
      </c>
      <c r="AX30" s="1761"/>
      <c r="AY30" s="314"/>
      <c r="AZ30" s="1104"/>
      <c r="BA30" s="973"/>
      <c r="BB30" s="543"/>
      <c r="BC30" s="548">
        <f t="shared" si="23"/>
        <v>0</v>
      </c>
      <c r="BD30" s="1104"/>
      <c r="BE30" s="807">
        <f t="shared" si="24"/>
        <v>0</v>
      </c>
      <c r="BF30" s="1128"/>
      <c r="BG30" s="222"/>
      <c r="BH30" s="548" t="str">
        <f t="shared" si="25"/>
        <v/>
      </c>
      <c r="BI30" s="1128"/>
      <c r="BJ30" s="129" t="str">
        <f t="shared" si="26"/>
        <v>Fiche infoA5</v>
      </c>
      <c r="BK30" s="129">
        <f t="shared" si="49"/>
        <v>37</v>
      </c>
      <c r="BL30" s="129" t="str">
        <f t="shared" si="4"/>
        <v>A</v>
      </c>
      <c r="BM30" s="129">
        <f t="shared" si="50"/>
        <v>5</v>
      </c>
      <c r="BN30" s="223" t="str">
        <f t="shared" si="60"/>
        <v>Fiche info</v>
      </c>
      <c r="BO30" s="314" t="str">
        <f t="shared" si="51"/>
        <v/>
      </c>
      <c r="BP30" s="196" t="str">
        <f t="shared" si="52"/>
        <v/>
      </c>
      <c r="BQ30" s="196"/>
      <c r="BS30" s="2100" t="str">
        <f t="shared" si="64"/>
        <v>Semaine numéro : 38</v>
      </c>
      <c r="BT30" s="2101"/>
      <c r="BU30" s="2101"/>
      <c r="BV30" s="2101"/>
      <c r="BW30" s="2101"/>
      <c r="BX30" s="2102"/>
      <c r="BY30" s="1115"/>
      <c r="BZ30" s="656">
        <f t="shared" si="65"/>
        <v>0</v>
      </c>
      <c r="CA30" s="655">
        <f t="shared" si="62"/>
        <v>0</v>
      </c>
      <c r="CB30" s="196">
        <f t="shared" si="63"/>
        <v>0</v>
      </c>
      <c r="CC30" s="196">
        <f>+SUMIF(Aout!$BK$20:$BK$50,AT6,Aout!$AM$20:$AO$50)</f>
        <v>0</v>
      </c>
      <c r="CD30" s="196">
        <f>+SUMIF(Octobre!$BK$20:$BK$50,AT6,Octobre!$AM$20:$AO$50)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46276</v>
      </c>
      <c r="ER30" s="749">
        <f t="shared" si="10"/>
        <v>0</v>
      </c>
      <c r="ES30" s="750">
        <f t="shared" si="11"/>
        <v>0</v>
      </c>
      <c r="ET30" s="749">
        <f t="shared" si="12"/>
        <v>0</v>
      </c>
      <c r="EU30" s="750">
        <f t="shared" si="13"/>
        <v>0</v>
      </c>
      <c r="EV30" s="749" t="str">
        <f t="shared" si="14"/>
        <v/>
      </c>
      <c r="EW30" s="751">
        <f t="shared" si="29"/>
        <v>46276</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37</v>
      </c>
      <c r="GA30" s="129">
        <f t="shared" si="39"/>
        <v>2026</v>
      </c>
      <c r="GB30" s="129" t="str">
        <f t="shared" si="40"/>
        <v>372026</v>
      </c>
      <c r="GC30" s="223">
        <f>IF(AND($GD$53=S.CAL!$P$3,$GD$52=FZ30),GE30,IF(BH30="",0,BH30))</f>
        <v>0</v>
      </c>
      <c r="GD30" s="129" t="str">
        <f>IFERROR(+Octobre!$BY$2&amp;BL30&amp;BM30,0)</f>
        <v>Fiche infoA5</v>
      </c>
      <c r="GE30" s="129" t="str">
        <f t="shared" si="19"/>
        <v/>
      </c>
      <c r="GF30" s="223" t="str">
        <f t="shared" si="41"/>
        <v/>
      </c>
      <c r="GG30" s="1446" t="str">
        <f>+'Retenue Sept'!D28</f>
        <v/>
      </c>
      <c r="GH30" s="1446">
        <f>IF(Identification!$B$132="Non",+'Retenue Sept'!BF28,+'Retenue Sept'!BE28)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46277</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46277</v>
      </c>
      <c r="AX31" s="1761"/>
      <c r="AY31" s="314"/>
      <c r="AZ31" s="1104"/>
      <c r="BA31" s="973"/>
      <c r="BB31" s="543"/>
      <c r="BC31" s="548">
        <f t="shared" si="23"/>
        <v>0</v>
      </c>
      <c r="BD31" s="1104"/>
      <c r="BE31" s="807">
        <f t="shared" si="24"/>
        <v>0</v>
      </c>
      <c r="BF31" s="1128"/>
      <c r="BG31" s="222"/>
      <c r="BH31" s="548" t="str">
        <f t="shared" si="25"/>
        <v/>
      </c>
      <c r="BI31" s="1128"/>
      <c r="BJ31" s="129" t="str">
        <f t="shared" si="26"/>
        <v>Fiche infoA6</v>
      </c>
      <c r="BK31" s="129">
        <f t="shared" si="49"/>
        <v>37</v>
      </c>
      <c r="BL31" s="129" t="str">
        <f t="shared" si="4"/>
        <v>A</v>
      </c>
      <c r="BM31" s="129">
        <f t="shared" si="50"/>
        <v>6</v>
      </c>
      <c r="BN31" s="223" t="str">
        <f t="shared" si="60"/>
        <v>Fiche info</v>
      </c>
      <c r="BO31" s="314" t="str">
        <f t="shared" si="51"/>
        <v/>
      </c>
      <c r="BP31" s="196" t="str">
        <f t="shared" si="52"/>
        <v/>
      </c>
      <c r="BQ31" s="196"/>
      <c r="BS31" s="2100" t="str">
        <f t="shared" si="64"/>
        <v>Semaine numéro : 39</v>
      </c>
      <c r="BT31" s="2101"/>
      <c r="BU31" s="2101"/>
      <c r="BV31" s="2101"/>
      <c r="BW31" s="2101"/>
      <c r="BX31" s="2102"/>
      <c r="BY31" s="1115"/>
      <c r="BZ31" s="656">
        <f t="shared" si="65"/>
        <v>0</v>
      </c>
      <c r="CA31" s="655">
        <f t="shared" si="62"/>
        <v>0</v>
      </c>
      <c r="CB31" s="196">
        <f t="shared" si="63"/>
        <v>0</v>
      </c>
      <c r="CC31" s="196">
        <f>+SUMIF(Aout!$BK$20:$BK$50,AT7,Aout!$AM$20:$AO$50)</f>
        <v>0</v>
      </c>
      <c r="CD31" s="196">
        <f>+SUMIF(Octobre!$BK$20:$BK$50,AT7,Octobre!$AM$20:$AO$50)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46277</v>
      </c>
      <c r="ER31" s="749">
        <f t="shared" si="10"/>
        <v>0</v>
      </c>
      <c r="ES31" s="750">
        <f t="shared" si="11"/>
        <v>0</v>
      </c>
      <c r="ET31" s="749">
        <f t="shared" si="12"/>
        <v>0</v>
      </c>
      <c r="EU31" s="750">
        <f t="shared" si="13"/>
        <v>0</v>
      </c>
      <c r="EV31" s="749" t="str">
        <f t="shared" si="14"/>
        <v/>
      </c>
      <c r="EW31" s="751">
        <f t="shared" si="29"/>
        <v>46277</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37</v>
      </c>
      <c r="GA31" s="129">
        <f t="shared" si="39"/>
        <v>2026</v>
      </c>
      <c r="GB31" s="129" t="str">
        <f t="shared" si="40"/>
        <v>372026</v>
      </c>
      <c r="GC31" s="223">
        <f>IF(AND($GD$53=S.CAL!$P$3,$GD$52=FZ31),GE31,IF(BH31="",0,BH31))</f>
        <v>0</v>
      </c>
      <c r="GD31" s="129" t="str">
        <f>IFERROR(+Octobre!$BY$2&amp;BL31&amp;BM31,0)</f>
        <v>Fiche infoA6</v>
      </c>
      <c r="GE31" s="129" t="str">
        <f t="shared" si="19"/>
        <v/>
      </c>
      <c r="GF31" s="223" t="str">
        <f t="shared" si="41"/>
        <v/>
      </c>
      <c r="GG31" s="1446" t="str">
        <f>+'Retenue Sept'!D29</f>
        <v/>
      </c>
      <c r="GH31" s="1446">
        <f>IF(Identification!$B$132="Non",+'Retenue Sept'!BF29,+'Retenue Sept'!BE29)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46278</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46278</v>
      </c>
      <c r="AX32" s="1761"/>
      <c r="AY32" s="314"/>
      <c r="AZ32" s="1104"/>
      <c r="BA32" s="973"/>
      <c r="BB32" s="543"/>
      <c r="BC32" s="548">
        <f t="shared" si="23"/>
        <v>0</v>
      </c>
      <c r="BD32" s="1104"/>
      <c r="BE32" s="807">
        <f t="shared" si="24"/>
        <v>0</v>
      </c>
      <c r="BF32" s="1128"/>
      <c r="BG32" s="222"/>
      <c r="BH32" s="548" t="str">
        <f t="shared" si="25"/>
        <v/>
      </c>
      <c r="BI32" s="1128"/>
      <c r="BJ32" s="129" t="str">
        <f t="shared" si="26"/>
        <v>Fiche infoA7</v>
      </c>
      <c r="BK32" s="129">
        <f t="shared" si="49"/>
        <v>37</v>
      </c>
      <c r="BL32" s="129" t="str">
        <f t="shared" si="4"/>
        <v>A</v>
      </c>
      <c r="BM32" s="129">
        <f t="shared" si="50"/>
        <v>7</v>
      </c>
      <c r="BN32" s="223" t="str">
        <f t="shared" si="60"/>
        <v>Fiche info</v>
      </c>
      <c r="BO32" s="314" t="str">
        <f t="shared" si="51"/>
        <v/>
      </c>
      <c r="BP32" s="196" t="str">
        <f t="shared" si="52"/>
        <v/>
      </c>
      <c r="BQ32" s="196"/>
      <c r="BS32" s="2100" t="str">
        <f t="shared" si="64"/>
        <v>Semaine numéro : 40</v>
      </c>
      <c r="BT32" s="2101"/>
      <c r="BU32" s="2101"/>
      <c r="BV32" s="2101"/>
      <c r="BW32" s="2101"/>
      <c r="BX32" s="2102"/>
      <c r="BY32" s="1115"/>
      <c r="BZ32" s="656">
        <f t="shared" si="65"/>
        <v>0</v>
      </c>
      <c r="CA32" s="655">
        <f t="shared" si="62"/>
        <v>0</v>
      </c>
      <c r="CB32" s="196">
        <f t="shared" si="63"/>
        <v>0</v>
      </c>
      <c r="CC32" s="196">
        <f>+SUMIF(Aout!$BK$20:$BK$50,AT8,Aout!$AM$20:$AO$50)</f>
        <v>0</v>
      </c>
      <c r="CD32" s="196">
        <f>+SUMIF(Octobre!$BK$20:$BK$50,AT8,Octobre!$AM$20:$AO$50)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46278</v>
      </c>
      <c r="ER32" s="749">
        <f t="shared" si="10"/>
        <v>0</v>
      </c>
      <c r="ES32" s="750">
        <f t="shared" si="11"/>
        <v>0</v>
      </c>
      <c r="ET32" s="749">
        <f t="shared" si="12"/>
        <v>0</v>
      </c>
      <c r="EU32" s="750">
        <f t="shared" si="13"/>
        <v>0</v>
      </c>
      <c r="EV32" s="749" t="str">
        <f t="shared" si="14"/>
        <v/>
      </c>
      <c r="EW32" s="751">
        <f t="shared" si="29"/>
        <v>46278</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37</v>
      </c>
      <c r="GA32" s="129">
        <f t="shared" si="39"/>
        <v>2026</v>
      </c>
      <c r="GB32" s="129" t="str">
        <f t="shared" si="40"/>
        <v>372026</v>
      </c>
      <c r="GC32" s="223">
        <f>IF(AND($GD$53=S.CAL!$P$3,$GD$52=FZ32),GE32,IF(BH32="",0,BH32))</f>
        <v>0</v>
      </c>
      <c r="GD32" s="129" t="str">
        <f>IFERROR(+Octobre!$BY$2&amp;BL32&amp;BM32,0)</f>
        <v>Fiche infoA7</v>
      </c>
      <c r="GE32" s="129" t="str">
        <f t="shared" si="19"/>
        <v/>
      </c>
      <c r="GF32" s="223" t="str">
        <f t="shared" si="41"/>
        <v/>
      </c>
      <c r="GG32" s="1446" t="str">
        <f>+'Retenue Sept'!D30</f>
        <v/>
      </c>
      <c r="GH32" s="1446">
        <f>IF(Identification!$B$132="Non",+'Retenue Sept'!BF30,+'Retenue Sept'!BE30)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46279</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f t="shared" si="48"/>
        <v>38</v>
      </c>
      <c r="AQ33" s="322"/>
      <c r="AR33" s="1104"/>
      <c r="AS33" s="314">
        <f t="shared" si="3"/>
        <v>0</v>
      </c>
      <c r="AT33" s="1125"/>
      <c r="AU33" s="1125"/>
      <c r="AV33" s="314"/>
      <c r="AW33" s="1791">
        <f t="shared" si="22"/>
        <v>46279</v>
      </c>
      <c r="AX33" s="1761"/>
      <c r="AY33" s="314"/>
      <c r="AZ33" s="1104"/>
      <c r="BA33" s="973"/>
      <c r="BB33" s="543"/>
      <c r="BC33" s="548">
        <f t="shared" si="23"/>
        <v>0</v>
      </c>
      <c r="BD33" s="1104"/>
      <c r="BE33" s="807">
        <f t="shared" si="24"/>
        <v>0</v>
      </c>
      <c r="BF33" s="1128"/>
      <c r="BG33" s="222"/>
      <c r="BH33" s="548" t="str">
        <f t="shared" si="25"/>
        <v/>
      </c>
      <c r="BI33" s="1128"/>
      <c r="BJ33" s="129" t="str">
        <f t="shared" si="26"/>
        <v>Fiche infoA1</v>
      </c>
      <c r="BK33" s="129">
        <f t="shared" si="49"/>
        <v>38</v>
      </c>
      <c r="BL33" s="129" t="str">
        <f t="shared" si="4"/>
        <v>A</v>
      </c>
      <c r="BM33" s="129">
        <f t="shared" si="50"/>
        <v>1</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+SUMIF(Aout!$BK$20:$BK$50,AT9,Aout!$AM$20:$AO$50)</f>
        <v>0</v>
      </c>
      <c r="CD33" s="196">
        <f>+SUMIF(Octobre!$BK$20:$BK$50,AT9,Octobre!$AM$20:$AO$50)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46279</v>
      </c>
      <c r="ER33" s="749">
        <f t="shared" si="10"/>
        <v>0</v>
      </c>
      <c r="ES33" s="750">
        <f t="shared" si="11"/>
        <v>0</v>
      </c>
      <c r="ET33" s="749">
        <f t="shared" si="12"/>
        <v>0</v>
      </c>
      <c r="EU33" s="750">
        <f t="shared" si="13"/>
        <v>0</v>
      </c>
      <c r="EV33" s="749" t="str">
        <f t="shared" si="14"/>
        <v/>
      </c>
      <c r="EW33" s="751">
        <f t="shared" si="29"/>
        <v>46279</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38</v>
      </c>
      <c r="GA33" s="129">
        <f t="shared" si="39"/>
        <v>2026</v>
      </c>
      <c r="GB33" s="129" t="str">
        <f t="shared" si="40"/>
        <v>382026</v>
      </c>
      <c r="GC33" s="223">
        <f>IF(AND($GD$53=S.CAL!$P$3,$GD$52=FZ33),GE33,IF(BH33="",0,BH33))</f>
        <v>0</v>
      </c>
      <c r="GD33" s="129" t="str">
        <f>IFERROR(+Octobre!$BY$2&amp;BL33&amp;BM33,0)</f>
        <v>Fiche infoA1</v>
      </c>
      <c r="GE33" s="129" t="str">
        <f t="shared" si="19"/>
        <v/>
      </c>
      <c r="GF33" s="223" t="str">
        <f t="shared" si="41"/>
        <v/>
      </c>
      <c r="GG33" s="1446" t="str">
        <f>+'Retenue Sept'!D31</f>
        <v/>
      </c>
      <c r="GH33" s="1446">
        <f>IF(Identification!$B$132="Non",+'Retenue Sept'!BF31,+'Retenue Sept'!BE31)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46280</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46280</v>
      </c>
      <c r="AX34" s="1761"/>
      <c r="AY34" s="314"/>
      <c r="AZ34" s="1104"/>
      <c r="BA34" s="973"/>
      <c r="BB34" s="543"/>
      <c r="BC34" s="548">
        <f t="shared" si="23"/>
        <v>0</v>
      </c>
      <c r="BD34" s="1104"/>
      <c r="BE34" s="807">
        <f t="shared" si="24"/>
        <v>0</v>
      </c>
      <c r="BF34" s="1128"/>
      <c r="BG34" s="222"/>
      <c r="BH34" s="548" t="str">
        <f t="shared" si="25"/>
        <v/>
      </c>
      <c r="BI34" s="1128"/>
      <c r="BJ34" s="129" t="str">
        <f t="shared" si="26"/>
        <v>Fiche infoA2</v>
      </c>
      <c r="BK34" s="129">
        <f t="shared" si="49"/>
        <v>38</v>
      </c>
      <c r="BL34" s="129" t="str">
        <f t="shared" si="4"/>
        <v>A</v>
      </c>
      <c r="BM34" s="129">
        <f t="shared" si="50"/>
        <v>2</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46280</v>
      </c>
      <c r="ER34" s="749">
        <f t="shared" si="10"/>
        <v>0</v>
      </c>
      <c r="ES34" s="750">
        <f t="shared" si="11"/>
        <v>0</v>
      </c>
      <c r="ET34" s="749">
        <f t="shared" si="12"/>
        <v>0</v>
      </c>
      <c r="EU34" s="750">
        <f t="shared" si="13"/>
        <v>0</v>
      </c>
      <c r="EV34" s="749" t="str">
        <f t="shared" si="14"/>
        <v/>
      </c>
      <c r="EW34" s="751">
        <f t="shared" si="29"/>
        <v>46280</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38</v>
      </c>
      <c r="GA34" s="129">
        <f t="shared" si="39"/>
        <v>2026</v>
      </c>
      <c r="GB34" s="129" t="str">
        <f t="shared" si="40"/>
        <v>382026</v>
      </c>
      <c r="GC34" s="223">
        <f>IF(AND($GD$53=S.CAL!$P$3,$GD$52=FZ34),GE34,IF(BH34="",0,BH34))</f>
        <v>0</v>
      </c>
      <c r="GD34" s="129" t="str">
        <f>IFERROR(+Octobre!$BY$2&amp;BL34&amp;BM34,0)</f>
        <v>Fiche infoA2</v>
      </c>
      <c r="GE34" s="129" t="str">
        <f t="shared" si="19"/>
        <v/>
      </c>
      <c r="GF34" s="223" t="str">
        <f t="shared" si="41"/>
        <v/>
      </c>
      <c r="GG34" s="1446" t="str">
        <f>+'Retenue Sept'!D32</f>
        <v/>
      </c>
      <c r="GH34" s="1446">
        <f>IF(Identification!$B$132="Non",+'Retenue Sept'!BF32,+'Retenue Sept'!BE32)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46281</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46281</v>
      </c>
      <c r="AX35" s="1761"/>
      <c r="AY35" s="314"/>
      <c r="AZ35" s="1104"/>
      <c r="BA35" s="973"/>
      <c r="BB35" s="543"/>
      <c r="BC35" s="548">
        <f t="shared" si="23"/>
        <v>0</v>
      </c>
      <c r="BD35" s="1104"/>
      <c r="BE35" s="807">
        <f t="shared" si="24"/>
        <v>0</v>
      </c>
      <c r="BF35" s="1128"/>
      <c r="BG35" s="222"/>
      <c r="BH35" s="548" t="str">
        <f t="shared" si="25"/>
        <v/>
      </c>
      <c r="BI35" s="1128"/>
      <c r="BJ35" s="129" t="str">
        <f t="shared" si="26"/>
        <v>Fiche infoA3</v>
      </c>
      <c r="BK35" s="129">
        <f t="shared" si="49"/>
        <v>38</v>
      </c>
      <c r="BL35" s="129" t="str">
        <f t="shared" si="4"/>
        <v>A</v>
      </c>
      <c r="BM35" s="129">
        <f t="shared" si="50"/>
        <v>3</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46281</v>
      </c>
      <c r="ER35" s="749">
        <f t="shared" si="10"/>
        <v>0</v>
      </c>
      <c r="ES35" s="750">
        <f t="shared" si="11"/>
        <v>0</v>
      </c>
      <c r="ET35" s="749">
        <f t="shared" si="12"/>
        <v>0</v>
      </c>
      <c r="EU35" s="750">
        <f t="shared" si="13"/>
        <v>0</v>
      </c>
      <c r="EV35" s="749" t="str">
        <f t="shared" si="14"/>
        <v/>
      </c>
      <c r="EW35" s="751">
        <f t="shared" si="29"/>
        <v>46281</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38</v>
      </c>
      <c r="GA35" s="129">
        <f t="shared" si="39"/>
        <v>2026</v>
      </c>
      <c r="GB35" s="129" t="str">
        <f t="shared" si="40"/>
        <v>382026</v>
      </c>
      <c r="GC35" s="223">
        <f>IF(AND($GD$53=S.CAL!$P$3,$GD$52=FZ35),GE35,IF(BH35="",0,BH35))</f>
        <v>0</v>
      </c>
      <c r="GD35" s="129" t="str">
        <f>IFERROR(+Octobre!$BY$2&amp;BL35&amp;BM35,0)</f>
        <v>Fiche infoA3</v>
      </c>
      <c r="GE35" s="129" t="str">
        <f t="shared" si="19"/>
        <v/>
      </c>
      <c r="GF35" s="223" t="str">
        <f t="shared" si="41"/>
        <v/>
      </c>
      <c r="GG35" s="1446" t="str">
        <f>+'Retenue Sept'!D33</f>
        <v/>
      </c>
      <c r="GH35" s="1446">
        <f>IF(Identification!$B$132="Non",+'Retenue Sept'!BF33,+'Retenue Sept'!BE33)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46282</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46282</v>
      </c>
      <c r="AX36" s="1761"/>
      <c r="AY36" s="314"/>
      <c r="AZ36" s="1104"/>
      <c r="BA36" s="973"/>
      <c r="BB36" s="543"/>
      <c r="BC36" s="548">
        <f t="shared" si="23"/>
        <v>0</v>
      </c>
      <c r="BD36" s="1104"/>
      <c r="BE36" s="807">
        <f t="shared" si="24"/>
        <v>0</v>
      </c>
      <c r="BF36" s="1128"/>
      <c r="BG36" s="222"/>
      <c r="BH36" s="548" t="str">
        <f t="shared" si="25"/>
        <v/>
      </c>
      <c r="BI36" s="1128"/>
      <c r="BJ36" s="129" t="str">
        <f t="shared" si="26"/>
        <v>Fiche infoA4</v>
      </c>
      <c r="BK36" s="129">
        <f t="shared" si="49"/>
        <v>38</v>
      </c>
      <c r="BL36" s="129" t="str">
        <f t="shared" si="4"/>
        <v>A</v>
      </c>
      <c r="BM36" s="129">
        <f t="shared" si="50"/>
        <v>4</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46282</v>
      </c>
      <c r="ER36" s="749">
        <f t="shared" si="10"/>
        <v>0</v>
      </c>
      <c r="ES36" s="750">
        <f t="shared" si="11"/>
        <v>0</v>
      </c>
      <c r="ET36" s="749">
        <f t="shared" si="12"/>
        <v>0</v>
      </c>
      <c r="EU36" s="750">
        <f t="shared" si="13"/>
        <v>0</v>
      </c>
      <c r="EV36" s="749" t="str">
        <f t="shared" si="14"/>
        <v/>
      </c>
      <c r="EW36" s="751">
        <f t="shared" si="29"/>
        <v>46282</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38</v>
      </c>
      <c r="GA36" s="129">
        <f t="shared" si="39"/>
        <v>2026</v>
      </c>
      <c r="GB36" s="129" t="str">
        <f t="shared" si="40"/>
        <v>382026</v>
      </c>
      <c r="GC36" s="223">
        <f>IF(AND($GD$53=S.CAL!$P$3,$GD$52=FZ36),GE36,IF(BH36="",0,BH36))</f>
        <v>0</v>
      </c>
      <c r="GD36" s="129" t="str">
        <f>IFERROR(+Octobre!$BY$2&amp;BL36&amp;BM36,0)</f>
        <v>Fiche infoA4</v>
      </c>
      <c r="GE36" s="129" t="str">
        <f t="shared" si="19"/>
        <v/>
      </c>
      <c r="GF36" s="223" t="str">
        <f t="shared" si="41"/>
        <v/>
      </c>
      <c r="GG36" s="1446" t="str">
        <f>+'Retenue Sept'!D34</f>
        <v/>
      </c>
      <c r="GH36" s="1446">
        <f>IF(Identification!$B$132="Non",+'Retenue Sept'!BF34,+'Retenue Sept'!BE34)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46283</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46283</v>
      </c>
      <c r="AX37" s="1761"/>
      <c r="AY37" s="314"/>
      <c r="AZ37" s="1104"/>
      <c r="BA37" s="973"/>
      <c r="BB37" s="543"/>
      <c r="BC37" s="548">
        <f t="shared" si="23"/>
        <v>0</v>
      </c>
      <c r="BD37" s="1104"/>
      <c r="BE37" s="807">
        <f t="shared" si="24"/>
        <v>0</v>
      </c>
      <c r="BF37" s="1128"/>
      <c r="BG37" s="222"/>
      <c r="BH37" s="548" t="str">
        <f t="shared" si="25"/>
        <v/>
      </c>
      <c r="BI37" s="1128"/>
      <c r="BJ37" s="129" t="str">
        <f t="shared" si="26"/>
        <v>Fiche infoA5</v>
      </c>
      <c r="BK37" s="129">
        <f t="shared" si="49"/>
        <v>38</v>
      </c>
      <c r="BL37" s="129" t="str">
        <f t="shared" si="4"/>
        <v>A</v>
      </c>
      <c r="BM37" s="129">
        <f t="shared" si="50"/>
        <v>5</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46283</v>
      </c>
      <c r="ER37" s="749">
        <f t="shared" si="10"/>
        <v>0</v>
      </c>
      <c r="ES37" s="750">
        <f t="shared" si="11"/>
        <v>0</v>
      </c>
      <c r="ET37" s="749">
        <f t="shared" si="12"/>
        <v>0</v>
      </c>
      <c r="EU37" s="750">
        <f t="shared" si="13"/>
        <v>0</v>
      </c>
      <c r="EV37" s="749" t="str">
        <f t="shared" si="14"/>
        <v/>
      </c>
      <c r="EW37" s="751">
        <f t="shared" si="29"/>
        <v>46283</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38</v>
      </c>
      <c r="GA37" s="129">
        <f t="shared" si="39"/>
        <v>2026</v>
      </c>
      <c r="GB37" s="129" t="str">
        <f t="shared" si="40"/>
        <v>382026</v>
      </c>
      <c r="GC37" s="223">
        <f>IF(AND($GD$53=S.CAL!$P$3,$GD$52=FZ37),GE37,IF(BH37="",0,BH37))</f>
        <v>0</v>
      </c>
      <c r="GD37" s="129" t="str">
        <f>IFERROR(+Octobre!$BY$2&amp;BL37&amp;BM37,0)</f>
        <v>Fiche infoA5</v>
      </c>
      <c r="GE37" s="129" t="str">
        <f t="shared" si="19"/>
        <v/>
      </c>
      <c r="GF37" s="223" t="str">
        <f t="shared" si="41"/>
        <v/>
      </c>
      <c r="GG37" s="1446" t="str">
        <f>+'Retenue Sept'!D35</f>
        <v/>
      </c>
      <c r="GH37" s="1446">
        <f>IF(Identification!$B$132="Non",+'Retenue Sept'!BF35,+'Retenue Sept'!BE35)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46284</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46284</v>
      </c>
      <c r="AX38" s="1761"/>
      <c r="AY38" s="314"/>
      <c r="AZ38" s="1104"/>
      <c r="BA38" s="973"/>
      <c r="BB38" s="543"/>
      <c r="BC38" s="548">
        <f t="shared" si="23"/>
        <v>0</v>
      </c>
      <c r="BD38" s="1104"/>
      <c r="BE38" s="807">
        <f t="shared" si="24"/>
        <v>0</v>
      </c>
      <c r="BF38" s="1128"/>
      <c r="BG38" s="222"/>
      <c r="BH38" s="548" t="str">
        <f t="shared" si="25"/>
        <v/>
      </c>
      <c r="BI38" s="1128"/>
      <c r="BJ38" s="129" t="str">
        <f t="shared" si="26"/>
        <v>Fiche infoA6</v>
      </c>
      <c r="BK38" s="129">
        <f t="shared" si="49"/>
        <v>38</v>
      </c>
      <c r="BL38" s="129" t="str">
        <f t="shared" si="4"/>
        <v>A</v>
      </c>
      <c r="BM38" s="129">
        <f t="shared" si="50"/>
        <v>6</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46284</v>
      </c>
      <c r="ER38" s="749">
        <f t="shared" si="10"/>
        <v>0</v>
      </c>
      <c r="ES38" s="750">
        <f t="shared" si="11"/>
        <v>0</v>
      </c>
      <c r="ET38" s="749">
        <f t="shared" si="12"/>
        <v>0</v>
      </c>
      <c r="EU38" s="750">
        <f t="shared" si="13"/>
        <v>0</v>
      </c>
      <c r="EV38" s="749" t="str">
        <f t="shared" si="14"/>
        <v/>
      </c>
      <c r="EW38" s="751">
        <f t="shared" si="29"/>
        <v>46284</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38</v>
      </c>
      <c r="GA38" s="129">
        <f t="shared" si="39"/>
        <v>2026</v>
      </c>
      <c r="GB38" s="129" t="str">
        <f t="shared" si="40"/>
        <v>382026</v>
      </c>
      <c r="GC38" s="223">
        <f>IF(AND($GD$53=S.CAL!$P$3,$GD$52=FZ38),GE38,IF(BH38="",0,BH38))</f>
        <v>0</v>
      </c>
      <c r="GD38" s="129" t="str">
        <f>IFERROR(+Octobre!$BY$2&amp;BL38&amp;BM38,0)</f>
        <v>Fiche infoA6</v>
      </c>
      <c r="GE38" s="129" t="str">
        <f t="shared" si="19"/>
        <v/>
      </c>
      <c r="GF38" s="223" t="str">
        <f t="shared" si="41"/>
        <v/>
      </c>
      <c r="GG38" s="1446" t="str">
        <f>+'Retenue Sept'!D36</f>
        <v/>
      </c>
      <c r="GH38" s="1446">
        <f>IF(Identification!$B$132="Non",+'Retenue Sept'!BF36,+'Retenue Sept'!BE36)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46285</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46285</v>
      </c>
      <c r="AX39" s="1761"/>
      <c r="AY39" s="314"/>
      <c r="AZ39" s="1104"/>
      <c r="BA39" s="973"/>
      <c r="BB39" s="543"/>
      <c r="BC39" s="548">
        <f t="shared" si="23"/>
        <v>0</v>
      </c>
      <c r="BD39" s="1104"/>
      <c r="BE39" s="807">
        <f t="shared" si="24"/>
        <v>0</v>
      </c>
      <c r="BF39" s="1128"/>
      <c r="BG39" s="222"/>
      <c r="BH39" s="548" t="str">
        <f t="shared" si="25"/>
        <v/>
      </c>
      <c r="BI39" s="1128"/>
      <c r="BJ39" s="129" t="str">
        <f t="shared" si="26"/>
        <v>Fiche infoA7</v>
      </c>
      <c r="BK39" s="129">
        <f t="shared" si="49"/>
        <v>38</v>
      </c>
      <c r="BL39" s="129" t="str">
        <f t="shared" si="4"/>
        <v>A</v>
      </c>
      <c r="BM39" s="129">
        <f t="shared" si="50"/>
        <v>7</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46285</v>
      </c>
      <c r="ER39" s="749">
        <f t="shared" si="10"/>
        <v>0</v>
      </c>
      <c r="ES39" s="750">
        <f t="shared" si="11"/>
        <v>0</v>
      </c>
      <c r="ET39" s="749">
        <f t="shared" si="12"/>
        <v>0</v>
      </c>
      <c r="EU39" s="750">
        <f t="shared" si="13"/>
        <v>0</v>
      </c>
      <c r="EV39" s="749" t="str">
        <f t="shared" si="14"/>
        <v/>
      </c>
      <c r="EW39" s="751">
        <f t="shared" si="29"/>
        <v>46285</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38</v>
      </c>
      <c r="GA39" s="129">
        <f t="shared" si="39"/>
        <v>2026</v>
      </c>
      <c r="GB39" s="129" t="str">
        <f t="shared" si="40"/>
        <v>382026</v>
      </c>
      <c r="GC39" s="223">
        <f>IF(AND($GD$53=S.CAL!$P$3,$GD$52=FZ39),GE39,IF(BH39="",0,BH39))</f>
        <v>0</v>
      </c>
      <c r="GD39" s="129" t="str">
        <f>IFERROR(+Octobre!$BY$2&amp;BL39&amp;BM39,0)</f>
        <v>Fiche infoA7</v>
      </c>
      <c r="GE39" s="129" t="str">
        <f t="shared" si="19"/>
        <v/>
      </c>
      <c r="GF39" s="223" t="str">
        <f t="shared" si="41"/>
        <v/>
      </c>
      <c r="GG39" s="1446" t="str">
        <f>+'Retenue Sept'!D37</f>
        <v/>
      </c>
      <c r="GH39" s="1446">
        <f>IF(Identification!$B$132="Non",+'Retenue Sept'!BF37,+'Retenue Sept'!BE37)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46286</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f t="shared" si="48"/>
        <v>39</v>
      </c>
      <c r="AQ40" s="322"/>
      <c r="AR40" s="1104"/>
      <c r="AS40" s="314">
        <f t="shared" si="3"/>
        <v>0</v>
      </c>
      <c r="AT40" s="1125"/>
      <c r="AU40" s="1125"/>
      <c r="AV40" s="314"/>
      <c r="AW40" s="1791">
        <f t="shared" si="22"/>
        <v>46286</v>
      </c>
      <c r="AX40" s="1761"/>
      <c r="AY40" s="314"/>
      <c r="AZ40" s="1104"/>
      <c r="BA40" s="973"/>
      <c r="BB40" s="543"/>
      <c r="BC40" s="548">
        <f t="shared" si="23"/>
        <v>0</v>
      </c>
      <c r="BD40" s="1104"/>
      <c r="BE40" s="807">
        <f t="shared" si="24"/>
        <v>0</v>
      </c>
      <c r="BF40" s="1128"/>
      <c r="BG40" s="222"/>
      <c r="BH40" s="548" t="str">
        <f t="shared" si="25"/>
        <v/>
      </c>
      <c r="BI40" s="1128"/>
      <c r="BJ40" s="129" t="str">
        <f t="shared" si="26"/>
        <v>Fiche infoA1</v>
      </c>
      <c r="BK40" s="129">
        <f t="shared" si="49"/>
        <v>39</v>
      </c>
      <c r="BL40" s="129" t="str">
        <f t="shared" si="4"/>
        <v>A</v>
      </c>
      <c r="BM40" s="129">
        <f t="shared" si="50"/>
        <v>1</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Sept'!P27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46286</v>
      </c>
      <c r="ER40" s="749">
        <f t="shared" si="10"/>
        <v>0</v>
      </c>
      <c r="ES40" s="750">
        <f t="shared" si="11"/>
        <v>0</v>
      </c>
      <c r="ET40" s="749">
        <f t="shared" si="12"/>
        <v>0</v>
      </c>
      <c r="EU40" s="750">
        <f t="shared" si="13"/>
        <v>0</v>
      </c>
      <c r="EV40" s="749" t="str">
        <f t="shared" si="14"/>
        <v/>
      </c>
      <c r="EW40" s="751">
        <f t="shared" si="29"/>
        <v>46286</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39</v>
      </c>
      <c r="GA40" s="129">
        <f t="shared" si="39"/>
        <v>2026</v>
      </c>
      <c r="GB40" s="129" t="str">
        <f t="shared" si="40"/>
        <v>392026</v>
      </c>
      <c r="GC40" s="223">
        <f>IF(AND($GD$53=S.CAL!$P$3,$GD$52=FZ40),GE40,IF(BH40="",0,BH40))</f>
        <v>0</v>
      </c>
      <c r="GD40" s="129" t="str">
        <f>IFERROR(+Octobre!$BY$2&amp;BL40&amp;BM40,0)</f>
        <v>Fiche infoA1</v>
      </c>
      <c r="GE40" s="129" t="str">
        <f t="shared" si="19"/>
        <v/>
      </c>
      <c r="GF40" s="223" t="str">
        <f t="shared" si="41"/>
        <v/>
      </c>
      <c r="GG40" s="1446" t="str">
        <f>+'Retenue Sept'!D38</f>
        <v/>
      </c>
      <c r="GH40" s="1446">
        <f>IF(Identification!$B$132="Non",+'Retenue Sept'!BF38,+'Retenue Sept'!BE38)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46287</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46287</v>
      </c>
      <c r="AX41" s="1761"/>
      <c r="AY41" s="314"/>
      <c r="AZ41" s="1104"/>
      <c r="BA41" s="973"/>
      <c r="BB41" s="543"/>
      <c r="BC41" s="548">
        <f t="shared" si="23"/>
        <v>0</v>
      </c>
      <c r="BD41" s="1104"/>
      <c r="BE41" s="807">
        <f t="shared" si="24"/>
        <v>0</v>
      </c>
      <c r="BF41" s="1128"/>
      <c r="BG41" s="222"/>
      <c r="BH41" s="548" t="str">
        <f t="shared" si="25"/>
        <v/>
      </c>
      <c r="BI41" s="1128"/>
      <c r="BJ41" s="129" t="str">
        <f t="shared" si="26"/>
        <v>Fiche infoA2</v>
      </c>
      <c r="BK41" s="129">
        <f t="shared" si="49"/>
        <v>39</v>
      </c>
      <c r="BL41" s="129" t="str">
        <f t="shared" si="4"/>
        <v>A</v>
      </c>
      <c r="BM41" s="129">
        <f t="shared" si="50"/>
        <v>2</v>
      </c>
      <c r="BN41" s="223" t="str">
        <f t="shared" si="60"/>
        <v>Fiche info</v>
      </c>
      <c r="BO41" s="314" t="str">
        <f t="shared" si="51"/>
        <v/>
      </c>
      <c r="BP41" s="196" t="str">
        <f t="shared" si="52"/>
        <v/>
      </c>
      <c r="BQ41" s="1948" t="s">
        <v>1047</v>
      </c>
      <c r="BR41" s="1948"/>
      <c r="BS41" s="1948"/>
      <c r="BT41" s="1948"/>
      <c r="BU41" s="1948"/>
      <c r="BV41" s="1948"/>
      <c r="BW41" s="583" t="str">
        <f>+IF(BX41="",Aout!BW41,BX41)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46287</v>
      </c>
      <c r="ER41" s="749">
        <f t="shared" si="10"/>
        <v>0</v>
      </c>
      <c r="ES41" s="750">
        <f t="shared" si="11"/>
        <v>0</v>
      </c>
      <c r="ET41" s="749">
        <f t="shared" si="12"/>
        <v>0</v>
      </c>
      <c r="EU41" s="750">
        <f t="shared" si="13"/>
        <v>0</v>
      </c>
      <c r="EV41" s="749" t="str">
        <f t="shared" si="14"/>
        <v/>
      </c>
      <c r="EW41" s="751">
        <f t="shared" si="29"/>
        <v>46287</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39</v>
      </c>
      <c r="GA41" s="129">
        <f t="shared" si="39"/>
        <v>2026</v>
      </c>
      <c r="GB41" s="129" t="str">
        <f t="shared" si="40"/>
        <v>392026</v>
      </c>
      <c r="GC41" s="223">
        <f>IF(AND($GD$53=S.CAL!$P$3,$GD$52=FZ41),GE41,IF(BH41="",0,BH41))</f>
        <v>0</v>
      </c>
      <c r="GD41" s="129" t="str">
        <f>IFERROR(+Octobre!$BY$2&amp;BL41&amp;BM41,0)</f>
        <v>Fiche infoA2</v>
      </c>
      <c r="GE41" s="129" t="str">
        <f t="shared" si="19"/>
        <v/>
      </c>
      <c r="GF41" s="223" t="str">
        <f t="shared" si="41"/>
        <v/>
      </c>
      <c r="GG41" s="1446" t="str">
        <f>+'Retenue Sept'!D39</f>
        <v/>
      </c>
      <c r="GH41" s="1446">
        <f>IF(Identification!$B$132="Non",+'Retenue Sept'!BF39,+'Retenue Sept'!BE39)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46288</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46288</v>
      </c>
      <c r="AX42" s="1761"/>
      <c r="AY42" s="314"/>
      <c r="AZ42" s="1104"/>
      <c r="BA42" s="973"/>
      <c r="BB42" s="543"/>
      <c r="BC42" s="548">
        <f t="shared" si="23"/>
        <v>0</v>
      </c>
      <c r="BD42" s="1104"/>
      <c r="BE42" s="807">
        <f t="shared" si="24"/>
        <v>0</v>
      </c>
      <c r="BF42" s="1128"/>
      <c r="BG42" s="222"/>
      <c r="BH42" s="548" t="str">
        <f t="shared" si="25"/>
        <v/>
      </c>
      <c r="BI42" s="1128"/>
      <c r="BJ42" s="129" t="str">
        <f t="shared" si="26"/>
        <v>Fiche infoA3</v>
      </c>
      <c r="BK42" s="129">
        <f t="shared" si="49"/>
        <v>39</v>
      </c>
      <c r="BL42" s="129" t="str">
        <f t="shared" si="4"/>
        <v>A</v>
      </c>
      <c r="BM42" s="129">
        <f t="shared" si="50"/>
        <v>3</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46288</v>
      </c>
      <c r="ER42" s="749">
        <f t="shared" si="10"/>
        <v>0</v>
      </c>
      <c r="ES42" s="750">
        <f t="shared" si="11"/>
        <v>0</v>
      </c>
      <c r="ET42" s="749">
        <f t="shared" si="12"/>
        <v>0</v>
      </c>
      <c r="EU42" s="750">
        <f t="shared" si="13"/>
        <v>0</v>
      </c>
      <c r="EV42" s="749" t="str">
        <f t="shared" si="14"/>
        <v/>
      </c>
      <c r="EW42" s="751">
        <f t="shared" si="29"/>
        <v>46288</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39</v>
      </c>
      <c r="GA42" s="129">
        <f t="shared" si="39"/>
        <v>2026</v>
      </c>
      <c r="GB42" s="129" t="str">
        <f t="shared" si="40"/>
        <v>392026</v>
      </c>
      <c r="GC42" s="223">
        <f>IF(AND($GD$53=S.CAL!$P$3,$GD$52=FZ42),GE42,IF(BH42="",0,BH42))</f>
        <v>0</v>
      </c>
      <c r="GD42" s="129" t="str">
        <f>IFERROR(+Octobre!$BY$2&amp;BL42&amp;BM42,0)</f>
        <v>Fiche infoA3</v>
      </c>
      <c r="GE42" s="129" t="str">
        <f t="shared" si="19"/>
        <v/>
      </c>
      <c r="GF42" s="223" t="str">
        <f t="shared" si="41"/>
        <v/>
      </c>
      <c r="GG42" s="1446" t="str">
        <f>+'Retenue Sept'!D40</f>
        <v/>
      </c>
      <c r="GH42" s="1446">
        <f>IF(Identification!$B$132="Non",+'Retenue Sept'!BF40,+'Retenue Sept'!BE40)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46289</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46289</v>
      </c>
      <c r="AX43" s="1761"/>
      <c r="AY43" s="314"/>
      <c r="AZ43" s="1104"/>
      <c r="BA43" s="973"/>
      <c r="BB43" s="543"/>
      <c r="BC43" s="548">
        <f t="shared" si="23"/>
        <v>0</v>
      </c>
      <c r="BD43" s="1104"/>
      <c r="BE43" s="807">
        <f t="shared" si="24"/>
        <v>0</v>
      </c>
      <c r="BF43" s="1128"/>
      <c r="BG43" s="222"/>
      <c r="BH43" s="548" t="str">
        <f t="shared" si="25"/>
        <v/>
      </c>
      <c r="BI43" s="1128"/>
      <c r="BJ43" s="129" t="str">
        <f t="shared" si="26"/>
        <v>Fiche infoA4</v>
      </c>
      <c r="BK43" s="129">
        <f t="shared" si="49"/>
        <v>39</v>
      </c>
      <c r="BL43" s="129" t="str">
        <f t="shared" si="4"/>
        <v>A</v>
      </c>
      <c r="BM43" s="129">
        <f t="shared" si="50"/>
        <v>4</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46289</v>
      </c>
      <c r="ER43" s="749">
        <f t="shared" si="10"/>
        <v>0</v>
      </c>
      <c r="ES43" s="750">
        <f t="shared" si="11"/>
        <v>0</v>
      </c>
      <c r="ET43" s="749">
        <f t="shared" si="12"/>
        <v>0</v>
      </c>
      <c r="EU43" s="750">
        <f t="shared" si="13"/>
        <v>0</v>
      </c>
      <c r="EV43" s="749" t="str">
        <f t="shared" si="14"/>
        <v/>
      </c>
      <c r="EW43" s="751">
        <f t="shared" si="29"/>
        <v>46289</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39</v>
      </c>
      <c r="GA43" s="129">
        <f t="shared" si="39"/>
        <v>2026</v>
      </c>
      <c r="GB43" s="129" t="str">
        <f t="shared" si="40"/>
        <v>392026</v>
      </c>
      <c r="GC43" s="223">
        <f>IF(AND($GD$53=S.CAL!$P$3,$GD$52=FZ43),GE43,IF(BH43="",0,BH43))</f>
        <v>0</v>
      </c>
      <c r="GD43" s="129" t="str">
        <f>IFERROR(+Octobre!$BY$2&amp;BL43&amp;BM43,0)</f>
        <v>Fiche infoA4</v>
      </c>
      <c r="GE43" s="129" t="str">
        <f t="shared" si="19"/>
        <v/>
      </c>
      <c r="GF43" s="223" t="str">
        <f t="shared" si="41"/>
        <v/>
      </c>
      <c r="GG43" s="1446" t="str">
        <f>+'Retenue Sept'!D41</f>
        <v/>
      </c>
      <c r="GH43" s="1446">
        <f>IF(Identification!$B$132="Non",+'Retenue Sept'!BF41,+'Retenue Sept'!BE41)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46290</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46290</v>
      </c>
      <c r="AX44" s="1761"/>
      <c r="AY44" s="314"/>
      <c r="AZ44" s="1104"/>
      <c r="BA44" s="973"/>
      <c r="BB44" s="543"/>
      <c r="BC44" s="548">
        <f t="shared" si="23"/>
        <v>0</v>
      </c>
      <c r="BD44" s="1104"/>
      <c r="BE44" s="807">
        <f t="shared" si="24"/>
        <v>0</v>
      </c>
      <c r="BF44" s="1128"/>
      <c r="BG44" s="222"/>
      <c r="BH44" s="548" t="str">
        <f t="shared" si="25"/>
        <v/>
      </c>
      <c r="BI44" s="1128"/>
      <c r="BJ44" s="129" t="str">
        <f t="shared" si="26"/>
        <v>Fiche infoA5</v>
      </c>
      <c r="BK44" s="129">
        <f t="shared" si="49"/>
        <v>39</v>
      </c>
      <c r="BL44" s="129" t="str">
        <f t="shared" si="4"/>
        <v>A</v>
      </c>
      <c r="BM44" s="129">
        <f t="shared" si="50"/>
        <v>5</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+IF(CC45="",Aout!CC44,CC45)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46290</v>
      </c>
      <c r="ER44" s="749">
        <f t="shared" si="10"/>
        <v>0</v>
      </c>
      <c r="ES44" s="750">
        <f t="shared" si="11"/>
        <v>0</v>
      </c>
      <c r="ET44" s="749">
        <f t="shared" si="12"/>
        <v>0</v>
      </c>
      <c r="EU44" s="750">
        <f t="shared" si="13"/>
        <v>0</v>
      </c>
      <c r="EV44" s="749" t="str">
        <f t="shared" si="14"/>
        <v/>
      </c>
      <c r="EW44" s="751">
        <f t="shared" si="29"/>
        <v>46290</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39</v>
      </c>
      <c r="GA44" s="129">
        <f t="shared" si="39"/>
        <v>2026</v>
      </c>
      <c r="GB44" s="129" t="str">
        <f t="shared" si="40"/>
        <v>392026</v>
      </c>
      <c r="GC44" s="223">
        <f>IF(AND($GD$53=S.CAL!$P$3,$GD$52=FZ44),GE44,IF(BH44="",0,BH44))</f>
        <v>0</v>
      </c>
      <c r="GD44" s="129" t="str">
        <f>IFERROR(+Octobre!$BY$2&amp;BL44&amp;BM44,0)</f>
        <v>Fiche infoA5</v>
      </c>
      <c r="GE44" s="129" t="str">
        <f t="shared" si="19"/>
        <v/>
      </c>
      <c r="GF44" s="223" t="str">
        <f t="shared" si="41"/>
        <v/>
      </c>
      <c r="GG44" s="1446" t="str">
        <f>+'Retenue Sept'!D42</f>
        <v/>
      </c>
      <c r="GH44" s="1446">
        <f>IF(Identification!$B$132="Non",+'Retenue Sept'!BF42,+'Retenue Sept'!BE42)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46291</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46291</v>
      </c>
      <c r="AX45" s="1761"/>
      <c r="AY45" s="314"/>
      <c r="AZ45" s="1104"/>
      <c r="BA45" s="973"/>
      <c r="BB45" s="543"/>
      <c r="BC45" s="548">
        <f t="shared" si="23"/>
        <v>0</v>
      </c>
      <c r="BD45" s="1104"/>
      <c r="BE45" s="807">
        <f t="shared" si="24"/>
        <v>0</v>
      </c>
      <c r="BF45" s="1128"/>
      <c r="BG45" s="222"/>
      <c r="BH45" s="548" t="str">
        <f t="shared" si="25"/>
        <v/>
      </c>
      <c r="BI45" s="1128"/>
      <c r="BJ45" s="129" t="str">
        <f t="shared" si="26"/>
        <v>Fiche infoA6</v>
      </c>
      <c r="BK45" s="129">
        <f t="shared" si="49"/>
        <v>39</v>
      </c>
      <c r="BL45" s="129" t="str">
        <f t="shared" si="4"/>
        <v>A</v>
      </c>
      <c r="BM45" s="129">
        <f t="shared" si="50"/>
        <v>6</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46291</v>
      </c>
      <c r="ER45" s="749">
        <f t="shared" si="10"/>
        <v>0</v>
      </c>
      <c r="ES45" s="750">
        <f t="shared" si="11"/>
        <v>0</v>
      </c>
      <c r="ET45" s="749">
        <f t="shared" si="12"/>
        <v>0</v>
      </c>
      <c r="EU45" s="750">
        <f t="shared" si="13"/>
        <v>0</v>
      </c>
      <c r="EV45" s="749" t="str">
        <f t="shared" si="14"/>
        <v/>
      </c>
      <c r="EW45" s="751">
        <f t="shared" si="29"/>
        <v>46291</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39</v>
      </c>
      <c r="GA45" s="129">
        <f t="shared" si="39"/>
        <v>2026</v>
      </c>
      <c r="GB45" s="129" t="str">
        <f t="shared" si="40"/>
        <v>392026</v>
      </c>
      <c r="GC45" s="223">
        <f>IF(AND($GD$53=S.CAL!$P$3,$GD$52=FZ45),GE45,IF(BH45="",0,BH45))</f>
        <v>0</v>
      </c>
      <c r="GD45" s="129" t="str">
        <f>IFERROR(+Octobre!$BY$2&amp;BL45&amp;BM45,0)</f>
        <v>Fiche infoA6</v>
      </c>
      <c r="GE45" s="129" t="str">
        <f t="shared" si="19"/>
        <v/>
      </c>
      <c r="GF45" s="223" t="str">
        <f t="shared" si="41"/>
        <v/>
      </c>
      <c r="GG45" s="1446" t="str">
        <f>+'Retenue Sept'!D43</f>
        <v/>
      </c>
      <c r="GH45" s="1446">
        <f>IF(Identification!$B$132="Non",+'Retenue Sept'!BF43,+'Retenue Sept'!BE43)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46292</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46292</v>
      </c>
      <c r="AX46" s="1761"/>
      <c r="AY46" s="314"/>
      <c r="AZ46" s="1104"/>
      <c r="BA46" s="973"/>
      <c r="BB46" s="543"/>
      <c r="BC46" s="548">
        <f t="shared" si="23"/>
        <v>0</v>
      </c>
      <c r="BD46" s="1104"/>
      <c r="BE46" s="807">
        <f t="shared" si="24"/>
        <v>0</v>
      </c>
      <c r="BF46" s="1128"/>
      <c r="BG46" s="222"/>
      <c r="BH46" s="548" t="str">
        <f t="shared" si="25"/>
        <v/>
      </c>
      <c r="BI46" s="1128"/>
      <c r="BJ46" s="129" t="str">
        <f t="shared" si="26"/>
        <v>Fiche infoA7</v>
      </c>
      <c r="BK46" s="129">
        <f t="shared" si="49"/>
        <v>39</v>
      </c>
      <c r="BL46" s="129" t="str">
        <f t="shared" si="4"/>
        <v>A</v>
      </c>
      <c r="BM46" s="129">
        <f t="shared" si="50"/>
        <v>7</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46292</v>
      </c>
      <c r="ER46" s="749">
        <f t="shared" si="10"/>
        <v>0</v>
      </c>
      <c r="ES46" s="750">
        <f t="shared" si="11"/>
        <v>0</v>
      </c>
      <c r="ET46" s="749">
        <f t="shared" si="12"/>
        <v>0</v>
      </c>
      <c r="EU46" s="750">
        <f t="shared" si="13"/>
        <v>0</v>
      </c>
      <c r="EV46" s="749" t="str">
        <f t="shared" si="14"/>
        <v/>
      </c>
      <c r="EW46" s="751">
        <f t="shared" si="29"/>
        <v>46292</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39</v>
      </c>
      <c r="GA46" s="129">
        <f t="shared" si="39"/>
        <v>2026</v>
      </c>
      <c r="GB46" s="129" t="str">
        <f t="shared" si="40"/>
        <v>392026</v>
      </c>
      <c r="GC46" s="223">
        <f>IF(AND($GD$53=S.CAL!$P$3,$GD$52=FZ46),GE46,IF(BH46="",0,BH46))</f>
        <v>0</v>
      </c>
      <c r="GD46" s="129" t="str">
        <f>IFERROR(+Octobre!$BY$2&amp;BL46&amp;BM46,0)</f>
        <v>Fiche infoA7</v>
      </c>
      <c r="GE46" s="129" t="str">
        <f t="shared" si="19"/>
        <v/>
      </c>
      <c r="GF46" s="223" t="str">
        <f t="shared" si="41"/>
        <v/>
      </c>
      <c r="GG46" s="1446" t="str">
        <f>+'Retenue Sept'!D44</f>
        <v/>
      </c>
      <c r="GH46" s="1446">
        <f>IF(Identification!$B$132="Non",+'Retenue Sept'!BF44,+'Retenue Sept'!BE44)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46293</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f t="shared" si="48"/>
        <v>40</v>
      </c>
      <c r="AQ47" s="322"/>
      <c r="AR47" s="1104"/>
      <c r="AS47" s="314">
        <f t="shared" si="3"/>
        <v>0</v>
      </c>
      <c r="AT47" s="1125"/>
      <c r="AU47" s="1125"/>
      <c r="AV47" s="314"/>
      <c r="AW47" s="1791">
        <f t="shared" si="22"/>
        <v>46293</v>
      </c>
      <c r="AX47" s="1761"/>
      <c r="AY47" s="314"/>
      <c r="AZ47" s="1104"/>
      <c r="BA47" s="973"/>
      <c r="BB47" s="543"/>
      <c r="BC47" s="548">
        <f t="shared" si="23"/>
        <v>0</v>
      </c>
      <c r="BD47" s="1104"/>
      <c r="BE47" s="807">
        <f t="shared" si="24"/>
        <v>0</v>
      </c>
      <c r="BF47" s="1128"/>
      <c r="BG47" s="222"/>
      <c r="BH47" s="548" t="str">
        <f t="shared" si="25"/>
        <v/>
      </c>
      <c r="BI47" s="1128"/>
      <c r="BJ47" s="129" t="str">
        <f t="shared" si="26"/>
        <v>Fiche infoA1</v>
      </c>
      <c r="BK47" s="129">
        <f t="shared" si="49"/>
        <v>40</v>
      </c>
      <c r="BL47" s="129" t="str">
        <f t="shared" si="4"/>
        <v>A</v>
      </c>
      <c r="BM47" s="129">
        <f t="shared" si="50"/>
        <v>1</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IF(CF47="",Aout!CE47,CF47)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46293</v>
      </c>
      <c r="ER47" s="749">
        <f t="shared" si="10"/>
        <v>0</v>
      </c>
      <c r="ES47" s="750">
        <f t="shared" si="11"/>
        <v>0</v>
      </c>
      <c r="ET47" s="749">
        <f t="shared" si="12"/>
        <v>0</v>
      </c>
      <c r="EU47" s="750">
        <f t="shared" si="13"/>
        <v>0</v>
      </c>
      <c r="EV47" s="749" t="str">
        <f t="shared" si="14"/>
        <v/>
      </c>
      <c r="EW47" s="751">
        <f t="shared" si="29"/>
        <v>46293</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40</v>
      </c>
      <c r="GA47" s="129">
        <f t="shared" si="39"/>
        <v>2026</v>
      </c>
      <c r="GB47" s="129" t="str">
        <f t="shared" si="40"/>
        <v>402026</v>
      </c>
      <c r="GC47" s="223">
        <f>IF(AND($GD$53=S.CAL!$P$3,$GD$52=FZ47),GE47,IF(BH47="",0,BH47))</f>
        <v>0</v>
      </c>
      <c r="GD47" s="129" t="str">
        <f>IFERROR(+Octobre!$BY$2&amp;BL47&amp;BM47,0)</f>
        <v>Fiche infoA1</v>
      </c>
      <c r="GE47" s="129" t="str">
        <f t="shared" si="19"/>
        <v/>
      </c>
      <c r="GF47" s="223" t="str">
        <f t="shared" si="41"/>
        <v/>
      </c>
      <c r="GG47" s="1446" t="str">
        <f>+'Retenue Sept'!D45</f>
        <v/>
      </c>
      <c r="GH47" s="1446">
        <f>IF(Identification!$B$132="Non",+'Retenue Sept'!BF45,+'Retenue Sept'!BE45)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46294</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46294</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infoA2</v>
      </c>
      <c r="BK48" s="129">
        <f t="shared" si="49"/>
        <v>40</v>
      </c>
      <c r="BL48" s="129" t="str">
        <f t="shared" si="4"/>
        <v>A</v>
      </c>
      <c r="BM48" s="129">
        <f>IFERROR(WEEKDAY(AB48,2),0)</f>
        <v>2</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46294</v>
      </c>
      <c r="ER48" s="749">
        <f t="shared" si="10"/>
        <v>0</v>
      </c>
      <c r="ES48" s="750">
        <f t="shared" si="11"/>
        <v>0</v>
      </c>
      <c r="ET48" s="749">
        <f t="shared" si="12"/>
        <v>0</v>
      </c>
      <c r="EU48" s="750">
        <f t="shared" si="13"/>
        <v>0</v>
      </c>
      <c r="EV48" s="749" t="str">
        <f t="shared" si="14"/>
        <v/>
      </c>
      <c r="EW48" s="751">
        <f t="shared" si="29"/>
        <v>46294</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40</v>
      </c>
      <c r="GA48" s="129">
        <f t="shared" si="39"/>
        <v>2026</v>
      </c>
      <c r="GB48" s="129" t="str">
        <f t="shared" si="40"/>
        <v>402026</v>
      </c>
      <c r="GC48" s="223">
        <f>IF(AND($GD$53=S.CAL!$P$3,$GD$52=FZ48),GE48,IF(BH48="",0,BH48))</f>
        <v>0</v>
      </c>
      <c r="GD48" s="129" t="str">
        <f>IFERROR(+Octobre!$BY$2&amp;BL48&amp;BM48,0)</f>
        <v>Fiche infoA2</v>
      </c>
      <c r="GE48" s="129" t="str">
        <f t="shared" si="19"/>
        <v/>
      </c>
      <c r="GF48" s="223" t="str">
        <f t="shared" si="41"/>
        <v/>
      </c>
      <c r="GG48" s="1446" t="str">
        <f>+'Retenue Sept'!D46</f>
        <v/>
      </c>
      <c r="GH48" s="1446">
        <f>IF(Identification!$B$132="Non",+'Retenue Sept'!BF46,+'Retenue Sept'!BE46)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46295</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46295</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infoA3</v>
      </c>
      <c r="BK49" s="129">
        <f t="shared" si="49"/>
        <v>40</v>
      </c>
      <c r="BL49" s="129" t="str">
        <f t="shared" si="4"/>
        <v>A</v>
      </c>
      <c r="BM49" s="129">
        <f>IFERROR(WEEKDAY(AB49,2),0)</f>
        <v>3</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IF(CF49="",Aout!CE49,CF49)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46295</v>
      </c>
      <c r="ER49" s="749">
        <f t="shared" si="10"/>
        <v>0</v>
      </c>
      <c r="ES49" s="750">
        <f t="shared" si="11"/>
        <v>0</v>
      </c>
      <c r="ET49" s="749">
        <f t="shared" si="12"/>
        <v>0</v>
      </c>
      <c r="EU49" s="750">
        <f t="shared" si="13"/>
        <v>0</v>
      </c>
      <c r="EV49" s="749" t="str">
        <f t="shared" si="14"/>
        <v/>
      </c>
      <c r="EW49" s="751">
        <f t="shared" si="29"/>
        <v>46295</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40</v>
      </c>
      <c r="GA49" s="129">
        <f t="shared" si="39"/>
        <v>2026</v>
      </c>
      <c r="GB49" s="129" t="str">
        <f t="shared" ref="GB49:GB50" si="67">+FZ49&amp;GA49</f>
        <v>402026</v>
      </c>
      <c r="GC49" s="223">
        <f>IF(AND($GD$53=S.CAL!$P$3,$GD$52=FZ49),GE49,IF(BH49="",0,BH49))</f>
        <v>0</v>
      </c>
      <c r="GD49" s="129" t="str">
        <f>IFERROR(+Octobre!$BY$2&amp;BL49&amp;BM49,0)</f>
        <v>Fiche infoA3</v>
      </c>
      <c r="GE49" s="129" t="str">
        <f t="shared" si="19"/>
        <v/>
      </c>
      <c r="GF49" s="223" t="str">
        <f t="shared" ref="GF49:GF50" si="68">IF(FP49=1,GG49,AM49)</f>
        <v/>
      </c>
      <c r="GG49" s="1446" t="str">
        <f>+'Retenue Sept'!D47</f>
        <v/>
      </c>
      <c r="GH49" s="1446">
        <f>IF(Identification!$B$132="Non",+'Retenue Sept'!BF47,+'Retenue Sept'!BE47)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t="str">
        <f>IF(AB20+30&lt;DATE(YEAR(AB20),MONTH(AB20)+1,DAY(AB20)),AB20+30,"")</f>
        <v/>
      </c>
      <c r="AC50" s="1761"/>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t="str">
        <f t="shared" si="22"/>
        <v/>
      </c>
      <c r="AX50" s="2027"/>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GA50" s="129">
        <f t="shared" si="39"/>
        <v>2026</v>
      </c>
      <c r="GB50" s="129" t="str">
        <f t="shared" si="67"/>
        <v>2026</v>
      </c>
      <c r="GC50" s="223">
        <f>IF(AND($GD$53=S.CAL!$P$3,$GD$52=FZ50),GE50,IF(BH50="",0,BH50))</f>
        <v>0</v>
      </c>
      <c r="GD50" s="129" t="str">
        <f>IFERROR(+Octobre!$BY$2&amp;BL50&amp;BM50,0)</f>
        <v>Fiche infoA0</v>
      </c>
      <c r="GE50" s="129" t="str">
        <f t="shared" si="19"/>
        <v/>
      </c>
      <c r="GF50" s="223" t="str">
        <f t="shared" si="68"/>
        <v/>
      </c>
      <c r="GG50" s="1446" t="str">
        <f>+'Retenue Sept'!D48</f>
        <v/>
      </c>
      <c r="GH50" s="1446">
        <f>IF(Identification!$B$132="Non",+'Retenue Sept'!BF48,+'Retenue Sept'!BE48)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40</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IF(CF53="",+Aout!CE53,CF53)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IF(CF54="",Aout!CE54,CF54)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IF(CF55&gt;0,CF55,IF(AND(CE53=Aout!CE53,CE54=Aout!CE54),Aout!CE55,IF(OR(CE53&lt;&gt;Aout!CE53,CE54&lt;&gt;Aout!CE54),CE53/CE54)))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Sept'!E52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+IF(BY57="",Aout!BY56,BY57)</f>
        <v>24</v>
      </c>
      <c r="BZ56" s="611" t="s">
        <v>1049</v>
      </c>
      <c r="CA56" s="614">
        <f>+IF(CA57="",Aout!CA56,CA57)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IF(CF57="",+Aout!CE57,CF57)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IF(CF58="",Aout!CE58,CF58)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+IF(CA61="",Aout!CA60,CA61)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+IF(BA65="",Aout!K67,BA65)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+IF(BA68="",Aout!K68,BA68)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E74+Aout!H74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E75+Aout!H75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Sept'!EH51=0,"",'Retenue Sept'!EH51),AX76)</f>
        <v/>
      </c>
      <c r="AZ75" s="1772"/>
      <c r="BA75" s="918" t="str">
        <f>+IF(BA76="",IF('Retenue Sept'!EF51=0,"",'Retenue Sept'!EF51),BA76)</f>
        <v/>
      </c>
      <c r="BB75" s="919"/>
      <c r="BC75" s="920" t="str">
        <f>IF(BC76="",IF(+'Retenue Sept'!EG51=0,"",'Retenue Sept'!EG51),BC76)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Sept'!E50&amp;" hrs / "&amp;'Retenue Sept'!D50&amp;"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E76+Aout!H76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+E77+Aout!H77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IF(AR78="",+Aout!AL78,AR78)</f>
        <v>0</v>
      </c>
      <c r="AM78" s="2299"/>
      <c r="AN78" s="2299"/>
      <c r="AO78" s="2299"/>
      <c r="AQ78" s="420" t="s">
        <v>750</v>
      </c>
      <c r="AR78" s="2344"/>
      <c r="AS78" s="2344"/>
      <c r="AT78" s="2058" t="str">
        <f>IFERROR(VLOOKUP(AY78,'Liste des Libellés'!$A$4:$F$32,6,FALSE),"")</f>
        <v/>
      </c>
      <c r="AU78" s="2058"/>
      <c r="AV78" s="2058"/>
      <c r="AW78" s="2058"/>
      <c r="AX78" s="917"/>
      <c r="AY78" s="1772" t="str">
        <f>+IF(AX79="",IF('Retenue Sept'!EH53=0,"",'Retenue Sept'!EH53),AX79)</f>
        <v/>
      </c>
      <c r="AZ78" s="1772"/>
      <c r="BA78" s="918" t="str">
        <f>+IF(BA79="",IF('Retenue Sept'!EF53=0,"",'Retenue Sept'!EF53),BA79)</f>
        <v/>
      </c>
      <c r="BB78" s="919"/>
      <c r="BC78" s="920" t="str">
        <f>IF(BC79="",IF(+'Retenue Sept'!EG53=0,"",'Retenue Sept'!EG53),BC79)</f>
        <v/>
      </c>
      <c r="BD78" s="952"/>
      <c r="BE78" s="129"/>
      <c r="BF78" s="129"/>
      <c r="BG78" s="129"/>
      <c r="BH78" s="129"/>
      <c r="BI78" s="129"/>
      <c r="CA78" s="649" t="s">
        <v>1077</v>
      </c>
      <c r="CB78" s="1615"/>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84" t="s">
        <v>141</v>
      </c>
      <c r="B80" s="1984"/>
      <c r="C80" s="1984"/>
      <c r="D80" s="1984"/>
      <c r="E80" s="2366"/>
      <c r="F80" s="2324" t="str">
        <f>+Aout!F80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Sept'!EH55=0,"",'Retenue Sept'!EH55),AX82)</f>
        <v/>
      </c>
      <c r="AZ81" s="1772"/>
      <c r="BA81" s="918" t="str">
        <f>+IF(BA82="",IF('Retenue Sept'!EF55=0,"",'Retenue Sept'!EF55),BA82)</f>
        <v/>
      </c>
      <c r="BB81" s="919"/>
      <c r="BC81" s="920" t="str">
        <f>IF(BC82="",IF(+'Retenue Sept'!EG55=0,"",'Retenue Sept'!EG55),BC82)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Sept'!EH57=0,"",'Retenue Sept'!EH57),AX85)</f>
        <v/>
      </c>
      <c r="AZ84" s="1772"/>
      <c r="BA84" s="918" t="str">
        <f>+IF(BA85="",IF('Retenue Sept'!EF57=0,"",'Retenue Sept'!EF57),BA85)</f>
        <v/>
      </c>
      <c r="BB84" s="919"/>
      <c r="BC84" s="920" t="str">
        <f>IF(BC85="",IF(+'Retenue Sept'!EG57=0,"",'Retenue Sept'!EG57),BC85)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Aout!F86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IF(AR86="",+Aout!AH86,AR86)</f>
        <v>0</v>
      </c>
      <c r="AI86" s="1734"/>
      <c r="AJ86" s="1734"/>
      <c r="AK86" s="1735"/>
      <c r="AL86" s="1733">
        <f>IF(AS86="",+IF(DP8=52,+EI29+Aout!AL86,+EI25+Aout!AL86),+IF(DP8=52,+EI29+Aout!AL86+AS86,+EI25+Aout!AL86+AS86))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46295</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+Aout!AH87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+Aout!AH89+Aout!AH90</f>
        <v>0</v>
      </c>
      <c r="AI89" s="1734"/>
      <c r="AJ89" s="1734"/>
      <c r="AK89" s="1735"/>
      <c r="AL89" s="1733">
        <f>+Aout!AL89+Aout!AL90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+Aout!G99</f>
        <v>0</v>
      </c>
      <c r="H99" s="2411"/>
      <c r="I99" s="241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+Aout!G100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362026</v>
      </c>
      <c r="BA107" s="1450">
        <f>+$AT$4</f>
        <v>36</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372026</v>
      </c>
      <c r="BA108" s="1455">
        <f>+$AT$5</f>
        <v>37</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382026</v>
      </c>
      <c r="BA109" s="1455">
        <f>+$AT$6</f>
        <v>38</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392026</v>
      </c>
      <c r="BA110" s="1455">
        <f>+$AT$7</f>
        <v>39</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402026</v>
      </c>
      <c r="BA111" s="1455">
        <f>+$AT$8</f>
        <v>40</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362026</v>
      </c>
      <c r="BA142" s="1450">
        <f>+$AT$4</f>
        <v>36</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372026</v>
      </c>
      <c r="BA143" s="1455">
        <f>+$AT$5</f>
        <v>37</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382026</v>
      </c>
      <c r="BA144" s="1455">
        <f>+$AT$6</f>
        <v>38</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392026</v>
      </c>
      <c r="BA145" s="1455">
        <f>+$AT$7</f>
        <v>39</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402026</v>
      </c>
      <c r="BA146" s="1455">
        <f>+$AT$8</f>
        <v>40</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v0T2Fj5hBeRg+EM3jvRqCDjqB2BbxLa+7VQb5FqtBXQTRPWwCxvyFZNDojK7CqWo9fIlfah3AKw/08U4SlqSUA==" saltValue="MrejZ3nTF3Z8WGXOnt7qgw=="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458" priority="16">
      <formula>$U$14=0</formula>
    </cfRule>
  </conditionalFormatting>
  <conditionalFormatting sqref="B26:K26">
    <cfRule type="expression" dxfId="457" priority="26">
      <formula>$U$14=0</formula>
    </cfRule>
  </conditionalFormatting>
  <conditionalFormatting sqref="B29:K29">
    <cfRule type="cellIs" dxfId="456" priority="13" operator="greaterThan">
      <formula>0</formula>
    </cfRule>
  </conditionalFormatting>
  <conditionalFormatting sqref="C70:G70">
    <cfRule type="cellIs" dxfId="455" priority="7" operator="greaterThan">
      <formula>0</formula>
    </cfRule>
  </conditionalFormatting>
  <conditionalFormatting sqref="F87:I87">
    <cfRule type="cellIs" dxfId="454" priority="2" operator="greaterThan">
      <formula>0</formula>
    </cfRule>
  </conditionalFormatting>
  <conditionalFormatting sqref="F86:L86">
    <cfRule type="cellIs" dxfId="453" priority="3" operator="greaterThan">
      <formula>0</formula>
    </cfRule>
  </conditionalFormatting>
  <conditionalFormatting sqref="H65:J65">
    <cfRule type="expression" dxfId="452" priority="38">
      <formula>AND($AX$60="Oui",$AZ$62="")</formula>
    </cfRule>
    <cfRule type="expression" dxfId="451" priority="40">
      <formula>AND($AX$60="Oui",$AZ$62="hrs")</formula>
    </cfRule>
  </conditionalFormatting>
  <conditionalFormatting sqref="H66:J66">
    <cfRule type="expression" dxfId="450" priority="34">
      <formula>AND($AX$61="Oui",$AZ$63="")</formula>
    </cfRule>
    <cfRule type="expression" dxfId="449" priority="35">
      <formula>AND($AX$61="Oui",$AZ$63="jrs")</formula>
    </cfRule>
    <cfRule type="expression" dxfId="448" priority="36">
      <formula>AND($BW$41="Non",$AX$61="Non")</formula>
    </cfRule>
    <cfRule type="expression" dxfId="447" priority="37">
      <formula>AND($BW$41="Oui",$AX$61="Non")</formula>
    </cfRule>
  </conditionalFormatting>
  <conditionalFormatting sqref="H70:J71">
    <cfRule type="cellIs" dxfId="446" priority="6" operator="greaterThan">
      <formula>0</formula>
    </cfRule>
  </conditionalFormatting>
  <conditionalFormatting sqref="H65:K66">
    <cfRule type="cellIs" dxfId="445" priority="33" operator="equal">
      <formula>0</formula>
    </cfRule>
  </conditionalFormatting>
  <conditionalFormatting sqref="H67:M68">
    <cfRule type="cellIs" dxfId="444" priority="54" operator="equal">
      <formula>0</formula>
    </cfRule>
  </conditionalFormatting>
  <conditionalFormatting sqref="H69:M69">
    <cfRule type="cellIs" dxfId="443" priority="8" operator="greaterThan">
      <formula>0</formula>
    </cfRule>
  </conditionalFormatting>
  <conditionalFormatting sqref="H40:Z60">
    <cfRule type="cellIs" dxfId="442" priority="32" operator="equal">
      <formula>0</formula>
    </cfRule>
  </conditionalFormatting>
  <conditionalFormatting sqref="K81:K82 L82:T83 K88:T88 K89:Q90">
    <cfRule type="expression" dxfId="441" priority="515">
      <formula>$EO$6="OUI"</formula>
    </cfRule>
  </conditionalFormatting>
  <conditionalFormatting sqref="K87">
    <cfRule type="expression" dxfId="440" priority="4">
      <formula>$EO$6="OUI"</formula>
    </cfRule>
  </conditionalFormatting>
  <conditionalFormatting sqref="L18:O19">
    <cfRule type="cellIs" dxfId="439" priority="20" operator="equal">
      <formula>0</formula>
    </cfRule>
  </conditionalFormatting>
  <conditionalFormatting sqref="L21:O22">
    <cfRule type="cellIs" dxfId="438" priority="31" operator="equal">
      <formula>0</formula>
    </cfRule>
  </conditionalFormatting>
  <conditionalFormatting sqref="L27:O28">
    <cfRule type="cellIs" dxfId="437" priority="14" operator="greaterThan">
      <formula>0</formula>
    </cfRule>
  </conditionalFormatting>
  <conditionalFormatting sqref="L30:O32">
    <cfRule type="cellIs" dxfId="436" priority="12" operator="greaterThan">
      <formula>0</formula>
    </cfRule>
  </conditionalFormatting>
  <conditionalFormatting sqref="L34:O34">
    <cfRule type="cellIs" dxfId="435" priority="10" operator="greaterThan">
      <formula>0</formula>
    </cfRule>
  </conditionalFormatting>
  <conditionalFormatting sqref="L23:S24">
    <cfRule type="cellIs" dxfId="434" priority="15" operator="greaterThan">
      <formula>0</formula>
    </cfRule>
  </conditionalFormatting>
  <conditionalFormatting sqref="L25:S26">
    <cfRule type="cellIs" dxfId="433" priority="25" operator="equal">
      <formula>0</formula>
    </cfRule>
    <cfRule type="containsErrors" dxfId="432" priority="24">
      <formula>ISERROR(L25)</formula>
    </cfRule>
  </conditionalFormatting>
  <conditionalFormatting sqref="M87:T87">
    <cfRule type="expression" dxfId="431" priority="512">
      <formula>$EO$6="OUI"</formula>
    </cfRule>
  </conditionalFormatting>
  <conditionalFormatting sqref="N65:P71">
    <cfRule type="cellIs" dxfId="430" priority="60" operator="equal">
      <formula>0</formula>
    </cfRule>
  </conditionalFormatting>
  <conditionalFormatting sqref="O86">
    <cfRule type="expression" dxfId="429" priority="516">
      <formula>EO6="OUI"</formula>
    </cfRule>
  </conditionalFormatting>
  <conditionalFormatting sqref="O14:T14">
    <cfRule type="expression" dxfId="428" priority="209">
      <formula>$U$14=0</formula>
    </cfRule>
  </conditionalFormatting>
  <conditionalFormatting sqref="P20">
    <cfRule type="expression" dxfId="427" priority="17">
      <formula>$DP$14=1</formula>
    </cfRule>
  </conditionalFormatting>
  <conditionalFormatting sqref="P18:S18">
    <cfRule type="expression" dxfId="426" priority="21">
      <formula>$L$18=0</formula>
    </cfRule>
  </conditionalFormatting>
  <conditionalFormatting sqref="P19:S19">
    <cfRule type="expression" dxfId="425" priority="19">
      <formula>$L$19=0</formula>
    </cfRule>
  </conditionalFormatting>
  <conditionalFormatting sqref="P21:S21">
    <cfRule type="expression" dxfId="424" priority="30">
      <formula>$L$21=0</formula>
    </cfRule>
  </conditionalFormatting>
  <conditionalFormatting sqref="P22:S22">
    <cfRule type="expression" dxfId="423" priority="29">
      <formula>$L$22=0</formula>
    </cfRule>
  </conditionalFormatting>
  <conditionalFormatting sqref="R87:T87">
    <cfRule type="expression" dxfId="422" priority="511">
      <formula>$EO$7="OUI"</formula>
    </cfRule>
  </conditionalFormatting>
  <conditionalFormatting sqref="R89:T89">
    <cfRule type="expression" dxfId="421" priority="507">
      <formula>$EO$6="OUI"</formula>
    </cfRule>
    <cfRule type="expression" dxfId="420" priority="506">
      <formula>$EO$8="OUI"</formula>
    </cfRule>
  </conditionalFormatting>
  <conditionalFormatting sqref="R90:T90">
    <cfRule type="expression" dxfId="419" priority="514">
      <formula>$EO$6="OUI"</formula>
    </cfRule>
    <cfRule type="expression" dxfId="418" priority="513">
      <formula>$EO$7="OUI"</formula>
    </cfRule>
  </conditionalFormatting>
  <conditionalFormatting sqref="T20">
    <cfRule type="expression" dxfId="417" priority="18">
      <formula>$DP$14=1</formula>
    </cfRule>
  </conditionalFormatting>
  <conditionalFormatting sqref="T30:T32">
    <cfRule type="cellIs" dxfId="416" priority="28" operator="equal">
      <formula>0</formula>
    </cfRule>
  </conditionalFormatting>
  <conditionalFormatting sqref="T18:W19">
    <cfRule type="cellIs" dxfId="415" priority="22" operator="equal">
      <formula>0</formula>
    </cfRule>
  </conditionalFormatting>
  <conditionalFormatting sqref="T21:W28">
    <cfRule type="cellIs" dxfId="414" priority="27" operator="equal">
      <formula>0</formula>
    </cfRule>
  </conditionalFormatting>
  <conditionalFormatting sqref="T29:W29">
    <cfRule type="cellIs" dxfId="413" priority="11" operator="greaterThan">
      <formula>0</formula>
    </cfRule>
  </conditionalFormatting>
  <conditionalFormatting sqref="T33:W33">
    <cfRule type="cellIs" dxfId="412" priority="9" operator="greaterThan">
      <formula>0</formula>
    </cfRule>
  </conditionalFormatting>
  <conditionalFormatting sqref="T34:W34">
    <cfRule type="cellIs" dxfId="411" priority="23" operator="equal">
      <formula>0</formula>
    </cfRule>
  </conditionalFormatting>
  <conditionalFormatting sqref="U14:X14">
    <cfRule type="cellIs" dxfId="410" priority="207" operator="equal">
      <formula>0</formula>
    </cfRule>
  </conditionalFormatting>
  <conditionalFormatting sqref="V80:AF81">
    <cfRule type="cellIs" dxfId="409" priority="1" operator="notEqual">
      <formula>"Commentaires :"</formula>
    </cfRule>
  </conditionalFormatting>
  <conditionalFormatting sqref="Y73:AO75">
    <cfRule type="expression" dxfId="408" priority="64">
      <formula>$DP$8=52</formula>
    </cfRule>
  </conditionalFormatting>
  <conditionalFormatting sqref="AB20:AC50">
    <cfRule type="expression" dxfId="407" priority="430">
      <formula>VLOOKUP(AB20,base_feries,1,FALSE)</formula>
    </cfRule>
    <cfRule type="expression" dxfId="406" priority="429">
      <formula>OR(WEEKDAY(AB20,2)=6,WEEKDAY(AB20,2)=7)</formula>
    </cfRule>
    <cfRule type="expression" dxfId="405" priority="428">
      <formula>WEEKDAY(AB20,2)=7</formula>
    </cfRule>
  </conditionalFormatting>
  <conditionalFormatting sqref="AD20:AF50">
    <cfRule type="expression" dxfId="404" priority="299">
      <formula>FC20="oui"</formula>
    </cfRule>
    <cfRule type="cellIs" dxfId="403" priority="300" operator="equal">
      <formula>0</formula>
    </cfRule>
  </conditionalFormatting>
  <conditionalFormatting sqref="AG20:AI50">
    <cfRule type="expression" dxfId="402" priority="301">
      <formula>FC20="oui"</formula>
    </cfRule>
  </conditionalFormatting>
  <conditionalFormatting sqref="AH83:AH84">
    <cfRule type="cellIs" dxfId="401" priority="525" stopIfTrue="1" operator="equal">
      <formula>0</formula>
    </cfRule>
  </conditionalFormatting>
  <conditionalFormatting sqref="AH89:AH91">
    <cfRule type="cellIs" dxfId="400" priority="69" stopIfTrue="1" operator="equal">
      <formula>0</formula>
    </cfRule>
  </conditionalFormatting>
  <conditionalFormatting sqref="AH93:AK93">
    <cfRule type="cellIs" dxfId="399" priority="517" operator="equal">
      <formula>0</formula>
    </cfRule>
  </conditionalFormatting>
  <conditionalFormatting sqref="AH86:AL87">
    <cfRule type="cellIs" dxfId="398" priority="65" stopIfTrue="1" operator="equal">
      <formula>0</formula>
    </cfRule>
  </conditionalFormatting>
  <conditionalFormatting sqref="AH92:AO92">
    <cfRule type="cellIs" dxfId="397" priority="239" operator="lessThan">
      <formula>-0.001</formula>
    </cfRule>
  </conditionalFormatting>
  <conditionalFormatting sqref="AJ20:AL50">
    <cfRule type="expression" dxfId="396" priority="302">
      <formula>FC20="oui"</formula>
    </cfRule>
  </conditionalFormatting>
  <conditionalFormatting sqref="AL83">
    <cfRule type="cellIs" dxfId="395" priority="524" stopIfTrue="1" operator="equal">
      <formula>0</formula>
    </cfRule>
  </conditionalFormatting>
  <conditionalFormatting sqref="AL89:AL91">
    <cfRule type="cellIs" dxfId="394" priority="68" stopIfTrue="1" operator="equal">
      <formula>0</formula>
    </cfRule>
  </conditionalFormatting>
  <conditionalFormatting sqref="AL93">
    <cfRule type="cellIs" dxfId="393" priority="523" stopIfTrue="1" operator="equal">
      <formula>0</formula>
    </cfRule>
  </conditionalFormatting>
  <conditionalFormatting sqref="AM20:AO50">
    <cfRule type="expression" dxfId="392" priority="303">
      <formula>FC20="oui"</formula>
    </cfRule>
  </conditionalFormatting>
  <conditionalFormatting sqref="AP20:AP50">
    <cfRule type="expression" dxfId="391" priority="146">
      <formula>BL20="F"</formula>
    </cfRule>
    <cfRule type="expression" dxfId="390" priority="150">
      <formula>BL20="B"</formula>
    </cfRule>
    <cfRule type="expression" dxfId="389" priority="149">
      <formula>BL20="C"</formula>
    </cfRule>
    <cfRule type="expression" dxfId="388" priority="148">
      <formula>BL20="D"</formula>
    </cfRule>
    <cfRule type="expression" dxfId="387" priority="147">
      <formula>BL20="E"</formula>
    </cfRule>
    <cfRule type="expression" dxfId="386" priority="144">
      <formula>BL20="H"</formula>
    </cfRule>
    <cfRule type="expression" dxfId="385" priority="145">
      <formula>BL20="G"</formula>
    </cfRule>
  </conditionalFormatting>
  <conditionalFormatting sqref="AQ62:AU62">
    <cfRule type="expression" dxfId="384" priority="46">
      <formula>$AT$60="Non"</formula>
    </cfRule>
  </conditionalFormatting>
  <conditionalFormatting sqref="AQ63:AU63">
    <cfRule type="expression" dxfId="383" priority="43">
      <formula>$AT$61="Non"</formula>
    </cfRule>
  </conditionalFormatting>
  <conditionalFormatting sqref="AR20:AR50">
    <cfRule type="expression" dxfId="382" priority="181">
      <formula>FC20="oui"</formula>
    </cfRule>
    <cfRule type="expression" dxfId="381" priority="173">
      <formula>AB20=""</formula>
    </cfRule>
    <cfRule type="expression" dxfId="380" priority="185">
      <formula>FN20=10</formula>
    </cfRule>
    <cfRule type="expression" dxfId="379" priority="189">
      <formula>AND(AR20&lt;&gt;"",AZ20&lt;&gt;"")</formula>
    </cfRule>
  </conditionalFormatting>
  <conditionalFormatting sqref="AR17:BJ50">
    <cfRule type="expression" dxfId="378" priority="49">
      <formula>$EX$13="oui"</formula>
    </cfRule>
  </conditionalFormatting>
  <conditionalFormatting sqref="AS51:BJ51 DK51">
    <cfRule type="expression" dxfId="377" priority="134">
      <formula>$EX$13="oui"</formula>
    </cfRule>
  </conditionalFormatting>
  <conditionalFormatting sqref="AT4:AT10">
    <cfRule type="expression" dxfId="376" priority="451">
      <formula>AU4="B"</formula>
    </cfRule>
    <cfRule type="expression" dxfId="375" priority="450">
      <formula>AU4="C"</formula>
    </cfRule>
    <cfRule type="expression" dxfId="374" priority="445">
      <formula>AU4="H"</formula>
    </cfRule>
    <cfRule type="expression" dxfId="373" priority="446">
      <formula>AU4="G"</formula>
    </cfRule>
    <cfRule type="expression" dxfId="372" priority="447">
      <formula>AU4="F"</formula>
    </cfRule>
    <cfRule type="expression" dxfId="371" priority="448">
      <formula>AU4="E"</formula>
    </cfRule>
    <cfRule type="expression" dxfId="370" priority="449">
      <formula>AU4="D"</formula>
    </cfRule>
  </conditionalFormatting>
  <conditionalFormatting sqref="AT20:AT50">
    <cfRule type="expression" dxfId="369" priority="184">
      <formula>FC20="oui"</formula>
    </cfRule>
    <cfRule type="expression" dxfId="368" priority="180">
      <formula>AB20=""</formula>
    </cfRule>
  </conditionalFormatting>
  <conditionalFormatting sqref="AU4:AU10">
    <cfRule type="expression" dxfId="367" priority="380">
      <formula>AT4=""</formula>
    </cfRule>
    <cfRule type="expression" dxfId="366" priority="381">
      <formula>FG4="rouge"</formula>
    </cfRule>
  </conditionalFormatting>
  <conditionalFormatting sqref="AU20:AU50">
    <cfRule type="expression" dxfId="365" priority="188">
      <formula>FC20="oui"</formula>
    </cfRule>
    <cfRule type="expression" dxfId="364" priority="179">
      <formula>AB20=""</formula>
    </cfRule>
  </conditionalFormatting>
  <conditionalFormatting sqref="AW20:AX50">
    <cfRule type="expression" dxfId="363" priority="191">
      <formula>WEEKDAY(AW20,2)=7</formula>
    </cfRule>
    <cfRule type="expression" dxfId="362" priority="193">
      <formula>VLOOKUP(AW20,base_feries,1,FALSE)</formula>
    </cfRule>
    <cfRule type="expression" dxfId="361" priority="192">
      <formula>OR(WEEKDAY(AW20,2)=6,WEEKDAY(AW20,2)=7)</formula>
    </cfRule>
  </conditionalFormatting>
  <conditionalFormatting sqref="AX62:AZ62">
    <cfRule type="expression" dxfId="360" priority="45">
      <formula>$AX$60="Non"</formula>
    </cfRule>
  </conditionalFormatting>
  <conditionalFormatting sqref="AX63:AZ63">
    <cfRule type="expression" dxfId="359" priority="42">
      <formula>$AX$61="Non"</formula>
    </cfRule>
  </conditionalFormatting>
  <conditionalFormatting sqref="AZ20:AZ50">
    <cfRule type="expression" dxfId="358" priority="51">
      <formula>FC20="oui"</formula>
    </cfRule>
    <cfRule type="expression" dxfId="357" priority="50">
      <formula>AB20=""</formula>
    </cfRule>
    <cfRule type="expression" dxfId="356" priority="52">
      <formula>FL20=10</formula>
    </cfRule>
    <cfRule type="expression" dxfId="355" priority="53">
      <formula>AND(AR20&lt;&gt;"",AZ20&lt;&gt;"")</formula>
    </cfRule>
  </conditionalFormatting>
  <conditionalFormatting sqref="BA20:BA50">
    <cfRule type="expression" dxfId="354" priority="178">
      <formula>AB20=""</formula>
    </cfRule>
    <cfRule type="expression" dxfId="353" priority="182">
      <formula>FC20="oui"</formula>
    </cfRule>
  </conditionalFormatting>
  <conditionalFormatting sqref="BA62">
    <cfRule type="expression" dxfId="352" priority="44">
      <formula>$BA$60="Non"</formula>
    </cfRule>
  </conditionalFormatting>
  <conditionalFormatting sqref="BA63">
    <cfRule type="expression" dxfId="351" priority="41">
      <formula>$BA$61="Non"</formula>
    </cfRule>
  </conditionalFormatting>
  <conditionalFormatting sqref="BA102 BA103:BH115">
    <cfRule type="expression" dxfId="350" priority="66">
      <formula>$DP$8=52</formula>
    </cfRule>
  </conditionalFormatting>
  <conditionalFormatting sqref="BA137 BA138:BH149">
    <cfRule type="expression" dxfId="349" priority="67">
      <formula>$DP$8=52</formula>
    </cfRule>
  </conditionalFormatting>
  <conditionalFormatting sqref="BC20:BC55">
    <cfRule type="expression" dxfId="348" priority="175">
      <formula>AJ20=""</formula>
    </cfRule>
    <cfRule type="cellIs" dxfId="347" priority="187" operator="equal">
      <formula>0</formula>
    </cfRule>
  </conditionalFormatting>
  <conditionalFormatting sqref="BC112:BH112">
    <cfRule type="expression" dxfId="346" priority="95">
      <formula>$BA$112=""</formula>
    </cfRule>
  </conditionalFormatting>
  <conditionalFormatting sqref="BC147:BH147">
    <cfRule type="expression" dxfId="345" priority="94">
      <formula>$BA$112=""</formula>
    </cfRule>
  </conditionalFormatting>
  <conditionalFormatting sqref="BD20:BD50">
    <cfRule type="expression" dxfId="344" priority="176">
      <formula>FL20="oui"</formula>
    </cfRule>
  </conditionalFormatting>
  <conditionalFormatting sqref="BE20:BE50">
    <cfRule type="expression" dxfId="343" priority="186">
      <formula>OR(BE20=0,BE20="")</formula>
    </cfRule>
  </conditionalFormatting>
  <conditionalFormatting sqref="BH20:BH50">
    <cfRule type="expression" dxfId="342" priority="135">
      <formula>AO20=""</formula>
    </cfRule>
    <cfRule type="cellIs" dxfId="341" priority="172" operator="equal">
      <formula>0</formula>
    </cfRule>
  </conditionalFormatting>
  <conditionalFormatting sqref="BI9:BI14">
    <cfRule type="cellIs" dxfId="340" priority="101" operator="equal">
      <formula>0</formula>
    </cfRule>
  </conditionalFormatting>
  <conditionalFormatting sqref="BQ54">
    <cfRule type="expression" dxfId="339" priority="425">
      <formula>$BW$41="Non"</formula>
    </cfRule>
  </conditionalFormatting>
  <conditionalFormatting sqref="BQ36:CA36">
    <cfRule type="expression" dxfId="338" priority="426">
      <formula>$BW$41="Oui"</formula>
    </cfRule>
  </conditionalFormatting>
  <conditionalFormatting sqref="BS21:CA34">
    <cfRule type="expression" dxfId="337" priority="81">
      <formula>$EO$12="NON"</formula>
    </cfRule>
  </conditionalFormatting>
  <conditionalFormatting sqref="BY28:BY33">
    <cfRule type="notContainsBlanks" dxfId="336" priority="82">
      <formula>LEN(TRIM(BY28))&gt;0</formula>
    </cfRule>
  </conditionalFormatting>
  <conditionalFormatting sqref="BY56">
    <cfRule type="expression" dxfId="335" priority="472">
      <formula>$BW$41="Oui"</formula>
    </cfRule>
    <cfRule type="duplicateValues" dxfId="334" priority="473"/>
  </conditionalFormatting>
  <conditionalFormatting sqref="BY60">
    <cfRule type="expression" dxfId="333" priority="466">
      <formula>$BW$41="Oui"</formula>
    </cfRule>
    <cfRule type="cellIs" dxfId="332" priority="467" operator="lessThan">
      <formula>$BY$59</formula>
    </cfRule>
    <cfRule type="duplicateValues" dxfId="331" priority="468"/>
  </conditionalFormatting>
  <conditionalFormatting sqref="CA56">
    <cfRule type="expression" dxfId="329" priority="276">
      <formula>AND($CA$56&lt;$CE$47,$BW$41="Non")</formula>
    </cfRule>
  </conditionalFormatting>
  <conditionalFormatting sqref="CE53:CE54">
    <cfRule type="expression" dxfId="328" priority="153">
      <formula>$BW$41="Non"</formula>
    </cfRule>
  </conditionalFormatting>
  <conditionalFormatting sqref="CE57:CE58">
    <cfRule type="expression" dxfId="327" priority="152">
      <formula>$BW$41="Non"</formula>
    </cfRule>
  </conditionalFormatting>
  <conditionalFormatting sqref="CE3:CF3">
    <cfRule type="expression" dxfId="326" priority="113">
      <formula>AND($CE$3="",$CE$5&lt;&gt;"")</formula>
    </cfRule>
    <cfRule type="expression" dxfId="325" priority="114">
      <formula>$CD$3=""</formula>
    </cfRule>
    <cfRule type="expression" dxfId="324" priority="112">
      <formula>$FX$3="vrai"</formula>
    </cfRule>
  </conditionalFormatting>
  <conditionalFormatting sqref="CE5:CF5">
    <cfRule type="expression" dxfId="323" priority="119">
      <formula>$FX$5="vrai"</formula>
    </cfRule>
    <cfRule type="expression" dxfId="322" priority="121">
      <formula>OR(AND(CE5&lt;&gt;0,CE5&lt;AJ4),AND(CE5&lt;&gt;0,CE5&gt;EG5),AND(CE5&lt;&gt;0,CE5&lt;AB20))</formula>
    </cfRule>
    <cfRule type="expression" dxfId="321" priority="120">
      <formula>CD5=""</formula>
    </cfRule>
  </conditionalFormatting>
  <conditionalFormatting sqref="CE8:CF8">
    <cfRule type="expression" dxfId="320" priority="117">
      <formula>AND(CE8&lt;&gt;0,CE8&lt;AJ4)</formula>
    </cfRule>
    <cfRule type="expression" dxfId="319" priority="115">
      <formula>$FX$8="vrai"</formula>
    </cfRule>
    <cfRule type="expression" dxfId="318" priority="116">
      <formula>CD8=""</formula>
    </cfRule>
    <cfRule type="cellIs" dxfId="317" priority="118" operator="greaterThan">
      <formula>$CE$5</formula>
    </cfRule>
  </conditionalFormatting>
  <conditionalFormatting sqref="CF47">
    <cfRule type="notContainsBlanks" dxfId="316" priority="412">
      <formula>LEN(TRIM(CF47))&gt;0</formula>
    </cfRule>
  </conditionalFormatting>
  <conditionalFormatting sqref="CF49">
    <cfRule type="notContainsBlanks" dxfId="315" priority="411">
      <formula>LEN(TRIM(CF49))&gt;0</formula>
    </cfRule>
  </conditionalFormatting>
  <conditionalFormatting sqref="CF53:CF54">
    <cfRule type="expression" dxfId="313" priority="156">
      <formula>$BW$41="Non"</formula>
    </cfRule>
  </conditionalFormatting>
  <conditionalFormatting sqref="CF57:CF58">
    <cfRule type="expression" dxfId="310" priority="154">
      <formula>$BW$41="Non"</formula>
    </cfRule>
  </conditionalFormatting>
  <conditionalFormatting sqref="CG8:CI8">
    <cfRule type="expression" dxfId="309" priority="248">
      <formula>CD8=""</formula>
    </cfRule>
  </conditionalFormatting>
  <conditionalFormatting sqref="GW16:HR16">
    <cfRule type="expression" dxfId="308" priority="402">
      <formula>$AE$123="NON"</formula>
    </cfRule>
  </conditionalFormatting>
  <conditionalFormatting sqref="HG16:HJ16">
    <cfRule type="expression" dxfId="307" priority="4914">
      <formula>AR123&gt;0</formula>
    </cfRule>
  </conditionalFormatting>
  <conditionalFormatting sqref="HK16:HN16">
    <cfRule type="expression" dxfId="306" priority="4915">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100-000000000000}">
      <formula1>0</formula1>
      <formula2>0</formula2>
    </dataValidation>
    <dataValidation type="list" allowBlank="1" showInputMessage="1" showErrorMessage="1" sqref="F80:H80" xr:uid="{00000000-0002-0000-2100-000001000000}">
      <formula1>"Chèque,Espèce,Virement,Pajemploi +,CESU"</formula1>
    </dataValidation>
    <dataValidation type="list" allowBlank="1" showInputMessage="1" showErrorMessage="1" sqref="F82:H82" xr:uid="{00000000-0002-0000-2100-000002000000}">
      <formula1>"' ,Chèque,Espèce,Virement,Pajemploi +,CESU"</formula1>
    </dataValidation>
    <dataValidation type="list" allowBlank="1" showInputMessage="1" showErrorMessage="1" sqref="AU4:AU10" xr:uid="{00000000-0002-0000-2100-000003000000}">
      <formula1>"A,B,C,D,E,F,G,H"</formula1>
    </dataValidation>
    <dataValidation showInputMessage="1" showErrorMessage="1" sqref="BY6" xr:uid="{00000000-0002-0000-2100-000004000000}"/>
    <dataValidation type="list" allowBlank="1" showInputMessage="1" showErrorMessage="1" sqref="L123:M123 L125:M125 AI127:AJ127 AJ125:AK125 CC132 BF20:BF50" xr:uid="{00000000-0002-0000-2100-000006000000}">
      <formula1>"OUI,NON"</formula1>
    </dataValidation>
    <dataValidation type="list" allowBlank="1" showInputMessage="1" showErrorMessage="1" sqref="BX41" xr:uid="{00000000-0002-0000-2100-000007000000}">
      <formula1>Table_utilisation_tab_entretien</formula1>
    </dataValidation>
    <dataValidation type="list" showInputMessage="1" showErrorMessage="1" sqref="AR14:AZ14" xr:uid="{00000000-0002-0000-2100-000009000000}">
      <formula1>calendrier_bs</formula1>
    </dataValidation>
    <dataValidation type="list" showInputMessage="1" showErrorMessage="1" sqref="BZ118" xr:uid="{00000000-0002-0000-2100-00000A000000}">
      <formula1>"Scénario 1,Scénario 2,Scénario 3,Scénario 4,"</formula1>
    </dataValidation>
    <dataValidation type="list" allowBlank="1" showInputMessage="1" showErrorMessage="1" sqref="BZ2" xr:uid="{00000000-0002-0000-2100-00000B000000}">
      <formula1>Source_liste_fiche2</formula1>
    </dataValidation>
    <dataValidation type="list" allowBlank="1" showInputMessage="1" sqref="CF58 CF54 DJ51:DK52" xr:uid="{00000000-0002-0000-2100-00000C000000}">
      <formula1>"1,2,3,4,5,6,7,8,9,10,11,12,13"</formula1>
    </dataValidation>
    <dataValidation allowBlank="1" showInputMessage="1" sqref="BY56 BY60 CE54 CE58" xr:uid="{00000000-0002-0000-2100-00000D000000}"/>
    <dataValidation type="list" allowBlank="1" showInputMessage="1" sqref="BY57" xr:uid="{00000000-0002-0000-2100-00000E000000}">
      <formula1>"0,1,2,3,4,5,6,7,8,9,10,11,12,13,14,24"</formula1>
    </dataValidation>
    <dataValidation type="list" allowBlank="1" showInputMessage="1" showErrorMessage="1" sqref="AX76:AY76 AX79:AY79 AX82:AY82 AX85:AY85" xr:uid="{00000000-0002-0000-2100-00000F000000}">
      <formula1>liste_attestation_modif_pole</formula1>
    </dataValidation>
    <dataValidation type="list" allowBlank="1" showInputMessage="1" showErrorMessage="1" sqref="CE3:CF3" xr:uid="{00000000-0002-0000-2100-000010000000}">
      <formula1>motif_rupture</formula1>
    </dataValidation>
    <dataValidation type="list" showInputMessage="1" showErrorMessage="1" error="Vous devez choisir entre :_x000a_ - cellule vide_x000a_ - CP Acq_x000a_ - CP Ant" sqref="AR20:AR50" xr:uid="{00000000-0002-0000-2100-000011000000}">
      <formula1>Source_pose_CP</formula1>
    </dataValidation>
    <dataValidation type="list" allowBlank="1" showInputMessage="1" showErrorMessage="1" sqref="BA60:BA61 AT60:AT61 AX60:AY61" xr:uid="{760420DD-ADF9-42BB-BEE8-CAE84EBE9369}">
      <formula1>"Non,Oui"</formula1>
    </dataValidation>
    <dataValidation allowBlank="1" showInputMessage="1" showErrorMessage="1" prompt="Vous pouvez choisir avec la petite flèche à droite &quot;Salaires heures normales réelles &quot;" sqref="A18:K18" xr:uid="{809BF3CB-B8C1-44FD-91D6-1AC228AA7120}"/>
    <dataValidation type="list" errorStyle="information" allowBlank="1" showInputMessage="1" showErrorMessage="1" error="Faites Entrée pour valider le nombre d'heures" sqref="AZ20:AZ50" xr:uid="{822EA39D-861E-4CE0-8F1D-27725307BBD3}">
      <formula1>liste_motif</formula1>
    </dataValidation>
    <dataValidation type="list" allowBlank="1" showInputMessage="1" showErrorMessage="1" sqref="AZ62:AZ63" xr:uid="{CED94F56-10BD-4F1B-AFEF-5DB1F2150101}">
      <formula1>liste_hrs_jrs</formula1>
    </dataValidation>
    <dataValidation type="list" allowBlank="1" showInputMessage="1" showErrorMessage="1" sqref="AO131:AP133 AH133:AI133" xr:uid="{F7486C76-7225-41D7-BDAC-3B33961EAA51}">
      <formula1>"Oui,Non"</formula1>
    </dataValidation>
    <dataValidation type="list" allowBlank="1" showInputMessage="1" showErrorMessage="1" sqref="AJ135:AK135" xr:uid="{B7C88502-1CBB-4418-98F2-DB8904100E2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394358D-FBD9-4DDC-B0C4-932738E35983}">
            <xm:f>Mars!$BY$8="OUI"</xm:f>
            <x14:dxf>
              <font>
                <color theme="0"/>
              </font>
              <fill>
                <patternFill>
                  <bgColor theme="0"/>
                </patternFill>
              </fill>
            </x14:dxf>
          </x14:cfRule>
          <xm:sqref>BZ8</xm:sqref>
        </x14:conditionalFormatting>
        <x14:conditionalFormatting xmlns:xm="http://schemas.microsoft.com/office/excel/2006/main">
          <x14:cfRule type="expression" priority="157" id="{75072D2D-4055-444D-92C9-D74EAC806EB4}">
            <xm:f>AND($EO$11="NON",$CC$44=S.CAL!$BC$4)</xm:f>
            <x14:dxf>
              <fill>
                <patternFill>
                  <bgColor rgb="FFFF0000"/>
                </patternFill>
              </fill>
            </x14:dxf>
          </x14:cfRule>
          <xm:sqref>CF53:CF54</xm:sqref>
        </x14:conditionalFormatting>
        <x14:conditionalFormatting xmlns:xm="http://schemas.microsoft.com/office/excel/2006/main">
          <x14:cfRule type="expression" priority="151" id="{BAB30322-BAD3-4BB2-BFAB-E5CCD7C434AE}">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8A374FC-B1BF-4397-B317-A2FEE108EA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13000000}">
          <x14:formula1>
            <xm:f>S.CAL!$V$2:$V$4</xm:f>
          </x14:formula1>
          <xm:sqref>BZ8 AN123:AO123 AN129:AO129</xm:sqref>
        </x14:dataValidation>
        <x14:dataValidation type="list" allowBlank="1" showInputMessage="1" showErrorMessage="1" xr:uid="{00000000-0002-0000-2100-000014000000}">
          <x14:formula1>
            <xm:f>S.CAL!$S$2:$S$4</xm:f>
          </x14:formula1>
          <xm:sqref>BZ6</xm:sqref>
        </x14:dataValidation>
        <x14:dataValidation type="list" allowBlank="1" showInputMessage="1" showErrorMessage="1" xr:uid="{F2404CC1-2703-4A28-A531-4770D2507C65}">
          <x14:formula1>
            <xm:f>S.CAL!$BC$2:$BC$5</xm:f>
          </x14:formula1>
          <xm:sqref>CC45:CD45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DATE(YEAR(Janvier!X3),MONTH(Janvier!X3)+9,DAY(Janvier!X3))</f>
        <v>46296</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40</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IF(Septembre!BY8="OUI","Contrat fini",BY2)</f>
        <v>Fiche info</v>
      </c>
      <c r="EF4" s="315" t="s">
        <v>1028</v>
      </c>
      <c r="EG4" s="737">
        <f>+Identification!B95</f>
        <v>0</v>
      </c>
      <c r="FG4" s="315" t="str">
        <f>IFERROR(IF(VLOOKUP(AT4,Septembre!$AT$4:$AU$10,2,FALSE)&lt;&gt;Octobre!AU4,"rouge","ok"),0)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46296</v>
      </c>
      <c r="Y5" s="2206"/>
      <c r="Z5" s="1743" t="s">
        <v>451</v>
      </c>
      <c r="AA5" s="1743"/>
      <c r="AB5" s="2206">
        <f>+IF(AND(DATE(YEAR(EG4),MONTH(EG4),DAY(EG4))&gt;=DATE(YEAR(X3),MONTH(X3),DAY(X3)),DATE(YEAR(EG4),MONTH(EG4),DAY(EG4))&lt;=DATE(YEAR(X3),MONTH(X3),DAY(EOMONTH(X3,0)))),EG4,EOMONTH(X3,0))</f>
        <v>46326</v>
      </c>
      <c r="AC5" s="2210"/>
      <c r="AP5" s="209"/>
      <c r="AQ5" s="318"/>
      <c r="AR5" s="209"/>
      <c r="AS5" s="210"/>
      <c r="AT5" s="301">
        <f t="array" ref="AT5">IFERROR(INDEX($BK$20:$BK$50,MATCH(0,INDEX(COUNTIF($AT$3:AT4,$BK$20:$BK$50),0,0),0)),"")</f>
        <v>41</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46326</v>
      </c>
      <c r="FG5" s="315">
        <f>IFERROR(IF(VLOOKUP(AT5,Septembre!$AT$4:$AU$10,2,FALSE)&lt;&gt;Octobre!AU5,"rouge","ok"),0)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42</v>
      </c>
      <c r="AU6" s="1122" t="s">
        <v>226</v>
      </c>
      <c r="BQ6" s="578"/>
      <c r="BR6" s="578"/>
      <c r="BS6" s="578"/>
      <c r="BT6" s="578"/>
      <c r="BU6" s="578"/>
      <c r="BV6" s="578"/>
      <c r="BW6" s="578"/>
      <c r="BX6" s="579" t="s">
        <v>509</v>
      </c>
      <c r="BY6" s="580" t="str">
        <f>+IF(BZ6="",Septembre!BY6,BZ6)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IFERROR(IF(VLOOKUP(AT6,Septembre!$AT$4:$AU$10,2,FALSE)&lt;&gt;Octobre!AU6,"rouge","ok"),0)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43</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IFERROR(IF(VLOOKUP(AT7,Septembre!$AT$4:$AU$10,2,FALSE)&lt;&gt;Octobre!AU7,"rouge","ok"),0)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44</v>
      </c>
      <c r="AU8" s="1122" t="s">
        <v>226</v>
      </c>
      <c r="BG8" s="240"/>
      <c r="BH8" s="1439" t="str">
        <f>+AT3</f>
        <v>N° Sem.</v>
      </c>
      <c r="BI8" s="1440" t="s">
        <v>1552</v>
      </c>
      <c r="BQ8" s="1985" t="s">
        <v>210</v>
      </c>
      <c r="BR8" s="1986"/>
      <c r="BS8" s="1986"/>
      <c r="BT8" s="1986"/>
      <c r="BU8" s="1986"/>
      <c r="BV8" s="1986"/>
      <c r="BW8" s="1986"/>
      <c r="BX8" s="1986"/>
      <c r="BY8" s="965" t="str">
        <f>IF(BZ8="",Septembre!BY8,BZ8)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IFERROR(IF(VLOOKUP(AT8,Septembre!$AT$4:$AU$10,2,FALSE)&lt;&gt;Octobre!AU8,"rouge","ok"),0)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402026</v>
      </c>
      <c r="BH9" s="1441">
        <f t="shared" ref="BH9:BH14" si="0">+AT4</f>
        <v>40</v>
      </c>
      <c r="BI9" s="1442">
        <f>IF($AR$13=S.CAL!$CU$2,+SUMIF(S.CAL!$FW$3:$FW$374,BG9,S.CAL!$FX$3:$FX$374),IF($AR$13=S.CAL!$CU$3,SUMIF(Feuilles_de_présence_planning!$EG$12:$EG$537,BG9,Feuilles_de_présence_planning!$EE$12:$EE$537),"err"))</f>
        <v>0</v>
      </c>
      <c r="BY9" s="196" t="str">
        <f>+IF(Septembre!BY8="OUI","FIN","O")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IFERROR(IF(VLOOKUP(AT9,Septembre!$AT$4:$AU$10,2,FALSE)&lt;&gt;Octobre!AU9,"rouge","ok"),0)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412026</v>
      </c>
      <c r="BH10" s="1441">
        <f t="shared" si="0"/>
        <v>41</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IFERROR(IF(VLOOKUP(AT10,Septembre!$AT$4:$AU$10,2,FALSE)&lt;&gt;Octobre!AU10,"rouge","ok"),0)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422026</v>
      </c>
      <c r="BH11" s="1441">
        <f t="shared" si="0"/>
        <v>42</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432026</v>
      </c>
      <c r="BH12" s="1441">
        <f t="shared" si="0"/>
        <v>43</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5</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IF(AR14="",Septembre!AR13,AR14)</f>
        <v>à partir du tableau ci-dessous</v>
      </c>
      <c r="AS13" s="2372"/>
      <c r="AT13" s="2372"/>
      <c r="AU13" s="2372"/>
      <c r="AV13" s="2372"/>
      <c r="AW13" s="2372"/>
      <c r="AX13" s="2372"/>
      <c r="AY13" s="2372"/>
      <c r="AZ13" s="2372"/>
      <c r="BA13" s="2355" t="s">
        <v>1086</v>
      </c>
      <c r="BB13" s="2355"/>
      <c r="BC13" s="2355"/>
      <c r="BD13" s="951"/>
      <c r="BG13" s="1430" t="str">
        <f t="shared" si="1"/>
        <v>442026</v>
      </c>
      <c r="BH13" s="1441">
        <f t="shared" si="0"/>
        <v>44</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Septembre!EO13+Septembre!R89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+Septembre!EF16</f>
        <v>0</v>
      </c>
      <c r="EG16" s="741">
        <f>+Septembre!EG16</f>
        <v>0</v>
      </c>
      <c r="EH16" s="741">
        <f>+Septembre!EH16+Septembre!EH17</f>
        <v>0</v>
      </c>
      <c r="EI16" s="741">
        <f>+Septembre!EI16+Septembre!EI17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144" t="s">
        <v>961</v>
      </c>
      <c r="ER17" s="2144"/>
      <c r="ES17" s="2144"/>
      <c r="ET17" s="2144"/>
      <c r="EU17" s="2144"/>
      <c r="EV17" s="1388"/>
      <c r="EW17" s="742" t="s">
        <v>962</v>
      </c>
      <c r="EX17" s="742"/>
      <c r="EY17" s="742"/>
      <c r="EZ17" s="742"/>
      <c r="FA17" s="742"/>
      <c r="FB17" s="742"/>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Oct'!D18:D48,"&gt;0")</f>
        <v>0</v>
      </c>
      <c r="EQ19" s="743" t="s">
        <v>16</v>
      </c>
      <c r="ER19" s="744" t="s">
        <v>957</v>
      </c>
      <c r="ES19" s="745" t="s">
        <v>958</v>
      </c>
      <c r="ET19" s="744" t="s">
        <v>959</v>
      </c>
      <c r="EU19" s="745" t="s">
        <v>46</v>
      </c>
      <c r="EV19" s="1390" t="s">
        <v>1530</v>
      </c>
      <c r="EW19" s="744" t="s">
        <v>16</v>
      </c>
      <c r="EX19" s="745" t="s">
        <v>957</v>
      </c>
      <c r="EY19" s="744" t="s">
        <v>958</v>
      </c>
      <c r="EZ19" s="745" t="s">
        <v>959</v>
      </c>
      <c r="FA19" s="746" t="s">
        <v>46</v>
      </c>
      <c r="FB19" s="744"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46296</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40</v>
      </c>
      <c r="AQ20" s="322"/>
      <c r="AR20" s="1123"/>
      <c r="AS20" s="314">
        <f t="shared" ref="AS20:AS50" si="3">SUM(AD20:AL20)</f>
        <v>0</v>
      </c>
      <c r="AT20" s="1124"/>
      <c r="AU20" s="1124"/>
      <c r="AV20" s="314"/>
      <c r="AW20" s="2150">
        <f>AB20</f>
        <v>46296</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infoA4</v>
      </c>
      <c r="BK20" s="129">
        <f>IFERROR(WEEKNUM(AB20,21),"")</f>
        <v>40</v>
      </c>
      <c r="BL20" s="129" t="str">
        <f t="shared" ref="BL20:BL50" si="4">+VLOOKUP(BK20,$AT$4:$AU$10,2,)</f>
        <v>A</v>
      </c>
      <c r="BM20" s="129">
        <f t="shared" ref="BM20:BM21" si="5">WEEKDAY(AB20,2)</f>
        <v>4</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48">
        <f>+AB20</f>
        <v>46296</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46296</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40</v>
      </c>
      <c r="GA20" s="129">
        <f>+$X$4</f>
        <v>2026</v>
      </c>
      <c r="GB20" s="129" t="str">
        <f>+FZ20&amp;GA20</f>
        <v>402026</v>
      </c>
      <c r="GC20" s="223">
        <f>IF(AND($GD$53=S.CAL!$P$3,$GD$52=FZ20),GE20,IF(BH20="",0,BH20))</f>
        <v>0</v>
      </c>
      <c r="GD20" s="129" t="str">
        <f>IFERROR(+Novembre!$BY$2&amp;BL20&amp;BM20,0)</f>
        <v>Fiche infoA4</v>
      </c>
      <c r="GE20" s="129" t="str">
        <f t="shared" ref="GE20:GE50" si="19">+IFERROR(VLOOKUP(GD20,Base_heures,6,FALSE),"")</f>
        <v/>
      </c>
      <c r="GF20" s="223" t="str">
        <f>IF(FP20=1,GG20,AM20)</f>
        <v/>
      </c>
      <c r="GG20" s="1446" t="str">
        <f>+'Retenue Oct'!D18</f>
        <v/>
      </c>
      <c r="GH20" s="1446">
        <f>IF(Identification!$B$132="Non",+'Retenue Oct'!BF18,+'Retenue Oct'!BE18)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46297</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2">AB21</f>
        <v>46297</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infoA5</v>
      </c>
      <c r="BK21" s="129">
        <f t="shared" ref="BK21" si="27">IFERROR(WEEKNUM(AB21,21),"")</f>
        <v>40</v>
      </c>
      <c r="BL21" s="129" t="str">
        <f t="shared" si="4"/>
        <v>A</v>
      </c>
      <c r="BM21" s="129">
        <f t="shared" si="5"/>
        <v>5</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46296</v>
      </c>
      <c r="EJ21" s="737"/>
      <c r="EK21" s="737"/>
      <c r="EQ21" s="748">
        <f t="shared" ref="EQ21" si="28">+AB21</f>
        <v>46297</v>
      </c>
      <c r="ER21" s="749">
        <f t="shared" si="10"/>
        <v>0</v>
      </c>
      <c r="ES21" s="750">
        <f t="shared" si="11"/>
        <v>0</v>
      </c>
      <c r="ET21" s="749">
        <f t="shared" si="12"/>
        <v>0</v>
      </c>
      <c r="EU21" s="750">
        <f t="shared" si="13"/>
        <v>0</v>
      </c>
      <c r="EV21" s="749" t="str">
        <f t="shared" si="14"/>
        <v/>
      </c>
      <c r="EW21" s="751">
        <f t="shared" ref="EW21:EW50" si="29">+EQ21</f>
        <v>46297</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50" si="38">IFERROR(WEEKNUM(AB21,21),"")</f>
        <v>40</v>
      </c>
      <c r="GA21" s="129">
        <f t="shared" ref="GA21:GA50" si="39">+$X$4</f>
        <v>2026</v>
      </c>
      <c r="GB21" s="129" t="str">
        <f t="shared" ref="GB21:GB48" si="40">+FZ21&amp;GA21</f>
        <v>402026</v>
      </c>
      <c r="GC21" s="223">
        <f>IF(AND($GD$53=S.CAL!$P$3,$GD$52=FZ21),GE21,IF(BH21="",0,BH21))</f>
        <v>0</v>
      </c>
      <c r="GD21" s="129" t="str">
        <f>IFERROR(+Novembre!$BY$2&amp;BL21&amp;BM21,0)</f>
        <v>Fiche infoA5</v>
      </c>
      <c r="GE21" s="129" t="str">
        <f t="shared" si="19"/>
        <v/>
      </c>
      <c r="GF21" s="223" t="str">
        <f t="shared" ref="GF21:GF48" si="41">IF(FP21=1,GG21,AM21)</f>
        <v/>
      </c>
      <c r="GG21" s="1446" t="str">
        <f>+'Retenue Oct'!D19</f>
        <v/>
      </c>
      <c r="GH21" s="1446">
        <f>IF(Identification!$B$132="Non",+'Retenue Oct'!BF19,+'Retenue Oct'!BE19)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46298</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46298</v>
      </c>
      <c r="AX22" s="1761"/>
      <c r="AY22" s="314"/>
      <c r="AZ22" s="1104"/>
      <c r="BA22" s="973"/>
      <c r="BB22" s="543"/>
      <c r="BC22" s="548">
        <f t="shared" si="23"/>
        <v>0</v>
      </c>
      <c r="BD22" s="1104"/>
      <c r="BE22" s="807">
        <f t="shared" si="24"/>
        <v>0</v>
      </c>
      <c r="BF22" s="1128"/>
      <c r="BG22" s="222"/>
      <c r="BH22" s="548" t="str">
        <f t="shared" si="25"/>
        <v/>
      </c>
      <c r="BI22" s="1128"/>
      <c r="BJ22" s="129" t="str">
        <f t="shared" si="26"/>
        <v>Fiche infoA6</v>
      </c>
      <c r="BK22" s="129">
        <f t="shared" ref="BK22:BK50" si="49">IFERROR(WEEKNUM(AB22,21),"")</f>
        <v>40</v>
      </c>
      <c r="BL22" s="129" t="str">
        <f t="shared" si="4"/>
        <v>A</v>
      </c>
      <c r="BM22" s="129">
        <f t="shared" ref="BM22:BM47" si="50">WEEKDAY(AB22,2)</f>
        <v>6</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46326</v>
      </c>
      <c r="EJ22" s="737"/>
      <c r="EK22" s="737"/>
      <c r="EQ22" s="748">
        <f t="shared" ref="EQ22:EQ50" si="53">+AB22</f>
        <v>46298</v>
      </c>
      <c r="ER22" s="749">
        <f t="shared" si="10"/>
        <v>0</v>
      </c>
      <c r="ES22" s="750">
        <f t="shared" si="11"/>
        <v>0</v>
      </c>
      <c r="ET22" s="749">
        <f t="shared" si="12"/>
        <v>0</v>
      </c>
      <c r="EU22" s="750">
        <f t="shared" si="13"/>
        <v>0</v>
      </c>
      <c r="EV22" s="749" t="str">
        <f t="shared" si="14"/>
        <v/>
      </c>
      <c r="EW22" s="751">
        <f t="shared" si="29"/>
        <v>46298</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40</v>
      </c>
      <c r="GA22" s="129">
        <f t="shared" si="39"/>
        <v>2026</v>
      </c>
      <c r="GB22" s="129" t="str">
        <f t="shared" si="40"/>
        <v>402026</v>
      </c>
      <c r="GC22" s="223">
        <f>IF(AND($GD$53=S.CAL!$P$3,$GD$52=FZ22),GE22,IF(BH22="",0,BH22))</f>
        <v>0</v>
      </c>
      <c r="GD22" s="129" t="str">
        <f>IFERROR(+Novembre!$BY$2&amp;BL22&amp;BM22,0)</f>
        <v>Fiche infoA6</v>
      </c>
      <c r="GE22" s="129" t="str">
        <f t="shared" si="19"/>
        <v/>
      </c>
      <c r="GF22" s="223" t="str">
        <f t="shared" si="41"/>
        <v/>
      </c>
      <c r="GG22" s="1446" t="str">
        <f>+'Retenue Oct'!D20</f>
        <v/>
      </c>
      <c r="GH22" s="1446">
        <f>IF(Identification!$B$132="Non",+'Retenue Oct'!BF20,+'Retenue Oct'!BE20)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46299</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46299</v>
      </c>
      <c r="AX23" s="1761"/>
      <c r="AY23" s="314"/>
      <c r="AZ23" s="1104"/>
      <c r="BA23" s="973"/>
      <c r="BB23" s="543"/>
      <c r="BC23" s="548">
        <f t="shared" si="23"/>
        <v>0</v>
      </c>
      <c r="BD23" s="1104"/>
      <c r="BE23" s="807">
        <f t="shared" si="24"/>
        <v>0</v>
      </c>
      <c r="BF23" s="1128"/>
      <c r="BG23" s="222"/>
      <c r="BH23" s="548" t="str">
        <f t="shared" si="25"/>
        <v/>
      </c>
      <c r="BI23" s="1128"/>
      <c r="BJ23" s="129" t="str">
        <f t="shared" si="26"/>
        <v>Fiche infoA7</v>
      </c>
      <c r="BK23" s="129">
        <f t="shared" si="49"/>
        <v>40</v>
      </c>
      <c r="BL23" s="129" t="str">
        <f t="shared" si="4"/>
        <v>A</v>
      </c>
      <c r="BM23" s="129">
        <f t="shared" si="50"/>
        <v>7</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46299</v>
      </c>
      <c r="ER23" s="749">
        <f t="shared" si="10"/>
        <v>0</v>
      </c>
      <c r="ES23" s="750">
        <f t="shared" si="11"/>
        <v>0</v>
      </c>
      <c r="ET23" s="749">
        <f t="shared" si="12"/>
        <v>0</v>
      </c>
      <c r="EU23" s="750">
        <f t="shared" si="13"/>
        <v>0</v>
      </c>
      <c r="EV23" s="749" t="str">
        <f t="shared" si="14"/>
        <v/>
      </c>
      <c r="EW23" s="751">
        <f t="shared" si="29"/>
        <v>46299</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40</v>
      </c>
      <c r="GA23" s="129">
        <f t="shared" si="39"/>
        <v>2026</v>
      </c>
      <c r="GB23" s="129" t="str">
        <f t="shared" si="40"/>
        <v>402026</v>
      </c>
      <c r="GC23" s="223">
        <f>IF(AND($GD$53=S.CAL!$P$3,$GD$52=FZ23),GE23,IF(BH23="",0,BH23))</f>
        <v>0</v>
      </c>
      <c r="GD23" s="129" t="str">
        <f>IFERROR(+Novembre!$BY$2&amp;BL23&amp;BM23,0)</f>
        <v>Fiche infoA7</v>
      </c>
      <c r="GE23" s="129" t="str">
        <f t="shared" si="19"/>
        <v/>
      </c>
      <c r="GF23" s="223" t="str">
        <f t="shared" si="41"/>
        <v/>
      </c>
      <c r="GG23" s="1446" t="str">
        <f>+'Retenue Oct'!D21</f>
        <v/>
      </c>
      <c r="GH23" s="1446">
        <f>IF(Identification!$B$132="Non",+'Retenue Oct'!BF21,+'Retenue Oct'!BE21)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46300</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f t="shared" si="48"/>
        <v>41</v>
      </c>
      <c r="AQ24" s="322"/>
      <c r="AR24" s="1104"/>
      <c r="AS24" s="314">
        <f t="shared" si="3"/>
        <v>0</v>
      </c>
      <c r="AT24" s="1125"/>
      <c r="AU24" s="1125"/>
      <c r="AV24" s="314"/>
      <c r="AW24" s="1791">
        <f t="shared" si="22"/>
        <v>46300</v>
      </c>
      <c r="AX24" s="1761"/>
      <c r="AY24" s="314"/>
      <c r="AZ24" s="1104"/>
      <c r="BA24" s="973"/>
      <c r="BB24" s="543"/>
      <c r="BC24" s="548">
        <f t="shared" si="23"/>
        <v>0</v>
      </c>
      <c r="BD24" s="1104"/>
      <c r="BE24" s="807">
        <f t="shared" si="24"/>
        <v>0</v>
      </c>
      <c r="BF24" s="1128"/>
      <c r="BG24" s="222"/>
      <c r="BH24" s="548" t="str">
        <f t="shared" si="25"/>
        <v/>
      </c>
      <c r="BI24" s="1128"/>
      <c r="BJ24" s="129" t="str">
        <f t="shared" si="26"/>
        <v>Fiche infoA1</v>
      </c>
      <c r="BK24" s="129">
        <f t="shared" si="49"/>
        <v>41</v>
      </c>
      <c r="BL24" s="129" t="str">
        <f t="shared" si="4"/>
        <v>A</v>
      </c>
      <c r="BM24" s="129">
        <f t="shared" si="50"/>
        <v>1</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46300</v>
      </c>
      <c r="ER24" s="749">
        <f t="shared" si="10"/>
        <v>0</v>
      </c>
      <c r="ES24" s="750">
        <f t="shared" si="11"/>
        <v>0</v>
      </c>
      <c r="ET24" s="749">
        <f t="shared" si="12"/>
        <v>0</v>
      </c>
      <c r="EU24" s="750">
        <f t="shared" si="13"/>
        <v>0</v>
      </c>
      <c r="EV24" s="749" t="str">
        <f t="shared" si="14"/>
        <v/>
      </c>
      <c r="EW24" s="751">
        <f t="shared" si="29"/>
        <v>46300</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41</v>
      </c>
      <c r="GA24" s="129">
        <f t="shared" si="39"/>
        <v>2026</v>
      </c>
      <c r="GB24" s="129" t="str">
        <f t="shared" si="40"/>
        <v>412026</v>
      </c>
      <c r="GC24" s="223">
        <f>IF(AND($GD$53=S.CAL!$P$3,$GD$52=FZ24),GE24,IF(BH24="",0,BH24))</f>
        <v>0</v>
      </c>
      <c r="GD24" s="129" t="str">
        <f>IFERROR(+Novembre!$BY$2&amp;BL24&amp;BM24,0)</f>
        <v>Fiche infoA1</v>
      </c>
      <c r="GE24" s="129" t="str">
        <f t="shared" si="19"/>
        <v/>
      </c>
      <c r="GF24" s="223" t="str">
        <f t="shared" si="41"/>
        <v/>
      </c>
      <c r="GG24" s="1446" t="str">
        <f>+'Retenue Oct'!D22</f>
        <v/>
      </c>
      <c r="GH24" s="1446">
        <f>IF(Identification!$B$132="Non",+'Retenue Oct'!BF22,+'Retenue Oct'!BE22)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Oct'!R48*-1)</f>
        <v>#DIV/0!</v>
      </c>
      <c r="M25" s="2142"/>
      <c r="N25" s="2142"/>
      <c r="O25" s="2143"/>
      <c r="P25" s="1753" t="e">
        <f>+IF(L25,T25/L25,0)</f>
        <v>#DIV/0!</v>
      </c>
      <c r="Q25" s="1969"/>
      <c r="R25" s="1969"/>
      <c r="S25" s="1970"/>
      <c r="T25" s="1966">
        <f>IF(A18="Salaire heures normales réelles",0,'Retenue Oct'!R52*-1)</f>
        <v>0</v>
      </c>
      <c r="U25" s="1967"/>
      <c r="V25" s="1967"/>
      <c r="W25" s="1968"/>
      <c r="X25" s="224"/>
      <c r="Y25" s="224"/>
      <c r="Z25" s="224"/>
      <c r="AA25" s="885" t="str">
        <f>IF(AND(BE25="OUI",$AR$13=S.CAL!$CU$2),"►",IF(AND(EV25="OUI",$AR$13=S.CAL!$CU$3),"►",""))</f>
        <v/>
      </c>
      <c r="AB25" s="1760">
        <f>+$X$3+5</f>
        <v>46301</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46301</v>
      </c>
      <c r="AX25" s="1761"/>
      <c r="AY25" s="314"/>
      <c r="AZ25" s="1104"/>
      <c r="BA25" s="973"/>
      <c r="BB25" s="543"/>
      <c r="BC25" s="548">
        <f t="shared" si="23"/>
        <v>0</v>
      </c>
      <c r="BD25" s="1104"/>
      <c r="BE25" s="807">
        <f t="shared" si="24"/>
        <v>0</v>
      </c>
      <c r="BF25" s="1128"/>
      <c r="BG25" s="222"/>
      <c r="BH25" s="548" t="str">
        <f t="shared" si="25"/>
        <v/>
      </c>
      <c r="BI25" s="1128"/>
      <c r="BJ25" s="129" t="str">
        <f t="shared" si="26"/>
        <v>Fiche infoA2</v>
      </c>
      <c r="BK25" s="129">
        <f t="shared" si="49"/>
        <v>41</v>
      </c>
      <c r="BL25" s="129" t="str">
        <f t="shared" si="4"/>
        <v>A</v>
      </c>
      <c r="BM25" s="129">
        <f t="shared" si="50"/>
        <v>2</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46301</v>
      </c>
      <c r="ER25" s="749">
        <f t="shared" si="10"/>
        <v>0</v>
      </c>
      <c r="ES25" s="750">
        <f t="shared" si="11"/>
        <v>0</v>
      </c>
      <c r="ET25" s="749">
        <f t="shared" si="12"/>
        <v>0</v>
      </c>
      <c r="EU25" s="750">
        <f t="shared" si="13"/>
        <v>0</v>
      </c>
      <c r="EV25" s="749" t="str">
        <f t="shared" si="14"/>
        <v/>
      </c>
      <c r="EW25" s="751">
        <f t="shared" si="29"/>
        <v>46301</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41</v>
      </c>
      <c r="GA25" s="129">
        <f t="shared" si="39"/>
        <v>2026</v>
      </c>
      <c r="GB25" s="129" t="str">
        <f t="shared" si="40"/>
        <v>412026</v>
      </c>
      <c r="GC25" s="223">
        <f>IF(AND($GD$53=S.CAL!$P$3,$GD$52=FZ25),GE25,IF(BH25="",0,BH25))</f>
        <v>0</v>
      </c>
      <c r="GD25" s="129" t="str">
        <f>IFERROR(+Novembre!$BY$2&amp;BL25&amp;BM25,0)</f>
        <v>Fiche infoA2</v>
      </c>
      <c r="GE25" s="129" t="str">
        <f t="shared" si="19"/>
        <v/>
      </c>
      <c r="GF25" s="223" t="str">
        <f t="shared" si="41"/>
        <v/>
      </c>
      <c r="GG25" s="1446" t="str">
        <f>+'Retenue Oct'!D23</f>
        <v/>
      </c>
      <c r="GH25" s="1446">
        <f>IF(Identification!$B$132="Non",+'Retenue Oct'!BF23,+'Retenue Oct'!BE23)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Oct'!R50*-1)</f>
        <v>#DIV/0!</v>
      </c>
      <c r="M26" s="2142"/>
      <c r="N26" s="2142"/>
      <c r="O26" s="2143"/>
      <c r="P26" s="1753" t="e">
        <f>+IF(L26,T26/L26,0)</f>
        <v>#DIV/0!</v>
      </c>
      <c r="Q26" s="1969"/>
      <c r="R26" s="1969"/>
      <c r="S26" s="1970"/>
      <c r="T26" s="1966">
        <f>IF(A18="Salaire heures normales réelles",0,'Retenue Oct'!R54*-1)</f>
        <v>0</v>
      </c>
      <c r="U26" s="1967"/>
      <c r="V26" s="1967"/>
      <c r="W26" s="1968"/>
      <c r="X26" s="221"/>
      <c r="Y26" s="221"/>
      <c r="Z26" s="221"/>
      <c r="AA26" s="885" t="str">
        <f>IF(AND(BE26="OUI",$AR$13=S.CAL!$CU$2),"►",IF(AND(EV26="OUI",$AR$13=S.CAL!$CU$3),"►",""))</f>
        <v/>
      </c>
      <c r="AB26" s="1760">
        <f>+$X$3+6</f>
        <v>46302</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46302</v>
      </c>
      <c r="AX26" s="1761"/>
      <c r="AY26" s="314"/>
      <c r="AZ26" s="1104"/>
      <c r="BA26" s="973"/>
      <c r="BB26" s="543"/>
      <c r="BC26" s="548">
        <f t="shared" si="23"/>
        <v>0</v>
      </c>
      <c r="BD26" s="1104"/>
      <c r="BE26" s="807">
        <f t="shared" si="24"/>
        <v>0</v>
      </c>
      <c r="BF26" s="1128"/>
      <c r="BG26" s="222"/>
      <c r="BH26" s="548" t="str">
        <f t="shared" si="25"/>
        <v/>
      </c>
      <c r="BI26" s="1128"/>
      <c r="BJ26" s="129" t="str">
        <f t="shared" si="26"/>
        <v>Fiche infoA3</v>
      </c>
      <c r="BK26" s="129">
        <f t="shared" si="49"/>
        <v>41</v>
      </c>
      <c r="BL26" s="129" t="str">
        <f t="shared" si="4"/>
        <v>A</v>
      </c>
      <c r="BM26" s="129">
        <f t="shared" si="50"/>
        <v>3</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46302</v>
      </c>
      <c r="ER26" s="749">
        <f t="shared" si="10"/>
        <v>0</v>
      </c>
      <c r="ES26" s="750">
        <f t="shared" si="11"/>
        <v>0</v>
      </c>
      <c r="ET26" s="749">
        <f t="shared" si="12"/>
        <v>0</v>
      </c>
      <c r="EU26" s="750">
        <f t="shared" si="13"/>
        <v>0</v>
      </c>
      <c r="EV26" s="749" t="str">
        <f t="shared" si="14"/>
        <v/>
      </c>
      <c r="EW26" s="751">
        <f t="shared" si="29"/>
        <v>46302</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41</v>
      </c>
      <c r="GA26" s="129">
        <f t="shared" si="39"/>
        <v>2026</v>
      </c>
      <c r="GB26" s="129" t="str">
        <f t="shared" si="40"/>
        <v>412026</v>
      </c>
      <c r="GC26" s="223">
        <f>IF(AND($GD$53=S.CAL!$P$3,$GD$52=FZ26),GE26,IF(BH26="",0,BH26))</f>
        <v>0</v>
      </c>
      <c r="GD26" s="129" t="str">
        <f>IFERROR(+Novembre!$BY$2&amp;BL26&amp;BM26,0)</f>
        <v>Fiche infoA3</v>
      </c>
      <c r="GE26" s="129" t="str">
        <f t="shared" si="19"/>
        <v/>
      </c>
      <c r="GF26" s="223" t="str">
        <f t="shared" si="41"/>
        <v/>
      </c>
      <c r="GG26" s="1446" t="str">
        <f>+'Retenue Oct'!D24</f>
        <v/>
      </c>
      <c r="GH26" s="1446">
        <f>IF(Identification!$B$132="Non",+'Retenue Oct'!BF24,+'Retenue Oct'!BE24)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46303</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46303</v>
      </c>
      <c r="AX27" s="1761"/>
      <c r="AY27" s="314"/>
      <c r="AZ27" s="1104"/>
      <c r="BA27" s="973"/>
      <c r="BB27" s="543"/>
      <c r="BC27" s="548">
        <f t="shared" si="23"/>
        <v>0</v>
      </c>
      <c r="BD27" s="1104"/>
      <c r="BE27" s="807">
        <f t="shared" si="24"/>
        <v>0</v>
      </c>
      <c r="BF27" s="1128"/>
      <c r="BG27" s="222"/>
      <c r="BH27" s="548" t="str">
        <f t="shared" si="25"/>
        <v/>
      </c>
      <c r="BI27" s="1128"/>
      <c r="BJ27" s="129" t="str">
        <f t="shared" si="26"/>
        <v>Fiche infoA4</v>
      </c>
      <c r="BK27" s="129">
        <f t="shared" si="49"/>
        <v>41</v>
      </c>
      <c r="BL27" s="129" t="str">
        <f t="shared" si="4"/>
        <v>A</v>
      </c>
      <c r="BM27" s="129">
        <f t="shared" si="50"/>
        <v>4</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46303</v>
      </c>
      <c r="ER27" s="749">
        <f t="shared" si="10"/>
        <v>0</v>
      </c>
      <c r="ES27" s="750">
        <f t="shared" si="11"/>
        <v>0</v>
      </c>
      <c r="ET27" s="749">
        <f t="shared" si="12"/>
        <v>0</v>
      </c>
      <c r="EU27" s="750">
        <f t="shared" si="13"/>
        <v>0</v>
      </c>
      <c r="EV27" s="749" t="str">
        <f t="shared" si="14"/>
        <v/>
      </c>
      <c r="EW27" s="751">
        <f t="shared" si="29"/>
        <v>46303</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41</v>
      </c>
      <c r="GA27" s="129">
        <f t="shared" si="39"/>
        <v>2026</v>
      </c>
      <c r="GB27" s="129" t="str">
        <f t="shared" si="40"/>
        <v>412026</v>
      </c>
      <c r="GC27" s="223">
        <f>IF(AND($GD$53=S.CAL!$P$3,$GD$52=FZ27),GE27,IF(BH27="",0,BH27))</f>
        <v>0</v>
      </c>
      <c r="GD27" s="129" t="str">
        <f>IFERROR(+Novembre!$BY$2&amp;BL27&amp;BM27,0)</f>
        <v>Fiche infoA4</v>
      </c>
      <c r="GE27" s="129" t="str">
        <f t="shared" si="19"/>
        <v/>
      </c>
      <c r="GF27" s="223" t="str">
        <f t="shared" si="41"/>
        <v/>
      </c>
      <c r="GG27" s="1446" t="str">
        <f>+'Retenue Oct'!D25</f>
        <v/>
      </c>
      <c r="GH27" s="1446">
        <f>IF(Identification!$B$132="Non",+'Retenue Oct'!BF25,+'Retenue Oct'!BE25)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46304</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2"/>
        <v>46304</v>
      </c>
      <c r="AX28" s="1761"/>
      <c r="AY28" s="314"/>
      <c r="AZ28" s="1104"/>
      <c r="BA28" s="973"/>
      <c r="BB28" s="543"/>
      <c r="BC28" s="548">
        <f t="shared" si="23"/>
        <v>0</v>
      </c>
      <c r="BD28" s="1104"/>
      <c r="BE28" s="807">
        <f t="shared" si="24"/>
        <v>0</v>
      </c>
      <c r="BF28" s="1128"/>
      <c r="BG28" s="222"/>
      <c r="BH28" s="548" t="str">
        <f t="shared" si="25"/>
        <v/>
      </c>
      <c r="BI28" s="1128"/>
      <c r="BJ28" s="129" t="str">
        <f t="shared" si="26"/>
        <v>Fiche infoA5</v>
      </c>
      <c r="BK28" s="129">
        <f t="shared" si="49"/>
        <v>41</v>
      </c>
      <c r="BL28" s="129" t="str">
        <f t="shared" si="4"/>
        <v>A</v>
      </c>
      <c r="BM28" s="129">
        <f t="shared" si="50"/>
        <v>5</v>
      </c>
      <c r="BN28" s="223" t="str">
        <f t="shared" si="60"/>
        <v>Fiche info</v>
      </c>
      <c r="BO28" s="314" t="str">
        <f t="shared" si="51"/>
        <v/>
      </c>
      <c r="BP28" s="196" t="str">
        <f t="shared" si="52"/>
        <v/>
      </c>
      <c r="BQ28" s="196"/>
      <c r="BS28" s="2100" t="str">
        <f>+"Semaine numéro : "&amp;AT4</f>
        <v>Semaine numéro : 40</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+SUMIF(Septembre!$BK$20:$BK$50,AT4,Septembre!$AM$20:$AO$50)</f>
        <v>0</v>
      </c>
      <c r="CD28" s="196">
        <f>+SUMIF(Novembre!$BK$20:$BK$50,AT4,Novembre!$AM$20:$AO$50)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46304</v>
      </c>
      <c r="ER28" s="749">
        <f t="shared" si="10"/>
        <v>0</v>
      </c>
      <c r="ES28" s="750">
        <f t="shared" si="11"/>
        <v>0</v>
      </c>
      <c r="ET28" s="749">
        <f t="shared" si="12"/>
        <v>0</v>
      </c>
      <c r="EU28" s="750">
        <f t="shared" si="13"/>
        <v>0</v>
      </c>
      <c r="EV28" s="749" t="str">
        <f t="shared" si="14"/>
        <v/>
      </c>
      <c r="EW28" s="751">
        <f t="shared" si="29"/>
        <v>46304</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41</v>
      </c>
      <c r="GA28" s="129">
        <f t="shared" si="39"/>
        <v>2026</v>
      </c>
      <c r="GB28" s="129" t="str">
        <f t="shared" si="40"/>
        <v>412026</v>
      </c>
      <c r="GC28" s="223">
        <f>IF(AND($GD$53=S.CAL!$P$3,$GD$52=FZ28),GE28,IF(BH28="",0,BH28))</f>
        <v>0</v>
      </c>
      <c r="GD28" s="129" t="str">
        <f>IFERROR(+Novembre!$BY$2&amp;BL28&amp;BM28,0)</f>
        <v>Fiche infoA5</v>
      </c>
      <c r="GE28" s="129" t="str">
        <f t="shared" si="19"/>
        <v/>
      </c>
      <c r="GF28" s="223" t="str">
        <f t="shared" si="41"/>
        <v/>
      </c>
      <c r="GG28" s="1446" t="str">
        <f>+'Retenue Oct'!D26</f>
        <v/>
      </c>
      <c r="GH28" s="1446">
        <f>IF(Identification!$B$132="Non",+'Retenue Oct'!BF26,+'Retenue Oct'!BE26)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46305</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46305</v>
      </c>
      <c r="AX29" s="1761"/>
      <c r="AY29" s="314"/>
      <c r="AZ29" s="1104"/>
      <c r="BA29" s="973"/>
      <c r="BB29" s="543"/>
      <c r="BC29" s="548">
        <f t="shared" si="23"/>
        <v>0</v>
      </c>
      <c r="BD29" s="1104"/>
      <c r="BE29" s="807">
        <f t="shared" si="24"/>
        <v>0</v>
      </c>
      <c r="BF29" s="1128"/>
      <c r="BG29" s="222"/>
      <c r="BH29" s="548" t="str">
        <f t="shared" si="25"/>
        <v/>
      </c>
      <c r="BI29" s="1128"/>
      <c r="BJ29" s="129" t="str">
        <f t="shared" si="26"/>
        <v>Fiche infoA6</v>
      </c>
      <c r="BK29" s="129">
        <f t="shared" si="49"/>
        <v>41</v>
      </c>
      <c r="BL29" s="129" t="str">
        <f t="shared" si="4"/>
        <v>A</v>
      </c>
      <c r="BM29" s="129">
        <f t="shared" si="50"/>
        <v>6</v>
      </c>
      <c r="BN29" s="223" t="str">
        <f t="shared" si="60"/>
        <v>Fiche info</v>
      </c>
      <c r="BO29" s="314" t="str">
        <f t="shared" si="51"/>
        <v/>
      </c>
      <c r="BP29" s="196" t="str">
        <f t="shared" si="52"/>
        <v/>
      </c>
      <c r="BQ29" s="196"/>
      <c r="BS29" s="2100" t="str">
        <f t="shared" ref="BS29:BS33" si="64">+"Semaine numéro : "&amp;AT5</f>
        <v>Semaine numéro : 41</v>
      </c>
      <c r="BT29" s="2101"/>
      <c r="BU29" s="2101"/>
      <c r="BV29" s="2101"/>
      <c r="BW29" s="2101"/>
      <c r="BX29" s="2102"/>
      <c r="BY29" s="1115"/>
      <c r="BZ29" s="656">
        <f t="shared" ref="BZ29:BZ33" si="65">+IF(BY29="",IF(AND(CC29&gt;0,CB29&gt;0),CC29+CB29,IF(CD29&gt;0,0,CB29)),BY29)</f>
        <v>0</v>
      </c>
      <c r="CA29" s="655">
        <f t="shared" si="62"/>
        <v>0</v>
      </c>
      <c r="CB29" s="196">
        <f t="shared" si="63"/>
        <v>0</v>
      </c>
      <c r="CC29" s="196">
        <f>+SUMIF(Septembre!$BK$20:$BK$50,AT5,Septembre!$AM$20:$AO$50)</f>
        <v>0</v>
      </c>
      <c r="CD29" s="196">
        <f>+SUMIF(Novembre!$BK$20:$BK$50,AT5,Novembre!$AM$20:$AO$50)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46305</v>
      </c>
      <c r="ER29" s="749">
        <f t="shared" si="10"/>
        <v>0</v>
      </c>
      <c r="ES29" s="750">
        <f t="shared" si="11"/>
        <v>0</v>
      </c>
      <c r="ET29" s="749">
        <f t="shared" si="12"/>
        <v>0</v>
      </c>
      <c r="EU29" s="750">
        <f t="shared" si="13"/>
        <v>0</v>
      </c>
      <c r="EV29" s="749" t="str">
        <f t="shared" si="14"/>
        <v/>
      </c>
      <c r="EW29" s="751">
        <f t="shared" si="29"/>
        <v>46305</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41</v>
      </c>
      <c r="GA29" s="129">
        <f t="shared" si="39"/>
        <v>2026</v>
      </c>
      <c r="GB29" s="129" t="str">
        <f t="shared" si="40"/>
        <v>412026</v>
      </c>
      <c r="GC29" s="223">
        <f>IF(AND($GD$53=S.CAL!$P$3,$GD$52=FZ29),GE29,IF(BH29="",0,BH29))</f>
        <v>0</v>
      </c>
      <c r="GD29" s="129" t="str">
        <f>IFERROR(+Novembre!$BY$2&amp;BL29&amp;BM29,0)</f>
        <v>Fiche infoA6</v>
      </c>
      <c r="GE29" s="129" t="str">
        <f t="shared" si="19"/>
        <v/>
      </c>
      <c r="GF29" s="223" t="str">
        <f t="shared" si="41"/>
        <v/>
      </c>
      <c r="GG29" s="1446" t="str">
        <f>+'Retenue Oct'!D27</f>
        <v/>
      </c>
      <c r="GH29" s="1446">
        <f>IF(Identification!$B$132="Non",+'Retenue Oct'!BF27,+'Retenue Oct'!BE27)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46306</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46306</v>
      </c>
      <c r="AX30" s="1761"/>
      <c r="AY30" s="314"/>
      <c r="AZ30" s="1104"/>
      <c r="BA30" s="973"/>
      <c r="BB30" s="543"/>
      <c r="BC30" s="548">
        <f t="shared" si="23"/>
        <v>0</v>
      </c>
      <c r="BD30" s="1104"/>
      <c r="BE30" s="807">
        <f t="shared" si="24"/>
        <v>0</v>
      </c>
      <c r="BF30" s="1128"/>
      <c r="BG30" s="222"/>
      <c r="BH30" s="548" t="str">
        <f t="shared" si="25"/>
        <v/>
      </c>
      <c r="BI30" s="1128"/>
      <c r="BJ30" s="129" t="str">
        <f t="shared" si="26"/>
        <v>Fiche infoA7</v>
      </c>
      <c r="BK30" s="129">
        <f t="shared" si="49"/>
        <v>41</v>
      </c>
      <c r="BL30" s="129" t="str">
        <f t="shared" si="4"/>
        <v>A</v>
      </c>
      <c r="BM30" s="129">
        <f t="shared" si="50"/>
        <v>7</v>
      </c>
      <c r="BN30" s="223" t="str">
        <f t="shared" si="60"/>
        <v>Fiche info</v>
      </c>
      <c r="BO30" s="314" t="str">
        <f t="shared" si="51"/>
        <v/>
      </c>
      <c r="BP30" s="196" t="str">
        <f t="shared" si="52"/>
        <v/>
      </c>
      <c r="BQ30" s="196"/>
      <c r="BS30" s="2100" t="str">
        <f t="shared" si="64"/>
        <v>Semaine numéro : 42</v>
      </c>
      <c r="BT30" s="2101"/>
      <c r="BU30" s="2101"/>
      <c r="BV30" s="2101"/>
      <c r="BW30" s="2101"/>
      <c r="BX30" s="2102"/>
      <c r="BY30" s="1115"/>
      <c r="BZ30" s="656">
        <f t="shared" si="65"/>
        <v>0</v>
      </c>
      <c r="CA30" s="655">
        <f t="shared" si="62"/>
        <v>0</v>
      </c>
      <c r="CB30" s="196">
        <f t="shared" si="63"/>
        <v>0</v>
      </c>
      <c r="CC30" s="196">
        <f>+SUMIF(Septembre!$BK$20:$BK$50,AT6,Septembre!$AM$20:$AO$50)</f>
        <v>0</v>
      </c>
      <c r="CD30" s="196">
        <f>+SUMIF(Novembre!$BK$20:$BK$50,AT6,Novembre!$AM$20:$AO$50)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48">
        <f t="shared" si="53"/>
        <v>46306</v>
      </c>
      <c r="ER30" s="749">
        <f t="shared" si="10"/>
        <v>0</v>
      </c>
      <c r="ES30" s="750">
        <f t="shared" si="11"/>
        <v>0</v>
      </c>
      <c r="ET30" s="749">
        <f t="shared" si="12"/>
        <v>0</v>
      </c>
      <c r="EU30" s="750">
        <f t="shared" si="13"/>
        <v>0</v>
      </c>
      <c r="EV30" s="749" t="str">
        <f t="shared" si="14"/>
        <v/>
      </c>
      <c r="EW30" s="751">
        <f t="shared" si="29"/>
        <v>46306</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41</v>
      </c>
      <c r="GA30" s="129">
        <f t="shared" si="39"/>
        <v>2026</v>
      </c>
      <c r="GB30" s="129" t="str">
        <f t="shared" si="40"/>
        <v>412026</v>
      </c>
      <c r="GC30" s="223">
        <f>IF(AND($GD$53=S.CAL!$P$3,$GD$52=FZ30),GE30,IF(BH30="",0,BH30))</f>
        <v>0</v>
      </c>
      <c r="GD30" s="129" t="str">
        <f>IFERROR(+Novembre!$BY$2&amp;BL30&amp;BM30,0)</f>
        <v>Fiche infoA7</v>
      </c>
      <c r="GE30" s="129" t="str">
        <f t="shared" si="19"/>
        <v/>
      </c>
      <c r="GF30" s="223" t="str">
        <f t="shared" si="41"/>
        <v/>
      </c>
      <c r="GG30" s="1446" t="str">
        <f>+'Retenue Oct'!D28</f>
        <v/>
      </c>
      <c r="GH30" s="1446">
        <f>IF(Identification!$B$132="Non",+'Retenue Oct'!BF28,+'Retenue Oct'!BE28)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46307</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f t="shared" si="48"/>
        <v>42</v>
      </c>
      <c r="AQ31" s="322"/>
      <c r="AR31" s="1104"/>
      <c r="AS31" s="314">
        <f t="shared" si="3"/>
        <v>0</v>
      </c>
      <c r="AT31" s="1125"/>
      <c r="AU31" s="1125"/>
      <c r="AV31" s="314"/>
      <c r="AW31" s="1791">
        <f t="shared" si="22"/>
        <v>46307</v>
      </c>
      <c r="AX31" s="1761"/>
      <c r="AY31" s="314"/>
      <c r="AZ31" s="1104"/>
      <c r="BA31" s="973"/>
      <c r="BB31" s="543"/>
      <c r="BC31" s="548">
        <f t="shared" si="23"/>
        <v>0</v>
      </c>
      <c r="BD31" s="1104"/>
      <c r="BE31" s="807">
        <f t="shared" si="24"/>
        <v>0</v>
      </c>
      <c r="BF31" s="1128"/>
      <c r="BG31" s="222"/>
      <c r="BH31" s="548" t="str">
        <f t="shared" si="25"/>
        <v/>
      </c>
      <c r="BI31" s="1128"/>
      <c r="BJ31" s="129" t="str">
        <f t="shared" si="26"/>
        <v>Fiche infoA1</v>
      </c>
      <c r="BK31" s="129">
        <f t="shared" si="49"/>
        <v>42</v>
      </c>
      <c r="BL31" s="129" t="str">
        <f t="shared" si="4"/>
        <v>A</v>
      </c>
      <c r="BM31" s="129">
        <f t="shared" si="50"/>
        <v>1</v>
      </c>
      <c r="BN31" s="223" t="str">
        <f t="shared" si="60"/>
        <v>Fiche info</v>
      </c>
      <c r="BO31" s="314" t="str">
        <f t="shared" si="51"/>
        <v/>
      </c>
      <c r="BP31" s="196" t="str">
        <f t="shared" si="52"/>
        <v/>
      </c>
      <c r="BQ31" s="196"/>
      <c r="BS31" s="2100" t="str">
        <f t="shared" si="64"/>
        <v>Semaine numéro : 43</v>
      </c>
      <c r="BT31" s="2101"/>
      <c r="BU31" s="2101"/>
      <c r="BV31" s="2101"/>
      <c r="BW31" s="2101"/>
      <c r="BX31" s="2102"/>
      <c r="BY31" s="1115"/>
      <c r="BZ31" s="656">
        <f t="shared" si="65"/>
        <v>0</v>
      </c>
      <c r="CA31" s="655">
        <f t="shared" si="62"/>
        <v>0</v>
      </c>
      <c r="CB31" s="196">
        <f t="shared" si="63"/>
        <v>0</v>
      </c>
      <c r="CC31" s="196">
        <f>+SUMIF(Septembre!$BK$20:$BK$50,AT7,Septembre!$AM$20:$AO$50)</f>
        <v>0</v>
      </c>
      <c r="CD31" s="196">
        <f>+SUMIF(Novembre!$BK$20:$BK$50,AT7,Novembre!$AM$20:$AO$50)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48">
        <f t="shared" si="53"/>
        <v>46307</v>
      </c>
      <c r="ER31" s="749">
        <f t="shared" si="10"/>
        <v>0</v>
      </c>
      <c r="ES31" s="750">
        <f t="shared" si="11"/>
        <v>0</v>
      </c>
      <c r="ET31" s="749">
        <f t="shared" si="12"/>
        <v>0</v>
      </c>
      <c r="EU31" s="750">
        <f t="shared" si="13"/>
        <v>0</v>
      </c>
      <c r="EV31" s="749" t="str">
        <f t="shared" si="14"/>
        <v/>
      </c>
      <c r="EW31" s="751">
        <f t="shared" si="29"/>
        <v>46307</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42</v>
      </c>
      <c r="GA31" s="129">
        <f t="shared" si="39"/>
        <v>2026</v>
      </c>
      <c r="GB31" s="129" t="str">
        <f t="shared" si="40"/>
        <v>422026</v>
      </c>
      <c r="GC31" s="223">
        <f>IF(AND($GD$53=S.CAL!$P$3,$GD$52=FZ31),GE31,IF(BH31="",0,BH31))</f>
        <v>0</v>
      </c>
      <c r="GD31" s="129" t="str">
        <f>IFERROR(+Novembre!$BY$2&amp;BL31&amp;BM31,0)</f>
        <v>Fiche infoA1</v>
      </c>
      <c r="GE31" s="129" t="str">
        <f t="shared" si="19"/>
        <v/>
      </c>
      <c r="GF31" s="223" t="str">
        <f t="shared" si="41"/>
        <v/>
      </c>
      <c r="GG31" s="1446" t="str">
        <f>+'Retenue Oct'!D29</f>
        <v/>
      </c>
      <c r="GH31" s="1446">
        <f>IF(Identification!$B$132="Non",+'Retenue Oct'!BF29,+'Retenue Oct'!BE29)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46308</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46308</v>
      </c>
      <c r="AX32" s="1761"/>
      <c r="AY32" s="314"/>
      <c r="AZ32" s="1104"/>
      <c r="BA32" s="973"/>
      <c r="BB32" s="543"/>
      <c r="BC32" s="548">
        <f t="shared" si="23"/>
        <v>0</v>
      </c>
      <c r="BD32" s="1104"/>
      <c r="BE32" s="807">
        <f t="shared" si="24"/>
        <v>0</v>
      </c>
      <c r="BF32" s="1128"/>
      <c r="BG32" s="222"/>
      <c r="BH32" s="548" t="str">
        <f t="shared" si="25"/>
        <v/>
      </c>
      <c r="BI32" s="1128"/>
      <c r="BJ32" s="129" t="str">
        <f t="shared" si="26"/>
        <v>Fiche infoA2</v>
      </c>
      <c r="BK32" s="129">
        <f t="shared" si="49"/>
        <v>42</v>
      </c>
      <c r="BL32" s="129" t="str">
        <f t="shared" si="4"/>
        <v>A</v>
      </c>
      <c r="BM32" s="129">
        <f t="shared" si="50"/>
        <v>2</v>
      </c>
      <c r="BN32" s="223" t="str">
        <f t="shared" si="60"/>
        <v>Fiche info</v>
      </c>
      <c r="BO32" s="314" t="str">
        <f t="shared" si="51"/>
        <v/>
      </c>
      <c r="BP32" s="196" t="str">
        <f t="shared" si="52"/>
        <v/>
      </c>
      <c r="BQ32" s="196"/>
      <c r="BS32" s="2100" t="str">
        <f t="shared" si="64"/>
        <v>Semaine numéro : 44</v>
      </c>
      <c r="BT32" s="2101"/>
      <c r="BU32" s="2101"/>
      <c r="BV32" s="2101"/>
      <c r="BW32" s="2101"/>
      <c r="BX32" s="2102"/>
      <c r="BY32" s="1115"/>
      <c r="BZ32" s="656">
        <f t="shared" si="65"/>
        <v>0</v>
      </c>
      <c r="CA32" s="655">
        <f t="shared" si="62"/>
        <v>0</v>
      </c>
      <c r="CB32" s="196">
        <f t="shared" si="63"/>
        <v>0</v>
      </c>
      <c r="CC32" s="196">
        <f>+SUMIF(Septembre!$BK$20:$BK$50,AT8,Septembre!$AM$20:$AO$50)</f>
        <v>0</v>
      </c>
      <c r="CD32" s="196">
        <f>+SUMIF(Novembre!$BK$20:$BK$50,AT8,Novembre!$AM$20:$AO$50)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46308</v>
      </c>
      <c r="ER32" s="749">
        <f t="shared" si="10"/>
        <v>0</v>
      </c>
      <c r="ES32" s="750">
        <f t="shared" si="11"/>
        <v>0</v>
      </c>
      <c r="ET32" s="749">
        <f t="shared" si="12"/>
        <v>0</v>
      </c>
      <c r="EU32" s="750">
        <f t="shared" si="13"/>
        <v>0</v>
      </c>
      <c r="EV32" s="749" t="str">
        <f t="shared" si="14"/>
        <v/>
      </c>
      <c r="EW32" s="751">
        <f t="shared" si="29"/>
        <v>46308</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42</v>
      </c>
      <c r="GA32" s="129">
        <f t="shared" si="39"/>
        <v>2026</v>
      </c>
      <c r="GB32" s="129" t="str">
        <f t="shared" si="40"/>
        <v>422026</v>
      </c>
      <c r="GC32" s="223">
        <f>IF(AND($GD$53=S.CAL!$P$3,$GD$52=FZ32),GE32,IF(BH32="",0,BH32))</f>
        <v>0</v>
      </c>
      <c r="GD32" s="129" t="str">
        <f>IFERROR(+Novembre!$BY$2&amp;BL32&amp;BM32,0)</f>
        <v>Fiche infoA2</v>
      </c>
      <c r="GE32" s="129" t="str">
        <f t="shared" si="19"/>
        <v/>
      </c>
      <c r="GF32" s="223" t="str">
        <f t="shared" si="41"/>
        <v/>
      </c>
      <c r="GG32" s="1446" t="str">
        <f>+'Retenue Oct'!D30</f>
        <v/>
      </c>
      <c r="GH32" s="1446">
        <f>IF(Identification!$B$132="Non",+'Retenue Oct'!BF30,+'Retenue Oct'!BE30)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46309</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46309</v>
      </c>
      <c r="AX33" s="1761"/>
      <c r="AY33" s="314"/>
      <c r="AZ33" s="1104"/>
      <c r="BA33" s="973"/>
      <c r="BB33" s="543"/>
      <c r="BC33" s="548">
        <f t="shared" si="23"/>
        <v>0</v>
      </c>
      <c r="BD33" s="1104"/>
      <c r="BE33" s="807">
        <f t="shared" si="24"/>
        <v>0</v>
      </c>
      <c r="BF33" s="1128"/>
      <c r="BG33" s="222"/>
      <c r="BH33" s="548" t="str">
        <f t="shared" si="25"/>
        <v/>
      </c>
      <c r="BI33" s="1128"/>
      <c r="BJ33" s="129" t="str">
        <f t="shared" si="26"/>
        <v>Fiche infoA3</v>
      </c>
      <c r="BK33" s="129">
        <f t="shared" si="49"/>
        <v>42</v>
      </c>
      <c r="BL33" s="129" t="str">
        <f t="shared" si="4"/>
        <v>A</v>
      </c>
      <c r="BM33" s="129">
        <f t="shared" si="50"/>
        <v>3</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196">
        <f>+SUMIF(Septembre!$BK$20:$BK$50,AT9,Septembre!$AM$20:$AO$50)</f>
        <v>0</v>
      </c>
      <c r="CD33" s="196">
        <f>+SUMIF(Novembre!$BK$20:$BK$50,AT9,Novembre!$AM$20:$AO$50)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48">
        <f t="shared" si="53"/>
        <v>46309</v>
      </c>
      <c r="ER33" s="749">
        <f t="shared" si="10"/>
        <v>0</v>
      </c>
      <c r="ES33" s="750">
        <f t="shared" si="11"/>
        <v>0</v>
      </c>
      <c r="ET33" s="749">
        <f t="shared" si="12"/>
        <v>0</v>
      </c>
      <c r="EU33" s="750">
        <f t="shared" si="13"/>
        <v>0</v>
      </c>
      <c r="EV33" s="749" t="str">
        <f t="shared" si="14"/>
        <v/>
      </c>
      <c r="EW33" s="751">
        <f t="shared" si="29"/>
        <v>46309</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42</v>
      </c>
      <c r="GA33" s="129">
        <f t="shared" si="39"/>
        <v>2026</v>
      </c>
      <c r="GB33" s="129" t="str">
        <f t="shared" si="40"/>
        <v>422026</v>
      </c>
      <c r="GC33" s="223">
        <f>IF(AND($GD$53=S.CAL!$P$3,$GD$52=FZ33),GE33,IF(BH33="",0,BH33))</f>
        <v>0</v>
      </c>
      <c r="GD33" s="129" t="str">
        <f>IFERROR(+Novembre!$BY$2&amp;BL33&amp;BM33,0)</f>
        <v>Fiche infoA3</v>
      </c>
      <c r="GE33" s="129" t="str">
        <f t="shared" si="19"/>
        <v/>
      </c>
      <c r="GF33" s="223" t="str">
        <f t="shared" si="41"/>
        <v/>
      </c>
      <c r="GG33" s="1446" t="str">
        <f>+'Retenue Oct'!D31</f>
        <v/>
      </c>
      <c r="GH33" s="1446">
        <f>IF(Identification!$B$132="Non",+'Retenue Oct'!BF31,+'Retenue Oct'!BE31)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46310</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46310</v>
      </c>
      <c r="AX34" s="1761"/>
      <c r="AY34" s="314"/>
      <c r="AZ34" s="1104"/>
      <c r="BA34" s="973"/>
      <c r="BB34" s="543"/>
      <c r="BC34" s="548">
        <f t="shared" si="23"/>
        <v>0</v>
      </c>
      <c r="BD34" s="1104"/>
      <c r="BE34" s="807">
        <f t="shared" si="24"/>
        <v>0</v>
      </c>
      <c r="BF34" s="1128"/>
      <c r="BG34" s="222"/>
      <c r="BH34" s="548" t="str">
        <f t="shared" si="25"/>
        <v/>
      </c>
      <c r="BI34" s="1128"/>
      <c r="BJ34" s="129" t="str">
        <f t="shared" si="26"/>
        <v>Fiche infoA4</v>
      </c>
      <c r="BK34" s="129">
        <f t="shared" si="49"/>
        <v>42</v>
      </c>
      <c r="BL34" s="129" t="str">
        <f t="shared" si="4"/>
        <v>A</v>
      </c>
      <c r="BM34" s="129">
        <f t="shared" si="50"/>
        <v>4</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46310</v>
      </c>
      <c r="ER34" s="749">
        <f t="shared" si="10"/>
        <v>0</v>
      </c>
      <c r="ES34" s="750">
        <f t="shared" si="11"/>
        <v>0</v>
      </c>
      <c r="ET34" s="749">
        <f t="shared" si="12"/>
        <v>0</v>
      </c>
      <c r="EU34" s="750">
        <f t="shared" si="13"/>
        <v>0</v>
      </c>
      <c r="EV34" s="749" t="str">
        <f t="shared" si="14"/>
        <v/>
      </c>
      <c r="EW34" s="751">
        <f t="shared" si="29"/>
        <v>46310</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42</v>
      </c>
      <c r="GA34" s="129">
        <f t="shared" si="39"/>
        <v>2026</v>
      </c>
      <c r="GB34" s="129" t="str">
        <f t="shared" si="40"/>
        <v>422026</v>
      </c>
      <c r="GC34" s="223">
        <f>IF(AND($GD$53=S.CAL!$P$3,$GD$52=FZ34),GE34,IF(BH34="",0,BH34))</f>
        <v>0</v>
      </c>
      <c r="GD34" s="129" t="str">
        <f>IFERROR(+Novembre!$BY$2&amp;BL34&amp;BM34,0)</f>
        <v>Fiche infoA4</v>
      </c>
      <c r="GE34" s="129" t="str">
        <f t="shared" si="19"/>
        <v/>
      </c>
      <c r="GF34" s="223" t="str">
        <f t="shared" si="41"/>
        <v/>
      </c>
      <c r="GG34" s="1446" t="str">
        <f>+'Retenue Oct'!D32</f>
        <v/>
      </c>
      <c r="GH34" s="1446">
        <f>IF(Identification!$B$132="Non",+'Retenue Oct'!BF32,+'Retenue Oct'!BE32)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46311</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2"/>
        <v>46311</v>
      </c>
      <c r="AX35" s="1761"/>
      <c r="AY35" s="314"/>
      <c r="AZ35" s="1104"/>
      <c r="BA35" s="973"/>
      <c r="BB35" s="543"/>
      <c r="BC35" s="548">
        <f t="shared" si="23"/>
        <v>0</v>
      </c>
      <c r="BD35" s="1104"/>
      <c r="BE35" s="807">
        <f t="shared" si="24"/>
        <v>0</v>
      </c>
      <c r="BF35" s="1128"/>
      <c r="BG35" s="222"/>
      <c r="BH35" s="548" t="str">
        <f t="shared" si="25"/>
        <v/>
      </c>
      <c r="BI35" s="1128"/>
      <c r="BJ35" s="129" t="str">
        <f t="shared" si="26"/>
        <v>Fiche infoA5</v>
      </c>
      <c r="BK35" s="129">
        <f t="shared" si="49"/>
        <v>42</v>
      </c>
      <c r="BL35" s="129" t="str">
        <f t="shared" si="4"/>
        <v>A</v>
      </c>
      <c r="BM35" s="129">
        <f t="shared" si="50"/>
        <v>5</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46311</v>
      </c>
      <c r="ER35" s="749">
        <f t="shared" si="10"/>
        <v>0</v>
      </c>
      <c r="ES35" s="750">
        <f t="shared" si="11"/>
        <v>0</v>
      </c>
      <c r="ET35" s="749">
        <f t="shared" si="12"/>
        <v>0</v>
      </c>
      <c r="EU35" s="750">
        <f t="shared" si="13"/>
        <v>0</v>
      </c>
      <c r="EV35" s="749" t="str">
        <f t="shared" si="14"/>
        <v/>
      </c>
      <c r="EW35" s="751">
        <f t="shared" si="29"/>
        <v>46311</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42</v>
      </c>
      <c r="GA35" s="129">
        <f t="shared" si="39"/>
        <v>2026</v>
      </c>
      <c r="GB35" s="129" t="str">
        <f t="shared" si="40"/>
        <v>422026</v>
      </c>
      <c r="GC35" s="223">
        <f>IF(AND($GD$53=S.CAL!$P$3,$GD$52=FZ35),GE35,IF(BH35="",0,BH35))</f>
        <v>0</v>
      </c>
      <c r="GD35" s="129" t="str">
        <f>IFERROR(+Novembre!$BY$2&amp;BL35&amp;BM35,0)</f>
        <v>Fiche infoA5</v>
      </c>
      <c r="GE35" s="129" t="str">
        <f t="shared" si="19"/>
        <v/>
      </c>
      <c r="GF35" s="223" t="str">
        <f t="shared" si="41"/>
        <v/>
      </c>
      <c r="GG35" s="1446" t="str">
        <f>+'Retenue Oct'!D33</f>
        <v/>
      </c>
      <c r="GH35" s="1446">
        <f>IF(Identification!$B$132="Non",+'Retenue Oct'!BF33,+'Retenue Oct'!BE33)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46312</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46312</v>
      </c>
      <c r="AX36" s="1761"/>
      <c r="AY36" s="314"/>
      <c r="AZ36" s="1104"/>
      <c r="BA36" s="973"/>
      <c r="BB36" s="543"/>
      <c r="BC36" s="548">
        <f t="shared" si="23"/>
        <v>0</v>
      </c>
      <c r="BD36" s="1104"/>
      <c r="BE36" s="807">
        <f t="shared" si="24"/>
        <v>0</v>
      </c>
      <c r="BF36" s="1128"/>
      <c r="BG36" s="222"/>
      <c r="BH36" s="548" t="str">
        <f t="shared" si="25"/>
        <v/>
      </c>
      <c r="BI36" s="1128"/>
      <c r="BJ36" s="129" t="str">
        <f t="shared" si="26"/>
        <v>Fiche infoA6</v>
      </c>
      <c r="BK36" s="129">
        <f t="shared" si="49"/>
        <v>42</v>
      </c>
      <c r="BL36" s="129" t="str">
        <f t="shared" si="4"/>
        <v>A</v>
      </c>
      <c r="BM36" s="129">
        <f t="shared" si="50"/>
        <v>6</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46312</v>
      </c>
      <c r="ER36" s="749">
        <f t="shared" si="10"/>
        <v>0</v>
      </c>
      <c r="ES36" s="750">
        <f t="shared" si="11"/>
        <v>0</v>
      </c>
      <c r="ET36" s="749">
        <f t="shared" si="12"/>
        <v>0</v>
      </c>
      <c r="EU36" s="750">
        <f t="shared" si="13"/>
        <v>0</v>
      </c>
      <c r="EV36" s="749" t="str">
        <f t="shared" si="14"/>
        <v/>
      </c>
      <c r="EW36" s="751">
        <f t="shared" si="29"/>
        <v>46312</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42</v>
      </c>
      <c r="GA36" s="129">
        <f t="shared" si="39"/>
        <v>2026</v>
      </c>
      <c r="GB36" s="129" t="str">
        <f t="shared" si="40"/>
        <v>422026</v>
      </c>
      <c r="GC36" s="223">
        <f>IF(AND($GD$53=S.CAL!$P$3,$GD$52=FZ36),GE36,IF(BH36="",0,BH36))</f>
        <v>0</v>
      </c>
      <c r="GD36" s="129" t="str">
        <f>IFERROR(+Novembre!$BY$2&amp;BL36&amp;BM36,0)</f>
        <v>Fiche infoA6</v>
      </c>
      <c r="GE36" s="129" t="str">
        <f t="shared" si="19"/>
        <v/>
      </c>
      <c r="GF36" s="223" t="str">
        <f t="shared" si="41"/>
        <v/>
      </c>
      <c r="GG36" s="1446" t="str">
        <f>+'Retenue Oct'!D34</f>
        <v/>
      </c>
      <c r="GH36" s="1446">
        <f>IF(Identification!$B$132="Non",+'Retenue Oct'!BF34,+'Retenue Oct'!BE34)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46313</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46313</v>
      </c>
      <c r="AX37" s="1761"/>
      <c r="AY37" s="314"/>
      <c r="AZ37" s="1104"/>
      <c r="BA37" s="973"/>
      <c r="BB37" s="543"/>
      <c r="BC37" s="548">
        <f t="shared" si="23"/>
        <v>0</v>
      </c>
      <c r="BD37" s="1104"/>
      <c r="BE37" s="807">
        <f t="shared" si="24"/>
        <v>0</v>
      </c>
      <c r="BF37" s="1128"/>
      <c r="BG37" s="222"/>
      <c r="BH37" s="548" t="str">
        <f t="shared" si="25"/>
        <v/>
      </c>
      <c r="BI37" s="1128"/>
      <c r="BJ37" s="129" t="str">
        <f t="shared" si="26"/>
        <v>Fiche infoA7</v>
      </c>
      <c r="BK37" s="129">
        <f t="shared" si="49"/>
        <v>42</v>
      </c>
      <c r="BL37" s="129" t="str">
        <f t="shared" si="4"/>
        <v>A</v>
      </c>
      <c r="BM37" s="129">
        <f t="shared" si="50"/>
        <v>7</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46313</v>
      </c>
      <c r="ER37" s="749">
        <f t="shared" si="10"/>
        <v>0</v>
      </c>
      <c r="ES37" s="750">
        <f t="shared" si="11"/>
        <v>0</v>
      </c>
      <c r="ET37" s="749">
        <f t="shared" si="12"/>
        <v>0</v>
      </c>
      <c r="EU37" s="750">
        <f t="shared" si="13"/>
        <v>0</v>
      </c>
      <c r="EV37" s="749" t="str">
        <f t="shared" si="14"/>
        <v/>
      </c>
      <c r="EW37" s="751">
        <f t="shared" si="29"/>
        <v>46313</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42</v>
      </c>
      <c r="GA37" s="129">
        <f t="shared" si="39"/>
        <v>2026</v>
      </c>
      <c r="GB37" s="129" t="str">
        <f t="shared" si="40"/>
        <v>422026</v>
      </c>
      <c r="GC37" s="223">
        <f>IF(AND($GD$53=S.CAL!$P$3,$GD$52=FZ37),GE37,IF(BH37="",0,BH37))</f>
        <v>0</v>
      </c>
      <c r="GD37" s="129" t="str">
        <f>IFERROR(+Novembre!$BY$2&amp;BL37&amp;BM37,0)</f>
        <v>Fiche infoA7</v>
      </c>
      <c r="GE37" s="129" t="str">
        <f t="shared" si="19"/>
        <v/>
      </c>
      <c r="GF37" s="223" t="str">
        <f t="shared" si="41"/>
        <v/>
      </c>
      <c r="GG37" s="1446" t="str">
        <f>+'Retenue Oct'!D35</f>
        <v/>
      </c>
      <c r="GH37" s="1446">
        <f>IF(Identification!$B$132="Non",+'Retenue Oct'!BF35,+'Retenue Oct'!BE35)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46314</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f t="shared" si="48"/>
        <v>43</v>
      </c>
      <c r="AQ38" s="322"/>
      <c r="AR38" s="1104"/>
      <c r="AS38" s="314">
        <f t="shared" si="3"/>
        <v>0</v>
      </c>
      <c r="AT38" s="1125"/>
      <c r="AU38" s="1125"/>
      <c r="AV38" s="314"/>
      <c r="AW38" s="1791">
        <f t="shared" si="22"/>
        <v>46314</v>
      </c>
      <c r="AX38" s="1761"/>
      <c r="AY38" s="314"/>
      <c r="AZ38" s="1104"/>
      <c r="BA38" s="973"/>
      <c r="BB38" s="543"/>
      <c r="BC38" s="548">
        <f t="shared" si="23"/>
        <v>0</v>
      </c>
      <c r="BD38" s="1104"/>
      <c r="BE38" s="807">
        <f t="shared" si="24"/>
        <v>0</v>
      </c>
      <c r="BF38" s="1128"/>
      <c r="BG38" s="222"/>
      <c r="BH38" s="548" t="str">
        <f t="shared" si="25"/>
        <v/>
      </c>
      <c r="BI38" s="1128"/>
      <c r="BJ38" s="129" t="str">
        <f t="shared" si="26"/>
        <v>Fiche infoA1</v>
      </c>
      <c r="BK38" s="129">
        <f t="shared" si="49"/>
        <v>43</v>
      </c>
      <c r="BL38" s="129" t="str">
        <f t="shared" si="4"/>
        <v>A</v>
      </c>
      <c r="BM38" s="129">
        <f t="shared" si="50"/>
        <v>1</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46314</v>
      </c>
      <c r="ER38" s="749">
        <f t="shared" si="10"/>
        <v>0</v>
      </c>
      <c r="ES38" s="750">
        <f t="shared" si="11"/>
        <v>0</v>
      </c>
      <c r="ET38" s="749">
        <f t="shared" si="12"/>
        <v>0</v>
      </c>
      <c r="EU38" s="750">
        <f t="shared" si="13"/>
        <v>0</v>
      </c>
      <c r="EV38" s="749" t="str">
        <f t="shared" si="14"/>
        <v/>
      </c>
      <c r="EW38" s="751">
        <f t="shared" si="29"/>
        <v>46314</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43</v>
      </c>
      <c r="GA38" s="129">
        <f t="shared" si="39"/>
        <v>2026</v>
      </c>
      <c r="GB38" s="129" t="str">
        <f t="shared" si="40"/>
        <v>432026</v>
      </c>
      <c r="GC38" s="223">
        <f>IF(AND($GD$53=S.CAL!$P$3,$GD$52=FZ38),GE38,IF(BH38="",0,BH38))</f>
        <v>0</v>
      </c>
      <c r="GD38" s="129" t="str">
        <f>IFERROR(+Novembre!$BY$2&amp;BL38&amp;BM38,0)</f>
        <v>Fiche infoA1</v>
      </c>
      <c r="GE38" s="129" t="str">
        <f t="shared" si="19"/>
        <v/>
      </c>
      <c r="GF38" s="223" t="str">
        <f t="shared" si="41"/>
        <v/>
      </c>
      <c r="GG38" s="1446" t="str">
        <f>+'Retenue Oct'!D36</f>
        <v/>
      </c>
      <c r="GH38" s="1446">
        <f>IF(Identification!$B$132="Non",+'Retenue Oct'!BF36,+'Retenue Oct'!BE36)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46315</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46315</v>
      </c>
      <c r="AX39" s="1761"/>
      <c r="AY39" s="314"/>
      <c r="AZ39" s="1104"/>
      <c r="BA39" s="973"/>
      <c r="BB39" s="543"/>
      <c r="BC39" s="548">
        <f t="shared" si="23"/>
        <v>0</v>
      </c>
      <c r="BD39" s="1104"/>
      <c r="BE39" s="807">
        <f t="shared" si="24"/>
        <v>0</v>
      </c>
      <c r="BF39" s="1128"/>
      <c r="BG39" s="222"/>
      <c r="BH39" s="548" t="str">
        <f t="shared" si="25"/>
        <v/>
      </c>
      <c r="BI39" s="1128"/>
      <c r="BJ39" s="129" t="str">
        <f t="shared" si="26"/>
        <v>Fiche infoA2</v>
      </c>
      <c r="BK39" s="129">
        <f t="shared" si="49"/>
        <v>43</v>
      </c>
      <c r="BL39" s="129" t="str">
        <f t="shared" si="4"/>
        <v>A</v>
      </c>
      <c r="BM39" s="129">
        <f t="shared" si="50"/>
        <v>2</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46315</v>
      </c>
      <c r="ER39" s="749">
        <f t="shared" si="10"/>
        <v>0</v>
      </c>
      <c r="ES39" s="750">
        <f t="shared" si="11"/>
        <v>0</v>
      </c>
      <c r="ET39" s="749">
        <f t="shared" si="12"/>
        <v>0</v>
      </c>
      <c r="EU39" s="750">
        <f t="shared" si="13"/>
        <v>0</v>
      </c>
      <c r="EV39" s="749" t="str">
        <f t="shared" si="14"/>
        <v/>
      </c>
      <c r="EW39" s="751">
        <f t="shared" si="29"/>
        <v>46315</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43</v>
      </c>
      <c r="GA39" s="129">
        <f t="shared" si="39"/>
        <v>2026</v>
      </c>
      <c r="GB39" s="129" t="str">
        <f t="shared" si="40"/>
        <v>432026</v>
      </c>
      <c r="GC39" s="223">
        <f>IF(AND($GD$53=S.CAL!$P$3,$GD$52=FZ39),GE39,IF(BH39="",0,BH39))</f>
        <v>0</v>
      </c>
      <c r="GD39" s="129" t="str">
        <f>IFERROR(+Novembre!$BY$2&amp;BL39&amp;BM39,0)</f>
        <v>Fiche infoA2</v>
      </c>
      <c r="GE39" s="129" t="str">
        <f t="shared" si="19"/>
        <v/>
      </c>
      <c r="GF39" s="223" t="str">
        <f t="shared" si="41"/>
        <v/>
      </c>
      <c r="GG39" s="1446" t="str">
        <f>+'Retenue Oct'!D37</f>
        <v/>
      </c>
      <c r="GH39" s="1446">
        <f>IF(Identification!$B$132="Non",+'Retenue Oct'!BF37,+'Retenue Oct'!BE37)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46316</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46316</v>
      </c>
      <c r="AX40" s="1761"/>
      <c r="AY40" s="314"/>
      <c r="AZ40" s="1104"/>
      <c r="BA40" s="973"/>
      <c r="BB40" s="543"/>
      <c r="BC40" s="548">
        <f t="shared" si="23"/>
        <v>0</v>
      </c>
      <c r="BD40" s="1104"/>
      <c r="BE40" s="807">
        <f t="shared" si="24"/>
        <v>0</v>
      </c>
      <c r="BF40" s="1128"/>
      <c r="BG40" s="222"/>
      <c r="BH40" s="548" t="str">
        <f t="shared" si="25"/>
        <v/>
      </c>
      <c r="BI40" s="1128"/>
      <c r="BJ40" s="129" t="str">
        <f t="shared" si="26"/>
        <v>Fiche infoA3</v>
      </c>
      <c r="BK40" s="129">
        <f t="shared" si="49"/>
        <v>43</v>
      </c>
      <c r="BL40" s="129" t="str">
        <f t="shared" si="4"/>
        <v>A</v>
      </c>
      <c r="BM40" s="129">
        <f t="shared" si="50"/>
        <v>3</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Oct'!P27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46316</v>
      </c>
      <c r="ER40" s="749">
        <f t="shared" si="10"/>
        <v>0</v>
      </c>
      <c r="ES40" s="750">
        <f t="shared" si="11"/>
        <v>0</v>
      </c>
      <c r="ET40" s="749">
        <f t="shared" si="12"/>
        <v>0</v>
      </c>
      <c r="EU40" s="750">
        <f t="shared" si="13"/>
        <v>0</v>
      </c>
      <c r="EV40" s="749" t="str">
        <f t="shared" si="14"/>
        <v/>
      </c>
      <c r="EW40" s="751">
        <f t="shared" si="29"/>
        <v>46316</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43</v>
      </c>
      <c r="GA40" s="129">
        <f t="shared" si="39"/>
        <v>2026</v>
      </c>
      <c r="GB40" s="129" t="str">
        <f t="shared" si="40"/>
        <v>432026</v>
      </c>
      <c r="GC40" s="223">
        <f>IF(AND($GD$53=S.CAL!$P$3,$GD$52=FZ40),GE40,IF(BH40="",0,BH40))</f>
        <v>0</v>
      </c>
      <c r="GD40" s="129" t="str">
        <f>IFERROR(+Novembre!$BY$2&amp;BL40&amp;BM40,0)</f>
        <v>Fiche infoA3</v>
      </c>
      <c r="GE40" s="129" t="str">
        <f t="shared" si="19"/>
        <v/>
      </c>
      <c r="GF40" s="223" t="str">
        <f t="shared" si="41"/>
        <v/>
      </c>
      <c r="GG40" s="1446" t="str">
        <f>+'Retenue Oct'!D38</f>
        <v/>
      </c>
      <c r="GH40" s="1446">
        <f>IF(Identification!$B$132="Non",+'Retenue Oct'!BF38,+'Retenue Oct'!BE38)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46317</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46317</v>
      </c>
      <c r="AX41" s="1761"/>
      <c r="AY41" s="314"/>
      <c r="AZ41" s="1104"/>
      <c r="BA41" s="973"/>
      <c r="BB41" s="543"/>
      <c r="BC41" s="548">
        <f t="shared" si="23"/>
        <v>0</v>
      </c>
      <c r="BD41" s="1104"/>
      <c r="BE41" s="807">
        <f t="shared" si="24"/>
        <v>0</v>
      </c>
      <c r="BF41" s="1128"/>
      <c r="BG41" s="222"/>
      <c r="BH41" s="548" t="str">
        <f t="shared" si="25"/>
        <v/>
      </c>
      <c r="BI41" s="1128"/>
      <c r="BJ41" s="129" t="str">
        <f t="shared" si="26"/>
        <v>Fiche infoA4</v>
      </c>
      <c r="BK41" s="129">
        <f t="shared" si="49"/>
        <v>43</v>
      </c>
      <c r="BL41" s="129" t="str">
        <f t="shared" si="4"/>
        <v>A</v>
      </c>
      <c r="BM41" s="129">
        <f t="shared" si="50"/>
        <v>4</v>
      </c>
      <c r="BN41" s="223" t="str">
        <f t="shared" si="60"/>
        <v>Fiche info</v>
      </c>
      <c r="BO41" s="314" t="str">
        <f t="shared" si="51"/>
        <v/>
      </c>
      <c r="BP41" s="196" t="str">
        <f t="shared" si="52"/>
        <v/>
      </c>
      <c r="BQ41" s="1948" t="s">
        <v>1047</v>
      </c>
      <c r="BR41" s="1948"/>
      <c r="BS41" s="1948"/>
      <c r="BT41" s="1948"/>
      <c r="BU41" s="1948"/>
      <c r="BV41" s="1948"/>
      <c r="BW41" s="583" t="str">
        <f>+IF(BX41="",Septembre!BW41,BX41)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46317</v>
      </c>
      <c r="ER41" s="749">
        <f t="shared" si="10"/>
        <v>0</v>
      </c>
      <c r="ES41" s="750">
        <f t="shared" si="11"/>
        <v>0</v>
      </c>
      <c r="ET41" s="749">
        <f t="shared" si="12"/>
        <v>0</v>
      </c>
      <c r="EU41" s="750">
        <f t="shared" si="13"/>
        <v>0</v>
      </c>
      <c r="EV41" s="749" t="str">
        <f t="shared" si="14"/>
        <v/>
      </c>
      <c r="EW41" s="751">
        <f t="shared" si="29"/>
        <v>46317</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43</v>
      </c>
      <c r="GA41" s="129">
        <f t="shared" si="39"/>
        <v>2026</v>
      </c>
      <c r="GB41" s="129" t="str">
        <f t="shared" si="40"/>
        <v>432026</v>
      </c>
      <c r="GC41" s="223">
        <f>IF(AND($GD$53=S.CAL!$P$3,$GD$52=FZ41),GE41,IF(BH41="",0,BH41))</f>
        <v>0</v>
      </c>
      <c r="GD41" s="129" t="str">
        <f>IFERROR(+Novembre!$BY$2&amp;BL41&amp;BM41,0)</f>
        <v>Fiche infoA4</v>
      </c>
      <c r="GE41" s="129" t="str">
        <f t="shared" si="19"/>
        <v/>
      </c>
      <c r="GF41" s="223" t="str">
        <f t="shared" si="41"/>
        <v/>
      </c>
      <c r="GG41" s="1446" t="str">
        <f>+'Retenue Oct'!D39</f>
        <v/>
      </c>
      <c r="GH41" s="1446">
        <f>IF(Identification!$B$132="Non",+'Retenue Oct'!BF39,+'Retenue Oct'!BE39)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46318</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2"/>
        <v>46318</v>
      </c>
      <c r="AX42" s="1761"/>
      <c r="AY42" s="314"/>
      <c r="AZ42" s="1104"/>
      <c r="BA42" s="973"/>
      <c r="BB42" s="543"/>
      <c r="BC42" s="548">
        <f t="shared" si="23"/>
        <v>0</v>
      </c>
      <c r="BD42" s="1104"/>
      <c r="BE42" s="807">
        <f t="shared" si="24"/>
        <v>0</v>
      </c>
      <c r="BF42" s="1128"/>
      <c r="BG42" s="222"/>
      <c r="BH42" s="548" t="str">
        <f t="shared" si="25"/>
        <v/>
      </c>
      <c r="BI42" s="1128"/>
      <c r="BJ42" s="129" t="str">
        <f t="shared" si="26"/>
        <v>Fiche infoA5</v>
      </c>
      <c r="BK42" s="129">
        <f t="shared" si="49"/>
        <v>43</v>
      </c>
      <c r="BL42" s="129" t="str">
        <f t="shared" si="4"/>
        <v>A</v>
      </c>
      <c r="BM42" s="129">
        <f t="shared" si="50"/>
        <v>5</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46318</v>
      </c>
      <c r="ER42" s="749">
        <f t="shared" si="10"/>
        <v>0</v>
      </c>
      <c r="ES42" s="750">
        <f t="shared" si="11"/>
        <v>0</v>
      </c>
      <c r="ET42" s="749">
        <f t="shared" si="12"/>
        <v>0</v>
      </c>
      <c r="EU42" s="750">
        <f t="shared" si="13"/>
        <v>0</v>
      </c>
      <c r="EV42" s="749" t="str">
        <f t="shared" si="14"/>
        <v/>
      </c>
      <c r="EW42" s="751">
        <f t="shared" si="29"/>
        <v>46318</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43</v>
      </c>
      <c r="GA42" s="129">
        <f t="shared" si="39"/>
        <v>2026</v>
      </c>
      <c r="GB42" s="129" t="str">
        <f t="shared" si="40"/>
        <v>432026</v>
      </c>
      <c r="GC42" s="223">
        <f>IF(AND($GD$53=S.CAL!$P$3,$GD$52=FZ42),GE42,IF(BH42="",0,BH42))</f>
        <v>0</v>
      </c>
      <c r="GD42" s="129" t="str">
        <f>IFERROR(+Novembre!$BY$2&amp;BL42&amp;BM42,0)</f>
        <v>Fiche infoA5</v>
      </c>
      <c r="GE42" s="129" t="str">
        <f t="shared" si="19"/>
        <v/>
      </c>
      <c r="GF42" s="223" t="str">
        <f t="shared" si="41"/>
        <v/>
      </c>
      <c r="GG42" s="1446" t="str">
        <f>+'Retenue Oct'!D40</f>
        <v/>
      </c>
      <c r="GH42" s="1446">
        <f>IF(Identification!$B$132="Non",+'Retenue Oct'!BF40,+'Retenue Oct'!BE40)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46319</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46319</v>
      </c>
      <c r="AX43" s="1761"/>
      <c r="AY43" s="314"/>
      <c r="AZ43" s="1104"/>
      <c r="BA43" s="973"/>
      <c r="BB43" s="543"/>
      <c r="BC43" s="548">
        <f t="shared" si="23"/>
        <v>0</v>
      </c>
      <c r="BD43" s="1104"/>
      <c r="BE43" s="807">
        <f t="shared" si="24"/>
        <v>0</v>
      </c>
      <c r="BF43" s="1128"/>
      <c r="BG43" s="222"/>
      <c r="BH43" s="548" t="str">
        <f t="shared" si="25"/>
        <v/>
      </c>
      <c r="BI43" s="1128"/>
      <c r="BJ43" s="129" t="str">
        <f t="shared" si="26"/>
        <v>Fiche infoA6</v>
      </c>
      <c r="BK43" s="129">
        <f t="shared" si="49"/>
        <v>43</v>
      </c>
      <c r="BL43" s="129" t="str">
        <f t="shared" si="4"/>
        <v>A</v>
      </c>
      <c r="BM43" s="129">
        <f t="shared" si="50"/>
        <v>6</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46319</v>
      </c>
      <c r="ER43" s="749">
        <f t="shared" si="10"/>
        <v>0</v>
      </c>
      <c r="ES43" s="750">
        <f t="shared" si="11"/>
        <v>0</v>
      </c>
      <c r="ET43" s="749">
        <f t="shared" si="12"/>
        <v>0</v>
      </c>
      <c r="EU43" s="750">
        <f t="shared" si="13"/>
        <v>0</v>
      </c>
      <c r="EV43" s="749" t="str">
        <f t="shared" si="14"/>
        <v/>
      </c>
      <c r="EW43" s="751">
        <f t="shared" si="29"/>
        <v>46319</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43</v>
      </c>
      <c r="GA43" s="129">
        <f t="shared" si="39"/>
        <v>2026</v>
      </c>
      <c r="GB43" s="129" t="str">
        <f t="shared" si="40"/>
        <v>432026</v>
      </c>
      <c r="GC43" s="223">
        <f>IF(AND($GD$53=S.CAL!$P$3,$GD$52=FZ43),GE43,IF(BH43="",0,BH43))</f>
        <v>0</v>
      </c>
      <c r="GD43" s="129" t="str">
        <f>IFERROR(+Novembre!$BY$2&amp;BL43&amp;BM43,0)</f>
        <v>Fiche infoA6</v>
      </c>
      <c r="GE43" s="129" t="str">
        <f t="shared" si="19"/>
        <v/>
      </c>
      <c r="GF43" s="223" t="str">
        <f t="shared" si="41"/>
        <v/>
      </c>
      <c r="GG43" s="1446" t="str">
        <f>+'Retenue Oct'!D41</f>
        <v/>
      </c>
      <c r="GH43" s="1446">
        <f>IF(Identification!$B$132="Non",+'Retenue Oct'!BF41,+'Retenue Oct'!BE41)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46320</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46320</v>
      </c>
      <c r="AX44" s="1761"/>
      <c r="AY44" s="314"/>
      <c r="AZ44" s="1104"/>
      <c r="BA44" s="973"/>
      <c r="BB44" s="543"/>
      <c r="BC44" s="548">
        <f t="shared" si="23"/>
        <v>0</v>
      </c>
      <c r="BD44" s="1104"/>
      <c r="BE44" s="807">
        <f t="shared" si="24"/>
        <v>0</v>
      </c>
      <c r="BF44" s="1128"/>
      <c r="BG44" s="222"/>
      <c r="BH44" s="548" t="str">
        <f t="shared" si="25"/>
        <v/>
      </c>
      <c r="BI44" s="1128"/>
      <c r="BJ44" s="129" t="str">
        <f t="shared" si="26"/>
        <v>Fiche infoA7</v>
      </c>
      <c r="BK44" s="129">
        <f t="shared" si="49"/>
        <v>43</v>
      </c>
      <c r="BL44" s="129" t="str">
        <f t="shared" si="4"/>
        <v>A</v>
      </c>
      <c r="BM44" s="129">
        <f t="shared" si="50"/>
        <v>7</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+IF(CC45="",Septembre!CC44,CC45)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46320</v>
      </c>
      <c r="ER44" s="749">
        <f t="shared" si="10"/>
        <v>0</v>
      </c>
      <c r="ES44" s="750">
        <f t="shared" si="11"/>
        <v>0</v>
      </c>
      <c r="ET44" s="749">
        <f t="shared" si="12"/>
        <v>0</v>
      </c>
      <c r="EU44" s="750">
        <f t="shared" si="13"/>
        <v>0</v>
      </c>
      <c r="EV44" s="749" t="str">
        <f t="shared" si="14"/>
        <v/>
      </c>
      <c r="EW44" s="751">
        <f t="shared" si="29"/>
        <v>46320</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43</v>
      </c>
      <c r="GA44" s="129">
        <f t="shared" si="39"/>
        <v>2026</v>
      </c>
      <c r="GB44" s="129" t="str">
        <f t="shared" si="40"/>
        <v>432026</v>
      </c>
      <c r="GC44" s="223">
        <f>IF(AND($GD$53=S.CAL!$P$3,$GD$52=FZ44),GE44,IF(BH44="",0,BH44))</f>
        <v>0</v>
      </c>
      <c r="GD44" s="129" t="str">
        <f>IFERROR(+Novembre!$BY$2&amp;BL44&amp;BM44,0)</f>
        <v>Fiche infoA7</v>
      </c>
      <c r="GE44" s="129" t="str">
        <f t="shared" si="19"/>
        <v/>
      </c>
      <c r="GF44" s="223" t="str">
        <f t="shared" si="41"/>
        <v/>
      </c>
      <c r="GG44" s="1446" t="str">
        <f>+'Retenue Oct'!D42</f>
        <v/>
      </c>
      <c r="GH44" s="1446">
        <f>IF(Identification!$B$132="Non",+'Retenue Oct'!BF42,+'Retenue Oct'!BE42)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46321</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f t="shared" si="48"/>
        <v>44</v>
      </c>
      <c r="AQ45" s="322"/>
      <c r="AR45" s="1104"/>
      <c r="AS45" s="314">
        <f t="shared" si="3"/>
        <v>0</v>
      </c>
      <c r="AT45" s="1125"/>
      <c r="AU45" s="1125"/>
      <c r="AV45" s="314"/>
      <c r="AW45" s="1791">
        <f t="shared" si="22"/>
        <v>46321</v>
      </c>
      <c r="AX45" s="1761"/>
      <c r="AY45" s="314"/>
      <c r="AZ45" s="1104"/>
      <c r="BA45" s="973"/>
      <c r="BB45" s="543"/>
      <c r="BC45" s="548">
        <f t="shared" si="23"/>
        <v>0</v>
      </c>
      <c r="BD45" s="1104"/>
      <c r="BE45" s="807">
        <f t="shared" si="24"/>
        <v>0</v>
      </c>
      <c r="BF45" s="1128"/>
      <c r="BG45" s="222"/>
      <c r="BH45" s="548" t="str">
        <f t="shared" si="25"/>
        <v/>
      </c>
      <c r="BI45" s="1128"/>
      <c r="BJ45" s="129" t="str">
        <f t="shared" si="26"/>
        <v>Fiche infoA1</v>
      </c>
      <c r="BK45" s="129">
        <f t="shared" si="49"/>
        <v>44</v>
      </c>
      <c r="BL45" s="129" t="str">
        <f t="shared" si="4"/>
        <v>A</v>
      </c>
      <c r="BM45" s="129">
        <f t="shared" si="50"/>
        <v>1</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46321</v>
      </c>
      <c r="ER45" s="749">
        <f t="shared" si="10"/>
        <v>0</v>
      </c>
      <c r="ES45" s="750">
        <f t="shared" si="11"/>
        <v>0</v>
      </c>
      <c r="ET45" s="749">
        <f t="shared" si="12"/>
        <v>0</v>
      </c>
      <c r="EU45" s="750">
        <f t="shared" si="13"/>
        <v>0</v>
      </c>
      <c r="EV45" s="749" t="str">
        <f t="shared" si="14"/>
        <v/>
      </c>
      <c r="EW45" s="751">
        <f t="shared" si="29"/>
        <v>46321</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44</v>
      </c>
      <c r="GA45" s="129">
        <f t="shared" si="39"/>
        <v>2026</v>
      </c>
      <c r="GB45" s="129" t="str">
        <f t="shared" si="40"/>
        <v>442026</v>
      </c>
      <c r="GC45" s="223">
        <f>IF(AND($GD$53=S.CAL!$P$3,$GD$52=FZ45),GE45,IF(BH45="",0,BH45))</f>
        <v>0</v>
      </c>
      <c r="GD45" s="129" t="str">
        <f>IFERROR(+Novembre!$BY$2&amp;BL45&amp;BM45,0)</f>
        <v>Fiche infoA1</v>
      </c>
      <c r="GE45" s="129" t="str">
        <f t="shared" si="19"/>
        <v/>
      </c>
      <c r="GF45" s="223" t="str">
        <f t="shared" si="41"/>
        <v/>
      </c>
      <c r="GG45" s="1446" t="str">
        <f>+'Retenue Oct'!D43</f>
        <v/>
      </c>
      <c r="GH45" s="1446">
        <f>IF(Identification!$B$132="Non",+'Retenue Oct'!BF43,+'Retenue Oct'!BE43)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46322</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46322</v>
      </c>
      <c r="AX46" s="1761"/>
      <c r="AY46" s="314"/>
      <c r="AZ46" s="1104"/>
      <c r="BA46" s="973"/>
      <c r="BB46" s="543"/>
      <c r="BC46" s="548">
        <f t="shared" si="23"/>
        <v>0</v>
      </c>
      <c r="BD46" s="1104"/>
      <c r="BE46" s="807">
        <f t="shared" si="24"/>
        <v>0</v>
      </c>
      <c r="BF46" s="1128"/>
      <c r="BG46" s="222"/>
      <c r="BH46" s="548" t="str">
        <f t="shared" si="25"/>
        <v/>
      </c>
      <c r="BI46" s="1128"/>
      <c r="BJ46" s="129" t="str">
        <f t="shared" si="26"/>
        <v>Fiche infoA2</v>
      </c>
      <c r="BK46" s="129">
        <f t="shared" si="49"/>
        <v>44</v>
      </c>
      <c r="BL46" s="129" t="str">
        <f t="shared" si="4"/>
        <v>A</v>
      </c>
      <c r="BM46" s="129">
        <f t="shared" si="50"/>
        <v>2</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46322</v>
      </c>
      <c r="ER46" s="749">
        <f t="shared" si="10"/>
        <v>0</v>
      </c>
      <c r="ES46" s="750">
        <f t="shared" si="11"/>
        <v>0</v>
      </c>
      <c r="ET46" s="749">
        <f t="shared" si="12"/>
        <v>0</v>
      </c>
      <c r="EU46" s="750">
        <f t="shared" si="13"/>
        <v>0</v>
      </c>
      <c r="EV46" s="749" t="str">
        <f t="shared" si="14"/>
        <v/>
      </c>
      <c r="EW46" s="751">
        <f t="shared" si="29"/>
        <v>46322</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44</v>
      </c>
      <c r="GA46" s="129">
        <f t="shared" si="39"/>
        <v>2026</v>
      </c>
      <c r="GB46" s="129" t="str">
        <f t="shared" si="40"/>
        <v>442026</v>
      </c>
      <c r="GC46" s="223">
        <f>IF(AND($GD$53=S.CAL!$P$3,$GD$52=FZ46),GE46,IF(BH46="",0,BH46))</f>
        <v>0</v>
      </c>
      <c r="GD46" s="129" t="str">
        <f>IFERROR(+Novembre!$BY$2&amp;BL46&amp;BM46,0)</f>
        <v>Fiche infoA2</v>
      </c>
      <c r="GE46" s="129" t="str">
        <f t="shared" si="19"/>
        <v/>
      </c>
      <c r="GF46" s="223" t="str">
        <f t="shared" si="41"/>
        <v/>
      </c>
      <c r="GG46" s="1446" t="str">
        <f>+'Retenue Oct'!D44</f>
        <v/>
      </c>
      <c r="GH46" s="1446">
        <f>IF(Identification!$B$132="Non",+'Retenue Oct'!BF44,+'Retenue Oct'!BE44)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46323</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46323</v>
      </c>
      <c r="AX47" s="1761"/>
      <c r="AY47" s="314"/>
      <c r="AZ47" s="1104"/>
      <c r="BA47" s="973"/>
      <c r="BB47" s="543"/>
      <c r="BC47" s="548">
        <f t="shared" si="23"/>
        <v>0</v>
      </c>
      <c r="BD47" s="1104"/>
      <c r="BE47" s="807">
        <f t="shared" si="24"/>
        <v>0</v>
      </c>
      <c r="BF47" s="1128"/>
      <c r="BG47" s="222"/>
      <c r="BH47" s="548" t="str">
        <f t="shared" si="25"/>
        <v/>
      </c>
      <c r="BI47" s="1128"/>
      <c r="BJ47" s="129" t="str">
        <f t="shared" si="26"/>
        <v>Fiche infoA3</v>
      </c>
      <c r="BK47" s="129">
        <f t="shared" si="49"/>
        <v>44</v>
      </c>
      <c r="BL47" s="129" t="str">
        <f t="shared" si="4"/>
        <v>A</v>
      </c>
      <c r="BM47" s="129">
        <f t="shared" si="50"/>
        <v>3</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IF(CF47="",Septembre!CE47,CF47)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46323</v>
      </c>
      <c r="ER47" s="749">
        <f t="shared" si="10"/>
        <v>0</v>
      </c>
      <c r="ES47" s="750">
        <f t="shared" si="11"/>
        <v>0</v>
      </c>
      <c r="ET47" s="749">
        <f t="shared" si="12"/>
        <v>0</v>
      </c>
      <c r="EU47" s="750">
        <f t="shared" si="13"/>
        <v>0</v>
      </c>
      <c r="EV47" s="749" t="str">
        <f t="shared" si="14"/>
        <v/>
      </c>
      <c r="EW47" s="751">
        <f t="shared" si="29"/>
        <v>46323</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44</v>
      </c>
      <c r="GA47" s="129">
        <f t="shared" si="39"/>
        <v>2026</v>
      </c>
      <c r="GB47" s="129" t="str">
        <f t="shared" si="40"/>
        <v>442026</v>
      </c>
      <c r="GC47" s="223">
        <f>IF(AND($GD$53=S.CAL!$P$3,$GD$52=FZ47),GE47,IF(BH47="",0,BH47))</f>
        <v>0</v>
      </c>
      <c r="GD47" s="129" t="str">
        <f>IFERROR(+Novembre!$BY$2&amp;BL47&amp;BM47,0)</f>
        <v>Fiche infoA3</v>
      </c>
      <c r="GE47" s="129" t="str">
        <f t="shared" si="19"/>
        <v/>
      </c>
      <c r="GF47" s="223" t="str">
        <f t="shared" si="41"/>
        <v/>
      </c>
      <c r="GG47" s="1446" t="str">
        <f>+'Retenue Oct'!D45</f>
        <v/>
      </c>
      <c r="GH47" s="1446">
        <f>IF(Identification!$B$132="Non",+'Retenue Oct'!BF45,+'Retenue Oct'!BE45)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46324</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46324</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infoA4</v>
      </c>
      <c r="BK48" s="129">
        <f t="shared" si="49"/>
        <v>44</v>
      </c>
      <c r="BL48" s="129" t="str">
        <f t="shared" si="4"/>
        <v>A</v>
      </c>
      <c r="BM48" s="129">
        <f>IFERROR(WEEKDAY(AB48,2),0)</f>
        <v>4</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46324</v>
      </c>
      <c r="ER48" s="749">
        <f t="shared" si="10"/>
        <v>0</v>
      </c>
      <c r="ES48" s="750">
        <f t="shared" si="11"/>
        <v>0</v>
      </c>
      <c r="ET48" s="749">
        <f t="shared" si="12"/>
        <v>0</v>
      </c>
      <c r="EU48" s="750">
        <f t="shared" si="13"/>
        <v>0</v>
      </c>
      <c r="EV48" s="749" t="str">
        <f t="shared" si="14"/>
        <v/>
      </c>
      <c r="EW48" s="751">
        <f t="shared" si="29"/>
        <v>46324</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44</v>
      </c>
      <c r="GA48" s="129">
        <f t="shared" si="39"/>
        <v>2026</v>
      </c>
      <c r="GB48" s="129" t="str">
        <f t="shared" si="40"/>
        <v>442026</v>
      </c>
      <c r="GC48" s="223">
        <f>IF(AND($GD$53=S.CAL!$P$3,$GD$52=FZ48),GE48,IF(BH48="",0,BH48))</f>
        <v>0</v>
      </c>
      <c r="GD48" s="129" t="str">
        <f>IFERROR(+Novembre!$BY$2&amp;BL48&amp;BM48,0)</f>
        <v>Fiche infoA4</v>
      </c>
      <c r="GE48" s="129" t="str">
        <f t="shared" si="19"/>
        <v/>
      </c>
      <c r="GF48" s="223" t="str">
        <f t="shared" si="41"/>
        <v/>
      </c>
      <c r="GG48" s="1446" t="str">
        <f>+'Retenue Oct'!D46</f>
        <v/>
      </c>
      <c r="GH48" s="1446">
        <f>IF(Identification!$B$132="Non",+'Retenue Oct'!BF46,+'Retenue Oct'!BE46)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46325</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2"/>
        <v>46325</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infoA5</v>
      </c>
      <c r="BK49" s="129">
        <f t="shared" si="49"/>
        <v>44</v>
      </c>
      <c r="BL49" s="129" t="str">
        <f t="shared" si="4"/>
        <v>A</v>
      </c>
      <c r="BM49" s="129">
        <f>IFERROR(WEEKDAY(AB49,2),0)</f>
        <v>5</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IF(CF49="",Septembre!CE49,CF49)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46325</v>
      </c>
      <c r="ER49" s="749">
        <f t="shared" si="10"/>
        <v>0</v>
      </c>
      <c r="ES49" s="750">
        <f t="shared" si="11"/>
        <v>0</v>
      </c>
      <c r="ET49" s="749">
        <f t="shared" si="12"/>
        <v>0</v>
      </c>
      <c r="EU49" s="750">
        <f t="shared" si="13"/>
        <v>0</v>
      </c>
      <c r="EV49" s="749" t="str">
        <f t="shared" si="14"/>
        <v/>
      </c>
      <c r="EW49" s="751">
        <f t="shared" si="29"/>
        <v>46325</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44</v>
      </c>
      <c r="GA49" s="129">
        <f t="shared" si="39"/>
        <v>2026</v>
      </c>
      <c r="GB49" s="129" t="str">
        <f t="shared" ref="GB49:GB50" si="67">+FZ49&amp;GA49</f>
        <v>442026</v>
      </c>
      <c r="GC49" s="223">
        <f>IF(AND($GD$53=S.CAL!$P$3,$GD$52=FZ49),GE49,IF(BH49="",0,BH49))</f>
        <v>0</v>
      </c>
      <c r="GD49" s="129" t="str">
        <f>IFERROR(+Novembre!$BY$2&amp;BL49&amp;BM49,0)</f>
        <v>Fiche infoA5</v>
      </c>
      <c r="GE49" s="129" t="str">
        <f t="shared" si="19"/>
        <v/>
      </c>
      <c r="GF49" s="223" t="str">
        <f t="shared" ref="GF49:GF50" si="68">IF(FP49=1,GG49,AM49)</f>
        <v/>
      </c>
      <c r="GG49" s="1446" t="str">
        <f>+'Retenue Oct'!D47</f>
        <v/>
      </c>
      <c r="GH49" s="1446">
        <f>IF(Identification!$B$132="Non",+'Retenue Oct'!BF47,+'Retenue Oct'!BE47)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f>IF(AB20+30&lt;DATE(YEAR(AB20),MONTH(AB20)+1,DAY(AB20)),AB20+30,"")</f>
        <v>46326</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f t="shared" si="22"/>
        <v>46326</v>
      </c>
      <c r="AX50" s="2027"/>
      <c r="AY50" s="314"/>
      <c r="AZ50" s="1105"/>
      <c r="BA50" s="974"/>
      <c r="BB50" s="543"/>
      <c r="BC50" s="546">
        <f t="shared" si="23"/>
        <v>0</v>
      </c>
      <c r="BD50" s="1105"/>
      <c r="BE50" s="808">
        <f t="shared" si="24"/>
        <v>0</v>
      </c>
      <c r="BF50" s="1129"/>
      <c r="BG50" s="222"/>
      <c r="BH50" s="546" t="str">
        <f t="shared" si="25"/>
        <v/>
      </c>
      <c r="BI50" s="1129"/>
      <c r="BJ50" s="129" t="str">
        <f t="shared" si="66"/>
        <v>Fiche infoA6</v>
      </c>
      <c r="BK50" s="129">
        <f t="shared" si="49"/>
        <v>44</v>
      </c>
      <c r="BL50" s="129" t="str">
        <f t="shared" si="4"/>
        <v>A</v>
      </c>
      <c r="BM50" s="129">
        <f>IFERROR(WEEKDAY(AB50,2),0)</f>
        <v>6</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f t="shared" si="53"/>
        <v>46326</v>
      </c>
      <c r="ER50" s="769">
        <f t="shared" si="10"/>
        <v>0</v>
      </c>
      <c r="ES50" s="770">
        <f t="shared" si="11"/>
        <v>0</v>
      </c>
      <c r="ET50" s="769">
        <f t="shared" si="12"/>
        <v>0</v>
      </c>
      <c r="EU50" s="770">
        <f t="shared" si="13"/>
        <v>0</v>
      </c>
      <c r="EV50" s="769" t="str">
        <f t="shared" si="14"/>
        <v/>
      </c>
      <c r="EW50" s="771">
        <f t="shared" si="29"/>
        <v>46326</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non</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FZ50" s="129">
        <f t="shared" si="38"/>
        <v>44</v>
      </c>
      <c r="GA50" s="129">
        <f t="shared" si="39"/>
        <v>2026</v>
      </c>
      <c r="GB50" s="129" t="str">
        <f t="shared" si="67"/>
        <v>442026</v>
      </c>
      <c r="GC50" s="223">
        <f>IF(AND($GD$53=S.CAL!$P$3,$GD$52=FZ50),GE50,IF(BH50="",0,BH50))</f>
        <v>0</v>
      </c>
      <c r="GD50" s="129" t="str">
        <f>IFERROR(+Novembre!$BY$2&amp;BL50&amp;BM50,0)</f>
        <v>Fiche infoA6</v>
      </c>
      <c r="GE50" s="129" t="str">
        <f t="shared" si="19"/>
        <v/>
      </c>
      <c r="GF50" s="223" t="str">
        <f t="shared" si="68"/>
        <v/>
      </c>
      <c r="GG50" s="1446" t="str">
        <f>+'Retenue Oct'!D48</f>
        <v/>
      </c>
      <c r="GH50" s="1446">
        <f>IF(Identification!$B$132="Non",+'Retenue Oct'!BF48,+'Retenue Oct'!BE48)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44</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IF(CF53="",+Septembre!CE53,CF53)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IF(CF54="",Septembre!CE54,CF54)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IF(CF55&gt;0,CF55,IF(AND(CE53=Septembre!CE53,CE54=Septembre!CE54),Septembre!CE55,IF(OR(CE53&lt;&gt;Septembre!CE53,CE54&lt;&gt;Septembre!CE54),CE53/CE54)))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Oct'!E52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+IF(BY57="",Septembre!BY56,BY57)</f>
        <v>24</v>
      </c>
      <c r="BZ56" s="611" t="s">
        <v>1049</v>
      </c>
      <c r="CA56" s="614">
        <f>+IF(CA57="",Septembre!CA56,CA57)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IF(CF57="",+Septembre!CE57,CF57)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IF(CF58="",Septembre!CE58,CF58)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+IF(CA61="",Septembre!CA60,CA61)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+IF(BA65="",Septembre!K67,BA65)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+IF(BA68="",Septembre!K68,BA68)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E74+Septembre!H74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E75+Septembre!H75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Oct'!EH51=0,"",'Retenue Oct'!EH51),AX76)</f>
        <v/>
      </c>
      <c r="AZ75" s="1772"/>
      <c r="BA75" s="918" t="str">
        <f>+IF(BA76="",IF('Retenue Oct'!EF51=0,"",'Retenue Oct'!EF51),BA76)</f>
        <v/>
      </c>
      <c r="BB75" s="919"/>
      <c r="BC75" s="920" t="str">
        <f>IF(BC76="",IF(+'Retenue Oct'!EG51=0,"",'Retenue Oct'!EG51),BC76)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Oct'!E50&amp;" hrs / "&amp;'Retenue Oct'!D50&amp;"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E76+Septembre!H76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+E77+Septembre!H77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IF(AR78="",+Septembre!AL78,AR78)</f>
        <v>0</v>
      </c>
      <c r="AM78" s="2299"/>
      <c r="AN78" s="2299"/>
      <c r="AO78" s="2299"/>
      <c r="AQ78" s="420" t="s">
        <v>750</v>
      </c>
      <c r="AR78" s="2344"/>
      <c r="AS78" s="2344"/>
      <c r="AT78" s="2058" t="str">
        <f>IFERROR(VLOOKUP(AY78,'Liste des Libellés'!$A$4:$F$32,6,FALSE),"")</f>
        <v/>
      </c>
      <c r="AU78" s="2058"/>
      <c r="AV78" s="2058"/>
      <c r="AW78" s="2058"/>
      <c r="AX78" s="917"/>
      <c r="AY78" s="1772" t="str">
        <f>+IF(AX79="",IF('Retenue Oct'!EH53=0,"",'Retenue Oct'!EH53),AX79)</f>
        <v/>
      </c>
      <c r="AZ78" s="1772"/>
      <c r="BA78" s="918" t="str">
        <f>+IF(BA79="",IF('Retenue Oct'!EF53=0,"",'Retenue Oct'!EF53),BA79)</f>
        <v/>
      </c>
      <c r="BB78" s="919"/>
      <c r="BC78" s="920" t="str">
        <f>IF(BC79="",IF(+'Retenue Oct'!EG53=0,"",'Retenue Oct'!EG53),BC79)</f>
        <v/>
      </c>
      <c r="BD78" s="952"/>
      <c r="BE78" s="129"/>
      <c r="BF78" s="129"/>
      <c r="BG78" s="129"/>
      <c r="BH78" s="129"/>
      <c r="BI78" s="129"/>
      <c r="CA78" s="649" t="s">
        <v>1077</v>
      </c>
      <c r="CB78" s="1615"/>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84" t="s">
        <v>141</v>
      </c>
      <c r="B80" s="1984"/>
      <c r="C80" s="1984"/>
      <c r="D80" s="1984"/>
      <c r="E80" s="2366"/>
      <c r="F80" s="2324" t="str">
        <f>+Septembre!F80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Oct'!EH55=0,"",'Retenue Oct'!EH55),AX82)</f>
        <v/>
      </c>
      <c r="AZ81" s="1772"/>
      <c r="BA81" s="918" t="str">
        <f>+IF(BA82="",IF('Retenue Oct'!EF55=0,"",'Retenue Oct'!EF55),BA82)</f>
        <v/>
      </c>
      <c r="BB81" s="919"/>
      <c r="BC81" s="920" t="str">
        <f>IF(BC82="",IF(+'Retenue Oct'!EG55=0,"",'Retenue Oct'!EG55),BC82)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Oct'!EH57=0,"",'Retenue Oct'!EH57),AX85)</f>
        <v/>
      </c>
      <c r="AZ84" s="1772"/>
      <c r="BA84" s="918" t="str">
        <f>+IF(BA85="",IF('Retenue Oct'!EF57=0,"",'Retenue Oct'!EF57),BA85)</f>
        <v/>
      </c>
      <c r="BB84" s="919"/>
      <c r="BC84" s="920" t="str">
        <f>IF(BC85="",IF(+'Retenue Oct'!EG57=0,"",'Retenue Oct'!EG57),BC85)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Septembre!F86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IF(AR86="",+Septembre!AH86,AR86)</f>
        <v>0</v>
      </c>
      <c r="AI86" s="1734"/>
      <c r="AJ86" s="1734"/>
      <c r="AK86" s="1735"/>
      <c r="AL86" s="1733">
        <f>IF(AS86="",IF(DP8=52,+EI29+Septembre!AL86,+EI25+Septembre!AL86),IF(DP8=52,+EI29+Septembre!AL86+AS86,+EI25+Septembre!AL86+AS86))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46326</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+Septembre!AH87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+Septembre!AH89+Septembre!AH90</f>
        <v>0</v>
      </c>
      <c r="AI89" s="1734"/>
      <c r="AJ89" s="1734"/>
      <c r="AK89" s="1735"/>
      <c r="AL89" s="1733">
        <f>+Septembre!AL89+Septembre!AL90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+Septembre!G99</f>
        <v>0</v>
      </c>
      <c r="H99" s="2411"/>
      <c r="I99" s="241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+Septembre!G100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402026</v>
      </c>
      <c r="BA107" s="1450">
        <f>+$AT$4</f>
        <v>40</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412026</v>
      </c>
      <c r="BA108" s="1455">
        <f>+$AT$5</f>
        <v>41</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422026</v>
      </c>
      <c r="BA109" s="1455">
        <f>+$AT$6</f>
        <v>42</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432026</v>
      </c>
      <c r="BA110" s="1455">
        <f>+$AT$7</f>
        <v>43</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442026</v>
      </c>
      <c r="BA111" s="1455">
        <f>+$AT$8</f>
        <v>44</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402026</v>
      </c>
      <c r="BA142" s="1450">
        <f>+$AT$4</f>
        <v>40</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412026</v>
      </c>
      <c r="BA143" s="1455">
        <f>+$AT$5</f>
        <v>41</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422026</v>
      </c>
      <c r="BA144" s="1455">
        <f>+$AT$6</f>
        <v>42</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432026</v>
      </c>
      <c r="BA145" s="1455">
        <f>+$AT$7</f>
        <v>43</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442026</v>
      </c>
      <c r="BA146" s="1455">
        <f>+$AT$8</f>
        <v>44</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2026</v>
      </c>
      <c r="BA147" s="1460" t="str">
        <f>+$AT$9</f>
        <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govmlpRFSii1+iRZKrmyVdPQGPYBvx1VqI5LMEkZIktcL7SQWR5+p4qJSZiXfU2TQipVmtDKrZYrvCC/2rL3qg==" saltValue="V6k4F7lKcL5oe61H2Jkfaw==" spinCount="100000" sheet="1" objects="1" scenarios="1" formatCells="0" formatColumns="0" formatRows="0" insertColumns="0" insertRows="0" insertHyperlinks="0" sort="0" autoFilter="0" pivotTables="0"/>
  <mergeCells count="798">
    <mergeCell ref="U60:W60"/>
    <mergeCell ref="X60:Z60"/>
    <mergeCell ref="U58:W58"/>
    <mergeCell ref="U51:W51"/>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N129:AO129"/>
    <mergeCell ref="AE129:AF129"/>
    <mergeCell ref="V83:AG83"/>
    <mergeCell ref="V82:Y82"/>
    <mergeCell ref="V92:AG92"/>
    <mergeCell ref="AI127:AJ127"/>
    <mergeCell ref="AM125:AP125"/>
    <mergeCell ref="AM127:AP127"/>
    <mergeCell ref="AB54:AO54"/>
    <mergeCell ref="AB56:AL56"/>
    <mergeCell ref="AB57:AL57"/>
    <mergeCell ref="AM55:AO55"/>
    <mergeCell ref="U48:W48"/>
    <mergeCell ref="U47:W47"/>
    <mergeCell ref="AM46:AO46"/>
    <mergeCell ref="U50:W50"/>
    <mergeCell ref="AD50:AF50"/>
    <mergeCell ref="AB50:AC50"/>
    <mergeCell ref="AM50:AO50"/>
    <mergeCell ref="AM51:AO51"/>
    <mergeCell ref="AJ51:AL51"/>
    <mergeCell ref="X54:Z54"/>
    <mergeCell ref="AJ50:AL50"/>
    <mergeCell ref="AM48:AO48"/>
    <mergeCell ref="AM56:AO56"/>
    <mergeCell ref="X55:Z55"/>
    <mergeCell ref="N47:P47"/>
    <mergeCell ref="AG48:AI48"/>
    <mergeCell ref="AJ49:AL49"/>
    <mergeCell ref="AJ44:AL44"/>
    <mergeCell ref="AJ47:AL47"/>
    <mergeCell ref="X50:Z50"/>
    <mergeCell ref="N42:P42"/>
    <mergeCell ref="R42:T42"/>
    <mergeCell ref="U44:W44"/>
    <mergeCell ref="AB43:AC43"/>
    <mergeCell ref="AG50:AI50"/>
    <mergeCell ref="AD47:AF47"/>
    <mergeCell ref="AB49:AC49"/>
    <mergeCell ref="AB48:AC48"/>
    <mergeCell ref="AD49:AF49"/>
    <mergeCell ref="AJ48:AL48"/>
    <mergeCell ref="AG47:AI47"/>
    <mergeCell ref="AJ42:AL42"/>
    <mergeCell ref="AG49:AI49"/>
    <mergeCell ref="AB47:AC47"/>
    <mergeCell ref="AD46:AF46"/>
    <mergeCell ref="AG44:AI44"/>
    <mergeCell ref="T31:W31"/>
    <mergeCell ref="AB39:AC39"/>
    <mergeCell ref="AB38:AC38"/>
    <mergeCell ref="AB36:AC36"/>
    <mergeCell ref="AB35:AC35"/>
    <mergeCell ref="AB37:AC37"/>
    <mergeCell ref="AB34:AC34"/>
    <mergeCell ref="AD35:AF35"/>
    <mergeCell ref="A41:G41"/>
    <mergeCell ref="AD34:AF34"/>
    <mergeCell ref="K50:M50"/>
    <mergeCell ref="K47:M47"/>
    <mergeCell ref="K44:M44"/>
    <mergeCell ref="K45:M45"/>
    <mergeCell ref="R44:T44"/>
    <mergeCell ref="L29:O29"/>
    <mergeCell ref="L33:O33"/>
    <mergeCell ref="AB33:AC33"/>
    <mergeCell ref="R45:T45"/>
    <mergeCell ref="AB40:AC40"/>
    <mergeCell ref="AB42:AC42"/>
    <mergeCell ref="AB41:AC41"/>
    <mergeCell ref="X43:Z43"/>
    <mergeCell ref="X41:Z41"/>
    <mergeCell ref="B33:K33"/>
    <mergeCell ref="P33:S33"/>
    <mergeCell ref="L31:O31"/>
    <mergeCell ref="L32:O32"/>
    <mergeCell ref="T33:W33"/>
    <mergeCell ref="U49:W49"/>
    <mergeCell ref="P32:S32"/>
    <mergeCell ref="P31:S31"/>
    <mergeCell ref="N45:P45"/>
    <mergeCell ref="U46:W46"/>
    <mergeCell ref="AM31:AO31"/>
    <mergeCell ref="AJ31:AL31"/>
    <mergeCell ref="CE3:CF3"/>
    <mergeCell ref="CE5:CF5"/>
    <mergeCell ref="CE8:CF8"/>
    <mergeCell ref="Z11:AO11"/>
    <mergeCell ref="Z12:AG12"/>
    <mergeCell ref="AB5:AC5"/>
    <mergeCell ref="Z5:AA5"/>
    <mergeCell ref="AL14:AO14"/>
    <mergeCell ref="AD21:AF21"/>
    <mergeCell ref="AL15:AO15"/>
    <mergeCell ref="AB18:AC19"/>
    <mergeCell ref="AD20:AF20"/>
    <mergeCell ref="AB20:AC20"/>
    <mergeCell ref="AF4:AI4"/>
    <mergeCell ref="AH12:AO12"/>
    <mergeCell ref="Z9:AO9"/>
    <mergeCell ref="Z10:AO10"/>
    <mergeCell ref="X3:AC3"/>
    <mergeCell ref="AI3:AO3"/>
    <mergeCell ref="AG25:AI25"/>
    <mergeCell ref="BH7:BI7"/>
    <mergeCell ref="AD18:AF19"/>
    <mergeCell ref="L20:O20"/>
    <mergeCell ref="AM49:AO49"/>
    <mergeCell ref="AM35:AO35"/>
    <mergeCell ref="AJ26:AL26"/>
    <mergeCell ref="X48:Z48"/>
    <mergeCell ref="AB44:AC44"/>
    <mergeCell ref="AD40:AF40"/>
    <mergeCell ref="AB46:AC46"/>
    <mergeCell ref="AD43:AF43"/>
    <mergeCell ref="X45:Z45"/>
    <mergeCell ref="X46:Z46"/>
    <mergeCell ref="X47:Z47"/>
    <mergeCell ref="AD42:AF42"/>
    <mergeCell ref="AD48:AF48"/>
    <mergeCell ref="AB32:AC32"/>
    <mergeCell ref="AB28:AC28"/>
    <mergeCell ref="AD30:AF30"/>
    <mergeCell ref="AB31:AC31"/>
    <mergeCell ref="AG35:AI35"/>
    <mergeCell ref="AJ39:AL39"/>
    <mergeCell ref="AG27:AI27"/>
    <mergeCell ref="AJ34:AL34"/>
    <mergeCell ref="AM41:AO41"/>
    <mergeCell ref="P27:S27"/>
    <mergeCell ref="P28:S28"/>
    <mergeCell ref="AG26:AI26"/>
    <mergeCell ref="AB30:AC30"/>
    <mergeCell ref="AG28:AI28"/>
    <mergeCell ref="AJ30:AL30"/>
    <mergeCell ref="AM30:AO30"/>
    <mergeCell ref="AM29:AO29"/>
    <mergeCell ref="AJ28:AL28"/>
    <mergeCell ref="AG29:AI29"/>
    <mergeCell ref="P29:S29"/>
    <mergeCell ref="T30:W30"/>
    <mergeCell ref="A10:M11"/>
    <mergeCell ref="A23:A24"/>
    <mergeCell ref="P21:S21"/>
    <mergeCell ref="B26:K26"/>
    <mergeCell ref="P20:S20"/>
    <mergeCell ref="P18:S18"/>
    <mergeCell ref="AD26:AF26"/>
    <mergeCell ref="L25:O25"/>
    <mergeCell ref="P25:S25"/>
    <mergeCell ref="P24:S24"/>
    <mergeCell ref="L26:O26"/>
    <mergeCell ref="P26:S26"/>
    <mergeCell ref="L21:O21"/>
    <mergeCell ref="AB25:AC25"/>
    <mergeCell ref="T23:W23"/>
    <mergeCell ref="AD24:AF24"/>
    <mergeCell ref="AB23:AC23"/>
    <mergeCell ref="AD23:AF23"/>
    <mergeCell ref="AB26:AC26"/>
    <mergeCell ref="T26:W26"/>
    <mergeCell ref="B24:K24"/>
    <mergeCell ref="L23:O23"/>
    <mergeCell ref="P23:S23"/>
    <mergeCell ref="L24:O24"/>
    <mergeCell ref="B23:K23"/>
    <mergeCell ref="AD25:AF25"/>
    <mergeCell ref="L28:O28"/>
    <mergeCell ref="B28:K28"/>
    <mergeCell ref="L27:O27"/>
    <mergeCell ref="AD33:AF33"/>
    <mergeCell ref="AJ46:AL46"/>
    <mergeCell ref="AM37:AO37"/>
    <mergeCell ref="AM38:AO38"/>
    <mergeCell ref="AM39:AO39"/>
    <mergeCell ref="AM42:AO42"/>
    <mergeCell ref="AJ36:AL36"/>
    <mergeCell ref="AM36:AO36"/>
    <mergeCell ref="AM40:AO40"/>
    <mergeCell ref="AG33:AI33"/>
    <mergeCell ref="AJ29:AL29"/>
    <mergeCell ref="AJ38:AL38"/>
    <mergeCell ref="AJ37:AL37"/>
    <mergeCell ref="B25:K25"/>
    <mergeCell ref="X44:Z44"/>
    <mergeCell ref="T34:W34"/>
    <mergeCell ref="A44:G44"/>
    <mergeCell ref="A43:G43"/>
    <mergeCell ref="R38:Z38"/>
    <mergeCell ref="V7:AO7"/>
    <mergeCell ref="AM23:AO23"/>
    <mergeCell ref="AM24:AO24"/>
    <mergeCell ref="AG22:AI22"/>
    <mergeCell ref="AG20:AI20"/>
    <mergeCell ref="AG18:AI19"/>
    <mergeCell ref="AG24:AI24"/>
    <mergeCell ref="AG23:AI23"/>
    <mergeCell ref="T24:W24"/>
    <mergeCell ref="AJ24:AL24"/>
    <mergeCell ref="AE14:AK14"/>
    <mergeCell ref="AE15:AK15"/>
    <mergeCell ref="T20:W20"/>
    <mergeCell ref="AB21:AC21"/>
    <mergeCell ref="AM18:AO19"/>
    <mergeCell ref="AJ18:AL19"/>
    <mergeCell ref="BA18:BA19"/>
    <mergeCell ref="BE18:BE19"/>
    <mergeCell ref="BC18:BC19"/>
    <mergeCell ref="AW23:AX23"/>
    <mergeCell ref="AW20:AX20"/>
    <mergeCell ref="AW24:AX24"/>
    <mergeCell ref="AM20:AO20"/>
    <mergeCell ref="AM21:AO21"/>
    <mergeCell ref="AM47:AO47"/>
    <mergeCell ref="AM45:AO45"/>
    <mergeCell ref="AW29:AX29"/>
    <mergeCell ref="AM33:AO33"/>
    <mergeCell ref="AW27:AX27"/>
    <mergeCell ref="AM26:AO26"/>
    <mergeCell ref="AW26:AX26"/>
    <mergeCell ref="AZ18:AZ19"/>
    <mergeCell ref="AW30:AX30"/>
    <mergeCell ref="AW31:AX31"/>
    <mergeCell ref="AM28:AO28"/>
    <mergeCell ref="AM32:AO32"/>
    <mergeCell ref="AW32:AX32"/>
    <mergeCell ref="AW46:AX46"/>
    <mergeCell ref="AW33:AX33"/>
    <mergeCell ref="AW34:AX34"/>
    <mergeCell ref="HG16:HJ16"/>
    <mergeCell ref="AM25:AO25"/>
    <mergeCell ref="GG17:GG18"/>
    <mergeCell ref="GH17:GH18"/>
    <mergeCell ref="GQ17:GQ18"/>
    <mergeCell ref="AJ21:AL21"/>
    <mergeCell ref="AJ22:AL22"/>
    <mergeCell ref="AJ23:AL23"/>
    <mergeCell ref="AJ20:AL20"/>
    <mergeCell ref="AJ25:AL25"/>
    <mergeCell ref="BV21:BZ23"/>
    <mergeCell ref="EQ17:EU17"/>
    <mergeCell ref="GP17:GP18"/>
    <mergeCell ref="GF17:GF18"/>
    <mergeCell ref="BO18:BO19"/>
    <mergeCell ref="BP18:BP19"/>
    <mergeCell ref="BJ18:BJ19"/>
    <mergeCell ref="BK18:BK19"/>
    <mergeCell ref="BL18:BL19"/>
    <mergeCell ref="AW22:AX22"/>
    <mergeCell ref="AU18:AU19"/>
    <mergeCell ref="AR18:AR19"/>
    <mergeCell ref="BC17:BE17"/>
    <mergeCell ref="AT18:AT19"/>
    <mergeCell ref="A1:AO1"/>
    <mergeCell ref="E4:R4"/>
    <mergeCell ref="E5:R5"/>
    <mergeCell ref="E6:R6"/>
    <mergeCell ref="E7:R7"/>
    <mergeCell ref="L19:O19"/>
    <mergeCell ref="P19:S19"/>
    <mergeCell ref="V12:Y12"/>
    <mergeCell ref="A14:H14"/>
    <mergeCell ref="A4:D4"/>
    <mergeCell ref="A17:K17"/>
    <mergeCell ref="X4:AC4"/>
    <mergeCell ref="T18:W18"/>
    <mergeCell ref="T19:W19"/>
    <mergeCell ref="L18:O18"/>
    <mergeCell ref="V10:Y10"/>
    <mergeCell ref="T17:W17"/>
    <mergeCell ref="AJ4:AO4"/>
    <mergeCell ref="L17:O17"/>
    <mergeCell ref="E8:R8"/>
    <mergeCell ref="P17:S17"/>
    <mergeCell ref="AF3:AH3"/>
    <mergeCell ref="A3:R3"/>
    <mergeCell ref="A7:D7"/>
    <mergeCell ref="A6:D6"/>
    <mergeCell ref="A18:K18"/>
    <mergeCell ref="A22:K22"/>
    <mergeCell ref="X5:Y5"/>
    <mergeCell ref="A5:D5"/>
    <mergeCell ref="A19:K19"/>
    <mergeCell ref="L22:O22"/>
    <mergeCell ref="V9:Y9"/>
    <mergeCell ref="N15:O15"/>
    <mergeCell ref="C15:M15"/>
    <mergeCell ref="I14:L14"/>
    <mergeCell ref="A21:K21"/>
    <mergeCell ref="A20:K20"/>
    <mergeCell ref="P22:S22"/>
    <mergeCell ref="O14:T14"/>
    <mergeCell ref="T21:W21"/>
    <mergeCell ref="A8:D8"/>
    <mergeCell ref="V11:Y11"/>
    <mergeCell ref="U14:X14"/>
    <mergeCell ref="Y15:Z15"/>
    <mergeCell ref="P15:X15"/>
    <mergeCell ref="V8:Y8"/>
    <mergeCell ref="Z8:AO8"/>
    <mergeCell ref="AM22:AO22"/>
    <mergeCell ref="HO16:HR16"/>
    <mergeCell ref="T32:W32"/>
    <mergeCell ref="T28:W28"/>
    <mergeCell ref="AW21:AX21"/>
    <mergeCell ref="AG32:AI32"/>
    <mergeCell ref="T22:W22"/>
    <mergeCell ref="T25:W25"/>
    <mergeCell ref="AB24:AC24"/>
    <mergeCell ref="AD28:AF28"/>
    <mergeCell ref="AB29:AC29"/>
    <mergeCell ref="AJ27:AL27"/>
    <mergeCell ref="AG30:AI30"/>
    <mergeCell ref="AG31:AI31"/>
    <mergeCell ref="GW16:HF16"/>
    <mergeCell ref="AM27:AO27"/>
    <mergeCell ref="T27:W27"/>
    <mergeCell ref="AD29:AF29"/>
    <mergeCell ref="AB27:AC27"/>
    <mergeCell ref="AD27:AF27"/>
    <mergeCell ref="BS32:BX32"/>
    <mergeCell ref="AG21:AI21"/>
    <mergeCell ref="AB22:AC22"/>
    <mergeCell ref="AD22:AF22"/>
    <mergeCell ref="HK16:HN16"/>
    <mergeCell ref="A42:G42"/>
    <mergeCell ref="H43:J43"/>
    <mergeCell ref="A25:A26"/>
    <mergeCell ref="X42:Z42"/>
    <mergeCell ref="A27:A28"/>
    <mergeCell ref="A29:A34"/>
    <mergeCell ref="U40:W40"/>
    <mergeCell ref="X39:Z39"/>
    <mergeCell ref="X40:Z40"/>
    <mergeCell ref="L35:S35"/>
    <mergeCell ref="B27:K27"/>
    <mergeCell ref="P30:S30"/>
    <mergeCell ref="T35:W35"/>
    <mergeCell ref="T29:W29"/>
    <mergeCell ref="K40:M40"/>
    <mergeCell ref="B30:K30"/>
    <mergeCell ref="B29:K29"/>
    <mergeCell ref="B32:K32"/>
    <mergeCell ref="B31:K31"/>
    <mergeCell ref="B34:K34"/>
    <mergeCell ref="L30:O30"/>
    <mergeCell ref="A40:G40"/>
    <mergeCell ref="A39:G39"/>
    <mergeCell ref="H39:J39"/>
    <mergeCell ref="N51:P51"/>
    <mergeCell ref="N39:P39"/>
    <mergeCell ref="N40:P40"/>
    <mergeCell ref="N43:P43"/>
    <mergeCell ref="U39:W39"/>
    <mergeCell ref="U42:W42"/>
    <mergeCell ref="K43:M43"/>
    <mergeCell ref="R43:T43"/>
    <mergeCell ref="H41:J41"/>
    <mergeCell ref="R41:T41"/>
    <mergeCell ref="K41:M41"/>
    <mergeCell ref="U43:W43"/>
    <mergeCell ref="N41:P41"/>
    <mergeCell ref="R40:T40"/>
    <mergeCell ref="R39:T39"/>
    <mergeCell ref="H40:J40"/>
    <mergeCell ref="H44:J44"/>
    <mergeCell ref="H50:J50"/>
    <mergeCell ref="U41:W41"/>
    <mergeCell ref="H42:J42"/>
    <mergeCell ref="N44:P44"/>
    <mergeCell ref="R46:T46"/>
    <mergeCell ref="R48:T48"/>
    <mergeCell ref="R47:T47"/>
    <mergeCell ref="Q85:T85"/>
    <mergeCell ref="A47:G47"/>
    <mergeCell ref="A46:G46"/>
    <mergeCell ref="A56:G56"/>
    <mergeCell ref="A55:G55"/>
    <mergeCell ref="N57:P57"/>
    <mergeCell ref="H52:J52"/>
    <mergeCell ref="H53:J53"/>
    <mergeCell ref="R50:T50"/>
    <mergeCell ref="K56:M56"/>
    <mergeCell ref="H56:J56"/>
    <mergeCell ref="N55:P55"/>
    <mergeCell ref="K55:M55"/>
    <mergeCell ref="K52:M52"/>
    <mergeCell ref="N52:P52"/>
    <mergeCell ref="R52:T52"/>
    <mergeCell ref="A57:G57"/>
    <mergeCell ref="R57:T57"/>
    <mergeCell ref="N50:P50"/>
    <mergeCell ref="K48:M48"/>
    <mergeCell ref="K49:M49"/>
    <mergeCell ref="N48:P48"/>
    <mergeCell ref="N49:P49"/>
    <mergeCell ref="K46:M46"/>
    <mergeCell ref="R89:T89"/>
    <mergeCell ref="AL88:AO88"/>
    <mergeCell ref="AH87:AK87"/>
    <mergeCell ref="AH88:AK88"/>
    <mergeCell ref="AH89:AK89"/>
    <mergeCell ref="AH86:AK86"/>
    <mergeCell ref="F86:L86"/>
    <mergeCell ref="F87:I87"/>
    <mergeCell ref="AL87:AO87"/>
    <mergeCell ref="V87:AG87"/>
    <mergeCell ref="K90:Q90"/>
    <mergeCell ref="V90:AG90"/>
    <mergeCell ref="AL84:AO84"/>
    <mergeCell ref="Z74:AK74"/>
    <mergeCell ref="Z75:AK75"/>
    <mergeCell ref="X49:Z49"/>
    <mergeCell ref="R49:T49"/>
    <mergeCell ref="R67:S67"/>
    <mergeCell ref="K66:M66"/>
    <mergeCell ref="N67:P67"/>
    <mergeCell ref="V88:AG88"/>
    <mergeCell ref="V89:AG89"/>
    <mergeCell ref="AH80:AK82"/>
    <mergeCell ref="AH90:AK90"/>
    <mergeCell ref="R88:T88"/>
    <mergeCell ref="R90:T90"/>
    <mergeCell ref="AL89:AO89"/>
    <mergeCell ref="AL90:AO90"/>
    <mergeCell ref="AL83:AO83"/>
    <mergeCell ref="AL78:AO78"/>
    <mergeCell ref="AL74:AO74"/>
    <mergeCell ref="AL75:AO75"/>
    <mergeCell ref="AL80:AO82"/>
    <mergeCell ref="R87:T87"/>
    <mergeCell ref="G100:I100"/>
    <mergeCell ref="C98:O98"/>
    <mergeCell ref="D99:F99"/>
    <mergeCell ref="AL91:AO91"/>
    <mergeCell ref="AJ125:AK125"/>
    <mergeCell ref="AE123:AF123"/>
    <mergeCell ref="B104:AO118"/>
    <mergeCell ref="AH91:AK91"/>
    <mergeCell ref="S102:T103"/>
    <mergeCell ref="G99:I99"/>
    <mergeCell ref="AH93:AK93"/>
    <mergeCell ref="AH92:AK92"/>
    <mergeCell ref="V93:AG93"/>
    <mergeCell ref="L123:M123"/>
    <mergeCell ref="L125:M125"/>
    <mergeCell ref="V91:AG91"/>
    <mergeCell ref="AL92:AO92"/>
    <mergeCell ref="AN123:AO123"/>
    <mergeCell ref="AL93:AO93"/>
    <mergeCell ref="A58:G58"/>
    <mergeCell ref="A59:G59"/>
    <mergeCell ref="H57:J57"/>
    <mergeCell ref="B67:G67"/>
    <mergeCell ref="H61:M61"/>
    <mergeCell ref="H67:J67"/>
    <mergeCell ref="H58:J58"/>
    <mergeCell ref="H64:J64"/>
    <mergeCell ref="H59:J59"/>
    <mergeCell ref="A64:G64"/>
    <mergeCell ref="A65:A70"/>
    <mergeCell ref="H68:J68"/>
    <mergeCell ref="H62:M62"/>
    <mergeCell ref="K64:M64"/>
    <mergeCell ref="K58:M58"/>
    <mergeCell ref="K59:M59"/>
    <mergeCell ref="C70:G70"/>
    <mergeCell ref="H69:J69"/>
    <mergeCell ref="K57:M57"/>
    <mergeCell ref="H65:J65"/>
    <mergeCell ref="B68:G68"/>
    <mergeCell ref="A60:G60"/>
    <mergeCell ref="H60:J60"/>
    <mergeCell ref="K67:M67"/>
    <mergeCell ref="A88:E88"/>
    <mergeCell ref="A81:E81"/>
    <mergeCell ref="H77:K77"/>
    <mergeCell ref="L78:P78"/>
    <mergeCell ref="A77:D77"/>
    <mergeCell ref="F80:H80"/>
    <mergeCell ref="A83:E83"/>
    <mergeCell ref="F83:H83"/>
    <mergeCell ref="A87:E87"/>
    <mergeCell ref="A86:E86"/>
    <mergeCell ref="F81:H81"/>
    <mergeCell ref="I85:P85"/>
    <mergeCell ref="AW50:AX50"/>
    <mergeCell ref="AM34:AO34"/>
    <mergeCell ref="AW41:AX41"/>
    <mergeCell ref="AW35:AX35"/>
    <mergeCell ref="AW36:AX36"/>
    <mergeCell ref="AW44:AX44"/>
    <mergeCell ref="AW42:AX42"/>
    <mergeCell ref="AW43:AX43"/>
    <mergeCell ref="AD37:AF37"/>
    <mergeCell ref="AD39:AF39"/>
    <mergeCell ref="AJ41:AL41"/>
    <mergeCell ref="AJ40:AL40"/>
    <mergeCell ref="AM43:AO43"/>
    <mergeCell ref="AM44:AO44"/>
    <mergeCell ref="AJ35:AL35"/>
    <mergeCell ref="AJ45:AL45"/>
    <mergeCell ref="AG46:AI46"/>
    <mergeCell ref="AG41:AI41"/>
    <mergeCell ref="AG42:AI42"/>
    <mergeCell ref="AG45:AI45"/>
    <mergeCell ref="AW48:AX48"/>
    <mergeCell ref="AW49:AX49"/>
    <mergeCell ref="AG37:AI37"/>
    <mergeCell ref="AG36:AI36"/>
    <mergeCell ref="AG34:AI34"/>
    <mergeCell ref="AG43:AI43"/>
    <mergeCell ref="AD36:AF36"/>
    <mergeCell ref="H46:J46"/>
    <mergeCell ref="AD31:AF31"/>
    <mergeCell ref="AD32:AF32"/>
    <mergeCell ref="AJ32:AL32"/>
    <mergeCell ref="AG38:AI38"/>
    <mergeCell ref="AD38:AF38"/>
    <mergeCell ref="AG40:AI40"/>
    <mergeCell ref="AG39:AI39"/>
    <mergeCell ref="AJ43:AL43"/>
    <mergeCell ref="AJ33:AL33"/>
    <mergeCell ref="N46:P46"/>
    <mergeCell ref="AD45:AF45"/>
    <mergeCell ref="AB45:AC45"/>
    <mergeCell ref="L34:O34"/>
    <mergeCell ref="P34:S34"/>
    <mergeCell ref="AD44:AF44"/>
    <mergeCell ref="AD41:AF41"/>
    <mergeCell ref="K39:M39"/>
    <mergeCell ref="K42:M42"/>
    <mergeCell ref="U45:W45"/>
    <mergeCell ref="H38:P38"/>
    <mergeCell ref="BR2:BX2"/>
    <mergeCell ref="AX3:AZ3"/>
    <mergeCell ref="BA13:BC14"/>
    <mergeCell ref="BF2:BQ2"/>
    <mergeCell ref="AW37:AX37"/>
    <mergeCell ref="AW38:AX38"/>
    <mergeCell ref="AW39:AX39"/>
    <mergeCell ref="AW40:AX40"/>
    <mergeCell ref="BR4:BX4"/>
    <mergeCell ref="BQ8:BX8"/>
    <mergeCell ref="AR12:BF12"/>
    <mergeCell ref="BD18:BD19"/>
    <mergeCell ref="AR13:AZ13"/>
    <mergeCell ref="AR14:AZ14"/>
    <mergeCell ref="BM18:BM19"/>
    <mergeCell ref="BN18:BN19"/>
    <mergeCell ref="BH17:BI17"/>
    <mergeCell ref="BH18:BH19"/>
    <mergeCell ref="BI18:BI19"/>
    <mergeCell ref="BF18:BF19"/>
    <mergeCell ref="BQ36:CA36"/>
    <mergeCell ref="AW25:AX25"/>
    <mergeCell ref="AW28:AX28"/>
    <mergeCell ref="BS33:BX33"/>
    <mergeCell ref="BI56:BX56"/>
    <mergeCell ref="BW57:BX57"/>
    <mergeCell ref="U52:W52"/>
    <mergeCell ref="R63:S63"/>
    <mergeCell ref="AM57:AO57"/>
    <mergeCell ref="AR66:AZ66"/>
    <mergeCell ref="AR65:AZ65"/>
    <mergeCell ref="AJ64:AL64"/>
    <mergeCell ref="AX60:AY60"/>
    <mergeCell ref="AJ62:AL62"/>
    <mergeCell ref="AX63:AY63"/>
    <mergeCell ref="AM65:AO65"/>
    <mergeCell ref="AM64:AO64"/>
    <mergeCell ref="AX61:AY61"/>
    <mergeCell ref="AX62:AY62"/>
    <mergeCell ref="AJ63:AL63"/>
    <mergeCell ref="AJ66:AL66"/>
    <mergeCell ref="AG63:AI63"/>
    <mergeCell ref="AA63:AF63"/>
    <mergeCell ref="AQ63:AU63"/>
    <mergeCell ref="AU61:AW61"/>
    <mergeCell ref="BQ54:BZ54"/>
    <mergeCell ref="X58:Z58"/>
    <mergeCell ref="X61:Z61"/>
    <mergeCell ref="BI59:BX59"/>
    <mergeCell ref="BI60:BX60"/>
    <mergeCell ref="BC62:BF64"/>
    <mergeCell ref="AV95:AY95"/>
    <mergeCell ref="AL85:AO85"/>
    <mergeCell ref="AT81:AW81"/>
    <mergeCell ref="AR78:AS78"/>
    <mergeCell ref="AQ62:AU62"/>
    <mergeCell ref="AM66:AO66"/>
    <mergeCell ref="AJ65:AL65"/>
    <mergeCell ref="AM63:AO63"/>
    <mergeCell ref="AL69:AO69"/>
    <mergeCell ref="AR68:AZ68"/>
    <mergeCell ref="AM62:AO62"/>
    <mergeCell ref="AT75:AW75"/>
    <mergeCell ref="AY75:AZ75"/>
    <mergeCell ref="AT78:AW78"/>
    <mergeCell ref="AR69:AZ69"/>
    <mergeCell ref="AU60:AW60"/>
    <mergeCell ref="AL77:AO77"/>
    <mergeCell ref="AD70:AK70"/>
    <mergeCell ref="AD71:AK71"/>
    <mergeCell ref="Z78:AK78"/>
    <mergeCell ref="Z73:AK73"/>
    <mergeCell ref="K51:M51"/>
    <mergeCell ref="CG8:CI8"/>
    <mergeCell ref="BZ44:BZ45"/>
    <mergeCell ref="CA44:CA45"/>
    <mergeCell ref="BY44:BY45"/>
    <mergeCell ref="BZ47:BZ48"/>
    <mergeCell ref="CA47:CA48"/>
    <mergeCell ref="BY47:BY48"/>
    <mergeCell ref="BQ42:BW43"/>
    <mergeCell ref="BQ41:BV41"/>
    <mergeCell ref="CC44:CD44"/>
    <mergeCell ref="CC45:CD45"/>
    <mergeCell ref="BY26:BY27"/>
    <mergeCell ref="CA26:CA27"/>
    <mergeCell ref="BQ15:CC17"/>
    <mergeCell ref="BS31:BX31"/>
    <mergeCell ref="BZ26:BZ27"/>
    <mergeCell ref="BS29:BX29"/>
    <mergeCell ref="BS30:BX30"/>
    <mergeCell ref="CA49:CA50"/>
    <mergeCell ref="BY49:BZ50"/>
    <mergeCell ref="AW45:AX45"/>
    <mergeCell ref="AW47:AX47"/>
    <mergeCell ref="BS28:BX28"/>
    <mergeCell ref="K54:M54"/>
    <mergeCell ref="N54:P54"/>
    <mergeCell ref="R54:T54"/>
    <mergeCell ref="R55:T55"/>
    <mergeCell ref="K53:M53"/>
    <mergeCell ref="N53:P53"/>
    <mergeCell ref="R53:T53"/>
    <mergeCell ref="A52:G52"/>
    <mergeCell ref="A54:G54"/>
    <mergeCell ref="H55:J55"/>
    <mergeCell ref="H54:J54"/>
    <mergeCell ref="A50:G50"/>
    <mergeCell ref="H45:J45"/>
    <mergeCell ref="H49:J49"/>
    <mergeCell ref="H48:J48"/>
    <mergeCell ref="A49:G49"/>
    <mergeCell ref="H47:J47"/>
    <mergeCell ref="A51:G51"/>
    <mergeCell ref="A53:G53"/>
    <mergeCell ref="H51:J51"/>
    <mergeCell ref="A48:G48"/>
    <mergeCell ref="A45:G45"/>
    <mergeCell ref="BD139:BD140"/>
    <mergeCell ref="BE139:BE140"/>
    <mergeCell ref="BA137:BH137"/>
    <mergeCell ref="BA102:BH102"/>
    <mergeCell ref="BA104:BA105"/>
    <mergeCell ref="BB104:BC105"/>
    <mergeCell ref="BD104:BD105"/>
    <mergeCell ref="BE104:BE105"/>
    <mergeCell ref="N56:P56"/>
    <mergeCell ref="AU73:BB73"/>
    <mergeCell ref="AL71:AO71"/>
    <mergeCell ref="AL73:AO73"/>
    <mergeCell ref="AL70:AO70"/>
    <mergeCell ref="N69:P69"/>
    <mergeCell ref="Q74:T74"/>
    <mergeCell ref="Q76:T76"/>
    <mergeCell ref="V80:AF81"/>
    <mergeCell ref="Q78:T78"/>
    <mergeCell ref="Y73:Y75"/>
    <mergeCell ref="R70:Y70"/>
    <mergeCell ref="AC69:AC71"/>
    <mergeCell ref="Z70:AB70"/>
    <mergeCell ref="N72:P72"/>
    <mergeCell ref="R71:Y71"/>
    <mergeCell ref="AY81:AZ81"/>
    <mergeCell ref="AQ77:AT77"/>
    <mergeCell ref="AQ81:AS81"/>
    <mergeCell ref="AX82:AY82"/>
    <mergeCell ref="BA139:BA140"/>
    <mergeCell ref="BB139:BC140"/>
    <mergeCell ref="AH85:AK85"/>
    <mergeCell ref="AX79:AY79"/>
    <mergeCell ref="AR129:AS129"/>
    <mergeCell ref="AR123:AS123"/>
    <mergeCell ref="T67:Z67"/>
    <mergeCell ref="R64:S64"/>
    <mergeCell ref="T66:Z66"/>
    <mergeCell ref="R65:S65"/>
    <mergeCell ref="CB84:CB86"/>
    <mergeCell ref="V84:AG84"/>
    <mergeCell ref="V85:AG85"/>
    <mergeCell ref="V86:AG86"/>
    <mergeCell ref="T64:Z64"/>
    <mergeCell ref="AX85:AY85"/>
    <mergeCell ref="AA64:AF64"/>
    <mergeCell ref="AG64:AI64"/>
    <mergeCell ref="AY78:AZ78"/>
    <mergeCell ref="AL86:AO86"/>
    <mergeCell ref="T65:Z65"/>
    <mergeCell ref="AG65:AI65"/>
    <mergeCell ref="AA65:AF65"/>
    <mergeCell ref="AX76:AY76"/>
    <mergeCell ref="BQ82:BY82"/>
    <mergeCell ref="AT84:AW84"/>
    <mergeCell ref="AY84:AZ84"/>
    <mergeCell ref="Z77:AK77"/>
    <mergeCell ref="AH83:AK83"/>
    <mergeCell ref="AH84:AK84"/>
    <mergeCell ref="AD69:AK69"/>
    <mergeCell ref="AG66:AI66"/>
    <mergeCell ref="AG51:AI51"/>
    <mergeCell ref="X51:Z51"/>
    <mergeCell ref="R56:T56"/>
    <mergeCell ref="R58:T58"/>
    <mergeCell ref="U55:W55"/>
    <mergeCell ref="R51:T51"/>
    <mergeCell ref="R61:W61"/>
    <mergeCell ref="X59:Z59"/>
    <mergeCell ref="U59:W59"/>
    <mergeCell ref="AB55:AL55"/>
    <mergeCell ref="AB51:AC51"/>
    <mergeCell ref="AD51:AF51"/>
    <mergeCell ref="U56:W56"/>
    <mergeCell ref="U54:W54"/>
    <mergeCell ref="U53:W53"/>
    <mergeCell ref="X52:Z52"/>
    <mergeCell ref="X57:Z57"/>
    <mergeCell ref="U57:W57"/>
    <mergeCell ref="X53:Z53"/>
    <mergeCell ref="X56:Z56"/>
    <mergeCell ref="R69:AB69"/>
    <mergeCell ref="AA66:AF66"/>
    <mergeCell ref="N66:P66"/>
    <mergeCell ref="R59:T59"/>
    <mergeCell ref="K68:M68"/>
    <mergeCell ref="K70:M70"/>
    <mergeCell ref="R66:S66"/>
    <mergeCell ref="H75:K75"/>
    <mergeCell ref="H76:K76"/>
    <mergeCell ref="K65:M65"/>
    <mergeCell ref="N61:P61"/>
    <mergeCell ref="N65:P65"/>
    <mergeCell ref="N64:P64"/>
    <mergeCell ref="N62:P62"/>
    <mergeCell ref="H71:J71"/>
    <mergeCell ref="K71:M71"/>
    <mergeCell ref="K69:M69"/>
    <mergeCell ref="H70:J70"/>
    <mergeCell ref="N59:P59"/>
    <mergeCell ref="N70:P70"/>
    <mergeCell ref="N71:P71"/>
    <mergeCell ref="L76:P76"/>
    <mergeCell ref="R60:T60"/>
    <mergeCell ref="T63:Z63"/>
    <mergeCell ref="R62:T62"/>
    <mergeCell ref="Z71:AB71"/>
    <mergeCell ref="BR5:BX5"/>
    <mergeCell ref="E74:G74"/>
    <mergeCell ref="E73:G73"/>
    <mergeCell ref="L74:P74"/>
    <mergeCell ref="A82:E82"/>
    <mergeCell ref="F82:H82"/>
    <mergeCell ref="A74:D74"/>
    <mergeCell ref="H74:K74"/>
    <mergeCell ref="H73:K73"/>
    <mergeCell ref="K60:M60"/>
    <mergeCell ref="N60:P60"/>
    <mergeCell ref="A80:E80"/>
    <mergeCell ref="E76:G76"/>
    <mergeCell ref="E75:G75"/>
    <mergeCell ref="E77:G77"/>
    <mergeCell ref="N68:P68"/>
    <mergeCell ref="B71:G71"/>
    <mergeCell ref="B69:G69"/>
    <mergeCell ref="A76:D76"/>
    <mergeCell ref="B66:G66"/>
    <mergeCell ref="B65:G65"/>
    <mergeCell ref="A75:D75"/>
    <mergeCell ref="H66:J66"/>
    <mergeCell ref="N58:P58"/>
  </mergeCells>
  <conditionalFormatting sqref="A20:W20">
    <cfRule type="expression" dxfId="305" priority="16">
      <formula>$U$14=0</formula>
    </cfRule>
  </conditionalFormatting>
  <conditionalFormatting sqref="B26:K26">
    <cfRule type="expression" dxfId="304" priority="26">
      <formula>$U$14=0</formula>
    </cfRule>
  </conditionalFormatting>
  <conditionalFormatting sqref="B29:K29">
    <cfRule type="cellIs" dxfId="303" priority="13" operator="greaterThan">
      <formula>0</formula>
    </cfRule>
  </conditionalFormatting>
  <conditionalFormatting sqref="C70:G70">
    <cfRule type="cellIs" dxfId="302" priority="7" operator="greaterThan">
      <formula>0</formula>
    </cfRule>
  </conditionalFormatting>
  <conditionalFormatting sqref="F87:I87">
    <cfRule type="cellIs" dxfId="301" priority="2" operator="greaterThan">
      <formula>0</formula>
    </cfRule>
  </conditionalFormatting>
  <conditionalFormatting sqref="F86:L86">
    <cfRule type="cellIs" dxfId="300" priority="3" operator="greaterThan">
      <formula>0</formula>
    </cfRule>
  </conditionalFormatting>
  <conditionalFormatting sqref="H65:J65">
    <cfRule type="expression" dxfId="299" priority="38">
      <formula>AND($AX$60="Oui",$AZ$62="")</formula>
    </cfRule>
    <cfRule type="expression" dxfId="298" priority="40">
      <formula>AND($AX$60="Oui",$AZ$62="hrs")</formula>
    </cfRule>
  </conditionalFormatting>
  <conditionalFormatting sqref="H66:J66">
    <cfRule type="expression" dxfId="297" priority="34">
      <formula>AND($AX$61="Oui",$AZ$63="")</formula>
    </cfRule>
    <cfRule type="expression" dxfId="296" priority="35">
      <formula>AND($AX$61="Oui",$AZ$63="jrs")</formula>
    </cfRule>
    <cfRule type="expression" dxfId="295" priority="36">
      <formula>AND($BW$41="Non",$AX$61="Non")</formula>
    </cfRule>
    <cfRule type="expression" dxfId="294" priority="37">
      <formula>AND($BW$41="Oui",$AX$61="Non")</formula>
    </cfRule>
  </conditionalFormatting>
  <conditionalFormatting sqref="H70:J71">
    <cfRule type="cellIs" dxfId="293" priority="6" operator="greaterThan">
      <formula>0</formula>
    </cfRule>
  </conditionalFormatting>
  <conditionalFormatting sqref="H65:K66">
    <cfRule type="cellIs" dxfId="292" priority="33" operator="equal">
      <formula>0</formula>
    </cfRule>
  </conditionalFormatting>
  <conditionalFormatting sqref="H67:M68">
    <cfRule type="cellIs" dxfId="291" priority="54" operator="equal">
      <formula>0</formula>
    </cfRule>
  </conditionalFormatting>
  <conditionalFormatting sqref="H69:M69">
    <cfRule type="cellIs" dxfId="290" priority="8" operator="greaterThan">
      <formula>0</formula>
    </cfRule>
  </conditionalFormatting>
  <conditionalFormatting sqref="H40:Z60">
    <cfRule type="cellIs" dxfId="289" priority="32" operator="equal">
      <formula>0</formula>
    </cfRule>
  </conditionalFormatting>
  <conditionalFormatting sqref="K81:K82 L82:T83 K88:T88 K89:Q90">
    <cfRule type="expression" dxfId="288" priority="514">
      <formula>$EO$6="OUI"</formula>
    </cfRule>
  </conditionalFormatting>
  <conditionalFormatting sqref="K87">
    <cfRule type="expression" dxfId="287" priority="4">
      <formula>$EO$6="OUI"</formula>
    </cfRule>
  </conditionalFormatting>
  <conditionalFormatting sqref="L18:O19">
    <cfRule type="cellIs" dxfId="286" priority="20" operator="equal">
      <formula>0</formula>
    </cfRule>
  </conditionalFormatting>
  <conditionalFormatting sqref="L21:O22">
    <cfRule type="cellIs" dxfId="285" priority="31" operator="equal">
      <formula>0</formula>
    </cfRule>
  </conditionalFormatting>
  <conditionalFormatting sqref="L27:O28">
    <cfRule type="cellIs" dxfId="284" priority="14" operator="greaterThan">
      <formula>0</formula>
    </cfRule>
  </conditionalFormatting>
  <conditionalFormatting sqref="L30:O32">
    <cfRule type="cellIs" dxfId="283" priority="12" operator="greaterThan">
      <formula>0</formula>
    </cfRule>
  </conditionalFormatting>
  <conditionalFormatting sqref="L34:O34">
    <cfRule type="cellIs" dxfId="282" priority="10" operator="greaterThan">
      <formula>0</formula>
    </cfRule>
  </conditionalFormatting>
  <conditionalFormatting sqref="L23:S24">
    <cfRule type="cellIs" dxfId="281" priority="15" operator="greaterThan">
      <formula>0</formula>
    </cfRule>
  </conditionalFormatting>
  <conditionalFormatting sqref="L25:S26">
    <cfRule type="cellIs" dxfId="280" priority="25" operator="equal">
      <formula>0</formula>
    </cfRule>
    <cfRule type="containsErrors" dxfId="279" priority="24">
      <formula>ISERROR(L25)</formula>
    </cfRule>
  </conditionalFormatting>
  <conditionalFormatting sqref="M87:T87">
    <cfRule type="expression" dxfId="278" priority="511">
      <formula>$EO$6="OUI"</formula>
    </cfRule>
  </conditionalFormatting>
  <conditionalFormatting sqref="N65:P71">
    <cfRule type="cellIs" dxfId="277" priority="60" operator="equal">
      <formula>0</formula>
    </cfRule>
  </conditionalFormatting>
  <conditionalFormatting sqref="O86">
    <cfRule type="expression" dxfId="276" priority="515">
      <formula>EO6="OUI"</formula>
    </cfRule>
  </conditionalFormatting>
  <conditionalFormatting sqref="O14:T14">
    <cfRule type="expression" dxfId="275" priority="209">
      <formula>$U$14=0</formula>
    </cfRule>
  </conditionalFormatting>
  <conditionalFormatting sqref="P20">
    <cfRule type="expression" dxfId="274" priority="17">
      <formula>$DP$14=1</formula>
    </cfRule>
  </conditionalFormatting>
  <conditionalFormatting sqref="P18:S18">
    <cfRule type="expression" dxfId="273" priority="21">
      <formula>$L$18=0</formula>
    </cfRule>
  </conditionalFormatting>
  <conditionalFormatting sqref="P19:S19">
    <cfRule type="expression" dxfId="272" priority="19">
      <formula>$L$19=0</formula>
    </cfRule>
  </conditionalFormatting>
  <conditionalFormatting sqref="P21:S21">
    <cfRule type="expression" dxfId="271" priority="30">
      <formula>$L$21=0</formula>
    </cfRule>
  </conditionalFormatting>
  <conditionalFormatting sqref="P22:S22">
    <cfRule type="expression" dxfId="270" priority="29">
      <formula>$L$22=0</formula>
    </cfRule>
  </conditionalFormatting>
  <conditionalFormatting sqref="R87:T87">
    <cfRule type="expression" dxfId="269" priority="510">
      <formula>$EO$7="OUI"</formula>
    </cfRule>
  </conditionalFormatting>
  <conditionalFormatting sqref="R89:T89">
    <cfRule type="expression" dxfId="268" priority="506">
      <formula>$EO$6="OUI"</formula>
    </cfRule>
    <cfRule type="expression" dxfId="267" priority="505">
      <formula>$EO$8="OUI"</formula>
    </cfRule>
  </conditionalFormatting>
  <conditionalFormatting sqref="R90:T90">
    <cfRule type="expression" dxfId="266" priority="513">
      <formula>$EO$6="OUI"</formula>
    </cfRule>
    <cfRule type="expression" dxfId="265" priority="512">
      <formula>$EO$7="OUI"</formula>
    </cfRule>
  </conditionalFormatting>
  <conditionalFormatting sqref="T20">
    <cfRule type="expression" dxfId="264" priority="18">
      <formula>$DP$14=1</formula>
    </cfRule>
  </conditionalFormatting>
  <conditionalFormatting sqref="T30:T32">
    <cfRule type="cellIs" dxfId="263" priority="28" operator="equal">
      <formula>0</formula>
    </cfRule>
  </conditionalFormatting>
  <conditionalFormatting sqref="T18:W19">
    <cfRule type="cellIs" dxfId="262" priority="22" operator="equal">
      <formula>0</formula>
    </cfRule>
  </conditionalFormatting>
  <conditionalFormatting sqref="T21:W28">
    <cfRule type="cellIs" dxfId="261" priority="27" operator="equal">
      <formula>0</formula>
    </cfRule>
  </conditionalFormatting>
  <conditionalFormatting sqref="T29:W29">
    <cfRule type="cellIs" dxfId="260" priority="11" operator="greaterThan">
      <formula>0</formula>
    </cfRule>
  </conditionalFormatting>
  <conditionalFormatting sqref="T33:W33">
    <cfRule type="cellIs" dxfId="259" priority="9" operator="greaterThan">
      <formula>0</formula>
    </cfRule>
  </conditionalFormatting>
  <conditionalFormatting sqref="T34:W34">
    <cfRule type="cellIs" dxfId="258" priority="23" operator="equal">
      <formula>0</formula>
    </cfRule>
  </conditionalFormatting>
  <conditionalFormatting sqref="U14:X14">
    <cfRule type="cellIs" dxfId="257" priority="207" operator="equal">
      <formula>0</formula>
    </cfRule>
  </conditionalFormatting>
  <conditionalFormatting sqref="V80:AF81">
    <cfRule type="cellIs" dxfId="256" priority="1" operator="notEqual">
      <formula>"Commentaires :"</formula>
    </cfRule>
  </conditionalFormatting>
  <conditionalFormatting sqref="Y73:AO75">
    <cfRule type="expression" dxfId="255" priority="64">
      <formula>$DP$8=52</formula>
    </cfRule>
  </conditionalFormatting>
  <conditionalFormatting sqref="AB20:AC50">
    <cfRule type="expression" dxfId="254" priority="430">
      <formula>VLOOKUP(AB20,base_feries,1,FALSE)</formula>
    </cfRule>
    <cfRule type="expression" dxfId="253" priority="429">
      <formula>OR(WEEKDAY(AB20,2)=6,WEEKDAY(AB20,2)=7)</formula>
    </cfRule>
    <cfRule type="expression" dxfId="252" priority="428">
      <formula>WEEKDAY(AB20,2)=7</formula>
    </cfRule>
  </conditionalFormatting>
  <conditionalFormatting sqref="AD20:AF50">
    <cfRule type="expression" dxfId="251" priority="299">
      <formula>FC20="oui"</formula>
    </cfRule>
    <cfRule type="cellIs" dxfId="250" priority="300" operator="equal">
      <formula>0</formula>
    </cfRule>
  </conditionalFormatting>
  <conditionalFormatting sqref="AG20:AI50">
    <cfRule type="expression" dxfId="249" priority="301">
      <formula>FC20="oui"</formula>
    </cfRule>
  </conditionalFormatting>
  <conditionalFormatting sqref="AH83:AH84">
    <cfRule type="cellIs" dxfId="248" priority="525" stopIfTrue="1" operator="equal">
      <formula>0</formula>
    </cfRule>
  </conditionalFormatting>
  <conditionalFormatting sqref="AH89:AH91">
    <cfRule type="cellIs" dxfId="247" priority="69" stopIfTrue="1" operator="equal">
      <formula>0</formula>
    </cfRule>
  </conditionalFormatting>
  <conditionalFormatting sqref="AH93:AK93">
    <cfRule type="cellIs" dxfId="246" priority="516" operator="equal">
      <formula>0</formula>
    </cfRule>
  </conditionalFormatting>
  <conditionalFormatting sqref="AH86:AL87">
    <cfRule type="cellIs" dxfId="245" priority="65" stopIfTrue="1" operator="equal">
      <formula>0</formula>
    </cfRule>
  </conditionalFormatting>
  <conditionalFormatting sqref="AH92:AO92">
    <cfRule type="cellIs" dxfId="244" priority="239" operator="lessThan">
      <formula>-0.001</formula>
    </cfRule>
  </conditionalFormatting>
  <conditionalFormatting sqref="AJ20:AL50">
    <cfRule type="expression" dxfId="243" priority="302">
      <formula>FC20="oui"</formula>
    </cfRule>
  </conditionalFormatting>
  <conditionalFormatting sqref="AL83">
    <cfRule type="cellIs" dxfId="242" priority="524" stopIfTrue="1" operator="equal">
      <formula>0</formula>
    </cfRule>
  </conditionalFormatting>
  <conditionalFormatting sqref="AL89:AL91">
    <cfRule type="cellIs" dxfId="241" priority="68" stopIfTrue="1" operator="equal">
      <formula>0</formula>
    </cfRule>
  </conditionalFormatting>
  <conditionalFormatting sqref="AL93">
    <cfRule type="cellIs" dxfId="240" priority="523" stopIfTrue="1" operator="equal">
      <formula>0</formula>
    </cfRule>
  </conditionalFormatting>
  <conditionalFormatting sqref="AM20:AO50">
    <cfRule type="expression" dxfId="239" priority="303">
      <formula>FC20="oui"</formula>
    </cfRule>
  </conditionalFormatting>
  <conditionalFormatting sqref="AP20:AP50">
    <cfRule type="expression" dxfId="238" priority="146">
      <formula>BL20="F"</formula>
    </cfRule>
    <cfRule type="expression" dxfId="237" priority="150">
      <formula>BL20="B"</formula>
    </cfRule>
    <cfRule type="expression" dxfId="236" priority="149">
      <formula>BL20="C"</formula>
    </cfRule>
    <cfRule type="expression" dxfId="235" priority="148">
      <formula>BL20="D"</formula>
    </cfRule>
    <cfRule type="expression" dxfId="234" priority="147">
      <formula>BL20="E"</formula>
    </cfRule>
    <cfRule type="expression" dxfId="233" priority="144">
      <formula>BL20="H"</formula>
    </cfRule>
    <cfRule type="expression" dxfId="232" priority="145">
      <formula>BL20="G"</formula>
    </cfRule>
  </conditionalFormatting>
  <conditionalFormatting sqref="AQ62:AU62">
    <cfRule type="expression" dxfId="231" priority="46">
      <formula>$AT$60="Non"</formula>
    </cfRule>
  </conditionalFormatting>
  <conditionalFormatting sqref="AQ63:AU63">
    <cfRule type="expression" dxfId="230" priority="43">
      <formula>$AT$61="Non"</formula>
    </cfRule>
  </conditionalFormatting>
  <conditionalFormatting sqref="AR20:AR50">
    <cfRule type="expression" dxfId="229" priority="181">
      <formula>FC20="oui"</formula>
    </cfRule>
    <cfRule type="expression" dxfId="228" priority="173">
      <formula>AB20=""</formula>
    </cfRule>
    <cfRule type="expression" dxfId="227" priority="185">
      <formula>FN20=10</formula>
    </cfRule>
    <cfRule type="expression" dxfId="226" priority="189">
      <formula>AND(AR20&lt;&gt;"",AZ20&lt;&gt;"")</formula>
    </cfRule>
  </conditionalFormatting>
  <conditionalFormatting sqref="AR17:BJ50">
    <cfRule type="expression" dxfId="225" priority="49">
      <formula>$EX$13="oui"</formula>
    </cfRule>
  </conditionalFormatting>
  <conditionalFormatting sqref="AS51:BJ51 DK51">
    <cfRule type="expression" dxfId="224" priority="134">
      <formula>$EX$13="oui"</formula>
    </cfRule>
  </conditionalFormatting>
  <conditionalFormatting sqref="AT4:AT10">
    <cfRule type="expression" dxfId="223" priority="451">
      <formula>AU4="B"</formula>
    </cfRule>
    <cfRule type="expression" dxfId="222" priority="450">
      <formula>AU4="C"</formula>
    </cfRule>
    <cfRule type="expression" dxfId="221" priority="445">
      <formula>AU4="H"</formula>
    </cfRule>
    <cfRule type="expression" dxfId="220" priority="446">
      <formula>AU4="G"</formula>
    </cfRule>
    <cfRule type="expression" dxfId="219" priority="447">
      <formula>AU4="F"</formula>
    </cfRule>
    <cfRule type="expression" dxfId="218" priority="448">
      <formula>AU4="E"</formula>
    </cfRule>
    <cfRule type="expression" dxfId="217" priority="449">
      <formula>AU4="D"</formula>
    </cfRule>
  </conditionalFormatting>
  <conditionalFormatting sqref="AT20:AT50">
    <cfRule type="expression" dxfId="216" priority="184">
      <formula>FC20="oui"</formula>
    </cfRule>
    <cfRule type="expression" dxfId="215" priority="180">
      <formula>AB20=""</formula>
    </cfRule>
  </conditionalFormatting>
  <conditionalFormatting sqref="AU4:AU10">
    <cfRule type="expression" dxfId="214" priority="380">
      <formula>AT4=""</formula>
    </cfRule>
    <cfRule type="expression" dxfId="213" priority="381">
      <formula>FG4="rouge"</formula>
    </cfRule>
  </conditionalFormatting>
  <conditionalFormatting sqref="AU20:AU50">
    <cfRule type="expression" dxfId="212" priority="188">
      <formula>FC20="oui"</formula>
    </cfRule>
    <cfRule type="expression" dxfId="211" priority="179">
      <formula>AB20=""</formula>
    </cfRule>
  </conditionalFormatting>
  <conditionalFormatting sqref="AW20:AX50">
    <cfRule type="expression" dxfId="210" priority="191">
      <formula>WEEKDAY(AW20,2)=7</formula>
    </cfRule>
    <cfRule type="expression" dxfId="209" priority="193">
      <formula>VLOOKUP(AW20,base_feries,1,FALSE)</formula>
    </cfRule>
    <cfRule type="expression" dxfId="208" priority="192">
      <formula>OR(WEEKDAY(AW20,2)=6,WEEKDAY(AW20,2)=7)</formula>
    </cfRule>
  </conditionalFormatting>
  <conditionalFormatting sqref="AX62:AZ62">
    <cfRule type="expression" dxfId="207" priority="45">
      <formula>$AX$60="Non"</formula>
    </cfRule>
  </conditionalFormatting>
  <conditionalFormatting sqref="AX63:AZ63">
    <cfRule type="expression" dxfId="206" priority="42">
      <formula>$AX$61="Non"</formula>
    </cfRule>
  </conditionalFormatting>
  <conditionalFormatting sqref="AZ20:AZ50">
    <cfRule type="expression" dxfId="205" priority="51">
      <formula>FC20="oui"</formula>
    </cfRule>
    <cfRule type="expression" dxfId="204" priority="50">
      <formula>AB20=""</formula>
    </cfRule>
    <cfRule type="expression" dxfId="203" priority="52">
      <formula>FL20=10</formula>
    </cfRule>
    <cfRule type="expression" dxfId="202" priority="53">
      <formula>AND(AR20&lt;&gt;"",AZ20&lt;&gt;"")</formula>
    </cfRule>
  </conditionalFormatting>
  <conditionalFormatting sqref="BA20:BA50">
    <cfRule type="expression" dxfId="201" priority="178">
      <formula>AB20=""</formula>
    </cfRule>
    <cfRule type="expression" dxfId="200" priority="182">
      <formula>FC20="oui"</formula>
    </cfRule>
  </conditionalFormatting>
  <conditionalFormatting sqref="BA62">
    <cfRule type="expression" dxfId="199" priority="44">
      <formula>$BA$60="Non"</formula>
    </cfRule>
  </conditionalFormatting>
  <conditionalFormatting sqref="BA63">
    <cfRule type="expression" dxfId="198" priority="41">
      <formula>$BA$61="Non"</formula>
    </cfRule>
  </conditionalFormatting>
  <conditionalFormatting sqref="BA102 BA103:BH115">
    <cfRule type="expression" dxfId="197" priority="67">
      <formula>$DP$8=52</formula>
    </cfRule>
  </conditionalFormatting>
  <conditionalFormatting sqref="BA137 BA138:BH149">
    <cfRule type="expression" dxfId="196" priority="66">
      <formula>$DP$8=52</formula>
    </cfRule>
  </conditionalFormatting>
  <conditionalFormatting sqref="BC20:BC55">
    <cfRule type="expression" dxfId="195" priority="175">
      <formula>AJ20=""</formula>
    </cfRule>
    <cfRule type="cellIs" dxfId="194" priority="187" operator="equal">
      <formula>0</formula>
    </cfRule>
  </conditionalFormatting>
  <conditionalFormatting sqref="BC112:BH112">
    <cfRule type="expression" dxfId="193" priority="95">
      <formula>$BA$112=""</formula>
    </cfRule>
  </conditionalFormatting>
  <conditionalFormatting sqref="BC147:BH147">
    <cfRule type="expression" dxfId="192" priority="94">
      <formula>$BA$112=""</formula>
    </cfRule>
  </conditionalFormatting>
  <conditionalFormatting sqref="BD20:BD50">
    <cfRule type="expression" dxfId="191" priority="176">
      <formula>FL20="oui"</formula>
    </cfRule>
  </conditionalFormatting>
  <conditionalFormatting sqref="BE20:BE50">
    <cfRule type="expression" dxfId="190" priority="186">
      <formula>OR(BE20=0,BE20="")</formula>
    </cfRule>
  </conditionalFormatting>
  <conditionalFormatting sqref="BH20:BH50">
    <cfRule type="expression" dxfId="189" priority="135">
      <formula>AO20=""</formula>
    </cfRule>
    <cfRule type="cellIs" dxfId="188" priority="172" operator="equal">
      <formula>0</formula>
    </cfRule>
  </conditionalFormatting>
  <conditionalFormatting sqref="BI9:BI14">
    <cfRule type="cellIs" dxfId="187" priority="101" operator="equal">
      <formula>0</formula>
    </cfRule>
  </conditionalFormatting>
  <conditionalFormatting sqref="BQ54">
    <cfRule type="expression" dxfId="186" priority="425">
      <formula>$BW$41="Non"</formula>
    </cfRule>
  </conditionalFormatting>
  <conditionalFormatting sqref="BQ36:CA36">
    <cfRule type="expression" dxfId="185" priority="426">
      <formula>$BW$41="Oui"</formula>
    </cfRule>
  </conditionalFormatting>
  <conditionalFormatting sqref="BS21:CA34">
    <cfRule type="expression" dxfId="184" priority="81">
      <formula>$EO$12="NON"</formula>
    </cfRule>
  </conditionalFormatting>
  <conditionalFormatting sqref="BY28:BY33">
    <cfRule type="notContainsBlanks" dxfId="183" priority="82">
      <formula>LEN(TRIM(BY28))&gt;0</formula>
    </cfRule>
  </conditionalFormatting>
  <conditionalFormatting sqref="BY56">
    <cfRule type="expression" dxfId="182" priority="472">
      <formula>$BW$41="Oui"</formula>
    </cfRule>
    <cfRule type="duplicateValues" dxfId="181" priority="473"/>
  </conditionalFormatting>
  <conditionalFormatting sqref="BY60">
    <cfRule type="expression" dxfId="180" priority="466">
      <formula>$BW$41="Oui"</formula>
    </cfRule>
    <cfRule type="cellIs" dxfId="179" priority="467" operator="lessThan">
      <formula>$BY$59</formula>
    </cfRule>
    <cfRule type="duplicateValues" dxfId="178" priority="468"/>
  </conditionalFormatting>
  <conditionalFormatting sqref="CA56">
    <cfRule type="expression" dxfId="176" priority="276">
      <formula>AND($CA$56&lt;$CE$47,$BW$41="Non")</formula>
    </cfRule>
  </conditionalFormatting>
  <conditionalFormatting sqref="CE53:CE54">
    <cfRule type="expression" dxfId="175" priority="153">
      <formula>$BW$41="Non"</formula>
    </cfRule>
  </conditionalFormatting>
  <conditionalFormatting sqref="CE57:CE58">
    <cfRule type="expression" dxfId="174" priority="152">
      <formula>$BW$41="Non"</formula>
    </cfRule>
  </conditionalFormatting>
  <conditionalFormatting sqref="CE3:CF3">
    <cfRule type="expression" dxfId="173" priority="113">
      <formula>AND($CE$3="",$CE$5&lt;&gt;"")</formula>
    </cfRule>
    <cfRule type="expression" dxfId="172" priority="114">
      <formula>$CD$3=""</formula>
    </cfRule>
    <cfRule type="expression" dxfId="171" priority="112">
      <formula>$FX$3="vrai"</formula>
    </cfRule>
  </conditionalFormatting>
  <conditionalFormatting sqref="CE5:CF5">
    <cfRule type="expression" dxfId="170" priority="119">
      <formula>$FX$5="vrai"</formula>
    </cfRule>
    <cfRule type="expression" dxfId="169" priority="121">
      <formula>OR(AND(CE5&lt;&gt;0,CE5&lt;AJ4),AND(CE5&lt;&gt;0,CE5&gt;EG5),AND(CE5&lt;&gt;0,CE5&lt;AB20))</formula>
    </cfRule>
    <cfRule type="expression" dxfId="168" priority="120">
      <formula>CD5=""</formula>
    </cfRule>
  </conditionalFormatting>
  <conditionalFormatting sqref="CE8:CF8">
    <cfRule type="expression" dxfId="167" priority="117">
      <formula>AND(CE8&lt;&gt;0,CE8&lt;AJ4)</formula>
    </cfRule>
    <cfRule type="expression" dxfId="166" priority="115">
      <formula>$FX$8="vrai"</formula>
    </cfRule>
    <cfRule type="expression" dxfId="165" priority="116">
      <formula>CD8=""</formula>
    </cfRule>
    <cfRule type="cellIs" dxfId="164" priority="118" operator="greaterThan">
      <formula>$CE$5</formula>
    </cfRule>
  </conditionalFormatting>
  <conditionalFormatting sqref="CF47">
    <cfRule type="notContainsBlanks" dxfId="163" priority="412">
      <formula>LEN(TRIM(CF47))&gt;0</formula>
    </cfRule>
  </conditionalFormatting>
  <conditionalFormatting sqref="CF49">
    <cfRule type="notContainsBlanks" dxfId="162" priority="411">
      <formula>LEN(TRIM(CF49))&gt;0</formula>
    </cfRule>
  </conditionalFormatting>
  <conditionalFormatting sqref="CF53:CF54">
    <cfRule type="expression" dxfId="160" priority="156">
      <formula>$BW$41="Non"</formula>
    </cfRule>
  </conditionalFormatting>
  <conditionalFormatting sqref="CF57:CF58">
    <cfRule type="expression" dxfId="157" priority="154">
      <formula>$BW$41="Non"</formula>
    </cfRule>
  </conditionalFormatting>
  <conditionalFormatting sqref="CG8:CI8">
    <cfRule type="expression" dxfId="156" priority="248">
      <formula>CD8=""</formula>
    </cfRule>
  </conditionalFormatting>
  <conditionalFormatting sqref="GW16:HR16">
    <cfRule type="expression" dxfId="155" priority="402">
      <formula>$AE$123="NON"</formula>
    </cfRule>
  </conditionalFormatting>
  <conditionalFormatting sqref="HG16:HJ16">
    <cfRule type="expression" dxfId="154" priority="4908">
      <formula>AR123&gt;0</formula>
    </cfRule>
  </conditionalFormatting>
  <conditionalFormatting sqref="HK16:HN16">
    <cfRule type="expression" dxfId="153" priority="4909">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200-000000000000}">
      <formula1>0</formula1>
      <formula2>0</formula2>
    </dataValidation>
    <dataValidation type="list" allowBlank="1" showInputMessage="1" showErrorMessage="1" sqref="F80:H80" xr:uid="{00000000-0002-0000-2200-000001000000}">
      <formula1>"Chèque,Espèce,Virement,Pajemploi +,CESU"</formula1>
    </dataValidation>
    <dataValidation type="list" allowBlank="1" showInputMessage="1" showErrorMessage="1" sqref="F82:H82" xr:uid="{00000000-0002-0000-2200-000002000000}">
      <formula1>"' ,Chèque,Espèce,Virement,Pajemploi +,CESU"</formula1>
    </dataValidation>
    <dataValidation type="list" allowBlank="1" showInputMessage="1" showErrorMessage="1" sqref="AU4:AU10" xr:uid="{00000000-0002-0000-2200-000003000000}">
      <formula1>"A,B,C,D,E,F,G,H"</formula1>
    </dataValidation>
    <dataValidation showInputMessage="1" showErrorMessage="1" sqref="BY6" xr:uid="{00000000-0002-0000-2200-000004000000}"/>
    <dataValidation type="list" allowBlank="1" showInputMessage="1" showErrorMessage="1" sqref="L123:M123 L125:M125 AI127:AJ127 AJ125:AK125 CC132 BF20:BF50" xr:uid="{00000000-0002-0000-2200-000006000000}">
      <formula1>"OUI,NON"</formula1>
    </dataValidation>
    <dataValidation type="list" allowBlank="1" showInputMessage="1" showErrorMessage="1" sqref="BX41" xr:uid="{00000000-0002-0000-2200-000007000000}">
      <formula1>Table_utilisation_tab_entretien</formula1>
    </dataValidation>
    <dataValidation type="list" showInputMessage="1" showErrorMessage="1" sqref="AR14:AZ14" xr:uid="{00000000-0002-0000-2200-000009000000}">
      <formula1>calendrier_bs</formula1>
    </dataValidation>
    <dataValidation type="list" showInputMessage="1" showErrorMessage="1" sqref="BZ118" xr:uid="{00000000-0002-0000-2200-00000A000000}">
      <formula1>"Scénario 1,Scénario 2,Scénario 3,Scénario 4,"</formula1>
    </dataValidation>
    <dataValidation type="list" allowBlank="1" showInputMessage="1" showErrorMessage="1" sqref="BZ2" xr:uid="{00000000-0002-0000-2200-00000B000000}">
      <formula1>Source_liste_fiche2</formula1>
    </dataValidation>
    <dataValidation type="list" allowBlank="1" showInputMessage="1" sqref="CF58 CF54 DJ51:DK52" xr:uid="{00000000-0002-0000-2200-00000C000000}">
      <formula1>"1,2,3,4,5,6,7,8,9,10,11,12,13"</formula1>
    </dataValidation>
    <dataValidation allowBlank="1" showInputMessage="1" sqref="BY56 BY60 CE54 CE58" xr:uid="{00000000-0002-0000-2200-00000D000000}"/>
    <dataValidation type="list" allowBlank="1" showInputMessage="1" sqref="BY57" xr:uid="{00000000-0002-0000-2200-00000E000000}">
      <formula1>"0,1,2,3,4,5,6,7,8,9,10,11,12,13,14,24"</formula1>
    </dataValidation>
    <dataValidation type="list" allowBlank="1" showInputMessage="1" showErrorMessage="1" sqref="AX76:AY76 AX79:AY79 AX82:AY82 AX85:AY85" xr:uid="{00000000-0002-0000-2200-00000F000000}">
      <formula1>liste_attestation_modif_pole</formula1>
    </dataValidation>
    <dataValidation type="list" allowBlank="1" showInputMessage="1" showErrorMessage="1" sqref="CE3:CF3" xr:uid="{00000000-0002-0000-2200-000010000000}">
      <formula1>motif_rupture</formula1>
    </dataValidation>
    <dataValidation type="list" showInputMessage="1" showErrorMessage="1" error="Vous devez choisir entre :_x000a_ - cellule vide_x000a_ - CP Acq_x000a_ - CP Ant" sqref="AR20:AR50" xr:uid="{00000000-0002-0000-2200-000011000000}">
      <formula1>Source_pose_CP</formula1>
    </dataValidation>
    <dataValidation type="list" allowBlank="1" showInputMessage="1" showErrorMessage="1" sqref="BA60:BA61 AT60:AT61 AX60:AY61" xr:uid="{F492B44E-B76B-42DA-AFAF-5D66B6950E91}">
      <formula1>"Non,Oui"</formula1>
    </dataValidation>
    <dataValidation allowBlank="1" showInputMessage="1" showErrorMessage="1" prompt="Vous pouvez choisir avec la petite flèche à droite &quot;Salaires heures normales réelles &quot;" sqref="A18:K18" xr:uid="{FA09A073-1836-43CE-8B67-E472D266A8C4}"/>
    <dataValidation type="list" errorStyle="information" allowBlank="1" showInputMessage="1" showErrorMessage="1" error="Faites Entrée pour valider le nombre d'heures" sqref="AZ20:AZ50" xr:uid="{DF35ACAE-0D7D-4117-9C6B-378A76944083}">
      <formula1>liste_motif</formula1>
    </dataValidation>
    <dataValidation type="list" allowBlank="1" showInputMessage="1" showErrorMessage="1" sqref="AZ62:AZ63" xr:uid="{8FDCA963-D04E-4138-9315-DD3759B5AE8D}">
      <formula1>liste_hrs_jrs</formula1>
    </dataValidation>
    <dataValidation type="list" allowBlank="1" showInputMessage="1" showErrorMessage="1" sqref="AO131:AP133 AH133:AI133" xr:uid="{4A76AF2B-AD4F-4E1A-9E83-68FECA235B23}">
      <formula1>"Oui,Non"</formula1>
    </dataValidation>
    <dataValidation type="list" allowBlank="1" showInputMessage="1" showErrorMessage="1" sqref="AJ135:AK135" xr:uid="{E81D18B2-95D8-4664-AFEB-2041567228FF}">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5CD3FBBA-1410-4D46-BE40-2EE2EC7C39F5}">
            <xm:f>Avril!$BY$8="OUI"</xm:f>
            <x14:dxf>
              <font>
                <color theme="0"/>
              </font>
              <fill>
                <patternFill>
                  <bgColor theme="0"/>
                </patternFill>
              </fill>
            </x14:dxf>
          </x14:cfRule>
          <xm:sqref>BZ8</xm:sqref>
        </x14:conditionalFormatting>
        <x14:conditionalFormatting xmlns:xm="http://schemas.microsoft.com/office/excel/2006/main">
          <x14:cfRule type="expression" priority="157" id="{806B419A-75F2-449C-B51E-36DE29017FE9}">
            <xm:f>AND($EO$11="NON",$CC$44=S.CAL!$BC$4)</xm:f>
            <x14:dxf>
              <fill>
                <patternFill>
                  <bgColor rgb="FFFF0000"/>
                </patternFill>
              </fill>
            </x14:dxf>
          </x14:cfRule>
          <xm:sqref>CF53:CF54</xm:sqref>
        </x14:conditionalFormatting>
        <x14:conditionalFormatting xmlns:xm="http://schemas.microsoft.com/office/excel/2006/main">
          <x14:cfRule type="expression" priority="151" id="{37F89A83-FEB2-45E6-9C2F-73BB86E08D1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B1247C0D-C493-40D9-A745-F8997F0D6731}">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200-000013000000}">
          <x14:formula1>
            <xm:f>S.CAL!$V$2:$V$4</xm:f>
          </x14:formula1>
          <xm:sqref>AN123:AO123 BZ8 AN129:AO129</xm:sqref>
        </x14:dataValidation>
        <x14:dataValidation type="list" allowBlank="1" showInputMessage="1" showErrorMessage="1" xr:uid="{00000000-0002-0000-2200-000014000000}">
          <x14:formula1>
            <xm:f>S.CAL!$S$2:$S$4</xm:f>
          </x14:formula1>
          <xm:sqref>BZ6</xm:sqref>
        </x14:dataValidation>
        <x14:dataValidation type="list" allowBlank="1" showInputMessage="1" showErrorMessage="1" xr:uid="{64B6A2DD-0BAB-4BCD-A71B-78A0ACFCB925}">
          <x14:formula1>
            <xm:f>S.CAL!$BC$2:$BC$5</xm:f>
          </x14:formula1>
          <xm:sqref>CC45:CD45</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pageSetUpPr fitToPage="1"/>
  </sheetPr>
  <dimension ref="A1:H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32" width="3" style="129" customWidth="1"/>
    <col min="33" max="33" width="3.42578125" style="129" customWidth="1"/>
    <col min="34"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5" width="8.7109375" style="196" hidden="1" customWidth="1"/>
    <col min="66" max="66" width="3" style="196" hidden="1" customWidth="1"/>
    <col min="67" max="67" width="5.42578125"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35" width="11.42578125" style="315" hidden="1" customWidth="1"/>
    <col min="136" max="136" width="38.7109375" style="315" hidden="1" customWidth="1"/>
    <col min="137"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34" width="11.42578125" style="129" hidden="1" customWidth="1"/>
    <col min="235"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196"/>
      <c r="CF1" s="196"/>
      <c r="CG1" s="196"/>
      <c r="CH1" s="196"/>
      <c r="CI1" s="196"/>
      <c r="CJ1" s="196"/>
      <c r="CK1" s="196"/>
      <c r="CL1" s="196"/>
      <c r="CM1" s="196"/>
      <c r="CN1" s="196"/>
      <c r="CO1" s="196"/>
      <c r="CP1" s="196"/>
      <c r="CQ1" s="196"/>
      <c r="CR1" s="196"/>
      <c r="CS1" s="196"/>
      <c r="CT1" s="196"/>
      <c r="CU1" s="196"/>
      <c r="CV1" s="196"/>
      <c r="CW1" s="196"/>
      <c r="CX1" s="196"/>
      <c r="CY1" s="196"/>
      <c r="CZ1" s="196"/>
      <c r="DA1" s="196"/>
      <c r="DB1" s="196"/>
      <c r="DC1" s="196"/>
      <c r="DD1" s="196"/>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F2" s="196"/>
      <c r="CG2" s="196"/>
      <c r="CH2" s="196"/>
      <c r="CI2" s="196"/>
      <c r="CJ2" s="196"/>
      <c r="CK2" s="196"/>
      <c r="CL2" s="196"/>
      <c r="CM2" s="196"/>
      <c r="CN2" s="196"/>
      <c r="CO2" s="196"/>
      <c r="CP2" s="196"/>
      <c r="CQ2" s="196"/>
      <c r="CR2" s="196"/>
      <c r="CS2" s="196"/>
      <c r="CT2" s="196"/>
      <c r="CU2" s="196"/>
      <c r="CV2" s="196"/>
      <c r="CW2" s="196"/>
      <c r="CX2" s="196"/>
      <c r="CY2" s="196"/>
      <c r="CZ2" s="196"/>
      <c r="DA2" s="196"/>
      <c r="DB2" s="196"/>
      <c r="DC2" s="196"/>
      <c r="DD2" s="196"/>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DATE(YEAR(Janvier!X3),MONTH(Janvier!X3)+10,DAY(Janvier!X3))</f>
        <v>46327</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01"/>
      <c r="CD3" s="131" t="str">
        <f>+IF(BZ8="OUI","Motif de la rupture :","")</f>
        <v/>
      </c>
      <c r="CE3" s="2229"/>
      <c r="CF3" s="2229"/>
      <c r="CG3" s="196">
        <f>+IF(CE3=S.CAL!FO1,S.CAL!FP1,IF(CE3=S.CAL!FO2,S.CAL!FP2,IF(CE3=S.CAL!FO3,S.CAL!FP30,0)))</f>
        <v>0</v>
      </c>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44</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196"/>
      <c r="CE4" s="566"/>
      <c r="CF4" s="566"/>
      <c r="CG4" s="196"/>
      <c r="CH4" s="196"/>
      <c r="CI4" s="196"/>
      <c r="CJ4" s="196"/>
      <c r="CK4" s="196"/>
      <c r="CL4" s="196"/>
      <c r="CM4" s="196"/>
      <c r="CN4" s="196"/>
      <c r="CO4" s="196"/>
      <c r="CP4" s="196"/>
      <c r="CQ4" s="196"/>
      <c r="CR4" s="196"/>
      <c r="CS4" s="196"/>
      <c r="CT4" s="196"/>
      <c r="CU4" s="196"/>
      <c r="CV4" s="196"/>
      <c r="CW4" s="196"/>
      <c r="CX4" s="196"/>
      <c r="CY4" s="196"/>
      <c r="CZ4" s="196"/>
      <c r="DA4" s="196"/>
      <c r="DB4" s="196"/>
      <c r="DC4" s="196"/>
      <c r="DD4" s="196"/>
      <c r="DK4" s="315" t="s">
        <v>1116</v>
      </c>
      <c r="DL4" s="315">
        <f>+ROUNDDOWN((DL3-DL1)*60/100*100,0)</f>
        <v>14</v>
      </c>
      <c r="DO4" s="402" t="s">
        <v>200</v>
      </c>
      <c r="DP4" s="315" t="str">
        <f>IF(Octobre!BY8="OUI","Contrat fini",BY2)</f>
        <v>Fiche info</v>
      </c>
      <c r="EF4" s="315" t="s">
        <v>1028</v>
      </c>
      <c r="EG4" s="737">
        <f>+Identification!B95</f>
        <v>0</v>
      </c>
      <c r="FG4" s="315" t="str">
        <f>IFERROR(IF(VLOOKUP(AT4,Octobre!$AT$4:$AU$10,2,FALSE)&lt;&gt;Novembre!AU4,"rouge","ok"),0)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46327</v>
      </c>
      <c r="Y5" s="2206"/>
      <c r="Z5" s="1743" t="s">
        <v>451</v>
      </c>
      <c r="AA5" s="1743"/>
      <c r="AB5" s="2206">
        <f>+IF(AND(DATE(YEAR(EG4),MONTH(EG4),DAY(EG4))&gt;=DATE(YEAR(X3),MONTH(X3),DAY(X3)),DATE(YEAR(EG4),MONTH(EG4),DAY(EG4))&lt;=DATE(YEAR(X3),MONTH(X3),DAY(EOMONTH(X3,0)))),EG4,EOMONTH(X3,0))</f>
        <v>46356</v>
      </c>
      <c r="AC5" s="2210"/>
      <c r="AP5" s="209"/>
      <c r="AQ5" s="318"/>
      <c r="AR5" s="209"/>
      <c r="AS5" s="210"/>
      <c r="AT5" s="301">
        <f t="array" ref="AT5">IFERROR(INDEX($BK$20:$BK$50,MATCH(0,INDEX(COUNTIF($AT$3:AT4,$BK$20:$BK$50),0,0),0)),"")</f>
        <v>45</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196"/>
      <c r="CH5" s="196"/>
      <c r="CI5" s="196"/>
      <c r="CJ5" s="196"/>
      <c r="CK5" s="196"/>
      <c r="CL5" s="196"/>
      <c r="CM5" s="196"/>
      <c r="CN5" s="196"/>
      <c r="CO5" s="196"/>
      <c r="CP5" s="196"/>
      <c r="CQ5" s="196"/>
      <c r="CR5" s="196"/>
      <c r="CS5" s="196"/>
      <c r="CT5" s="196"/>
      <c r="CU5" s="196"/>
      <c r="CV5" s="196"/>
      <c r="CW5" s="196"/>
      <c r="CX5" s="196"/>
      <c r="CY5" s="196"/>
      <c r="CZ5" s="196"/>
      <c r="DA5" s="196"/>
      <c r="DB5" s="196"/>
      <c r="DC5" s="196"/>
      <c r="DD5" s="196"/>
      <c r="DO5" s="402" t="s">
        <v>511</v>
      </c>
      <c r="DP5" s="315">
        <f>+VLOOKUP(DP4,base_donné_contrat,2,FALSE)</f>
        <v>0</v>
      </c>
      <c r="EF5" s="315" t="s">
        <v>1213</v>
      </c>
      <c r="EG5" s="737">
        <f>+EOMONTH(X3,0)</f>
        <v>46356</v>
      </c>
      <c r="FG5" s="315">
        <f>IFERROR(IF(VLOOKUP(AT5,Octobre!$AT$4:$AU$10,2,FALSE)&lt;&gt;Novembre!AU5,"rouge","ok"),0)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46</v>
      </c>
      <c r="AU6" s="1122" t="s">
        <v>226</v>
      </c>
      <c r="BQ6" s="578"/>
      <c r="BR6" s="578"/>
      <c r="BS6" s="578"/>
      <c r="BT6" s="578"/>
      <c r="BU6" s="578"/>
      <c r="BV6" s="578"/>
      <c r="BW6" s="578"/>
      <c r="BX6" s="579" t="s">
        <v>509</v>
      </c>
      <c r="BY6" s="580" t="str">
        <f>+IF(BZ6="",Octobre!BY6,BZ6)</f>
        <v>Non</v>
      </c>
      <c r="BZ6" s="581"/>
      <c r="CA6" s="566"/>
      <c r="CE6" s="566"/>
      <c r="CF6" s="566"/>
      <c r="CG6" s="196"/>
      <c r="CI6" s="196"/>
      <c r="CJ6" s="196"/>
      <c r="CK6" s="196"/>
      <c r="CL6" s="196"/>
      <c r="CM6" s="196"/>
      <c r="CN6" s="196"/>
      <c r="CO6" s="196"/>
      <c r="CP6" s="196"/>
      <c r="CQ6" s="196"/>
      <c r="CR6" s="196"/>
      <c r="CS6" s="196"/>
      <c r="CT6" s="196"/>
      <c r="CU6" s="196"/>
      <c r="CV6" s="196"/>
      <c r="CW6" s="196"/>
      <c r="CX6" s="196"/>
      <c r="CY6" s="196"/>
      <c r="CZ6" s="196"/>
      <c r="DA6" s="196"/>
      <c r="DB6" s="196"/>
      <c r="DC6" s="196"/>
      <c r="DD6" s="196"/>
      <c r="DO6" s="402" t="s">
        <v>201</v>
      </c>
      <c r="DP6" s="738">
        <f>+IFERROR(VLOOKUP(X3,base_smic,2,TRUE),0)</f>
        <v>12.02</v>
      </c>
      <c r="EF6" s="315" t="s">
        <v>1533</v>
      </c>
      <c r="EG6" s="315">
        <f>+VLOOKUP(X3,Identification!A90:B92,2,TRUE)</f>
        <v>3022</v>
      </c>
      <c r="EN6" s="315" t="s">
        <v>922</v>
      </c>
      <c r="EO6" s="315" t="str">
        <f>+IF(AND(R87=0,R90=0,AE129="NON"),"OUI","")</f>
        <v>OUI</v>
      </c>
      <c r="FG6" s="315">
        <f>IFERROR(IF(VLOOKUP(AT6,Octobre!$AT$4:$AU$10,2,FALSE)&lt;&gt;Novembre!AU6,"rouge","ok"),0)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47</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196"/>
      <c r="CH7" s="196"/>
      <c r="CI7" s="196"/>
      <c r="CJ7" s="196"/>
      <c r="CK7" s="196"/>
      <c r="CL7" s="196"/>
      <c r="CM7" s="196"/>
      <c r="CN7" s="196"/>
      <c r="CO7" s="196"/>
      <c r="CP7" s="196"/>
      <c r="CQ7" s="196"/>
      <c r="CR7" s="196"/>
      <c r="CS7" s="196"/>
      <c r="CT7" s="196"/>
      <c r="CU7" s="196"/>
      <c r="CV7" s="196"/>
      <c r="CW7" s="196"/>
      <c r="CX7" s="196"/>
      <c r="CY7" s="196"/>
      <c r="CZ7" s="196"/>
      <c r="DA7" s="196"/>
      <c r="DB7" s="196"/>
      <c r="DC7" s="196"/>
      <c r="DD7" s="196"/>
      <c r="DO7" s="402" t="s">
        <v>202</v>
      </c>
      <c r="DP7" s="315" t="str">
        <f>+VLOOKUP(DP4,base_donné_contrat,4,FALSE)</f>
        <v>NON</v>
      </c>
      <c r="EF7" s="402" t="s">
        <v>950</v>
      </c>
      <c r="EG7" s="1563" t="e">
        <f>(T25/P18+T26/P19)*-1</f>
        <v>#DIV/0!</v>
      </c>
      <c r="EN7" s="315" t="s">
        <v>925</v>
      </c>
      <c r="EO7" s="315" t="str">
        <f>+IF(AND(EO6="",BY8="OUI",R90&lt;&gt;0),"OUI","")</f>
        <v/>
      </c>
      <c r="FG7" s="315">
        <f>IFERROR(IF(VLOOKUP(AT7,Octobre!$AT$4:$AU$10,2,FALSE)&lt;&gt;Novembre!AU7,"rouge","ok"),0)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48</v>
      </c>
      <c r="AU8" s="1122" t="s">
        <v>226</v>
      </c>
      <c r="BG8" s="240"/>
      <c r="BH8" s="1439" t="str">
        <f>+AT3</f>
        <v>N° Sem.</v>
      </c>
      <c r="BI8" s="1440" t="s">
        <v>1552</v>
      </c>
      <c r="BQ8" s="1985" t="s">
        <v>210</v>
      </c>
      <c r="BR8" s="1986"/>
      <c r="BS8" s="1986"/>
      <c r="BT8" s="1986"/>
      <c r="BU8" s="1986"/>
      <c r="BV8" s="1986"/>
      <c r="BW8" s="1986"/>
      <c r="BX8" s="1986"/>
      <c r="BY8" s="965" t="str">
        <f>IF(BZ8="",Octobre!BY8,BZ8)</f>
        <v>NON</v>
      </c>
      <c r="BZ8" s="1114"/>
      <c r="CA8" s="566"/>
      <c r="CD8" s="131" t="str">
        <f>+IF(BZ8="OUI","Date de notification de la rupture ou de la démission :","")</f>
        <v/>
      </c>
      <c r="CE8" s="2231"/>
      <c r="CF8" s="2231"/>
      <c r="CG8" s="2223" t="s">
        <v>1389</v>
      </c>
      <c r="CH8" s="2223"/>
      <c r="CI8" s="2223"/>
      <c r="CJ8" s="196"/>
      <c r="CK8" s="196"/>
      <c r="CL8" s="196"/>
      <c r="CM8" s="196"/>
      <c r="CN8" s="196"/>
      <c r="CO8" s="196"/>
      <c r="CP8" s="196"/>
      <c r="CQ8" s="196"/>
      <c r="CR8" s="196"/>
      <c r="CS8" s="196"/>
      <c r="CT8" s="196"/>
      <c r="CU8" s="196"/>
      <c r="CV8" s="196"/>
      <c r="CW8" s="196"/>
      <c r="CX8" s="196"/>
      <c r="CY8" s="196"/>
      <c r="CZ8" s="196"/>
      <c r="DA8" s="196"/>
      <c r="DB8" s="196"/>
      <c r="DC8" s="196"/>
      <c r="DD8" s="196"/>
      <c r="DO8" s="402" t="s">
        <v>512</v>
      </c>
      <c r="DP8" s="315">
        <f>+VLOOKUP(DP4,base_donné_contrat,5,FALSE)</f>
        <v>0</v>
      </c>
      <c r="EN8" s="315" t="s">
        <v>952</v>
      </c>
      <c r="EO8" s="315" t="str">
        <f>+IF(AND(EO6="",R89=0,R87&gt;0,OR(T30&gt;0,T32&gt;0)),"OUI","")</f>
        <v/>
      </c>
      <c r="FG8" s="315">
        <f>IFERROR(IF(VLOOKUP(AT8,Octobre!$AT$4:$AU$10,2,FALSE)&lt;&gt;Novembre!AU8,"rouge","ok"),0)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f t="array" ref="AT9">IFERROR(INDEX($BK$20:$BK$50,MATCH(0,INDEX(COUNTIF($AT$3:AT8,$BK$20:$BK$50),0,0),0)),"")</f>
        <v>49</v>
      </c>
      <c r="AU9" s="1122" t="s">
        <v>226</v>
      </c>
      <c r="BG9" s="1430" t="str">
        <f>+BH9&amp;$X$4</f>
        <v>442026</v>
      </c>
      <c r="BH9" s="1441">
        <f t="shared" ref="BH9:BH14" si="0">+AT4</f>
        <v>44</v>
      </c>
      <c r="BI9" s="1442">
        <f>IF($AR$13=S.CAL!$CU$2,+SUMIF(S.CAL!$FW$3:$FW$374,BG9,S.CAL!$FX$3:$FX$374),IF($AR$13=S.CAL!$CU$3,SUMIF(Feuilles_de_présence_planning!$EG$12:$EG$537,BG9,Feuilles_de_présence_planning!$EE$12:$EE$537),"err"))</f>
        <v>0</v>
      </c>
      <c r="BY9" s="196" t="str">
        <f>+IF(Octobre!BY8="OUI","FIN","O")</f>
        <v>O</v>
      </c>
      <c r="BZ9" s="635"/>
      <c r="CA9" s="196"/>
      <c r="CF9" s="873" t="str">
        <f>+IF(BZ8="OUI","Ç","")</f>
        <v/>
      </c>
      <c r="CG9" s="196"/>
      <c r="CH9" s="196"/>
      <c r="CI9" s="196"/>
      <c r="CJ9" s="196"/>
      <c r="CK9" s="196"/>
      <c r="CL9" s="196"/>
      <c r="CM9" s="196"/>
      <c r="CN9" s="196"/>
      <c r="CO9" s="196"/>
      <c r="CP9" s="196"/>
      <c r="CQ9" s="196"/>
      <c r="CR9" s="196"/>
      <c r="CS9" s="196"/>
      <c r="CT9" s="196"/>
      <c r="CU9" s="196"/>
      <c r="CV9" s="196"/>
      <c r="CW9" s="196"/>
      <c r="CX9" s="196"/>
      <c r="CY9" s="196"/>
      <c r="CZ9" s="196"/>
      <c r="DA9" s="196"/>
      <c r="DB9" s="196"/>
      <c r="DC9" s="196"/>
      <c r="DD9" s="196"/>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f>IFERROR(IF(VLOOKUP(AT9,Octobre!$AT$4:$AU$10,2,FALSE)&lt;&gt;Novembre!AU9,"rouge","ok"),0)</f>
        <v>0</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452026</v>
      </c>
      <c r="BH10" s="1441">
        <f t="shared" si="0"/>
        <v>45</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F10" s="196"/>
      <c r="CG10" s="196"/>
      <c r="CH10" s="196"/>
      <c r="CI10" s="196"/>
      <c r="CJ10" s="196"/>
      <c r="CK10" s="196"/>
      <c r="CL10" s="196"/>
      <c r="CM10" s="196"/>
      <c r="CN10" s="196"/>
      <c r="CO10" s="196"/>
      <c r="CP10" s="196"/>
      <c r="CQ10" s="196"/>
      <c r="CR10" s="196"/>
      <c r="CS10" s="196"/>
      <c r="CT10" s="196"/>
      <c r="CU10" s="196"/>
      <c r="CV10" s="196"/>
      <c r="CW10" s="196"/>
      <c r="CX10" s="196"/>
      <c r="CY10" s="196"/>
      <c r="CZ10" s="196"/>
      <c r="DA10" s="196"/>
      <c r="DB10" s="196"/>
      <c r="DC10" s="196"/>
      <c r="DD10" s="196"/>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IFERROR(IF(VLOOKUP(AT10,Octobre!$AT$4:$AU$10,2,FALSE)&lt;&gt;Novembre!AU10,"rouge","ok"),0)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462026</v>
      </c>
      <c r="BH11" s="1441">
        <f t="shared" si="0"/>
        <v>46</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196"/>
      <c r="CG11" s="196"/>
      <c r="CH11" s="196"/>
      <c r="CI11" s="196"/>
      <c r="CJ11" s="196"/>
      <c r="CK11" s="196"/>
      <c r="CL11" s="196"/>
      <c r="CM11" s="196"/>
      <c r="CN11" s="196"/>
      <c r="CO11" s="196"/>
      <c r="CP11" s="196"/>
      <c r="CQ11" s="196"/>
      <c r="CR11" s="196"/>
      <c r="CS11" s="196"/>
      <c r="CT11" s="196"/>
      <c r="CU11" s="196"/>
      <c r="CV11" s="196"/>
      <c r="CW11" s="196"/>
      <c r="CX11" s="196"/>
      <c r="CY11" s="196"/>
      <c r="CZ11" s="196"/>
      <c r="DA11" s="196"/>
      <c r="DB11" s="196"/>
      <c r="DC11" s="196"/>
      <c r="DD11" s="196"/>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472026</v>
      </c>
      <c r="BH12" s="1441">
        <f t="shared" si="0"/>
        <v>47</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196"/>
      <c r="CG12" s="196"/>
      <c r="CH12" s="196"/>
      <c r="CI12" s="196"/>
      <c r="CJ12" s="196"/>
      <c r="CK12" s="196"/>
      <c r="CL12" s="196"/>
      <c r="CM12" s="196"/>
      <c r="CN12" s="196"/>
      <c r="CO12" s="196"/>
      <c r="CP12" s="196"/>
      <c r="CQ12" s="196"/>
      <c r="CR12" s="196"/>
      <c r="CS12" s="196"/>
      <c r="CT12" s="196"/>
      <c r="CU12" s="196"/>
      <c r="CV12" s="196"/>
      <c r="CW12" s="196"/>
      <c r="CX12" s="196"/>
      <c r="CY12" s="196"/>
      <c r="CZ12" s="196"/>
      <c r="DA12" s="196"/>
      <c r="DB12" s="196"/>
      <c r="DC12" s="196"/>
      <c r="DD12" s="196"/>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6</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IF(AR14="",Octobre!AR13,AR14)</f>
        <v>à partir du tableau ci-dessous</v>
      </c>
      <c r="AS13" s="2372"/>
      <c r="AT13" s="2372"/>
      <c r="AU13" s="2372"/>
      <c r="AV13" s="2372"/>
      <c r="AW13" s="2372"/>
      <c r="AX13" s="2372"/>
      <c r="AY13" s="2372"/>
      <c r="AZ13" s="2372"/>
      <c r="BA13" s="2355" t="s">
        <v>1086</v>
      </c>
      <c r="BB13" s="2355"/>
      <c r="BC13" s="2355"/>
      <c r="BD13" s="951"/>
      <c r="BG13" s="1430" t="str">
        <f t="shared" si="1"/>
        <v>482026</v>
      </c>
      <c r="BH13" s="1441">
        <f t="shared" si="0"/>
        <v>48</v>
      </c>
      <c r="BI13" s="1442">
        <f>IF($AR$13=S.CAL!$CU$2,+SUMIF(S.CAL!$FW$3:$FW$374,BG13,S.CAL!$FX$3:$FX$374),IF($AR$13=S.CAL!$CU$3,SUMIF(Feuilles_de_présence_planning!$EG$12:$EG$537,BG13,Feuilles_de_présence_planning!$EE$12:$EE$537),"err"))</f>
        <v>0</v>
      </c>
      <c r="BZ13" s="636" t="str">
        <f>+IF(BZ8="OUI","Si nécessaire calculer l'indemnité de préavis et vérifier l'indemnité de rupture","")</f>
        <v/>
      </c>
      <c r="CA13" s="196"/>
      <c r="CF13" s="196"/>
      <c r="CG13" s="196"/>
      <c r="CH13" s="196"/>
      <c r="CI13" s="196"/>
      <c r="CJ13" s="196"/>
      <c r="CK13" s="196"/>
      <c r="CL13" s="196"/>
      <c r="CM13" s="196"/>
      <c r="CN13" s="196"/>
      <c r="CO13" s="196"/>
      <c r="CP13" s="196"/>
      <c r="CQ13" s="196"/>
      <c r="CR13" s="196"/>
      <c r="CS13" s="196"/>
      <c r="CT13" s="196"/>
      <c r="CU13" s="196"/>
      <c r="CV13" s="196"/>
      <c r="CW13" s="196"/>
      <c r="CX13" s="196"/>
      <c r="CY13" s="196"/>
      <c r="CZ13" s="196"/>
      <c r="DA13" s="196"/>
      <c r="DB13" s="196"/>
      <c r="DC13" s="196"/>
      <c r="DD13" s="196"/>
      <c r="DO13" s="402" t="s">
        <v>347</v>
      </c>
      <c r="DP13" s="738">
        <f>+VLOOKUP(DP4,base_donné_contrat,12,FALSE)</f>
        <v>0</v>
      </c>
      <c r="EF13" s="315" t="s">
        <v>217</v>
      </c>
      <c r="EH13" s="315" t="s">
        <v>216</v>
      </c>
      <c r="EN13" s="315" t="s">
        <v>1192</v>
      </c>
      <c r="EO13" s="851">
        <f>+Octobre!EO13+Octobre!R89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492026</v>
      </c>
      <c r="BH14" s="1443">
        <f t="shared" si="0"/>
        <v>49</v>
      </c>
      <c r="BI14" s="1444">
        <f>IF($AR$13=S.CAL!$CU$2,+SUMIF(S.CAL!$FW$3:$FW$374,BG14,S.CAL!$FX$3:$FX$374),IF($AR$13=S.CAL!$CU$3,SUMIF(Feuilles_de_présence_planning!$EG$12:$EG$537,BG14,Feuilles_de_présence_planning!$EE$12:$EE$537),"err"))</f>
        <v>0</v>
      </c>
      <c r="CA14" s="196"/>
      <c r="CF14" s="196"/>
      <c r="CG14" s="196"/>
      <c r="CH14" s="196"/>
      <c r="CI14" s="196"/>
      <c r="CJ14" s="196"/>
      <c r="CK14" s="196"/>
      <c r="CL14" s="196"/>
      <c r="CM14" s="196"/>
      <c r="CN14" s="196"/>
      <c r="CO14" s="196"/>
      <c r="CP14" s="196"/>
      <c r="CQ14" s="196"/>
      <c r="CR14" s="196"/>
      <c r="CS14" s="196"/>
      <c r="CT14" s="196"/>
      <c r="CU14" s="196"/>
      <c r="CV14" s="196"/>
      <c r="CW14" s="196"/>
      <c r="CX14" s="196"/>
      <c r="CY14" s="196"/>
      <c r="CZ14" s="196"/>
      <c r="DA14" s="196"/>
      <c r="DB14" s="196"/>
      <c r="DC14" s="196"/>
      <c r="DD14" s="196"/>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196"/>
      <c r="CG15" s="196"/>
      <c r="CH15" s="196"/>
      <c r="CI15" s="196"/>
      <c r="CJ15" s="196"/>
      <c r="CK15" s="196"/>
      <c r="CL15" s="196"/>
      <c r="CM15" s="196"/>
      <c r="CN15" s="196"/>
      <c r="CO15" s="196"/>
      <c r="CP15" s="196"/>
      <c r="CQ15" s="196"/>
      <c r="CR15" s="196"/>
      <c r="CS15" s="196"/>
      <c r="CT15" s="196"/>
      <c r="CU15" s="196"/>
      <c r="CV15" s="196"/>
      <c r="CW15" s="196"/>
      <c r="CX15" s="196"/>
      <c r="CY15" s="196"/>
      <c r="CZ15" s="196"/>
      <c r="DA15" s="196"/>
      <c r="DB15" s="196"/>
      <c r="DC15" s="196"/>
      <c r="DD15" s="196"/>
      <c r="DO15" s="315" t="s">
        <v>640</v>
      </c>
      <c r="DP15" s="315"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196"/>
      <c r="CG16" s="196"/>
      <c r="CH16" s="196"/>
      <c r="CI16" s="196"/>
      <c r="CJ16" s="196"/>
      <c r="CK16" s="196"/>
      <c r="CL16" s="196"/>
      <c r="CM16" s="196"/>
      <c r="CN16" s="196"/>
      <c r="CO16" s="196"/>
      <c r="CP16" s="196"/>
      <c r="CQ16" s="196"/>
      <c r="CR16" s="196"/>
      <c r="CS16" s="196"/>
      <c r="CT16" s="196"/>
      <c r="CU16" s="196"/>
      <c r="CV16" s="196"/>
      <c r="CW16" s="196"/>
      <c r="CX16" s="196"/>
      <c r="CY16" s="196"/>
      <c r="CZ16" s="196"/>
      <c r="DA16" s="196"/>
      <c r="DB16" s="196"/>
      <c r="DC16" s="196"/>
      <c r="DD16" s="196"/>
      <c r="DO16" s="315" t="s">
        <v>699</v>
      </c>
      <c r="DP16" s="315" t="str">
        <f>+VLOOKUP(DP4,base_donné_contrat,10,FALSE)</f>
        <v>Méthode 1</v>
      </c>
      <c r="DZ16" s="402"/>
      <c r="EA16" s="402"/>
      <c r="EB16" s="402"/>
      <c r="EC16" s="402"/>
      <c r="ED16" s="402"/>
      <c r="EE16" s="402" t="s">
        <v>215</v>
      </c>
      <c r="EF16" s="741">
        <f>+Octobre!EF16</f>
        <v>0</v>
      </c>
      <c r="EG16" s="741">
        <f>+Octobre!EG16</f>
        <v>0</v>
      </c>
      <c r="EH16" s="741">
        <f>+Octobre!EH16+Octobre!EH17</f>
        <v>0</v>
      </c>
      <c r="EI16" s="741">
        <f>+Octobre!EI16+Octobre!EI17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196"/>
      <c r="CG17" s="196"/>
      <c r="CH17" s="196"/>
      <c r="CI17" s="196"/>
      <c r="CJ17" s="196"/>
      <c r="CK17" s="196"/>
      <c r="CL17" s="196"/>
      <c r="CM17" s="196"/>
      <c r="CN17" s="196"/>
      <c r="CO17" s="196"/>
      <c r="CP17" s="196"/>
      <c r="CQ17" s="196"/>
      <c r="CR17" s="196"/>
      <c r="CS17" s="196"/>
      <c r="CT17" s="196"/>
      <c r="CU17" s="196"/>
      <c r="CV17" s="196"/>
      <c r="CW17" s="196"/>
      <c r="CX17" s="196"/>
      <c r="CY17" s="196"/>
      <c r="CZ17" s="196"/>
      <c r="DA17" s="196"/>
      <c r="DB17" s="196"/>
      <c r="DC17" s="196"/>
      <c r="DD17" s="196"/>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419" t="s">
        <v>961</v>
      </c>
      <c r="ER17" s="2419"/>
      <c r="ES17" s="2419"/>
      <c r="ET17" s="2419"/>
      <c r="EU17" s="2419"/>
      <c r="EV17" s="1389"/>
      <c r="EW17" s="2418" t="s">
        <v>962</v>
      </c>
      <c r="EX17" s="2418"/>
      <c r="EY17" s="2418"/>
      <c r="EZ17" s="2418"/>
      <c r="FA17" s="2418"/>
      <c r="FB17" s="777"/>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196"/>
      <c r="CG18" s="196"/>
      <c r="CH18" s="196"/>
      <c r="CI18" s="196"/>
      <c r="CJ18" s="196"/>
      <c r="CK18" s="196"/>
      <c r="CL18" s="196"/>
      <c r="CM18" s="196"/>
      <c r="CN18" s="196"/>
      <c r="CO18" s="196"/>
      <c r="CP18" s="196"/>
      <c r="CQ18" s="196"/>
      <c r="CR18" s="196"/>
      <c r="CS18" s="196"/>
      <c r="CT18" s="196"/>
      <c r="CU18" s="196"/>
      <c r="CV18" s="196"/>
      <c r="CW18" s="196"/>
      <c r="CX18" s="196"/>
      <c r="CY18" s="196"/>
      <c r="CZ18" s="196"/>
      <c r="DA18" s="196"/>
      <c r="DB18" s="196"/>
      <c r="DC18" s="196"/>
      <c r="DD18" s="196"/>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c r="BP19" s="1950"/>
      <c r="BQ19" s="196"/>
      <c r="BR19" s="196"/>
      <c r="BS19" s="196"/>
      <c r="BT19" s="196"/>
      <c r="BU19" s="196"/>
      <c r="BV19" s="196"/>
      <c r="BW19" s="196"/>
      <c r="BX19" s="196"/>
      <c r="BY19" s="196"/>
      <c r="BZ19" s="196"/>
      <c r="CA19" s="196"/>
      <c r="CF19" s="196"/>
      <c r="CG19" s="196"/>
      <c r="CH19" s="196"/>
      <c r="CI19" s="196"/>
      <c r="CJ19" s="196"/>
      <c r="CK19" s="196"/>
      <c r="CL19" s="196"/>
      <c r="CM19" s="196"/>
      <c r="CN19" s="196"/>
      <c r="CO19" s="196"/>
      <c r="CP19" s="196"/>
      <c r="CQ19" s="196"/>
      <c r="CR19" s="196"/>
      <c r="CS19" s="196"/>
      <c r="CT19" s="196"/>
      <c r="CU19" s="196"/>
      <c r="CV19" s="196"/>
      <c r="CW19" s="196"/>
      <c r="CX19" s="196"/>
      <c r="CY19" s="196"/>
      <c r="CZ19" s="196"/>
      <c r="DA19" s="196"/>
      <c r="DB19" s="196"/>
      <c r="DC19" s="196"/>
      <c r="DD19" s="196"/>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Nov'!D18:D48,"&gt;0")</f>
        <v>0</v>
      </c>
      <c r="EQ19" s="779" t="s">
        <v>16</v>
      </c>
      <c r="ER19" s="780" t="s">
        <v>957</v>
      </c>
      <c r="ES19" s="781" t="s">
        <v>958</v>
      </c>
      <c r="ET19" s="780" t="s">
        <v>959</v>
      </c>
      <c r="EU19" s="781" t="s">
        <v>46</v>
      </c>
      <c r="EV19" s="1391" t="s">
        <v>1530</v>
      </c>
      <c r="EW19" s="780" t="s">
        <v>16</v>
      </c>
      <c r="EX19" s="781" t="s">
        <v>957</v>
      </c>
      <c r="EY19" s="780" t="s">
        <v>958</v>
      </c>
      <c r="EZ19" s="781" t="s">
        <v>959</v>
      </c>
      <c r="FA19" s="782" t="s">
        <v>46</v>
      </c>
      <c r="FB19" s="780"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46327</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44</v>
      </c>
      <c r="AQ20" s="322"/>
      <c r="AR20" s="1123"/>
      <c r="AS20" s="314">
        <f t="shared" ref="AS20:AS50" si="3">SUM(AD20:AL20)</f>
        <v>0</v>
      </c>
      <c r="AT20" s="1124"/>
      <c r="AU20" s="1124"/>
      <c r="AV20" s="314"/>
      <c r="AW20" s="2150">
        <f>AB20</f>
        <v>46327</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infoA7</v>
      </c>
      <c r="BK20" s="129">
        <f>IFERROR(WEEKNUM(AB20,21),"")</f>
        <v>44</v>
      </c>
      <c r="BL20" s="129" t="str">
        <f t="shared" ref="BL20:BL50" si="4">+VLOOKUP(BK20,$AT$4:$AU$10,2,)</f>
        <v>A</v>
      </c>
      <c r="BM20" s="129">
        <f t="shared" ref="BM20:BM21" si="5">WEEKDAY(AB20,2)</f>
        <v>7</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196"/>
      <c r="CF20" s="196"/>
      <c r="CG20" s="196"/>
      <c r="CH20" s="196"/>
      <c r="CI20" s="196"/>
      <c r="CJ20" s="196"/>
      <c r="CK20" s="196"/>
      <c r="CL20" s="196"/>
      <c r="CM20" s="196"/>
      <c r="CN20" s="196"/>
      <c r="CO20" s="196"/>
      <c r="CP20" s="196"/>
      <c r="CQ20" s="196"/>
      <c r="CR20" s="196"/>
      <c r="CS20" s="196"/>
      <c r="CT20" s="196"/>
      <c r="CU20" s="196"/>
      <c r="CV20" s="196"/>
      <c r="CW20" s="196"/>
      <c r="CX20" s="196"/>
      <c r="CY20" s="196"/>
      <c r="CZ20" s="196"/>
      <c r="DA20" s="196"/>
      <c r="DB20" s="196"/>
      <c r="DC20" s="196"/>
      <c r="DD20" s="196"/>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25</v>
      </c>
      <c r="EQ20" s="748">
        <f>+AB20</f>
        <v>46327</v>
      </c>
      <c r="ER20" s="749">
        <f t="shared" ref="ER20:ER50" si="10">+IFERROR(VLOOKUP(EQ20,planning_fp,2,FALSE),"")</f>
        <v>0</v>
      </c>
      <c r="ES20" s="750">
        <f t="shared" ref="ES20:ES50" si="11">+IFERROR(VLOOKUP(EQ20,planning_fp,3,FALSE),"")</f>
        <v>0</v>
      </c>
      <c r="ET20" s="749">
        <f t="shared" ref="ET20:ET50" si="12">+IFERROR(VLOOKUP(EQ20,planning_fp,4,FALSE),"")</f>
        <v>0</v>
      </c>
      <c r="EU20" s="750">
        <f t="shared" ref="EU20:EU50" si="13">+IFERROR(VLOOKUP(EQ20,planning_fp,5,FALSE),"")</f>
        <v>0</v>
      </c>
      <c r="EV20" s="749" t="str">
        <f t="shared" ref="EV20:EV50" si="14">+IFERROR(VLOOKUP(EQ20,planning_fp,17,FALSE),"")</f>
        <v/>
      </c>
      <c r="EW20" s="751">
        <f>+EQ20</f>
        <v>46327</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44</v>
      </c>
      <c r="GA20" s="129">
        <f>+$X$4</f>
        <v>2026</v>
      </c>
      <c r="GB20" s="129" t="str">
        <f>+FZ20&amp;GA20</f>
        <v>442026</v>
      </c>
      <c r="GC20" s="223">
        <f>IF(AND($GD$53=S.CAL!$P$3,$GD$52=FZ20),GE20,IF(BH20="",0,BH20))</f>
        <v>0</v>
      </c>
      <c r="GD20" s="129" t="str">
        <f>IFERROR(+Décembre!$BY$2&amp;BL20&amp;BM20,0)</f>
        <v>Fiche infoA7</v>
      </c>
      <c r="GE20" s="129" t="str">
        <f t="shared" ref="GE20:GE50" si="19">+IFERROR(VLOOKUP(GD20,Base_heures,6,FALSE),"")</f>
        <v/>
      </c>
      <c r="GF20" s="223" t="str">
        <f>IF(FP20=1,GG20,AM20)</f>
        <v/>
      </c>
      <c r="GG20" s="1446" t="str">
        <f>+'Retenue Nov'!D18</f>
        <v/>
      </c>
      <c r="GH20" s="1446">
        <f>IF(Identification!$B$132="Non",+'Retenue Nov'!BF18,+'Retenue Nov'!BE18)</f>
        <v>0</v>
      </c>
      <c r="GJ20" s="1507" t="str">
        <f>+AM20</f>
        <v/>
      </c>
      <c r="GK20" s="223" t="str">
        <f>+AG20</f>
        <v/>
      </c>
      <c r="GL20" s="223" t="str">
        <f>+AJ20</f>
        <v/>
      </c>
      <c r="GM20" s="1506">
        <f>+IF(AND(OR(ISNUMBER(GK20),ISNUMBER(GL20)),OR(GJ20="",GJ20=0,ISTEXT(GJ20))),1,0)</f>
        <v>0</v>
      </c>
      <c r="GO20" s="129">
        <f t="shared" ref="GO20:GO50" si="20">+IFERROR(IF(AND(VLOOKUP(EX20,Liste_motif_formule,11,FALSE)="OUI",FB20&gt;0,FB20&lt;&gt;""),1,0),0)+IFERROR(IF(AND(VLOOKUP(ER20,Liste_motif_formule,11,FALSE)="OUI",FB20&gt;0,FB20&lt;&gt;""),1,0),0)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1">+ROUND(P21*L21,2)</f>
        <v>0</v>
      </c>
      <c r="U21" s="1969"/>
      <c r="V21" s="1969"/>
      <c r="W21" s="1970"/>
      <c r="X21" s="221"/>
      <c r="Y21" s="221"/>
      <c r="Z21" s="221"/>
      <c r="AA21" s="885" t="str">
        <f>IF(AND(BE21="OUI",$AR$13=S.CAL!$CU$2),"►",IF(AND(EV21="OUI",$AR$13=S.CAL!$CU$3),"►",""))</f>
        <v/>
      </c>
      <c r="AB21" s="1760">
        <f>+$X$3+1</f>
        <v>46328</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f>IFERROR(IF(WEEKDAY(AB21,11)=1,WEEKNUM(AB21,21),""),"")</f>
        <v>45</v>
      </c>
      <c r="AQ21" s="322"/>
      <c r="AR21" s="1104"/>
      <c r="AS21" s="314">
        <f t="shared" si="3"/>
        <v>0</v>
      </c>
      <c r="AT21" s="1125"/>
      <c r="AU21" s="1125"/>
      <c r="AV21" s="314"/>
      <c r="AW21" s="1791">
        <f t="shared" ref="AW21:AW50" si="22">AB21</f>
        <v>46328</v>
      </c>
      <c r="AX21" s="1761"/>
      <c r="AY21" s="314"/>
      <c r="AZ21" s="1104"/>
      <c r="BA21" s="973"/>
      <c r="BB21" s="543"/>
      <c r="BC21" s="548">
        <f t="shared" ref="BC21:BC50" si="23">+IF(AND(BE21="OUI",BD21=""),IFERROR(BH21-AZ21,FS21),IF(AND(BE21="OUI",BD21&lt;&gt;""),BD21,0))</f>
        <v>0</v>
      </c>
      <c r="BD21" s="1104"/>
      <c r="BE21" s="807">
        <f t="shared" ref="BE21:BE50" si="24">+IF(OR(AND(BF21="",BO21="OUI"),AND(BF21="",FC21="oui",BO21=""),AND(BF21="",IFERROR(BH21-AZ21,0)&gt;0,AZ21&lt;&gt;"")),"OUI",BF21)</f>
        <v>0</v>
      </c>
      <c r="BF21" s="1128"/>
      <c r="BG21" s="222"/>
      <c r="BH21" s="548" t="str">
        <f t="shared" ref="BH21:BH50" si="25">IF(BI21="",+FB21,BI21)</f>
        <v/>
      </c>
      <c r="BI21" s="1128"/>
      <c r="BJ21" s="129" t="str">
        <f t="shared" ref="BJ21:BJ47" si="26">+BN21&amp;BL21&amp;BM21</f>
        <v>Fiche infoA1</v>
      </c>
      <c r="BK21" s="129">
        <f t="shared" ref="BK21" si="27">IFERROR(WEEKNUM(AB21,21),"")</f>
        <v>45</v>
      </c>
      <c r="BL21" s="129" t="str">
        <f t="shared" si="4"/>
        <v>A</v>
      </c>
      <c r="BM21" s="129">
        <f t="shared" si="5"/>
        <v>1</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46327</v>
      </c>
      <c r="EJ21" s="737"/>
      <c r="EK21" s="737"/>
      <c r="EQ21" s="748">
        <f t="shared" ref="EQ21" si="28">+AB21</f>
        <v>46328</v>
      </c>
      <c r="ER21" s="749">
        <f t="shared" si="10"/>
        <v>0</v>
      </c>
      <c r="ES21" s="750">
        <f t="shared" si="11"/>
        <v>0</v>
      </c>
      <c r="ET21" s="749">
        <f t="shared" si="12"/>
        <v>0</v>
      </c>
      <c r="EU21" s="750">
        <f t="shared" si="13"/>
        <v>0</v>
      </c>
      <c r="EV21" s="749" t="str">
        <f t="shared" si="14"/>
        <v/>
      </c>
      <c r="EW21" s="751">
        <f t="shared" ref="EW21:EW50" si="29">+EQ21</f>
        <v>46328</v>
      </c>
      <c r="EX21" s="759" t="str">
        <f>IFERROR(IF(AND(AZ21="",AR21&lt;&gt;S.CAL!$BJ$3,AR21&lt;&gt;S.CAL!$BJ$4),FS21-BC21,IF(AZ21&lt;&gt;0,AZ21,IF(OR(AR21=S.CAL!$BJ$3,AR21=S.CAL!$BJ$4),AR21,0))),"")</f>
        <v/>
      </c>
      <c r="EY21" s="753">
        <f t="shared" ref="EY21" si="30">+AT21</f>
        <v>0</v>
      </c>
      <c r="EZ21" s="736">
        <f t="shared" ref="EZ21" si="31">+AU21</f>
        <v>0</v>
      </c>
      <c r="FA21" s="759" t="str">
        <f t="shared" ref="FA21:FA50" si="32">+IF(AND(BA21="",BE21="OUI",AR21=""),AD21,IF(OR(AND(BA21="",BE21="NON",AR21=""),AND(BA21="",BP21="oui",AR21="")),BH21,IF(AND(BA21="",BP21="non",AR21=""),AD21,IF(AND(BA21="",BP21="",AR21=""),AD21,IF(AND($DP$8=52,BA21=""),BH21,IF(AND($DP$8&lt;52,BA21=""),AD21,BA21))))))</f>
        <v/>
      </c>
      <c r="FB21" s="754" t="str">
        <f t="shared" si="15"/>
        <v/>
      </c>
      <c r="FC21" s="315" t="str">
        <f t="shared" ref="FC21" si="33">IFERROR(+IF(OR(DATE(YEAR(AB21),MONTH(AB21),DAY(AB21))&lt;DATE(YEAR($AJ$4),MONTH($AJ$4),DAY($AJ$4)),DATE(YEAR(AB21),MONTH(AB21),DAY(AB21))&gt;IF(DATE(YEAR($EG$4),MONTH($EG$4),DAY($EG$4))=0,DATE(2100,12,30),DATE(YEAR($EG$4),MONTH($EG$4),DAY($EG$4)))),"oui","non"),"")</f>
        <v>non</v>
      </c>
      <c r="FD21" s="760">
        <f t="shared" si="16"/>
        <v>0</v>
      </c>
      <c r="FG21" s="315" t="str">
        <f t="shared" ref="FG21" si="34">IF(ISNUMBER(AD21)=TRUE,"",AD21)</f>
        <v/>
      </c>
      <c r="FJ21" s="315">
        <f t="shared" ref="FJ21" si="35">IF(OR(ISNUMBER(AZ21)=TRUE,AZ21=""),1,10)</f>
        <v>1</v>
      </c>
      <c r="FK21" s="129">
        <f t="shared" si="17"/>
        <v>10</v>
      </c>
      <c r="FL21" s="129">
        <f t="shared" ref="FL21:FL50" si="36">+IF(OR(FJ21=1,FK21=1),1,10)</f>
        <v>1</v>
      </c>
      <c r="FN21" s="129">
        <f>+IF(AND($DP$8&lt;&gt;52,AR21=S.CAL!$BJ$4),10,1)</f>
        <v>1</v>
      </c>
      <c r="FP21" s="129">
        <f t="shared" si="18"/>
        <v>0</v>
      </c>
      <c r="FS21" s="223" t="str">
        <f t="shared" ref="FS21:FS26" si="37">+BH21</f>
        <v/>
      </c>
      <c r="FZ21" s="129">
        <f t="shared" ref="FZ21:FZ49" si="38">IFERROR(WEEKNUM(AB21,21),"")</f>
        <v>45</v>
      </c>
      <c r="GA21" s="129">
        <f t="shared" ref="GA21:GA50" si="39">+$X$4</f>
        <v>2026</v>
      </c>
      <c r="GB21" s="129" t="str">
        <f t="shared" ref="GB21:GB48" si="40">+FZ21&amp;GA21</f>
        <v>452026</v>
      </c>
      <c r="GC21" s="223">
        <f>IF(AND($GD$53=S.CAL!$P$3,$GD$52=FZ21),GE21,IF(BH21="",0,BH21))</f>
        <v>0</v>
      </c>
      <c r="GD21" s="129" t="str">
        <f>IFERROR(+Décembre!$BY$2&amp;BL21&amp;BM21,0)</f>
        <v>Fiche infoA1</v>
      </c>
      <c r="GE21" s="129" t="str">
        <f t="shared" si="19"/>
        <v/>
      </c>
      <c r="GF21" s="223" t="str">
        <f t="shared" ref="GF21:GF48" si="41">IF(FP21=1,GG21,AM21)</f>
        <v/>
      </c>
      <c r="GG21" s="1446" t="str">
        <f>+'Retenue Nov'!D19</f>
        <v/>
      </c>
      <c r="GH21" s="1446">
        <f>IF(Identification!$B$132="Non",+'Retenue Nov'!BF19,+'Retenue Nov'!BE19)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20"/>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46329</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2"/>
        <v>46329</v>
      </c>
      <c r="AX22" s="1761"/>
      <c r="AY22" s="314"/>
      <c r="AZ22" s="1104"/>
      <c r="BA22" s="973"/>
      <c r="BB22" s="543"/>
      <c r="BC22" s="548">
        <f t="shared" si="23"/>
        <v>0</v>
      </c>
      <c r="BD22" s="1104"/>
      <c r="BE22" s="807">
        <f t="shared" si="24"/>
        <v>0</v>
      </c>
      <c r="BF22" s="1128"/>
      <c r="BG22" s="222"/>
      <c r="BH22" s="548" t="str">
        <f t="shared" si="25"/>
        <v/>
      </c>
      <c r="BI22" s="1128"/>
      <c r="BJ22" s="129" t="str">
        <f t="shared" si="26"/>
        <v>Fiche infoA2</v>
      </c>
      <c r="BK22" s="129">
        <f t="shared" ref="BK22:BK50" si="49">IFERROR(WEEKNUM(AB22,21),"")</f>
        <v>45</v>
      </c>
      <c r="BL22" s="129" t="str">
        <f t="shared" si="4"/>
        <v>A</v>
      </c>
      <c r="BM22" s="129">
        <f t="shared" ref="BM22:BM47" si="50">WEEKDAY(AB22,2)</f>
        <v>2</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46356</v>
      </c>
      <c r="EJ22" s="737"/>
      <c r="EK22" s="737"/>
      <c r="EQ22" s="748">
        <f t="shared" ref="EQ22:EQ50" si="53">+AB22</f>
        <v>46329</v>
      </c>
      <c r="ER22" s="749">
        <f t="shared" si="10"/>
        <v>0</v>
      </c>
      <c r="ES22" s="750">
        <f t="shared" si="11"/>
        <v>0</v>
      </c>
      <c r="ET22" s="749">
        <f t="shared" si="12"/>
        <v>0</v>
      </c>
      <c r="EU22" s="750">
        <f t="shared" si="13"/>
        <v>0</v>
      </c>
      <c r="EV22" s="749" t="str">
        <f t="shared" si="14"/>
        <v/>
      </c>
      <c r="EW22" s="751">
        <f t="shared" si="29"/>
        <v>46329</v>
      </c>
      <c r="EX22" s="759" t="str">
        <f>IFERROR(IF(AND(AZ22="",AR22&lt;&gt;S.CAL!$BJ$3,AR22&lt;&gt;S.CAL!$BJ$4),FS22-BC22,IF(AZ22&lt;&gt;0,AZ22,IF(OR(AR22=S.CAL!$BJ$3,AR22=S.CAL!$BJ$4),AR22,0))),"")</f>
        <v/>
      </c>
      <c r="EY22" s="753">
        <f t="shared" ref="EY22:EY50" si="54">+AT22</f>
        <v>0</v>
      </c>
      <c r="EZ22" s="736">
        <f t="shared" ref="EZ22:EZ50" si="55">+AU22</f>
        <v>0</v>
      </c>
      <c r="FA22" s="759" t="str">
        <f t="shared" si="32"/>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6"/>
        <v>1</v>
      </c>
      <c r="FN22" s="129">
        <f>+IF(AND($DP$8&lt;&gt;52,AR22=S.CAL!$BJ$4),10,1)</f>
        <v>1</v>
      </c>
      <c r="FP22" s="129">
        <f t="shared" si="18"/>
        <v>0</v>
      </c>
      <c r="FS22" s="223" t="str">
        <f t="shared" si="37"/>
        <v/>
      </c>
      <c r="FZ22" s="129">
        <f t="shared" si="38"/>
        <v>45</v>
      </c>
      <c r="GA22" s="129">
        <f t="shared" si="39"/>
        <v>2026</v>
      </c>
      <c r="GB22" s="129" t="str">
        <f t="shared" si="40"/>
        <v>452026</v>
      </c>
      <c r="GC22" s="223">
        <f>IF(AND($GD$53=S.CAL!$P$3,$GD$52=FZ22),GE22,IF(BH22="",0,BH22))</f>
        <v>0</v>
      </c>
      <c r="GD22" s="129" t="str">
        <f>IFERROR(+Décembre!$BY$2&amp;BL22&amp;BM22,0)</f>
        <v>Fiche infoA2</v>
      </c>
      <c r="GE22" s="129" t="str">
        <f t="shared" si="19"/>
        <v/>
      </c>
      <c r="GF22" s="223" t="str">
        <f t="shared" si="41"/>
        <v/>
      </c>
      <c r="GG22" s="1446" t="str">
        <f>+'Retenue Nov'!D20</f>
        <v/>
      </c>
      <c r="GH22" s="1446">
        <f>IF(Identification!$B$132="Non",+'Retenue Nov'!BF20,+'Retenue Nov'!BE20)</f>
        <v>0</v>
      </c>
      <c r="GJ22" s="1507" t="str">
        <f t="shared" si="42"/>
        <v/>
      </c>
      <c r="GK22" s="223" t="str">
        <f t="shared" si="43"/>
        <v/>
      </c>
      <c r="GL22" s="223" t="str">
        <f t="shared" si="44"/>
        <v/>
      </c>
      <c r="GM22" s="1506">
        <f t="shared" si="45"/>
        <v>0</v>
      </c>
      <c r="GO22" s="129">
        <f t="shared" si="20"/>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46330</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2"/>
        <v>46330</v>
      </c>
      <c r="AX23" s="1761"/>
      <c r="AY23" s="314"/>
      <c r="AZ23" s="1104"/>
      <c r="BA23" s="973"/>
      <c r="BB23" s="543"/>
      <c r="BC23" s="548">
        <f t="shared" si="23"/>
        <v>0</v>
      </c>
      <c r="BD23" s="1104"/>
      <c r="BE23" s="807">
        <f t="shared" si="24"/>
        <v>0</v>
      </c>
      <c r="BF23" s="1128"/>
      <c r="BG23" s="222"/>
      <c r="BH23" s="548" t="str">
        <f t="shared" si="25"/>
        <v/>
      </c>
      <c r="BI23" s="1128"/>
      <c r="BJ23" s="129" t="str">
        <f t="shared" si="26"/>
        <v>Fiche infoA3</v>
      </c>
      <c r="BK23" s="129">
        <f t="shared" si="49"/>
        <v>45</v>
      </c>
      <c r="BL23" s="129" t="str">
        <f t="shared" si="4"/>
        <v>A</v>
      </c>
      <c r="BM23" s="129">
        <f t="shared" si="50"/>
        <v>3</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196"/>
      <c r="CK23" s="196"/>
      <c r="CL23" s="196"/>
      <c r="CM23" s="196"/>
      <c r="CN23" s="196"/>
      <c r="CO23" s="196"/>
      <c r="CP23" s="196"/>
      <c r="CQ23" s="196"/>
      <c r="CR23" s="196"/>
      <c r="CS23" s="196"/>
      <c r="CT23" s="196"/>
      <c r="CU23" s="196"/>
      <c r="CV23" s="196"/>
      <c r="CW23" s="196"/>
      <c r="CX23" s="196"/>
      <c r="CY23" s="196"/>
      <c r="CZ23" s="196"/>
      <c r="DA23" s="196"/>
      <c r="DB23" s="196"/>
      <c r="DC23" s="196"/>
      <c r="DD23" s="196"/>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48">
        <f t="shared" si="53"/>
        <v>46330</v>
      </c>
      <c r="ER23" s="749">
        <f t="shared" si="10"/>
        <v>0</v>
      </c>
      <c r="ES23" s="750">
        <f t="shared" si="11"/>
        <v>0</v>
      </c>
      <c r="ET23" s="749">
        <f t="shared" si="12"/>
        <v>0</v>
      </c>
      <c r="EU23" s="750">
        <f t="shared" si="13"/>
        <v>0</v>
      </c>
      <c r="EV23" s="749" t="str">
        <f t="shared" si="14"/>
        <v/>
      </c>
      <c r="EW23" s="751">
        <f t="shared" si="29"/>
        <v>46330</v>
      </c>
      <c r="EX23" s="759" t="str">
        <f>IFERROR(IF(AND(AZ23="",AR23&lt;&gt;S.CAL!$BJ$3,AR23&lt;&gt;S.CAL!$BJ$4),FS23-BC23,IF(AZ23&lt;&gt;0,AZ23,IF(OR(AR23=S.CAL!$BJ$3,AR23=S.CAL!$BJ$4),AR23,0))),"")</f>
        <v/>
      </c>
      <c r="EY23" s="753">
        <f t="shared" si="54"/>
        <v>0</v>
      </c>
      <c r="EZ23" s="736">
        <f t="shared" si="55"/>
        <v>0</v>
      </c>
      <c r="FA23" s="759" t="str">
        <f t="shared" si="32"/>
        <v/>
      </c>
      <c r="FB23" s="754" t="str">
        <f t="shared" si="15"/>
        <v/>
      </c>
      <c r="FC23" s="315" t="str">
        <f t="shared" si="56"/>
        <v>non</v>
      </c>
      <c r="FD23" s="760">
        <f t="shared" si="16"/>
        <v>0</v>
      </c>
      <c r="FG23" s="315" t="str">
        <f t="shared" si="57"/>
        <v/>
      </c>
      <c r="FJ23" s="315">
        <f t="shared" si="58"/>
        <v>1</v>
      </c>
      <c r="FK23" s="129">
        <f t="shared" si="17"/>
        <v>10</v>
      </c>
      <c r="FL23" s="129">
        <f t="shared" si="36"/>
        <v>1</v>
      </c>
      <c r="FN23" s="129">
        <f>+IF(AND($DP$8&lt;&gt;52,AR23=S.CAL!$BJ$4),10,1)</f>
        <v>1</v>
      </c>
      <c r="FP23" s="129">
        <f t="shared" si="18"/>
        <v>0</v>
      </c>
      <c r="FS23" s="223" t="str">
        <f t="shared" si="37"/>
        <v/>
      </c>
      <c r="FZ23" s="129">
        <f t="shared" si="38"/>
        <v>45</v>
      </c>
      <c r="GA23" s="129">
        <f t="shared" si="39"/>
        <v>2026</v>
      </c>
      <c r="GB23" s="129" t="str">
        <f t="shared" si="40"/>
        <v>452026</v>
      </c>
      <c r="GC23" s="223">
        <f>IF(AND($GD$53=S.CAL!$P$3,$GD$52=FZ23),GE23,IF(BH23="",0,BH23))</f>
        <v>0</v>
      </c>
      <c r="GD23" s="129" t="str">
        <f>IFERROR(+Décembre!$BY$2&amp;BL23&amp;BM23,0)</f>
        <v>Fiche infoA3</v>
      </c>
      <c r="GE23" s="129" t="str">
        <f t="shared" si="19"/>
        <v/>
      </c>
      <c r="GF23" s="223" t="str">
        <f t="shared" si="41"/>
        <v/>
      </c>
      <c r="GG23" s="1446" t="str">
        <f>+'Retenue Nov'!D21</f>
        <v/>
      </c>
      <c r="GH23" s="1446">
        <f>IF(Identification!$B$132="Non",+'Retenue Nov'!BF21,+'Retenue Nov'!BE21)</f>
        <v>0</v>
      </c>
      <c r="GJ23" s="1507" t="str">
        <f t="shared" si="42"/>
        <v/>
      </c>
      <c r="GK23" s="223" t="str">
        <f t="shared" si="43"/>
        <v/>
      </c>
      <c r="GL23" s="223" t="str">
        <f t="shared" si="44"/>
        <v/>
      </c>
      <c r="GM23" s="1506">
        <f t="shared" si="45"/>
        <v>0</v>
      </c>
      <c r="GO23" s="129">
        <f t="shared" si="20"/>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46331</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2"/>
        <v>46331</v>
      </c>
      <c r="AX24" s="1761"/>
      <c r="AY24" s="314"/>
      <c r="AZ24" s="1104"/>
      <c r="BA24" s="973"/>
      <c r="BB24" s="543"/>
      <c r="BC24" s="548">
        <f t="shared" si="23"/>
        <v>0</v>
      </c>
      <c r="BD24" s="1104"/>
      <c r="BE24" s="807">
        <f t="shared" si="24"/>
        <v>0</v>
      </c>
      <c r="BF24" s="1128"/>
      <c r="BG24" s="222"/>
      <c r="BH24" s="548" t="str">
        <f t="shared" si="25"/>
        <v/>
      </c>
      <c r="BI24" s="1128"/>
      <c r="BJ24" s="129" t="str">
        <f t="shared" si="26"/>
        <v>Fiche infoA4</v>
      </c>
      <c r="BK24" s="129">
        <f t="shared" si="49"/>
        <v>45</v>
      </c>
      <c r="BL24" s="129" t="str">
        <f t="shared" si="4"/>
        <v>A</v>
      </c>
      <c r="BM24" s="129">
        <f t="shared" si="50"/>
        <v>4</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48">
        <f t="shared" si="53"/>
        <v>46331</v>
      </c>
      <c r="ER24" s="749">
        <f t="shared" si="10"/>
        <v>0</v>
      </c>
      <c r="ES24" s="750">
        <f t="shared" si="11"/>
        <v>0</v>
      </c>
      <c r="ET24" s="749">
        <f t="shared" si="12"/>
        <v>0</v>
      </c>
      <c r="EU24" s="750">
        <f t="shared" si="13"/>
        <v>0</v>
      </c>
      <c r="EV24" s="749" t="str">
        <f t="shared" si="14"/>
        <v/>
      </c>
      <c r="EW24" s="751">
        <f t="shared" si="29"/>
        <v>46331</v>
      </c>
      <c r="EX24" s="759" t="str">
        <f>IFERROR(IF(AND(AZ24="",AR24&lt;&gt;S.CAL!$BJ$3,AR24&lt;&gt;S.CAL!$BJ$4),FS24-BC24,IF(AZ24&lt;&gt;0,AZ24,IF(OR(AR24=S.CAL!$BJ$3,AR24=S.CAL!$BJ$4),AR24,0))),"")</f>
        <v/>
      </c>
      <c r="EY24" s="753">
        <f t="shared" si="54"/>
        <v>0</v>
      </c>
      <c r="EZ24" s="736">
        <f t="shared" si="55"/>
        <v>0</v>
      </c>
      <c r="FA24" s="759" t="str">
        <f t="shared" si="32"/>
        <v/>
      </c>
      <c r="FB24" s="754" t="str">
        <f t="shared" si="15"/>
        <v/>
      </c>
      <c r="FC24" s="315" t="str">
        <f t="shared" si="56"/>
        <v>non</v>
      </c>
      <c r="FD24" s="760">
        <f t="shared" si="16"/>
        <v>0</v>
      </c>
      <c r="FG24" s="315" t="str">
        <f t="shared" si="57"/>
        <v/>
      </c>
      <c r="FJ24" s="315">
        <f t="shared" si="58"/>
        <v>1</v>
      </c>
      <c r="FK24" s="129">
        <f t="shared" si="17"/>
        <v>10</v>
      </c>
      <c r="FL24" s="129">
        <f t="shared" si="36"/>
        <v>1</v>
      </c>
      <c r="FN24" s="129">
        <f>+IF(AND($DP$8&lt;&gt;52,AR24=S.CAL!$BJ$4),10,1)</f>
        <v>1</v>
      </c>
      <c r="FP24" s="129">
        <f t="shared" si="18"/>
        <v>0</v>
      </c>
      <c r="FS24" s="223" t="str">
        <f t="shared" si="37"/>
        <v/>
      </c>
      <c r="FZ24" s="129">
        <f t="shared" si="38"/>
        <v>45</v>
      </c>
      <c r="GA24" s="129">
        <f t="shared" si="39"/>
        <v>2026</v>
      </c>
      <c r="GB24" s="129" t="str">
        <f t="shared" si="40"/>
        <v>452026</v>
      </c>
      <c r="GC24" s="223">
        <f>IF(AND($GD$53=S.CAL!$P$3,$GD$52=FZ24),GE24,IF(BH24="",0,BH24))</f>
        <v>0</v>
      </c>
      <c r="GD24" s="129" t="str">
        <f>IFERROR(+Décembre!$BY$2&amp;BL24&amp;BM24,0)</f>
        <v>Fiche infoA4</v>
      </c>
      <c r="GE24" s="129" t="str">
        <f t="shared" si="19"/>
        <v/>
      </c>
      <c r="GF24" s="223" t="str">
        <f t="shared" si="41"/>
        <v/>
      </c>
      <c r="GG24" s="1446" t="str">
        <f>+'Retenue Nov'!D22</f>
        <v/>
      </c>
      <c r="GH24" s="1446">
        <f>IF(Identification!$B$132="Non",+'Retenue Nov'!BF22,+'Retenue Nov'!BE22)</f>
        <v>0</v>
      </c>
      <c r="GJ24" s="1507" t="str">
        <f t="shared" si="42"/>
        <v/>
      </c>
      <c r="GK24" s="223" t="str">
        <f t="shared" si="43"/>
        <v/>
      </c>
      <c r="GL24" s="223" t="str">
        <f t="shared" si="44"/>
        <v/>
      </c>
      <c r="GM24" s="1506">
        <f t="shared" si="45"/>
        <v>0</v>
      </c>
      <c r="GO24" s="129">
        <f t="shared" si="20"/>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Nov'!R48*-1)</f>
        <v>#DIV/0!</v>
      </c>
      <c r="M25" s="2142"/>
      <c r="N25" s="2142"/>
      <c r="O25" s="2143"/>
      <c r="P25" s="1753" t="e">
        <f>+IF(L25,T25/L25,0)</f>
        <v>#DIV/0!</v>
      </c>
      <c r="Q25" s="1969"/>
      <c r="R25" s="1969"/>
      <c r="S25" s="1970"/>
      <c r="T25" s="1966">
        <f>IF(A18="Salaire heures normales réelles",0,'Retenue Nov'!R52*-1)</f>
        <v>0</v>
      </c>
      <c r="U25" s="1967"/>
      <c r="V25" s="1967"/>
      <c r="W25" s="1968"/>
      <c r="X25" s="224"/>
      <c r="Y25" s="224"/>
      <c r="Z25" s="224"/>
      <c r="AA25" s="885" t="str">
        <f>IF(AND(BE25="OUI",$AR$13=S.CAL!$CU$2),"►",IF(AND(EV25="OUI",$AR$13=S.CAL!$CU$3),"►",""))</f>
        <v/>
      </c>
      <c r="AB25" s="1760">
        <f>+$X$3+5</f>
        <v>46332</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2"/>
        <v>46332</v>
      </c>
      <c r="AX25" s="1761"/>
      <c r="AY25" s="314"/>
      <c r="AZ25" s="1104"/>
      <c r="BA25" s="973"/>
      <c r="BB25" s="543"/>
      <c r="BC25" s="548">
        <f t="shared" si="23"/>
        <v>0</v>
      </c>
      <c r="BD25" s="1104"/>
      <c r="BE25" s="807">
        <f t="shared" si="24"/>
        <v>0</v>
      </c>
      <c r="BF25" s="1128"/>
      <c r="BG25" s="222"/>
      <c r="BH25" s="548" t="str">
        <f t="shared" si="25"/>
        <v/>
      </c>
      <c r="BI25" s="1128"/>
      <c r="BJ25" s="129" t="str">
        <f t="shared" si="26"/>
        <v>Fiche infoA5</v>
      </c>
      <c r="BK25" s="129">
        <f t="shared" si="49"/>
        <v>45</v>
      </c>
      <c r="BL25" s="129" t="str">
        <f t="shared" si="4"/>
        <v>A</v>
      </c>
      <c r="BM25" s="129">
        <f t="shared" si="50"/>
        <v>5</v>
      </c>
      <c r="BN25" s="223" t="str">
        <f t="shared" si="60"/>
        <v>Fiche info</v>
      </c>
      <c r="BO25" s="314" t="str">
        <f t="shared" si="51"/>
        <v/>
      </c>
      <c r="BP25" s="196" t="str">
        <f t="shared" si="52"/>
        <v/>
      </c>
      <c r="BQ25" s="206"/>
      <c r="BV25" s="566"/>
      <c r="BW25" s="566"/>
      <c r="BX25" s="566"/>
      <c r="BY25" s="566"/>
      <c r="BZ25" s="566"/>
      <c r="CJ25" s="574"/>
      <c r="CK25" s="574"/>
      <c r="CL25" s="574"/>
      <c r="CM25" s="574"/>
      <c r="CN25" s="574"/>
      <c r="CO25" s="574"/>
      <c r="CP25" s="574"/>
      <c r="CQ25" s="574"/>
      <c r="CR25" s="574"/>
      <c r="CS25" s="574"/>
      <c r="CT25" s="574"/>
      <c r="CU25" s="574"/>
      <c r="CV25" s="574"/>
      <c r="CW25" s="574"/>
      <c r="CX25" s="574"/>
      <c r="CY25" s="574"/>
      <c r="CZ25" s="574"/>
      <c r="DA25" s="574"/>
      <c r="DB25" s="574"/>
      <c r="DC25" s="574"/>
      <c r="DD25" s="206"/>
      <c r="DE25" s="740"/>
      <c r="DF25" s="740"/>
      <c r="DJ25" s="761" t="s">
        <v>155</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48">
        <f t="shared" si="53"/>
        <v>46332</v>
      </c>
      <c r="ER25" s="749">
        <f t="shared" si="10"/>
        <v>0</v>
      </c>
      <c r="ES25" s="750">
        <f t="shared" si="11"/>
        <v>0</v>
      </c>
      <c r="ET25" s="749">
        <f t="shared" si="12"/>
        <v>0</v>
      </c>
      <c r="EU25" s="750">
        <f t="shared" si="13"/>
        <v>0</v>
      </c>
      <c r="EV25" s="749" t="str">
        <f t="shared" si="14"/>
        <v/>
      </c>
      <c r="EW25" s="751">
        <f t="shared" si="29"/>
        <v>46332</v>
      </c>
      <c r="EX25" s="759" t="str">
        <f>IFERROR(IF(AND(AZ25="",AR25&lt;&gt;S.CAL!$BJ$3,AR25&lt;&gt;S.CAL!$BJ$4),FS25-BC25,IF(AZ25&lt;&gt;0,AZ25,IF(OR(AR25=S.CAL!$BJ$3,AR25=S.CAL!$BJ$4),AR25,0))),"")</f>
        <v/>
      </c>
      <c r="EY25" s="753">
        <f t="shared" si="54"/>
        <v>0</v>
      </c>
      <c r="EZ25" s="736">
        <f t="shared" si="55"/>
        <v>0</v>
      </c>
      <c r="FA25" s="759" t="str">
        <f t="shared" si="32"/>
        <v/>
      </c>
      <c r="FB25" s="754" t="str">
        <f t="shared" si="15"/>
        <v/>
      </c>
      <c r="FC25" s="315" t="str">
        <f t="shared" si="56"/>
        <v>non</v>
      </c>
      <c r="FD25" s="760">
        <f t="shared" si="16"/>
        <v>0</v>
      </c>
      <c r="FG25" s="315" t="str">
        <f t="shared" si="57"/>
        <v/>
      </c>
      <c r="FJ25" s="315">
        <f t="shared" si="58"/>
        <v>1</v>
      </c>
      <c r="FK25" s="129">
        <f t="shared" si="17"/>
        <v>10</v>
      </c>
      <c r="FL25" s="129">
        <f t="shared" si="36"/>
        <v>1</v>
      </c>
      <c r="FN25" s="129">
        <f>+IF(AND($DP$8&lt;&gt;52,AR25=S.CAL!$BJ$4),10,1)</f>
        <v>1</v>
      </c>
      <c r="FP25" s="129">
        <f t="shared" si="18"/>
        <v>0</v>
      </c>
      <c r="FS25" s="223" t="str">
        <f t="shared" si="37"/>
        <v/>
      </c>
      <c r="FZ25" s="129">
        <f t="shared" si="38"/>
        <v>45</v>
      </c>
      <c r="GA25" s="129">
        <f t="shared" si="39"/>
        <v>2026</v>
      </c>
      <c r="GB25" s="129" t="str">
        <f t="shared" si="40"/>
        <v>452026</v>
      </c>
      <c r="GC25" s="223">
        <f>IF(AND($GD$53=S.CAL!$P$3,$GD$52=FZ25),GE25,IF(BH25="",0,BH25))</f>
        <v>0</v>
      </c>
      <c r="GD25" s="129" t="str">
        <f>IFERROR(+Décembre!$BY$2&amp;BL25&amp;BM25,0)</f>
        <v>Fiche infoA5</v>
      </c>
      <c r="GE25" s="129" t="str">
        <f t="shared" si="19"/>
        <v/>
      </c>
      <c r="GF25" s="223" t="str">
        <f t="shared" si="41"/>
        <v/>
      </c>
      <c r="GG25" s="1446" t="str">
        <f>+'Retenue Nov'!D23</f>
        <v/>
      </c>
      <c r="GH25" s="1446">
        <f>IF(Identification!$B$132="Non",+'Retenue Nov'!BF23,+'Retenue Nov'!BE23)</f>
        <v>0</v>
      </c>
      <c r="GJ25" s="1507" t="str">
        <f t="shared" si="42"/>
        <v/>
      </c>
      <c r="GK25" s="223" t="str">
        <f t="shared" si="43"/>
        <v/>
      </c>
      <c r="GL25" s="223" t="str">
        <f t="shared" si="44"/>
        <v/>
      </c>
      <c r="GM25" s="1506">
        <f t="shared" si="45"/>
        <v>0</v>
      </c>
      <c r="GO25" s="129">
        <f t="shared" si="20"/>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Nov'!R50*-1)</f>
        <v>#DIV/0!</v>
      </c>
      <c r="M26" s="2142"/>
      <c r="N26" s="2142"/>
      <c r="O26" s="2143"/>
      <c r="P26" s="1753" t="e">
        <f>+IF(L26,T26/L26,0)</f>
        <v>#DIV/0!</v>
      </c>
      <c r="Q26" s="1969"/>
      <c r="R26" s="1969"/>
      <c r="S26" s="1970"/>
      <c r="T26" s="1966">
        <f>IF(A18="Salaire heures normales réelles",0,'Retenue Nov'!R54*-1)</f>
        <v>0</v>
      </c>
      <c r="U26" s="1967"/>
      <c r="V26" s="1967"/>
      <c r="W26" s="1968"/>
      <c r="X26" s="221"/>
      <c r="Y26" s="221"/>
      <c r="Z26" s="221"/>
      <c r="AA26" s="885" t="str">
        <f>IF(AND(BE26="OUI",$AR$13=S.CAL!$CU$2),"►",IF(AND(EV26="OUI",$AR$13=S.CAL!$CU$3),"►",""))</f>
        <v/>
      </c>
      <c r="AB26" s="1760">
        <f>+$X$3+6</f>
        <v>46333</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t="str">
        <f t="shared" si="48"/>
        <v/>
      </c>
      <c r="AQ26" s="322"/>
      <c r="AR26" s="1104"/>
      <c r="AS26" s="314">
        <f t="shared" si="3"/>
        <v>0</v>
      </c>
      <c r="AT26" s="1125"/>
      <c r="AU26" s="1125"/>
      <c r="AV26" s="314"/>
      <c r="AW26" s="1791">
        <f t="shared" si="22"/>
        <v>46333</v>
      </c>
      <c r="AX26" s="1761"/>
      <c r="AY26" s="314"/>
      <c r="AZ26" s="1104"/>
      <c r="BA26" s="973"/>
      <c r="BB26" s="543"/>
      <c r="BC26" s="548">
        <f t="shared" si="23"/>
        <v>0</v>
      </c>
      <c r="BD26" s="1104"/>
      <c r="BE26" s="807">
        <f t="shared" si="24"/>
        <v>0</v>
      </c>
      <c r="BF26" s="1128"/>
      <c r="BG26" s="222"/>
      <c r="BH26" s="548" t="str">
        <f t="shared" si="25"/>
        <v/>
      </c>
      <c r="BI26" s="1128"/>
      <c r="BJ26" s="129" t="str">
        <f t="shared" si="26"/>
        <v>Fiche infoA6</v>
      </c>
      <c r="BK26" s="129">
        <f t="shared" si="49"/>
        <v>45</v>
      </c>
      <c r="BL26" s="129" t="str">
        <f t="shared" si="4"/>
        <v>A</v>
      </c>
      <c r="BM26" s="129">
        <f t="shared" si="50"/>
        <v>6</v>
      </c>
      <c r="BN26" s="223" t="str">
        <f t="shared" si="60"/>
        <v>Fiche info</v>
      </c>
      <c r="BO26" s="314" t="str">
        <f t="shared" si="51"/>
        <v/>
      </c>
      <c r="BP26" s="196" t="str">
        <f t="shared" si="52"/>
        <v/>
      </c>
      <c r="BQ26" s="206"/>
      <c r="BX26" s="577"/>
      <c r="BY26" s="1951" t="s">
        <v>1098</v>
      </c>
      <c r="BZ26" s="1951" t="s">
        <v>440</v>
      </c>
      <c r="CA26" s="2013" t="s">
        <v>1099</v>
      </c>
      <c r="CJ26" s="216"/>
      <c r="CK26" s="216"/>
      <c r="CL26" s="216"/>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48">
        <f t="shared" si="53"/>
        <v>46333</v>
      </c>
      <c r="ER26" s="749">
        <f t="shared" si="10"/>
        <v>0</v>
      </c>
      <c r="ES26" s="750">
        <f t="shared" si="11"/>
        <v>0</v>
      </c>
      <c r="ET26" s="749">
        <f t="shared" si="12"/>
        <v>0</v>
      </c>
      <c r="EU26" s="750">
        <f t="shared" si="13"/>
        <v>0</v>
      </c>
      <c r="EV26" s="749" t="str">
        <f t="shared" si="14"/>
        <v/>
      </c>
      <c r="EW26" s="751">
        <f t="shared" si="29"/>
        <v>46333</v>
      </c>
      <c r="EX26" s="759" t="str">
        <f>IFERROR(IF(AND(AZ26="",AR26&lt;&gt;S.CAL!$BJ$3,AR26&lt;&gt;S.CAL!$BJ$4),FS26-BC26,IF(AZ26&lt;&gt;0,AZ26,IF(OR(AR26=S.CAL!$BJ$3,AR26=S.CAL!$BJ$4),AR26,0))),"")</f>
        <v/>
      </c>
      <c r="EY26" s="753">
        <f t="shared" si="54"/>
        <v>0</v>
      </c>
      <c r="EZ26" s="736">
        <f t="shared" si="55"/>
        <v>0</v>
      </c>
      <c r="FA26" s="759" t="str">
        <f t="shared" si="32"/>
        <v/>
      </c>
      <c r="FB26" s="754" t="str">
        <f t="shared" si="15"/>
        <v/>
      </c>
      <c r="FC26" s="315" t="str">
        <f t="shared" si="56"/>
        <v>non</v>
      </c>
      <c r="FD26" s="760">
        <f t="shared" si="16"/>
        <v>0</v>
      </c>
      <c r="FG26" s="315" t="str">
        <f t="shared" si="57"/>
        <v/>
      </c>
      <c r="FJ26" s="315">
        <f t="shared" si="58"/>
        <v>1</v>
      </c>
      <c r="FK26" s="129">
        <f t="shared" si="17"/>
        <v>10</v>
      </c>
      <c r="FL26" s="129">
        <f t="shared" si="36"/>
        <v>1</v>
      </c>
      <c r="FN26" s="129">
        <f>+IF(AND($DP$8&lt;&gt;52,AR26=S.CAL!$BJ$4),10,1)</f>
        <v>1</v>
      </c>
      <c r="FP26" s="129">
        <f t="shared" si="18"/>
        <v>0</v>
      </c>
      <c r="FS26" s="223" t="str">
        <f t="shared" si="37"/>
        <v/>
      </c>
      <c r="FZ26" s="129">
        <f t="shared" si="38"/>
        <v>45</v>
      </c>
      <c r="GA26" s="129">
        <f t="shared" si="39"/>
        <v>2026</v>
      </c>
      <c r="GB26" s="129" t="str">
        <f t="shared" si="40"/>
        <v>452026</v>
      </c>
      <c r="GC26" s="223">
        <f>IF(AND($GD$53=S.CAL!$P$3,$GD$52=FZ26),GE26,IF(BH26="",0,BH26))</f>
        <v>0</v>
      </c>
      <c r="GD26" s="129" t="str">
        <f>IFERROR(+Décembre!$BY$2&amp;BL26&amp;BM26,0)</f>
        <v>Fiche infoA6</v>
      </c>
      <c r="GE26" s="129" t="str">
        <f t="shared" si="19"/>
        <v/>
      </c>
      <c r="GF26" s="223" t="str">
        <f t="shared" si="41"/>
        <v/>
      </c>
      <c r="GG26" s="1446" t="str">
        <f>+'Retenue Nov'!D24</f>
        <v/>
      </c>
      <c r="GH26" s="1446">
        <f>IF(Identification!$B$132="Non",+'Retenue Nov'!BF24,+'Retenue Nov'!BE24)</f>
        <v>0</v>
      </c>
      <c r="GJ26" s="1507" t="str">
        <f t="shared" si="42"/>
        <v/>
      </c>
      <c r="GK26" s="223" t="str">
        <f t="shared" si="43"/>
        <v/>
      </c>
      <c r="GL26" s="223" t="str">
        <f t="shared" si="44"/>
        <v/>
      </c>
      <c r="GM26" s="1506">
        <f t="shared" si="45"/>
        <v>0</v>
      </c>
      <c r="GO26" s="129">
        <f t="shared" si="20"/>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46334</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2"/>
        <v>46334</v>
      </c>
      <c r="AX27" s="1761"/>
      <c r="AY27" s="314"/>
      <c r="AZ27" s="1104"/>
      <c r="BA27" s="973"/>
      <c r="BB27" s="543"/>
      <c r="BC27" s="548">
        <f t="shared" si="23"/>
        <v>0</v>
      </c>
      <c r="BD27" s="1104"/>
      <c r="BE27" s="807">
        <f t="shared" si="24"/>
        <v>0</v>
      </c>
      <c r="BF27" s="1128"/>
      <c r="BG27" s="222"/>
      <c r="BH27" s="548" t="str">
        <f t="shared" si="25"/>
        <v/>
      </c>
      <c r="BI27" s="1128"/>
      <c r="BJ27" s="129" t="str">
        <f t="shared" si="26"/>
        <v>Fiche infoA7</v>
      </c>
      <c r="BK27" s="129">
        <f t="shared" si="49"/>
        <v>45</v>
      </c>
      <c r="BL27" s="129" t="str">
        <f t="shared" si="4"/>
        <v>A</v>
      </c>
      <c r="BM27" s="129">
        <f t="shared" si="50"/>
        <v>7</v>
      </c>
      <c r="BN27" s="223" t="str">
        <f t="shared" si="60"/>
        <v>Fiche info</v>
      </c>
      <c r="BO27" s="314" t="str">
        <f t="shared" si="51"/>
        <v/>
      </c>
      <c r="BP27" s="196" t="str">
        <f t="shared" si="52"/>
        <v/>
      </c>
      <c r="BQ27" s="206"/>
      <c r="BX27" s="577"/>
      <c r="BY27" s="2015"/>
      <c r="BZ27" s="1952"/>
      <c r="CA27" s="2014"/>
      <c r="CB27" s="196" t="s">
        <v>1095</v>
      </c>
      <c r="CC27" s="196" t="s">
        <v>1096</v>
      </c>
      <c r="CD27" s="196" t="s">
        <v>1097</v>
      </c>
      <c r="CE27" s="196"/>
      <c r="CF27" s="196"/>
      <c r="CG27" s="196"/>
      <c r="CH27" s="196"/>
      <c r="CJ27" s="216"/>
      <c r="CK27" s="216"/>
      <c r="CL27" s="216"/>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48">
        <f t="shared" si="53"/>
        <v>46334</v>
      </c>
      <c r="ER27" s="749">
        <f t="shared" si="10"/>
        <v>0</v>
      </c>
      <c r="ES27" s="750">
        <f t="shared" si="11"/>
        <v>0</v>
      </c>
      <c r="ET27" s="749">
        <f t="shared" si="12"/>
        <v>0</v>
      </c>
      <c r="EU27" s="750">
        <f t="shared" si="13"/>
        <v>0</v>
      </c>
      <c r="EV27" s="749" t="str">
        <f t="shared" si="14"/>
        <v/>
      </c>
      <c r="EW27" s="751">
        <f t="shared" si="29"/>
        <v>46334</v>
      </c>
      <c r="EX27" s="759" t="str">
        <f>IFERROR(IF(AND(AZ27="",AR27&lt;&gt;S.CAL!$BJ$3,AR27&lt;&gt;S.CAL!$BJ$4),FS27-BC27,IF(AZ27&lt;&gt;0,AZ27,IF(OR(AR27=S.CAL!$BJ$3,AR27=S.CAL!$BJ$4),AR27,0))),"")</f>
        <v/>
      </c>
      <c r="EY27" s="753">
        <f t="shared" si="54"/>
        <v>0</v>
      </c>
      <c r="EZ27" s="736">
        <f t="shared" si="55"/>
        <v>0</v>
      </c>
      <c r="FA27" s="759" t="str">
        <f t="shared" si="32"/>
        <v/>
      </c>
      <c r="FB27" s="754" t="str">
        <f t="shared" si="15"/>
        <v/>
      </c>
      <c r="FC27" s="315" t="str">
        <f t="shared" si="56"/>
        <v>non</v>
      </c>
      <c r="FD27" s="760">
        <f t="shared" si="16"/>
        <v>0</v>
      </c>
      <c r="FG27" s="315" t="str">
        <f t="shared" si="57"/>
        <v/>
      </c>
      <c r="FJ27" s="315">
        <f t="shared" si="58"/>
        <v>1</v>
      </c>
      <c r="FK27" s="129">
        <f t="shared" si="17"/>
        <v>10</v>
      </c>
      <c r="FL27" s="129">
        <f t="shared" si="36"/>
        <v>1</v>
      </c>
      <c r="FN27" s="129">
        <f>+IF(AND($DP$8&lt;&gt;52,AR27=S.CAL!$BJ$4),10,1)</f>
        <v>1</v>
      </c>
      <c r="FP27" s="129">
        <f t="shared" si="18"/>
        <v>0</v>
      </c>
      <c r="FS27" s="223" t="str">
        <f t="shared" ref="FS27:FS50" si="61">+BH27</f>
        <v/>
      </c>
      <c r="FZ27" s="129">
        <f t="shared" si="38"/>
        <v>45</v>
      </c>
      <c r="GA27" s="129">
        <f t="shared" si="39"/>
        <v>2026</v>
      </c>
      <c r="GB27" s="129" t="str">
        <f t="shared" si="40"/>
        <v>452026</v>
      </c>
      <c r="GC27" s="223">
        <f>IF(AND($GD$53=S.CAL!$P$3,$GD$52=FZ27),GE27,IF(BH27="",0,BH27))</f>
        <v>0</v>
      </c>
      <c r="GD27" s="129" t="str">
        <f>IFERROR(+Décembre!$BY$2&amp;BL27&amp;BM27,0)</f>
        <v>Fiche infoA7</v>
      </c>
      <c r="GE27" s="129" t="str">
        <f t="shared" si="19"/>
        <v/>
      </c>
      <c r="GF27" s="223" t="str">
        <f t="shared" si="41"/>
        <v/>
      </c>
      <c r="GG27" s="1446" t="str">
        <f>+'Retenue Nov'!D25</f>
        <v/>
      </c>
      <c r="GH27" s="1446">
        <f>IF(Identification!$B$132="Non",+'Retenue Nov'!BF25,+'Retenue Nov'!BE25)</f>
        <v>0</v>
      </c>
      <c r="GJ27" s="1507" t="str">
        <f t="shared" si="42"/>
        <v/>
      </c>
      <c r="GK27" s="223" t="str">
        <f t="shared" si="43"/>
        <v/>
      </c>
      <c r="GL27" s="223" t="str">
        <f t="shared" si="44"/>
        <v/>
      </c>
      <c r="GM27" s="1506">
        <f t="shared" si="45"/>
        <v>0</v>
      </c>
      <c r="GO27" s="129">
        <f t="shared" si="20"/>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46335</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f t="shared" si="48"/>
        <v>46</v>
      </c>
      <c r="AQ28" s="322"/>
      <c r="AR28" s="1104"/>
      <c r="AS28" s="314">
        <f t="shared" si="3"/>
        <v>0</v>
      </c>
      <c r="AT28" s="1125"/>
      <c r="AU28" s="1125"/>
      <c r="AV28" s="314"/>
      <c r="AW28" s="1791">
        <f t="shared" si="22"/>
        <v>46335</v>
      </c>
      <c r="AX28" s="1761"/>
      <c r="AY28" s="314"/>
      <c r="AZ28" s="1104"/>
      <c r="BA28" s="973"/>
      <c r="BB28" s="543"/>
      <c r="BC28" s="548">
        <f t="shared" si="23"/>
        <v>0</v>
      </c>
      <c r="BD28" s="1104"/>
      <c r="BE28" s="807">
        <f t="shared" si="24"/>
        <v>0</v>
      </c>
      <c r="BF28" s="1128"/>
      <c r="BG28" s="222"/>
      <c r="BH28" s="548" t="str">
        <f t="shared" si="25"/>
        <v/>
      </c>
      <c r="BI28" s="1128"/>
      <c r="BJ28" s="129" t="str">
        <f t="shared" si="26"/>
        <v>Fiche infoA1</v>
      </c>
      <c r="BK28" s="129">
        <f t="shared" si="49"/>
        <v>46</v>
      </c>
      <c r="BL28" s="129" t="str">
        <f t="shared" si="4"/>
        <v>A</v>
      </c>
      <c r="BM28" s="129">
        <f t="shared" si="50"/>
        <v>1</v>
      </c>
      <c r="BN28" s="223" t="str">
        <f t="shared" si="60"/>
        <v>Fiche info</v>
      </c>
      <c r="BO28" s="314" t="str">
        <f t="shared" si="51"/>
        <v/>
      </c>
      <c r="BP28" s="196" t="str">
        <f t="shared" si="52"/>
        <v/>
      </c>
      <c r="BQ28" s="196"/>
      <c r="BS28" s="2100" t="str">
        <f>+"Semaine numéro : "&amp;AT4</f>
        <v>Semaine numéro : 44</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196">
        <f>+SUMIF(Octobre!$BK$20:$BK$50,AT4,Octobre!$AM$20:$AO$50)</f>
        <v>0</v>
      </c>
      <c r="CD28" s="196">
        <f>+SUMIF(Décembre!$BK$20:$BK$50,AT4,Décembre!$AM$20:$AO$50)</f>
        <v>0</v>
      </c>
      <c r="CE28" s="196"/>
      <c r="CF28" s="196"/>
      <c r="CG28" s="196"/>
      <c r="CH28" s="196"/>
      <c r="CJ28" s="223"/>
      <c r="CK28" s="223"/>
      <c r="CL28" s="223"/>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48">
        <f t="shared" si="53"/>
        <v>46335</v>
      </c>
      <c r="ER28" s="749">
        <f t="shared" si="10"/>
        <v>0</v>
      </c>
      <c r="ES28" s="750">
        <f t="shared" si="11"/>
        <v>0</v>
      </c>
      <c r="ET28" s="749">
        <f t="shared" si="12"/>
        <v>0</v>
      </c>
      <c r="EU28" s="750">
        <f t="shared" si="13"/>
        <v>0</v>
      </c>
      <c r="EV28" s="749" t="str">
        <f t="shared" si="14"/>
        <v/>
      </c>
      <c r="EW28" s="751">
        <f t="shared" si="29"/>
        <v>46335</v>
      </c>
      <c r="EX28" s="759" t="str">
        <f>IFERROR(IF(AND(AZ28="",AR28&lt;&gt;S.CAL!$BJ$3,AR28&lt;&gt;S.CAL!$BJ$4),FS28-BC28,IF(AZ28&lt;&gt;0,AZ28,IF(OR(AR28=S.CAL!$BJ$3,AR28=S.CAL!$BJ$4),AR28,0))),"")</f>
        <v/>
      </c>
      <c r="EY28" s="753">
        <f t="shared" si="54"/>
        <v>0</v>
      </c>
      <c r="EZ28" s="736">
        <f t="shared" si="55"/>
        <v>0</v>
      </c>
      <c r="FA28" s="759" t="str">
        <f t="shared" si="32"/>
        <v/>
      </c>
      <c r="FB28" s="754" t="str">
        <f t="shared" si="15"/>
        <v/>
      </c>
      <c r="FC28" s="315" t="str">
        <f t="shared" si="56"/>
        <v>non</v>
      </c>
      <c r="FD28" s="760">
        <f t="shared" si="16"/>
        <v>0</v>
      </c>
      <c r="FG28" s="315" t="str">
        <f t="shared" si="57"/>
        <v/>
      </c>
      <c r="FJ28" s="315">
        <f t="shared" si="58"/>
        <v>1</v>
      </c>
      <c r="FK28" s="129">
        <f t="shared" si="17"/>
        <v>10</v>
      </c>
      <c r="FL28" s="129">
        <f t="shared" si="36"/>
        <v>1</v>
      </c>
      <c r="FN28" s="129">
        <f>+IF(AND($DP$8&lt;&gt;52,AR28=S.CAL!$BJ$4),10,1)</f>
        <v>1</v>
      </c>
      <c r="FP28" s="129">
        <f t="shared" si="18"/>
        <v>0</v>
      </c>
      <c r="FS28" s="223" t="str">
        <f t="shared" si="61"/>
        <v/>
      </c>
      <c r="FZ28" s="129">
        <f t="shared" si="38"/>
        <v>46</v>
      </c>
      <c r="GA28" s="129">
        <f t="shared" si="39"/>
        <v>2026</v>
      </c>
      <c r="GB28" s="129" t="str">
        <f t="shared" si="40"/>
        <v>462026</v>
      </c>
      <c r="GC28" s="223">
        <f>IF(AND($GD$53=S.CAL!$P$3,$GD$52=FZ28),GE28,IF(BH28="",0,BH28))</f>
        <v>0</v>
      </c>
      <c r="GD28" s="129" t="str">
        <f>IFERROR(+Décembre!$BY$2&amp;BL28&amp;BM28,0)</f>
        <v>Fiche infoA1</v>
      </c>
      <c r="GE28" s="129" t="str">
        <f t="shared" si="19"/>
        <v/>
      </c>
      <c r="GF28" s="223" t="str">
        <f t="shared" si="41"/>
        <v/>
      </c>
      <c r="GG28" s="1446" t="str">
        <f>+'Retenue Nov'!D26</f>
        <v/>
      </c>
      <c r="GH28" s="1446">
        <f>IF(Identification!$B$132="Non",+'Retenue Nov'!BF26,+'Retenue Nov'!BE26)</f>
        <v>0</v>
      </c>
      <c r="GJ28" s="1507" t="str">
        <f t="shared" si="42"/>
        <v/>
      </c>
      <c r="GK28" s="223" t="str">
        <f t="shared" si="43"/>
        <v/>
      </c>
      <c r="GL28" s="223" t="str">
        <f t="shared" si="44"/>
        <v/>
      </c>
      <c r="GM28" s="1506">
        <f t="shared" si="45"/>
        <v>0</v>
      </c>
      <c r="GO28" s="129">
        <f t="shared" si="20"/>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46336</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2"/>
        <v>46336</v>
      </c>
      <c r="AX29" s="1761"/>
      <c r="AY29" s="314"/>
      <c r="AZ29" s="1104"/>
      <c r="BA29" s="973"/>
      <c r="BB29" s="543"/>
      <c r="BC29" s="548">
        <f t="shared" si="23"/>
        <v>0</v>
      </c>
      <c r="BD29" s="1104"/>
      <c r="BE29" s="807">
        <f t="shared" si="24"/>
        <v>0</v>
      </c>
      <c r="BF29" s="1128"/>
      <c r="BG29" s="222"/>
      <c r="BH29" s="548" t="str">
        <f t="shared" si="25"/>
        <v/>
      </c>
      <c r="BI29" s="1128"/>
      <c r="BJ29" s="129" t="str">
        <f t="shared" si="26"/>
        <v>Fiche infoA2</v>
      </c>
      <c r="BK29" s="129">
        <f t="shared" si="49"/>
        <v>46</v>
      </c>
      <c r="BL29" s="129" t="str">
        <f t="shared" si="4"/>
        <v>A</v>
      </c>
      <c r="BM29" s="129">
        <f t="shared" si="50"/>
        <v>2</v>
      </c>
      <c r="BN29" s="223" t="str">
        <f t="shared" si="60"/>
        <v>Fiche info</v>
      </c>
      <c r="BO29" s="314" t="str">
        <f t="shared" si="51"/>
        <v/>
      </c>
      <c r="BP29" s="196" t="str">
        <f t="shared" si="52"/>
        <v/>
      </c>
      <c r="BQ29" s="196"/>
      <c r="BS29" s="2100" t="str">
        <f t="shared" ref="BS29:BS33" si="64">+"Semaine numéro : "&amp;AT5</f>
        <v>Semaine numéro : 45</v>
      </c>
      <c r="BT29" s="2101"/>
      <c r="BU29" s="2101"/>
      <c r="BV29" s="2101"/>
      <c r="BW29" s="2101"/>
      <c r="BX29" s="2102"/>
      <c r="BY29" s="1115"/>
      <c r="BZ29" s="656">
        <f t="shared" ref="BZ29:BZ33" si="65">+IF(BY29="",IF(AND(CC29&gt;0,CB29&gt;0),CC29+CB29,IF(CD29&gt;0,0,CB29)),BY29)</f>
        <v>0</v>
      </c>
      <c r="CA29" s="655">
        <f t="shared" si="62"/>
        <v>0</v>
      </c>
      <c r="CB29" s="196">
        <f t="shared" si="63"/>
        <v>0</v>
      </c>
      <c r="CC29" s="196">
        <f>+SUMIF(Octobre!$BK$20:$BK$50,AT5,Octobre!$AM$20:$AO$50)</f>
        <v>0</v>
      </c>
      <c r="CD29" s="196">
        <f>+SUMIF(Décembre!$BK$20:$BK$50,AT5,Décembre!$AM$20:$AO$50)</f>
        <v>0</v>
      </c>
      <c r="CE29" s="196"/>
      <c r="CF29" s="196"/>
      <c r="CG29" s="196"/>
      <c r="CH29" s="196"/>
      <c r="CJ29" s="223"/>
      <c r="CK29" s="223"/>
      <c r="CL29" s="223"/>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48">
        <f t="shared" si="53"/>
        <v>46336</v>
      </c>
      <c r="ER29" s="749">
        <f t="shared" si="10"/>
        <v>0</v>
      </c>
      <c r="ES29" s="750">
        <f t="shared" si="11"/>
        <v>0</v>
      </c>
      <c r="ET29" s="749">
        <f t="shared" si="12"/>
        <v>0</v>
      </c>
      <c r="EU29" s="750">
        <f t="shared" si="13"/>
        <v>0</v>
      </c>
      <c r="EV29" s="749" t="str">
        <f t="shared" si="14"/>
        <v/>
      </c>
      <c r="EW29" s="751">
        <f t="shared" si="29"/>
        <v>46336</v>
      </c>
      <c r="EX29" s="759" t="str">
        <f>IFERROR(IF(AND(AZ29="",AR29&lt;&gt;S.CAL!$BJ$3,AR29&lt;&gt;S.CAL!$BJ$4),FS29-BC29,IF(AZ29&lt;&gt;0,AZ29,IF(OR(AR29=S.CAL!$BJ$3,AR29=S.CAL!$BJ$4),AR29,0))),"")</f>
        <v/>
      </c>
      <c r="EY29" s="753">
        <f t="shared" si="54"/>
        <v>0</v>
      </c>
      <c r="EZ29" s="736">
        <f t="shared" si="55"/>
        <v>0</v>
      </c>
      <c r="FA29" s="759" t="str">
        <f t="shared" si="32"/>
        <v/>
      </c>
      <c r="FB29" s="754" t="str">
        <f t="shared" si="15"/>
        <v/>
      </c>
      <c r="FC29" s="315" t="str">
        <f t="shared" si="56"/>
        <v>non</v>
      </c>
      <c r="FD29" s="760">
        <f t="shared" si="16"/>
        <v>0</v>
      </c>
      <c r="FG29" s="315" t="str">
        <f t="shared" si="57"/>
        <v/>
      </c>
      <c r="FJ29" s="315">
        <f t="shared" si="58"/>
        <v>1</v>
      </c>
      <c r="FK29" s="129">
        <f t="shared" si="17"/>
        <v>10</v>
      </c>
      <c r="FL29" s="129">
        <f t="shared" si="36"/>
        <v>1</v>
      </c>
      <c r="FN29" s="129">
        <f>+IF(AND($DP$8&lt;&gt;52,AR29=S.CAL!$BJ$4),10,1)</f>
        <v>1</v>
      </c>
      <c r="FP29" s="129">
        <f t="shared" si="18"/>
        <v>0</v>
      </c>
      <c r="FS29" s="223" t="str">
        <f t="shared" si="61"/>
        <v/>
      </c>
      <c r="FZ29" s="129">
        <f t="shared" si="38"/>
        <v>46</v>
      </c>
      <c r="GA29" s="129">
        <f t="shared" si="39"/>
        <v>2026</v>
      </c>
      <c r="GB29" s="129" t="str">
        <f t="shared" si="40"/>
        <v>462026</v>
      </c>
      <c r="GC29" s="223">
        <f>IF(AND($GD$53=S.CAL!$P$3,$GD$52=FZ29),GE29,IF(BH29="",0,BH29))</f>
        <v>0</v>
      </c>
      <c r="GD29" s="129" t="str">
        <f>IFERROR(+Décembre!$BY$2&amp;BL29&amp;BM29,0)</f>
        <v>Fiche infoA2</v>
      </c>
      <c r="GE29" s="129" t="str">
        <f t="shared" si="19"/>
        <v/>
      </c>
      <c r="GF29" s="223" t="str">
        <f t="shared" si="41"/>
        <v/>
      </c>
      <c r="GG29" s="1446" t="str">
        <f>+'Retenue Nov'!D27</f>
        <v/>
      </c>
      <c r="GH29" s="1446">
        <f>IF(Identification!$B$132="Non",+'Retenue Nov'!BF27,+'Retenue Nov'!BE27)</f>
        <v>0</v>
      </c>
      <c r="GJ29" s="1507" t="str">
        <f t="shared" si="42"/>
        <v/>
      </c>
      <c r="GK29" s="223" t="str">
        <f t="shared" si="43"/>
        <v/>
      </c>
      <c r="GL29" s="223" t="str">
        <f t="shared" si="44"/>
        <v/>
      </c>
      <c r="GM29" s="1506">
        <f t="shared" si="45"/>
        <v>0</v>
      </c>
      <c r="GO29" s="129">
        <f t="shared" si="20"/>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46337</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2"/>
        <v>46337</v>
      </c>
      <c r="AX30" s="1761"/>
      <c r="AY30" s="314"/>
      <c r="AZ30" s="1104"/>
      <c r="BA30" s="973"/>
      <c r="BB30" s="543"/>
      <c r="BC30" s="548">
        <f t="shared" si="23"/>
        <v>0</v>
      </c>
      <c r="BD30" s="1104"/>
      <c r="BE30" s="807">
        <f t="shared" si="24"/>
        <v>0</v>
      </c>
      <c r="BF30" s="1128"/>
      <c r="BG30" s="222"/>
      <c r="BH30" s="548" t="str">
        <f t="shared" si="25"/>
        <v/>
      </c>
      <c r="BI30" s="1128"/>
      <c r="BJ30" s="129" t="str">
        <f t="shared" si="26"/>
        <v>Fiche infoA3</v>
      </c>
      <c r="BK30" s="129">
        <f t="shared" si="49"/>
        <v>46</v>
      </c>
      <c r="BL30" s="129" t="str">
        <f t="shared" si="4"/>
        <v>A</v>
      </c>
      <c r="BM30" s="129">
        <f t="shared" si="50"/>
        <v>3</v>
      </c>
      <c r="BN30" s="223" t="str">
        <f t="shared" si="60"/>
        <v>Fiche info</v>
      </c>
      <c r="BO30" s="314" t="str">
        <f t="shared" si="51"/>
        <v/>
      </c>
      <c r="BP30" s="196" t="str">
        <f t="shared" si="52"/>
        <v/>
      </c>
      <c r="BQ30" s="196"/>
      <c r="BS30" s="2100" t="str">
        <f t="shared" si="64"/>
        <v>Semaine numéro : 46</v>
      </c>
      <c r="BT30" s="2101"/>
      <c r="BU30" s="2101"/>
      <c r="BV30" s="2101"/>
      <c r="BW30" s="2101"/>
      <c r="BX30" s="2102"/>
      <c r="BY30" s="1115"/>
      <c r="BZ30" s="656">
        <f t="shared" si="65"/>
        <v>0</v>
      </c>
      <c r="CA30" s="655">
        <f t="shared" si="62"/>
        <v>0</v>
      </c>
      <c r="CB30" s="196">
        <f t="shared" si="63"/>
        <v>0</v>
      </c>
      <c r="CC30" s="196">
        <f>+SUMIF(Octobre!$BK$20:$BK$50,AT6,Octobre!$AM$20:$AO$50)</f>
        <v>0</v>
      </c>
      <c r="CD30" s="196">
        <f>+SUMIF(Décembre!$BK$20:$BK$50,AT6,Décembre!$AM$20:$AO$50)</f>
        <v>0</v>
      </c>
      <c r="CE30" s="196"/>
      <c r="CF30" s="196"/>
      <c r="CG30" s="196"/>
      <c r="CH30" s="196"/>
      <c r="CJ30" s="223"/>
      <c r="CK30" s="223"/>
      <c r="CL30" s="223"/>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F30" s="402" t="str">
        <f>"Congés anticipés pris entre 01/05/"&amp;Identification!B60&amp;" - 31/10/"&amp;Identification!B60&amp;" :"</f>
        <v>Congés anticipés pris entre 01/05/2026 - 31/10/2026 :</v>
      </c>
      <c r="EG30" s="1621">
        <f>+SUMIF(Base!$A$5:$A$500,EH30,Base!$P$5:$P$500)+SUMIF(Base!$A$5:$A$500,EI30,Base!$P$5:$P$500)+SUMIF(Base!$A$5:$A$500,EJ30,Base!$P$5:$P$500)+SUMIF(Base!$A$5:$A$500,EK30,Base!$P$5:$P$500)+SUMIF(Base!$A$5:$A$500,EL30,Base!$P$5:$P$500)+SUMIF(Base!$A$5:$A$500,EM30,Base!$P$5:$P$500)</f>
        <v>0</v>
      </c>
      <c r="EH30" s="315" t="str">
        <f>"01/05/"&amp;Identification!$B$60</f>
        <v>01/05/2026</v>
      </c>
      <c r="EI30" s="315" t="str">
        <f>"01/06/"&amp;Identification!$B$60</f>
        <v>01/06/2026</v>
      </c>
      <c r="EJ30" s="315" t="str">
        <f>"01/07/"&amp;Identification!$B$60</f>
        <v>01/07/2026</v>
      </c>
      <c r="EK30" s="315" t="str">
        <f>"01/08/"&amp;Identification!$B$60</f>
        <v>01/08/2026</v>
      </c>
      <c r="EL30" s="315" t="str">
        <f>"01/09/"&amp;Identification!$B$60</f>
        <v>01/09/2026</v>
      </c>
      <c r="EM30" s="315" t="str">
        <f>"01/10/"&amp;Identification!$B$60</f>
        <v>01/10/2026</v>
      </c>
      <c r="EQ30" s="748">
        <f t="shared" si="53"/>
        <v>46337</v>
      </c>
      <c r="ER30" s="749">
        <f t="shared" si="10"/>
        <v>0</v>
      </c>
      <c r="ES30" s="750">
        <f t="shared" si="11"/>
        <v>0</v>
      </c>
      <c r="ET30" s="749">
        <f t="shared" si="12"/>
        <v>0</v>
      </c>
      <c r="EU30" s="750">
        <f t="shared" si="13"/>
        <v>0</v>
      </c>
      <c r="EV30" s="749" t="str">
        <f t="shared" si="14"/>
        <v/>
      </c>
      <c r="EW30" s="751">
        <f t="shared" si="29"/>
        <v>46337</v>
      </c>
      <c r="EX30" s="759" t="str">
        <f>IFERROR(IF(AND(AZ30="",AR30&lt;&gt;S.CAL!$BJ$3,AR30&lt;&gt;S.CAL!$BJ$4),FS30-BC30,IF(AZ30&lt;&gt;0,AZ30,IF(OR(AR30=S.CAL!$BJ$3,AR30=S.CAL!$BJ$4),AR30,0))),"")</f>
        <v/>
      </c>
      <c r="EY30" s="753">
        <f t="shared" si="54"/>
        <v>0</v>
      </c>
      <c r="EZ30" s="736">
        <f t="shared" si="55"/>
        <v>0</v>
      </c>
      <c r="FA30" s="759" t="str">
        <f t="shared" si="32"/>
        <v/>
      </c>
      <c r="FB30" s="754" t="str">
        <f t="shared" si="15"/>
        <v/>
      </c>
      <c r="FC30" s="315" t="str">
        <f t="shared" si="56"/>
        <v>non</v>
      </c>
      <c r="FD30" s="760">
        <f t="shared" si="16"/>
        <v>0</v>
      </c>
      <c r="FG30" s="315" t="str">
        <f t="shared" si="57"/>
        <v/>
      </c>
      <c r="FJ30" s="315">
        <f t="shared" si="58"/>
        <v>1</v>
      </c>
      <c r="FK30" s="129">
        <f t="shared" si="17"/>
        <v>10</v>
      </c>
      <c r="FL30" s="129">
        <f t="shared" si="36"/>
        <v>1</v>
      </c>
      <c r="FN30" s="129">
        <f>+IF(AND($DP$8&lt;&gt;52,AR30=S.CAL!$BJ$4),10,1)</f>
        <v>1</v>
      </c>
      <c r="FP30" s="129">
        <f t="shared" si="18"/>
        <v>0</v>
      </c>
      <c r="FS30" s="223" t="str">
        <f t="shared" si="61"/>
        <v/>
      </c>
      <c r="FZ30" s="129">
        <f t="shared" si="38"/>
        <v>46</v>
      </c>
      <c r="GA30" s="129">
        <f t="shared" si="39"/>
        <v>2026</v>
      </c>
      <c r="GB30" s="129" t="str">
        <f t="shared" si="40"/>
        <v>462026</v>
      </c>
      <c r="GC30" s="223">
        <f>IF(AND($GD$53=S.CAL!$P$3,$GD$52=FZ30),GE30,IF(BH30="",0,BH30))</f>
        <v>0</v>
      </c>
      <c r="GD30" s="129" t="str">
        <f>IFERROR(+Décembre!$BY$2&amp;BL30&amp;BM30,0)</f>
        <v>Fiche infoA3</v>
      </c>
      <c r="GE30" s="129" t="str">
        <f t="shared" si="19"/>
        <v/>
      </c>
      <c r="GF30" s="223" t="str">
        <f t="shared" si="41"/>
        <v/>
      </c>
      <c r="GG30" s="1446" t="str">
        <f>+'Retenue Nov'!D28</f>
        <v/>
      </c>
      <c r="GH30" s="1446">
        <f>IF(Identification!$B$132="Non",+'Retenue Nov'!BF28,+'Retenue Nov'!BE28)</f>
        <v>0</v>
      </c>
      <c r="GJ30" s="1507" t="str">
        <f t="shared" si="42"/>
        <v/>
      </c>
      <c r="GK30" s="223" t="str">
        <f t="shared" si="43"/>
        <v/>
      </c>
      <c r="GL30" s="223" t="str">
        <f t="shared" si="44"/>
        <v/>
      </c>
      <c r="GM30" s="1506">
        <f t="shared" si="45"/>
        <v>0</v>
      </c>
      <c r="GO30" s="129">
        <f t="shared" si="20"/>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46338</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2"/>
        <v>46338</v>
      </c>
      <c r="AX31" s="1761"/>
      <c r="AY31" s="314"/>
      <c r="AZ31" s="1104"/>
      <c r="BA31" s="973"/>
      <c r="BB31" s="543"/>
      <c r="BC31" s="548">
        <f t="shared" si="23"/>
        <v>0</v>
      </c>
      <c r="BD31" s="1104"/>
      <c r="BE31" s="807">
        <f t="shared" si="24"/>
        <v>0</v>
      </c>
      <c r="BF31" s="1128"/>
      <c r="BG31" s="222"/>
      <c r="BH31" s="548" t="str">
        <f t="shared" si="25"/>
        <v/>
      </c>
      <c r="BI31" s="1128"/>
      <c r="BJ31" s="129" t="str">
        <f t="shared" si="26"/>
        <v>Fiche infoA4</v>
      </c>
      <c r="BK31" s="129">
        <f t="shared" si="49"/>
        <v>46</v>
      </c>
      <c r="BL31" s="129" t="str">
        <f t="shared" si="4"/>
        <v>A</v>
      </c>
      <c r="BM31" s="129">
        <f t="shared" si="50"/>
        <v>4</v>
      </c>
      <c r="BN31" s="223" t="str">
        <f t="shared" si="60"/>
        <v>Fiche info</v>
      </c>
      <c r="BO31" s="314" t="str">
        <f t="shared" si="51"/>
        <v/>
      </c>
      <c r="BP31" s="196" t="str">
        <f t="shared" si="52"/>
        <v/>
      </c>
      <c r="BQ31" s="196"/>
      <c r="BS31" s="2100" t="str">
        <f t="shared" si="64"/>
        <v>Semaine numéro : 47</v>
      </c>
      <c r="BT31" s="2101"/>
      <c r="BU31" s="2101"/>
      <c r="BV31" s="2101"/>
      <c r="BW31" s="2101"/>
      <c r="BX31" s="2102"/>
      <c r="BY31" s="1115"/>
      <c r="BZ31" s="656">
        <f t="shared" si="65"/>
        <v>0</v>
      </c>
      <c r="CA31" s="655">
        <f t="shared" si="62"/>
        <v>0</v>
      </c>
      <c r="CB31" s="196">
        <f t="shared" si="63"/>
        <v>0</v>
      </c>
      <c r="CC31" s="196">
        <f>+SUMIF(Octobre!$BK$20:$BK$50,AT7,Octobre!$AM$20:$AO$50)</f>
        <v>0</v>
      </c>
      <c r="CD31" s="196">
        <f>+SUMIF(Décembre!$BK$20:$BK$50,AT7,Décembre!$AM$20:$AO$50)</f>
        <v>0</v>
      </c>
      <c r="CE31" s="196"/>
      <c r="CF31" s="196"/>
      <c r="CG31" s="196"/>
      <c r="CH31" s="196"/>
      <c r="CJ31" s="223"/>
      <c r="CK31" s="223"/>
      <c r="CL31" s="223"/>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F31" s="402" t="str">
        <f>"Congés acquis pris entre 01/05/"&amp;Identification!B60&amp;" et le 31/10/"&amp;Identification!B60&amp;" :"</f>
        <v>Congés acquis pris entre 01/05/2026 et le 31/10/2026 :</v>
      </c>
      <c r="EG31" s="1621">
        <f>+SUMIF(Base!$A$5:$A$500,EH31,Base!$N$5:$N$500)+SUMIF(Base!$A$5:$A$500,EI31,Base!$N$5:$N$500)+SUMIF(Base!$A$5:$A$500,EJ31,Base!$N$5:$N$500)+SUMIF(Base!$A$5:$A$500,EK31,Base!$N$5:$N$500)+SUMIF(Base!$A$5:$A$500,EL31,Base!$N$5:$N$500)+SUMIF(Base!$A$5:$A$500,EM31,Base!$N$5:$N$500)</f>
        <v>0</v>
      </c>
      <c r="EH31" s="315" t="str">
        <f>"01/05/"&amp;Identification!$B$60</f>
        <v>01/05/2026</v>
      </c>
      <c r="EI31" s="315" t="str">
        <f>"01/06/"&amp;Identification!$B$60</f>
        <v>01/06/2026</v>
      </c>
      <c r="EJ31" s="315" t="str">
        <f>"01/07/"&amp;Identification!$B$60</f>
        <v>01/07/2026</v>
      </c>
      <c r="EK31" s="315" t="str">
        <f>"01/08/"&amp;Identification!$B$60</f>
        <v>01/08/2026</v>
      </c>
      <c r="EL31" s="315" t="str">
        <f>"01/09/"&amp;Identification!$B$60</f>
        <v>01/09/2026</v>
      </c>
      <c r="EM31" s="315" t="str">
        <f>"01/10/"&amp;Identification!$B$60</f>
        <v>01/10/2026</v>
      </c>
      <c r="EQ31" s="748">
        <f t="shared" si="53"/>
        <v>46338</v>
      </c>
      <c r="ER31" s="749">
        <f t="shared" si="10"/>
        <v>0</v>
      </c>
      <c r="ES31" s="750">
        <f t="shared" si="11"/>
        <v>0</v>
      </c>
      <c r="ET31" s="749">
        <f t="shared" si="12"/>
        <v>0</v>
      </c>
      <c r="EU31" s="750">
        <f t="shared" si="13"/>
        <v>0</v>
      </c>
      <c r="EV31" s="749" t="str">
        <f t="shared" si="14"/>
        <v/>
      </c>
      <c r="EW31" s="751">
        <f t="shared" si="29"/>
        <v>46338</v>
      </c>
      <c r="EX31" s="759" t="str">
        <f>IFERROR(IF(AND(AZ31="",AR31&lt;&gt;S.CAL!$BJ$3,AR31&lt;&gt;S.CAL!$BJ$4),FS31-BC31,IF(AZ31&lt;&gt;0,AZ31,IF(OR(AR31=S.CAL!$BJ$3,AR31=S.CAL!$BJ$4),AR31,0))),"")</f>
        <v/>
      </c>
      <c r="EY31" s="753">
        <f t="shared" si="54"/>
        <v>0</v>
      </c>
      <c r="EZ31" s="736">
        <f t="shared" si="55"/>
        <v>0</v>
      </c>
      <c r="FA31" s="759" t="str">
        <f t="shared" si="32"/>
        <v/>
      </c>
      <c r="FB31" s="754" t="str">
        <f t="shared" si="15"/>
        <v/>
      </c>
      <c r="FC31" s="315" t="str">
        <f t="shared" si="56"/>
        <v>non</v>
      </c>
      <c r="FD31" s="760">
        <f t="shared" si="16"/>
        <v>0</v>
      </c>
      <c r="FG31" s="315" t="str">
        <f t="shared" si="57"/>
        <v/>
      </c>
      <c r="FJ31" s="315">
        <f t="shared" si="58"/>
        <v>1</v>
      </c>
      <c r="FK31" s="129">
        <f t="shared" si="17"/>
        <v>10</v>
      </c>
      <c r="FL31" s="129">
        <f t="shared" si="36"/>
        <v>1</v>
      </c>
      <c r="FN31" s="129">
        <f>+IF(AND($DP$8&lt;&gt;52,AR31=S.CAL!$BJ$4),10,1)</f>
        <v>1</v>
      </c>
      <c r="FP31" s="129">
        <f t="shared" si="18"/>
        <v>0</v>
      </c>
      <c r="FS31" s="223" t="str">
        <f t="shared" si="61"/>
        <v/>
      </c>
      <c r="FZ31" s="129">
        <f t="shared" si="38"/>
        <v>46</v>
      </c>
      <c r="GA31" s="129">
        <f t="shared" si="39"/>
        <v>2026</v>
      </c>
      <c r="GB31" s="129" t="str">
        <f t="shared" si="40"/>
        <v>462026</v>
      </c>
      <c r="GC31" s="223">
        <f>IF(AND($GD$53=S.CAL!$P$3,$GD$52=FZ31),GE31,IF(BH31="",0,BH31))</f>
        <v>0</v>
      </c>
      <c r="GD31" s="129" t="str">
        <f>IFERROR(+Décembre!$BY$2&amp;BL31&amp;BM31,0)</f>
        <v>Fiche infoA4</v>
      </c>
      <c r="GE31" s="129" t="str">
        <f t="shared" si="19"/>
        <v/>
      </c>
      <c r="GF31" s="223" t="str">
        <f t="shared" si="41"/>
        <v/>
      </c>
      <c r="GG31" s="1446" t="str">
        <f>+'Retenue Nov'!D29</f>
        <v/>
      </c>
      <c r="GH31" s="1446">
        <f>IF(Identification!$B$132="Non",+'Retenue Nov'!BF29,+'Retenue Nov'!BE29)</f>
        <v>0</v>
      </c>
      <c r="GJ31" s="1507" t="str">
        <f t="shared" si="42"/>
        <v/>
      </c>
      <c r="GK31" s="223" t="str">
        <f t="shared" si="43"/>
        <v/>
      </c>
      <c r="GL31" s="223" t="str">
        <f t="shared" si="44"/>
        <v/>
      </c>
      <c r="GM31" s="1506">
        <f t="shared" si="45"/>
        <v>0</v>
      </c>
      <c r="GO31" s="129">
        <f t="shared" si="20"/>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46339</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2"/>
        <v>46339</v>
      </c>
      <c r="AX32" s="1761"/>
      <c r="AY32" s="314"/>
      <c r="AZ32" s="1104"/>
      <c r="BA32" s="973"/>
      <c r="BB32" s="543"/>
      <c r="BC32" s="548">
        <f t="shared" si="23"/>
        <v>0</v>
      </c>
      <c r="BD32" s="1104"/>
      <c r="BE32" s="807">
        <f t="shared" si="24"/>
        <v>0</v>
      </c>
      <c r="BF32" s="1128"/>
      <c r="BG32" s="222"/>
      <c r="BH32" s="548" t="str">
        <f t="shared" si="25"/>
        <v/>
      </c>
      <c r="BI32" s="1128"/>
      <c r="BJ32" s="129" t="str">
        <f t="shared" si="26"/>
        <v>Fiche infoA5</v>
      </c>
      <c r="BK32" s="129">
        <f t="shared" si="49"/>
        <v>46</v>
      </c>
      <c r="BL32" s="129" t="str">
        <f t="shared" si="4"/>
        <v>A</v>
      </c>
      <c r="BM32" s="129">
        <f t="shared" si="50"/>
        <v>5</v>
      </c>
      <c r="BN32" s="223" t="str">
        <f t="shared" si="60"/>
        <v>Fiche info</v>
      </c>
      <c r="BO32" s="314" t="str">
        <f t="shared" si="51"/>
        <v/>
      </c>
      <c r="BP32" s="196" t="str">
        <f t="shared" si="52"/>
        <v/>
      </c>
      <c r="BQ32" s="196"/>
      <c r="BS32" s="2100" t="str">
        <f t="shared" si="64"/>
        <v>Semaine numéro : 48</v>
      </c>
      <c r="BT32" s="2101"/>
      <c r="BU32" s="2101"/>
      <c r="BV32" s="2101"/>
      <c r="BW32" s="2101"/>
      <c r="BX32" s="2102"/>
      <c r="BY32" s="1115"/>
      <c r="BZ32" s="656">
        <f t="shared" si="65"/>
        <v>0</v>
      </c>
      <c r="CA32" s="655">
        <f t="shared" si="62"/>
        <v>0</v>
      </c>
      <c r="CB32" s="196">
        <f t="shared" si="63"/>
        <v>0</v>
      </c>
      <c r="CC32" s="196">
        <f>+SUMIF(Octobre!$BK$20:$BK$50,AT8,Octobre!$AM$20:$AO$50)</f>
        <v>0</v>
      </c>
      <c r="CD32" s="196">
        <f>+SUMIF(Décembre!$BK$20:$BK$50,AT8,Décembre!$AM$20:$AO$50)</f>
        <v>0</v>
      </c>
      <c r="CE32" s="196"/>
      <c r="CF32" s="196"/>
      <c r="CG32" s="196"/>
      <c r="CH32" s="196"/>
      <c r="CJ32" s="223"/>
      <c r="CK32" s="223"/>
      <c r="CL32" s="223"/>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48">
        <f t="shared" si="53"/>
        <v>46339</v>
      </c>
      <c r="ER32" s="749">
        <f t="shared" si="10"/>
        <v>0</v>
      </c>
      <c r="ES32" s="750">
        <f t="shared" si="11"/>
        <v>0</v>
      </c>
      <c r="ET32" s="749">
        <f t="shared" si="12"/>
        <v>0</v>
      </c>
      <c r="EU32" s="750">
        <f t="shared" si="13"/>
        <v>0</v>
      </c>
      <c r="EV32" s="749" t="str">
        <f t="shared" si="14"/>
        <v/>
      </c>
      <c r="EW32" s="751">
        <f t="shared" si="29"/>
        <v>46339</v>
      </c>
      <c r="EX32" s="759" t="str">
        <f>IFERROR(IF(AND(AZ32="",AR32&lt;&gt;S.CAL!$BJ$3,AR32&lt;&gt;S.CAL!$BJ$4),FS32-BC32,IF(AZ32&lt;&gt;0,AZ32,IF(OR(AR32=S.CAL!$BJ$3,AR32=S.CAL!$BJ$4),AR32,0))),"")</f>
        <v/>
      </c>
      <c r="EY32" s="753">
        <f t="shared" si="54"/>
        <v>0</v>
      </c>
      <c r="EZ32" s="736">
        <f t="shared" si="55"/>
        <v>0</v>
      </c>
      <c r="FA32" s="759" t="str">
        <f t="shared" si="32"/>
        <v/>
      </c>
      <c r="FB32" s="754" t="str">
        <f t="shared" si="15"/>
        <v/>
      </c>
      <c r="FC32" s="315" t="str">
        <f t="shared" si="56"/>
        <v>non</v>
      </c>
      <c r="FD32" s="760">
        <f t="shared" si="16"/>
        <v>0</v>
      </c>
      <c r="FG32" s="315" t="str">
        <f t="shared" si="57"/>
        <v/>
      </c>
      <c r="FJ32" s="315">
        <f t="shared" si="58"/>
        <v>1</v>
      </c>
      <c r="FK32" s="129">
        <f t="shared" si="17"/>
        <v>10</v>
      </c>
      <c r="FL32" s="129">
        <f t="shared" si="36"/>
        <v>1</v>
      </c>
      <c r="FN32" s="129">
        <f>+IF(AND($DP$8&lt;&gt;52,AR32=S.CAL!$BJ$4),10,1)</f>
        <v>1</v>
      </c>
      <c r="FP32" s="129">
        <f t="shared" si="18"/>
        <v>0</v>
      </c>
      <c r="FS32" s="223" t="str">
        <f t="shared" si="61"/>
        <v/>
      </c>
      <c r="FZ32" s="129">
        <f t="shared" si="38"/>
        <v>46</v>
      </c>
      <c r="GA32" s="129">
        <f t="shared" si="39"/>
        <v>2026</v>
      </c>
      <c r="GB32" s="129" t="str">
        <f t="shared" si="40"/>
        <v>462026</v>
      </c>
      <c r="GC32" s="223">
        <f>IF(AND($GD$53=S.CAL!$P$3,$GD$52=FZ32),GE32,IF(BH32="",0,BH32))</f>
        <v>0</v>
      </c>
      <c r="GD32" s="129" t="str">
        <f>IFERROR(+Décembre!$BY$2&amp;BL32&amp;BM32,0)</f>
        <v>Fiche infoA5</v>
      </c>
      <c r="GE32" s="129" t="str">
        <f t="shared" si="19"/>
        <v/>
      </c>
      <c r="GF32" s="223" t="str">
        <f t="shared" si="41"/>
        <v/>
      </c>
      <c r="GG32" s="1446" t="str">
        <f>+'Retenue Nov'!D30</f>
        <v/>
      </c>
      <c r="GH32" s="1446">
        <f>IF(Identification!$B$132="Non",+'Retenue Nov'!BF30,+'Retenue Nov'!BE30)</f>
        <v>0</v>
      </c>
      <c r="GJ32" s="1507" t="str">
        <f t="shared" si="42"/>
        <v/>
      </c>
      <c r="GK32" s="223" t="str">
        <f t="shared" si="43"/>
        <v/>
      </c>
      <c r="GL32" s="223" t="str">
        <f t="shared" si="44"/>
        <v/>
      </c>
      <c r="GM32" s="1506">
        <f t="shared" si="45"/>
        <v>0</v>
      </c>
      <c r="GO32" s="129">
        <f t="shared" si="20"/>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46340</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t="str">
        <f t="shared" si="48"/>
        <v/>
      </c>
      <c r="AQ33" s="322"/>
      <c r="AR33" s="1104"/>
      <c r="AS33" s="314">
        <f t="shared" si="3"/>
        <v>0</v>
      </c>
      <c r="AT33" s="1125"/>
      <c r="AU33" s="1125"/>
      <c r="AV33" s="314"/>
      <c r="AW33" s="1791">
        <f t="shared" si="22"/>
        <v>46340</v>
      </c>
      <c r="AX33" s="1761"/>
      <c r="AY33" s="314"/>
      <c r="AZ33" s="1104"/>
      <c r="BA33" s="973"/>
      <c r="BB33" s="543"/>
      <c r="BC33" s="548">
        <f t="shared" si="23"/>
        <v>0</v>
      </c>
      <c r="BD33" s="1104"/>
      <c r="BE33" s="807">
        <f t="shared" si="24"/>
        <v>0</v>
      </c>
      <c r="BF33" s="1128"/>
      <c r="BG33" s="222"/>
      <c r="BH33" s="548" t="str">
        <f t="shared" si="25"/>
        <v/>
      </c>
      <c r="BI33" s="1128"/>
      <c r="BJ33" s="129" t="str">
        <f t="shared" si="26"/>
        <v>Fiche infoA6</v>
      </c>
      <c r="BK33" s="129">
        <f t="shared" si="49"/>
        <v>46</v>
      </c>
      <c r="BL33" s="129" t="str">
        <f t="shared" si="4"/>
        <v>A</v>
      </c>
      <c r="BM33" s="129">
        <f t="shared" si="50"/>
        <v>6</v>
      </c>
      <c r="BN33" s="223" t="str">
        <f t="shared" si="60"/>
        <v>Fiche info</v>
      </c>
      <c r="BO33" s="314" t="str">
        <f t="shared" si="51"/>
        <v/>
      </c>
      <c r="BP33" s="196" t="str">
        <f t="shared" si="52"/>
        <v/>
      </c>
      <c r="BQ33" s="196"/>
      <c r="BS33" s="2100" t="str">
        <f t="shared" si="64"/>
        <v>Semaine numéro : 49</v>
      </c>
      <c r="BT33" s="2101"/>
      <c r="BU33" s="2101"/>
      <c r="BV33" s="2101"/>
      <c r="BW33" s="2101"/>
      <c r="BX33" s="2102"/>
      <c r="BY33" s="1115"/>
      <c r="BZ33" s="656">
        <f t="shared" si="65"/>
        <v>0</v>
      </c>
      <c r="CA33" s="655">
        <f t="shared" si="62"/>
        <v>0</v>
      </c>
      <c r="CB33" s="196">
        <f t="shared" si="63"/>
        <v>0</v>
      </c>
      <c r="CC33" s="196">
        <f>+SUMIF(Octobre!$BK$20:$BK$50,AT9,Octobre!$AM$20:$AO$50)</f>
        <v>0</v>
      </c>
      <c r="CD33" s="196">
        <f>+SUMIF(Décembre!$BK$20:$BK$50,AT9,Décembre!$AM$20:$AO$50)</f>
        <v>0</v>
      </c>
      <c r="CE33" s="196"/>
      <c r="CF33" s="196"/>
      <c r="CG33" s="196"/>
      <c r="CH33" s="196"/>
      <c r="CJ33" s="223"/>
      <c r="CK33" s="223"/>
      <c r="CL33" s="223"/>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F33" s="402" t="s">
        <v>1721</v>
      </c>
      <c r="EG33" s="315">
        <f>+COUNTIF(S.CAL!HL2:HL373,"OUI")</f>
        <v>0</v>
      </c>
      <c r="EQ33" s="748">
        <f t="shared" si="53"/>
        <v>46340</v>
      </c>
      <c r="ER33" s="749">
        <f t="shared" si="10"/>
        <v>0</v>
      </c>
      <c r="ES33" s="750">
        <f t="shared" si="11"/>
        <v>0</v>
      </c>
      <c r="ET33" s="749">
        <f t="shared" si="12"/>
        <v>0</v>
      </c>
      <c r="EU33" s="750">
        <f t="shared" si="13"/>
        <v>0</v>
      </c>
      <c r="EV33" s="749" t="str">
        <f t="shared" si="14"/>
        <v/>
      </c>
      <c r="EW33" s="751">
        <f t="shared" si="29"/>
        <v>46340</v>
      </c>
      <c r="EX33" s="759" t="str">
        <f>IFERROR(IF(AND(AZ33="",AR33&lt;&gt;S.CAL!$BJ$3,AR33&lt;&gt;S.CAL!$BJ$4),FS33-BC33,IF(AZ33&lt;&gt;0,AZ33,IF(OR(AR33=S.CAL!$BJ$3,AR33=S.CAL!$BJ$4),AR33,0))),"")</f>
        <v/>
      </c>
      <c r="EY33" s="753">
        <f t="shared" si="54"/>
        <v>0</v>
      </c>
      <c r="EZ33" s="736">
        <f t="shared" si="55"/>
        <v>0</v>
      </c>
      <c r="FA33" s="759" t="str">
        <f t="shared" si="32"/>
        <v/>
      </c>
      <c r="FB33" s="754" t="str">
        <f t="shared" si="15"/>
        <v/>
      </c>
      <c r="FC33" s="315" t="str">
        <f t="shared" si="56"/>
        <v>non</v>
      </c>
      <c r="FD33" s="760">
        <f t="shared" si="16"/>
        <v>0</v>
      </c>
      <c r="FG33" s="315" t="str">
        <f t="shared" si="57"/>
        <v/>
      </c>
      <c r="FJ33" s="315">
        <f t="shared" si="58"/>
        <v>1</v>
      </c>
      <c r="FK33" s="129">
        <f t="shared" si="17"/>
        <v>10</v>
      </c>
      <c r="FL33" s="129">
        <f t="shared" si="36"/>
        <v>1</v>
      </c>
      <c r="FN33" s="129">
        <f>+IF(AND($DP$8&lt;&gt;52,AR33=S.CAL!$BJ$4),10,1)</f>
        <v>1</v>
      </c>
      <c r="FP33" s="129">
        <f t="shared" si="18"/>
        <v>0</v>
      </c>
      <c r="FS33" s="223" t="str">
        <f t="shared" si="61"/>
        <v/>
      </c>
      <c r="FZ33" s="129">
        <f t="shared" si="38"/>
        <v>46</v>
      </c>
      <c r="GA33" s="129">
        <f t="shared" si="39"/>
        <v>2026</v>
      </c>
      <c r="GB33" s="129" t="str">
        <f t="shared" si="40"/>
        <v>462026</v>
      </c>
      <c r="GC33" s="223">
        <f>IF(AND($GD$53=S.CAL!$P$3,$GD$52=FZ33),GE33,IF(BH33="",0,BH33))</f>
        <v>0</v>
      </c>
      <c r="GD33" s="129" t="str">
        <f>IFERROR(+Décembre!$BY$2&amp;BL33&amp;BM33,0)</f>
        <v>Fiche infoA6</v>
      </c>
      <c r="GE33" s="129" t="str">
        <f t="shared" si="19"/>
        <v/>
      </c>
      <c r="GF33" s="223" t="str">
        <f t="shared" si="41"/>
        <v/>
      </c>
      <c r="GG33" s="1446" t="str">
        <f>+'Retenue Nov'!D31</f>
        <v/>
      </c>
      <c r="GH33" s="1446">
        <f>IF(Identification!$B$132="Non",+'Retenue Nov'!BF31,+'Retenue Nov'!BE31)</f>
        <v>0</v>
      </c>
      <c r="GJ33" s="1507" t="str">
        <f t="shared" si="42"/>
        <v/>
      </c>
      <c r="GK33" s="223" t="str">
        <f t="shared" si="43"/>
        <v/>
      </c>
      <c r="GL33" s="223" t="str">
        <f t="shared" si="44"/>
        <v/>
      </c>
      <c r="GM33" s="1506">
        <f t="shared" si="45"/>
        <v>0</v>
      </c>
      <c r="GO33" s="129">
        <f t="shared" si="20"/>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46341</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2"/>
        <v>46341</v>
      </c>
      <c r="AX34" s="1761"/>
      <c r="AY34" s="314"/>
      <c r="AZ34" s="1104"/>
      <c r="BA34" s="973"/>
      <c r="BB34" s="543"/>
      <c r="BC34" s="548">
        <f t="shared" si="23"/>
        <v>0</v>
      </c>
      <c r="BD34" s="1104"/>
      <c r="BE34" s="807">
        <f t="shared" si="24"/>
        <v>0</v>
      </c>
      <c r="BF34" s="1128"/>
      <c r="BG34" s="222"/>
      <c r="BH34" s="548" t="str">
        <f t="shared" si="25"/>
        <v/>
      </c>
      <c r="BI34" s="1128"/>
      <c r="BJ34" s="129" t="str">
        <f t="shared" si="26"/>
        <v>Fiche infoA7</v>
      </c>
      <c r="BK34" s="129">
        <f t="shared" si="49"/>
        <v>46</v>
      </c>
      <c r="BL34" s="129" t="str">
        <f t="shared" si="4"/>
        <v>A</v>
      </c>
      <c r="BM34" s="129">
        <f t="shared" si="50"/>
        <v>7</v>
      </c>
      <c r="BN34" s="223" t="str">
        <f t="shared" si="60"/>
        <v>Fiche info</v>
      </c>
      <c r="BO34" s="314" t="str">
        <f t="shared" si="51"/>
        <v/>
      </c>
      <c r="BP34" s="196" t="str">
        <f t="shared" si="52"/>
        <v/>
      </c>
      <c r="BQ34" s="196"/>
      <c r="BZ34" s="658" t="s">
        <v>441</v>
      </c>
      <c r="CA34" s="659">
        <f>+IF(AND(DP14=1,OR(DP29="NON",DP29=0)),0,SUM(CA28:CA33))</f>
        <v>0</v>
      </c>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48">
        <f t="shared" si="53"/>
        <v>46341</v>
      </c>
      <c r="ER34" s="749">
        <f t="shared" si="10"/>
        <v>0</v>
      </c>
      <c r="ES34" s="750">
        <f t="shared" si="11"/>
        <v>0</v>
      </c>
      <c r="ET34" s="749">
        <f t="shared" si="12"/>
        <v>0</v>
      </c>
      <c r="EU34" s="750">
        <f t="shared" si="13"/>
        <v>0</v>
      </c>
      <c r="EV34" s="749" t="str">
        <f t="shared" si="14"/>
        <v/>
      </c>
      <c r="EW34" s="751">
        <f t="shared" si="29"/>
        <v>46341</v>
      </c>
      <c r="EX34" s="759" t="str">
        <f>IFERROR(IF(AND(AZ34="",AR34&lt;&gt;S.CAL!$BJ$3,AR34&lt;&gt;S.CAL!$BJ$4),FS34-BC34,IF(AZ34&lt;&gt;0,AZ34,IF(OR(AR34=S.CAL!$BJ$3,AR34=S.CAL!$BJ$4),AR34,0))),"")</f>
        <v/>
      </c>
      <c r="EY34" s="753">
        <f t="shared" si="54"/>
        <v>0</v>
      </c>
      <c r="EZ34" s="736">
        <f t="shared" si="55"/>
        <v>0</v>
      </c>
      <c r="FA34" s="759" t="str">
        <f t="shared" si="32"/>
        <v/>
      </c>
      <c r="FB34" s="754" t="str">
        <f t="shared" si="15"/>
        <v/>
      </c>
      <c r="FC34" s="315" t="str">
        <f t="shared" si="56"/>
        <v>non</v>
      </c>
      <c r="FD34" s="760">
        <f t="shared" si="16"/>
        <v>0</v>
      </c>
      <c r="FG34" s="315" t="str">
        <f t="shared" si="57"/>
        <v/>
      </c>
      <c r="FJ34" s="315">
        <f t="shared" si="58"/>
        <v>1</v>
      </c>
      <c r="FK34" s="129">
        <f t="shared" si="17"/>
        <v>10</v>
      </c>
      <c r="FL34" s="129">
        <f t="shared" si="36"/>
        <v>1</v>
      </c>
      <c r="FN34" s="129">
        <f>+IF(AND($DP$8&lt;&gt;52,AR34=S.CAL!$BJ$4),10,1)</f>
        <v>1</v>
      </c>
      <c r="FP34" s="129">
        <f t="shared" si="18"/>
        <v>0</v>
      </c>
      <c r="FS34" s="223" t="str">
        <f t="shared" si="61"/>
        <v/>
      </c>
      <c r="FZ34" s="129">
        <f t="shared" si="38"/>
        <v>46</v>
      </c>
      <c r="GA34" s="129">
        <f t="shared" si="39"/>
        <v>2026</v>
      </c>
      <c r="GB34" s="129" t="str">
        <f t="shared" si="40"/>
        <v>462026</v>
      </c>
      <c r="GC34" s="223">
        <f>IF(AND($GD$53=S.CAL!$P$3,$GD$52=FZ34),GE34,IF(BH34="",0,BH34))</f>
        <v>0</v>
      </c>
      <c r="GD34" s="129" t="str">
        <f>IFERROR(+Décembre!$BY$2&amp;BL34&amp;BM34,0)</f>
        <v>Fiche infoA7</v>
      </c>
      <c r="GE34" s="129" t="str">
        <f t="shared" si="19"/>
        <v/>
      </c>
      <c r="GF34" s="223" t="str">
        <f t="shared" si="41"/>
        <v/>
      </c>
      <c r="GG34" s="1446" t="str">
        <f>+'Retenue Nov'!D32</f>
        <v/>
      </c>
      <c r="GH34" s="1446">
        <f>IF(Identification!$B$132="Non",+'Retenue Nov'!BF32,+'Retenue Nov'!BE32)</f>
        <v>0</v>
      </c>
      <c r="GJ34" s="1507" t="str">
        <f t="shared" si="42"/>
        <v/>
      </c>
      <c r="GK34" s="223" t="str">
        <f t="shared" si="43"/>
        <v/>
      </c>
      <c r="GL34" s="223" t="str">
        <f t="shared" si="44"/>
        <v/>
      </c>
      <c r="GM34" s="1506">
        <f t="shared" si="45"/>
        <v>0</v>
      </c>
      <c r="GO34" s="129">
        <f t="shared" si="20"/>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46342</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f t="shared" si="48"/>
        <v>47</v>
      </c>
      <c r="AQ35" s="322"/>
      <c r="AR35" s="1104"/>
      <c r="AS35" s="314">
        <f t="shared" si="3"/>
        <v>0</v>
      </c>
      <c r="AT35" s="1125"/>
      <c r="AU35" s="1125"/>
      <c r="AV35" s="314"/>
      <c r="AW35" s="1791">
        <f t="shared" si="22"/>
        <v>46342</v>
      </c>
      <c r="AX35" s="1761"/>
      <c r="AY35" s="314"/>
      <c r="AZ35" s="1104"/>
      <c r="BA35" s="973"/>
      <c r="BB35" s="543"/>
      <c r="BC35" s="548">
        <f t="shared" si="23"/>
        <v>0</v>
      </c>
      <c r="BD35" s="1104"/>
      <c r="BE35" s="807">
        <f t="shared" si="24"/>
        <v>0</v>
      </c>
      <c r="BF35" s="1128"/>
      <c r="BG35" s="222"/>
      <c r="BH35" s="548" t="str">
        <f t="shared" si="25"/>
        <v/>
      </c>
      <c r="BI35" s="1128"/>
      <c r="BJ35" s="129" t="str">
        <f t="shared" si="26"/>
        <v>Fiche infoA1</v>
      </c>
      <c r="BK35" s="129">
        <f t="shared" si="49"/>
        <v>47</v>
      </c>
      <c r="BL35" s="129" t="str">
        <f t="shared" si="4"/>
        <v>A</v>
      </c>
      <c r="BM35" s="129">
        <f t="shared" si="50"/>
        <v>1</v>
      </c>
      <c r="BN35" s="223" t="str">
        <f t="shared" si="60"/>
        <v>Fiche info</v>
      </c>
      <c r="BO35" s="314" t="str">
        <f t="shared" si="51"/>
        <v/>
      </c>
      <c r="BP35" s="196" t="str">
        <f t="shared" si="52"/>
        <v/>
      </c>
      <c r="BQ35" s="196"/>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48">
        <f t="shared" si="53"/>
        <v>46342</v>
      </c>
      <c r="ER35" s="749">
        <f t="shared" si="10"/>
        <v>0</v>
      </c>
      <c r="ES35" s="750">
        <f t="shared" si="11"/>
        <v>0</v>
      </c>
      <c r="ET35" s="749">
        <f t="shared" si="12"/>
        <v>0</v>
      </c>
      <c r="EU35" s="750">
        <f t="shared" si="13"/>
        <v>0</v>
      </c>
      <c r="EV35" s="749" t="str">
        <f t="shared" si="14"/>
        <v/>
      </c>
      <c r="EW35" s="751">
        <f t="shared" si="29"/>
        <v>46342</v>
      </c>
      <c r="EX35" s="759" t="str">
        <f>IFERROR(IF(AND(AZ35="",AR35&lt;&gt;S.CAL!$BJ$3,AR35&lt;&gt;S.CAL!$BJ$4),FS35-BC35,IF(AZ35&lt;&gt;0,AZ35,IF(OR(AR35=S.CAL!$BJ$3,AR35=S.CAL!$BJ$4),AR35,0))),"")</f>
        <v/>
      </c>
      <c r="EY35" s="753">
        <f t="shared" si="54"/>
        <v>0</v>
      </c>
      <c r="EZ35" s="736">
        <f t="shared" si="55"/>
        <v>0</v>
      </c>
      <c r="FA35" s="759" t="str">
        <f t="shared" si="32"/>
        <v/>
      </c>
      <c r="FB35" s="754" t="str">
        <f t="shared" si="15"/>
        <v/>
      </c>
      <c r="FC35" s="315" t="str">
        <f t="shared" si="56"/>
        <v>non</v>
      </c>
      <c r="FD35" s="760">
        <f t="shared" si="16"/>
        <v>0</v>
      </c>
      <c r="FG35" s="315" t="str">
        <f t="shared" si="57"/>
        <v/>
      </c>
      <c r="FJ35" s="315">
        <f t="shared" si="58"/>
        <v>1</v>
      </c>
      <c r="FK35" s="129">
        <f t="shared" si="17"/>
        <v>10</v>
      </c>
      <c r="FL35" s="129">
        <f t="shared" si="36"/>
        <v>1</v>
      </c>
      <c r="FN35" s="129">
        <f>+IF(AND($DP$8&lt;&gt;52,AR35=S.CAL!$BJ$4),10,1)</f>
        <v>1</v>
      </c>
      <c r="FP35" s="129">
        <f t="shared" si="18"/>
        <v>0</v>
      </c>
      <c r="FS35" s="223" t="str">
        <f t="shared" si="61"/>
        <v/>
      </c>
      <c r="FZ35" s="129">
        <f t="shared" si="38"/>
        <v>47</v>
      </c>
      <c r="GA35" s="129">
        <f t="shared" si="39"/>
        <v>2026</v>
      </c>
      <c r="GB35" s="129" t="str">
        <f t="shared" si="40"/>
        <v>472026</v>
      </c>
      <c r="GC35" s="223">
        <f>IF(AND($GD$53=S.CAL!$P$3,$GD$52=FZ35),GE35,IF(BH35="",0,BH35))</f>
        <v>0</v>
      </c>
      <c r="GD35" s="129" t="str">
        <f>IFERROR(+Décembre!$BY$2&amp;BL35&amp;BM35,0)</f>
        <v>Fiche infoA1</v>
      </c>
      <c r="GE35" s="129" t="str">
        <f t="shared" si="19"/>
        <v/>
      </c>
      <c r="GF35" s="223" t="str">
        <f t="shared" si="41"/>
        <v/>
      </c>
      <c r="GG35" s="1446" t="str">
        <f>+'Retenue Nov'!D33</f>
        <v/>
      </c>
      <c r="GH35" s="1446">
        <f>IF(Identification!$B$132="Non",+'Retenue Nov'!BF33,+'Retenue Nov'!BE33)</f>
        <v>0</v>
      </c>
      <c r="GJ35" s="1507" t="str">
        <f t="shared" si="42"/>
        <v/>
      </c>
      <c r="GK35" s="223" t="str">
        <f t="shared" si="43"/>
        <v/>
      </c>
      <c r="GL35" s="223" t="str">
        <f t="shared" si="44"/>
        <v/>
      </c>
      <c r="GM35" s="1506">
        <f t="shared" si="45"/>
        <v>0</v>
      </c>
      <c r="GO35" s="129">
        <f t="shared" si="20"/>
        <v>0</v>
      </c>
      <c r="GP35" s="129" t="str">
        <f t="shared" si="46"/>
        <v/>
      </c>
      <c r="GQ35" s="1446" t="str">
        <f t="shared" si="47"/>
        <v/>
      </c>
    </row>
    <row r="36" spans="1:199" x14ac:dyDescent="0.2">
      <c r="X36" s="226"/>
      <c r="Y36" s="226"/>
      <c r="Z36" s="226"/>
      <c r="AA36" s="885" t="str">
        <f>IF(AND(BE36="OUI",$AR$13=S.CAL!$CU$2),"►",IF(AND(EV36="OUI",$AR$13=S.CAL!$CU$3),"►",""))</f>
        <v/>
      </c>
      <c r="AB36" s="1760">
        <f>+$X$3+16</f>
        <v>46343</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2"/>
        <v>46343</v>
      </c>
      <c r="AX36" s="1761"/>
      <c r="AY36" s="314"/>
      <c r="AZ36" s="1104"/>
      <c r="BA36" s="973"/>
      <c r="BB36" s="543"/>
      <c r="BC36" s="548">
        <f t="shared" si="23"/>
        <v>0</v>
      </c>
      <c r="BD36" s="1104"/>
      <c r="BE36" s="807">
        <f t="shared" si="24"/>
        <v>0</v>
      </c>
      <c r="BF36" s="1128"/>
      <c r="BG36" s="222"/>
      <c r="BH36" s="548" t="str">
        <f t="shared" si="25"/>
        <v/>
      </c>
      <c r="BI36" s="1128"/>
      <c r="BJ36" s="129" t="str">
        <f t="shared" si="26"/>
        <v>Fiche infoA2</v>
      </c>
      <c r="BK36" s="129">
        <f t="shared" si="49"/>
        <v>47</v>
      </c>
      <c r="BL36" s="129" t="str">
        <f t="shared" si="4"/>
        <v>A</v>
      </c>
      <c r="BM36" s="129">
        <f t="shared" si="50"/>
        <v>2</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48">
        <f t="shared" si="53"/>
        <v>46343</v>
      </c>
      <c r="ER36" s="749">
        <f t="shared" si="10"/>
        <v>0</v>
      </c>
      <c r="ES36" s="750">
        <f t="shared" si="11"/>
        <v>0</v>
      </c>
      <c r="ET36" s="749">
        <f t="shared" si="12"/>
        <v>0</v>
      </c>
      <c r="EU36" s="750">
        <f t="shared" si="13"/>
        <v>0</v>
      </c>
      <c r="EV36" s="749" t="str">
        <f t="shared" si="14"/>
        <v/>
      </c>
      <c r="EW36" s="751">
        <f t="shared" si="29"/>
        <v>46343</v>
      </c>
      <c r="EX36" s="759" t="str">
        <f>IFERROR(IF(AND(AZ36="",AR36&lt;&gt;S.CAL!$BJ$3,AR36&lt;&gt;S.CAL!$BJ$4),FS36-BC36,IF(AZ36&lt;&gt;0,AZ36,IF(OR(AR36=S.CAL!$BJ$3,AR36=S.CAL!$BJ$4),AR36,0))),"")</f>
        <v/>
      </c>
      <c r="EY36" s="753">
        <f t="shared" si="54"/>
        <v>0</v>
      </c>
      <c r="EZ36" s="736">
        <f t="shared" si="55"/>
        <v>0</v>
      </c>
      <c r="FA36" s="759" t="str">
        <f t="shared" si="32"/>
        <v/>
      </c>
      <c r="FB36" s="754" t="str">
        <f t="shared" si="15"/>
        <v/>
      </c>
      <c r="FC36" s="315" t="str">
        <f t="shared" si="56"/>
        <v>non</v>
      </c>
      <c r="FD36" s="760">
        <f t="shared" si="16"/>
        <v>0</v>
      </c>
      <c r="FG36" s="315" t="str">
        <f t="shared" si="57"/>
        <v/>
      </c>
      <c r="FJ36" s="315">
        <f t="shared" si="58"/>
        <v>1</v>
      </c>
      <c r="FK36" s="129">
        <f t="shared" si="17"/>
        <v>10</v>
      </c>
      <c r="FL36" s="129">
        <f t="shared" si="36"/>
        <v>1</v>
      </c>
      <c r="FN36" s="129">
        <f>+IF(AND($DP$8&lt;&gt;52,AR36=S.CAL!$BJ$4),10,1)</f>
        <v>1</v>
      </c>
      <c r="FP36" s="129">
        <f t="shared" si="18"/>
        <v>0</v>
      </c>
      <c r="FS36" s="223" t="str">
        <f t="shared" si="61"/>
        <v/>
      </c>
      <c r="FZ36" s="129">
        <f t="shared" si="38"/>
        <v>47</v>
      </c>
      <c r="GA36" s="129">
        <f t="shared" si="39"/>
        <v>2026</v>
      </c>
      <c r="GB36" s="129" t="str">
        <f t="shared" si="40"/>
        <v>472026</v>
      </c>
      <c r="GC36" s="223">
        <f>IF(AND($GD$53=S.CAL!$P$3,$GD$52=FZ36),GE36,IF(BH36="",0,BH36))</f>
        <v>0</v>
      </c>
      <c r="GD36" s="129" t="str">
        <f>IFERROR(+Décembre!$BY$2&amp;BL36&amp;BM36,0)</f>
        <v>Fiche infoA2</v>
      </c>
      <c r="GE36" s="129" t="str">
        <f t="shared" si="19"/>
        <v/>
      </c>
      <c r="GF36" s="223" t="str">
        <f t="shared" si="41"/>
        <v/>
      </c>
      <c r="GG36" s="1446" t="str">
        <f>+'Retenue Nov'!D34</f>
        <v/>
      </c>
      <c r="GH36" s="1446">
        <f>IF(Identification!$B$132="Non",+'Retenue Nov'!BF34,+'Retenue Nov'!BE34)</f>
        <v>0</v>
      </c>
      <c r="GJ36" s="1507" t="str">
        <f t="shared" si="42"/>
        <v/>
      </c>
      <c r="GK36" s="223" t="str">
        <f t="shared" si="43"/>
        <v/>
      </c>
      <c r="GL36" s="223" t="str">
        <f t="shared" si="44"/>
        <v/>
      </c>
      <c r="GM36" s="1506">
        <f t="shared" si="45"/>
        <v>0</v>
      </c>
      <c r="GO36" s="129">
        <f t="shared" si="20"/>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46344</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2"/>
        <v>46344</v>
      </c>
      <c r="AX37" s="1761"/>
      <c r="AY37" s="314"/>
      <c r="AZ37" s="1104"/>
      <c r="BA37" s="973"/>
      <c r="BB37" s="543"/>
      <c r="BC37" s="548">
        <f t="shared" si="23"/>
        <v>0</v>
      </c>
      <c r="BD37" s="1104"/>
      <c r="BE37" s="807">
        <f t="shared" si="24"/>
        <v>0</v>
      </c>
      <c r="BF37" s="1128"/>
      <c r="BG37" s="222"/>
      <c r="BH37" s="548" t="str">
        <f t="shared" si="25"/>
        <v/>
      </c>
      <c r="BI37" s="1128"/>
      <c r="BJ37" s="129" t="str">
        <f t="shared" si="26"/>
        <v>Fiche infoA3</v>
      </c>
      <c r="BK37" s="129">
        <f t="shared" si="49"/>
        <v>47</v>
      </c>
      <c r="BL37" s="129" t="str">
        <f t="shared" si="4"/>
        <v>A</v>
      </c>
      <c r="BM37" s="129">
        <f t="shared" si="50"/>
        <v>3</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48">
        <f t="shared" si="53"/>
        <v>46344</v>
      </c>
      <c r="ER37" s="749">
        <f t="shared" si="10"/>
        <v>0</v>
      </c>
      <c r="ES37" s="750">
        <f t="shared" si="11"/>
        <v>0</v>
      </c>
      <c r="ET37" s="749">
        <f t="shared" si="12"/>
        <v>0</v>
      </c>
      <c r="EU37" s="750">
        <f t="shared" si="13"/>
        <v>0</v>
      </c>
      <c r="EV37" s="749" t="str">
        <f t="shared" si="14"/>
        <v/>
      </c>
      <c r="EW37" s="751">
        <f t="shared" si="29"/>
        <v>46344</v>
      </c>
      <c r="EX37" s="759" t="str">
        <f>IFERROR(IF(AND(AZ37="",AR37&lt;&gt;S.CAL!$BJ$3,AR37&lt;&gt;S.CAL!$BJ$4),FS37-BC37,IF(AZ37&lt;&gt;0,AZ37,IF(OR(AR37=S.CAL!$BJ$3,AR37=S.CAL!$BJ$4),AR37,0))),"")</f>
        <v/>
      </c>
      <c r="EY37" s="753">
        <f t="shared" si="54"/>
        <v>0</v>
      </c>
      <c r="EZ37" s="736">
        <f t="shared" si="55"/>
        <v>0</v>
      </c>
      <c r="FA37" s="759" t="str">
        <f t="shared" si="32"/>
        <v/>
      </c>
      <c r="FB37" s="754" t="str">
        <f t="shared" si="15"/>
        <v/>
      </c>
      <c r="FC37" s="315" t="str">
        <f t="shared" si="56"/>
        <v>non</v>
      </c>
      <c r="FD37" s="760">
        <f t="shared" si="16"/>
        <v>0</v>
      </c>
      <c r="FG37" s="315" t="str">
        <f t="shared" si="57"/>
        <v/>
      </c>
      <c r="FJ37" s="315">
        <f t="shared" si="58"/>
        <v>1</v>
      </c>
      <c r="FK37" s="129">
        <f t="shared" si="17"/>
        <v>10</v>
      </c>
      <c r="FL37" s="129">
        <f t="shared" si="36"/>
        <v>1</v>
      </c>
      <c r="FN37" s="129">
        <f>+IF(AND($DP$8&lt;&gt;52,AR37=S.CAL!$BJ$4),10,1)</f>
        <v>1</v>
      </c>
      <c r="FP37" s="129">
        <f t="shared" si="18"/>
        <v>0</v>
      </c>
      <c r="FS37" s="223" t="str">
        <f t="shared" si="61"/>
        <v/>
      </c>
      <c r="FZ37" s="129">
        <f t="shared" si="38"/>
        <v>47</v>
      </c>
      <c r="GA37" s="129">
        <f t="shared" si="39"/>
        <v>2026</v>
      </c>
      <c r="GB37" s="129" t="str">
        <f t="shared" si="40"/>
        <v>472026</v>
      </c>
      <c r="GC37" s="223">
        <f>IF(AND($GD$53=S.CAL!$P$3,$GD$52=FZ37),GE37,IF(BH37="",0,BH37))</f>
        <v>0</v>
      </c>
      <c r="GD37" s="129" t="str">
        <f>IFERROR(+Décembre!$BY$2&amp;BL37&amp;BM37,0)</f>
        <v>Fiche infoA3</v>
      </c>
      <c r="GE37" s="129" t="str">
        <f t="shared" si="19"/>
        <v/>
      </c>
      <c r="GF37" s="223" t="str">
        <f t="shared" si="41"/>
        <v/>
      </c>
      <c r="GG37" s="1446" t="str">
        <f>+'Retenue Nov'!D35</f>
        <v/>
      </c>
      <c r="GH37" s="1446">
        <f>IF(Identification!$B$132="Non",+'Retenue Nov'!BF35,+'Retenue Nov'!BE35)</f>
        <v>0</v>
      </c>
      <c r="GJ37" s="1507" t="str">
        <f t="shared" si="42"/>
        <v/>
      </c>
      <c r="GK37" s="223" t="str">
        <f t="shared" si="43"/>
        <v/>
      </c>
      <c r="GL37" s="223" t="str">
        <f t="shared" si="44"/>
        <v/>
      </c>
      <c r="GM37" s="1506">
        <f t="shared" si="45"/>
        <v>0</v>
      </c>
      <c r="GO37" s="129">
        <f t="shared" si="20"/>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46345</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2"/>
        <v>46345</v>
      </c>
      <c r="AX38" s="1761"/>
      <c r="AY38" s="314"/>
      <c r="AZ38" s="1104"/>
      <c r="BA38" s="973"/>
      <c r="BB38" s="543"/>
      <c r="BC38" s="548">
        <f t="shared" si="23"/>
        <v>0</v>
      </c>
      <c r="BD38" s="1104"/>
      <c r="BE38" s="807">
        <f t="shared" si="24"/>
        <v>0</v>
      </c>
      <c r="BF38" s="1128"/>
      <c r="BG38" s="222"/>
      <c r="BH38" s="548" t="str">
        <f t="shared" si="25"/>
        <v/>
      </c>
      <c r="BI38" s="1128"/>
      <c r="BJ38" s="129" t="str">
        <f t="shared" si="26"/>
        <v>Fiche infoA4</v>
      </c>
      <c r="BK38" s="129">
        <f t="shared" si="49"/>
        <v>47</v>
      </c>
      <c r="BL38" s="129" t="str">
        <f t="shared" si="4"/>
        <v>A</v>
      </c>
      <c r="BM38" s="129">
        <f t="shared" si="50"/>
        <v>4</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48">
        <f t="shared" si="53"/>
        <v>46345</v>
      </c>
      <c r="ER38" s="749">
        <f t="shared" si="10"/>
        <v>0</v>
      </c>
      <c r="ES38" s="750">
        <f t="shared" si="11"/>
        <v>0</v>
      </c>
      <c r="ET38" s="749">
        <f t="shared" si="12"/>
        <v>0</v>
      </c>
      <c r="EU38" s="750">
        <f t="shared" si="13"/>
        <v>0</v>
      </c>
      <c r="EV38" s="749" t="str">
        <f t="shared" si="14"/>
        <v/>
      </c>
      <c r="EW38" s="751">
        <f t="shared" si="29"/>
        <v>46345</v>
      </c>
      <c r="EX38" s="759" t="str">
        <f>IFERROR(IF(AND(AZ38="",AR38&lt;&gt;S.CAL!$BJ$3,AR38&lt;&gt;S.CAL!$BJ$4),FS38-BC38,IF(AZ38&lt;&gt;0,AZ38,IF(OR(AR38=S.CAL!$BJ$3,AR38=S.CAL!$BJ$4),AR38,0))),"")</f>
        <v/>
      </c>
      <c r="EY38" s="753">
        <f t="shared" si="54"/>
        <v>0</v>
      </c>
      <c r="EZ38" s="736">
        <f t="shared" si="55"/>
        <v>0</v>
      </c>
      <c r="FA38" s="759" t="str">
        <f t="shared" si="32"/>
        <v/>
      </c>
      <c r="FB38" s="754" t="str">
        <f t="shared" si="15"/>
        <v/>
      </c>
      <c r="FC38" s="315" t="str">
        <f t="shared" si="56"/>
        <v>non</v>
      </c>
      <c r="FD38" s="760">
        <f t="shared" si="16"/>
        <v>0</v>
      </c>
      <c r="FG38" s="315" t="str">
        <f t="shared" si="57"/>
        <v/>
      </c>
      <c r="FJ38" s="315">
        <f t="shared" si="58"/>
        <v>1</v>
      </c>
      <c r="FK38" s="129">
        <f t="shared" si="17"/>
        <v>10</v>
      </c>
      <c r="FL38" s="129">
        <f t="shared" si="36"/>
        <v>1</v>
      </c>
      <c r="FN38" s="129">
        <f>+IF(AND($DP$8&lt;&gt;52,AR38=S.CAL!$BJ$4),10,1)</f>
        <v>1</v>
      </c>
      <c r="FP38" s="129">
        <f t="shared" si="18"/>
        <v>0</v>
      </c>
      <c r="FS38" s="223" t="str">
        <f t="shared" si="61"/>
        <v/>
      </c>
      <c r="FZ38" s="129">
        <f t="shared" si="38"/>
        <v>47</v>
      </c>
      <c r="GA38" s="129">
        <f t="shared" si="39"/>
        <v>2026</v>
      </c>
      <c r="GB38" s="129" t="str">
        <f t="shared" si="40"/>
        <v>472026</v>
      </c>
      <c r="GC38" s="223">
        <f>IF(AND($GD$53=S.CAL!$P$3,$GD$52=FZ38),GE38,IF(BH38="",0,BH38))</f>
        <v>0</v>
      </c>
      <c r="GD38" s="129" t="str">
        <f>IFERROR(+Décembre!$BY$2&amp;BL38&amp;BM38,0)</f>
        <v>Fiche infoA4</v>
      </c>
      <c r="GE38" s="129" t="str">
        <f t="shared" si="19"/>
        <v/>
      </c>
      <c r="GF38" s="223" t="str">
        <f t="shared" si="41"/>
        <v/>
      </c>
      <c r="GG38" s="1446" t="str">
        <f>+'Retenue Nov'!D36</f>
        <v/>
      </c>
      <c r="GH38" s="1446">
        <f>IF(Identification!$B$132="Non",+'Retenue Nov'!BF36,+'Retenue Nov'!BE36)</f>
        <v>0</v>
      </c>
      <c r="GJ38" s="1507" t="str">
        <f t="shared" si="42"/>
        <v/>
      </c>
      <c r="GK38" s="223" t="str">
        <f t="shared" si="43"/>
        <v/>
      </c>
      <c r="GL38" s="223" t="str">
        <f t="shared" si="44"/>
        <v/>
      </c>
      <c r="GM38" s="1506">
        <f t="shared" si="45"/>
        <v>0</v>
      </c>
      <c r="GO38" s="129">
        <f t="shared" si="20"/>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46346</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2"/>
        <v>46346</v>
      </c>
      <c r="AX39" s="1761"/>
      <c r="AY39" s="314"/>
      <c r="AZ39" s="1104"/>
      <c r="BA39" s="973"/>
      <c r="BB39" s="543"/>
      <c r="BC39" s="548">
        <f t="shared" si="23"/>
        <v>0</v>
      </c>
      <c r="BD39" s="1104"/>
      <c r="BE39" s="807">
        <f t="shared" si="24"/>
        <v>0</v>
      </c>
      <c r="BF39" s="1128"/>
      <c r="BG39" s="222"/>
      <c r="BH39" s="548" t="str">
        <f t="shared" si="25"/>
        <v/>
      </c>
      <c r="BI39" s="1128"/>
      <c r="BJ39" s="129" t="str">
        <f t="shared" si="26"/>
        <v>Fiche infoA5</v>
      </c>
      <c r="BK39" s="129">
        <f t="shared" si="49"/>
        <v>47</v>
      </c>
      <c r="BL39" s="129" t="str">
        <f t="shared" si="4"/>
        <v>A</v>
      </c>
      <c r="BM39" s="129">
        <f t="shared" si="50"/>
        <v>5</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48">
        <f t="shared" si="53"/>
        <v>46346</v>
      </c>
      <c r="ER39" s="749">
        <f t="shared" si="10"/>
        <v>0</v>
      </c>
      <c r="ES39" s="750">
        <f t="shared" si="11"/>
        <v>0</v>
      </c>
      <c r="ET39" s="749">
        <f t="shared" si="12"/>
        <v>0</v>
      </c>
      <c r="EU39" s="750">
        <f t="shared" si="13"/>
        <v>0</v>
      </c>
      <c r="EV39" s="749" t="str">
        <f t="shared" si="14"/>
        <v/>
      </c>
      <c r="EW39" s="751">
        <f t="shared" si="29"/>
        <v>46346</v>
      </c>
      <c r="EX39" s="759" t="str">
        <f>IFERROR(IF(AND(AZ39="",AR39&lt;&gt;S.CAL!$BJ$3,AR39&lt;&gt;S.CAL!$BJ$4),FS39-BC39,IF(AZ39&lt;&gt;0,AZ39,IF(OR(AR39=S.CAL!$BJ$3,AR39=S.CAL!$BJ$4),AR39,0))),"")</f>
        <v/>
      </c>
      <c r="EY39" s="753">
        <f t="shared" si="54"/>
        <v>0</v>
      </c>
      <c r="EZ39" s="736">
        <f t="shared" si="55"/>
        <v>0</v>
      </c>
      <c r="FA39" s="759" t="str">
        <f t="shared" si="32"/>
        <v/>
      </c>
      <c r="FB39" s="754" t="str">
        <f t="shared" si="15"/>
        <v/>
      </c>
      <c r="FC39" s="315" t="str">
        <f t="shared" si="56"/>
        <v>non</v>
      </c>
      <c r="FD39" s="760">
        <f t="shared" si="16"/>
        <v>0</v>
      </c>
      <c r="FG39" s="315" t="str">
        <f t="shared" si="57"/>
        <v/>
      </c>
      <c r="FJ39" s="315">
        <f t="shared" si="58"/>
        <v>1</v>
      </c>
      <c r="FK39" s="129">
        <f t="shared" si="17"/>
        <v>10</v>
      </c>
      <c r="FL39" s="129">
        <f t="shared" si="36"/>
        <v>1</v>
      </c>
      <c r="FN39" s="129">
        <f>+IF(AND($DP$8&lt;&gt;52,AR39=S.CAL!$BJ$4),10,1)</f>
        <v>1</v>
      </c>
      <c r="FP39" s="129">
        <f t="shared" si="18"/>
        <v>0</v>
      </c>
      <c r="FS39" s="223" t="str">
        <f t="shared" si="61"/>
        <v/>
      </c>
      <c r="FZ39" s="129">
        <f t="shared" si="38"/>
        <v>47</v>
      </c>
      <c r="GA39" s="129">
        <f t="shared" si="39"/>
        <v>2026</v>
      </c>
      <c r="GB39" s="129" t="str">
        <f t="shared" si="40"/>
        <v>472026</v>
      </c>
      <c r="GC39" s="223">
        <f>IF(AND($GD$53=S.CAL!$P$3,$GD$52=FZ39),GE39,IF(BH39="",0,BH39))</f>
        <v>0</v>
      </c>
      <c r="GD39" s="129" t="str">
        <f>IFERROR(+Décembre!$BY$2&amp;BL39&amp;BM39,0)</f>
        <v>Fiche infoA5</v>
      </c>
      <c r="GE39" s="129" t="str">
        <f t="shared" si="19"/>
        <v/>
      </c>
      <c r="GF39" s="223" t="str">
        <f t="shared" si="41"/>
        <v/>
      </c>
      <c r="GG39" s="1446" t="str">
        <f>+'Retenue Nov'!D37</f>
        <v/>
      </c>
      <c r="GH39" s="1446">
        <f>IF(Identification!$B$132="Non",+'Retenue Nov'!BF37,+'Retenue Nov'!BE37)</f>
        <v>0</v>
      </c>
      <c r="GJ39" s="1507" t="str">
        <f t="shared" si="42"/>
        <v/>
      </c>
      <c r="GK39" s="223" t="str">
        <f t="shared" si="43"/>
        <v/>
      </c>
      <c r="GL39" s="223" t="str">
        <f t="shared" si="44"/>
        <v/>
      </c>
      <c r="GM39" s="1506">
        <f t="shared" si="45"/>
        <v>0</v>
      </c>
      <c r="GO39" s="129">
        <f t="shared" si="20"/>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46347</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t="str">
        <f t="shared" si="48"/>
        <v/>
      </c>
      <c r="AQ40" s="322"/>
      <c r="AR40" s="1104"/>
      <c r="AS40" s="314">
        <f t="shared" si="3"/>
        <v>0</v>
      </c>
      <c r="AT40" s="1125"/>
      <c r="AU40" s="1125"/>
      <c r="AV40" s="314"/>
      <c r="AW40" s="1791">
        <f t="shared" si="22"/>
        <v>46347</v>
      </c>
      <c r="AX40" s="1761"/>
      <c r="AY40" s="314"/>
      <c r="AZ40" s="1104"/>
      <c r="BA40" s="973"/>
      <c r="BB40" s="543"/>
      <c r="BC40" s="548">
        <f t="shared" si="23"/>
        <v>0</v>
      </c>
      <c r="BD40" s="1104"/>
      <c r="BE40" s="807">
        <f t="shared" si="24"/>
        <v>0</v>
      </c>
      <c r="BF40" s="1128"/>
      <c r="BG40" s="222"/>
      <c r="BH40" s="548" t="str">
        <f t="shared" si="25"/>
        <v/>
      </c>
      <c r="BI40" s="1128"/>
      <c r="BJ40" s="129" t="str">
        <f t="shared" si="26"/>
        <v>Fiche infoA6</v>
      </c>
      <c r="BK40" s="129">
        <f t="shared" si="49"/>
        <v>47</v>
      </c>
      <c r="BL40" s="129" t="str">
        <f t="shared" si="4"/>
        <v>A</v>
      </c>
      <c r="BM40" s="129">
        <f t="shared" si="50"/>
        <v>6</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Nov'!P27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48">
        <f t="shared" si="53"/>
        <v>46347</v>
      </c>
      <c r="ER40" s="749">
        <f t="shared" si="10"/>
        <v>0</v>
      </c>
      <c r="ES40" s="750">
        <f t="shared" si="11"/>
        <v>0</v>
      </c>
      <c r="ET40" s="749">
        <f t="shared" si="12"/>
        <v>0</v>
      </c>
      <c r="EU40" s="750">
        <f t="shared" si="13"/>
        <v>0</v>
      </c>
      <c r="EV40" s="749" t="str">
        <f t="shared" si="14"/>
        <v/>
      </c>
      <c r="EW40" s="751">
        <f t="shared" si="29"/>
        <v>46347</v>
      </c>
      <c r="EX40" s="759" t="str">
        <f>IFERROR(IF(AND(AZ40="",AR40&lt;&gt;S.CAL!$BJ$3,AR40&lt;&gt;S.CAL!$BJ$4),FS40-BC40,IF(AZ40&lt;&gt;0,AZ40,IF(OR(AR40=S.CAL!$BJ$3,AR40=S.CAL!$BJ$4),AR40,0))),"")</f>
        <v/>
      </c>
      <c r="EY40" s="753">
        <f t="shared" si="54"/>
        <v>0</v>
      </c>
      <c r="EZ40" s="736">
        <f t="shared" si="55"/>
        <v>0</v>
      </c>
      <c r="FA40" s="759" t="str">
        <f t="shared" si="32"/>
        <v/>
      </c>
      <c r="FB40" s="754" t="str">
        <f t="shared" si="15"/>
        <v/>
      </c>
      <c r="FC40" s="315" t="str">
        <f t="shared" si="56"/>
        <v>non</v>
      </c>
      <c r="FD40" s="760">
        <f t="shared" si="16"/>
        <v>0</v>
      </c>
      <c r="FG40" s="315" t="str">
        <f t="shared" si="57"/>
        <v/>
      </c>
      <c r="FJ40" s="315">
        <f t="shared" si="58"/>
        <v>1</v>
      </c>
      <c r="FK40" s="129">
        <f t="shared" si="17"/>
        <v>10</v>
      </c>
      <c r="FL40" s="129">
        <f t="shared" si="36"/>
        <v>1</v>
      </c>
      <c r="FN40" s="129">
        <f>+IF(AND($DP$8&lt;&gt;52,AR40=S.CAL!$BJ$4),10,1)</f>
        <v>1</v>
      </c>
      <c r="FP40" s="129">
        <f t="shared" si="18"/>
        <v>0</v>
      </c>
      <c r="FS40" s="223" t="str">
        <f t="shared" si="61"/>
        <v/>
      </c>
      <c r="FZ40" s="129">
        <f t="shared" si="38"/>
        <v>47</v>
      </c>
      <c r="GA40" s="129">
        <f t="shared" si="39"/>
        <v>2026</v>
      </c>
      <c r="GB40" s="129" t="str">
        <f t="shared" si="40"/>
        <v>472026</v>
      </c>
      <c r="GC40" s="223">
        <f>IF(AND($GD$53=S.CAL!$P$3,$GD$52=FZ40),GE40,IF(BH40="",0,BH40))</f>
        <v>0</v>
      </c>
      <c r="GD40" s="129" t="str">
        <f>IFERROR(+Décembre!$BY$2&amp;BL40&amp;BM40,0)</f>
        <v>Fiche infoA6</v>
      </c>
      <c r="GE40" s="129" t="str">
        <f t="shared" si="19"/>
        <v/>
      </c>
      <c r="GF40" s="223" t="str">
        <f t="shared" si="41"/>
        <v/>
      </c>
      <c r="GG40" s="1446" t="str">
        <f>+'Retenue Nov'!D38</f>
        <v/>
      </c>
      <c r="GH40" s="1446">
        <f>IF(Identification!$B$132="Non",+'Retenue Nov'!BF38,+'Retenue Nov'!BE38)</f>
        <v>0</v>
      </c>
      <c r="GJ40" s="1507" t="str">
        <f t="shared" si="42"/>
        <v/>
      </c>
      <c r="GK40" s="223" t="str">
        <f t="shared" si="43"/>
        <v/>
      </c>
      <c r="GL40" s="223" t="str">
        <f t="shared" si="44"/>
        <v/>
      </c>
      <c r="GM40" s="1506">
        <f t="shared" si="45"/>
        <v>0</v>
      </c>
      <c r="GO40" s="129">
        <f t="shared" si="20"/>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46348</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2"/>
        <v>46348</v>
      </c>
      <c r="AX41" s="1761"/>
      <c r="AY41" s="314"/>
      <c r="AZ41" s="1104"/>
      <c r="BA41" s="973"/>
      <c r="BB41" s="543"/>
      <c r="BC41" s="548">
        <f t="shared" si="23"/>
        <v>0</v>
      </c>
      <c r="BD41" s="1104"/>
      <c r="BE41" s="807">
        <f t="shared" si="24"/>
        <v>0</v>
      </c>
      <c r="BF41" s="1128"/>
      <c r="BG41" s="222"/>
      <c r="BH41" s="548" t="str">
        <f t="shared" si="25"/>
        <v/>
      </c>
      <c r="BI41" s="1128"/>
      <c r="BJ41" s="129" t="str">
        <f t="shared" si="26"/>
        <v>Fiche infoA7</v>
      </c>
      <c r="BK41" s="129">
        <f t="shared" si="49"/>
        <v>47</v>
      </c>
      <c r="BL41" s="129" t="str">
        <f t="shared" si="4"/>
        <v>A</v>
      </c>
      <c r="BM41" s="129">
        <f t="shared" si="50"/>
        <v>7</v>
      </c>
      <c r="BN41" s="223" t="str">
        <f t="shared" si="60"/>
        <v>Fiche info</v>
      </c>
      <c r="BO41" s="314" t="str">
        <f t="shared" si="51"/>
        <v/>
      </c>
      <c r="BP41" s="196" t="str">
        <f t="shared" si="52"/>
        <v/>
      </c>
      <c r="BQ41" s="1948" t="s">
        <v>1047</v>
      </c>
      <c r="BR41" s="1948"/>
      <c r="BS41" s="1948"/>
      <c r="BT41" s="1948"/>
      <c r="BU41" s="1948"/>
      <c r="BV41" s="1948"/>
      <c r="BW41" s="583" t="str">
        <f>+IF(BX41="",Octobre!BW41,BX41)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48">
        <f t="shared" si="53"/>
        <v>46348</v>
      </c>
      <c r="ER41" s="749">
        <f t="shared" si="10"/>
        <v>0</v>
      </c>
      <c r="ES41" s="750">
        <f t="shared" si="11"/>
        <v>0</v>
      </c>
      <c r="ET41" s="749">
        <f t="shared" si="12"/>
        <v>0</v>
      </c>
      <c r="EU41" s="750">
        <f t="shared" si="13"/>
        <v>0</v>
      </c>
      <c r="EV41" s="749" t="str">
        <f t="shared" si="14"/>
        <v/>
      </c>
      <c r="EW41" s="751">
        <f t="shared" si="29"/>
        <v>46348</v>
      </c>
      <c r="EX41" s="759" t="str">
        <f>IFERROR(IF(AND(AZ41="",AR41&lt;&gt;S.CAL!$BJ$3,AR41&lt;&gt;S.CAL!$BJ$4),FS41-BC41,IF(AZ41&lt;&gt;0,AZ41,IF(OR(AR41=S.CAL!$BJ$3,AR41=S.CAL!$BJ$4),AR41,0))),"")</f>
        <v/>
      </c>
      <c r="EY41" s="753">
        <f t="shared" si="54"/>
        <v>0</v>
      </c>
      <c r="EZ41" s="736">
        <f t="shared" si="55"/>
        <v>0</v>
      </c>
      <c r="FA41" s="759" t="str">
        <f t="shared" si="32"/>
        <v/>
      </c>
      <c r="FB41" s="754" t="str">
        <f t="shared" si="15"/>
        <v/>
      </c>
      <c r="FC41" s="315" t="str">
        <f t="shared" si="56"/>
        <v>non</v>
      </c>
      <c r="FD41" s="760">
        <f t="shared" si="16"/>
        <v>0</v>
      </c>
      <c r="FG41" s="315" t="str">
        <f t="shared" si="57"/>
        <v/>
      </c>
      <c r="FJ41" s="315">
        <f t="shared" si="58"/>
        <v>1</v>
      </c>
      <c r="FK41" s="129">
        <f t="shared" si="17"/>
        <v>10</v>
      </c>
      <c r="FL41" s="129">
        <f t="shared" si="36"/>
        <v>1</v>
      </c>
      <c r="FN41" s="129">
        <f>+IF(AND($DP$8&lt;&gt;52,AR41=S.CAL!$BJ$4),10,1)</f>
        <v>1</v>
      </c>
      <c r="FP41" s="129">
        <f t="shared" si="18"/>
        <v>0</v>
      </c>
      <c r="FS41" s="223" t="str">
        <f t="shared" si="61"/>
        <v/>
      </c>
      <c r="FZ41" s="129">
        <f t="shared" si="38"/>
        <v>47</v>
      </c>
      <c r="GA41" s="129">
        <f t="shared" si="39"/>
        <v>2026</v>
      </c>
      <c r="GB41" s="129" t="str">
        <f t="shared" si="40"/>
        <v>472026</v>
      </c>
      <c r="GC41" s="223">
        <f>IF(AND($GD$53=S.CAL!$P$3,$GD$52=FZ41),GE41,IF(BH41="",0,BH41))</f>
        <v>0</v>
      </c>
      <c r="GD41" s="129" t="str">
        <f>IFERROR(+Décembre!$BY$2&amp;BL41&amp;BM41,0)</f>
        <v>Fiche infoA7</v>
      </c>
      <c r="GE41" s="129" t="str">
        <f t="shared" si="19"/>
        <v/>
      </c>
      <c r="GF41" s="223" t="str">
        <f t="shared" si="41"/>
        <v/>
      </c>
      <c r="GG41" s="1446" t="str">
        <f>+'Retenue Nov'!D39</f>
        <v/>
      </c>
      <c r="GH41" s="1446">
        <f>IF(Identification!$B$132="Non",+'Retenue Nov'!BF39,+'Retenue Nov'!BE39)</f>
        <v>0</v>
      </c>
      <c r="GJ41" s="1507" t="str">
        <f t="shared" si="42"/>
        <v/>
      </c>
      <c r="GK41" s="223" t="str">
        <f t="shared" si="43"/>
        <v/>
      </c>
      <c r="GL41" s="223" t="str">
        <f t="shared" si="44"/>
        <v/>
      </c>
      <c r="GM41" s="1506">
        <f t="shared" si="45"/>
        <v>0</v>
      </c>
      <c r="GO41" s="129">
        <f t="shared" si="20"/>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46349</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f t="shared" si="48"/>
        <v>48</v>
      </c>
      <c r="AQ42" s="322"/>
      <c r="AR42" s="1104"/>
      <c r="AS42" s="314">
        <f t="shared" si="3"/>
        <v>0</v>
      </c>
      <c r="AT42" s="1125"/>
      <c r="AU42" s="1125"/>
      <c r="AV42" s="314"/>
      <c r="AW42" s="1791">
        <f t="shared" si="22"/>
        <v>46349</v>
      </c>
      <c r="AX42" s="1761"/>
      <c r="AY42" s="314"/>
      <c r="AZ42" s="1104"/>
      <c r="BA42" s="973"/>
      <c r="BB42" s="543"/>
      <c r="BC42" s="548">
        <f t="shared" si="23"/>
        <v>0</v>
      </c>
      <c r="BD42" s="1104"/>
      <c r="BE42" s="807">
        <f t="shared" si="24"/>
        <v>0</v>
      </c>
      <c r="BF42" s="1128"/>
      <c r="BG42" s="222"/>
      <c r="BH42" s="548" t="str">
        <f t="shared" si="25"/>
        <v/>
      </c>
      <c r="BI42" s="1128"/>
      <c r="BJ42" s="129" t="str">
        <f t="shared" si="26"/>
        <v>Fiche infoA1</v>
      </c>
      <c r="BK42" s="129">
        <f t="shared" si="49"/>
        <v>48</v>
      </c>
      <c r="BL42" s="129" t="str">
        <f t="shared" si="4"/>
        <v>A</v>
      </c>
      <c r="BM42" s="129">
        <f t="shared" si="50"/>
        <v>1</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48">
        <f t="shared" si="53"/>
        <v>46349</v>
      </c>
      <c r="ER42" s="749">
        <f t="shared" si="10"/>
        <v>0</v>
      </c>
      <c r="ES42" s="750">
        <f t="shared" si="11"/>
        <v>0</v>
      </c>
      <c r="ET42" s="749">
        <f t="shared" si="12"/>
        <v>0</v>
      </c>
      <c r="EU42" s="750">
        <f t="shared" si="13"/>
        <v>0</v>
      </c>
      <c r="EV42" s="749" t="str">
        <f t="shared" si="14"/>
        <v/>
      </c>
      <c r="EW42" s="751">
        <f t="shared" si="29"/>
        <v>46349</v>
      </c>
      <c r="EX42" s="759" t="str">
        <f>IFERROR(IF(AND(AZ42="",AR42&lt;&gt;S.CAL!$BJ$3,AR42&lt;&gt;S.CAL!$BJ$4),FS42-BC42,IF(AZ42&lt;&gt;0,AZ42,IF(OR(AR42=S.CAL!$BJ$3,AR42=S.CAL!$BJ$4),AR42,0))),"")</f>
        <v/>
      </c>
      <c r="EY42" s="753">
        <f t="shared" si="54"/>
        <v>0</v>
      </c>
      <c r="EZ42" s="736">
        <f t="shared" si="55"/>
        <v>0</v>
      </c>
      <c r="FA42" s="759" t="str">
        <f t="shared" si="32"/>
        <v/>
      </c>
      <c r="FB42" s="754" t="str">
        <f t="shared" si="15"/>
        <v/>
      </c>
      <c r="FC42" s="315" t="str">
        <f t="shared" si="56"/>
        <v>non</v>
      </c>
      <c r="FD42" s="760">
        <f t="shared" si="16"/>
        <v>0</v>
      </c>
      <c r="FG42" s="315" t="str">
        <f t="shared" si="57"/>
        <v/>
      </c>
      <c r="FJ42" s="315">
        <f t="shared" si="58"/>
        <v>1</v>
      </c>
      <c r="FK42" s="129">
        <f t="shared" si="17"/>
        <v>10</v>
      </c>
      <c r="FL42" s="129">
        <f t="shared" si="36"/>
        <v>1</v>
      </c>
      <c r="FN42" s="129">
        <f>+IF(AND($DP$8&lt;&gt;52,AR42=S.CAL!$BJ$4),10,1)</f>
        <v>1</v>
      </c>
      <c r="FP42" s="129">
        <f t="shared" si="18"/>
        <v>0</v>
      </c>
      <c r="FS42" s="223" t="str">
        <f t="shared" si="61"/>
        <v/>
      </c>
      <c r="FZ42" s="129">
        <f t="shared" si="38"/>
        <v>48</v>
      </c>
      <c r="GA42" s="129">
        <f t="shared" si="39"/>
        <v>2026</v>
      </c>
      <c r="GB42" s="129" t="str">
        <f t="shared" si="40"/>
        <v>482026</v>
      </c>
      <c r="GC42" s="223">
        <f>IF(AND($GD$53=S.CAL!$P$3,$GD$52=FZ42),GE42,IF(BH42="",0,BH42))</f>
        <v>0</v>
      </c>
      <c r="GD42" s="129" t="str">
        <f>IFERROR(+Décembre!$BY$2&amp;BL42&amp;BM42,0)</f>
        <v>Fiche infoA1</v>
      </c>
      <c r="GE42" s="129" t="str">
        <f t="shared" si="19"/>
        <v/>
      </c>
      <c r="GF42" s="223" t="str">
        <f t="shared" si="41"/>
        <v/>
      </c>
      <c r="GG42" s="1446" t="str">
        <f>+'Retenue Nov'!D40</f>
        <v/>
      </c>
      <c r="GH42" s="1446">
        <f>IF(Identification!$B$132="Non",+'Retenue Nov'!BF40,+'Retenue Nov'!BE40)</f>
        <v>0</v>
      </c>
      <c r="GJ42" s="1507" t="str">
        <f t="shared" si="42"/>
        <v/>
      </c>
      <c r="GK42" s="223" t="str">
        <f t="shared" si="43"/>
        <v/>
      </c>
      <c r="GL42" s="223" t="str">
        <f t="shared" si="44"/>
        <v/>
      </c>
      <c r="GM42" s="1506">
        <f t="shared" si="45"/>
        <v>0</v>
      </c>
      <c r="GO42" s="129">
        <f t="shared" si="20"/>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46350</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2"/>
        <v>46350</v>
      </c>
      <c r="AX43" s="1761"/>
      <c r="AY43" s="314"/>
      <c r="AZ43" s="1104"/>
      <c r="BA43" s="973"/>
      <c r="BB43" s="543"/>
      <c r="BC43" s="548">
        <f t="shared" si="23"/>
        <v>0</v>
      </c>
      <c r="BD43" s="1104"/>
      <c r="BE43" s="807">
        <f t="shared" si="24"/>
        <v>0</v>
      </c>
      <c r="BF43" s="1128"/>
      <c r="BG43" s="222"/>
      <c r="BH43" s="548" t="str">
        <f t="shared" si="25"/>
        <v/>
      </c>
      <c r="BI43" s="1128"/>
      <c r="BJ43" s="129" t="str">
        <f t="shared" si="26"/>
        <v>Fiche infoA2</v>
      </c>
      <c r="BK43" s="129">
        <f t="shared" si="49"/>
        <v>48</v>
      </c>
      <c r="BL43" s="129" t="str">
        <f t="shared" si="4"/>
        <v>A</v>
      </c>
      <c r="BM43" s="129">
        <f t="shared" si="50"/>
        <v>2</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48">
        <f t="shared" si="53"/>
        <v>46350</v>
      </c>
      <c r="ER43" s="749">
        <f t="shared" si="10"/>
        <v>0</v>
      </c>
      <c r="ES43" s="750">
        <f t="shared" si="11"/>
        <v>0</v>
      </c>
      <c r="ET43" s="749">
        <f t="shared" si="12"/>
        <v>0</v>
      </c>
      <c r="EU43" s="750">
        <f t="shared" si="13"/>
        <v>0</v>
      </c>
      <c r="EV43" s="749" t="str">
        <f t="shared" si="14"/>
        <v/>
      </c>
      <c r="EW43" s="751">
        <f t="shared" si="29"/>
        <v>46350</v>
      </c>
      <c r="EX43" s="759" t="str">
        <f>IFERROR(IF(AND(AZ43="",AR43&lt;&gt;S.CAL!$BJ$3,AR43&lt;&gt;S.CAL!$BJ$4),FS43-BC43,IF(AZ43&lt;&gt;0,AZ43,IF(OR(AR43=S.CAL!$BJ$3,AR43=S.CAL!$BJ$4),AR43,0))),"")</f>
        <v/>
      </c>
      <c r="EY43" s="753">
        <f t="shared" si="54"/>
        <v>0</v>
      </c>
      <c r="EZ43" s="736">
        <f t="shared" si="55"/>
        <v>0</v>
      </c>
      <c r="FA43" s="759" t="str">
        <f t="shared" si="32"/>
        <v/>
      </c>
      <c r="FB43" s="754" t="str">
        <f t="shared" si="15"/>
        <v/>
      </c>
      <c r="FC43" s="315" t="str">
        <f t="shared" si="56"/>
        <v>non</v>
      </c>
      <c r="FD43" s="760">
        <f t="shared" si="16"/>
        <v>0</v>
      </c>
      <c r="FG43" s="315" t="str">
        <f t="shared" si="57"/>
        <v/>
      </c>
      <c r="FJ43" s="315">
        <f t="shared" si="58"/>
        <v>1</v>
      </c>
      <c r="FK43" s="129">
        <f t="shared" si="17"/>
        <v>10</v>
      </c>
      <c r="FL43" s="129">
        <f t="shared" si="36"/>
        <v>1</v>
      </c>
      <c r="FN43" s="129">
        <f>+IF(AND($DP$8&lt;&gt;52,AR43=S.CAL!$BJ$4),10,1)</f>
        <v>1</v>
      </c>
      <c r="FP43" s="129">
        <f t="shared" si="18"/>
        <v>0</v>
      </c>
      <c r="FS43" s="223" t="str">
        <f t="shared" si="61"/>
        <v/>
      </c>
      <c r="FZ43" s="129">
        <f t="shared" si="38"/>
        <v>48</v>
      </c>
      <c r="GA43" s="129">
        <f t="shared" si="39"/>
        <v>2026</v>
      </c>
      <c r="GB43" s="129" t="str">
        <f t="shared" si="40"/>
        <v>482026</v>
      </c>
      <c r="GC43" s="223">
        <f>IF(AND($GD$53=S.CAL!$P$3,$GD$52=FZ43),GE43,IF(BH43="",0,BH43))</f>
        <v>0</v>
      </c>
      <c r="GD43" s="129" t="str">
        <f>IFERROR(+Décembre!$BY$2&amp;BL43&amp;BM43,0)</f>
        <v>Fiche infoA2</v>
      </c>
      <c r="GE43" s="129" t="str">
        <f t="shared" si="19"/>
        <v/>
      </c>
      <c r="GF43" s="223" t="str">
        <f t="shared" si="41"/>
        <v/>
      </c>
      <c r="GG43" s="1446" t="str">
        <f>+'Retenue Nov'!D41</f>
        <v/>
      </c>
      <c r="GH43" s="1446">
        <f>IF(Identification!$B$132="Non",+'Retenue Nov'!BF41,+'Retenue Nov'!BE41)</f>
        <v>0</v>
      </c>
      <c r="GJ43" s="1507" t="str">
        <f t="shared" si="42"/>
        <v/>
      </c>
      <c r="GK43" s="223" t="str">
        <f t="shared" si="43"/>
        <v/>
      </c>
      <c r="GL43" s="223" t="str">
        <f t="shared" si="44"/>
        <v/>
      </c>
      <c r="GM43" s="1506">
        <f t="shared" si="45"/>
        <v>0</v>
      </c>
      <c r="GO43" s="129">
        <f t="shared" si="20"/>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46351</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2"/>
        <v>46351</v>
      </c>
      <c r="AX44" s="1761"/>
      <c r="AY44" s="314"/>
      <c r="AZ44" s="1104"/>
      <c r="BA44" s="973"/>
      <c r="BB44" s="543"/>
      <c r="BC44" s="548">
        <f t="shared" si="23"/>
        <v>0</v>
      </c>
      <c r="BD44" s="1104"/>
      <c r="BE44" s="807">
        <f t="shared" si="24"/>
        <v>0</v>
      </c>
      <c r="BF44" s="1128"/>
      <c r="BG44" s="222"/>
      <c r="BH44" s="548" t="str">
        <f t="shared" si="25"/>
        <v/>
      </c>
      <c r="BI44" s="1128"/>
      <c r="BJ44" s="129" t="str">
        <f t="shared" si="26"/>
        <v>Fiche infoA3</v>
      </c>
      <c r="BK44" s="129">
        <f t="shared" si="49"/>
        <v>48</v>
      </c>
      <c r="BL44" s="129" t="str">
        <f t="shared" si="4"/>
        <v>A</v>
      </c>
      <c r="BM44" s="129">
        <f t="shared" si="50"/>
        <v>3</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+IF(CC45="",Octobre!CC44,CC45)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48">
        <f t="shared" si="53"/>
        <v>46351</v>
      </c>
      <c r="ER44" s="749">
        <f t="shared" si="10"/>
        <v>0</v>
      </c>
      <c r="ES44" s="750">
        <f t="shared" si="11"/>
        <v>0</v>
      </c>
      <c r="ET44" s="749">
        <f t="shared" si="12"/>
        <v>0</v>
      </c>
      <c r="EU44" s="750">
        <f t="shared" si="13"/>
        <v>0</v>
      </c>
      <c r="EV44" s="749" t="str">
        <f t="shared" si="14"/>
        <v/>
      </c>
      <c r="EW44" s="751">
        <f t="shared" si="29"/>
        <v>46351</v>
      </c>
      <c r="EX44" s="759" t="str">
        <f>IFERROR(IF(AND(AZ44="",AR44&lt;&gt;S.CAL!$BJ$3,AR44&lt;&gt;S.CAL!$BJ$4),FS44-BC44,IF(AZ44&lt;&gt;0,AZ44,IF(OR(AR44=S.CAL!$BJ$3,AR44=S.CAL!$BJ$4),AR44,0))),"")</f>
        <v/>
      </c>
      <c r="EY44" s="753">
        <f t="shared" si="54"/>
        <v>0</v>
      </c>
      <c r="EZ44" s="736">
        <f t="shared" si="55"/>
        <v>0</v>
      </c>
      <c r="FA44" s="759" t="str">
        <f t="shared" si="32"/>
        <v/>
      </c>
      <c r="FB44" s="754" t="str">
        <f t="shared" si="15"/>
        <v/>
      </c>
      <c r="FC44" s="315" t="str">
        <f t="shared" si="56"/>
        <v>non</v>
      </c>
      <c r="FD44" s="760">
        <f t="shared" si="16"/>
        <v>0</v>
      </c>
      <c r="FG44" s="315" t="str">
        <f t="shared" si="57"/>
        <v/>
      </c>
      <c r="FJ44" s="315">
        <f t="shared" si="58"/>
        <v>1</v>
      </c>
      <c r="FK44" s="129">
        <f t="shared" si="17"/>
        <v>10</v>
      </c>
      <c r="FL44" s="129">
        <f t="shared" si="36"/>
        <v>1</v>
      </c>
      <c r="FN44" s="129">
        <f>+IF(AND($DP$8&lt;&gt;52,AR44=S.CAL!$BJ$4),10,1)</f>
        <v>1</v>
      </c>
      <c r="FP44" s="129">
        <f t="shared" si="18"/>
        <v>0</v>
      </c>
      <c r="FS44" s="223" t="str">
        <f t="shared" si="61"/>
        <v/>
      </c>
      <c r="FZ44" s="129">
        <f t="shared" si="38"/>
        <v>48</v>
      </c>
      <c r="GA44" s="129">
        <f t="shared" si="39"/>
        <v>2026</v>
      </c>
      <c r="GB44" s="129" t="str">
        <f t="shared" si="40"/>
        <v>482026</v>
      </c>
      <c r="GC44" s="223">
        <f>IF(AND($GD$53=S.CAL!$P$3,$GD$52=FZ44),GE44,IF(BH44="",0,BH44))</f>
        <v>0</v>
      </c>
      <c r="GD44" s="129" t="str">
        <f>IFERROR(+Décembre!$BY$2&amp;BL44&amp;BM44,0)</f>
        <v>Fiche infoA3</v>
      </c>
      <c r="GE44" s="129" t="str">
        <f t="shared" si="19"/>
        <v/>
      </c>
      <c r="GF44" s="223" t="str">
        <f t="shared" si="41"/>
        <v/>
      </c>
      <c r="GG44" s="1446" t="str">
        <f>+'Retenue Nov'!D42</f>
        <v/>
      </c>
      <c r="GH44" s="1446">
        <f>IF(Identification!$B$132="Non",+'Retenue Nov'!BF42,+'Retenue Nov'!BE42)</f>
        <v>0</v>
      </c>
      <c r="GJ44" s="1507" t="str">
        <f t="shared" si="42"/>
        <v/>
      </c>
      <c r="GK44" s="223" t="str">
        <f t="shared" si="43"/>
        <v/>
      </c>
      <c r="GL44" s="223" t="str">
        <f t="shared" si="44"/>
        <v/>
      </c>
      <c r="GM44" s="1506">
        <f t="shared" si="45"/>
        <v>0</v>
      </c>
      <c r="GO44" s="129">
        <f t="shared" si="20"/>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46352</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2"/>
        <v>46352</v>
      </c>
      <c r="AX45" s="1761"/>
      <c r="AY45" s="314"/>
      <c r="AZ45" s="1104"/>
      <c r="BA45" s="973"/>
      <c r="BB45" s="543"/>
      <c r="BC45" s="548">
        <f t="shared" si="23"/>
        <v>0</v>
      </c>
      <c r="BD45" s="1104"/>
      <c r="BE45" s="807">
        <f t="shared" si="24"/>
        <v>0</v>
      </c>
      <c r="BF45" s="1128"/>
      <c r="BG45" s="222"/>
      <c r="BH45" s="548" t="str">
        <f t="shared" si="25"/>
        <v/>
      </c>
      <c r="BI45" s="1128"/>
      <c r="BJ45" s="129" t="str">
        <f t="shared" si="26"/>
        <v>Fiche infoA4</v>
      </c>
      <c r="BK45" s="129">
        <f t="shared" si="49"/>
        <v>48</v>
      </c>
      <c r="BL45" s="129" t="str">
        <f t="shared" si="4"/>
        <v>A</v>
      </c>
      <c r="BM45" s="129">
        <f t="shared" si="50"/>
        <v>4</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48">
        <f t="shared" si="53"/>
        <v>46352</v>
      </c>
      <c r="ER45" s="749">
        <f t="shared" si="10"/>
        <v>0</v>
      </c>
      <c r="ES45" s="750">
        <f t="shared" si="11"/>
        <v>0</v>
      </c>
      <c r="ET45" s="749">
        <f t="shared" si="12"/>
        <v>0</v>
      </c>
      <c r="EU45" s="750">
        <f t="shared" si="13"/>
        <v>0</v>
      </c>
      <c r="EV45" s="749" t="str">
        <f t="shared" si="14"/>
        <v/>
      </c>
      <c r="EW45" s="751">
        <f t="shared" si="29"/>
        <v>46352</v>
      </c>
      <c r="EX45" s="759" t="str">
        <f>IFERROR(IF(AND(AZ45="",AR45&lt;&gt;S.CAL!$BJ$3,AR45&lt;&gt;S.CAL!$BJ$4),FS45-BC45,IF(AZ45&lt;&gt;0,AZ45,IF(OR(AR45=S.CAL!$BJ$3,AR45=S.CAL!$BJ$4),AR45,0))),"")</f>
        <v/>
      </c>
      <c r="EY45" s="753">
        <f t="shared" si="54"/>
        <v>0</v>
      </c>
      <c r="EZ45" s="736">
        <f t="shared" si="55"/>
        <v>0</v>
      </c>
      <c r="FA45" s="759" t="str">
        <f t="shared" si="32"/>
        <v/>
      </c>
      <c r="FB45" s="754" t="str">
        <f t="shared" si="15"/>
        <v/>
      </c>
      <c r="FC45" s="315" t="str">
        <f t="shared" si="56"/>
        <v>non</v>
      </c>
      <c r="FD45" s="760">
        <f t="shared" si="16"/>
        <v>0</v>
      </c>
      <c r="FG45" s="315" t="str">
        <f t="shared" si="57"/>
        <v/>
      </c>
      <c r="FJ45" s="315">
        <f t="shared" si="58"/>
        <v>1</v>
      </c>
      <c r="FK45" s="129">
        <f t="shared" si="17"/>
        <v>10</v>
      </c>
      <c r="FL45" s="129">
        <f t="shared" si="36"/>
        <v>1</v>
      </c>
      <c r="FN45" s="129">
        <f>+IF(AND($DP$8&lt;&gt;52,AR45=S.CAL!$BJ$4),10,1)</f>
        <v>1</v>
      </c>
      <c r="FP45" s="129">
        <f t="shared" si="18"/>
        <v>0</v>
      </c>
      <c r="FS45" s="223" t="str">
        <f t="shared" si="61"/>
        <v/>
      </c>
      <c r="FZ45" s="129">
        <f t="shared" si="38"/>
        <v>48</v>
      </c>
      <c r="GA45" s="129">
        <f t="shared" si="39"/>
        <v>2026</v>
      </c>
      <c r="GB45" s="129" t="str">
        <f t="shared" si="40"/>
        <v>482026</v>
      </c>
      <c r="GC45" s="223">
        <f>IF(AND($GD$53=S.CAL!$P$3,$GD$52=FZ45),GE45,IF(BH45="",0,BH45))</f>
        <v>0</v>
      </c>
      <c r="GD45" s="129" t="str">
        <f>IFERROR(+Décembre!$BY$2&amp;BL45&amp;BM45,0)</f>
        <v>Fiche infoA4</v>
      </c>
      <c r="GE45" s="129" t="str">
        <f t="shared" si="19"/>
        <v/>
      </c>
      <c r="GF45" s="223" t="str">
        <f t="shared" si="41"/>
        <v/>
      </c>
      <c r="GG45" s="1446" t="str">
        <f>+'Retenue Nov'!D43</f>
        <v/>
      </c>
      <c r="GH45" s="1446">
        <f>IF(Identification!$B$132="Non",+'Retenue Nov'!BF43,+'Retenue Nov'!BE43)</f>
        <v>0</v>
      </c>
      <c r="GJ45" s="1507" t="str">
        <f t="shared" si="42"/>
        <v/>
      </c>
      <c r="GK45" s="223" t="str">
        <f t="shared" si="43"/>
        <v/>
      </c>
      <c r="GL45" s="223" t="str">
        <f t="shared" si="44"/>
        <v/>
      </c>
      <c r="GM45" s="1506">
        <f t="shared" si="45"/>
        <v>0</v>
      </c>
      <c r="GO45" s="129">
        <f t="shared" si="20"/>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46353</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2"/>
        <v>46353</v>
      </c>
      <c r="AX46" s="1761"/>
      <c r="AY46" s="314"/>
      <c r="AZ46" s="1104"/>
      <c r="BA46" s="973"/>
      <c r="BB46" s="543"/>
      <c r="BC46" s="548">
        <f t="shared" si="23"/>
        <v>0</v>
      </c>
      <c r="BD46" s="1104"/>
      <c r="BE46" s="807">
        <f t="shared" si="24"/>
        <v>0</v>
      </c>
      <c r="BF46" s="1128"/>
      <c r="BG46" s="222"/>
      <c r="BH46" s="548" t="str">
        <f t="shared" si="25"/>
        <v/>
      </c>
      <c r="BI46" s="1128"/>
      <c r="BJ46" s="129" t="str">
        <f t="shared" si="26"/>
        <v>Fiche infoA5</v>
      </c>
      <c r="BK46" s="129">
        <f t="shared" si="49"/>
        <v>48</v>
      </c>
      <c r="BL46" s="129" t="str">
        <f t="shared" si="4"/>
        <v>A</v>
      </c>
      <c r="BM46" s="129">
        <f t="shared" si="50"/>
        <v>5</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48">
        <f t="shared" si="53"/>
        <v>46353</v>
      </c>
      <c r="ER46" s="749">
        <f t="shared" si="10"/>
        <v>0</v>
      </c>
      <c r="ES46" s="750">
        <f t="shared" si="11"/>
        <v>0</v>
      </c>
      <c r="ET46" s="749">
        <f t="shared" si="12"/>
        <v>0</v>
      </c>
      <c r="EU46" s="750">
        <f t="shared" si="13"/>
        <v>0</v>
      </c>
      <c r="EV46" s="749" t="str">
        <f t="shared" si="14"/>
        <v/>
      </c>
      <c r="EW46" s="751">
        <f t="shared" si="29"/>
        <v>46353</v>
      </c>
      <c r="EX46" s="759" t="str">
        <f>IFERROR(IF(AND(AZ46="",AR46&lt;&gt;S.CAL!$BJ$3,AR46&lt;&gt;S.CAL!$BJ$4),FS46-BC46,IF(AZ46&lt;&gt;0,AZ46,IF(OR(AR46=S.CAL!$BJ$3,AR46=S.CAL!$BJ$4),AR46,0))),"")</f>
        <v/>
      </c>
      <c r="EY46" s="753">
        <f t="shared" si="54"/>
        <v>0</v>
      </c>
      <c r="EZ46" s="736">
        <f t="shared" si="55"/>
        <v>0</v>
      </c>
      <c r="FA46" s="759" t="str">
        <f t="shared" si="32"/>
        <v/>
      </c>
      <c r="FB46" s="754" t="str">
        <f t="shared" si="15"/>
        <v/>
      </c>
      <c r="FC46" s="315" t="str">
        <f t="shared" si="56"/>
        <v>non</v>
      </c>
      <c r="FD46" s="760">
        <f t="shared" si="16"/>
        <v>0</v>
      </c>
      <c r="FG46" s="315" t="str">
        <f t="shared" si="57"/>
        <v/>
      </c>
      <c r="FJ46" s="315">
        <f t="shared" si="58"/>
        <v>1</v>
      </c>
      <c r="FK46" s="129">
        <f t="shared" si="17"/>
        <v>10</v>
      </c>
      <c r="FL46" s="129">
        <f t="shared" si="36"/>
        <v>1</v>
      </c>
      <c r="FN46" s="129">
        <f>+IF(AND($DP$8&lt;&gt;52,AR46=S.CAL!$BJ$4),10,1)</f>
        <v>1</v>
      </c>
      <c r="FP46" s="129">
        <f t="shared" si="18"/>
        <v>0</v>
      </c>
      <c r="FS46" s="223" t="str">
        <f t="shared" si="61"/>
        <v/>
      </c>
      <c r="FZ46" s="129">
        <f t="shared" si="38"/>
        <v>48</v>
      </c>
      <c r="GA46" s="129">
        <f t="shared" si="39"/>
        <v>2026</v>
      </c>
      <c r="GB46" s="129" t="str">
        <f t="shared" si="40"/>
        <v>482026</v>
      </c>
      <c r="GC46" s="223">
        <f>IF(AND($GD$53=S.CAL!$P$3,$GD$52=FZ46),GE46,IF(BH46="",0,BH46))</f>
        <v>0</v>
      </c>
      <c r="GD46" s="129" t="str">
        <f>IFERROR(+Décembre!$BY$2&amp;BL46&amp;BM46,0)</f>
        <v>Fiche infoA5</v>
      </c>
      <c r="GE46" s="129" t="str">
        <f t="shared" si="19"/>
        <v/>
      </c>
      <c r="GF46" s="223" t="str">
        <f t="shared" si="41"/>
        <v/>
      </c>
      <c r="GG46" s="1446" t="str">
        <f>+'Retenue Nov'!D44</f>
        <v/>
      </c>
      <c r="GH46" s="1446">
        <f>IF(Identification!$B$132="Non",+'Retenue Nov'!BF44,+'Retenue Nov'!BE44)</f>
        <v>0</v>
      </c>
      <c r="GJ46" s="1507" t="str">
        <f t="shared" si="42"/>
        <v/>
      </c>
      <c r="GK46" s="223" t="str">
        <f t="shared" si="43"/>
        <v/>
      </c>
      <c r="GL46" s="223" t="str">
        <f t="shared" si="44"/>
        <v/>
      </c>
      <c r="GM46" s="1506">
        <f t="shared" si="45"/>
        <v>0</v>
      </c>
      <c r="GO46" s="129">
        <f t="shared" si="20"/>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46354</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t="str">
        <f t="shared" si="48"/>
        <v/>
      </c>
      <c r="AQ47" s="322"/>
      <c r="AR47" s="1104"/>
      <c r="AS47" s="314">
        <f t="shared" si="3"/>
        <v>0</v>
      </c>
      <c r="AT47" s="1125"/>
      <c r="AU47" s="1125"/>
      <c r="AV47" s="314"/>
      <c r="AW47" s="1791">
        <f t="shared" si="22"/>
        <v>46354</v>
      </c>
      <c r="AX47" s="1761"/>
      <c r="AY47" s="314"/>
      <c r="AZ47" s="1104"/>
      <c r="BA47" s="973"/>
      <c r="BB47" s="543"/>
      <c r="BC47" s="548">
        <f t="shared" si="23"/>
        <v>0</v>
      </c>
      <c r="BD47" s="1104"/>
      <c r="BE47" s="807">
        <f t="shared" si="24"/>
        <v>0</v>
      </c>
      <c r="BF47" s="1128"/>
      <c r="BG47" s="222"/>
      <c r="BH47" s="548" t="str">
        <f t="shared" si="25"/>
        <v/>
      </c>
      <c r="BI47" s="1128"/>
      <c r="BJ47" s="129" t="str">
        <f t="shared" si="26"/>
        <v>Fiche infoA6</v>
      </c>
      <c r="BK47" s="129">
        <f t="shared" si="49"/>
        <v>48</v>
      </c>
      <c r="BL47" s="129" t="str">
        <f t="shared" si="4"/>
        <v>A</v>
      </c>
      <c r="BM47" s="129">
        <f t="shared" si="50"/>
        <v>6</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IF(CF47="",Octobre!CE47,CF47)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48">
        <f t="shared" si="53"/>
        <v>46354</v>
      </c>
      <c r="ER47" s="749">
        <f t="shared" si="10"/>
        <v>0</v>
      </c>
      <c r="ES47" s="750">
        <f t="shared" si="11"/>
        <v>0</v>
      </c>
      <c r="ET47" s="749">
        <f t="shared" si="12"/>
        <v>0</v>
      </c>
      <c r="EU47" s="750">
        <f t="shared" si="13"/>
        <v>0</v>
      </c>
      <c r="EV47" s="749" t="str">
        <f t="shared" si="14"/>
        <v/>
      </c>
      <c r="EW47" s="751">
        <f t="shared" si="29"/>
        <v>46354</v>
      </c>
      <c r="EX47" s="759" t="str">
        <f>IFERROR(IF(AND(AZ47="",AR47&lt;&gt;S.CAL!$BJ$3,AR47&lt;&gt;S.CAL!$BJ$4),FS47-BC47,IF(AZ47&lt;&gt;0,AZ47,IF(OR(AR47=S.CAL!$BJ$3,AR47=S.CAL!$BJ$4),AR47,0))),"")</f>
        <v/>
      </c>
      <c r="EY47" s="753">
        <f t="shared" si="54"/>
        <v>0</v>
      </c>
      <c r="EZ47" s="736">
        <f t="shared" si="55"/>
        <v>0</v>
      </c>
      <c r="FA47" s="759" t="str">
        <f t="shared" si="32"/>
        <v/>
      </c>
      <c r="FB47" s="754" t="str">
        <f t="shared" si="15"/>
        <v/>
      </c>
      <c r="FC47" s="315" t="str">
        <f t="shared" si="56"/>
        <v>non</v>
      </c>
      <c r="FD47" s="760">
        <f t="shared" si="16"/>
        <v>0</v>
      </c>
      <c r="FG47" s="315" t="str">
        <f t="shared" si="57"/>
        <v/>
      </c>
      <c r="FJ47" s="315">
        <f t="shared" si="58"/>
        <v>1</v>
      </c>
      <c r="FK47" s="129">
        <f t="shared" si="17"/>
        <v>10</v>
      </c>
      <c r="FL47" s="129">
        <f t="shared" si="36"/>
        <v>1</v>
      </c>
      <c r="FN47" s="129">
        <f>+IF(AND($DP$8&lt;&gt;52,AR47=S.CAL!$BJ$4),10,1)</f>
        <v>1</v>
      </c>
      <c r="FP47" s="129">
        <f t="shared" si="18"/>
        <v>0</v>
      </c>
      <c r="FS47" s="223" t="str">
        <f t="shared" si="61"/>
        <v/>
      </c>
      <c r="FZ47" s="129">
        <f t="shared" si="38"/>
        <v>48</v>
      </c>
      <c r="GA47" s="129">
        <f t="shared" si="39"/>
        <v>2026</v>
      </c>
      <c r="GB47" s="129" t="str">
        <f t="shared" si="40"/>
        <v>482026</v>
      </c>
      <c r="GC47" s="223">
        <f>IF(AND($GD$53=S.CAL!$P$3,$GD$52=FZ47),GE47,IF(BH47="",0,BH47))</f>
        <v>0</v>
      </c>
      <c r="GD47" s="129" t="str">
        <f>IFERROR(+Décembre!$BY$2&amp;BL47&amp;BM47,0)</f>
        <v>Fiche infoA6</v>
      </c>
      <c r="GE47" s="129" t="str">
        <f t="shared" si="19"/>
        <v/>
      </c>
      <c r="GF47" s="223" t="str">
        <f t="shared" si="41"/>
        <v/>
      </c>
      <c r="GG47" s="1446" t="str">
        <f>+'Retenue Nov'!D45</f>
        <v/>
      </c>
      <c r="GH47" s="1446">
        <f>IF(Identification!$B$132="Non",+'Retenue Nov'!BF45,+'Retenue Nov'!BE45)</f>
        <v>0</v>
      </c>
      <c r="GJ47" s="1507" t="str">
        <f t="shared" si="42"/>
        <v/>
      </c>
      <c r="GK47" s="223" t="str">
        <f t="shared" si="43"/>
        <v/>
      </c>
      <c r="GL47" s="223" t="str">
        <f t="shared" si="44"/>
        <v/>
      </c>
      <c r="GM47" s="1506">
        <f t="shared" si="45"/>
        <v>0</v>
      </c>
      <c r="GO47" s="129">
        <f t="shared" si="20"/>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46355</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2"/>
        <v>46355</v>
      </c>
      <c r="AX48" s="1761"/>
      <c r="AY48" s="314"/>
      <c r="AZ48" s="1104"/>
      <c r="BA48" s="973"/>
      <c r="BB48" s="543"/>
      <c r="BC48" s="548">
        <f t="shared" si="23"/>
        <v>0</v>
      </c>
      <c r="BD48" s="1104"/>
      <c r="BE48" s="807">
        <f t="shared" si="24"/>
        <v>0</v>
      </c>
      <c r="BF48" s="1128"/>
      <c r="BG48" s="222"/>
      <c r="BH48" s="548" t="str">
        <f t="shared" si="25"/>
        <v/>
      </c>
      <c r="BI48" s="1128"/>
      <c r="BJ48" s="129" t="str">
        <f>IFERROR(+BN48&amp;BL48&amp;BM48,0)</f>
        <v>Fiche infoA7</v>
      </c>
      <c r="BK48" s="129">
        <f t="shared" si="49"/>
        <v>48</v>
      </c>
      <c r="BL48" s="129" t="str">
        <f t="shared" si="4"/>
        <v>A</v>
      </c>
      <c r="BM48" s="129">
        <f>IFERROR(WEEKDAY(AB48,2),0)</f>
        <v>7</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48">
        <f t="shared" si="53"/>
        <v>46355</v>
      </c>
      <c r="ER48" s="749">
        <f t="shared" si="10"/>
        <v>0</v>
      </c>
      <c r="ES48" s="750">
        <f t="shared" si="11"/>
        <v>0</v>
      </c>
      <c r="ET48" s="749">
        <f t="shared" si="12"/>
        <v>0</v>
      </c>
      <c r="EU48" s="750">
        <f t="shared" si="13"/>
        <v>0</v>
      </c>
      <c r="EV48" s="749" t="str">
        <f t="shared" si="14"/>
        <v/>
      </c>
      <c r="EW48" s="751">
        <f t="shared" si="29"/>
        <v>46355</v>
      </c>
      <c r="EX48" s="759" t="str">
        <f>IFERROR(IF(AND(AZ48="",AR48&lt;&gt;S.CAL!$BJ$3,AR48&lt;&gt;S.CAL!$BJ$4),FS48-BC48,IF(AZ48&lt;&gt;0,AZ48,IF(OR(AR48=S.CAL!$BJ$3,AR48=S.CAL!$BJ$4),AR48,0))),"")</f>
        <v/>
      </c>
      <c r="EY48" s="753">
        <f t="shared" si="54"/>
        <v>0</v>
      </c>
      <c r="EZ48" s="736">
        <f t="shared" si="55"/>
        <v>0</v>
      </c>
      <c r="FA48" s="759" t="str">
        <f t="shared" si="32"/>
        <v/>
      </c>
      <c r="FB48" s="754" t="str">
        <f t="shared" si="15"/>
        <v/>
      </c>
      <c r="FC48" s="315" t="str">
        <f t="shared" si="56"/>
        <v>non</v>
      </c>
      <c r="FD48" s="760">
        <f t="shared" si="16"/>
        <v>0</v>
      </c>
      <c r="FG48" s="315" t="str">
        <f t="shared" si="57"/>
        <v/>
      </c>
      <c r="FJ48" s="315">
        <f t="shared" si="58"/>
        <v>1</v>
      </c>
      <c r="FK48" s="129">
        <f t="shared" si="17"/>
        <v>10</v>
      </c>
      <c r="FL48" s="129">
        <f t="shared" si="36"/>
        <v>1</v>
      </c>
      <c r="FN48" s="129">
        <f>+IF(AND($DP$8&lt;&gt;52,AR48=S.CAL!$BJ$4),10,1)</f>
        <v>1</v>
      </c>
      <c r="FP48" s="129">
        <f t="shared" si="18"/>
        <v>0</v>
      </c>
      <c r="FS48" s="223" t="str">
        <f t="shared" si="61"/>
        <v/>
      </c>
      <c r="FZ48" s="129">
        <f t="shared" si="38"/>
        <v>48</v>
      </c>
      <c r="GA48" s="129">
        <f t="shared" si="39"/>
        <v>2026</v>
      </c>
      <c r="GB48" s="129" t="str">
        <f t="shared" si="40"/>
        <v>482026</v>
      </c>
      <c r="GC48" s="223">
        <f>IF(AND($GD$53=S.CAL!$P$3,$GD$52=FZ48),GE48,IF(BH48="",0,BH48))</f>
        <v>0</v>
      </c>
      <c r="GD48" s="129" t="str">
        <f>IFERROR(+Décembre!$BY$2&amp;BL48&amp;BM48,0)</f>
        <v>Fiche infoA7</v>
      </c>
      <c r="GE48" s="129" t="str">
        <f t="shared" si="19"/>
        <v/>
      </c>
      <c r="GF48" s="223" t="str">
        <f t="shared" si="41"/>
        <v/>
      </c>
      <c r="GG48" s="1446" t="str">
        <f>+'Retenue Nov'!D46</f>
        <v/>
      </c>
      <c r="GH48" s="1446">
        <f>IF(Identification!$B$132="Non",+'Retenue Nov'!BF46,+'Retenue Nov'!BE46)</f>
        <v>0</v>
      </c>
      <c r="GJ48" s="1507" t="str">
        <f t="shared" si="42"/>
        <v/>
      </c>
      <c r="GK48" s="223" t="str">
        <f t="shared" si="43"/>
        <v/>
      </c>
      <c r="GL48" s="223" t="str">
        <f t="shared" si="44"/>
        <v/>
      </c>
      <c r="GM48" s="1506">
        <f t="shared" si="45"/>
        <v>0</v>
      </c>
      <c r="GO48" s="129">
        <f t="shared" si="20"/>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46356</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f t="shared" si="48"/>
        <v>49</v>
      </c>
      <c r="AQ49" s="322"/>
      <c r="AR49" s="1104"/>
      <c r="AS49" s="314">
        <f t="shared" si="3"/>
        <v>0</v>
      </c>
      <c r="AT49" s="1125"/>
      <c r="AU49" s="1125"/>
      <c r="AV49" s="314"/>
      <c r="AW49" s="1791">
        <f t="shared" si="22"/>
        <v>46356</v>
      </c>
      <c r="AX49" s="1761"/>
      <c r="AY49" s="314"/>
      <c r="AZ49" s="1104"/>
      <c r="BA49" s="973"/>
      <c r="BB49" s="543"/>
      <c r="BC49" s="548">
        <f t="shared" si="23"/>
        <v>0</v>
      </c>
      <c r="BD49" s="1104"/>
      <c r="BE49" s="807">
        <f t="shared" si="24"/>
        <v>0</v>
      </c>
      <c r="BF49" s="1128"/>
      <c r="BG49" s="222"/>
      <c r="BH49" s="548" t="str">
        <f t="shared" si="25"/>
        <v/>
      </c>
      <c r="BI49" s="1128"/>
      <c r="BJ49" s="129" t="str">
        <f t="shared" ref="BJ49:BJ50" si="66">IFERROR(+BN49&amp;BL49&amp;BM49,0)</f>
        <v>Fiche infoA1</v>
      </c>
      <c r="BK49" s="129">
        <f t="shared" si="49"/>
        <v>49</v>
      </c>
      <c r="BL49" s="129" t="str">
        <f t="shared" si="4"/>
        <v>A</v>
      </c>
      <c r="BM49" s="129">
        <f>IFERROR(WEEKDAY(AB49,2),0)</f>
        <v>1</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IF(CF49="",Octobre!CE49,CF49)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48">
        <f t="shared" si="53"/>
        <v>46356</v>
      </c>
      <c r="ER49" s="749">
        <f t="shared" si="10"/>
        <v>0</v>
      </c>
      <c r="ES49" s="750">
        <f t="shared" si="11"/>
        <v>0</v>
      </c>
      <c r="ET49" s="749">
        <f t="shared" si="12"/>
        <v>0</v>
      </c>
      <c r="EU49" s="750">
        <f t="shared" si="13"/>
        <v>0</v>
      </c>
      <c r="EV49" s="749" t="str">
        <f t="shared" si="14"/>
        <v/>
      </c>
      <c r="EW49" s="751">
        <f t="shared" si="29"/>
        <v>46356</v>
      </c>
      <c r="EX49" s="759" t="str">
        <f>IFERROR(IF(AND(AZ49="",AR49&lt;&gt;S.CAL!$BJ$3,AR49&lt;&gt;S.CAL!$BJ$4),FS49-BC49,IF(AZ49&lt;&gt;0,AZ49,IF(OR(AR49=S.CAL!$BJ$3,AR49=S.CAL!$BJ$4),AR49,0))),"")</f>
        <v/>
      </c>
      <c r="EY49" s="753">
        <f t="shared" si="54"/>
        <v>0</v>
      </c>
      <c r="EZ49" s="736">
        <f t="shared" si="55"/>
        <v>0</v>
      </c>
      <c r="FA49" s="759" t="str">
        <f t="shared" si="32"/>
        <v/>
      </c>
      <c r="FB49" s="754" t="str">
        <f t="shared" si="15"/>
        <v/>
      </c>
      <c r="FC49" s="315" t="str">
        <f t="shared" si="56"/>
        <v>non</v>
      </c>
      <c r="FD49" s="760">
        <f t="shared" si="16"/>
        <v>0</v>
      </c>
      <c r="FG49" s="315" t="str">
        <f t="shared" si="57"/>
        <v/>
      </c>
      <c r="FJ49" s="315">
        <f t="shared" si="58"/>
        <v>1</v>
      </c>
      <c r="FK49" s="129">
        <f t="shared" si="17"/>
        <v>10</v>
      </c>
      <c r="FL49" s="129">
        <f t="shared" si="36"/>
        <v>1</v>
      </c>
      <c r="FN49" s="129">
        <f>+IF(AND($DP$8&lt;&gt;52,AR49=S.CAL!$BJ$4),10,1)</f>
        <v>1</v>
      </c>
      <c r="FP49" s="129">
        <f t="shared" si="18"/>
        <v>0</v>
      </c>
      <c r="FS49" s="223" t="str">
        <f t="shared" si="61"/>
        <v/>
      </c>
      <c r="FZ49" s="129">
        <f t="shared" si="38"/>
        <v>49</v>
      </c>
      <c r="GA49" s="129">
        <f t="shared" si="39"/>
        <v>2026</v>
      </c>
      <c r="GB49" s="129" t="str">
        <f t="shared" ref="GB49:GB50" si="67">+FZ49&amp;GA49</f>
        <v>492026</v>
      </c>
      <c r="GC49" s="223">
        <f>IF(AND($GD$53=S.CAL!$P$3,$GD$52=FZ49),GE49,IF(BH49="",0,BH49))</f>
        <v>0</v>
      </c>
      <c r="GD49" s="129" t="str">
        <f>IFERROR(+Décembre!$BY$2&amp;BL49&amp;BM49,0)</f>
        <v>Fiche infoA1</v>
      </c>
      <c r="GE49" s="129" t="str">
        <f t="shared" si="19"/>
        <v/>
      </c>
      <c r="GF49" s="223" t="str">
        <f t="shared" ref="GF49:GF50" si="68">IF(FP49=1,GG49,AM49)</f>
        <v/>
      </c>
      <c r="GG49" s="1446" t="str">
        <f>+'Retenue Nov'!D47</f>
        <v/>
      </c>
      <c r="GH49" s="1446">
        <f>IF(Identification!$B$132="Non",+'Retenue Nov'!BF47,+'Retenue Nov'!BE47)</f>
        <v>0</v>
      </c>
      <c r="GJ49" s="1507" t="str">
        <f t="shared" si="42"/>
        <v/>
      </c>
      <c r="GK49" s="223" t="str">
        <f t="shared" si="43"/>
        <v/>
      </c>
      <c r="GL49" s="223" t="str">
        <f t="shared" si="44"/>
        <v/>
      </c>
      <c r="GM49" s="1506">
        <f t="shared" si="45"/>
        <v>0</v>
      </c>
      <c r="GO49" s="129">
        <f t="shared" si="20"/>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69">ROUND(U50*R50,2)</f>
        <v>0</v>
      </c>
      <c r="Y50" s="2347"/>
      <c r="Z50" s="2347"/>
      <c r="AA50" s="885" t="str">
        <f>IF(AND(BE50="OUI",$AR$13=S.CAL!$CU$2),"►",IF(AND(EV50="OUI",$AR$13=S.CAL!$CU$3),"►",""))</f>
        <v/>
      </c>
      <c r="AB50" s="1760" t="str">
        <f>IF(AB20+30&lt;DATE(YEAR(AB20),MONTH(AB20)+1,DAY(AB20)),AB20+30,"")</f>
        <v/>
      </c>
      <c r="AC50" s="1761"/>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t="str">
        <f t="shared" si="22"/>
        <v/>
      </c>
      <c r="AX50" s="2027"/>
      <c r="AY50" s="314"/>
      <c r="AZ50" s="1105"/>
      <c r="BA50" s="974"/>
      <c r="BB50" s="543"/>
      <c r="BC50" s="546">
        <f t="shared" si="23"/>
        <v>0</v>
      </c>
      <c r="BD50" s="1105"/>
      <c r="BE50" s="808">
        <f t="shared" si="24"/>
        <v>0</v>
      </c>
      <c r="BF50" s="1129"/>
      <c r="BG50" s="222"/>
      <c r="BH50" s="546" t="str">
        <f t="shared" si="25"/>
        <v/>
      </c>
      <c r="BI50" s="1129"/>
      <c r="BJ50" s="129" t="str">
        <f t="shared" si="66"/>
        <v>Fiche infoA0</v>
      </c>
      <c r="BK50" s="129" t="str">
        <f t="shared" si="49"/>
        <v/>
      </c>
      <c r="BL50" s="129" t="str">
        <f t="shared" si="4"/>
        <v>A</v>
      </c>
      <c r="BM50" s="129">
        <f>IFERROR(WEEKDAY(AB50,2),0)</f>
        <v>0</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68" t="str">
        <f t="shared" si="53"/>
        <v/>
      </c>
      <c r="ER50" s="769">
        <f t="shared" si="10"/>
        <v>0</v>
      </c>
      <c r="ES50" s="770">
        <f t="shared" si="11"/>
        <v>0</v>
      </c>
      <c r="ET50" s="769">
        <f t="shared" si="12"/>
        <v>0</v>
      </c>
      <c r="EU50" s="770">
        <f t="shared" si="13"/>
        <v>0</v>
      </c>
      <c r="EV50" s="769" t="str">
        <f t="shared" si="14"/>
        <v/>
      </c>
      <c r="EW50" s="771" t="str">
        <f t="shared" si="29"/>
        <v/>
      </c>
      <c r="EX50" s="772" t="str">
        <f>IFERROR(IF(AND(AZ50="",AR50&lt;&gt;S.CAL!$BJ$3,AR50&lt;&gt;S.CAL!$BJ$4),FS50-BC50,IF(AZ50&lt;&gt;0,AZ50,IF(OR(AR50=S.CAL!$BJ$3,AR50=S.CAL!$BJ$4),AR50,0))),"")</f>
        <v/>
      </c>
      <c r="EY50" s="772">
        <f t="shared" si="54"/>
        <v>0</v>
      </c>
      <c r="EZ50" s="773">
        <f t="shared" si="55"/>
        <v>0</v>
      </c>
      <c r="FA50" s="772" t="str">
        <f t="shared" si="32"/>
        <v/>
      </c>
      <c r="FB50" s="774" t="str">
        <f t="shared" si="15"/>
        <v/>
      </c>
      <c r="FC50" s="315" t="str">
        <f t="shared" si="56"/>
        <v/>
      </c>
      <c r="FD50" s="775">
        <f t="shared" si="16"/>
        <v>0</v>
      </c>
      <c r="FG50" s="315" t="str">
        <f t="shared" si="57"/>
        <v/>
      </c>
      <c r="FJ50" s="315">
        <f t="shared" si="58"/>
        <v>1</v>
      </c>
      <c r="FK50" s="129">
        <f t="shared" si="17"/>
        <v>10</v>
      </c>
      <c r="FL50" s="129">
        <f t="shared" si="36"/>
        <v>1</v>
      </c>
      <c r="FN50" s="129">
        <f>+IF(AND($DP$8&lt;&gt;52,AR50=S.CAL!$BJ$4),10,1)</f>
        <v>1</v>
      </c>
      <c r="FP50" s="129">
        <f t="shared" si="18"/>
        <v>0</v>
      </c>
      <c r="FS50" s="223" t="str">
        <f t="shared" si="61"/>
        <v/>
      </c>
      <c r="GA50" s="129">
        <f t="shared" si="39"/>
        <v>2026</v>
      </c>
      <c r="GB50" s="129" t="str">
        <f t="shared" si="67"/>
        <v>2026</v>
      </c>
      <c r="GC50" s="223">
        <f>IF(AND($GD$53=S.CAL!$P$3,$GD$52=FZ50),GE50,IF(BH50="",0,BH50))</f>
        <v>0</v>
      </c>
      <c r="GD50" s="129" t="str">
        <f>IFERROR(+Décembre!$BY$2&amp;BL50&amp;BM50,0)</f>
        <v>Fiche infoA0</v>
      </c>
      <c r="GE50" s="129" t="str">
        <f t="shared" si="19"/>
        <v/>
      </c>
      <c r="GF50" s="223" t="str">
        <f t="shared" si="68"/>
        <v/>
      </c>
      <c r="GG50" s="1446" t="str">
        <f>+'Retenue Nov'!D48</f>
        <v/>
      </c>
      <c r="GH50" s="1446">
        <f>IF(Identification!$B$132="Non",+'Retenue Nov'!BF48,+'Retenue Nov'!BE48)</f>
        <v>0</v>
      </c>
      <c r="GJ50" s="1507" t="str">
        <f t="shared" si="42"/>
        <v/>
      </c>
      <c r="GK50" s="223" t="str">
        <f t="shared" si="43"/>
        <v/>
      </c>
      <c r="GL50" s="223" t="str">
        <f t="shared" si="44"/>
        <v/>
      </c>
      <c r="GM50" s="1506">
        <f t="shared" si="45"/>
        <v>0</v>
      </c>
      <c r="GO50" s="129">
        <f t="shared" si="20"/>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0">SUM(DV20:DV50)</f>
        <v>0</v>
      </c>
      <c r="DW51" s="1348">
        <f t="shared" si="70"/>
        <v>0</v>
      </c>
      <c r="DX51" s="747">
        <f>SUM(DX20:DX50)</f>
        <v>0</v>
      </c>
      <c r="DY51" s="747">
        <f>SUM(DY20:DY50)</f>
        <v>0</v>
      </c>
      <c r="DZ51" s="747"/>
      <c r="EA51" s="747">
        <f>SUM(EA20:EA50)</f>
        <v>0</v>
      </c>
      <c r="EB51" s="747">
        <f>SUM(EB20:EB50)</f>
        <v>0</v>
      </c>
      <c r="EC51" s="747"/>
      <c r="ED51" s="747"/>
      <c r="EE51" s="747"/>
      <c r="ER51" s="750"/>
      <c r="ES51" s="750"/>
      <c r="ET51" s="750"/>
      <c r="EU51" s="750"/>
      <c r="EV51" s="750"/>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1">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R52" s="750"/>
      <c r="ES52" s="750"/>
      <c r="ET52" s="750"/>
      <c r="EU52" s="750"/>
      <c r="EV52" s="750"/>
      <c r="GD52" s="129">
        <f>+MAX(FZ20:FZ50)</f>
        <v>49</v>
      </c>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IF(CF53="",+Octobre!CE53,CF53)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R53" s="750"/>
      <c r="ES53" s="750"/>
      <c r="ET53" s="750"/>
      <c r="EU53" s="750"/>
      <c r="EV53" s="750"/>
      <c r="GD53" s="129" t="str">
        <f>+BY2</f>
        <v>Fiche info</v>
      </c>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IF(CF54="",Octobre!CE54,CF54)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R54" s="750"/>
      <c r="ES54" s="750"/>
      <c r="ET54" s="750"/>
      <c r="EU54" s="750"/>
      <c r="EV54" s="750"/>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IF(CF55&gt;0,CF55,IF(AND(CE53=Octobre!CE53,CE54=Octobre!CE54),Octobre!CE55,IF(OR(CE53&lt;&gt;Octobre!CE53,CE54&lt;&gt;Octobre!CE54),CE53/CE54)))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R55" s="750"/>
      <c r="ES55" s="750"/>
      <c r="ET55" s="750"/>
      <c r="EU55" s="750"/>
      <c r="EV55" s="750"/>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2">ROUND(U56*R56,2)</f>
        <v>0</v>
      </c>
      <c r="Y56" s="2347"/>
      <c r="Z56" s="2347"/>
      <c r="AA56" s="229"/>
      <c r="AB56" s="1776" t="s">
        <v>1208</v>
      </c>
      <c r="AC56" s="1776"/>
      <c r="AD56" s="1776"/>
      <c r="AE56" s="1776"/>
      <c r="AF56" s="1776"/>
      <c r="AG56" s="1776"/>
      <c r="AH56" s="1776"/>
      <c r="AI56" s="1776"/>
      <c r="AJ56" s="1776"/>
      <c r="AK56" s="1776"/>
      <c r="AL56" s="1776"/>
      <c r="AM56" s="1924">
        <f>'Retenue Nov'!E52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+IF(BY57="",Octobre!BY56,BY57)</f>
        <v>24</v>
      </c>
      <c r="BZ56" s="611" t="s">
        <v>1049</v>
      </c>
      <c r="CA56" s="614">
        <f>+IF(CA57="",Octobre!CA56,CA57)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2"/>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IF(CF57="",+Octobre!CE57,CF57)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IF(CF58="",Octobre!CE58,CF58)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+IF(CA61="",Octobre!CA60,CA61)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3">+IF(FG59=0,"",FG59)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3"/>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3"/>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+IF(BA65="",Octobre!K67,BA65)</f>
        <v>0</v>
      </c>
      <c r="L67" s="1894"/>
      <c r="M67" s="1894"/>
      <c r="N67" s="1869">
        <f>ROUND(K67*H67,2)</f>
        <v>0</v>
      </c>
      <c r="O67" s="1869"/>
      <c r="P67" s="1869"/>
      <c r="Q67" s="236"/>
      <c r="R67" s="1839" t="str">
        <f t="shared" si="73"/>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+IF(BA68="",Octobre!K68,BA68)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E74+Octobre!H74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E75+Octobre!H75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Nov'!EH51=0,"",'Retenue Nov'!EH51),AX76)</f>
        <v/>
      </c>
      <c r="AZ75" s="1772"/>
      <c r="BA75" s="918" t="str">
        <f>+IF(BA76="",IF('Retenue Nov'!EF51=0,"",'Retenue Nov'!EF51),BA76)</f>
        <v/>
      </c>
      <c r="BB75" s="919"/>
      <c r="BC75" s="920" t="str">
        <f>IF(BC76="",IF(+'Retenue Nov'!EG51=0,"",'Retenue Nov'!EG51),BC76)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Nov'!E50&amp;" hrs / "&amp;'Retenue Nov'!D50&amp;"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E76+Octobre!H76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+E77+Octobre!H77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IF(AR78="",+Octobre!AL78,AR78)</f>
        <v>0</v>
      </c>
      <c r="AM78" s="2299"/>
      <c r="AN78" s="2299"/>
      <c r="AO78" s="2299"/>
      <c r="AQ78" s="420" t="s">
        <v>750</v>
      </c>
      <c r="AR78" s="2344"/>
      <c r="AS78" s="2344"/>
      <c r="AT78" s="2058" t="str">
        <f>IFERROR(VLOOKUP(AY78,'Liste des Libellés'!$A$4:$F$32,6,FALSE),"")</f>
        <v/>
      </c>
      <c r="AU78" s="2058"/>
      <c r="AV78" s="2058"/>
      <c r="AW78" s="2058"/>
      <c r="AX78" s="917"/>
      <c r="AY78" s="1772" t="str">
        <f>+IF(AX79="",IF('Retenue Nov'!EH53=0,"",'Retenue Nov'!EH53),AX79)</f>
        <v/>
      </c>
      <c r="AZ78" s="1772"/>
      <c r="BA78" s="918" t="str">
        <f>+IF(BA79="",IF('Retenue Nov'!EF53=0,"",'Retenue Nov'!EF53),BA79)</f>
        <v/>
      </c>
      <c r="BB78" s="919"/>
      <c r="BC78" s="920" t="str">
        <f>IF(BC79="",IF(+'Retenue Nov'!EG53=0,"",'Retenue Nov'!EG53),BC79)</f>
        <v/>
      </c>
      <c r="BD78" s="952"/>
      <c r="BE78" s="129"/>
      <c r="BF78" s="129"/>
      <c r="BG78" s="129"/>
      <c r="BH78" s="129"/>
      <c r="BI78" s="129"/>
      <c r="CA78" s="649" t="s">
        <v>1077</v>
      </c>
      <c r="CB78" s="1615"/>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9" t="s">
        <v>1077</v>
      </c>
      <c r="CB79" s="243"/>
    </row>
    <row r="80" spans="1:83" ht="15.75" customHeight="1" x14ac:dyDescent="0.2">
      <c r="A80" s="1984" t="s">
        <v>141</v>
      </c>
      <c r="B80" s="1984"/>
      <c r="C80" s="1984"/>
      <c r="D80" s="1984"/>
      <c r="E80" s="2366"/>
      <c r="F80" s="2324" t="str">
        <f>+Octobre!F80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9"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Nov'!EH55=0,"",'Retenue Nov'!EH55),AX82)</f>
        <v/>
      </c>
      <c r="AZ81" s="1772"/>
      <c r="BA81" s="918" t="str">
        <f>+IF(BA82="",IF('Retenue Nov'!EF55=0,"",'Retenue Nov'!EF55),BA82)</f>
        <v/>
      </c>
      <c r="BB81" s="919"/>
      <c r="BC81" s="920" t="str">
        <f>IF(BC82="",IF(+'Retenue Nov'!EG55=0,"",'Retenue Nov'!EG55),BC82)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Nov'!EH57=0,"",'Retenue Nov'!EH57),AX85)</f>
        <v/>
      </c>
      <c r="AZ84" s="1772"/>
      <c r="BA84" s="918" t="str">
        <f>+IF(BA85="",IF('Retenue Nov'!EF57=0,"",'Retenue Nov'!EF57),BA85)</f>
        <v/>
      </c>
      <c r="BB84" s="919"/>
      <c r="BC84" s="920" t="str">
        <f>IF(BC85="",IF(+'Retenue Nov'!EG57=0,"",'Retenue Nov'!EG57),BC85)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Octobre!F86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IF(AR86="",Octobre!AH86,AR86)</f>
        <v>0</v>
      </c>
      <c r="AI86" s="1734"/>
      <c r="AJ86" s="1734"/>
      <c r="AK86" s="1735"/>
      <c r="AL86" s="1733">
        <f>IF(AS86="",IF(DP8=52,+EI29+Octobre!AL86,+EI25+Octobre!AL86),IF(DP8=52,+EI29+Octobre!AL86+AS86,+EI25+Octobre!AL86+AS86))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46356</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+Octobre!AH87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+Octobre!AH89+Octobre!AH90</f>
        <v>0</v>
      </c>
      <c r="AI89" s="1734"/>
      <c r="AJ89" s="1734"/>
      <c r="AK89" s="1735"/>
      <c r="AL89" s="1733">
        <f>+Octobre!AL89+Octobre!AL90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237"/>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f>+IF(AH101="",AL101-COUNTIF(AD20:AF50,'Liste des Libellés'!A18),AH101)</f>
        <v>0</v>
      </c>
      <c r="AI93" s="1937"/>
      <c r="AJ93" s="1937"/>
      <c r="AK93" s="1938"/>
      <c r="AL93" s="1936"/>
      <c r="AM93" s="1937"/>
      <c r="AN93" s="1937"/>
      <c r="AO93" s="1938"/>
      <c r="AP93" s="1008"/>
      <c r="AQ93" s="237"/>
      <c r="AR93" s="237"/>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Y97" s="252"/>
      <c r="Z97" s="213"/>
      <c r="AA97" s="266"/>
      <c r="AB97" s="213"/>
      <c r="AC97" s="213"/>
      <c r="AD97" s="213"/>
      <c r="AE97" s="213"/>
      <c r="AF97" s="213"/>
      <c r="AG97" s="267" t="s">
        <v>627</v>
      </c>
      <c r="AH97" s="213"/>
      <c r="AI97" s="213"/>
      <c r="AJ97" s="213"/>
      <c r="AK97" s="213"/>
      <c r="AL97" s="213"/>
      <c r="AM97" s="213"/>
      <c r="AN97" s="213"/>
      <c r="AO97" s="21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Y98" s="253"/>
      <c r="AG98" s="131" t="s">
        <v>633</v>
      </c>
      <c r="AH98" s="2416">
        <f>+AH88</f>
        <v>0</v>
      </c>
      <c r="AI98" s="2416"/>
      <c r="AJ98" s="2416"/>
      <c r="AK98" s="2416"/>
      <c r="AL98" s="2416">
        <f>IF(AH98&lt;=24,AH98,IF(AH98&gt;24,24,0))</f>
        <v>0</v>
      </c>
      <c r="AM98" s="2416"/>
      <c r="AN98" s="2416"/>
      <c r="AO98" s="2417"/>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+Octobre!G99</f>
        <v>0</v>
      </c>
      <c r="H99" s="2411"/>
      <c r="I99" s="2412"/>
      <c r="Q99" s="1619"/>
      <c r="R99" s="1620"/>
      <c r="S99" s="1620"/>
      <c r="T99" s="1620"/>
      <c r="U99" s="1620"/>
      <c r="V99" s="1620"/>
      <c r="W99" s="1620"/>
      <c r="X99" s="1620"/>
      <c r="AG99" s="131" t="s">
        <v>1720</v>
      </c>
      <c r="AH99" s="2416">
        <f>+AH89</f>
        <v>0</v>
      </c>
      <c r="AI99" s="2422"/>
      <c r="AJ99" s="2422"/>
      <c r="AK99" s="2422"/>
      <c r="AL99" s="2416" t="str">
        <f>+IF(EG33&gt;=1,AH99,"&lt;12 jrs cons.")</f>
        <v>&lt;12 jrs cons.</v>
      </c>
      <c r="AM99" s="2416"/>
      <c r="AN99" s="2416"/>
      <c r="AO99" s="2417"/>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+Octobre!G100</f>
        <v>0</v>
      </c>
      <c r="H100" s="2312"/>
      <c r="I100" s="2313"/>
      <c r="L100" s="131"/>
      <c r="M100" s="353"/>
      <c r="N100" s="353"/>
      <c r="O100" s="353"/>
      <c r="P100" s="204"/>
      <c r="Q100" s="204"/>
      <c r="Y100" s="253"/>
      <c r="AG100" s="131" t="s">
        <v>634</v>
      </c>
      <c r="AL100" s="2422">
        <f>IFERROR(+AL98-AL99,0)</f>
        <v>0</v>
      </c>
      <c r="AM100" s="2422"/>
      <c r="AN100" s="2422"/>
      <c r="AO100" s="2423"/>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68"/>
      <c r="Z101" s="269"/>
      <c r="AA101" s="212"/>
      <c r="AB101" s="269"/>
      <c r="AC101" s="269"/>
      <c r="AD101" s="269"/>
      <c r="AE101" s="269"/>
      <c r="AF101" s="269"/>
      <c r="AG101" s="270" t="s">
        <v>635</v>
      </c>
      <c r="AH101" s="2420"/>
      <c r="AI101" s="2421"/>
      <c r="AJ101" s="2421"/>
      <c r="AK101" s="2421"/>
      <c r="AL101" s="2424">
        <f>+IF(AL100&gt;=6,2,IF(AND(AL100&gt;=3,AL100&lt;=5.99),1,0))</f>
        <v>0</v>
      </c>
      <c r="AM101" s="2425"/>
      <c r="AN101" s="2425"/>
      <c r="AO101" s="2426"/>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442026</v>
      </c>
      <c r="BA107" s="1450">
        <f>+$AT$4</f>
        <v>44</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452026</v>
      </c>
      <c r="BA108" s="1455">
        <f>+$AT$5</f>
        <v>45</v>
      </c>
      <c r="BB108" s="1456"/>
      <c r="BC108" s="1457">
        <f>+IF(BF108&gt;0,BF108,COUNTIFS($GF$20:$GF$50,"&gt;0",$GB$20:$GB$50,AZ108)+IF($DP$8&lt;52,+COUNTIFS($GH$20:$GH$50,"&gt;0",$GB$20:$GB$50,AZ108)))</f>
        <v>0</v>
      </c>
      <c r="BD108" s="1458">
        <f>IF(BH108&gt;0,BH108,COUNTIFS(S.CAL!$FX$3:$FX$374,"&gt;0",S.CAL!$FW$3:$FW$374,AZ108))</f>
        <v>0</v>
      </c>
      <c r="BE108" s="1459">
        <f t="shared" ref="BE108:BE112" si="74">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462026</v>
      </c>
      <c r="BA109" s="1455">
        <f>+$AT$6</f>
        <v>46</v>
      </c>
      <c r="BB109" s="1456"/>
      <c r="BC109" s="1457">
        <f>IF(BF109&gt;0,BF109,+COUNTIFS($GF$20:$GF$50,"&gt;0",$GB$20:$GB$50,AZ109)+IF($DP$8&lt;52,+COUNTIFS($GH$20:$GH$50,"&gt;0",$GB$20:$GB$50,AZ109)))</f>
        <v>0</v>
      </c>
      <c r="BD109" s="1458">
        <f>IF(BH109&gt;0,BH109,+COUNTIFS(S.CAL!$FX$3:$FX$374,"&gt;0",S.CAL!$FW$3:$FW$374,AZ109))</f>
        <v>0</v>
      </c>
      <c r="BE109" s="1459">
        <f t="shared" si="74"/>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472026</v>
      </c>
      <c r="BA110" s="1455">
        <f>+$AT$7</f>
        <v>47</v>
      </c>
      <c r="BB110" s="1456"/>
      <c r="BC110" s="1457">
        <f>IF(BF110&gt;0,BF110,+COUNTIFS($GF$20:$GF$50,"&gt;0",$GB$20:$GB$50,AZ110)+IF($DP$8&lt;52,+COUNTIFS($GH$20:$GH$50,"&gt;0",$GB$20:$GB$50,AZ110)))</f>
        <v>0</v>
      </c>
      <c r="BD110" s="1458">
        <f>IF(BH110&gt;0,BH110,+COUNTIFS(S.CAL!$FX$3:$FX$374,"&gt;0",S.CAL!$FW$3:$FW$374,AZ110))</f>
        <v>0</v>
      </c>
      <c r="BE110" s="1459">
        <f t="shared" si="74"/>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482026</v>
      </c>
      <c r="BA111" s="1455">
        <f>+$AT$8</f>
        <v>48</v>
      </c>
      <c r="BB111" s="1456"/>
      <c r="BC111" s="1457">
        <f>IF(BF111&gt;0,BF111,+COUNTIFS($GF$20:$GF$50,"&gt;0",$GB$20:$GB$50,AZ111)+IF($DP$8&lt;52,+COUNTIFS($GH$20:$GH$50,"&gt;0",$GB$20:$GB$50,AZ111)))</f>
        <v>0</v>
      </c>
      <c r="BD111" s="1458">
        <f>IF(BH111&gt;0,BH111,+COUNTIFS(S.CAL!$FX$3:$FX$374,"&gt;0",S.CAL!$FW$3:$FW$374,AZ111))</f>
        <v>0</v>
      </c>
      <c r="BE111" s="1459">
        <f t="shared" si="74"/>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492026</v>
      </c>
      <c r="BA112" s="1460">
        <f>+$AT$9</f>
        <v>49</v>
      </c>
      <c r="BB112" s="1461"/>
      <c r="BC112" s="1462">
        <f>IF(BF112&gt;0,BF112,+COUNTIFS($GF$20:$GF$50,"&gt;0",$GB$20:$GB$50,AZ112)+IF($DP$8&lt;52,+COUNTIFS($GH$20:$GH$50,"&gt;0",$GB$20:$GB$50,AZ112)))</f>
        <v>0</v>
      </c>
      <c r="BD112" s="1463">
        <f>IF(BH112&gt;0,BH112,+COUNTIFS(S.CAL!$FX$3:$FX$374,"&gt;0",S.CAL!$FW$3:$FW$374,AZ112))</f>
        <v>0</v>
      </c>
      <c r="BE112" s="1464">
        <f t="shared" si="74"/>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442026</v>
      </c>
      <c r="BA142" s="1450">
        <f>+$AT$4</f>
        <v>44</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452026</v>
      </c>
      <c r="BA143" s="1455">
        <f>+$AT$5</f>
        <v>45</v>
      </c>
      <c r="BB143" s="1456"/>
      <c r="BC143" s="1457">
        <f t="shared" ref="BC143:BC147" si="75">+IF(BF143&gt;0,BF143,+COUNTIFS($GP$20:$GP$50,"&gt;0",$GB$20:$GB$50,AZ143))</f>
        <v>0</v>
      </c>
      <c r="BD143" s="1458">
        <f>IF(BH143&gt;0,BH143,COUNTIFS(S.CAL!$FX$3:$FX$374,"&gt;0",S.CAL!$FW$3:$FW$374,AZ143))</f>
        <v>0</v>
      </c>
      <c r="BE143" s="1459">
        <f t="shared" ref="BE143:BE147" si="76">IFERROR(ROUND(+BC143/BD143,2),0)</f>
        <v>0</v>
      </c>
      <c r="BF143" s="1478"/>
      <c r="BG143" s="1475"/>
      <c r="BH143" s="1478"/>
    </row>
    <row r="144" spans="21:87" x14ac:dyDescent="0.2">
      <c r="AZ144" s="1449" t="str">
        <f>+$BG$11</f>
        <v>462026</v>
      </c>
      <c r="BA144" s="1455">
        <f>+$AT$6</f>
        <v>46</v>
      </c>
      <c r="BB144" s="1456"/>
      <c r="BC144" s="1457">
        <f t="shared" si="75"/>
        <v>0</v>
      </c>
      <c r="BD144" s="1458">
        <f>IF(BH144&gt;0,BH144,+COUNTIFS(S.CAL!$FX$3:$FX$374,"&gt;0",S.CAL!$FW$3:$FW$374,AZ144))</f>
        <v>0</v>
      </c>
      <c r="BE144" s="1459">
        <f t="shared" si="76"/>
        <v>0</v>
      </c>
      <c r="BF144" s="1478"/>
      <c r="BG144" s="1475"/>
      <c r="BH144" s="1478"/>
    </row>
    <row r="145" spans="52:60" x14ac:dyDescent="0.2">
      <c r="AZ145" s="1449" t="str">
        <f>+$BG$12</f>
        <v>472026</v>
      </c>
      <c r="BA145" s="1455">
        <f>+$AT$7</f>
        <v>47</v>
      </c>
      <c r="BB145" s="1456"/>
      <c r="BC145" s="1457">
        <f t="shared" si="75"/>
        <v>0</v>
      </c>
      <c r="BD145" s="1458">
        <f>IF(BH145&gt;0,BH145,+COUNTIFS(S.CAL!$FX$3:$FX$374,"&gt;0",S.CAL!$FW$3:$FW$374,AZ145))</f>
        <v>0</v>
      </c>
      <c r="BE145" s="1459">
        <f t="shared" si="76"/>
        <v>0</v>
      </c>
      <c r="BF145" s="1478"/>
      <c r="BG145" s="1475"/>
      <c r="BH145" s="1478"/>
    </row>
    <row r="146" spans="52:60" x14ac:dyDescent="0.2">
      <c r="AZ146" s="1449" t="str">
        <f>+$BG$13</f>
        <v>482026</v>
      </c>
      <c r="BA146" s="1455">
        <f>+$AT$8</f>
        <v>48</v>
      </c>
      <c r="BB146" s="1456"/>
      <c r="BC146" s="1457">
        <f t="shared" si="75"/>
        <v>0</v>
      </c>
      <c r="BD146" s="1458">
        <f>IF(BH146&gt;0,BH146,+COUNTIFS(S.CAL!$FX$3:$FX$374,"&gt;0",S.CAL!$FW$3:$FW$374,AZ146))</f>
        <v>0</v>
      </c>
      <c r="BE146" s="1459">
        <f t="shared" si="76"/>
        <v>0</v>
      </c>
      <c r="BF146" s="1478"/>
      <c r="BG146" s="1475"/>
      <c r="BH146" s="1478"/>
    </row>
    <row r="147" spans="52:60" x14ac:dyDescent="0.2">
      <c r="AZ147" s="1449" t="str">
        <f>+$BG$14</f>
        <v>492026</v>
      </c>
      <c r="BA147" s="1460">
        <f>+$AT$9</f>
        <v>49</v>
      </c>
      <c r="BB147" s="1461"/>
      <c r="BC147" s="1462">
        <f t="shared" si="75"/>
        <v>0</v>
      </c>
      <c r="BD147" s="1463">
        <f>IF(BH147&gt;0,BH147,+COUNTIFS(S.CAL!$FX$3:$FX$374,"&gt;0",S.CAL!$FW$3:$FW$374,AZ147))</f>
        <v>0</v>
      </c>
      <c r="BE147" s="1464">
        <f t="shared" si="76"/>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aH0SD+NXpxW0dgxWH1E1kD630UtI4sHEn26YYkxl0xNp2269nGLu0KG8urPl/aNHh4jCXkjCRx4uezt+uQAJsg==" saltValue="+JsENrwZwVj6gegieeJBBQ==" spinCount="100000" sheet="1" objects="1" scenarios="1" formatCells="0" formatColumns="0" formatRows="0" insertColumns="0" insertRows="0" insertHyperlinks="0" sort="0" autoFilter="0" pivotTables="0"/>
  <mergeCells count="806">
    <mergeCell ref="AD137:AG137"/>
    <mergeCell ref="BE65:BF65"/>
    <mergeCell ref="BE68:BF68"/>
    <mergeCell ref="AD135:AE135"/>
    <mergeCell ref="AG135:AI135"/>
    <mergeCell ref="AJ135:AK135"/>
    <mergeCell ref="AJ131:AK131"/>
    <mergeCell ref="AL131:AN131"/>
    <mergeCell ref="AO131:AP131"/>
    <mergeCell ref="AC133:AD133"/>
    <mergeCell ref="AE133:AG133"/>
    <mergeCell ref="AH133:AI133"/>
    <mergeCell ref="AE129:AF129"/>
    <mergeCell ref="AN129:AO129"/>
    <mergeCell ref="AM127:AP127"/>
    <mergeCell ref="AH98:AK98"/>
    <mergeCell ref="AH99:AK99"/>
    <mergeCell ref="AG66:AI66"/>
    <mergeCell ref="AL101:AO101"/>
    <mergeCell ref="AH90:AK90"/>
    <mergeCell ref="AH93:AK93"/>
    <mergeCell ref="AL90:AO90"/>
    <mergeCell ref="AL92:AO92"/>
    <mergeCell ref="AH92:AK92"/>
    <mergeCell ref="L125:M125"/>
    <mergeCell ref="L123:M123"/>
    <mergeCell ref="Q85:T85"/>
    <mergeCell ref="V82:Y82"/>
    <mergeCell ref="V83:AG83"/>
    <mergeCell ref="S102:T103"/>
    <mergeCell ref="C98:O98"/>
    <mergeCell ref="F83:H83"/>
    <mergeCell ref="K90:Q90"/>
    <mergeCell ref="A88:E88"/>
    <mergeCell ref="I85:P85"/>
    <mergeCell ref="R88:T88"/>
    <mergeCell ref="A86:E86"/>
    <mergeCell ref="G100:I100"/>
    <mergeCell ref="D99:F99"/>
    <mergeCell ref="G99:I99"/>
    <mergeCell ref="AE123:AF123"/>
    <mergeCell ref="B104:AO118"/>
    <mergeCell ref="AH88:AK88"/>
    <mergeCell ref="AM125:AP125"/>
    <mergeCell ref="AH101:AK101"/>
    <mergeCell ref="AL100:AO100"/>
    <mergeCell ref="AJ125:AK125"/>
    <mergeCell ref="A59:G59"/>
    <mergeCell ref="X59:Z59"/>
    <mergeCell ref="AH85:AK85"/>
    <mergeCell ref="AH84:AK84"/>
    <mergeCell ref="AH87:AK87"/>
    <mergeCell ref="N68:P68"/>
    <mergeCell ref="K70:M70"/>
    <mergeCell ref="H73:K73"/>
    <mergeCell ref="H76:K76"/>
    <mergeCell ref="F81:H81"/>
    <mergeCell ref="E77:G77"/>
    <mergeCell ref="E75:G75"/>
    <mergeCell ref="N70:P70"/>
    <mergeCell ref="N72:P72"/>
    <mergeCell ref="Z73:AK73"/>
    <mergeCell ref="Y73:Y75"/>
    <mergeCell ref="A81:E81"/>
    <mergeCell ref="F86:L86"/>
    <mergeCell ref="F87:I87"/>
    <mergeCell ref="A87:E87"/>
    <mergeCell ref="R87:T87"/>
    <mergeCell ref="A83:E83"/>
    <mergeCell ref="A82:E82"/>
    <mergeCell ref="A80:E80"/>
    <mergeCell ref="F80:H80"/>
    <mergeCell ref="AL71:AO71"/>
    <mergeCell ref="Z71:AB71"/>
    <mergeCell ref="T67:Z67"/>
    <mergeCell ref="R89:T89"/>
    <mergeCell ref="AD69:AK69"/>
    <mergeCell ref="R69:AB69"/>
    <mergeCell ref="R67:S67"/>
    <mergeCell ref="AD71:AK71"/>
    <mergeCell ref="AH80:AK82"/>
    <mergeCell ref="H71:J71"/>
    <mergeCell ref="AL89:AO89"/>
    <mergeCell ref="L78:P78"/>
    <mergeCell ref="L76:P76"/>
    <mergeCell ref="L74:P74"/>
    <mergeCell ref="Q74:T74"/>
    <mergeCell ref="Q78:T78"/>
    <mergeCell ref="Q76:T76"/>
    <mergeCell ref="H68:J68"/>
    <mergeCell ref="CE3:CF3"/>
    <mergeCell ref="CG8:CI8"/>
    <mergeCell ref="N62:P62"/>
    <mergeCell ref="R47:T47"/>
    <mergeCell ref="R56:T56"/>
    <mergeCell ref="N49:P49"/>
    <mergeCell ref="AB39:AC39"/>
    <mergeCell ref="U50:W50"/>
    <mergeCell ref="AD23:AF23"/>
    <mergeCell ref="AD32:AF32"/>
    <mergeCell ref="Z8:AO8"/>
    <mergeCell ref="Z5:AA5"/>
    <mergeCell ref="Z11:AO11"/>
    <mergeCell ref="AH12:AO12"/>
    <mergeCell ref="AM18:AO19"/>
    <mergeCell ref="AJ21:AL21"/>
    <mergeCell ref="AD18:AF19"/>
    <mergeCell ref="AG20:AI20"/>
    <mergeCell ref="N59:P59"/>
    <mergeCell ref="N55:P55"/>
    <mergeCell ref="V11:Y11"/>
    <mergeCell ref="Y15:Z15"/>
    <mergeCell ref="CE5:CF5"/>
    <mergeCell ref="AB25:AC25"/>
    <mergeCell ref="A54:G54"/>
    <mergeCell ref="H54:J54"/>
    <mergeCell ref="K54:M54"/>
    <mergeCell ref="N54:P54"/>
    <mergeCell ref="H55:J55"/>
    <mergeCell ref="N51:P51"/>
    <mergeCell ref="K47:M47"/>
    <mergeCell ref="N47:P47"/>
    <mergeCell ref="K48:M48"/>
    <mergeCell ref="A50:G50"/>
    <mergeCell ref="A47:G47"/>
    <mergeCell ref="K50:M50"/>
    <mergeCell ref="CE8:CF8"/>
    <mergeCell ref="AD31:AF31"/>
    <mergeCell ref="AD33:AF33"/>
    <mergeCell ref="AB37:AC37"/>
    <mergeCell ref="AB35:AC35"/>
    <mergeCell ref="H41:J41"/>
    <mergeCell ref="K39:M39"/>
    <mergeCell ref="V8:Y8"/>
    <mergeCell ref="V9:Y9"/>
    <mergeCell ref="V10:Y10"/>
    <mergeCell ref="L35:S35"/>
    <mergeCell ref="B26:K26"/>
    <mergeCell ref="T33:W33"/>
    <mergeCell ref="U14:X14"/>
    <mergeCell ref="T20:W20"/>
    <mergeCell ref="T34:W34"/>
    <mergeCell ref="AG30:AI30"/>
    <mergeCell ref="AD29:AF29"/>
    <mergeCell ref="P25:S25"/>
    <mergeCell ref="AJ34:AL34"/>
    <mergeCell ref="AG32:AI32"/>
    <mergeCell ref="U41:W41"/>
    <mergeCell ref="X39:Z39"/>
    <mergeCell ref="A41:G41"/>
    <mergeCell ref="AL14:AO14"/>
    <mergeCell ref="P18:S18"/>
    <mergeCell ref="BV21:BZ23"/>
    <mergeCell ref="AM21:AO21"/>
    <mergeCell ref="BH17:BI17"/>
    <mergeCell ref="P15:X15"/>
    <mergeCell ref="N15:O15"/>
    <mergeCell ref="C15:M15"/>
    <mergeCell ref="P23:S23"/>
    <mergeCell ref="P21:S21"/>
    <mergeCell ref="AW23:AX23"/>
    <mergeCell ref="BC18:BC19"/>
    <mergeCell ref="BE18:BE19"/>
    <mergeCell ref="BI18:BI19"/>
    <mergeCell ref="BF18:BF19"/>
    <mergeCell ref="BJ18:BJ19"/>
    <mergeCell ref="AM20:AO20"/>
    <mergeCell ref="AZ18:AZ19"/>
    <mergeCell ref="T21:W21"/>
    <mergeCell ref="A21:K21"/>
    <mergeCell ref="A22:K22"/>
    <mergeCell ref="L20:O20"/>
    <mergeCell ref="BC17:BE17"/>
    <mergeCell ref="BO18:BO19"/>
    <mergeCell ref="HK16:HN16"/>
    <mergeCell ref="P29:S29"/>
    <mergeCell ref="P31:S31"/>
    <mergeCell ref="L30:O30"/>
    <mergeCell ref="EW17:FA17"/>
    <mergeCell ref="AT18:AT19"/>
    <mergeCell ref="AU18:AU19"/>
    <mergeCell ref="GW16:HF16"/>
    <mergeCell ref="T29:W29"/>
    <mergeCell ref="L21:O21"/>
    <mergeCell ref="AM22:AO22"/>
    <mergeCell ref="L19:O19"/>
    <mergeCell ref="P19:S19"/>
    <mergeCell ref="EQ17:EU17"/>
    <mergeCell ref="AG22:AI22"/>
    <mergeCell ref="AG23:AI23"/>
    <mergeCell ref="AB22:AC22"/>
    <mergeCell ref="L18:O18"/>
    <mergeCell ref="T17:W17"/>
    <mergeCell ref="AD20:AF20"/>
    <mergeCell ref="AD21:AF21"/>
    <mergeCell ref="BP18:BP19"/>
    <mergeCell ref="T18:W18"/>
    <mergeCell ref="T19:W19"/>
    <mergeCell ref="HO16:HR16"/>
    <mergeCell ref="A29:A34"/>
    <mergeCell ref="B30:K30"/>
    <mergeCell ref="P32:S32"/>
    <mergeCell ref="P33:S33"/>
    <mergeCell ref="P34:S34"/>
    <mergeCell ref="A27:A28"/>
    <mergeCell ref="HG16:HJ16"/>
    <mergeCell ref="B33:K33"/>
    <mergeCell ref="L33:O33"/>
    <mergeCell ref="L34:O34"/>
    <mergeCell ref="A23:A24"/>
    <mergeCell ref="L31:O31"/>
    <mergeCell ref="L32:O32"/>
    <mergeCell ref="B23:K23"/>
    <mergeCell ref="B24:K24"/>
    <mergeCell ref="L23:O23"/>
    <mergeCell ref="L24:O24"/>
    <mergeCell ref="P30:S30"/>
    <mergeCell ref="AB31:AC31"/>
    <mergeCell ref="AB27:AC27"/>
    <mergeCell ref="T22:W22"/>
    <mergeCell ref="AG27:AI27"/>
    <mergeCell ref="AG28:AI28"/>
    <mergeCell ref="AB5:AC5"/>
    <mergeCell ref="AJ4:AO4"/>
    <mergeCell ref="AD25:AF25"/>
    <mergeCell ref="AL15:AO15"/>
    <mergeCell ref="AJ23:AL23"/>
    <mergeCell ref="AJ22:AL22"/>
    <mergeCell ref="F82:H82"/>
    <mergeCell ref="R70:Y70"/>
    <mergeCell ref="T63:Z63"/>
    <mergeCell ref="X61:Z61"/>
    <mergeCell ref="R62:T62"/>
    <mergeCell ref="X46:Z46"/>
    <mergeCell ref="U46:W46"/>
    <mergeCell ref="H56:J56"/>
    <mergeCell ref="R58:T58"/>
    <mergeCell ref="U58:W58"/>
    <mergeCell ref="X58:Z58"/>
    <mergeCell ref="X57:Z57"/>
    <mergeCell ref="A53:G53"/>
    <mergeCell ref="AL69:AO69"/>
    <mergeCell ref="V7:AO7"/>
    <mergeCell ref="A20:K20"/>
    <mergeCell ref="L22:O22"/>
    <mergeCell ref="P22:S22"/>
    <mergeCell ref="V12:Y12"/>
    <mergeCell ref="H77:K77"/>
    <mergeCell ref="N69:P69"/>
    <mergeCell ref="R66:S66"/>
    <mergeCell ref="H42:J42"/>
    <mergeCell ref="N71:P71"/>
    <mergeCell ref="H39:J39"/>
    <mergeCell ref="AD28:AF28"/>
    <mergeCell ref="AE14:AK14"/>
    <mergeCell ref="P24:S24"/>
    <mergeCell ref="P28:S28"/>
    <mergeCell ref="L25:O25"/>
    <mergeCell ref="L28:O28"/>
    <mergeCell ref="L26:O26"/>
    <mergeCell ref="R38:Z38"/>
    <mergeCell ref="H38:P38"/>
    <mergeCell ref="T31:W31"/>
    <mergeCell ref="T30:W30"/>
    <mergeCell ref="L27:O27"/>
    <mergeCell ref="P27:S27"/>
    <mergeCell ref="P26:S26"/>
    <mergeCell ref="B34:K34"/>
    <mergeCell ref="B25:K25"/>
    <mergeCell ref="T35:W35"/>
    <mergeCell ref="A8:D8"/>
    <mergeCell ref="E7:R7"/>
    <mergeCell ref="L17:O17"/>
    <mergeCell ref="P17:S17"/>
    <mergeCell ref="A17:K17"/>
    <mergeCell ref="A7:D7"/>
    <mergeCell ref="E8:R8"/>
    <mergeCell ref="A14:H14"/>
    <mergeCell ref="I14:L14"/>
    <mergeCell ref="O14:T14"/>
    <mergeCell ref="K55:M55"/>
    <mergeCell ref="AB33:AC33"/>
    <mergeCell ref="A44:G44"/>
    <mergeCell ref="A43:G43"/>
    <mergeCell ref="A42:G42"/>
    <mergeCell ref="A39:G39"/>
    <mergeCell ref="H40:J40"/>
    <mergeCell ref="N39:P39"/>
    <mergeCell ref="A40:G40"/>
    <mergeCell ref="H43:J43"/>
    <mergeCell ref="N43:P43"/>
    <mergeCell ref="N44:P44"/>
    <mergeCell ref="N41:P41"/>
    <mergeCell ref="K41:M41"/>
    <mergeCell ref="N40:P40"/>
    <mergeCell ref="K40:M40"/>
    <mergeCell ref="X42:Z42"/>
    <mergeCell ref="R41:T41"/>
    <mergeCell ref="R42:T42"/>
    <mergeCell ref="U39:W39"/>
    <mergeCell ref="U40:W40"/>
    <mergeCell ref="X41:Z41"/>
    <mergeCell ref="AB38:AC38"/>
    <mergeCell ref="AB40:AC40"/>
    <mergeCell ref="R39:T39"/>
    <mergeCell ref="R43:T43"/>
    <mergeCell ref="X40:Z40"/>
    <mergeCell ref="P20:S20"/>
    <mergeCell ref="A25:A26"/>
    <mergeCell ref="A77:D77"/>
    <mergeCell ref="B32:K32"/>
    <mergeCell ref="T27:W27"/>
    <mergeCell ref="T28:W28"/>
    <mergeCell ref="T26:W26"/>
    <mergeCell ref="B28:K28"/>
    <mergeCell ref="A45:G45"/>
    <mergeCell ref="N46:P46"/>
    <mergeCell ref="N48:P48"/>
    <mergeCell ref="A46:G46"/>
    <mergeCell ref="A55:G55"/>
    <mergeCell ref="H49:J49"/>
    <mergeCell ref="A48:G48"/>
    <mergeCell ref="A49:G49"/>
    <mergeCell ref="K45:M45"/>
    <mergeCell ref="A52:G52"/>
    <mergeCell ref="H46:J46"/>
    <mergeCell ref="A51:G51"/>
    <mergeCell ref="U55:W55"/>
    <mergeCell ref="U42:W42"/>
    <mergeCell ref="K46:M46"/>
    <mergeCell ref="K43:M43"/>
    <mergeCell ref="U47:W47"/>
    <mergeCell ref="X43:Z43"/>
    <mergeCell ref="U43:W43"/>
    <mergeCell ref="X44:Z44"/>
    <mergeCell ref="AB44:AC44"/>
    <mergeCell ref="R40:T40"/>
    <mergeCell ref="AB41:AC41"/>
    <mergeCell ref="N42:P42"/>
    <mergeCell ref="K42:M42"/>
    <mergeCell ref="H62:M62"/>
    <mergeCell ref="H45:J45"/>
    <mergeCell ref="H50:J50"/>
    <mergeCell ref="N57:P57"/>
    <mergeCell ref="U59:W59"/>
    <mergeCell ref="AB43:AC43"/>
    <mergeCell ref="AB42:AC42"/>
    <mergeCell ref="H60:J60"/>
    <mergeCell ref="K60:M60"/>
    <mergeCell ref="N60:P60"/>
    <mergeCell ref="N58:P58"/>
    <mergeCell ref="H53:J53"/>
    <mergeCell ref="K53:M53"/>
    <mergeCell ref="H57:J57"/>
    <mergeCell ref="X60:Z60"/>
    <mergeCell ref="U44:W44"/>
    <mergeCell ref="N45:P45"/>
    <mergeCell ref="N50:P50"/>
    <mergeCell ref="N53:P53"/>
    <mergeCell ref="K49:M49"/>
    <mergeCell ref="R46:T46"/>
    <mergeCell ref="R45:T45"/>
    <mergeCell ref="X49:Z49"/>
    <mergeCell ref="X48:Z48"/>
    <mergeCell ref="X45:Z45"/>
    <mergeCell ref="R50:T50"/>
    <mergeCell ref="X53:Z53"/>
    <mergeCell ref="R65:S65"/>
    <mergeCell ref="R59:T59"/>
    <mergeCell ref="X55:Z55"/>
    <mergeCell ref="R63:S63"/>
    <mergeCell ref="R64:S64"/>
    <mergeCell ref="R57:T57"/>
    <mergeCell ref="R55:T55"/>
    <mergeCell ref="X50:Z50"/>
    <mergeCell ref="U45:W45"/>
    <mergeCell ref="U48:W48"/>
    <mergeCell ref="U56:W56"/>
    <mergeCell ref="T64:Z64"/>
    <mergeCell ref="AL99:AO99"/>
    <mergeCell ref="AL98:AO98"/>
    <mergeCell ref="AL93:AO93"/>
    <mergeCell ref="AH89:AK89"/>
    <mergeCell ref="AL84:AO84"/>
    <mergeCell ref="AG65:AI65"/>
    <mergeCell ref="AA65:AF65"/>
    <mergeCell ref="AH83:AK83"/>
    <mergeCell ref="AL80:AO82"/>
    <mergeCell ref="AL75:AO75"/>
    <mergeCell ref="AL83:AO83"/>
    <mergeCell ref="V84:AG84"/>
    <mergeCell ref="AL73:AO73"/>
    <mergeCell ref="AL85:AO85"/>
    <mergeCell ref="T65:Z65"/>
    <mergeCell ref="T66:Z66"/>
    <mergeCell ref="R71:Y71"/>
    <mergeCell ref="Z70:AB70"/>
    <mergeCell ref="AD70:AK70"/>
    <mergeCell ref="R90:T90"/>
    <mergeCell ref="AJ40:AL40"/>
    <mergeCell ref="AM38:AO38"/>
    <mergeCell ref="AG38:AI38"/>
    <mergeCell ref="AD38:AF38"/>
    <mergeCell ref="AD37:AF37"/>
    <mergeCell ref="AM41:AO41"/>
    <mergeCell ref="AG37:AI37"/>
    <mergeCell ref="AH91:AK91"/>
    <mergeCell ref="AL91:AO91"/>
    <mergeCell ref="AD43:AF43"/>
    <mergeCell ref="AJ48:AL48"/>
    <mergeCell ref="AJ43:AL43"/>
    <mergeCell ref="AD45:AF45"/>
    <mergeCell ref="AD44:AF44"/>
    <mergeCell ref="AD46:AF46"/>
    <mergeCell ref="AG48:AI48"/>
    <mergeCell ref="AJ51:AL51"/>
    <mergeCell ref="AD39:AF39"/>
    <mergeCell ref="AD40:AF40"/>
    <mergeCell ref="AB36:AC36"/>
    <mergeCell ref="AJ37:AL37"/>
    <mergeCell ref="AG36:AI36"/>
    <mergeCell ref="AM39:AO39"/>
    <mergeCell ref="AG44:AI44"/>
    <mergeCell ref="AG43:AI43"/>
    <mergeCell ref="AM44:AO44"/>
    <mergeCell ref="AM43:AO43"/>
    <mergeCell ref="AJ41:AL41"/>
    <mergeCell ref="AJ36:AL36"/>
    <mergeCell ref="AJ39:AL39"/>
    <mergeCell ref="AG40:AI40"/>
    <mergeCell ref="AM40:AO40"/>
    <mergeCell ref="AM36:AO36"/>
    <mergeCell ref="AJ38:AL38"/>
    <mergeCell ref="AG41:AI41"/>
    <mergeCell ref="AG42:AI42"/>
    <mergeCell ref="AM42:AO42"/>
    <mergeCell ref="AJ42:AL42"/>
    <mergeCell ref="AM37:AO37"/>
    <mergeCell ref="AD36:AF36"/>
    <mergeCell ref="AD41:AF41"/>
    <mergeCell ref="AD42:AF42"/>
    <mergeCell ref="AG39:AI39"/>
    <mergeCell ref="AJ18:AL19"/>
    <mergeCell ref="AD22:AF22"/>
    <mergeCell ref="AM34:AO34"/>
    <mergeCell ref="AG35:AI35"/>
    <mergeCell ref="AJ35:AL35"/>
    <mergeCell ref="AM35:AO35"/>
    <mergeCell ref="AM30:AO30"/>
    <mergeCell ref="AJ26:AL26"/>
    <mergeCell ref="AG34:AI34"/>
    <mergeCell ref="AD34:AF34"/>
    <mergeCell ref="AM33:AO33"/>
    <mergeCell ref="AG25:AI25"/>
    <mergeCell ref="AJ29:AL29"/>
    <mergeCell ref="AJ25:AL25"/>
    <mergeCell ref="AM32:AO32"/>
    <mergeCell ref="AD35:AF35"/>
    <mergeCell ref="AB23:AC23"/>
    <mergeCell ref="AB30:AC30"/>
    <mergeCell ref="AB26:AC26"/>
    <mergeCell ref="AB34:AC34"/>
    <mergeCell ref="AG24:AI24"/>
    <mergeCell ref="AG26:AI26"/>
    <mergeCell ref="AJ24:AL24"/>
    <mergeCell ref="AJ30:AL30"/>
    <mergeCell ref="T25:W25"/>
    <mergeCell ref="AB29:AC29"/>
    <mergeCell ref="AB32:AC32"/>
    <mergeCell ref="AD24:AF24"/>
    <mergeCell ref="AD27:AF27"/>
    <mergeCell ref="T23:W23"/>
    <mergeCell ref="T24:W24"/>
    <mergeCell ref="AD26:AF26"/>
    <mergeCell ref="AG33:AI33"/>
    <mergeCell ref="AB24:AC24"/>
    <mergeCell ref="AJ33:AL33"/>
    <mergeCell ref="AG31:AI31"/>
    <mergeCell ref="AJ32:AL32"/>
    <mergeCell ref="AJ31:AL31"/>
    <mergeCell ref="T32:W32"/>
    <mergeCell ref="AD30:AF30"/>
    <mergeCell ref="A1:AO1"/>
    <mergeCell ref="B27:K27"/>
    <mergeCell ref="B31:K31"/>
    <mergeCell ref="B29:K29"/>
    <mergeCell ref="AF3:AH3"/>
    <mergeCell ref="AM29:AO29"/>
    <mergeCell ref="Z10:AO10"/>
    <mergeCell ref="AB20:AC20"/>
    <mergeCell ref="AW31:AX31"/>
    <mergeCell ref="E4:R4"/>
    <mergeCell ref="E5:R5"/>
    <mergeCell ref="E6:R6"/>
    <mergeCell ref="A5:D5"/>
    <mergeCell ref="A4:D4"/>
    <mergeCell ref="X3:AC3"/>
    <mergeCell ref="X4:AC4"/>
    <mergeCell ref="X5:Y5"/>
    <mergeCell ref="AB21:AC21"/>
    <mergeCell ref="AB28:AC28"/>
    <mergeCell ref="Z12:AG12"/>
    <mergeCell ref="AB18:AC19"/>
    <mergeCell ref="AM31:AO31"/>
    <mergeCell ref="AE15:AK15"/>
    <mergeCell ref="AG18:AI19"/>
    <mergeCell ref="A3:R3"/>
    <mergeCell ref="A10:M11"/>
    <mergeCell ref="L29:O29"/>
    <mergeCell ref="A6:D6"/>
    <mergeCell ref="AW24:AX24"/>
    <mergeCell ref="AW25:AX25"/>
    <mergeCell ref="AW26:AX26"/>
    <mergeCell ref="AG29:AI29"/>
    <mergeCell ref="AM26:AO26"/>
    <mergeCell ref="AM27:AO27"/>
    <mergeCell ref="AJ28:AL28"/>
    <mergeCell ref="AI3:AO3"/>
    <mergeCell ref="AG21:AI21"/>
    <mergeCell ref="AM28:AO28"/>
    <mergeCell ref="AM23:AO23"/>
    <mergeCell ref="AM24:AO24"/>
    <mergeCell ref="AJ27:AL27"/>
    <mergeCell ref="Z9:AO9"/>
    <mergeCell ref="A18:K18"/>
    <mergeCell ref="A19:K19"/>
    <mergeCell ref="AR14:AZ14"/>
    <mergeCell ref="AM25:AO25"/>
    <mergeCell ref="AF4:AI4"/>
    <mergeCell ref="AJ20:AL20"/>
    <mergeCell ref="BR2:BX2"/>
    <mergeCell ref="AX3:AZ3"/>
    <mergeCell ref="BA13:BC14"/>
    <mergeCell ref="BF2:BQ2"/>
    <mergeCell ref="BQ41:BV41"/>
    <mergeCell ref="BN18:BN19"/>
    <mergeCell ref="BR4:BX4"/>
    <mergeCell ref="BQ8:BX8"/>
    <mergeCell ref="BS32:BX32"/>
    <mergeCell ref="BS33:BX33"/>
    <mergeCell ref="BM18:BM19"/>
    <mergeCell ref="BK18:BK19"/>
    <mergeCell ref="BS28:BX28"/>
    <mergeCell ref="BS29:BX29"/>
    <mergeCell ref="BS30:BX30"/>
    <mergeCell ref="BS31:BX31"/>
    <mergeCell ref="AW38:AX38"/>
    <mergeCell ref="AW39:AX39"/>
    <mergeCell ref="AW37:AX37"/>
    <mergeCell ref="AR12:BF12"/>
    <mergeCell ref="AR13:AZ13"/>
    <mergeCell ref="BH7:BI7"/>
    <mergeCell ref="BQ15:CC17"/>
    <mergeCell ref="BD18:BD19"/>
    <mergeCell ref="AX63:AY63"/>
    <mergeCell ref="AM49:AO49"/>
    <mergeCell ref="AA63:AF63"/>
    <mergeCell ref="AG63:AI63"/>
    <mergeCell ref="AJ63:AL63"/>
    <mergeCell ref="AD47:AF47"/>
    <mergeCell ref="AG45:AI45"/>
    <mergeCell ref="AD50:AF50"/>
    <mergeCell ref="AD49:AF49"/>
    <mergeCell ref="AG50:AI50"/>
    <mergeCell ref="AB57:AL57"/>
    <mergeCell ref="AJ50:AL50"/>
    <mergeCell ref="AG47:AI47"/>
    <mergeCell ref="AB46:AC46"/>
    <mergeCell ref="AD48:AF48"/>
    <mergeCell ref="AD51:AF51"/>
    <mergeCell ref="AB45:AC45"/>
    <mergeCell ref="AM46:AO46"/>
    <mergeCell ref="AG46:AI46"/>
    <mergeCell ref="AJ46:AL46"/>
    <mergeCell ref="AJ45:AL45"/>
    <mergeCell ref="AM45:AO45"/>
    <mergeCell ref="AB48:AC48"/>
    <mergeCell ref="AB47:AC47"/>
    <mergeCell ref="AI127:AJ127"/>
    <mergeCell ref="AB49:AC49"/>
    <mergeCell ref="AB51:AC51"/>
    <mergeCell ref="AB56:AL56"/>
    <mergeCell ref="AM62:AO62"/>
    <mergeCell ref="AJ62:AL62"/>
    <mergeCell ref="AB54:AO54"/>
    <mergeCell ref="AB55:AL55"/>
    <mergeCell ref="AM55:AO55"/>
    <mergeCell ref="AJ65:AL65"/>
    <mergeCell ref="AM65:AO65"/>
    <mergeCell ref="AG51:AI51"/>
    <mergeCell ref="AG49:AI49"/>
    <mergeCell ref="AJ66:AL66"/>
    <mergeCell ref="AA64:AF64"/>
    <mergeCell ref="AG64:AI64"/>
    <mergeCell ref="AJ64:AL64"/>
    <mergeCell ref="AJ49:AL49"/>
    <mergeCell ref="AB50:AC50"/>
    <mergeCell ref="Z74:AK74"/>
    <mergeCell ref="Z75:AK75"/>
    <mergeCell ref="AC69:AC71"/>
    <mergeCell ref="Z78:AK78"/>
    <mergeCell ref="V80:AF81"/>
    <mergeCell ref="CC45:CD45"/>
    <mergeCell ref="CA49:CA50"/>
    <mergeCell ref="CA47:CA48"/>
    <mergeCell ref="CA44:CA45"/>
    <mergeCell ref="AL77:AO77"/>
    <mergeCell ref="Z77:AK77"/>
    <mergeCell ref="AT75:AW75"/>
    <mergeCell ref="BY47:BY48"/>
    <mergeCell ref="CC44:CD44"/>
    <mergeCell ref="AJ47:AL47"/>
    <mergeCell ref="AA66:AF66"/>
    <mergeCell ref="AM66:AO66"/>
    <mergeCell ref="AR66:AZ66"/>
    <mergeCell ref="AR68:AZ68"/>
    <mergeCell ref="AQ77:AT77"/>
    <mergeCell ref="AU73:BB73"/>
    <mergeCell ref="BC62:BF64"/>
    <mergeCell ref="AX61:AY61"/>
    <mergeCell ref="AQ62:AU62"/>
    <mergeCell ref="AQ63:AU63"/>
    <mergeCell ref="BZ44:BZ45"/>
    <mergeCell ref="AX62:AY62"/>
    <mergeCell ref="AR65:AZ65"/>
    <mergeCell ref="AW49:AX49"/>
    <mergeCell ref="A76:D76"/>
    <mergeCell ref="E76:G76"/>
    <mergeCell ref="K68:M68"/>
    <mergeCell ref="H75:K75"/>
    <mergeCell ref="K71:M71"/>
    <mergeCell ref="B71:G71"/>
    <mergeCell ref="H74:K74"/>
    <mergeCell ref="A74:D74"/>
    <mergeCell ref="A75:D75"/>
    <mergeCell ref="E74:G74"/>
    <mergeCell ref="H70:J70"/>
    <mergeCell ref="B69:G69"/>
    <mergeCell ref="B68:G68"/>
    <mergeCell ref="H69:J69"/>
    <mergeCell ref="E73:G73"/>
    <mergeCell ref="A65:A70"/>
    <mergeCell ref="B67:G67"/>
    <mergeCell ref="B66:G66"/>
    <mergeCell ref="K67:M67"/>
    <mergeCell ref="K66:M66"/>
    <mergeCell ref="K69:M69"/>
    <mergeCell ref="B65:G65"/>
    <mergeCell ref="C70:G70"/>
    <mergeCell ref="K65:M65"/>
    <mergeCell ref="A60:G60"/>
    <mergeCell ref="R60:T60"/>
    <mergeCell ref="U60:W60"/>
    <mergeCell ref="AX60:AY60"/>
    <mergeCell ref="AU60:AW60"/>
    <mergeCell ref="X51:Z51"/>
    <mergeCell ref="K51:M51"/>
    <mergeCell ref="N61:P61"/>
    <mergeCell ref="A56:G56"/>
    <mergeCell ref="A57:G57"/>
    <mergeCell ref="A58:G58"/>
    <mergeCell ref="R52:T52"/>
    <mergeCell ref="U52:W52"/>
    <mergeCell ref="X52:Z52"/>
    <mergeCell ref="R54:T54"/>
    <mergeCell ref="U54:W54"/>
    <mergeCell ref="X54:Z54"/>
    <mergeCell ref="K58:M58"/>
    <mergeCell ref="H58:J58"/>
    <mergeCell ref="AU61:AW61"/>
    <mergeCell ref="K59:M59"/>
    <mergeCell ref="H59:J59"/>
    <mergeCell ref="AM51:AO51"/>
    <mergeCell ref="U57:W57"/>
    <mergeCell ref="H66:J66"/>
    <mergeCell ref="H67:J67"/>
    <mergeCell ref="H65:J65"/>
    <mergeCell ref="K64:M64"/>
    <mergeCell ref="N65:P65"/>
    <mergeCell ref="N67:P67"/>
    <mergeCell ref="N66:P66"/>
    <mergeCell ref="H61:M61"/>
    <mergeCell ref="K57:M57"/>
    <mergeCell ref="H64:J64"/>
    <mergeCell ref="N64:P64"/>
    <mergeCell ref="GF17:GF18"/>
    <mergeCell ref="GG17:GG18"/>
    <mergeCell ref="GH17:GH18"/>
    <mergeCell ref="BY44:BY45"/>
    <mergeCell ref="AW48:AX48"/>
    <mergeCell ref="H47:J47"/>
    <mergeCell ref="K56:M56"/>
    <mergeCell ref="N56:P56"/>
    <mergeCell ref="U51:W51"/>
    <mergeCell ref="R51:T51"/>
    <mergeCell ref="R53:T53"/>
    <mergeCell ref="U53:W53"/>
    <mergeCell ref="R48:T48"/>
    <mergeCell ref="U49:W49"/>
    <mergeCell ref="X47:Z47"/>
    <mergeCell ref="R44:T44"/>
    <mergeCell ref="AM47:AO47"/>
    <mergeCell ref="AJ44:AL44"/>
    <mergeCell ref="R49:T49"/>
    <mergeCell ref="H52:J52"/>
    <mergeCell ref="K52:M52"/>
    <mergeCell ref="H51:J51"/>
    <mergeCell ref="N52:P52"/>
    <mergeCell ref="AW50:AX50"/>
    <mergeCell ref="BH18:BH19"/>
    <mergeCell ref="CA26:CA27"/>
    <mergeCell ref="BY26:BY27"/>
    <mergeCell ref="BZ26:BZ27"/>
    <mergeCell ref="AW45:AX45"/>
    <mergeCell ref="AW35:AX35"/>
    <mergeCell ref="BQ42:BW43"/>
    <mergeCell ref="BQ36:CA36"/>
    <mergeCell ref="AW43:AX43"/>
    <mergeCell ref="AW27:AX27"/>
    <mergeCell ref="AW28:AX28"/>
    <mergeCell ref="AW29:AX29"/>
    <mergeCell ref="AW30:AX30"/>
    <mergeCell ref="AW20:AX20"/>
    <mergeCell ref="AW36:AX36"/>
    <mergeCell ref="AQ81:AS81"/>
    <mergeCell ref="AR78:AS78"/>
    <mergeCell ref="AM48:AO48"/>
    <mergeCell ref="AM50:AO50"/>
    <mergeCell ref="AV95:AY95"/>
    <mergeCell ref="AX76:AY76"/>
    <mergeCell ref="AT78:AW78"/>
    <mergeCell ref="AY78:AZ78"/>
    <mergeCell ref="AX79:AY79"/>
    <mergeCell ref="AT81:AW81"/>
    <mergeCell ref="AY81:AZ81"/>
    <mergeCell ref="AX82:AY82"/>
    <mergeCell ref="AT84:AW84"/>
    <mergeCell ref="AY84:AZ84"/>
    <mergeCell ref="AX85:AY85"/>
    <mergeCell ref="AR69:AZ69"/>
    <mergeCell ref="AY75:AZ75"/>
    <mergeCell ref="AM56:AO56"/>
    <mergeCell ref="AM64:AO64"/>
    <mergeCell ref="AL74:AO74"/>
    <mergeCell ref="AM63:AO63"/>
    <mergeCell ref="AL78:AO78"/>
    <mergeCell ref="AL70:AO70"/>
    <mergeCell ref="AM57:AO57"/>
    <mergeCell ref="AW46:AX46"/>
    <mergeCell ref="AW44:AX44"/>
    <mergeCell ref="AW42:AX42"/>
    <mergeCell ref="AW40:AX40"/>
    <mergeCell ref="AW41:AX41"/>
    <mergeCell ref="AW21:AX21"/>
    <mergeCell ref="AW22:AX22"/>
    <mergeCell ref="AW32:AX32"/>
    <mergeCell ref="AW34:AX34"/>
    <mergeCell ref="AW33:AX33"/>
    <mergeCell ref="BA139:BA140"/>
    <mergeCell ref="BB139:BC140"/>
    <mergeCell ref="BD139:BD140"/>
    <mergeCell ref="BE139:BE140"/>
    <mergeCell ref="BA137:BH137"/>
    <mergeCell ref="BA102:BH102"/>
    <mergeCell ref="V85:AG85"/>
    <mergeCell ref="V86:AG86"/>
    <mergeCell ref="V87:AG87"/>
    <mergeCell ref="V88:AG88"/>
    <mergeCell ref="V89:AG89"/>
    <mergeCell ref="V90:AG90"/>
    <mergeCell ref="V91:AG91"/>
    <mergeCell ref="V92:AG92"/>
    <mergeCell ref="V93:AG93"/>
    <mergeCell ref="BA104:BA105"/>
    <mergeCell ref="BB104:BC105"/>
    <mergeCell ref="BD104:BD105"/>
    <mergeCell ref="BE104:BE105"/>
    <mergeCell ref="AR123:AS123"/>
    <mergeCell ref="AL87:AO87"/>
    <mergeCell ref="AL88:AO88"/>
    <mergeCell ref="AR129:AS129"/>
    <mergeCell ref="AN123:AO123"/>
    <mergeCell ref="BR5:BX5"/>
    <mergeCell ref="GQ17:GQ18"/>
    <mergeCell ref="AH86:AK86"/>
    <mergeCell ref="AL86:AO86"/>
    <mergeCell ref="A64:G64"/>
    <mergeCell ref="X56:Z56"/>
    <mergeCell ref="R61:W61"/>
    <mergeCell ref="H44:J44"/>
    <mergeCell ref="BY49:BZ50"/>
    <mergeCell ref="BZ47:BZ48"/>
    <mergeCell ref="BI56:BX56"/>
    <mergeCell ref="BW57:BX57"/>
    <mergeCell ref="BI59:BX59"/>
    <mergeCell ref="BI60:BX60"/>
    <mergeCell ref="BQ54:BZ54"/>
    <mergeCell ref="BQ82:BY82"/>
    <mergeCell ref="H48:J48"/>
    <mergeCell ref="K44:M44"/>
    <mergeCell ref="AR18:AR19"/>
    <mergeCell ref="CB84:CB86"/>
    <mergeCell ref="BL18:BL19"/>
    <mergeCell ref="BA18:BA19"/>
    <mergeCell ref="AW47:AX47"/>
    <mergeCell ref="GP17:GP18"/>
  </mergeCells>
  <conditionalFormatting sqref="A20:W20">
    <cfRule type="expression" dxfId="152" priority="16">
      <formula>$U$14=0</formula>
    </cfRule>
  </conditionalFormatting>
  <conditionalFormatting sqref="B26:K26">
    <cfRule type="expression" dxfId="151" priority="26">
      <formula>$U$14=0</formula>
    </cfRule>
  </conditionalFormatting>
  <conditionalFormatting sqref="B29:K29">
    <cfRule type="cellIs" dxfId="150" priority="13" operator="greaterThan">
      <formula>0</formula>
    </cfRule>
  </conditionalFormatting>
  <conditionalFormatting sqref="C70:G70">
    <cfRule type="cellIs" dxfId="149" priority="7" operator="greaterThan">
      <formula>0</formula>
    </cfRule>
  </conditionalFormatting>
  <conditionalFormatting sqref="F87:I87">
    <cfRule type="cellIs" dxfId="148" priority="2" operator="greaterThan">
      <formula>0</formula>
    </cfRule>
  </conditionalFormatting>
  <conditionalFormatting sqref="F86:L86">
    <cfRule type="cellIs" dxfId="147" priority="3" operator="greaterThan">
      <formula>0</formula>
    </cfRule>
  </conditionalFormatting>
  <conditionalFormatting sqref="H65:J65">
    <cfRule type="expression" dxfId="146" priority="38">
      <formula>AND($AX$60="Oui",$AZ$62="")</formula>
    </cfRule>
    <cfRule type="expression" dxfId="145" priority="40">
      <formula>AND($AX$60="Oui",$AZ$62="hrs")</formula>
    </cfRule>
  </conditionalFormatting>
  <conditionalFormatting sqref="H66:J66">
    <cfRule type="expression" dxfId="144" priority="34">
      <formula>AND($AX$61="Oui",$AZ$63="")</formula>
    </cfRule>
    <cfRule type="expression" dxfId="143" priority="35">
      <formula>AND($AX$61="Oui",$AZ$63="jrs")</formula>
    </cfRule>
    <cfRule type="expression" dxfId="142" priority="36">
      <formula>AND($BW$41="Non",$AX$61="Non")</formula>
    </cfRule>
    <cfRule type="expression" dxfId="141" priority="37">
      <formula>AND($BW$41="Oui",$AX$61="Non")</formula>
    </cfRule>
  </conditionalFormatting>
  <conditionalFormatting sqref="H70:J71">
    <cfRule type="cellIs" dxfId="140" priority="6" operator="greaterThan">
      <formula>0</formula>
    </cfRule>
  </conditionalFormatting>
  <conditionalFormatting sqref="H65:K66">
    <cfRule type="cellIs" dxfId="139" priority="33" operator="equal">
      <formula>0</formula>
    </cfRule>
  </conditionalFormatting>
  <conditionalFormatting sqref="H67:M68">
    <cfRule type="cellIs" dxfId="138" priority="54" operator="equal">
      <formula>0</formula>
    </cfRule>
  </conditionalFormatting>
  <conditionalFormatting sqref="H69:M69">
    <cfRule type="cellIs" dxfId="137" priority="8" operator="greaterThan">
      <formula>0</formula>
    </cfRule>
  </conditionalFormatting>
  <conditionalFormatting sqref="H40:Z60">
    <cfRule type="cellIs" dxfId="136" priority="32" operator="equal">
      <formula>0</formula>
    </cfRule>
  </conditionalFormatting>
  <conditionalFormatting sqref="K81:K82 L82:T83 K88:T88 K89:Q90">
    <cfRule type="expression" dxfId="135" priority="512">
      <formula>$EO$6="OUI"</formula>
    </cfRule>
  </conditionalFormatting>
  <conditionalFormatting sqref="K87">
    <cfRule type="expression" dxfId="134" priority="4">
      <formula>$EO$6="OUI"</formula>
    </cfRule>
  </conditionalFormatting>
  <conditionalFormatting sqref="L18:O19">
    <cfRule type="cellIs" dxfId="133" priority="20" operator="equal">
      <formula>0</formula>
    </cfRule>
  </conditionalFormatting>
  <conditionalFormatting sqref="L21:O22">
    <cfRule type="cellIs" dxfId="132" priority="31" operator="equal">
      <formula>0</formula>
    </cfRule>
  </conditionalFormatting>
  <conditionalFormatting sqref="L27:O28">
    <cfRule type="cellIs" dxfId="131" priority="14" operator="greaterThan">
      <formula>0</formula>
    </cfRule>
  </conditionalFormatting>
  <conditionalFormatting sqref="L30:O32">
    <cfRule type="cellIs" dxfId="130" priority="12" operator="greaterThan">
      <formula>0</formula>
    </cfRule>
  </conditionalFormatting>
  <conditionalFormatting sqref="L34:O34">
    <cfRule type="cellIs" dxfId="129" priority="10" operator="greaterThan">
      <formula>0</formula>
    </cfRule>
  </conditionalFormatting>
  <conditionalFormatting sqref="L23:S24">
    <cfRule type="cellIs" dxfId="128" priority="15" operator="greaterThan">
      <formula>0</formula>
    </cfRule>
  </conditionalFormatting>
  <conditionalFormatting sqref="L25:S26">
    <cfRule type="cellIs" dxfId="127" priority="25" operator="equal">
      <formula>0</formula>
    </cfRule>
    <cfRule type="containsErrors" dxfId="126" priority="24">
      <formula>ISERROR(L25)</formula>
    </cfRule>
  </conditionalFormatting>
  <conditionalFormatting sqref="M87:T87">
    <cfRule type="expression" dxfId="125" priority="509">
      <formula>$EO$6="OUI"</formula>
    </cfRule>
  </conditionalFormatting>
  <conditionalFormatting sqref="N65:P71">
    <cfRule type="cellIs" dxfId="124" priority="60" operator="equal">
      <formula>0</formula>
    </cfRule>
  </conditionalFormatting>
  <conditionalFormatting sqref="O86">
    <cfRule type="expression" dxfId="123" priority="513">
      <formula>EO6="OUI"</formula>
    </cfRule>
  </conditionalFormatting>
  <conditionalFormatting sqref="O14:T14">
    <cfRule type="expression" dxfId="122" priority="209">
      <formula>$U$14=0</formula>
    </cfRule>
  </conditionalFormatting>
  <conditionalFormatting sqref="P20">
    <cfRule type="expression" dxfId="121" priority="17">
      <formula>$DP$14=1</formula>
    </cfRule>
  </conditionalFormatting>
  <conditionalFormatting sqref="P18:S18">
    <cfRule type="expression" dxfId="120" priority="21">
      <formula>$L$18=0</formula>
    </cfRule>
  </conditionalFormatting>
  <conditionalFormatting sqref="P19:S19">
    <cfRule type="expression" dxfId="119" priority="19">
      <formula>$L$19=0</formula>
    </cfRule>
  </conditionalFormatting>
  <conditionalFormatting sqref="P21:S21">
    <cfRule type="expression" dxfId="118" priority="30">
      <formula>$L$21=0</formula>
    </cfRule>
  </conditionalFormatting>
  <conditionalFormatting sqref="P22:S22">
    <cfRule type="expression" dxfId="117" priority="29">
      <formula>$L$22=0</formula>
    </cfRule>
  </conditionalFormatting>
  <conditionalFormatting sqref="R87:T87">
    <cfRule type="expression" dxfId="116" priority="508">
      <formula>$EO$7="OUI"</formula>
    </cfRule>
  </conditionalFormatting>
  <conditionalFormatting sqref="R89:T89">
    <cfRule type="expression" dxfId="115" priority="504">
      <formula>$EO$6="OUI"</formula>
    </cfRule>
    <cfRule type="expression" dxfId="114" priority="503">
      <formula>$EO$8="OUI"</formula>
    </cfRule>
  </conditionalFormatting>
  <conditionalFormatting sqref="R90:T90">
    <cfRule type="expression" dxfId="113" priority="511">
      <formula>$EO$6="OUI"</formula>
    </cfRule>
    <cfRule type="expression" dxfId="112" priority="510">
      <formula>$EO$7="OUI"</formula>
    </cfRule>
  </conditionalFormatting>
  <conditionalFormatting sqref="T20">
    <cfRule type="expression" dxfId="111" priority="18">
      <formula>$DP$14=1</formula>
    </cfRule>
  </conditionalFormatting>
  <conditionalFormatting sqref="T30:T32">
    <cfRule type="cellIs" dxfId="110" priority="28" operator="equal">
      <formula>0</formula>
    </cfRule>
  </conditionalFormatting>
  <conditionalFormatting sqref="T18:W19">
    <cfRule type="cellIs" dxfId="109" priority="22" operator="equal">
      <formula>0</formula>
    </cfRule>
  </conditionalFormatting>
  <conditionalFormatting sqref="T21:W28">
    <cfRule type="cellIs" dxfId="108" priority="27" operator="equal">
      <formula>0</formula>
    </cfRule>
  </conditionalFormatting>
  <conditionalFormatting sqref="T29:W29">
    <cfRule type="cellIs" dxfId="107" priority="11" operator="greaterThan">
      <formula>0</formula>
    </cfRule>
  </conditionalFormatting>
  <conditionalFormatting sqref="T33:W33">
    <cfRule type="cellIs" dxfId="106" priority="9" operator="greaterThan">
      <formula>0</formula>
    </cfRule>
  </conditionalFormatting>
  <conditionalFormatting sqref="T34:W34">
    <cfRule type="cellIs" dxfId="105" priority="23" operator="equal">
      <formula>0</formula>
    </cfRule>
  </conditionalFormatting>
  <conditionalFormatting sqref="U14:X14">
    <cfRule type="cellIs" dxfId="104" priority="207" operator="equal">
      <formula>0</formula>
    </cfRule>
  </conditionalFormatting>
  <conditionalFormatting sqref="V80:AF81">
    <cfRule type="cellIs" dxfId="103" priority="1" operator="notEqual">
      <formula>"Commentaires :"</formula>
    </cfRule>
  </conditionalFormatting>
  <conditionalFormatting sqref="Y73:AO75">
    <cfRule type="expression" dxfId="102" priority="64">
      <formula>$DP$8=52</formula>
    </cfRule>
  </conditionalFormatting>
  <conditionalFormatting sqref="AB20:AC50">
    <cfRule type="expression" dxfId="101" priority="429">
      <formula>VLOOKUP(AB20,base_feries,1,FALSE)</formula>
    </cfRule>
    <cfRule type="expression" dxfId="100" priority="428">
      <formula>OR(WEEKDAY(AB20,2)=6,WEEKDAY(AB20,2)=7)</formula>
    </cfRule>
    <cfRule type="expression" dxfId="99" priority="427">
      <formula>WEEKDAY(AB20,2)=7</formula>
    </cfRule>
  </conditionalFormatting>
  <conditionalFormatting sqref="AD20:AF50">
    <cfRule type="expression" dxfId="98" priority="299">
      <formula>FC20="oui"</formula>
    </cfRule>
    <cfRule type="cellIs" dxfId="97" priority="300" operator="equal">
      <formula>0</formula>
    </cfRule>
  </conditionalFormatting>
  <conditionalFormatting sqref="AG20:AI50">
    <cfRule type="expression" dxfId="96" priority="301">
      <formula>FC20="oui"</formula>
    </cfRule>
  </conditionalFormatting>
  <conditionalFormatting sqref="AH83:AH84">
    <cfRule type="cellIs" dxfId="95" priority="523" stopIfTrue="1" operator="equal">
      <formula>0</formula>
    </cfRule>
  </conditionalFormatting>
  <conditionalFormatting sqref="AH89:AH91">
    <cfRule type="cellIs" dxfId="94" priority="69" stopIfTrue="1" operator="equal">
      <formula>0</formula>
    </cfRule>
  </conditionalFormatting>
  <conditionalFormatting sqref="AH93:AK93">
    <cfRule type="cellIs" dxfId="93" priority="514" operator="equal">
      <formula>0</formula>
    </cfRule>
  </conditionalFormatting>
  <conditionalFormatting sqref="AH86:AL87">
    <cfRule type="cellIs" dxfId="92" priority="65" stopIfTrue="1" operator="equal">
      <formula>0</formula>
    </cfRule>
  </conditionalFormatting>
  <conditionalFormatting sqref="AH92:AO92">
    <cfRule type="cellIs" dxfId="91" priority="239" operator="lessThan">
      <formula>-0.001</formula>
    </cfRule>
  </conditionalFormatting>
  <conditionalFormatting sqref="AJ20:AL50">
    <cfRule type="expression" dxfId="90" priority="302">
      <formula>FC20="oui"</formula>
    </cfRule>
  </conditionalFormatting>
  <conditionalFormatting sqref="AL83">
    <cfRule type="cellIs" dxfId="89" priority="522" stopIfTrue="1" operator="equal">
      <formula>0</formula>
    </cfRule>
  </conditionalFormatting>
  <conditionalFormatting sqref="AL89:AL91">
    <cfRule type="cellIs" dxfId="88" priority="68" stopIfTrue="1" operator="equal">
      <formula>0</formula>
    </cfRule>
  </conditionalFormatting>
  <conditionalFormatting sqref="AL93">
    <cfRule type="cellIs" dxfId="87" priority="521" stopIfTrue="1" operator="equal">
      <formula>0</formula>
    </cfRule>
  </conditionalFormatting>
  <conditionalFormatting sqref="AM20:AO50">
    <cfRule type="expression" dxfId="86" priority="303">
      <formula>FC20="oui"</formula>
    </cfRule>
  </conditionalFormatting>
  <conditionalFormatting sqref="AP20:AP50">
    <cfRule type="expression" dxfId="85" priority="146">
      <formula>BL20="F"</formula>
    </cfRule>
    <cfRule type="expression" dxfId="84" priority="150">
      <formula>BL20="B"</formula>
    </cfRule>
    <cfRule type="expression" dxfId="83" priority="149">
      <formula>BL20="C"</formula>
    </cfRule>
    <cfRule type="expression" dxfId="82" priority="148">
      <formula>BL20="D"</formula>
    </cfRule>
    <cfRule type="expression" dxfId="81" priority="147">
      <formula>BL20="E"</formula>
    </cfRule>
    <cfRule type="expression" dxfId="80" priority="144">
      <formula>BL20="H"</formula>
    </cfRule>
    <cfRule type="expression" dxfId="79" priority="145">
      <formula>BL20="G"</formula>
    </cfRule>
  </conditionalFormatting>
  <conditionalFormatting sqref="AQ62:AU62">
    <cfRule type="expression" dxfId="78" priority="46">
      <formula>$AT$60="Non"</formula>
    </cfRule>
  </conditionalFormatting>
  <conditionalFormatting sqref="AQ63:AU63">
    <cfRule type="expression" dxfId="77" priority="43">
      <formula>$AT$61="Non"</formula>
    </cfRule>
  </conditionalFormatting>
  <conditionalFormatting sqref="AR20:AR50">
    <cfRule type="expression" dxfId="76" priority="181">
      <formula>FC20="oui"</formula>
    </cfRule>
    <cfRule type="expression" dxfId="75" priority="173">
      <formula>AB20=""</formula>
    </cfRule>
    <cfRule type="expression" dxfId="74" priority="185">
      <formula>FN20=10</formula>
    </cfRule>
    <cfRule type="expression" dxfId="73" priority="189">
      <formula>AND(AR20&lt;&gt;"",AZ20&lt;&gt;"")</formula>
    </cfRule>
  </conditionalFormatting>
  <conditionalFormatting sqref="AR17:BJ50">
    <cfRule type="expression" dxfId="72" priority="49">
      <formula>$EX$13="oui"</formula>
    </cfRule>
  </conditionalFormatting>
  <conditionalFormatting sqref="AS51:BJ51 DK51">
    <cfRule type="expression" dxfId="71" priority="134">
      <formula>$EX$13="oui"</formula>
    </cfRule>
  </conditionalFormatting>
  <conditionalFormatting sqref="AT4:AT10">
    <cfRule type="expression" dxfId="70" priority="450">
      <formula>AU4="B"</formula>
    </cfRule>
    <cfRule type="expression" dxfId="69" priority="449">
      <formula>AU4="C"</formula>
    </cfRule>
    <cfRule type="expression" dxfId="68" priority="444">
      <formula>AU4="H"</formula>
    </cfRule>
    <cfRule type="expression" dxfId="67" priority="445">
      <formula>AU4="G"</formula>
    </cfRule>
    <cfRule type="expression" dxfId="66" priority="446">
      <formula>AU4="F"</formula>
    </cfRule>
    <cfRule type="expression" dxfId="65" priority="447">
      <formula>AU4="E"</formula>
    </cfRule>
    <cfRule type="expression" dxfId="64" priority="448">
      <formula>AU4="D"</formula>
    </cfRule>
  </conditionalFormatting>
  <conditionalFormatting sqref="AT20:AT50">
    <cfRule type="expression" dxfId="63" priority="184">
      <formula>FC20="oui"</formula>
    </cfRule>
    <cfRule type="expression" dxfId="62" priority="180">
      <formula>AB20=""</formula>
    </cfRule>
  </conditionalFormatting>
  <conditionalFormatting sqref="AU4:AU10">
    <cfRule type="expression" dxfId="61" priority="380">
      <formula>AT4=""</formula>
    </cfRule>
    <cfRule type="expression" dxfId="60" priority="381">
      <formula>FG4="rouge"</formula>
    </cfRule>
  </conditionalFormatting>
  <conditionalFormatting sqref="AU20:AU50">
    <cfRule type="expression" dxfId="59" priority="188">
      <formula>FC20="oui"</formula>
    </cfRule>
    <cfRule type="expression" dxfId="58" priority="179">
      <formula>AB20=""</formula>
    </cfRule>
  </conditionalFormatting>
  <conditionalFormatting sqref="AW20:AX50">
    <cfRule type="expression" dxfId="57" priority="191">
      <formula>WEEKDAY(AW20,2)=7</formula>
    </cfRule>
    <cfRule type="expression" dxfId="56" priority="193">
      <formula>VLOOKUP(AW20,base_feries,1,FALSE)</formula>
    </cfRule>
    <cfRule type="expression" dxfId="55" priority="192">
      <formula>OR(WEEKDAY(AW20,2)=6,WEEKDAY(AW20,2)=7)</formula>
    </cfRule>
  </conditionalFormatting>
  <conditionalFormatting sqref="AX62:AZ62">
    <cfRule type="expression" dxfId="54" priority="45">
      <formula>$AX$60="Non"</formula>
    </cfRule>
  </conditionalFormatting>
  <conditionalFormatting sqref="AX63:AZ63">
    <cfRule type="expression" dxfId="53" priority="42">
      <formula>$AX$61="Non"</formula>
    </cfRule>
  </conditionalFormatting>
  <conditionalFormatting sqref="AZ20:AZ50">
    <cfRule type="expression" dxfId="52" priority="51">
      <formula>FC20="oui"</formula>
    </cfRule>
    <cfRule type="expression" dxfId="51" priority="50">
      <formula>AB20=""</formula>
    </cfRule>
    <cfRule type="expression" dxfId="50" priority="52">
      <formula>FL20=10</formula>
    </cfRule>
    <cfRule type="expression" dxfId="49" priority="53">
      <formula>AND(AR20&lt;&gt;"",AZ20&lt;&gt;"")</formula>
    </cfRule>
  </conditionalFormatting>
  <conditionalFormatting sqref="BA20:BA50">
    <cfRule type="expression" dxfId="48" priority="178">
      <formula>AB20=""</formula>
    </cfRule>
    <cfRule type="expression" dxfId="47" priority="182">
      <formula>FC20="oui"</formula>
    </cfRule>
  </conditionalFormatting>
  <conditionalFormatting sqref="BA62">
    <cfRule type="expression" dxfId="46" priority="44">
      <formula>$BA$60="Non"</formula>
    </cfRule>
  </conditionalFormatting>
  <conditionalFormatting sqref="BA63">
    <cfRule type="expression" dxfId="45" priority="41">
      <formula>$BA$61="Non"</formula>
    </cfRule>
  </conditionalFormatting>
  <conditionalFormatting sqref="BA102 BA103:BH115">
    <cfRule type="expression" dxfId="44" priority="67">
      <formula>$DP$8=52</formula>
    </cfRule>
  </conditionalFormatting>
  <conditionalFormatting sqref="BA137 BA138:BH149">
    <cfRule type="expression" dxfId="43" priority="66">
      <formula>$DP$8=52</formula>
    </cfRule>
  </conditionalFormatting>
  <conditionalFormatting sqref="BC20:BC55">
    <cfRule type="expression" dxfId="42" priority="175">
      <formula>AJ20=""</formula>
    </cfRule>
    <cfRule type="cellIs" dxfId="41" priority="187" operator="equal">
      <formula>0</formula>
    </cfRule>
  </conditionalFormatting>
  <conditionalFormatting sqref="BC112:BH112">
    <cfRule type="expression" dxfId="40" priority="95">
      <formula>$BA$112=""</formula>
    </cfRule>
  </conditionalFormatting>
  <conditionalFormatting sqref="BC147:BH147">
    <cfRule type="expression" dxfId="39" priority="94">
      <formula>$BA$112=""</formula>
    </cfRule>
  </conditionalFormatting>
  <conditionalFormatting sqref="BD20:BD50">
    <cfRule type="expression" dxfId="38" priority="176">
      <formula>FL20="oui"</formula>
    </cfRule>
  </conditionalFormatting>
  <conditionalFormatting sqref="BE20:BE50">
    <cfRule type="expression" dxfId="37" priority="186">
      <formula>OR(BE20=0,BE20="")</formula>
    </cfRule>
  </conditionalFormatting>
  <conditionalFormatting sqref="BH20:BH50">
    <cfRule type="expression" dxfId="36" priority="135">
      <formula>AO20=""</formula>
    </cfRule>
    <cfRule type="cellIs" dxfId="35" priority="172" operator="equal">
      <formula>0</formula>
    </cfRule>
  </conditionalFormatting>
  <conditionalFormatting sqref="BI9:BI14">
    <cfRule type="cellIs" dxfId="34" priority="101" operator="equal">
      <formula>0</formula>
    </cfRule>
  </conditionalFormatting>
  <conditionalFormatting sqref="BQ54">
    <cfRule type="expression" dxfId="33" priority="424">
      <formula>$BW$41="Non"</formula>
    </cfRule>
  </conditionalFormatting>
  <conditionalFormatting sqref="BQ36:CA36">
    <cfRule type="expression" dxfId="32" priority="425">
      <formula>$BW$41="Oui"</formula>
    </cfRule>
  </conditionalFormatting>
  <conditionalFormatting sqref="BS21:CA34">
    <cfRule type="expression" dxfId="31" priority="81">
      <formula>$EO$12="NON"</formula>
    </cfRule>
  </conditionalFormatting>
  <conditionalFormatting sqref="BY28:BY33">
    <cfRule type="notContainsBlanks" dxfId="30" priority="82">
      <formula>LEN(TRIM(BY28))&gt;0</formula>
    </cfRule>
  </conditionalFormatting>
  <conditionalFormatting sqref="BY56">
    <cfRule type="expression" dxfId="29" priority="471">
      <formula>$BW$41="Oui"</formula>
    </cfRule>
    <cfRule type="duplicateValues" dxfId="28" priority="472"/>
  </conditionalFormatting>
  <conditionalFormatting sqref="BY60">
    <cfRule type="expression" dxfId="27" priority="465">
      <formula>$BW$41="Oui"</formula>
    </cfRule>
    <cfRule type="cellIs" dxfId="26" priority="466" operator="lessThan">
      <formula>$BY$59</formula>
    </cfRule>
    <cfRule type="duplicateValues" dxfId="25" priority="467"/>
  </conditionalFormatting>
  <conditionalFormatting sqref="CA56">
    <cfRule type="expression" dxfId="23" priority="276">
      <formula>AND($CA$56&lt;$CE$47,$BW$41="Non")</formula>
    </cfRule>
  </conditionalFormatting>
  <conditionalFormatting sqref="CE53:CE54">
    <cfRule type="expression" dxfId="22" priority="153">
      <formula>$BW$41="Non"</formula>
    </cfRule>
  </conditionalFormatting>
  <conditionalFormatting sqref="CE57:CE58">
    <cfRule type="expression" dxfId="21" priority="152">
      <formula>$BW$41="Non"</formula>
    </cfRule>
  </conditionalFormatting>
  <conditionalFormatting sqref="CE3:CF3">
    <cfRule type="expression" dxfId="20" priority="113">
      <formula>AND($CE$3="",$CE$5&lt;&gt;"")</formula>
    </cfRule>
    <cfRule type="expression" dxfId="19" priority="114">
      <formula>$CD$3=""</formula>
    </cfRule>
    <cfRule type="expression" dxfId="18" priority="112">
      <formula>$FX$3="vrai"</formula>
    </cfRule>
  </conditionalFormatting>
  <conditionalFormatting sqref="CE5:CF5">
    <cfRule type="expression" dxfId="17" priority="119">
      <formula>$FX$5="vrai"</formula>
    </cfRule>
    <cfRule type="expression" dxfId="16" priority="121">
      <formula>OR(AND(CE5&lt;&gt;0,CE5&lt;AJ4),AND(CE5&lt;&gt;0,CE5&gt;EG5),AND(CE5&lt;&gt;0,CE5&lt;AB20))</formula>
    </cfRule>
    <cfRule type="expression" dxfId="15" priority="120">
      <formula>CD5=""</formula>
    </cfRule>
  </conditionalFormatting>
  <conditionalFormatting sqref="CE8:CF8">
    <cfRule type="expression" dxfId="14" priority="117">
      <formula>AND(CE8&lt;&gt;0,CE8&lt;AJ4)</formula>
    </cfRule>
    <cfRule type="expression" dxfId="13" priority="115">
      <formula>$FX$8="vrai"</formula>
    </cfRule>
    <cfRule type="expression" dxfId="12" priority="116">
      <formula>CD8=""</formula>
    </cfRule>
    <cfRule type="cellIs" dxfId="11" priority="118" operator="greaterThan">
      <formula>$CE$5</formula>
    </cfRule>
  </conditionalFormatting>
  <conditionalFormatting sqref="CF47">
    <cfRule type="notContainsBlanks" dxfId="10" priority="412">
      <formula>LEN(TRIM(CF47))&gt;0</formula>
    </cfRule>
  </conditionalFormatting>
  <conditionalFormatting sqref="CF49">
    <cfRule type="notContainsBlanks" dxfId="9" priority="411">
      <formula>LEN(TRIM(CF49))&gt;0</formula>
    </cfRule>
  </conditionalFormatting>
  <conditionalFormatting sqref="CF53:CF54">
    <cfRule type="expression" dxfId="7" priority="156">
      <formula>$BW$41="Non"</formula>
    </cfRule>
  </conditionalFormatting>
  <conditionalFormatting sqref="CF57:CF58">
    <cfRule type="expression" dxfId="4" priority="154">
      <formula>$BW$41="Non"</formula>
    </cfRule>
  </conditionalFormatting>
  <conditionalFormatting sqref="CG8:CI8">
    <cfRule type="expression" dxfId="3" priority="248">
      <formula>CD8=""</formula>
    </cfRule>
  </conditionalFormatting>
  <conditionalFormatting sqref="GW16:HR16">
    <cfRule type="expression" dxfId="2" priority="402">
      <formula>$AE$123="NON"</formula>
    </cfRule>
  </conditionalFormatting>
  <conditionalFormatting sqref="HG16:HJ16">
    <cfRule type="expression" dxfId="1" priority="4902">
      <formula>AR123&gt;0</formula>
    </cfRule>
  </conditionalFormatting>
  <conditionalFormatting sqref="HK16:HN16">
    <cfRule type="expression" dxfId="0" priority="4903">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300-000000000000}">
      <formula1>0</formula1>
      <formula2>0</formula2>
    </dataValidation>
    <dataValidation type="list" allowBlank="1" showInputMessage="1" showErrorMessage="1" sqref="F80:H80" xr:uid="{00000000-0002-0000-2300-000001000000}">
      <formula1>"Chèque,Espèce,Virement,Pajemploi +,CESU"</formula1>
    </dataValidation>
    <dataValidation type="list" allowBlank="1" showInputMessage="1" showErrorMessage="1" sqref="F82:H82" xr:uid="{00000000-0002-0000-2300-000002000000}">
      <formula1>"' ,Chèque,Espèce,Virement,Pajemploi +,CESU"</formula1>
    </dataValidation>
    <dataValidation type="list" allowBlank="1" showInputMessage="1" showErrorMessage="1" sqref="AU4:AU10" xr:uid="{00000000-0002-0000-2300-000003000000}">
      <formula1>"A,B,C,D,E,F,G,H"</formula1>
    </dataValidation>
    <dataValidation showInputMessage="1" showErrorMessage="1" sqref="BY6" xr:uid="{00000000-0002-0000-2300-000004000000}"/>
    <dataValidation type="list" allowBlank="1" showInputMessage="1" showErrorMessage="1" sqref="L123:M123 L125:M125 AI127:AJ127 AJ125:AK125 CC132 BF20:BF50" xr:uid="{00000000-0002-0000-2300-000006000000}">
      <formula1>"OUI,NON"</formula1>
    </dataValidation>
    <dataValidation type="list" allowBlank="1" showInputMessage="1" showErrorMessage="1" sqref="BX41" xr:uid="{00000000-0002-0000-2300-000007000000}">
      <formula1>Table_utilisation_tab_entretien</formula1>
    </dataValidation>
    <dataValidation type="list" showInputMessage="1" showErrorMessage="1" sqref="AR14:AZ14" xr:uid="{00000000-0002-0000-2300-000009000000}">
      <formula1>calendrier_bs</formula1>
    </dataValidation>
    <dataValidation type="list" showInputMessage="1" showErrorMessage="1" sqref="BZ118" xr:uid="{00000000-0002-0000-2300-00000A000000}">
      <formula1>"Scénario 1,Scénario 2,Scénario 3,Scénario 4,"</formula1>
    </dataValidation>
    <dataValidation type="list" allowBlank="1" showInputMessage="1" showErrorMessage="1" sqref="BZ2" xr:uid="{00000000-0002-0000-2300-00000B000000}">
      <formula1>Source_liste_fiche2</formula1>
    </dataValidation>
    <dataValidation type="list" allowBlank="1" showInputMessage="1" sqref="CF58 CF54 DJ51:DK52" xr:uid="{00000000-0002-0000-2300-00000C000000}">
      <formula1>"1,2,3,4,5,6,7,8,9,10,11,12,13"</formula1>
    </dataValidation>
    <dataValidation allowBlank="1" showInputMessage="1" sqref="BY56 BY60 CE54 CE58" xr:uid="{00000000-0002-0000-2300-00000D000000}"/>
    <dataValidation type="list" allowBlank="1" showInputMessage="1" sqref="BY57" xr:uid="{00000000-0002-0000-2300-00000E000000}">
      <formula1>"0,1,2,3,4,5,6,7,8,9,10,11,12,13,14,24"</formula1>
    </dataValidation>
    <dataValidation type="list" allowBlank="1" showInputMessage="1" showErrorMessage="1" sqref="AX76:AY76 AX79:AY79 AX82:AY82 AX85:AY85" xr:uid="{00000000-0002-0000-2300-00000F000000}">
      <formula1>liste_attestation_modif_pole</formula1>
    </dataValidation>
    <dataValidation type="list" allowBlank="1" showInputMessage="1" showErrorMessage="1" sqref="CE3:CF3" xr:uid="{00000000-0002-0000-2300-000010000000}">
      <formula1>motif_rupture</formula1>
    </dataValidation>
    <dataValidation type="list" showInputMessage="1" showErrorMessage="1" error="Vous devez choisir entre :_x000a_ - cellule vide_x000a_ - CP Acq_x000a_ - CP Ant" sqref="AR20:AR50" xr:uid="{00000000-0002-0000-2300-000011000000}">
      <formula1>Source_pose_CP</formula1>
    </dataValidation>
    <dataValidation type="list" allowBlank="1" showInputMessage="1" showErrorMessage="1" sqref="BA60:BA61 AT60:AT61 AX60:AY61" xr:uid="{14C03E70-2806-4AA6-85AA-A13DCE1B969B}">
      <formula1>"Non,Oui"</formula1>
    </dataValidation>
    <dataValidation allowBlank="1" showInputMessage="1" showErrorMessage="1" prompt="Vous pouvez choisir avec la petite flèche à droite &quot;Salaires heures normales réelles &quot;" sqref="A18:K18" xr:uid="{A17D96FE-2374-4537-BEF2-F53F9CB39895}"/>
    <dataValidation type="list" errorStyle="information" allowBlank="1" showInputMessage="1" showErrorMessage="1" error="Faites Entrée pour valider le nombre d'heures" sqref="AZ20:AZ50" xr:uid="{4961B251-9A5A-4C1D-8835-CF8CA954F0BC}">
      <formula1>liste_motif</formula1>
    </dataValidation>
    <dataValidation type="list" allowBlank="1" showInputMessage="1" showErrorMessage="1" sqref="AZ62:AZ63" xr:uid="{5533ABA1-EE58-4BAF-A024-4F810C2B4335}">
      <formula1>liste_hrs_jrs</formula1>
    </dataValidation>
    <dataValidation type="list" allowBlank="1" showInputMessage="1" showErrorMessage="1" sqref="AO131:AP133 AH133:AI133" xr:uid="{9F851A96-C290-423A-9429-EAA914D0FC0B}">
      <formula1>"Oui,Non"</formula1>
    </dataValidation>
    <dataValidation type="list" allowBlank="1" showInputMessage="1" showErrorMessage="1" sqref="AJ135:AK135" xr:uid="{B7AB4E20-3FF2-4116-889A-C93743D8CA4D}">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360333F9-263E-4BA6-AFB0-CDC278C50BBB}">
            <xm:f>Avril!$BY$8="OUI"</xm:f>
            <x14:dxf>
              <font>
                <color theme="0"/>
              </font>
              <fill>
                <patternFill>
                  <bgColor theme="0"/>
                </patternFill>
              </fill>
            </x14:dxf>
          </x14:cfRule>
          <xm:sqref>BZ8</xm:sqref>
        </x14:conditionalFormatting>
        <x14:conditionalFormatting xmlns:xm="http://schemas.microsoft.com/office/excel/2006/main">
          <x14:cfRule type="expression" priority="157" id="{D3C0DFE0-49C8-480C-A965-8663D64CCAA5}">
            <xm:f>AND($EO$11="NON",$CC$44=S.CAL!$BC$4)</xm:f>
            <x14:dxf>
              <fill>
                <patternFill>
                  <bgColor rgb="FFFF0000"/>
                </patternFill>
              </fill>
            </x14:dxf>
          </x14:cfRule>
          <xm:sqref>CF53:CF54</xm:sqref>
        </x14:conditionalFormatting>
        <x14:conditionalFormatting xmlns:xm="http://schemas.microsoft.com/office/excel/2006/main">
          <x14:cfRule type="expression" priority="151" id="{431C822C-E458-42B7-882D-F745CD4A107D}">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4D90A888-FD5E-409E-B8C6-52FA4872CD04}">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300-000013000000}">
          <x14:formula1>
            <xm:f>S.CAL!$V$2:$V$4</xm:f>
          </x14:formula1>
          <xm:sqref>AN123:AO123 BZ8 AN129:AO129</xm:sqref>
        </x14:dataValidation>
        <x14:dataValidation type="list" allowBlank="1" showInputMessage="1" showErrorMessage="1" xr:uid="{00000000-0002-0000-2300-000014000000}">
          <x14:formula1>
            <xm:f>S.CAL!$S$2:$S$4</xm:f>
          </x14:formula1>
          <xm:sqref>BZ6</xm:sqref>
        </x14:dataValidation>
        <x14:dataValidation type="list" allowBlank="1" showInputMessage="1" showErrorMessage="1" xr:uid="{AD55DA5C-EC84-46A4-9420-856D0642A1DB}">
          <x14:formula1>
            <xm:f>S.CAL!$BC$2:$BC$5</xm:f>
          </x14:formula1>
          <xm:sqref>CC45:CD45</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pageSetUpPr fitToPage="1"/>
  </sheetPr>
  <dimension ref="A1:JZ149"/>
  <sheetViews>
    <sheetView showGridLines="0" zoomScale="90" zoomScaleNormal="90" workbookViewId="0">
      <selection sqref="A1:AO1"/>
    </sheetView>
  </sheetViews>
  <sheetFormatPr baseColWidth="10" defaultColWidth="11.42578125" defaultRowHeight="12.75" x14ac:dyDescent="0.2"/>
  <cols>
    <col min="1" max="1" width="4.42578125" style="129" customWidth="1"/>
    <col min="2" max="2" width="9" style="129" customWidth="1"/>
    <col min="3" max="5" width="3.42578125" style="129" customWidth="1"/>
    <col min="6" max="7" width="4.85546875" style="129" customWidth="1"/>
    <col min="8" max="13" width="3.42578125" style="129" customWidth="1"/>
    <col min="14" max="14" width="3.7109375" style="129" customWidth="1"/>
    <col min="15" max="15" width="3.85546875" style="129" customWidth="1"/>
    <col min="16" max="16" width="4" style="129" customWidth="1"/>
    <col min="17" max="17" width="2.42578125" style="129" customWidth="1"/>
    <col min="18" max="26" width="3.42578125" style="129" customWidth="1"/>
    <col min="27" max="27" width="2.5703125" style="129" customWidth="1"/>
    <col min="28" max="28" width="3" style="129" customWidth="1"/>
    <col min="29" max="29" width="3.5703125" style="129" customWidth="1"/>
    <col min="30" max="40" width="3" style="129" customWidth="1"/>
    <col min="41" max="41" width="5" style="129" customWidth="1"/>
    <col min="42" max="42" width="3.7109375" style="129" customWidth="1"/>
    <col min="43" max="43" width="6.5703125" style="129" customWidth="1"/>
    <col min="44" max="44" width="6.85546875" style="129" customWidth="1"/>
    <col min="45" max="45" width="6.5703125" style="196" customWidth="1"/>
    <col min="46" max="46" width="7.85546875" style="196" customWidth="1"/>
    <col min="47" max="47" width="8" style="196" customWidth="1"/>
    <col min="48" max="48" width="3" style="196" customWidth="1"/>
    <col min="49" max="49" width="2.7109375" style="196" customWidth="1"/>
    <col min="50" max="50" width="4" style="196" customWidth="1"/>
    <col min="51" max="51" width="3" style="196" customWidth="1"/>
    <col min="52" max="52" width="8.5703125" style="196" customWidth="1"/>
    <col min="53" max="53" width="11.140625" style="196" customWidth="1"/>
    <col min="54" max="54" width="2.5703125" style="196" customWidth="1"/>
    <col min="55" max="55" width="10.140625" style="196" customWidth="1"/>
    <col min="56" max="56" width="8.5703125" style="196" customWidth="1"/>
    <col min="57" max="57" width="10.140625" style="196" customWidth="1"/>
    <col min="58" max="58" width="9.28515625" style="196" customWidth="1"/>
    <col min="59" max="59" width="4" style="196" customWidth="1"/>
    <col min="60" max="60" width="10.140625" style="196" customWidth="1"/>
    <col min="61" max="61" width="8.7109375" style="196" customWidth="1"/>
    <col min="62" max="62" width="12.42578125" style="196" hidden="1" customWidth="1"/>
    <col min="63" max="65" width="8.7109375" style="196" hidden="1" customWidth="1"/>
    <col min="66" max="66" width="3" style="196" hidden="1" customWidth="1"/>
    <col min="67" max="67" width="7" style="196" hidden="1" customWidth="1"/>
    <col min="68" max="68" width="4" style="196" customWidth="1"/>
    <col min="69" max="69" width="6.5703125" style="129" customWidth="1"/>
    <col min="70" max="70" width="4.28515625" style="129" customWidth="1"/>
    <col min="71" max="73" width="3.7109375" style="129" customWidth="1"/>
    <col min="74" max="74" width="4.28515625" style="129" customWidth="1"/>
    <col min="75" max="75" width="4.7109375" style="129" customWidth="1"/>
    <col min="76" max="76" width="5.5703125" style="129" customWidth="1"/>
    <col min="77" max="77" width="24.5703125" style="129" customWidth="1"/>
    <col min="78" max="78" width="25" style="129" customWidth="1"/>
    <col min="79" max="79" width="14.7109375" style="129" customWidth="1"/>
    <col min="80" max="80" width="14.28515625" style="129" customWidth="1"/>
    <col min="81" max="81" width="12.28515625" style="129" customWidth="1"/>
    <col min="82" max="103" width="11.42578125" style="129"/>
    <col min="104" max="104" width="11.42578125" style="129" customWidth="1"/>
    <col min="105" max="108" width="11.42578125" style="129" hidden="1" customWidth="1"/>
    <col min="109" max="115" width="11.42578125" style="315" hidden="1" customWidth="1"/>
    <col min="116" max="116" width="19.140625" style="315" hidden="1" customWidth="1"/>
    <col min="117" max="124" width="11.42578125" style="315" hidden="1" customWidth="1"/>
    <col min="125" max="125" width="18" style="315" hidden="1" customWidth="1"/>
    <col min="126" max="127" width="17.42578125" style="315" hidden="1" customWidth="1"/>
    <col min="128" max="159" width="11.42578125" style="315" hidden="1" customWidth="1"/>
    <col min="160" max="160" width="13.140625" style="315" hidden="1" customWidth="1"/>
    <col min="161" max="166" width="11.42578125" style="315" hidden="1" customWidth="1"/>
    <col min="167" max="184" width="11.42578125" style="129" hidden="1" customWidth="1"/>
    <col min="185" max="185" width="22" style="129" hidden="1" customWidth="1"/>
    <col min="186" max="186" width="11.5703125" style="129" hidden="1" customWidth="1"/>
    <col min="187" max="204" width="11.42578125" style="129" hidden="1" customWidth="1"/>
    <col min="205" max="226" width="4.7109375" style="129" hidden="1" customWidth="1"/>
    <col min="227" max="286" width="11.42578125" style="129" hidden="1" customWidth="1"/>
    <col min="287" max="343" width="11.42578125" style="129" customWidth="1"/>
    <col min="344" max="16384" width="11.42578125" style="129"/>
  </cols>
  <sheetData>
    <row r="1" spans="1:226" ht="18" customHeight="1" x14ac:dyDescent="0.2">
      <c r="A1" s="2180" t="s">
        <v>499</v>
      </c>
      <c r="B1" s="2180"/>
      <c r="C1" s="2180"/>
      <c r="D1" s="2180"/>
      <c r="E1" s="2180"/>
      <c r="F1" s="2180"/>
      <c r="G1" s="2180"/>
      <c r="H1" s="2180"/>
      <c r="I1" s="2180"/>
      <c r="J1" s="2180"/>
      <c r="K1" s="2180"/>
      <c r="L1" s="2180"/>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180"/>
      <c r="AO1" s="2180"/>
      <c r="BA1" s="809"/>
      <c r="BB1" s="206"/>
      <c r="BC1" s="809"/>
      <c r="BD1" s="809"/>
      <c r="BZ1" s="129" t="s">
        <v>1033</v>
      </c>
      <c r="CA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J1" s="315" t="s">
        <v>1114</v>
      </c>
      <c r="DK1" s="315" t="s">
        <v>1115</v>
      </c>
      <c r="DL1" s="315">
        <f>+ROUND(INT(DL3),0)</f>
        <v>6</v>
      </c>
      <c r="DO1" s="733" t="s">
        <v>510</v>
      </c>
      <c r="EF1" s="315" t="s">
        <v>949</v>
      </c>
      <c r="EG1" s="734">
        <f>+T35-T32-T33-T34</f>
        <v>0</v>
      </c>
    </row>
    <row r="2" spans="1:226" ht="18" customHeight="1" x14ac:dyDescent="0.2">
      <c r="A2" s="197"/>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Q2" s="316"/>
      <c r="AT2" s="198" t="s">
        <v>249</v>
      </c>
      <c r="AU2" s="129"/>
      <c r="BF2" s="1983" t="s">
        <v>1090</v>
      </c>
      <c r="BG2" s="1983"/>
      <c r="BH2" s="1983"/>
      <c r="BI2" s="1983"/>
      <c r="BJ2" s="1983"/>
      <c r="BK2" s="1983"/>
      <c r="BL2" s="1983"/>
      <c r="BM2" s="1983"/>
      <c r="BN2" s="1983"/>
      <c r="BO2" s="1983"/>
      <c r="BP2" s="1983"/>
      <c r="BQ2" s="1983"/>
      <c r="BR2" s="1980" t="s">
        <v>508</v>
      </c>
      <c r="BS2" s="1980"/>
      <c r="BT2" s="1980"/>
      <c r="BU2" s="1980"/>
      <c r="BV2" s="1980"/>
      <c r="BW2" s="1980"/>
      <c r="BX2" s="1980"/>
      <c r="BY2" s="129" t="str">
        <f>+VLOOKUP(X3,S.CAL!DH3:DI14,2,FALSE)</f>
        <v>Fiche info</v>
      </c>
      <c r="BZ2" s="1113"/>
      <c r="CA2" s="651" t="s">
        <v>1082</v>
      </c>
      <c r="CC2" s="131"/>
      <c r="CD2" s="867"/>
      <c r="CG2" s="447"/>
      <c r="CH2" s="447"/>
      <c r="CI2" s="447"/>
      <c r="CJ2" s="447"/>
      <c r="CK2" s="447"/>
      <c r="CL2" s="447"/>
      <c r="CM2" s="447"/>
      <c r="CN2" s="447"/>
      <c r="CO2" s="447"/>
      <c r="CP2" s="447"/>
      <c r="CQ2" s="447"/>
      <c r="CR2" s="447"/>
      <c r="CS2" s="447"/>
      <c r="CT2" s="447"/>
      <c r="CU2" s="447"/>
      <c r="CV2" s="447"/>
      <c r="CW2" s="447"/>
      <c r="CX2" s="447"/>
      <c r="CY2" s="447"/>
      <c r="CZ2" s="447"/>
      <c r="DA2" s="447"/>
      <c r="DB2" s="447"/>
      <c r="DC2" s="447"/>
      <c r="DD2" s="447"/>
      <c r="DK2" s="315" t="s">
        <v>1116</v>
      </c>
      <c r="DL2" s="315">
        <f>+IF(DL4&gt;=10,DL4,"0"&amp;DL4)</f>
        <v>14</v>
      </c>
      <c r="DO2" s="402" t="s">
        <v>918</v>
      </c>
      <c r="DP2" s="315">
        <f>+VLOOKUP(DP4,base_donné_contrat,15,FALSE)</f>
        <v>0</v>
      </c>
      <c r="EF2" s="315" t="s">
        <v>947</v>
      </c>
      <c r="EG2" s="735" t="e">
        <f>+BZ68+BZ81+BZ84</f>
        <v>#DIV/0!</v>
      </c>
    </row>
    <row r="3" spans="1:226" ht="18" customHeight="1" x14ac:dyDescent="0.25">
      <c r="A3" s="2207" t="s">
        <v>0</v>
      </c>
      <c r="B3" s="2208"/>
      <c r="C3" s="2208"/>
      <c r="D3" s="2208"/>
      <c r="E3" s="2208"/>
      <c r="F3" s="2208"/>
      <c r="G3" s="2208"/>
      <c r="H3" s="2208"/>
      <c r="I3" s="2208"/>
      <c r="J3" s="2208"/>
      <c r="K3" s="2208"/>
      <c r="L3" s="2208"/>
      <c r="M3" s="2208"/>
      <c r="N3" s="2208"/>
      <c r="O3" s="2208"/>
      <c r="P3" s="2208"/>
      <c r="Q3" s="2208"/>
      <c r="R3" s="2209"/>
      <c r="S3" s="197"/>
      <c r="T3" s="197"/>
      <c r="U3" s="197"/>
      <c r="V3" s="199" t="s">
        <v>28</v>
      </c>
      <c r="W3" s="200"/>
      <c r="X3" s="2187">
        <f>DATE(YEAR(Janvier!X3),MONTH(Janvier!X3)+11,DAY(Janvier!X3))</f>
        <v>46357</v>
      </c>
      <c r="Y3" s="2188"/>
      <c r="Z3" s="2188"/>
      <c r="AA3" s="2188"/>
      <c r="AB3" s="2188"/>
      <c r="AC3" s="2189"/>
      <c r="AD3" s="197"/>
      <c r="AE3" s="197"/>
      <c r="AF3" s="2181" t="s">
        <v>25</v>
      </c>
      <c r="AG3" s="2182"/>
      <c r="AH3" s="2183"/>
      <c r="AI3" s="2166">
        <f>Identification!B25</f>
        <v>0</v>
      </c>
      <c r="AJ3" s="2167"/>
      <c r="AK3" s="2167"/>
      <c r="AL3" s="2167"/>
      <c r="AM3" s="2167"/>
      <c r="AN3" s="2167"/>
      <c r="AO3" s="2168"/>
      <c r="AQ3" s="316"/>
      <c r="AT3" s="129" t="s">
        <v>224</v>
      </c>
      <c r="AU3" s="129" t="s">
        <v>225</v>
      </c>
      <c r="AX3" s="2354" t="s">
        <v>1084</v>
      </c>
      <c r="AY3" s="2354"/>
      <c r="AZ3" s="2354"/>
      <c r="CA3" s="448"/>
      <c r="CD3" s="131" t="str">
        <f>+IF(BZ8="OUI","Motif de la rupture :","")</f>
        <v/>
      </c>
      <c r="CE3" s="2229"/>
      <c r="CF3" s="2229"/>
      <c r="CG3" s="196">
        <f>+IF(CE3=S.CAL!FO1,S.CAL!FP1,IF(CE3=S.CAL!FO2,S.CAL!FP2,IF(CE3=S.CAL!FO3,S.CAL!FP30,0)))</f>
        <v>0</v>
      </c>
      <c r="CH3" s="447"/>
      <c r="CI3" s="447"/>
      <c r="CJ3" s="447"/>
      <c r="CK3" s="447"/>
      <c r="CL3" s="447"/>
      <c r="CM3" s="447"/>
      <c r="CN3" s="447"/>
      <c r="CO3" s="447"/>
      <c r="CP3" s="447"/>
      <c r="CQ3" s="447"/>
      <c r="CR3" s="447"/>
      <c r="CS3" s="447"/>
      <c r="CT3" s="447"/>
      <c r="CU3" s="447"/>
      <c r="CV3" s="447"/>
      <c r="CW3" s="447"/>
      <c r="CX3" s="447"/>
      <c r="CY3" s="447"/>
      <c r="CZ3" s="447"/>
      <c r="DA3" s="447"/>
      <c r="DB3" s="447"/>
      <c r="DC3" s="447"/>
      <c r="DD3" s="447"/>
      <c r="DK3" s="315" t="s">
        <v>1117</v>
      </c>
      <c r="DL3" s="315">
        <f>2.65*9/CE49</f>
        <v>6.235294117647058</v>
      </c>
      <c r="DO3" s="402" t="s">
        <v>919</v>
      </c>
      <c r="DP3" s="315">
        <f>+VLOOKUP(DP4,base_donné_contrat,14,FALSE)</f>
        <v>0</v>
      </c>
      <c r="EF3" s="315" t="s">
        <v>950</v>
      </c>
      <c r="EG3" s="736" t="e">
        <f>+EG7</f>
        <v>#DIV/0!</v>
      </c>
      <c r="FG3" s="315" t="s">
        <v>1156</v>
      </c>
      <c r="FX3" s="129" t="str">
        <f>+IF(AND(CD3="",CE3&lt;&gt;""),"vrai","faux")</f>
        <v>faux</v>
      </c>
    </row>
    <row r="4" spans="1:226" x14ac:dyDescent="0.2">
      <c r="A4" s="2204" t="s">
        <v>29</v>
      </c>
      <c r="B4" s="1955"/>
      <c r="C4" s="1955"/>
      <c r="D4" s="1955"/>
      <c r="E4" s="1955">
        <f>Identification!B7</f>
        <v>0</v>
      </c>
      <c r="F4" s="1955"/>
      <c r="G4" s="1955"/>
      <c r="H4" s="1955"/>
      <c r="I4" s="1955"/>
      <c r="J4" s="1955"/>
      <c r="K4" s="1955"/>
      <c r="L4" s="1955"/>
      <c r="M4" s="1955"/>
      <c r="N4" s="1955"/>
      <c r="O4" s="1955"/>
      <c r="P4" s="1955"/>
      <c r="Q4" s="1955"/>
      <c r="R4" s="1956"/>
      <c r="V4" s="201" t="s">
        <v>12</v>
      </c>
      <c r="W4" s="202"/>
      <c r="X4" s="2190">
        <f>Identification!B60</f>
        <v>2026</v>
      </c>
      <c r="Y4" s="2191"/>
      <c r="Z4" s="2191"/>
      <c r="AA4" s="2191"/>
      <c r="AB4" s="2191"/>
      <c r="AC4" s="2192"/>
      <c r="AE4" s="203"/>
      <c r="AF4" s="2166" t="s">
        <v>30</v>
      </c>
      <c r="AG4" s="2167"/>
      <c r="AH4" s="2167"/>
      <c r="AI4" s="2168"/>
      <c r="AJ4" s="2184">
        <f>Janvier!AJ4</f>
        <v>0</v>
      </c>
      <c r="AK4" s="2185"/>
      <c r="AL4" s="2185"/>
      <c r="AM4" s="2185"/>
      <c r="AN4" s="2185"/>
      <c r="AO4" s="2186"/>
      <c r="AP4" s="204"/>
      <c r="AQ4" s="317"/>
      <c r="AR4" s="204"/>
      <c r="AS4" s="206"/>
      <c r="AT4" s="301">
        <f t="array" ref="AT4">IFERROR(INDEX($BK$20:$BK$50,MATCH(0,INDEX(COUNTIF($AT$3:AT3,$BK$20:$BK$50),0,0),0)),"")</f>
        <v>49</v>
      </c>
      <c r="AU4" s="1122" t="s">
        <v>226</v>
      </c>
      <c r="AV4" s="206"/>
      <c r="AW4" s="206"/>
      <c r="AX4" s="206"/>
      <c r="AY4" s="206"/>
      <c r="BJ4" s="206"/>
      <c r="BK4" s="206"/>
      <c r="BL4" s="206"/>
      <c r="BM4" s="206"/>
      <c r="BN4" s="206"/>
      <c r="BO4" s="206"/>
      <c r="BR4" s="1984" t="s">
        <v>15</v>
      </c>
      <c r="BS4" s="1984"/>
      <c r="BT4" s="1984"/>
      <c r="BU4" s="1984"/>
      <c r="BV4" s="1984"/>
      <c r="BW4" s="1984"/>
      <c r="BX4" s="1984"/>
      <c r="BY4" s="471">
        <f>IF(BZ4="",IF(Identification!B66="NON",VLOOKUP(AB20,Identification!A71:B74,2,TRUE),VLOOKUP(AB20,Identification!A78:B81,2,TRUE)),BZ4)</f>
        <v>0.88200000000000001</v>
      </c>
      <c r="BZ4" s="1113"/>
      <c r="CA4" s="447"/>
      <c r="CE4" s="566"/>
      <c r="CF4" s="566"/>
      <c r="CG4" s="447"/>
      <c r="CH4" s="447"/>
      <c r="CI4" s="447"/>
      <c r="CJ4" s="447"/>
      <c r="CK4" s="447"/>
      <c r="CL4" s="447"/>
      <c r="CM4" s="447"/>
      <c r="CN4" s="447"/>
      <c r="CO4" s="447"/>
      <c r="CP4" s="447"/>
      <c r="CQ4" s="447"/>
      <c r="CR4" s="447"/>
      <c r="CS4" s="447"/>
      <c r="CT4" s="447"/>
      <c r="CU4" s="447"/>
      <c r="CV4" s="447"/>
      <c r="CW4" s="447"/>
      <c r="CX4" s="447"/>
      <c r="CY4" s="447"/>
      <c r="CZ4" s="447"/>
      <c r="DA4" s="447"/>
      <c r="DB4" s="447"/>
      <c r="DC4" s="447"/>
      <c r="DD4" s="447"/>
      <c r="DK4" s="315" t="s">
        <v>1116</v>
      </c>
      <c r="DL4" s="315">
        <f>+ROUNDDOWN((DL3-DL1)*60/100*100,0)</f>
        <v>14</v>
      </c>
      <c r="DO4" s="402" t="s">
        <v>200</v>
      </c>
      <c r="DP4" s="315" t="str">
        <f>IF(Novembre!BY8="OUI","Contrat fini",BY2)</f>
        <v>Fiche info</v>
      </c>
      <c r="EF4" s="315" t="s">
        <v>1028</v>
      </c>
      <c r="EG4" s="737">
        <f>+Identification!B95</f>
        <v>0</v>
      </c>
      <c r="FG4" s="315" t="str">
        <f>IFERROR(IF(VLOOKUP(AT4,Novembre!$AT$4:$AU$10,2,FALSE)&lt;&gt;Décembre!AU4,"rouge","ok"),0)</f>
        <v>ok</v>
      </c>
    </row>
    <row r="5" spans="1:226" x14ac:dyDescent="0.2">
      <c r="A5" s="1799" t="s">
        <v>31</v>
      </c>
      <c r="B5" s="1798"/>
      <c r="C5" s="1798"/>
      <c r="D5" s="1798"/>
      <c r="E5" s="1798">
        <f>Identification!B10</f>
        <v>0</v>
      </c>
      <c r="F5" s="1798"/>
      <c r="G5" s="1798"/>
      <c r="H5" s="1798"/>
      <c r="I5" s="1798"/>
      <c r="J5" s="1798"/>
      <c r="K5" s="1798"/>
      <c r="L5" s="1798"/>
      <c r="M5" s="1798"/>
      <c r="N5" s="1798"/>
      <c r="O5" s="1798"/>
      <c r="P5" s="1798"/>
      <c r="Q5" s="1798"/>
      <c r="R5" s="1957"/>
      <c r="V5" s="207" t="s">
        <v>450</v>
      </c>
      <c r="W5" s="208"/>
      <c r="X5" s="2205">
        <f>+IF(AND(DATE(YEAR(AJ4),MONTH(AJ4),DAY(AJ4))&gt;=DATE(YEAR(X3),MONTH(X3),DAY(X3)),DATE(YEAR(AJ4),MONTH(AJ4),DAY(AJ4))&lt;=DATE(YEAR(X3),MONTH(X3),DAY(EOMONTH(X3,0)))),AJ4,X3)</f>
        <v>46357</v>
      </c>
      <c r="Y5" s="2206"/>
      <c r="Z5" s="1743" t="s">
        <v>451</v>
      </c>
      <c r="AA5" s="1743"/>
      <c r="AB5" s="2206">
        <f>+IF(AND(DATE(YEAR(EG4),MONTH(EG4),DAY(EG4))&gt;=DATE(YEAR(X3),MONTH(X3),DAY(X3)),DATE(YEAR(EG4),MONTH(EG4),DAY(EG4))&lt;=DATE(YEAR(X3),MONTH(X3),DAY(EOMONTH(X3,0)))),EG4,EOMONTH(X3,0))</f>
        <v>46387</v>
      </c>
      <c r="AC5" s="2210"/>
      <c r="AP5" s="209"/>
      <c r="AQ5" s="318"/>
      <c r="AR5" s="209"/>
      <c r="AS5" s="210"/>
      <c r="AT5" s="301">
        <f t="array" ref="AT5">IFERROR(INDEX($BK$20:$BK$50,MATCH(0,INDEX(COUNTIF($AT$3:AT4,$BK$20:$BK$50),0,0),0)),"")</f>
        <v>50</v>
      </c>
      <c r="AU5" s="1122" t="s">
        <v>226</v>
      </c>
      <c r="AV5" s="210"/>
      <c r="AW5" s="210"/>
      <c r="AX5" s="210"/>
      <c r="AY5" s="210"/>
      <c r="BJ5" s="210"/>
      <c r="BK5" s="210"/>
      <c r="BL5" s="210"/>
      <c r="BM5" s="210"/>
      <c r="BN5" s="210"/>
      <c r="BO5" s="210"/>
      <c r="BR5" s="1827"/>
      <c r="BS5" s="1827"/>
      <c r="BT5" s="1827"/>
      <c r="BU5" s="1827"/>
      <c r="BV5" s="1827"/>
      <c r="BW5" s="1827"/>
      <c r="BX5" s="1827"/>
      <c r="BY5" s="1641"/>
      <c r="CA5" s="566"/>
      <c r="CD5" s="131" t="str">
        <f>+IF(BZ8="OUI","Date de fin de contrat :","")</f>
        <v/>
      </c>
      <c r="CE5" s="2230"/>
      <c r="CF5" s="2230"/>
      <c r="CG5" s="447"/>
      <c r="CH5" s="447"/>
      <c r="CI5" s="447"/>
      <c r="CJ5" s="447"/>
      <c r="CK5" s="447"/>
      <c r="CL5" s="447"/>
      <c r="CM5" s="447"/>
      <c r="CN5" s="447"/>
      <c r="CO5" s="447"/>
      <c r="CP5" s="447"/>
      <c r="CQ5" s="447"/>
      <c r="CR5" s="447"/>
      <c r="CS5" s="447"/>
      <c r="CT5" s="447"/>
      <c r="CU5" s="447"/>
      <c r="CV5" s="447"/>
      <c r="CW5" s="447"/>
      <c r="CX5" s="447"/>
      <c r="CY5" s="447"/>
      <c r="CZ5" s="447"/>
      <c r="DA5" s="447"/>
      <c r="DB5" s="447"/>
      <c r="DC5" s="447"/>
      <c r="DD5" s="447"/>
      <c r="DO5" s="402" t="s">
        <v>511</v>
      </c>
      <c r="DP5" s="315">
        <f>+VLOOKUP(DP4,base_donné_contrat,2,FALSE)</f>
        <v>0</v>
      </c>
      <c r="EF5" s="315" t="s">
        <v>1213</v>
      </c>
      <c r="EG5" s="737">
        <f>+EOMONTH(X3,0)</f>
        <v>46387</v>
      </c>
      <c r="FG5" s="315">
        <f>IFERROR(IF(VLOOKUP(AT5,Novembre!$AT$4:$AU$10,2,FALSE)&lt;&gt;Décembre!AU5,"rouge","ok"),0)</f>
        <v>0</v>
      </c>
      <c r="FX5" s="129" t="str">
        <f>+IF(AND(CD5="",CE5&lt;&gt;""),"vrai","faux")</f>
        <v>faux</v>
      </c>
    </row>
    <row r="6" spans="1:226" x14ac:dyDescent="0.2">
      <c r="A6" s="1799" t="s">
        <v>33</v>
      </c>
      <c r="B6" s="1798"/>
      <c r="C6" s="1798"/>
      <c r="D6" s="1798"/>
      <c r="E6" s="1798" t="str">
        <f>Identification!B13&amp;"  "&amp;Identification!B16</f>
        <v>0  0</v>
      </c>
      <c r="F6" s="1798"/>
      <c r="G6" s="1798"/>
      <c r="H6" s="1798"/>
      <c r="I6" s="1798"/>
      <c r="J6" s="1798"/>
      <c r="K6" s="1798"/>
      <c r="L6" s="1798"/>
      <c r="M6" s="1798"/>
      <c r="N6" s="1798"/>
      <c r="O6" s="1798"/>
      <c r="P6" s="1798"/>
      <c r="Q6" s="1798"/>
      <c r="R6" s="1957"/>
      <c r="AQ6" s="316"/>
      <c r="AT6" s="301">
        <f t="array" ref="AT6">IFERROR(INDEX($BK$20:$BK$50,MATCH(0,INDEX(COUNTIF($AT$3:AT5,$BK$20:$BK$50),0,0),0)),"")</f>
        <v>51</v>
      </c>
      <c r="AU6" s="1122" t="s">
        <v>226</v>
      </c>
      <c r="BQ6" s="578"/>
      <c r="BR6" s="578"/>
      <c r="BS6" s="578"/>
      <c r="BT6" s="578"/>
      <c r="BU6" s="578"/>
      <c r="BV6" s="578"/>
      <c r="BW6" s="578"/>
      <c r="BX6" s="579" t="s">
        <v>509</v>
      </c>
      <c r="BY6" s="580" t="str">
        <f>+IF(BZ6="",Novembre!BY6,BZ6)</f>
        <v>Non</v>
      </c>
      <c r="BZ6" s="581"/>
      <c r="CA6" s="566"/>
      <c r="CE6" s="566"/>
      <c r="CF6" s="566"/>
      <c r="CG6" s="447"/>
      <c r="CI6" s="447"/>
      <c r="CJ6" s="447"/>
      <c r="CK6" s="447"/>
      <c r="CL6" s="447"/>
      <c r="CM6" s="447"/>
      <c r="CN6" s="447"/>
      <c r="CO6" s="447"/>
      <c r="CP6" s="447"/>
      <c r="CQ6" s="447"/>
      <c r="CR6" s="447"/>
      <c r="CS6" s="447"/>
      <c r="CT6" s="447"/>
      <c r="CU6" s="447"/>
      <c r="CV6" s="447"/>
      <c r="CW6" s="447"/>
      <c r="CX6" s="447"/>
      <c r="CY6" s="447"/>
      <c r="CZ6" s="447"/>
      <c r="DA6" s="447"/>
      <c r="DB6" s="447"/>
      <c r="DC6" s="447"/>
      <c r="DD6" s="447"/>
      <c r="DO6" s="402" t="s">
        <v>201</v>
      </c>
      <c r="DP6" s="738">
        <f>+IFERROR(VLOOKUP(X3,base_smic,2,TRUE),0)</f>
        <v>12.02</v>
      </c>
      <c r="EF6" s="315" t="s">
        <v>1533</v>
      </c>
      <c r="EG6" s="315">
        <f>+VLOOKUP(X3,Identification!A90:B92,2,TRUE)</f>
        <v>3022</v>
      </c>
      <c r="EN6" s="315" t="s">
        <v>922</v>
      </c>
      <c r="EO6" s="315" t="str">
        <f>+IF(AND(R87=0,R90=0,AE129="NON"),"OUI","")</f>
        <v>OUI</v>
      </c>
      <c r="FG6" s="315">
        <f>IFERROR(IF(VLOOKUP(AT6,Novembre!$AT$4:$AU$10,2,FALSE)&lt;&gt;Décembre!AU6,"rouge","ok"),0)</f>
        <v>0</v>
      </c>
    </row>
    <row r="7" spans="1:226" ht="16.5" thickBot="1" x14ac:dyDescent="0.3">
      <c r="A7" s="1799" t="s">
        <v>5</v>
      </c>
      <c r="B7" s="1798"/>
      <c r="C7" s="1798"/>
      <c r="D7" s="1798"/>
      <c r="E7" s="1798">
        <f>Identification!B19</f>
        <v>0</v>
      </c>
      <c r="F7" s="1798"/>
      <c r="G7" s="1798"/>
      <c r="H7" s="1798"/>
      <c r="I7" s="1798"/>
      <c r="J7" s="1798"/>
      <c r="K7" s="1798"/>
      <c r="L7" s="1798"/>
      <c r="M7" s="1798"/>
      <c r="N7" s="1798"/>
      <c r="O7" s="1798"/>
      <c r="P7" s="1798"/>
      <c r="Q7" s="1798"/>
      <c r="R7" s="1957"/>
      <c r="V7" s="2042" t="s">
        <v>9</v>
      </c>
      <c r="W7" s="2043"/>
      <c r="X7" s="2043"/>
      <c r="Y7" s="2043"/>
      <c r="Z7" s="2043"/>
      <c r="AA7" s="2043"/>
      <c r="AB7" s="2043"/>
      <c r="AC7" s="2043"/>
      <c r="AD7" s="2043"/>
      <c r="AE7" s="2043"/>
      <c r="AF7" s="2043"/>
      <c r="AG7" s="2043"/>
      <c r="AH7" s="2043"/>
      <c r="AI7" s="2043"/>
      <c r="AJ7" s="2043"/>
      <c r="AK7" s="2043"/>
      <c r="AL7" s="2043"/>
      <c r="AM7" s="2043"/>
      <c r="AN7" s="2043"/>
      <c r="AO7" s="2044"/>
      <c r="AP7" s="211"/>
      <c r="AQ7" s="319"/>
      <c r="AR7" s="211"/>
      <c r="AT7" s="301">
        <f t="array" ref="AT7">IFERROR(INDEX($BK$20:$BK$50,MATCH(0,INDEX(COUNTIF($AT$3:AT6,$BK$20:$BK$50),0,0),0)),"")</f>
        <v>52</v>
      </c>
      <c r="AU7" s="1122" t="s">
        <v>226</v>
      </c>
      <c r="BG7" s="240"/>
      <c r="BH7" s="1997" t="s">
        <v>1531</v>
      </c>
      <c r="BI7" s="1997"/>
      <c r="CA7" s="566"/>
      <c r="CB7" s="1416" t="str">
        <f>+IF(AND(BY8="NON",OR(CE3&lt;&gt;"",CE5&lt;&gt;"",CE8&lt;&gt;"")),"Si vous mettez NON dans la cellule BY8,il faut que les cellules Motifs de la rupture CE3, Date de fin de contrat CE5 , Date de notification soit vide CE8 ","")</f>
        <v/>
      </c>
      <c r="CE7" s="566"/>
      <c r="CF7" s="566"/>
      <c r="CG7" s="447"/>
      <c r="CH7" s="447"/>
      <c r="CI7" s="447"/>
      <c r="CJ7" s="447"/>
      <c r="CK7" s="447"/>
      <c r="CL7" s="447"/>
      <c r="CM7" s="447"/>
      <c r="CN7" s="447"/>
      <c r="CO7" s="447"/>
      <c r="CP7" s="447"/>
      <c r="CQ7" s="447"/>
      <c r="CR7" s="447"/>
      <c r="CS7" s="447"/>
      <c r="CT7" s="447"/>
      <c r="CU7" s="447"/>
      <c r="CV7" s="447"/>
      <c r="CW7" s="447"/>
      <c r="CX7" s="447"/>
      <c r="CY7" s="447"/>
      <c r="CZ7" s="447"/>
      <c r="DA7" s="447"/>
      <c r="DB7" s="447"/>
      <c r="DC7" s="447"/>
      <c r="DD7" s="447"/>
      <c r="DO7" s="402" t="s">
        <v>202</v>
      </c>
      <c r="DP7" s="315" t="str">
        <f>+VLOOKUP(DP4,base_donné_contrat,4,FALSE)</f>
        <v>NON</v>
      </c>
      <c r="EF7" s="402" t="s">
        <v>950</v>
      </c>
      <c r="EG7" s="1563" t="e">
        <f>(T25/P18+T26/P19)*-1</f>
        <v>#DIV/0!</v>
      </c>
      <c r="EN7" s="315" t="s">
        <v>925</v>
      </c>
      <c r="EO7" s="315" t="str">
        <f>+IF(AND(EO6="",BY8="OUI",R90&lt;&gt;0),"OUI","")</f>
        <v/>
      </c>
      <c r="FG7" s="315">
        <f>IFERROR(IF(VLOOKUP(AT7,Novembre!$AT$4:$AU$10,2,FALSE)&lt;&gt;Décembre!AU7,"rouge","ok"),0)</f>
        <v>0</v>
      </c>
    </row>
    <row r="8" spans="1:226" ht="14.25" thickTop="1" thickBot="1" x14ac:dyDescent="0.25">
      <c r="A8" s="2082" t="s">
        <v>1322</v>
      </c>
      <c r="B8" s="1993"/>
      <c r="C8" s="1993"/>
      <c r="D8" s="1993"/>
      <c r="E8" s="1993" t="str">
        <f>Identification!B22</f>
        <v>Le Puy-en-Velay</v>
      </c>
      <c r="F8" s="1993"/>
      <c r="G8" s="1993"/>
      <c r="H8" s="1993"/>
      <c r="I8" s="1993"/>
      <c r="J8" s="1993"/>
      <c r="K8" s="1993"/>
      <c r="L8" s="1993"/>
      <c r="M8" s="1993"/>
      <c r="N8" s="1993"/>
      <c r="O8" s="1993"/>
      <c r="P8" s="1993"/>
      <c r="Q8" s="1993"/>
      <c r="R8" s="1994"/>
      <c r="V8" s="2204" t="s">
        <v>29</v>
      </c>
      <c r="W8" s="1955"/>
      <c r="X8" s="1955"/>
      <c r="Y8" s="1955"/>
      <c r="Z8" s="1955">
        <f>Identification!B34</f>
        <v>0</v>
      </c>
      <c r="AA8" s="1955"/>
      <c r="AB8" s="1955"/>
      <c r="AC8" s="1955"/>
      <c r="AD8" s="1955"/>
      <c r="AE8" s="1955"/>
      <c r="AF8" s="1955"/>
      <c r="AG8" s="1955"/>
      <c r="AH8" s="1955"/>
      <c r="AI8" s="1955"/>
      <c r="AJ8" s="1955"/>
      <c r="AK8" s="1955"/>
      <c r="AL8" s="1955"/>
      <c r="AM8" s="1955"/>
      <c r="AN8" s="1955"/>
      <c r="AO8" s="1956"/>
      <c r="AQ8" s="316"/>
      <c r="AT8" s="301">
        <f t="array" ref="AT8">IFERROR(INDEX($BK$20:$BK$50,MATCH(0,INDEX(COUNTIF($AT$3:AT7,$BK$20:$BK$50),0,0),0)),"")</f>
        <v>53</v>
      </c>
      <c r="AU8" s="1122" t="s">
        <v>226</v>
      </c>
      <c r="BG8" s="240"/>
      <c r="BH8" s="1439" t="str">
        <f>+AT3</f>
        <v>N° Sem.</v>
      </c>
      <c r="BI8" s="1440" t="s">
        <v>1552</v>
      </c>
      <c r="BQ8" s="1985" t="s">
        <v>210</v>
      </c>
      <c r="BR8" s="1986"/>
      <c r="BS8" s="1986"/>
      <c r="BT8" s="1986"/>
      <c r="BU8" s="1986"/>
      <c r="BV8" s="1986"/>
      <c r="BW8" s="1986"/>
      <c r="BX8" s="1986"/>
      <c r="BY8" s="965" t="str">
        <f>IF(BZ8="",Novembre!BY8,BZ8)</f>
        <v>NON</v>
      </c>
      <c r="BZ8" s="1114"/>
      <c r="CA8" s="566"/>
      <c r="CD8" s="131" t="str">
        <f>+IF(BZ8="OUI","Date de notification de la rupture ou de la démission :","")</f>
        <v/>
      </c>
      <c r="CE8" s="2231"/>
      <c r="CF8" s="2231"/>
      <c r="CG8" s="2223" t="s">
        <v>1389</v>
      </c>
      <c r="CH8" s="2223"/>
      <c r="CI8" s="2223"/>
      <c r="CJ8" s="447"/>
      <c r="CK8" s="447"/>
      <c r="CL8" s="447"/>
      <c r="CM8" s="447"/>
      <c r="CN8" s="447"/>
      <c r="CO8" s="447"/>
      <c r="CP8" s="447"/>
      <c r="CQ8" s="447"/>
      <c r="CR8" s="447"/>
      <c r="CS8" s="447"/>
      <c r="CT8" s="447"/>
      <c r="CU8" s="447"/>
      <c r="CV8" s="447"/>
      <c r="CW8" s="447"/>
      <c r="CX8" s="447"/>
      <c r="CY8" s="447"/>
      <c r="CZ8" s="447"/>
      <c r="DA8" s="447"/>
      <c r="DB8" s="447"/>
      <c r="DC8" s="447"/>
      <c r="DD8" s="447"/>
      <c r="DO8" s="402" t="s">
        <v>512</v>
      </c>
      <c r="DP8" s="315">
        <f>+VLOOKUP(DP4,base_donné_contrat,5,FALSE)</f>
        <v>0</v>
      </c>
      <c r="EN8" s="315" t="s">
        <v>952</v>
      </c>
      <c r="EO8" s="315" t="str">
        <f>+IF(AND(EO6="",R89=0,R87&gt;0,OR(T30&gt;0,T32&gt;0)),"OUI","")</f>
        <v/>
      </c>
      <c r="FG8" s="315">
        <f>IFERROR(IF(VLOOKUP(AT8,Novembre!$AT$4:$AU$10,2,FALSE)&lt;&gt;Décembre!AU8,"rouge","ok"),0)</f>
        <v>0</v>
      </c>
      <c r="FX8" s="129" t="str">
        <f>+IF(AND(CD8="",CE8&lt;&gt;""),"vrai","faux")</f>
        <v>faux</v>
      </c>
    </row>
    <row r="9" spans="1:226" ht="13.5" customHeight="1" thickTop="1" x14ac:dyDescent="0.2">
      <c r="V9" s="1799" t="s">
        <v>31</v>
      </c>
      <c r="W9" s="1798"/>
      <c r="X9" s="1798"/>
      <c r="Y9" s="1798"/>
      <c r="Z9" s="1798">
        <f>Identification!B37</f>
        <v>0</v>
      </c>
      <c r="AA9" s="1798"/>
      <c r="AB9" s="1798"/>
      <c r="AC9" s="1798"/>
      <c r="AD9" s="1798"/>
      <c r="AE9" s="1798"/>
      <c r="AF9" s="1798"/>
      <c r="AG9" s="1798"/>
      <c r="AH9" s="1798"/>
      <c r="AI9" s="1798"/>
      <c r="AJ9" s="1798"/>
      <c r="AK9" s="1798"/>
      <c r="AL9" s="1798"/>
      <c r="AM9" s="1798"/>
      <c r="AN9" s="1798"/>
      <c r="AO9" s="1957"/>
      <c r="AQ9" s="316"/>
      <c r="AT9" s="301" t="str">
        <f t="array" ref="AT9">IFERROR(INDEX($BK$20:$BK$50,MATCH(0,INDEX(COUNTIF($AT$3:AT8,$BK$20:$BK$50),0,0),0)),"")</f>
        <v/>
      </c>
      <c r="AU9" s="1122" t="s">
        <v>226</v>
      </c>
      <c r="BG9" s="1430" t="str">
        <f>+BH9&amp;$X$4</f>
        <v>492026</v>
      </c>
      <c r="BH9" s="1441">
        <f t="shared" ref="BH9:BH14" si="0">+AT4</f>
        <v>49</v>
      </c>
      <c r="BI9" s="1442">
        <f>IF($AR$13=S.CAL!$CU$2,+SUMIF(S.CAL!$FW$3:$FW$374,BG9,S.CAL!$FX$3:$FX$374),IF($AR$13=S.CAL!$CU$3,SUMIF(Feuilles_de_présence_planning!$EG$12:$EG$537,BG9,Feuilles_de_présence_planning!$EE$12:$EE$537),"err"))</f>
        <v>0</v>
      </c>
      <c r="BY9" s="196" t="str">
        <f>+IF(Novembre!BY8="OUI","FIN","O")</f>
        <v>O</v>
      </c>
      <c r="BZ9" s="635"/>
      <c r="CA9" s="196"/>
      <c r="CF9" s="873" t="str">
        <f>+IF(BZ8="OUI","Ç","")</f>
        <v/>
      </c>
      <c r="CG9" s="447"/>
      <c r="CH9" s="447"/>
      <c r="CI9" s="447"/>
      <c r="CJ9" s="447"/>
      <c r="CK9" s="447"/>
      <c r="CL9" s="447"/>
      <c r="CM9" s="447"/>
      <c r="CN9" s="447"/>
      <c r="CO9" s="447"/>
      <c r="CP9" s="447"/>
      <c r="CQ9" s="447"/>
      <c r="CR9" s="447"/>
      <c r="CS9" s="447"/>
      <c r="CT9" s="447"/>
      <c r="CU9" s="447"/>
      <c r="CV9" s="447"/>
      <c r="CW9" s="447"/>
      <c r="CX9" s="447"/>
      <c r="CY9" s="447"/>
      <c r="CZ9" s="447"/>
      <c r="DA9" s="447"/>
      <c r="DB9" s="447"/>
      <c r="DC9" s="447"/>
      <c r="DD9" s="447"/>
      <c r="DO9" s="402" t="s">
        <v>36</v>
      </c>
      <c r="DP9" s="315">
        <f>+VLOOKUP(DP4,base_donné_contrat,6,FALSE)</f>
        <v>0</v>
      </c>
      <c r="EN9" s="315" t="s">
        <v>1038</v>
      </c>
      <c r="EO9" s="315" t="str">
        <f>+IF(OR(AND(CE54&lt;=DL3,CE53&gt;=CE47),AND(CE54&gt;DL3,CE53&gt;=CE54*CE47/DL3)),"OUI","NON")</f>
        <v>NON</v>
      </c>
      <c r="EP9" s="315" t="str">
        <f>+IF(OR(AND(CE58&lt;=DL3,CE57&gt;=CE47),AND(CE58&gt;DL3,CE57&gt;=CE58*CE47/DL3)),"OUI","NON")</f>
        <v>NON</v>
      </c>
      <c r="FG9" s="315" t="str">
        <f>IFERROR(IF(VLOOKUP(AT9,Novembre!$AT$4:$AU$10,2,FALSE)&lt;&gt;Décembre!AU9,"rouge","ok"),0)</f>
        <v>ok</v>
      </c>
    </row>
    <row r="10" spans="1:226" ht="15" x14ac:dyDescent="0.2">
      <c r="A10" s="1771" t="s">
        <v>34</v>
      </c>
      <c r="B10" s="1771"/>
      <c r="C10" s="1771"/>
      <c r="D10" s="1771"/>
      <c r="E10" s="1771"/>
      <c r="F10" s="1771"/>
      <c r="G10" s="1771"/>
      <c r="H10" s="1771"/>
      <c r="I10" s="1771"/>
      <c r="J10" s="1771"/>
      <c r="K10" s="1771"/>
      <c r="L10" s="1771"/>
      <c r="M10" s="1771"/>
      <c r="V10" s="1799" t="s">
        <v>33</v>
      </c>
      <c r="W10" s="1798"/>
      <c r="X10" s="1798"/>
      <c r="Y10" s="1798"/>
      <c r="Z10" s="1798" t="str">
        <f>Identification!B40&amp;" "&amp;Identification!B43</f>
        <v>0 0</v>
      </c>
      <c r="AA10" s="1798"/>
      <c r="AB10" s="1798"/>
      <c r="AC10" s="1798"/>
      <c r="AD10" s="1798"/>
      <c r="AE10" s="1798"/>
      <c r="AF10" s="1798"/>
      <c r="AG10" s="1798"/>
      <c r="AH10" s="1798"/>
      <c r="AI10" s="1798"/>
      <c r="AJ10" s="1798"/>
      <c r="AK10" s="1798"/>
      <c r="AL10" s="1798"/>
      <c r="AM10" s="1798"/>
      <c r="AN10" s="1798"/>
      <c r="AO10" s="1957"/>
      <c r="AQ10" s="316"/>
      <c r="AT10" s="301" t="str">
        <f t="array" ref="AT10">IFERROR(INDEX($BK$20:$BK$50,MATCH(0,INDEX(COUNTIF($AT$3:AT9,$BK$20:$BK$50),0,0),0)),"")</f>
        <v/>
      </c>
      <c r="AU10" s="205" t="s">
        <v>226</v>
      </c>
      <c r="BG10" s="1430" t="str">
        <f t="shared" ref="BG10:BG14" si="1">+BH10&amp;$X$4</f>
        <v>502026</v>
      </c>
      <c r="BH10" s="1441">
        <f t="shared" si="0"/>
        <v>50</v>
      </c>
      <c r="BI10" s="1442">
        <f>IF($AR$13=S.CAL!$CU$2,+SUMIF(S.CAL!$FW$3:$FW$374,BG10,S.CAL!$FX$3:$FX$374),IF($AR$13=S.CAL!$CU$3,SUMIF(Feuilles_de_présence_planning!$EG$12:$EG$537,BG10,Feuilles_de_présence_planning!$EE$12:$EE$537),"err"))</f>
        <v>0</v>
      </c>
      <c r="BZ10" s="636" t="str">
        <f>+IF(BZ8="OUI","Saisir la date de fin du contrat et la date de notification","")</f>
        <v/>
      </c>
      <c r="CA10" s="872" t="str">
        <f>+IF(BZ8="OUI","Æ Æ Æ Æ Æ Æ Æ Æ Æ Æ Æ Æ Æ Æ Ç","")</f>
        <v/>
      </c>
      <c r="CG10" s="447"/>
      <c r="CH10" s="447"/>
      <c r="CI10" s="447"/>
      <c r="CJ10" s="447"/>
      <c r="CK10" s="447"/>
      <c r="CL10" s="447"/>
      <c r="CM10" s="447"/>
      <c r="CN10" s="447"/>
      <c r="CO10" s="447"/>
      <c r="CP10" s="447"/>
      <c r="CQ10" s="447"/>
      <c r="CR10" s="447"/>
      <c r="CS10" s="447"/>
      <c r="CT10" s="447"/>
      <c r="CU10" s="447"/>
      <c r="CV10" s="447"/>
      <c r="CW10" s="447"/>
      <c r="CX10" s="447"/>
      <c r="CY10" s="447"/>
      <c r="CZ10" s="447"/>
      <c r="DA10" s="447"/>
      <c r="DB10" s="447"/>
      <c r="DC10" s="447"/>
      <c r="DD10" s="447"/>
      <c r="DO10" s="402" t="s">
        <v>105</v>
      </c>
      <c r="DP10" s="315">
        <f>+VLOOKUP(DP4,base_donné_contrat,7,FALSE)</f>
        <v>0</v>
      </c>
      <c r="EL10" s="739"/>
      <c r="EM10" s="739"/>
      <c r="EN10" s="315" t="s">
        <v>1039</v>
      </c>
      <c r="EO10" s="315" t="str">
        <f>+IF(OR(AND(CE54&lt;=9,CE53&gt;=CE49),AND(CE54&gt;9,CE53&gt;=CE54*CE49/9)),"OUI","NON")</f>
        <v>NON</v>
      </c>
      <c r="EP10" s="315" t="str">
        <f>+IF(OR(AND(CE58&lt;=DL3,CE57&gt;=CE47),AND(CE58&gt;DL3,CE57&gt;=CE58*CE47/DL3)),"OUI","NON")</f>
        <v>NON</v>
      </c>
      <c r="FG10" s="315" t="str">
        <f>IFERROR(IF(VLOOKUP(AT10,Novembre!$AT$4:$AU$10,2,FALSE)&lt;&gt;Décembre!AU10,"rouge","ok"),0)</f>
        <v>ok</v>
      </c>
    </row>
    <row r="11" spans="1:226" ht="12.75" customHeight="1" x14ac:dyDescent="0.2">
      <c r="A11" s="1771"/>
      <c r="B11" s="1771"/>
      <c r="C11" s="1771"/>
      <c r="D11" s="1771"/>
      <c r="E11" s="1771"/>
      <c r="F11" s="1771"/>
      <c r="G11" s="1771"/>
      <c r="H11" s="1771"/>
      <c r="I11" s="1771"/>
      <c r="J11" s="1771"/>
      <c r="K11" s="1771"/>
      <c r="L11" s="1771"/>
      <c r="M11" s="1771"/>
      <c r="V11" s="1799" t="s">
        <v>11</v>
      </c>
      <c r="W11" s="1798"/>
      <c r="X11" s="1798"/>
      <c r="Y11" s="1798"/>
      <c r="Z11" s="1798">
        <f>Identification!B57</f>
        <v>0</v>
      </c>
      <c r="AA11" s="1798"/>
      <c r="AB11" s="1798"/>
      <c r="AC11" s="1798"/>
      <c r="AD11" s="1798"/>
      <c r="AE11" s="1798"/>
      <c r="AF11" s="1798"/>
      <c r="AG11" s="1798"/>
      <c r="AH11" s="1798"/>
      <c r="AI11" s="1798"/>
      <c r="AJ11" s="1798"/>
      <c r="AK11" s="1798"/>
      <c r="AL11" s="1798"/>
      <c r="AM11" s="1798"/>
      <c r="AN11" s="1798"/>
      <c r="AO11" s="1957"/>
      <c r="AQ11" s="316"/>
      <c r="BG11" s="1430" t="str">
        <f t="shared" si="1"/>
        <v>512026</v>
      </c>
      <c r="BH11" s="1441">
        <f t="shared" si="0"/>
        <v>51</v>
      </c>
      <c r="BI11" s="1442">
        <f>IF($AR$13=S.CAL!$CU$2,+SUMIF(S.CAL!$FW$3:$FW$374,BG11,S.CAL!$FX$3:$FX$374),IF($AR$13=S.CAL!$CU$3,SUMIF(Feuilles_de_présence_planning!$EG$12:$EG$537,BG11,Feuilles_de_présence_planning!$EE$12:$EE$537),"err"))</f>
        <v>0</v>
      </c>
      <c r="BZ11" s="636" t="str">
        <f>+IF(BZ8="OUI","Vérifier le calcul de votre régularisation (Année incomplète ou éventuellement complète)","")</f>
        <v/>
      </c>
      <c r="CA11" s="196"/>
      <c r="CF11" s="447"/>
      <c r="CG11" s="447"/>
      <c r="CH11" s="447"/>
      <c r="CI11" s="447"/>
      <c r="CJ11" s="447"/>
      <c r="CK11" s="447"/>
      <c r="CL11" s="447"/>
      <c r="CM11" s="447"/>
      <c r="CN11" s="447"/>
      <c r="CO11" s="447"/>
      <c r="CP11" s="447"/>
      <c r="CQ11" s="447"/>
      <c r="CR11" s="447"/>
      <c r="CS11" s="447"/>
      <c r="CT11" s="447"/>
      <c r="CU11" s="447"/>
      <c r="CV11" s="447"/>
      <c r="CW11" s="447"/>
      <c r="CX11" s="447"/>
      <c r="CY11" s="447"/>
      <c r="CZ11" s="447"/>
      <c r="DA11" s="447"/>
      <c r="DB11" s="447"/>
      <c r="DC11" s="447"/>
      <c r="DD11" s="447"/>
      <c r="DO11" s="402" t="s">
        <v>37</v>
      </c>
      <c r="DP11" s="738">
        <f>+VLOOKUP(DP4,base_donné_contrat,8,FALSE)</f>
        <v>0</v>
      </c>
      <c r="EF11" s="315" t="s">
        <v>693</v>
      </c>
      <c r="EG11" s="315" t="s">
        <v>694</v>
      </c>
      <c r="EH11" s="315" t="s">
        <v>535</v>
      </c>
      <c r="EI11" s="315" t="s">
        <v>695</v>
      </c>
      <c r="EN11" s="315" t="s">
        <v>1040</v>
      </c>
      <c r="EO11" s="315" t="str">
        <f>+IF(OR(EO9="OUI",EO10="OUI",CE53=0),"OUI","NON")</f>
        <v>OUI</v>
      </c>
      <c r="EP11" s="315" t="str">
        <f>+IF(OR(AND(CE58&lt;=DL3,CE57&gt;=CE47),AND(CE58&gt;DL3,CE57&gt;=CE58*CE47/DL3)),"OUI","NON")</f>
        <v>NON</v>
      </c>
    </row>
    <row r="12" spans="1:226" x14ac:dyDescent="0.2">
      <c r="V12" s="2082" t="s">
        <v>35</v>
      </c>
      <c r="W12" s="1993"/>
      <c r="X12" s="1993"/>
      <c r="Y12" s="1993"/>
      <c r="Z12" s="1993">
        <f>Identification!B46</f>
        <v>0</v>
      </c>
      <c r="AA12" s="1993"/>
      <c r="AB12" s="1993"/>
      <c r="AC12" s="1993"/>
      <c r="AD12" s="1993"/>
      <c r="AE12" s="1993"/>
      <c r="AF12" s="1993"/>
      <c r="AG12" s="1993"/>
      <c r="AH12" s="1993" t="str">
        <f ca="1">+IF(Identification!B52="OUI","Né(e) le : "&amp;TEXT(Identification!B49,"jj/mm/aa")&amp;" ( "&amp;DATEDIF(Identification!B49,TODAY(),"Y")&amp;" ans)","")</f>
        <v/>
      </c>
      <c r="AI12" s="1993"/>
      <c r="AJ12" s="1993"/>
      <c r="AK12" s="1993"/>
      <c r="AL12" s="1993"/>
      <c r="AM12" s="1993"/>
      <c r="AN12" s="1993"/>
      <c r="AO12" s="1994"/>
      <c r="AQ12" s="316"/>
      <c r="AR12" s="1987" t="s">
        <v>970</v>
      </c>
      <c r="AS12" s="1987"/>
      <c r="AT12" s="1987"/>
      <c r="AU12" s="1987"/>
      <c r="AV12" s="1987"/>
      <c r="AW12" s="1987"/>
      <c r="AX12" s="1987"/>
      <c r="AY12" s="1987"/>
      <c r="AZ12" s="1987"/>
      <c r="BA12" s="1987"/>
      <c r="BB12" s="1987"/>
      <c r="BC12" s="1987"/>
      <c r="BD12" s="1987"/>
      <c r="BE12" s="1987"/>
      <c r="BF12" s="1987"/>
      <c r="BG12" s="1430" t="str">
        <f t="shared" si="1"/>
        <v>522026</v>
      </c>
      <c r="BH12" s="1441">
        <f t="shared" si="0"/>
        <v>52</v>
      </c>
      <c r="BI12" s="1442">
        <f>IF($AR$13=S.CAL!$CU$2,+SUMIF(S.CAL!$FW$3:$FW$374,BG12,S.CAL!$FX$3:$FX$374),IF($AR$13=S.CAL!$CU$3,SUMIF(Feuilles_de_présence_planning!$EG$12:$EG$537,BG12,Feuilles_de_présence_planning!$EE$12:$EE$537),"err"))</f>
        <v>0</v>
      </c>
      <c r="BZ12" s="636" t="str">
        <f>+IF(BZ8="OUI","Faites le point sur vos congés et vérifier le calcul de l'indemnité compensatrice de CP","")</f>
        <v/>
      </c>
      <c r="CA12" s="196"/>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c r="DB12" s="447"/>
      <c r="DC12" s="447"/>
      <c r="DD12" s="447"/>
      <c r="DO12" s="402" t="s">
        <v>223</v>
      </c>
      <c r="DP12" s="315">
        <f>+VLOOKUP(DP4,base_donné_contrat,9,FALSE)</f>
        <v>0.1</v>
      </c>
      <c r="EF12" s="737">
        <f>+IF(AJ4&lt;DATE(YEAR(EI21)-1,6,1),DATE(YEAR(EI21)-1,6,1),DATE(YEAR(AJ4),MONTH(AJ4),1))</f>
        <v>45809</v>
      </c>
      <c r="EG12" s="315">
        <f>+IFERROR(DATEDIF(EF12,DATE(YEAR(EH12),MONTH(EH12),1),"m"),0)</f>
        <v>12</v>
      </c>
      <c r="EH12" s="737">
        <f>+IF(AJ4&lt;DATE(YEAR(EI21),6,1),DATE(YEAR(EI21),6,1),DATE(YEAR(AJ4),MONTH(AJ4),1))</f>
        <v>46174</v>
      </c>
      <c r="EI12" s="315">
        <f>+IFERROR(DATEDIF(EH12,DATE(YEAR(EI22),MONTH(EI22)+1,1),"m"),0)</f>
        <v>7</v>
      </c>
      <c r="EN12" s="402" t="s">
        <v>1614</v>
      </c>
      <c r="EO12" s="315" t="str">
        <f>+IF(OR(AND(DP14=2,U14&lt;&gt;0),DP29="OUI"),"OUI","NON")</f>
        <v>NON</v>
      </c>
    </row>
    <row r="13" spans="1:226" ht="13.5" customHeight="1" x14ac:dyDescent="0.2">
      <c r="A13" s="216"/>
      <c r="B13" s="216"/>
      <c r="C13" s="216"/>
      <c r="D13" s="216"/>
      <c r="E13" s="216"/>
      <c r="F13" s="216"/>
      <c r="G13" s="216"/>
      <c r="H13" s="216"/>
      <c r="I13" s="216"/>
      <c r="J13" s="216"/>
      <c r="K13" s="216"/>
      <c r="L13" s="216"/>
      <c r="M13" s="216"/>
      <c r="AN13" s="217"/>
      <c r="AQ13" s="316"/>
      <c r="AR13" s="2372" t="str">
        <f>IF(AR14="",Novembre!AR13,AR14)</f>
        <v>à partir du tableau ci-dessous</v>
      </c>
      <c r="AS13" s="2372"/>
      <c r="AT13" s="2372"/>
      <c r="AU13" s="2372"/>
      <c r="AV13" s="2372"/>
      <c r="AW13" s="2372"/>
      <c r="AX13" s="2372"/>
      <c r="AY13" s="2372"/>
      <c r="AZ13" s="2372"/>
      <c r="BA13" s="2355" t="s">
        <v>1086</v>
      </c>
      <c r="BB13" s="2355"/>
      <c r="BC13" s="2355"/>
      <c r="BD13" s="951"/>
      <c r="BG13" s="1430" t="str">
        <f t="shared" si="1"/>
        <v>532026</v>
      </c>
      <c r="BH13" s="1441">
        <f t="shared" si="0"/>
        <v>53</v>
      </c>
      <c r="BI13" s="1442">
        <f>IF($AR$13=S.CAL!$CU$2,+SUMIF(S.CAL!$FW$200:$FW$374,BG13,S.CAL!$FX$200:$FX$374),IF($AR$13=S.CAL!$CU$3,SUMIF(Feuilles_de_présence_planning!$EG$200:$EG$537,BG13,Feuilles_de_présence_planning!$EE$200:$EE$537),"err"))</f>
        <v>0</v>
      </c>
      <c r="BZ13" s="636" t="str">
        <f>+IF(BZ8="OUI","Si nécessaire calculer l'indemnité de préavis et vérifier l'indemnité de rupture","")</f>
        <v/>
      </c>
      <c r="CA13" s="196"/>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O13" s="402" t="s">
        <v>347</v>
      </c>
      <c r="DP13" s="738">
        <f>+VLOOKUP(DP4,base_donné_contrat,12,FALSE)</f>
        <v>0</v>
      </c>
      <c r="EF13" s="315" t="s">
        <v>217</v>
      </c>
      <c r="EH13" s="315" t="s">
        <v>216</v>
      </c>
      <c r="EN13" s="315" t="s">
        <v>1192</v>
      </c>
      <c r="EO13" s="851">
        <f>+Novembre!EO13+Novembre!R89</f>
        <v>0</v>
      </c>
      <c r="EW13" s="315" t="s">
        <v>965</v>
      </c>
      <c r="EX13" s="315" t="str">
        <f>+IF(AR13=S.CAL!CU3,"oui","non")</f>
        <v>non</v>
      </c>
    </row>
    <row r="14" spans="1:226" ht="14.25" customHeight="1" x14ac:dyDescent="0.2">
      <c r="A14" s="1984" t="str">
        <f>+IF(U14=0,"Heures mensualisées :","Heures mens. (&lt; ou = à 45 hrs / sem) :")</f>
        <v>Heures mensualisées :</v>
      </c>
      <c r="B14" s="1984"/>
      <c r="C14" s="1984"/>
      <c r="D14" s="1984"/>
      <c r="E14" s="1984"/>
      <c r="F14" s="1984"/>
      <c r="G14" s="1984"/>
      <c r="H14" s="2197"/>
      <c r="I14" s="2198">
        <f>+IF(AJ125="NON",DP9,AM125)</f>
        <v>0</v>
      </c>
      <c r="J14" s="2199"/>
      <c r="K14" s="2199"/>
      <c r="L14" s="2200"/>
      <c r="O14" s="2154" t="s">
        <v>831</v>
      </c>
      <c r="P14" s="2154"/>
      <c r="Q14" s="2154"/>
      <c r="R14" s="2154"/>
      <c r="S14" s="2154"/>
      <c r="T14" s="2155"/>
      <c r="U14" s="2169">
        <f>IF(AI127="NON",+DP10,AM127)</f>
        <v>0</v>
      </c>
      <c r="V14" s="2170"/>
      <c r="W14" s="2170"/>
      <c r="X14" s="2171"/>
      <c r="AE14" s="2166" t="s">
        <v>37</v>
      </c>
      <c r="AF14" s="2167"/>
      <c r="AG14" s="2167"/>
      <c r="AH14" s="2167"/>
      <c r="AI14" s="2167"/>
      <c r="AJ14" s="2167"/>
      <c r="AK14" s="2168"/>
      <c r="AL14" s="1988">
        <f>ROUND(+DP11,4)</f>
        <v>0</v>
      </c>
      <c r="AM14" s="1989"/>
      <c r="AN14" s="1989"/>
      <c r="AO14" s="1990"/>
      <c r="AQ14" s="503" t="s">
        <v>492</v>
      </c>
      <c r="AR14" s="2373"/>
      <c r="AS14" s="2373"/>
      <c r="AT14" s="2373"/>
      <c r="AU14" s="2373"/>
      <c r="AV14" s="2373"/>
      <c r="AW14" s="2373"/>
      <c r="AX14" s="2373"/>
      <c r="AY14" s="2373"/>
      <c r="AZ14" s="2373"/>
      <c r="BA14" s="2355"/>
      <c r="BB14" s="2355"/>
      <c r="BC14" s="2355"/>
      <c r="BD14" s="951"/>
      <c r="BG14" s="1430" t="str">
        <f t="shared" si="1"/>
        <v>2026</v>
      </c>
      <c r="BH14" s="1443" t="str">
        <f t="shared" si="0"/>
        <v/>
      </c>
      <c r="BI14" s="1444">
        <f>IF($AR$13=S.CAL!$CU$2,+SUMIF(S.CAL!$FW$200:$FW$374,BG14,S.CAL!$FX$200:$FX$374),IF($AR$13=S.CAL!$CU$3,SUMIF(Feuilles_de_présence_planning!$EG$200:$EG$537,BG14,Feuilles_de_présence_planning!$EE$200:$EE$537),"err"))</f>
        <v>0</v>
      </c>
      <c r="CA14" s="196"/>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c r="DB14" s="447"/>
      <c r="DC14" s="447"/>
      <c r="DD14" s="447"/>
      <c r="DO14" s="402" t="s">
        <v>445</v>
      </c>
      <c r="DP14" s="315">
        <f>+IF(Identification!B3=S.CAL!AY2,1,2)</f>
        <v>2</v>
      </c>
      <c r="EF14" s="740" t="s">
        <v>212</v>
      </c>
      <c r="EG14" s="740" t="s">
        <v>213</v>
      </c>
      <c r="EH14" s="740" t="s">
        <v>212</v>
      </c>
      <c r="EI14" s="740" t="s">
        <v>213</v>
      </c>
      <c r="EJ14" s="740"/>
      <c r="EK14" s="740"/>
    </row>
    <row r="15" spans="1:226" ht="12.75" customHeight="1" x14ac:dyDescent="0.2">
      <c r="C15" s="1984" t="s">
        <v>916</v>
      </c>
      <c r="D15" s="1984"/>
      <c r="E15" s="1984"/>
      <c r="F15" s="1984"/>
      <c r="G15" s="1984"/>
      <c r="H15" s="1984"/>
      <c r="I15" s="1984"/>
      <c r="J15" s="1984"/>
      <c r="K15" s="1984"/>
      <c r="L15" s="1984"/>
      <c r="M15" s="2041"/>
      <c r="N15" s="2039">
        <f>+DP12</f>
        <v>0.1</v>
      </c>
      <c r="O15" s="2040"/>
      <c r="P15" s="1984" t="s">
        <v>917</v>
      </c>
      <c r="Q15" s="1984"/>
      <c r="R15" s="1984"/>
      <c r="S15" s="1984"/>
      <c r="T15" s="1984"/>
      <c r="U15" s="1984"/>
      <c r="V15" s="1984"/>
      <c r="W15" s="1984"/>
      <c r="X15" s="2041"/>
      <c r="Y15" s="2039">
        <f>+DP2</f>
        <v>0</v>
      </c>
      <c r="Z15" s="2040"/>
      <c r="AE15" s="2166" t="s">
        <v>38</v>
      </c>
      <c r="AF15" s="2167"/>
      <c r="AG15" s="2167"/>
      <c r="AH15" s="2167"/>
      <c r="AI15" s="2167"/>
      <c r="AJ15" s="2167"/>
      <c r="AK15" s="2168"/>
      <c r="AL15" s="1988">
        <f>ROUND(AL14*BY4,4)</f>
        <v>0</v>
      </c>
      <c r="AM15" s="1989"/>
      <c r="AN15" s="1989"/>
      <c r="AO15" s="1990"/>
      <c r="AP15" s="218"/>
      <c r="AQ15" s="320"/>
      <c r="AR15" s="218"/>
      <c r="BQ15" s="2330" t="s">
        <v>1089</v>
      </c>
      <c r="BR15" s="2330"/>
      <c r="BS15" s="2330"/>
      <c r="BT15" s="2330"/>
      <c r="BU15" s="2330"/>
      <c r="BV15" s="2330"/>
      <c r="BW15" s="2330"/>
      <c r="BX15" s="2330"/>
      <c r="BY15" s="2330"/>
      <c r="BZ15" s="2330"/>
      <c r="CA15" s="2330"/>
      <c r="CB15" s="2330"/>
      <c r="CC15" s="2330"/>
      <c r="CF15" s="447"/>
      <c r="CG15" s="447"/>
      <c r="CH15" s="447"/>
      <c r="CI15" s="447"/>
      <c r="CJ15" s="447"/>
      <c r="CK15" s="447"/>
      <c r="CL15" s="447"/>
      <c r="CM15" s="447"/>
      <c r="CN15" s="447"/>
      <c r="CO15" s="447"/>
      <c r="CP15" s="447"/>
      <c r="CQ15" s="447"/>
      <c r="CR15" s="447"/>
      <c r="CS15" s="447"/>
      <c r="CT15" s="447"/>
      <c r="CU15" s="447"/>
      <c r="CV15" s="447"/>
      <c r="CW15" s="447"/>
      <c r="CX15" s="447"/>
      <c r="CY15" s="447"/>
      <c r="CZ15" s="447"/>
      <c r="DA15" s="447"/>
      <c r="DB15" s="447"/>
      <c r="DC15" s="447"/>
      <c r="DD15" s="447"/>
      <c r="DO15" s="402" t="s">
        <v>640</v>
      </c>
      <c r="DP15" s="741" t="e">
        <f>+DP13/DP11*12/DP8*DP11/6</f>
        <v>#DIV/0!</v>
      </c>
      <c r="DZ15" s="402"/>
      <c r="EA15" s="402"/>
      <c r="EB15" s="402"/>
      <c r="EC15" s="402"/>
      <c r="ED15" s="402"/>
      <c r="EE15" s="402" t="s">
        <v>702</v>
      </c>
      <c r="EH15" s="741">
        <f>+EH16+EH17</f>
        <v>0</v>
      </c>
      <c r="EI15" s="741">
        <f>+EI16+EI17</f>
        <v>0</v>
      </c>
      <c r="EJ15" s="741"/>
      <c r="EK15" s="741"/>
      <c r="GF15" s="129" t="s">
        <v>1555</v>
      </c>
      <c r="GJ15" s="1005" t="s">
        <v>1582</v>
      </c>
      <c r="GK15" s="1504"/>
      <c r="GL15" s="1504"/>
      <c r="GM15" s="1505"/>
      <c r="GP15" s="1523" t="s">
        <v>1635</v>
      </c>
      <c r="GW15" s="129" t="s">
        <v>1473</v>
      </c>
    </row>
    <row r="16" spans="1:226" ht="12.75" customHeight="1" x14ac:dyDescent="0.2">
      <c r="AP16" s="218"/>
      <c r="AQ16" s="1546" t="str">
        <f>+IF(AH92&lt;0,"Erreur vous posez trop de CP Acq","")</f>
        <v/>
      </c>
      <c r="AR16" s="218"/>
      <c r="BQ16" s="2330"/>
      <c r="BR16" s="2330"/>
      <c r="BS16" s="2330"/>
      <c r="BT16" s="2330"/>
      <c r="BU16" s="2330"/>
      <c r="BV16" s="2330"/>
      <c r="BW16" s="2330"/>
      <c r="BX16" s="2330"/>
      <c r="BY16" s="2330"/>
      <c r="BZ16" s="2330"/>
      <c r="CA16" s="2330"/>
      <c r="CB16" s="2330"/>
      <c r="CC16" s="2330"/>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c r="DB16" s="447"/>
      <c r="DC16" s="447"/>
      <c r="DD16" s="447"/>
      <c r="DO16" s="315" t="s">
        <v>699</v>
      </c>
      <c r="DP16" s="315" t="str">
        <f>+VLOOKUP(DP4,base_donné_contrat,10,FALSE)</f>
        <v>Méthode 1</v>
      </c>
      <c r="DZ16" s="402"/>
      <c r="EA16" s="402"/>
      <c r="EB16" s="402"/>
      <c r="EC16" s="402"/>
      <c r="ED16" s="402"/>
      <c r="EE16" s="402" t="s">
        <v>215</v>
      </c>
      <c r="EF16" s="741">
        <f>+Novembre!EF16</f>
        <v>0</v>
      </c>
      <c r="EG16" s="741">
        <f>+Novembre!EG16</f>
        <v>0</v>
      </c>
      <c r="EH16" s="741">
        <f>+Novembre!EH16+Novembre!EH17</f>
        <v>0</v>
      </c>
      <c r="EI16" s="741">
        <f>+Novembre!EI16+Novembre!EI17</f>
        <v>0</v>
      </c>
      <c r="EJ16" s="741"/>
      <c r="EK16" s="741"/>
      <c r="GJ16" s="253" t="s">
        <v>1583</v>
      </c>
      <c r="GM16" s="1506"/>
      <c r="GW16" s="2136" t="s">
        <v>203</v>
      </c>
      <c r="GX16" s="2137"/>
      <c r="GY16" s="2137"/>
      <c r="GZ16" s="2137"/>
      <c r="HA16" s="2137"/>
      <c r="HB16" s="2137"/>
      <c r="HC16" s="2137"/>
      <c r="HD16" s="2137"/>
      <c r="HE16" s="2137"/>
      <c r="HF16" s="2138"/>
      <c r="HG16" s="1943">
        <f>+IF(OR(AE123="OUI",DP7="OUI"),ROUND(SUM(T18:W29)+T31,2),0)</f>
        <v>0</v>
      </c>
      <c r="HH16" s="1944"/>
      <c r="HI16" s="1944"/>
      <c r="HJ16" s="1945"/>
      <c r="HK16" s="2212">
        <f>+IF(AND(BY8="NON",AE123="OUI"),0.1,0)</f>
        <v>0</v>
      </c>
      <c r="HL16" s="2213"/>
      <c r="HM16" s="2213"/>
      <c r="HN16" s="2214"/>
      <c r="HO16" s="1943">
        <f>ROUND(IF(AR123="",+HK16*HG16,AR123),2)</f>
        <v>0</v>
      </c>
      <c r="HP16" s="1944"/>
      <c r="HQ16" s="1944"/>
      <c r="HR16" s="1945"/>
    </row>
    <row r="17" spans="1:199" ht="13.5" customHeight="1" thickBot="1" x14ac:dyDescent="0.25">
      <c r="A17" s="2177" t="s">
        <v>39</v>
      </c>
      <c r="B17" s="2178"/>
      <c r="C17" s="2178"/>
      <c r="D17" s="2178"/>
      <c r="E17" s="2178"/>
      <c r="F17" s="2178"/>
      <c r="G17" s="2178"/>
      <c r="H17" s="2178"/>
      <c r="I17" s="2178"/>
      <c r="J17" s="2178"/>
      <c r="K17" s="2179"/>
      <c r="L17" s="2159" t="s">
        <v>40</v>
      </c>
      <c r="M17" s="2160"/>
      <c r="N17" s="2160"/>
      <c r="O17" s="2161"/>
      <c r="P17" s="2162" t="s">
        <v>41</v>
      </c>
      <c r="Q17" s="2160"/>
      <c r="R17" s="2160"/>
      <c r="S17" s="2161"/>
      <c r="T17" s="2162" t="s">
        <v>42</v>
      </c>
      <c r="U17" s="2160"/>
      <c r="V17" s="2160"/>
      <c r="W17" s="2161"/>
      <c r="AE17" s="204"/>
      <c r="AF17" s="204"/>
      <c r="AG17" s="204"/>
      <c r="AH17" s="204"/>
      <c r="AI17" s="204"/>
      <c r="AJ17" s="204"/>
      <c r="AK17" s="204"/>
      <c r="AL17" s="218"/>
      <c r="AM17" s="218"/>
      <c r="AN17" s="218"/>
      <c r="AO17" s="218"/>
      <c r="AP17" s="218"/>
      <c r="AQ17" s="1546" t="str">
        <f>+IF(AL92&lt;0,"Erreur vous posez trop de CP Anticipés","")</f>
        <v/>
      </c>
      <c r="AR17" s="218"/>
      <c r="BC17" s="1996" t="s">
        <v>1000</v>
      </c>
      <c r="BD17" s="1996"/>
      <c r="BE17" s="1996"/>
      <c r="BH17" s="1997" t="s">
        <v>1531</v>
      </c>
      <c r="BI17" s="1997"/>
      <c r="BQ17" s="2330"/>
      <c r="BR17" s="2330"/>
      <c r="BS17" s="2330"/>
      <c r="BT17" s="2330"/>
      <c r="BU17" s="2330"/>
      <c r="BV17" s="2330"/>
      <c r="BW17" s="2330"/>
      <c r="BX17" s="2330"/>
      <c r="BY17" s="2330"/>
      <c r="BZ17" s="2330"/>
      <c r="CA17" s="2330"/>
      <c r="CB17" s="2330"/>
      <c r="CC17" s="2330"/>
      <c r="CF17" s="447"/>
      <c r="CG17" s="447"/>
      <c r="CH17" s="447"/>
      <c r="CI17" s="447"/>
      <c r="CJ17" s="447"/>
      <c r="CK17" s="447"/>
      <c r="CL17" s="447"/>
      <c r="CM17" s="447"/>
      <c r="CN17" s="447"/>
      <c r="CO17" s="447"/>
      <c r="CP17" s="447"/>
      <c r="CQ17" s="447"/>
      <c r="CR17" s="447"/>
      <c r="CS17" s="447"/>
      <c r="CT17" s="447"/>
      <c r="CU17" s="447"/>
      <c r="CV17" s="447"/>
      <c r="CW17" s="447"/>
      <c r="CX17" s="447"/>
      <c r="CY17" s="447"/>
      <c r="CZ17" s="447"/>
      <c r="DA17" s="447"/>
      <c r="DB17" s="447"/>
      <c r="DC17" s="447"/>
      <c r="DD17" s="447"/>
      <c r="DO17" s="315" t="s">
        <v>713</v>
      </c>
      <c r="DP17" s="315" t="str">
        <f>+VLOOKUP(DP4,base_donné_contrat,11,FALSE)</f>
        <v>Méthode 1</v>
      </c>
      <c r="DU17" s="315" t="s">
        <v>1053</v>
      </c>
      <c r="DZ17" s="402"/>
      <c r="EA17" s="402" t="s">
        <v>1054</v>
      </c>
      <c r="EB17" s="402"/>
      <c r="EC17" s="402"/>
      <c r="ED17" s="402"/>
      <c r="EE17" s="402" t="s">
        <v>214</v>
      </c>
      <c r="EF17" s="741"/>
      <c r="EG17" s="741"/>
      <c r="EH17" s="741">
        <f>IF(EI19,(ROUND(1*EF19/EI19,2)),0)</f>
        <v>0</v>
      </c>
      <c r="EI17" s="741">
        <f>MROUND(BE114,0.05)</f>
        <v>0</v>
      </c>
      <c r="EJ17" s="741"/>
      <c r="EK17" s="741"/>
      <c r="EQ17" s="2419" t="s">
        <v>961</v>
      </c>
      <c r="ER17" s="2419"/>
      <c r="ES17" s="2419"/>
      <c r="ET17" s="2419"/>
      <c r="EU17" s="2419"/>
      <c r="EV17" s="1389"/>
      <c r="EW17" s="2418" t="s">
        <v>962</v>
      </c>
      <c r="EX17" s="2418"/>
      <c r="EY17" s="2418"/>
      <c r="EZ17" s="2418"/>
      <c r="FA17" s="2418"/>
      <c r="FB17" s="777"/>
      <c r="GF17" s="1752" t="s">
        <v>1556</v>
      </c>
      <c r="GG17" s="1752" t="s">
        <v>1557</v>
      </c>
      <c r="GH17" s="1771" t="s">
        <v>1558</v>
      </c>
      <c r="GJ17" s="253"/>
      <c r="GM17" s="1506"/>
      <c r="GP17" s="1732" t="s">
        <v>1636</v>
      </c>
      <c r="GQ17" s="1732" t="s">
        <v>1557</v>
      </c>
    </row>
    <row r="18" spans="1:199" ht="13.5" customHeight="1" thickTop="1" x14ac:dyDescent="0.2">
      <c r="A18" s="1963" t="str">
        <f>+IF(DP29="OUI","Salaire heures normales réelles",IF(U14&gt;0,"Salaire mensualisé (hrs &lt; ou = à 45 hrs / sem)","Salaire mensualisé"))</f>
        <v>Salaire mensualisé</v>
      </c>
      <c r="B18" s="1964"/>
      <c r="C18" s="1964"/>
      <c r="D18" s="1964"/>
      <c r="E18" s="1964"/>
      <c r="F18" s="1964"/>
      <c r="G18" s="1964"/>
      <c r="H18" s="1964"/>
      <c r="I18" s="1964"/>
      <c r="J18" s="1964"/>
      <c r="K18" s="1965"/>
      <c r="L18" s="2156">
        <f>IF(A18="Salaire heures normales réelles",AM51-L19,I14)</f>
        <v>0</v>
      </c>
      <c r="M18" s="2157"/>
      <c r="N18" s="2157"/>
      <c r="O18" s="2158"/>
      <c r="P18" s="2163">
        <f>AL14</f>
        <v>0</v>
      </c>
      <c r="Q18" s="2164"/>
      <c r="R18" s="2164"/>
      <c r="S18" s="2165"/>
      <c r="T18" s="2174">
        <f t="shared" ref="T18:T20" si="2">+ROUND(P18*L18,2)</f>
        <v>0</v>
      </c>
      <c r="U18" s="2175"/>
      <c r="V18" s="2175"/>
      <c r="W18" s="2176"/>
      <c r="AB18" s="2193" t="s">
        <v>16</v>
      </c>
      <c r="AC18" s="2146"/>
      <c r="AD18" s="2172" t="s">
        <v>1003</v>
      </c>
      <c r="AE18" s="2172"/>
      <c r="AF18" s="2172"/>
      <c r="AG18" s="2146" t="s">
        <v>44</v>
      </c>
      <c r="AH18" s="2146"/>
      <c r="AI18" s="2146"/>
      <c r="AJ18" s="2146" t="s">
        <v>45</v>
      </c>
      <c r="AK18" s="2146"/>
      <c r="AL18" s="2146"/>
      <c r="AM18" s="2172" t="s">
        <v>1707</v>
      </c>
      <c r="AN18" s="2172"/>
      <c r="AO18" s="2195"/>
      <c r="AQ18" s="316"/>
      <c r="AR18" s="2016" t="s">
        <v>684</v>
      </c>
      <c r="AT18" s="2145" t="s">
        <v>44</v>
      </c>
      <c r="AU18" s="1961" t="s">
        <v>45</v>
      </c>
      <c r="AV18" s="502"/>
      <c r="AW18" s="502"/>
      <c r="AX18" s="502"/>
      <c r="AY18" s="502"/>
      <c r="AZ18" s="1961" t="s">
        <v>1003</v>
      </c>
      <c r="BA18" s="2227" t="s">
        <v>1707</v>
      </c>
      <c r="BB18" s="544"/>
      <c r="BC18" s="1962" t="s">
        <v>998</v>
      </c>
      <c r="BD18" s="1961" t="s">
        <v>1303</v>
      </c>
      <c r="BE18" s="1962" t="s">
        <v>999</v>
      </c>
      <c r="BF18" s="2018" t="s">
        <v>492</v>
      </c>
      <c r="BG18" s="215"/>
      <c r="BH18" s="1782" t="s">
        <v>998</v>
      </c>
      <c r="BI18" s="2018" t="s">
        <v>492</v>
      </c>
      <c r="BJ18" s="2224" t="s">
        <v>238</v>
      </c>
      <c r="BK18" s="1730" t="s">
        <v>242</v>
      </c>
      <c r="BL18" s="1730" t="s">
        <v>241</v>
      </c>
      <c r="BM18" s="1730" t="s">
        <v>239</v>
      </c>
      <c r="BN18" s="1730" t="s">
        <v>230</v>
      </c>
      <c r="BO18" s="2148" t="s">
        <v>996</v>
      </c>
      <c r="BP18" s="1950" t="s">
        <v>997</v>
      </c>
      <c r="BW18" s="215"/>
      <c r="BX18" s="215"/>
      <c r="BY18" s="215"/>
      <c r="CA18" s="196"/>
      <c r="CF18" s="447"/>
      <c r="CG18" s="447"/>
      <c r="CH18" s="447"/>
      <c r="CI18" s="447"/>
      <c r="CJ18" s="447"/>
      <c r="CK18" s="447"/>
      <c r="CL18" s="447"/>
      <c r="CM18" s="447"/>
      <c r="CN18" s="447"/>
      <c r="CO18" s="447"/>
      <c r="CP18" s="447"/>
      <c r="CQ18" s="447"/>
      <c r="CR18" s="447"/>
      <c r="CS18" s="447"/>
      <c r="CT18" s="447"/>
      <c r="CU18" s="447"/>
      <c r="CV18" s="447"/>
      <c r="CW18" s="447"/>
      <c r="CX18" s="447"/>
      <c r="CY18" s="447"/>
      <c r="CZ18" s="447"/>
      <c r="DA18" s="447"/>
      <c r="DB18" s="447"/>
      <c r="DC18" s="447"/>
      <c r="DD18" s="447"/>
      <c r="DO18" s="402" t="s">
        <v>840</v>
      </c>
      <c r="DP18" s="315">
        <f>IF(OR(I14,U14),+U14/(I14+U14),0)</f>
        <v>0</v>
      </c>
      <c r="DX18" s="315" t="s">
        <v>1041</v>
      </c>
      <c r="DZ18" s="402"/>
      <c r="EA18" s="402"/>
      <c r="EB18" s="402"/>
      <c r="EC18" s="402"/>
      <c r="ED18" s="402"/>
      <c r="EE18" s="402" t="s">
        <v>692</v>
      </c>
      <c r="EF18" s="741">
        <f>EF16*2.5</f>
        <v>0</v>
      </c>
      <c r="EG18" s="741">
        <f>EG16/4*2.5</f>
        <v>0</v>
      </c>
      <c r="EH18" s="741">
        <f>(EH17+EH16)*2.5</f>
        <v>0</v>
      </c>
      <c r="EI18" s="741">
        <f>(EI17+EI16)/4*2.5</f>
        <v>0</v>
      </c>
      <c r="EJ18" s="741"/>
      <c r="EK18" s="741"/>
      <c r="EQ18" s="778"/>
      <c r="ER18" s="778"/>
      <c r="ES18" s="778"/>
      <c r="ET18" s="778"/>
      <c r="EU18" s="778"/>
      <c r="EV18" s="778"/>
      <c r="EW18" s="778"/>
      <c r="EX18" s="778"/>
      <c r="EY18" s="778"/>
      <c r="EZ18" s="778"/>
      <c r="FA18" s="778"/>
      <c r="FB18" s="778"/>
      <c r="FJ18" s="315" t="s">
        <v>1326</v>
      </c>
      <c r="FN18" s="129" t="s">
        <v>1331</v>
      </c>
      <c r="FP18" s="129" t="s">
        <v>1495</v>
      </c>
      <c r="FS18" s="129" t="s">
        <v>1532</v>
      </c>
      <c r="FZ18" s="1445" t="s">
        <v>1559</v>
      </c>
      <c r="GA18" s="1445" t="s">
        <v>1560</v>
      </c>
      <c r="GB18" s="1445" t="s">
        <v>238</v>
      </c>
      <c r="GC18" s="1445" t="s">
        <v>1561</v>
      </c>
      <c r="GD18" s="1445"/>
      <c r="GF18" s="1752"/>
      <c r="GG18" s="1752"/>
      <c r="GH18" s="1771"/>
      <c r="GJ18" s="253" t="s">
        <v>1584</v>
      </c>
      <c r="GK18" s="129" t="s">
        <v>1585</v>
      </c>
      <c r="GL18" s="129" t="s">
        <v>1586</v>
      </c>
      <c r="GM18" s="1506" t="s">
        <v>1587</v>
      </c>
      <c r="GO18" s="1523" t="s">
        <v>1495</v>
      </c>
      <c r="GP18" s="1732"/>
      <c r="GQ18" s="1732"/>
    </row>
    <row r="19" spans="1:199" ht="14.25" customHeight="1" x14ac:dyDescent="0.2">
      <c r="A19" s="1799" t="str">
        <f>+IF(DP29="OUI","Salaire heures majorées réelles","Heures majorées mensualisées")</f>
        <v>Heures majorées mensualisées</v>
      </c>
      <c r="B19" s="1798"/>
      <c r="C19" s="1798"/>
      <c r="D19" s="1798"/>
      <c r="E19" s="1798"/>
      <c r="F19" s="1798"/>
      <c r="G19" s="1798"/>
      <c r="H19" s="1798"/>
      <c r="I19" s="1798"/>
      <c r="J19" s="1798"/>
      <c r="K19" s="1800"/>
      <c r="L19" s="2201">
        <f>IF(DP29="OUI",CA34,U14)</f>
        <v>0</v>
      </c>
      <c r="M19" s="2202"/>
      <c r="N19" s="2202"/>
      <c r="O19" s="2203"/>
      <c r="P19" s="1977">
        <f>IF(DP14=1,AL14*(1+N15),AL14)</f>
        <v>0</v>
      </c>
      <c r="Q19" s="1978"/>
      <c r="R19" s="1978"/>
      <c r="S19" s="1979"/>
      <c r="T19" s="1753">
        <f t="shared" si="2"/>
        <v>0</v>
      </c>
      <c r="U19" s="1969"/>
      <c r="V19" s="1969"/>
      <c r="W19" s="1976"/>
      <c r="X19" s="204"/>
      <c r="Y19" s="204"/>
      <c r="Z19" s="204"/>
      <c r="AA19" s="219"/>
      <c r="AB19" s="2194"/>
      <c r="AC19" s="2147"/>
      <c r="AD19" s="2173"/>
      <c r="AE19" s="2173"/>
      <c r="AF19" s="2173"/>
      <c r="AG19" s="2147"/>
      <c r="AH19" s="2147"/>
      <c r="AI19" s="2147"/>
      <c r="AJ19" s="2147"/>
      <c r="AK19" s="2147"/>
      <c r="AL19" s="2147"/>
      <c r="AM19" s="2173"/>
      <c r="AN19" s="2173"/>
      <c r="AO19" s="2196"/>
      <c r="AP19" s="220"/>
      <c r="AQ19" s="321"/>
      <c r="AR19" s="2017"/>
      <c r="AT19" s="2145"/>
      <c r="AU19" s="1961"/>
      <c r="AV19" s="502"/>
      <c r="AW19" s="502"/>
      <c r="AX19" s="502"/>
      <c r="AY19" s="502"/>
      <c r="AZ19" s="2226"/>
      <c r="BA19" s="2228"/>
      <c r="BB19" s="544"/>
      <c r="BC19" s="1783"/>
      <c r="BD19" s="1961"/>
      <c r="BE19" s="1783"/>
      <c r="BF19" s="2019"/>
      <c r="BG19" s="215"/>
      <c r="BH19" s="1783"/>
      <c r="BI19" s="2019"/>
      <c r="BJ19" s="2225"/>
      <c r="BK19" s="1731"/>
      <c r="BL19" s="1731"/>
      <c r="BM19" s="1731"/>
      <c r="BN19" s="1731"/>
      <c r="BO19" s="2149" t="s">
        <v>981</v>
      </c>
      <c r="BP19" s="1950"/>
      <c r="BQ19" s="196"/>
      <c r="BR19" s="196"/>
      <c r="BS19" s="196"/>
      <c r="BT19" s="196"/>
      <c r="BU19" s="196"/>
      <c r="BV19" s="196"/>
      <c r="BW19" s="196"/>
      <c r="BX19" s="196"/>
      <c r="BY19" s="196"/>
      <c r="BZ19" s="196"/>
      <c r="CA19" s="196"/>
      <c r="CF19" s="447"/>
      <c r="CG19" s="447"/>
      <c r="CH19" s="447"/>
      <c r="CI19" s="447"/>
      <c r="CJ19" s="447"/>
      <c r="CK19" s="447"/>
      <c r="CL19" s="447"/>
      <c r="CM19" s="447"/>
      <c r="CN19" s="447"/>
      <c r="CO19" s="447"/>
      <c r="CP19" s="447"/>
      <c r="CQ19" s="447"/>
      <c r="CR19" s="447"/>
      <c r="CS19" s="447"/>
      <c r="CT19" s="447"/>
      <c r="CU19" s="447"/>
      <c r="CV19" s="447"/>
      <c r="CW19" s="447"/>
      <c r="CX19" s="447"/>
      <c r="CY19" s="447"/>
      <c r="CZ19" s="447"/>
      <c r="DA19" s="447"/>
      <c r="DB19" s="447"/>
      <c r="DC19" s="447"/>
      <c r="DD19" s="447"/>
      <c r="DO19" s="315" t="s">
        <v>907</v>
      </c>
      <c r="DP19" s="315" t="str">
        <f>+VLOOKUP(DP4,base_donné_contrat,13,FALSE)</f>
        <v>NON</v>
      </c>
      <c r="DU19" s="315" t="str">
        <f>+"Journée entretien personalisée 1 ou "&amp;DL1&amp;"h"&amp;DL2</f>
        <v>Journée entretien personalisée 1 ou 6h14</v>
      </c>
      <c r="DV19" s="315" t="str">
        <f>+"Heures entretien pers. 1 et 2 ou "&amp;DL1&amp;"h"&amp;DL2</f>
        <v>Heures entretien pers. 1 et 2 ou 6h14</v>
      </c>
      <c r="DW19" s="315" t="s">
        <v>1508</v>
      </c>
      <c r="DX19" s="315" t="str">
        <f>+"Journée entretien &lt;"&amp;DL1&amp;"h"&amp;DL2</f>
        <v>Journée entretien &lt;6h14</v>
      </c>
      <c r="DY19" s="402" t="str">
        <f>+"Heures entretien &gt;"&amp;DL1&amp;"h"&amp;DL2</f>
        <v>Heures entretien &gt;6h14</v>
      </c>
      <c r="DZ19" s="402"/>
      <c r="EA19" s="402" t="s">
        <v>1055</v>
      </c>
      <c r="EB19" s="402" t="s">
        <v>1056</v>
      </c>
      <c r="EC19" s="402"/>
      <c r="ED19" s="402"/>
      <c r="EE19" s="402" t="s">
        <v>1154</v>
      </c>
      <c r="EF19" s="315">
        <f>IF(DP8&lt;52,(COUNTIF(AM20:AO50,"&gt;0"))+FP57,(COUNTIF(AM20:AO50,"&gt;0"))+FP57)</f>
        <v>0</v>
      </c>
      <c r="EH19" s="315" t="s">
        <v>306</v>
      </c>
      <c r="EI19" s="315">
        <f>COUNTIF('Retenue Déc'!D18:D48,"&gt;0")</f>
        <v>0</v>
      </c>
      <c r="EQ19" s="779" t="s">
        <v>16</v>
      </c>
      <c r="ER19" s="780" t="s">
        <v>957</v>
      </c>
      <c r="ES19" s="781" t="s">
        <v>958</v>
      </c>
      <c r="ET19" s="780" t="s">
        <v>959</v>
      </c>
      <c r="EU19" s="781" t="s">
        <v>46</v>
      </c>
      <c r="EV19" s="1391" t="s">
        <v>1530</v>
      </c>
      <c r="EW19" s="780" t="s">
        <v>16</v>
      </c>
      <c r="EX19" s="781" t="s">
        <v>957</v>
      </c>
      <c r="EY19" s="780" t="s">
        <v>958</v>
      </c>
      <c r="EZ19" s="781" t="s">
        <v>959</v>
      </c>
      <c r="FA19" s="782" t="s">
        <v>46</v>
      </c>
      <c r="FB19" s="780" t="s">
        <v>1001</v>
      </c>
      <c r="FC19" s="315" t="s">
        <v>1159</v>
      </c>
      <c r="FD19" s="747" t="s">
        <v>988</v>
      </c>
      <c r="FG19" s="315" t="s">
        <v>1267</v>
      </c>
      <c r="FJ19" s="315" t="s">
        <v>1327</v>
      </c>
      <c r="FK19" s="129" t="s">
        <v>1328</v>
      </c>
      <c r="FL19" s="129" t="s">
        <v>1330</v>
      </c>
      <c r="FN19" s="129" t="s">
        <v>1332</v>
      </c>
      <c r="GJ19" s="253"/>
      <c r="GM19" s="1506"/>
    </row>
    <row r="20" spans="1:199" x14ac:dyDescent="0.2">
      <c r="A20" s="1799" t="str">
        <f>+IF(AND(DP14=1,OR(DP29="NON",DP29=0)),"",+IF(DP29="OUI","","Majoration hrs majorées mensuelles"))</f>
        <v>Majoration hrs majorées mensuelles</v>
      </c>
      <c r="B20" s="1798"/>
      <c r="C20" s="1798"/>
      <c r="D20" s="1798"/>
      <c r="E20" s="1798"/>
      <c r="F20" s="1798"/>
      <c r="G20" s="1798"/>
      <c r="H20" s="1798"/>
      <c r="I20" s="1798"/>
      <c r="J20" s="1798"/>
      <c r="K20" s="1800"/>
      <c r="L20" s="2237">
        <f>+IF(AND(DP14=1,OR(DP29="NON",DP29=0)),0,IF(DP29="OUI",0,CA34))</f>
        <v>0</v>
      </c>
      <c r="M20" s="2238"/>
      <c r="N20" s="2238"/>
      <c r="O20" s="2239"/>
      <c r="P20" s="1977">
        <f>+IF(AND(DP14=1,OR(DP29="NON",DP29=0)),0,IF(DP29="OUI",0,AL14*N15))</f>
        <v>0</v>
      </c>
      <c r="Q20" s="1978"/>
      <c r="R20" s="1978"/>
      <c r="S20" s="1979"/>
      <c r="T20" s="1753">
        <f t="shared" si="2"/>
        <v>0</v>
      </c>
      <c r="U20" s="1969"/>
      <c r="V20" s="1969"/>
      <c r="W20" s="1976"/>
      <c r="X20" s="221"/>
      <c r="Y20" s="221"/>
      <c r="Z20" s="221"/>
      <c r="AA20" s="885" t="str">
        <f>IF(AND(BE20="OUI",$AR$13=S.CAL!$CU$2),"►",IF(AND(EV20="OUI",$AR$13=S.CAL!$CU$3),"►",""))</f>
        <v/>
      </c>
      <c r="AB20" s="2211">
        <f>+$X$3</f>
        <v>46357</v>
      </c>
      <c r="AC20" s="2151">
        <f>+$D$6</f>
        <v>0</v>
      </c>
      <c r="AD20" s="1748" t="str">
        <f>+IF(AND($AR$13=S.CAL!$CU$2,EX20&lt;&gt;0),EX20,IF(AND($AR$13=S.CAL!$CU$3,ER20&lt;&gt;0),ER20,0))</f>
        <v/>
      </c>
      <c r="AE20" s="1748"/>
      <c r="AF20" s="1748"/>
      <c r="AG20" s="1748" t="str">
        <f>+IF(AND($AR$13=S.CAL!$CU$2,EY20&lt;&gt;0),EY20,IF(AND($AR$13=S.CAL!$CU$3,ES20&lt;&gt;0),ES20,""))</f>
        <v/>
      </c>
      <c r="AH20" s="1748"/>
      <c r="AI20" s="1748"/>
      <c r="AJ20" s="1748" t="str">
        <f>+IF(AND($AR$13=S.CAL!$CU$2,EZ20&lt;&gt;0),EZ20,IF(AND($AR$13=S.CAL!$CU$3,ET20&lt;&gt;0),ET20,""))</f>
        <v/>
      </c>
      <c r="AK20" s="1748"/>
      <c r="AL20" s="1748"/>
      <c r="AM20" s="1748" t="str">
        <f>+IF(AND($AR$13=S.CAL!$CU$2,FA20&lt;&gt;0),FA20,IF(AND($AR$13=S.CAL!$CU$3,EU20&lt;&gt;0),EU20,""))</f>
        <v/>
      </c>
      <c r="AN20" s="1748"/>
      <c r="AO20" s="1784"/>
      <c r="AP20" s="215">
        <f>IFERROR(WEEKNUM(AB20,21),"")</f>
        <v>49</v>
      </c>
      <c r="AQ20" s="322"/>
      <c r="AR20" s="1123"/>
      <c r="AS20" s="314">
        <f t="shared" ref="AS20:AS50" si="3">SUM(AD20:AL20)</f>
        <v>0</v>
      </c>
      <c r="AT20" s="1124"/>
      <c r="AU20" s="1124"/>
      <c r="AV20" s="314"/>
      <c r="AW20" s="2150">
        <f>AB20</f>
        <v>46357</v>
      </c>
      <c r="AX20" s="2151"/>
      <c r="AY20" s="314"/>
      <c r="AZ20" s="1123"/>
      <c r="BA20" s="972"/>
      <c r="BB20" s="543"/>
      <c r="BC20" s="545">
        <f>+IF(AND(BE20="OUI",BD20=""),IFERROR(BH20-AZ20,FS20),IF(AND(BE20="OUI",BD20&lt;&gt;""),BD20,0))</f>
        <v>0</v>
      </c>
      <c r="BD20" s="1103"/>
      <c r="BE20" s="806">
        <f>+IF(OR(AND(BF20="",BO20="OUI"),AND(BF20="",FC20="oui",BO20=""),AND(BF20="",IFERROR(BH20-AZ20,0)&gt;0,AZ20&lt;&gt;"")),"OUI",BF20)</f>
        <v>0</v>
      </c>
      <c r="BF20" s="1127"/>
      <c r="BG20" s="222"/>
      <c r="BH20" s="1414" t="str">
        <f>IF(BI20="",+FB20,BI20)</f>
        <v/>
      </c>
      <c r="BI20" s="1127"/>
      <c r="BJ20" s="129" t="str">
        <f>+BN20&amp;BL20&amp;BM20</f>
        <v>Fiche infoA2</v>
      </c>
      <c r="BK20" s="129">
        <f>IFERROR(WEEKNUM(AB20,21),"")</f>
        <v>49</v>
      </c>
      <c r="BL20" s="129" t="str">
        <f t="shared" ref="BL20:BL50" si="4">+VLOOKUP(BK20,$AT$4:$AU$10,2,)</f>
        <v>A</v>
      </c>
      <c r="BM20" s="129">
        <f t="shared" ref="BM20:BM21" si="5">WEEKDAY(AB20,2)</f>
        <v>2</v>
      </c>
      <c r="BN20" s="223" t="str">
        <f>+DP4</f>
        <v>Fiche info</v>
      </c>
      <c r="BO20" s="314" t="str">
        <f t="shared" ref="BO20:BO21" si="6">IFERROR(+VLOOKUP(AZ20,Liste_motif_formule,5,FALSE),"")</f>
        <v/>
      </c>
      <c r="BP20" s="196" t="str">
        <f t="shared" ref="BP20:BP21" si="7">IFERROR(+VLOOKUP(AZ20,Liste_motif_formule,4,FALSE),"")</f>
        <v/>
      </c>
      <c r="BQ20" s="196"/>
      <c r="BR20" s="196"/>
      <c r="BS20" s="196"/>
      <c r="BT20" s="196"/>
      <c r="BU20" s="196"/>
      <c r="BV20" s="196"/>
      <c r="BW20" s="196"/>
      <c r="BX20" s="196"/>
      <c r="BY20" s="196"/>
      <c r="BZ20" s="196"/>
      <c r="CA20" s="447"/>
      <c r="CF20" s="447"/>
      <c r="CG20" s="447"/>
      <c r="CH20" s="447"/>
      <c r="CI20" s="447"/>
      <c r="CJ20" s="447"/>
      <c r="CK20" s="447"/>
      <c r="CL20" s="447"/>
      <c r="CM20" s="447"/>
      <c r="CN20" s="447"/>
      <c r="CO20" s="447"/>
      <c r="CP20" s="447"/>
      <c r="CQ20" s="447"/>
      <c r="CR20" s="447"/>
      <c r="CS20" s="447"/>
      <c r="CT20" s="447"/>
      <c r="CU20" s="447"/>
      <c r="CV20" s="447"/>
      <c r="CW20" s="447"/>
      <c r="CX20" s="447"/>
      <c r="CY20" s="447"/>
      <c r="CZ20" s="447"/>
      <c r="DA20" s="447"/>
      <c r="DB20" s="447"/>
      <c r="DC20" s="447"/>
      <c r="DD20" s="447"/>
      <c r="DO20" s="315" t="s">
        <v>934</v>
      </c>
      <c r="DP20" s="734">
        <f>+T18+T19+T20+T21+T23+T24+T22+T25+T26+T27+T28+T29+T31+T34+T33+IF(DP8=52,T30,0)</f>
        <v>0</v>
      </c>
      <c r="DU20" s="315">
        <f>IF(AND(SUM(AD20:AL20)&lt;=$DL$3,SUM(AD20:AL20)&gt;0,$CC$44=S.CAL!$BC$3),1,IF(AND(SUM(AD20:AL20)&lt;=$CE$54,SUM(AD20:AL20)&gt;0,$CC$44=S.CAL!$BC$4),1,0))</f>
        <v>0</v>
      </c>
      <c r="DV20" s="315">
        <f>IF(AND(SUM(AD20:AL20)&gt;$DL$3,$CC$44=S.CAL!$BC$3),SUM(AD20:AL20),IF(AND(SUM(AD20:AL20)&gt;$CE$54,$CC$44=S.CAL!$BC$4),SUM(AD20:AL20),IF(AND($CC$44=S.CAL!$BC$5,(SUM(AD20:AL20)*$CE$59)&gt;$CE$47),SUM(AD20:AL20),0)))</f>
        <v>0</v>
      </c>
      <c r="DW20" s="315">
        <f>+IF(AND($CC$44=S.CAL!$BC$5,(SUM(AD20:AL20)*$CE$59)&lt;=$CE$47),DX20,0)</f>
        <v>0</v>
      </c>
      <c r="DX20" s="315">
        <f>IF(AND(SUM(AD20:AL20)&lt;=DL3,SUM(AD20:AL20)&gt;0),1,0)</f>
        <v>0</v>
      </c>
      <c r="DY20" s="315">
        <f>IF(AND(SUM(AD20:AL20)&gt;DL3),SUM(AD20:AL20),0)</f>
        <v>0</v>
      </c>
      <c r="EA20" s="315">
        <f t="shared" ref="EA20:EA50" si="8">IF(AND(SUM(AD20:AL20)&lt;=$BY$56,SUM(AD20:AL20)&gt;0),1,0)</f>
        <v>0</v>
      </c>
      <c r="EB20" s="315">
        <f t="shared" ref="EB20:EB50" si="9">IF(AND(SUM(AD20:AL20)&lt;=$BY$60,SUM(AD20:AL20)&gt;$BY$59,SUM(AD20:AL20)&gt;0),1,0)</f>
        <v>0</v>
      </c>
      <c r="EE20" s="402" t="s">
        <v>1492</v>
      </c>
      <c r="EF20" s="315">
        <f>+FP57</f>
        <v>0</v>
      </c>
      <c r="EH20" s="402" t="s">
        <v>530</v>
      </c>
      <c r="EI20" s="315">
        <f>NETWORKDAYS.INTL(EI21,EI22,11)</f>
        <v>27</v>
      </c>
      <c r="EQ20" s="783">
        <f>+AB20</f>
        <v>46357</v>
      </c>
      <c r="ER20" s="784">
        <f t="shared" ref="ER20:ER50" si="10">+IFERROR(VLOOKUP(EQ20,planning_fp,2,FALSE),"")</f>
        <v>0</v>
      </c>
      <c r="ES20" s="785">
        <f t="shared" ref="ES20:ES50" si="11">+IFERROR(VLOOKUP(EQ20,planning_fp,3,FALSE),"")</f>
        <v>0</v>
      </c>
      <c r="ET20" s="784">
        <f t="shared" ref="ET20:ET50" si="12">+IFERROR(VLOOKUP(EQ20,planning_fp,4,FALSE),"")</f>
        <v>0</v>
      </c>
      <c r="EU20" s="785">
        <f t="shared" ref="EU20:EU50" si="13">+IFERROR(VLOOKUP(EQ20,planning_fp,5,FALSE),"")</f>
        <v>0</v>
      </c>
      <c r="EV20" s="784" t="str">
        <f t="shared" ref="EV20:EV50" si="14">+IFERROR(VLOOKUP(EQ20,planning_fp,17,FALSE),"")</f>
        <v/>
      </c>
      <c r="EW20" s="751">
        <f>+EQ20</f>
        <v>46357</v>
      </c>
      <c r="EX20" s="752" t="str">
        <f>IFERROR(IF(AND(AZ20="",AR20&lt;&gt;S.CAL!$BJ$3,AR20&lt;&gt;S.CAL!$BJ$4),FS20-BC20,IF(AZ20&lt;&gt;0,AZ20,IF(OR(AR20=S.CAL!$BJ$3,AR20=S.CAL!$BJ$4),AR20,0))),"")</f>
        <v/>
      </c>
      <c r="EY20" s="753">
        <f>+AT20</f>
        <v>0</v>
      </c>
      <c r="EZ20" s="736">
        <f>+AU20</f>
        <v>0</v>
      </c>
      <c r="FA20" s="752" t="str">
        <f>+IF(AND(BA20="",BE20="OUI",AR20=""),AD20,IF(OR(AND(BA20="",BE20="NON",AR20=""),AND(BA20="",BP20="oui",AR20="")),BH20,IF(AND(BA20="",BP20="non",AR20=""),AD20,IF(AND(BA20="",BP20="",AR20=""),AD20,IF(AND($DP$8=52,BA20=""),BH20,IF(AND($DP$8&lt;52,BA20=""),AD20,BA20))))))</f>
        <v/>
      </c>
      <c r="FB20" s="754" t="str">
        <f t="shared" ref="FB20:FB50" si="15">+IFERROR(VLOOKUP(BJ20,Base_heures,6,FALSE),"")</f>
        <v/>
      </c>
      <c r="FC20" s="315" t="str">
        <f>IFERROR(+IF(OR(DATE(YEAR(AB20),MONTH(AB20),DAY(AB20))&lt;DATE(YEAR($AJ$4),MONTH($AJ$4),DAY($AJ$4)),DATE(YEAR(AB20),MONTH(AB20),DAY(AB20))&gt;IF(DATE(YEAR($EG$4),MONTH($EG$4),DAY($EG$4))=0,DATE(2100,12,30),DATE(YEAR($EG$4),MONTH($EG$4),DAY($EG$4)))),"oui","non"),"")</f>
        <v>non</v>
      </c>
      <c r="FD20" s="755">
        <f t="shared" ref="FD20:FD50" si="16">+IFERROR(VLOOKUP(EQ20,planning_fp,7,FALSE),"")</f>
        <v>0</v>
      </c>
      <c r="FG20" s="315" t="str">
        <f>IF(ISNUMBER(AD20)=TRUE,"",AD20)</f>
        <v/>
      </c>
      <c r="FJ20" s="315">
        <f>IF(OR(ISNUMBER(AZ20)=TRUE,AZ20=""),1,10)</f>
        <v>1</v>
      </c>
      <c r="FK20" s="129">
        <f t="shared" ref="FK20:FK50" si="17">IFERROR(+VLOOKUP(AZ20,Liste_motif_formule,9,FALSE),10)</f>
        <v>10</v>
      </c>
      <c r="FL20" s="129">
        <f>+IF(OR(FJ20=1,FK20=1),1,10)</f>
        <v>1</v>
      </c>
      <c r="FN20" s="129">
        <f>+IF(AND($DP$8&lt;&gt;52,AR20=S.CAL!$BJ$4),10,1)</f>
        <v>1</v>
      </c>
      <c r="FP20" s="129">
        <f t="shared" ref="FP20:FP50" si="18">+IFERROR(IF(AND(VLOOKUP(EX20,Liste_motif_formule,10,FALSE)="OUI",FB20&gt;0,FB20&lt;&gt;""),1,0),0)+IFERROR(IF(AND(VLOOKUP(ER20,Liste_motif_formule,10,FALSE)="OUI",FB20&gt;0,FB20&lt;&gt;""),1,0),0)</f>
        <v>0</v>
      </c>
      <c r="FS20" s="223" t="str">
        <f>+BH20</f>
        <v/>
      </c>
      <c r="FZ20" s="129">
        <f>IFERROR(WEEKNUM(AB20,21),"")</f>
        <v>49</v>
      </c>
      <c r="GA20" s="129">
        <f>+$X$4</f>
        <v>2026</v>
      </c>
      <c r="GB20" s="129" t="str">
        <f>+FZ20&amp;GA20</f>
        <v>492026</v>
      </c>
      <c r="GC20" s="223">
        <f>IF(BH20="",0,BH20)</f>
        <v>0</v>
      </c>
      <c r="GF20" s="223" t="str">
        <f>IF(FP20=1,GG20,AM20)</f>
        <v/>
      </c>
      <c r="GG20" s="1446" t="str">
        <f>+'Retenue Déc'!D18</f>
        <v/>
      </c>
      <c r="GH20" s="1446">
        <f>IF(Identification!$B$132="Non",+'Retenue Déc'!BF18,+'Retenue Déc'!BE18)</f>
        <v>0</v>
      </c>
      <c r="GJ20" s="1507" t="str">
        <f>+AM20</f>
        <v/>
      </c>
      <c r="GK20" s="223" t="str">
        <f>+AG20</f>
        <v/>
      </c>
      <c r="GL20" s="223" t="str">
        <f>+AJ20</f>
        <v/>
      </c>
      <c r="GM20" s="1506">
        <f>+IF(AND(OR(ISNUMBER(GK20),ISNUMBER(GL20)),OR(GJ20="",GJ20=0,ISTEXT(GJ20))),1,0)</f>
        <v>0</v>
      </c>
      <c r="GO20" s="129">
        <f t="shared" ref="GO20:GO50" si="19">+IFERROR(IF(AND(VLOOKUP(EX20,Liste_motif_formule,11,FALSE)="OUI",FB20&gt;0,FB20&lt;&gt;""),1,0),0)+IFERROR(IF(AND(VLOOKUP(ER20,Liste_motif_formule,11,FALSE)="OUI",FB20&gt;0,FB20&lt;&gt;""),1,0),0)</f>
        <v>0</v>
      </c>
      <c r="GP20" s="129" t="str">
        <f>IF(GO20=1,GG20,"")</f>
        <v/>
      </c>
      <c r="GQ20" s="1446" t="str">
        <f>+GG20</f>
        <v/>
      </c>
    </row>
    <row r="21" spans="1:199" ht="12.75" customHeight="1" x14ac:dyDescent="0.2">
      <c r="A21" s="1799" t="s">
        <v>47</v>
      </c>
      <c r="B21" s="1798"/>
      <c r="C21" s="1798"/>
      <c r="D21" s="1798"/>
      <c r="E21" s="1798"/>
      <c r="F21" s="1798"/>
      <c r="G21" s="1798"/>
      <c r="H21" s="1798"/>
      <c r="I21" s="1798"/>
      <c r="J21" s="1798"/>
      <c r="K21" s="2259"/>
      <c r="L21" s="1756">
        <f>AG51</f>
        <v>0</v>
      </c>
      <c r="M21" s="2142"/>
      <c r="N21" s="2142"/>
      <c r="O21" s="2143"/>
      <c r="P21" s="1977">
        <f>+P18*(1+Y15)</f>
        <v>0</v>
      </c>
      <c r="Q21" s="1978"/>
      <c r="R21" s="1978"/>
      <c r="S21" s="2260"/>
      <c r="T21" s="1753">
        <f t="shared" ref="T21" si="20">+ROUND(P21*L21,2)</f>
        <v>0</v>
      </c>
      <c r="U21" s="1969"/>
      <c r="V21" s="1969"/>
      <c r="W21" s="1970"/>
      <c r="X21" s="221"/>
      <c r="Y21" s="221"/>
      <c r="Z21" s="221"/>
      <c r="AA21" s="885" t="str">
        <f>IF(AND(BE21="OUI",$AR$13=S.CAL!$CU$2),"►",IF(AND(EV21="OUI",$AR$13=S.CAL!$CU$3),"►",""))</f>
        <v/>
      </c>
      <c r="AB21" s="1760">
        <f>+$X$3+1</f>
        <v>46358</v>
      </c>
      <c r="AC21" s="1761">
        <f>+$D$6+1</f>
        <v>1</v>
      </c>
      <c r="AD21" s="1748" t="str">
        <f>+IF(AND($AR$13=S.CAL!$CU$2,EX21&lt;&gt;0),EX21,IF(AND($AR$13=S.CAL!$CU$3,ER21&lt;&gt;0),ER21,0))</f>
        <v/>
      </c>
      <c r="AE21" s="1748"/>
      <c r="AF21" s="1748"/>
      <c r="AG21" s="1748" t="str">
        <f>+IF(AND($AR$13=S.CAL!$CU$2,EY21&lt;&gt;0),EY21,IF(AND($AR$13=S.CAL!$CU$3,ES21&lt;&gt;0),ES21,""))</f>
        <v/>
      </c>
      <c r="AH21" s="1748"/>
      <c r="AI21" s="1748"/>
      <c r="AJ21" s="1748" t="str">
        <f>+IF(AND($AR$13=S.CAL!$CU$2,EZ21&lt;&gt;0),EZ21,IF(AND($AR$13=S.CAL!$CU$3,ET21&lt;&gt;0),ET21,""))</f>
        <v/>
      </c>
      <c r="AK21" s="1748"/>
      <c r="AL21" s="1748"/>
      <c r="AM21" s="1748" t="str">
        <f>+IF(AND($AR$13=S.CAL!$CU$2,FA21&lt;&gt;0),FA21,IF(AND($AR$13=S.CAL!$CU$3,EU21&lt;&gt;0),EU21,""))</f>
        <v/>
      </c>
      <c r="AN21" s="1748"/>
      <c r="AO21" s="1784"/>
      <c r="AP21" s="215" t="str">
        <f>IFERROR(IF(WEEKDAY(AB21,11)=1,WEEKNUM(AB21,21),""),"")</f>
        <v/>
      </c>
      <c r="AQ21" s="322"/>
      <c r="AR21" s="1104"/>
      <c r="AS21" s="314">
        <f t="shared" si="3"/>
        <v>0</v>
      </c>
      <c r="AT21" s="1125"/>
      <c r="AU21" s="1125"/>
      <c r="AV21" s="314"/>
      <c r="AW21" s="1791">
        <f t="shared" ref="AW21:AW50" si="21">AB21</f>
        <v>46358</v>
      </c>
      <c r="AX21" s="1761"/>
      <c r="AY21" s="314"/>
      <c r="AZ21" s="1104"/>
      <c r="BA21" s="973"/>
      <c r="BB21" s="543"/>
      <c r="BC21" s="548">
        <f t="shared" ref="BC21:BC50" si="22">+IF(AND(BE21="OUI",BD21=""),IFERROR(BH21-AZ21,FS21),IF(AND(BE21="OUI",BD21&lt;&gt;""),BD21,0))</f>
        <v>0</v>
      </c>
      <c r="BD21" s="1104"/>
      <c r="BE21" s="807">
        <f t="shared" ref="BE21:BE50" si="23">+IF(OR(AND(BF21="",BO21="OUI"),AND(BF21="",FC21="oui",BO21=""),AND(BF21="",IFERROR(BH21-AZ21,0)&gt;0,AZ21&lt;&gt;"")),"OUI",BF21)</f>
        <v>0</v>
      </c>
      <c r="BF21" s="1128"/>
      <c r="BG21" s="222"/>
      <c r="BH21" s="548" t="str">
        <f t="shared" ref="BH21:BH50" si="24">IF(BI21="",+FB21,BI21)</f>
        <v/>
      </c>
      <c r="BI21" s="1128"/>
      <c r="BJ21" s="129" t="str">
        <f t="shared" ref="BJ21:BJ47" si="25">+BN21&amp;BL21&amp;BM21</f>
        <v>Fiche infoA3</v>
      </c>
      <c r="BK21" s="129">
        <f t="shared" ref="BK21" si="26">IFERROR(WEEKNUM(AB21,21),"")</f>
        <v>49</v>
      </c>
      <c r="BL21" s="129" t="str">
        <f t="shared" si="4"/>
        <v>A</v>
      </c>
      <c r="BM21" s="129">
        <f t="shared" si="5"/>
        <v>3</v>
      </c>
      <c r="BN21" s="223" t="str">
        <f>+BN20</f>
        <v>Fiche info</v>
      </c>
      <c r="BO21" s="314" t="str">
        <f t="shared" si="6"/>
        <v/>
      </c>
      <c r="BP21" s="196" t="str">
        <f t="shared" si="7"/>
        <v/>
      </c>
      <c r="BQ21" s="196"/>
      <c r="BR21" s="196"/>
      <c r="BS21" s="566"/>
      <c r="BT21" s="566"/>
      <c r="BU21" s="566"/>
      <c r="BV21" s="1949" t="s">
        <v>1624</v>
      </c>
      <c r="BW21" s="1949"/>
      <c r="BX21" s="1949"/>
      <c r="BY21" s="1949"/>
      <c r="BZ21" s="1949"/>
      <c r="CF21" s="565"/>
      <c r="CG21" s="565"/>
      <c r="CH21" s="565"/>
      <c r="CI21" s="565"/>
      <c r="CJ21" s="565"/>
      <c r="CK21" s="565"/>
      <c r="CL21" s="565"/>
      <c r="CM21" s="565"/>
      <c r="CN21" s="565"/>
      <c r="CO21" s="565"/>
      <c r="CP21" s="565"/>
      <c r="CQ21" s="565"/>
      <c r="CR21" s="565"/>
      <c r="CS21" s="565"/>
      <c r="CT21" s="565"/>
      <c r="CU21" s="565"/>
      <c r="CV21" s="565"/>
      <c r="CW21" s="565"/>
      <c r="CX21" s="565"/>
      <c r="CY21" s="565"/>
      <c r="CZ21" s="565"/>
      <c r="DA21" s="565"/>
      <c r="DB21" s="565"/>
      <c r="DC21" s="565"/>
      <c r="DD21" s="565"/>
      <c r="DE21" s="756"/>
      <c r="DF21" s="756"/>
      <c r="DG21" s="756"/>
      <c r="DH21" s="756"/>
      <c r="DI21" s="756"/>
      <c r="DJ21" s="756"/>
      <c r="DK21" s="756"/>
      <c r="DL21" s="756"/>
      <c r="DM21" s="756"/>
      <c r="DN21" s="756"/>
      <c r="DO21" s="757" t="s">
        <v>1112</v>
      </c>
      <c r="DP21" s="758">
        <f>+T18+T25</f>
        <v>0</v>
      </c>
      <c r="DQ21" s="756"/>
      <c r="DR21" s="756"/>
      <c r="DS21" s="756"/>
      <c r="DT21" s="756"/>
      <c r="DU21" s="315">
        <f>IF(AND(SUM(AD21:AL21)&lt;=$DL$3,SUM(AD21:AL21)&gt;0,$CC$44=S.CAL!$BC$3),1,IF(AND(SUM(AD21:AL21)&lt;=$CE$54,SUM(AD21:AL21)&gt;0,$CC$44=S.CAL!$BC$4),1,0))</f>
        <v>0</v>
      </c>
      <c r="DV21" s="315">
        <f>IF(AND(SUM(AD21:AL21)&gt;$DL$3,$CC$44=S.CAL!$BC$3),SUM(AD21:AL21),IF(AND(SUM(AD21:AL21)&gt;$CE$54,$CC$44=S.CAL!$BC$4),SUM(AD21:AL21),IF(AND($CC$44=S.CAL!$BC$5,(SUM(AD21:AL21)*$CE$59)&gt;$CE$47),SUM(AD21:AL21),0)))</f>
        <v>0</v>
      </c>
      <c r="DW21" s="315">
        <f>+IF(AND($CC$44=S.CAL!$BC$5,(SUM(AD21:AL21)*$CE$59)&lt;=$CE$47),DX21,0)</f>
        <v>0</v>
      </c>
      <c r="DX21" s="315">
        <f>IF(AND(SUM(AD21:AL21)&lt;=DL3,SUM(AD21:AL21)&gt;0),1,0)</f>
        <v>0</v>
      </c>
      <c r="DY21" s="315">
        <f>IF(AND(SUM(AD21:AL21)&gt;DL3),SUM(AD21:AL21),0)</f>
        <v>0</v>
      </c>
      <c r="EA21" s="315">
        <f t="shared" si="8"/>
        <v>0</v>
      </c>
      <c r="EB21" s="315">
        <f t="shared" si="9"/>
        <v>0</v>
      </c>
      <c r="EH21" s="402" t="s">
        <v>531</v>
      </c>
      <c r="EI21" s="737">
        <f>+X3</f>
        <v>46357</v>
      </c>
      <c r="EJ21" s="737"/>
      <c r="EK21" s="737"/>
      <c r="EQ21" s="783">
        <f t="shared" ref="EQ21" si="27">+AB21</f>
        <v>46358</v>
      </c>
      <c r="ER21" s="784">
        <f t="shared" si="10"/>
        <v>0</v>
      </c>
      <c r="ES21" s="785">
        <f t="shared" si="11"/>
        <v>0</v>
      </c>
      <c r="ET21" s="784">
        <f t="shared" si="12"/>
        <v>0</v>
      </c>
      <c r="EU21" s="785">
        <f t="shared" si="13"/>
        <v>0</v>
      </c>
      <c r="EV21" s="784" t="str">
        <f t="shared" si="14"/>
        <v/>
      </c>
      <c r="EW21" s="751">
        <f t="shared" ref="EW21:EW50" si="28">+EQ21</f>
        <v>46358</v>
      </c>
      <c r="EX21" s="759" t="str">
        <f>IFERROR(IF(AND(AZ21="",AR21&lt;&gt;S.CAL!$BJ$3,AR21&lt;&gt;S.CAL!$BJ$4),FS21-BC21,IF(AZ21&lt;&gt;0,AZ21,IF(OR(AR21=S.CAL!$BJ$3,AR21=S.CAL!$BJ$4),AR21,0))),"")</f>
        <v/>
      </c>
      <c r="EY21" s="753">
        <f t="shared" ref="EY21" si="29">+AT21</f>
        <v>0</v>
      </c>
      <c r="EZ21" s="736">
        <f t="shared" ref="EZ21" si="30">+AU21</f>
        <v>0</v>
      </c>
      <c r="FA21" s="759" t="str">
        <f t="shared" ref="FA21:FA50" si="31">+IF(AND(BA21="",BE21="OUI",AR21=""),AD21,IF(OR(AND(BA21="",BE21="NON",AR21=""),AND(BA21="",BP21="oui",AR21="")),BH21,IF(AND(BA21="",BP21="non",AR21=""),AD21,IF(AND(BA21="",BP21="",AR21=""),AD21,IF(AND($DP$8=52,BA21=""),BH21,IF(AND($DP$8&lt;52,BA21=""),AD21,BA21))))))</f>
        <v/>
      </c>
      <c r="FB21" s="754" t="str">
        <f t="shared" si="15"/>
        <v/>
      </c>
      <c r="FC21" s="315" t="str">
        <f t="shared" ref="FC21" si="32">IFERROR(+IF(OR(DATE(YEAR(AB21),MONTH(AB21),DAY(AB21))&lt;DATE(YEAR($AJ$4),MONTH($AJ$4),DAY($AJ$4)),DATE(YEAR(AB21),MONTH(AB21),DAY(AB21))&gt;IF(DATE(YEAR($EG$4),MONTH($EG$4),DAY($EG$4))=0,DATE(2100,12,30),DATE(YEAR($EG$4),MONTH($EG$4),DAY($EG$4)))),"oui","non"),"")</f>
        <v>non</v>
      </c>
      <c r="FD21" s="760">
        <f t="shared" si="16"/>
        <v>0</v>
      </c>
      <c r="FG21" s="315" t="str">
        <f t="shared" ref="FG21" si="33">IF(ISNUMBER(AD21)=TRUE,"",AD21)</f>
        <v/>
      </c>
      <c r="FJ21" s="315">
        <f t="shared" ref="FJ21" si="34">IF(OR(ISNUMBER(AZ21)=TRUE,AZ21=""),1,10)</f>
        <v>1</v>
      </c>
      <c r="FK21" s="129">
        <f t="shared" si="17"/>
        <v>10</v>
      </c>
      <c r="FL21" s="129">
        <f t="shared" ref="FL21:FL50" si="35">+IF(OR(FJ21=1,FK21=1),1,10)</f>
        <v>1</v>
      </c>
      <c r="FN21" s="129">
        <f>+IF(AND($DP$8&lt;&gt;52,AR21=S.CAL!$BJ$4),10,1)</f>
        <v>1</v>
      </c>
      <c r="FP21" s="129">
        <f t="shared" si="18"/>
        <v>0</v>
      </c>
      <c r="FS21" s="223" t="str">
        <f t="shared" ref="FS21:FS26" si="36">+BH21</f>
        <v/>
      </c>
      <c r="FZ21" s="129">
        <f t="shared" ref="FZ21:FZ50" si="37">IFERROR(WEEKNUM(AB21,21),"")</f>
        <v>49</v>
      </c>
      <c r="GA21" s="129">
        <f t="shared" ref="GA21:GA50" si="38">+$X$4</f>
        <v>2026</v>
      </c>
      <c r="GB21" s="129" t="str">
        <f t="shared" ref="GB21:GB48" si="39">+FZ21&amp;GA21</f>
        <v>492026</v>
      </c>
      <c r="GC21" s="223">
        <f t="shared" ref="GC21:GC48" si="40">IF(BH21="",0,BH21)</f>
        <v>0</v>
      </c>
      <c r="GF21" s="223" t="str">
        <f t="shared" ref="GF21:GF48" si="41">IF(FP21=1,GG21,AM21)</f>
        <v/>
      </c>
      <c r="GG21" s="1446" t="str">
        <f>+'Retenue Déc'!D19</f>
        <v/>
      </c>
      <c r="GH21" s="1446">
        <f>IF(Identification!$B$132="Non",+'Retenue Déc'!BF19,+'Retenue Déc'!BE19)</f>
        <v>0</v>
      </c>
      <c r="GJ21" s="1507" t="str">
        <f t="shared" ref="GJ21:GJ50" si="42">+AM21</f>
        <v/>
      </c>
      <c r="GK21" s="223" t="str">
        <f t="shared" ref="GK21:GK50" si="43">+AG21</f>
        <v/>
      </c>
      <c r="GL21" s="223" t="str">
        <f t="shared" ref="GL21:GL50" si="44">+AJ21</f>
        <v/>
      </c>
      <c r="GM21" s="1506">
        <f t="shared" ref="GM21:GM50" si="45">+IF(AND(OR(ISNUMBER(GK21),ISNUMBER(GL21)),OR(GJ21="",GJ21=0,ISTEXT(GJ21))),1,0)</f>
        <v>0</v>
      </c>
      <c r="GO21" s="129">
        <f t="shared" si="19"/>
        <v>0</v>
      </c>
      <c r="GP21" s="129" t="str">
        <f t="shared" ref="GP21:GP50" si="46">IF(GO21=1,GG21,"")</f>
        <v/>
      </c>
      <c r="GQ21" s="1446" t="str">
        <f t="shared" ref="GQ21:GQ50" si="47">+GG21</f>
        <v/>
      </c>
    </row>
    <row r="22" spans="1:199" x14ac:dyDescent="0.2">
      <c r="A22" s="2082" t="s">
        <v>1487</v>
      </c>
      <c r="B22" s="1993"/>
      <c r="C22" s="1993"/>
      <c r="D22" s="1993"/>
      <c r="E22" s="1993"/>
      <c r="F22" s="1993"/>
      <c r="G22" s="1993"/>
      <c r="H22" s="1993"/>
      <c r="I22" s="1993"/>
      <c r="J22" s="1993"/>
      <c r="K22" s="1994"/>
      <c r="L22" s="1756">
        <f>+AJ51</f>
        <v>0</v>
      </c>
      <c r="M22" s="2142"/>
      <c r="N22" s="2142"/>
      <c r="O22" s="2143"/>
      <c r="P22" s="1977">
        <f>+AL14*(1+N15)</f>
        <v>0</v>
      </c>
      <c r="Q22" s="1978"/>
      <c r="R22" s="1978"/>
      <c r="S22" s="2260"/>
      <c r="T22" s="1753">
        <f>+ROUND(P22*L22,2)</f>
        <v>0</v>
      </c>
      <c r="U22" s="1969"/>
      <c r="V22" s="1969"/>
      <c r="W22" s="1970"/>
      <c r="X22" s="221"/>
      <c r="Y22" s="221"/>
      <c r="Z22" s="221"/>
      <c r="AA22" s="885" t="str">
        <f>IF(AND(BE22="OUI",$AR$13=S.CAL!$CU$2),"►",IF(AND(EV22="OUI",$AR$13=S.CAL!$CU$3),"►",""))</f>
        <v/>
      </c>
      <c r="AB22" s="1760">
        <f>+$X$3+2</f>
        <v>46359</v>
      </c>
      <c r="AC22" s="1761">
        <f>+$D$6+2</f>
        <v>2</v>
      </c>
      <c r="AD22" s="1748" t="str">
        <f>+IF(AND($AR$13=S.CAL!$CU$2,EX22&lt;&gt;0),EX22,IF(AND($AR$13=S.CAL!$CU$3,ER22&lt;&gt;0),ER22,0))</f>
        <v/>
      </c>
      <c r="AE22" s="1748"/>
      <c r="AF22" s="1748"/>
      <c r="AG22" s="1748" t="str">
        <f>+IF(AND($AR$13=S.CAL!$CU$2,EY22&lt;&gt;0),EY22,IF(AND($AR$13=S.CAL!$CU$3,ES22&lt;&gt;0),ES22,""))</f>
        <v/>
      </c>
      <c r="AH22" s="1748"/>
      <c r="AI22" s="1748"/>
      <c r="AJ22" s="1748" t="str">
        <f>+IF(AND($AR$13=S.CAL!$CU$2,EZ22&lt;&gt;0),EZ22,IF(AND($AR$13=S.CAL!$CU$3,ET22&lt;&gt;0),ET22,""))</f>
        <v/>
      </c>
      <c r="AK22" s="1748"/>
      <c r="AL22" s="1748"/>
      <c r="AM22" s="1748" t="str">
        <f>+IF(AND($AR$13=S.CAL!$CU$2,FA22&lt;&gt;0),FA22,IF(AND($AR$13=S.CAL!$CU$3,EU22&lt;&gt;0),EU22,""))</f>
        <v/>
      </c>
      <c r="AN22" s="1748"/>
      <c r="AO22" s="1784"/>
      <c r="AP22" s="215" t="str">
        <f t="shared" ref="AP22:AP50" si="48">IFERROR(IF(WEEKDAY(AB22,11)=1,WEEKNUM(AB22,21),""),"")</f>
        <v/>
      </c>
      <c r="AQ22" s="322"/>
      <c r="AR22" s="1104"/>
      <c r="AS22" s="314">
        <f t="shared" si="3"/>
        <v>0</v>
      </c>
      <c r="AT22" s="1125"/>
      <c r="AU22" s="1125"/>
      <c r="AV22" s="314"/>
      <c r="AW22" s="1791">
        <f t="shared" si="21"/>
        <v>46359</v>
      </c>
      <c r="AX22" s="1761"/>
      <c r="AY22" s="314"/>
      <c r="AZ22" s="1104"/>
      <c r="BA22" s="973"/>
      <c r="BB22" s="543"/>
      <c r="BC22" s="548">
        <f t="shared" si="22"/>
        <v>0</v>
      </c>
      <c r="BD22" s="1104"/>
      <c r="BE22" s="807">
        <f t="shared" si="23"/>
        <v>0</v>
      </c>
      <c r="BF22" s="1128"/>
      <c r="BG22" s="222"/>
      <c r="BH22" s="548" t="str">
        <f t="shared" si="24"/>
        <v/>
      </c>
      <c r="BI22" s="1128"/>
      <c r="BJ22" s="129" t="str">
        <f t="shared" si="25"/>
        <v>Fiche infoA4</v>
      </c>
      <c r="BK22" s="129">
        <f t="shared" ref="BK22:BK50" si="49">IFERROR(WEEKNUM(AB22,21),"")</f>
        <v>49</v>
      </c>
      <c r="BL22" s="129" t="str">
        <f t="shared" si="4"/>
        <v>A</v>
      </c>
      <c r="BM22" s="129">
        <f t="shared" ref="BM22:BM47" si="50">WEEKDAY(AB22,2)</f>
        <v>4</v>
      </c>
      <c r="BN22" s="223" t="str">
        <f>+BN21</f>
        <v>Fiche info</v>
      </c>
      <c r="BO22" s="314" t="str">
        <f t="shared" ref="BO22:BO50" si="51">IFERROR(+VLOOKUP(AZ22,Liste_motif_formule,5,FALSE),"")</f>
        <v/>
      </c>
      <c r="BP22" s="196" t="str">
        <f t="shared" ref="BP22:BP50" si="52">IFERROR(+VLOOKUP(AZ22,Liste_motif_formule,4,FALSE),"")</f>
        <v/>
      </c>
      <c r="BQ22" s="196"/>
      <c r="BS22" s="566"/>
      <c r="BT22" s="566"/>
      <c r="BU22" s="566"/>
      <c r="BV22" s="1949"/>
      <c r="BW22" s="1949"/>
      <c r="BX22" s="1949"/>
      <c r="BY22" s="1949"/>
      <c r="BZ22" s="1949"/>
      <c r="CJ22" s="565"/>
      <c r="CK22" s="565"/>
      <c r="CL22" s="565"/>
      <c r="CM22" s="565"/>
      <c r="CN22" s="565"/>
      <c r="CO22" s="565"/>
      <c r="CP22" s="565"/>
      <c r="CQ22" s="565"/>
      <c r="CR22" s="565"/>
      <c r="CS22" s="565"/>
      <c r="CT22" s="565"/>
      <c r="CU22" s="565"/>
      <c r="CV22" s="565"/>
      <c r="CW22" s="565"/>
      <c r="CX22" s="565"/>
      <c r="CY22" s="565"/>
      <c r="CZ22" s="565"/>
      <c r="DA22" s="565"/>
      <c r="DB22" s="565"/>
      <c r="DC22" s="565"/>
      <c r="DD22" s="565"/>
      <c r="DE22" s="756"/>
      <c r="DF22" s="756"/>
      <c r="DG22" s="756"/>
      <c r="DH22" s="756"/>
      <c r="DI22" s="756"/>
      <c r="DJ22" s="756"/>
      <c r="DK22" s="756"/>
      <c r="DL22" s="756"/>
      <c r="DM22" s="756"/>
      <c r="DN22" s="756"/>
      <c r="DO22" s="757" t="s">
        <v>1113</v>
      </c>
      <c r="DP22" s="758">
        <f>+T19+T20+T26</f>
        <v>0</v>
      </c>
      <c r="DQ22" s="756"/>
      <c r="DR22" s="756"/>
      <c r="DS22" s="756"/>
      <c r="DT22" s="756"/>
      <c r="DU22" s="315">
        <f>IF(AND(SUM(AD22:AL22)&lt;=$DL$3,SUM(AD22:AL22)&gt;0,$CC$44=S.CAL!$BC$3),1,IF(AND(SUM(AD22:AL22)&lt;=$CE$54,SUM(AD22:AL22)&gt;0,$CC$44=S.CAL!$BC$4),1,0))</f>
        <v>0</v>
      </c>
      <c r="DV22" s="315">
        <f>IF(AND(SUM(AD22:AL22)&gt;$DL$3,$CC$44=S.CAL!$BC$3),SUM(AD22:AL22),IF(AND(SUM(AD22:AL22)&gt;$CE$54,$CC$44=S.CAL!$BC$4),SUM(AD22:AL22),IF(AND($CC$44=S.CAL!$BC$5,(SUM(AD22:AL22)*$CE$59)&gt;$CE$47),SUM(AD22:AL22),0)))</f>
        <v>0</v>
      </c>
      <c r="DW22" s="315">
        <f>+IF(AND($CC$44=S.CAL!$BC$5,(SUM(AD22:AL22)*$CE$59)&lt;=$CE$47),DX22,0)</f>
        <v>0</v>
      </c>
      <c r="DX22" s="315">
        <f>IF(AND(SUM(AD22:AL22)&lt;=DL3,SUM(AD22:AL22)&gt;0),1,0)</f>
        <v>0</v>
      </c>
      <c r="DY22" s="315">
        <f>IF(AND(SUM(AD22:AL22)&gt;DL3),SUM(AD22:AL22),0)</f>
        <v>0</v>
      </c>
      <c r="EA22" s="315">
        <f t="shared" si="8"/>
        <v>0</v>
      </c>
      <c r="EB22" s="315">
        <f t="shared" si="9"/>
        <v>0</v>
      </c>
      <c r="EH22" s="402" t="s">
        <v>532</v>
      </c>
      <c r="EI22" s="737">
        <f>+EOMONTH(X3,0)</f>
        <v>46387</v>
      </c>
      <c r="EJ22" s="737"/>
      <c r="EK22" s="737"/>
      <c r="EQ22" s="783">
        <f t="shared" ref="EQ22:EQ50" si="53">+AB22</f>
        <v>46359</v>
      </c>
      <c r="ER22" s="784">
        <f t="shared" si="10"/>
        <v>0</v>
      </c>
      <c r="ES22" s="785">
        <f t="shared" si="11"/>
        <v>0</v>
      </c>
      <c r="ET22" s="784">
        <f t="shared" si="12"/>
        <v>0</v>
      </c>
      <c r="EU22" s="785">
        <f t="shared" si="13"/>
        <v>0</v>
      </c>
      <c r="EV22" s="784" t="str">
        <f t="shared" si="14"/>
        <v/>
      </c>
      <c r="EW22" s="751">
        <f t="shared" si="28"/>
        <v>46359</v>
      </c>
      <c r="EX22" s="759" t="str">
        <f>IFERROR(IF(AND(AZ22="",AR22&lt;&gt;S.CAL!$BJ$3,AR22&lt;&gt;S.CAL!$BJ$4),FS22-BC22,IF(AZ22&lt;&gt;0,AZ22,IF(OR(AR22=S.CAL!$BJ$3,AR22=S.CAL!$BJ$4),AR22,0))),"")</f>
        <v/>
      </c>
      <c r="EY22" s="753">
        <f t="shared" ref="EY22:EY50" si="54">+AT22</f>
        <v>0</v>
      </c>
      <c r="EZ22" s="736">
        <f t="shared" ref="EZ22:EZ50" si="55">+AU22</f>
        <v>0</v>
      </c>
      <c r="FA22" s="759" t="str">
        <f t="shared" si="31"/>
        <v/>
      </c>
      <c r="FB22" s="754" t="str">
        <f t="shared" si="15"/>
        <v/>
      </c>
      <c r="FC22" s="315" t="str">
        <f t="shared" ref="FC22:FC50" si="56">IFERROR(+IF(OR(DATE(YEAR(AB22),MONTH(AB22),DAY(AB22))&lt;DATE(YEAR($AJ$4),MONTH($AJ$4),DAY($AJ$4)),DATE(YEAR(AB22),MONTH(AB22),DAY(AB22))&gt;IF(DATE(YEAR($EG$4),MONTH($EG$4),DAY($EG$4))=0,DATE(2100,12,30),DATE(YEAR($EG$4),MONTH($EG$4),DAY($EG$4)))),"oui","non"),"")</f>
        <v>non</v>
      </c>
      <c r="FD22" s="760">
        <f t="shared" si="16"/>
        <v>0</v>
      </c>
      <c r="FG22" s="315" t="str">
        <f t="shared" ref="FG22:FG50" si="57">IF(ISNUMBER(AD22)=TRUE,"",AD22)</f>
        <v/>
      </c>
      <c r="FJ22" s="315">
        <f t="shared" ref="FJ22:FJ50" si="58">IF(OR(ISNUMBER(AZ22)=TRUE,AZ22=""),1,10)</f>
        <v>1</v>
      </c>
      <c r="FK22" s="129">
        <f t="shared" si="17"/>
        <v>10</v>
      </c>
      <c r="FL22" s="129">
        <f t="shared" si="35"/>
        <v>1</v>
      </c>
      <c r="FN22" s="129">
        <f>+IF(AND($DP$8&lt;&gt;52,AR22=S.CAL!$BJ$4),10,1)</f>
        <v>1</v>
      </c>
      <c r="FP22" s="129">
        <f t="shared" si="18"/>
        <v>0</v>
      </c>
      <c r="FS22" s="223" t="str">
        <f t="shared" si="36"/>
        <v/>
      </c>
      <c r="FZ22" s="129">
        <f t="shared" si="37"/>
        <v>49</v>
      </c>
      <c r="GA22" s="129">
        <f t="shared" si="38"/>
        <v>2026</v>
      </c>
      <c r="GB22" s="129" t="str">
        <f t="shared" si="39"/>
        <v>492026</v>
      </c>
      <c r="GC22" s="223">
        <f t="shared" si="40"/>
        <v>0</v>
      </c>
      <c r="GF22" s="223" t="str">
        <f t="shared" si="41"/>
        <v/>
      </c>
      <c r="GG22" s="1446" t="str">
        <f>+'Retenue Déc'!D20</f>
        <v/>
      </c>
      <c r="GH22" s="1446">
        <f>IF(Identification!$B$132="Non",+'Retenue Déc'!BF20,+'Retenue Déc'!BE20)</f>
        <v>0</v>
      </c>
      <c r="GJ22" s="1507" t="str">
        <f t="shared" si="42"/>
        <v/>
      </c>
      <c r="GK22" s="223" t="str">
        <f t="shared" si="43"/>
        <v/>
      </c>
      <c r="GL22" s="223" t="str">
        <f t="shared" si="44"/>
        <v/>
      </c>
      <c r="GM22" s="1506">
        <f t="shared" si="45"/>
        <v>0</v>
      </c>
      <c r="GO22" s="129">
        <f t="shared" si="19"/>
        <v>0</v>
      </c>
      <c r="GP22" s="129" t="str">
        <f t="shared" si="46"/>
        <v/>
      </c>
      <c r="GQ22" s="1446" t="str">
        <f t="shared" si="47"/>
        <v/>
      </c>
    </row>
    <row r="23" spans="1:199" ht="13.5" customHeight="1" x14ac:dyDescent="0.2">
      <c r="A23" s="2221" t="s">
        <v>49</v>
      </c>
      <c r="B23" s="1963" t="s">
        <v>1414</v>
      </c>
      <c r="C23" s="1964"/>
      <c r="D23" s="1964"/>
      <c r="E23" s="1964"/>
      <c r="F23" s="1964"/>
      <c r="G23" s="1964"/>
      <c r="H23" s="1964"/>
      <c r="I23" s="1964"/>
      <c r="J23" s="1964"/>
      <c r="K23" s="1965"/>
      <c r="L23" s="1973"/>
      <c r="M23" s="1974"/>
      <c r="N23" s="1974"/>
      <c r="O23" s="1975"/>
      <c r="P23" s="1958"/>
      <c r="Q23" s="1959"/>
      <c r="R23" s="1959"/>
      <c r="S23" s="1960"/>
      <c r="T23" s="1753">
        <f t="shared" ref="T23:T24" si="59">+ROUND(P23*L23,2)</f>
        <v>0</v>
      </c>
      <c r="U23" s="1969"/>
      <c r="V23" s="1969"/>
      <c r="W23" s="1970"/>
      <c r="X23" s="221"/>
      <c r="Y23" s="221"/>
      <c r="Z23" s="221"/>
      <c r="AA23" s="885" t="str">
        <f>IF(AND(BE23="OUI",$AR$13=S.CAL!$CU$2),"►",IF(AND(EV23="OUI",$AR$13=S.CAL!$CU$3),"►",""))</f>
        <v/>
      </c>
      <c r="AB23" s="1760">
        <f>+$X$3+3</f>
        <v>46360</v>
      </c>
      <c r="AC23" s="1761">
        <f>+$D$6+3</f>
        <v>3</v>
      </c>
      <c r="AD23" s="1748" t="str">
        <f>+IF(AND($AR$13=S.CAL!$CU$2,EX23&lt;&gt;0),EX23,IF(AND($AR$13=S.CAL!$CU$3,ER23&lt;&gt;0),ER23,0))</f>
        <v/>
      </c>
      <c r="AE23" s="1748"/>
      <c r="AF23" s="1748"/>
      <c r="AG23" s="1748" t="str">
        <f>+IF(AND($AR$13=S.CAL!$CU$2,EY23&lt;&gt;0),EY23,IF(AND($AR$13=S.CAL!$CU$3,ES23&lt;&gt;0),ES23,""))</f>
        <v/>
      </c>
      <c r="AH23" s="1748"/>
      <c r="AI23" s="1748"/>
      <c r="AJ23" s="1748" t="str">
        <f>+IF(AND($AR$13=S.CAL!$CU$2,EZ23&lt;&gt;0),EZ23,IF(AND($AR$13=S.CAL!$CU$3,ET23&lt;&gt;0),ET23,""))</f>
        <v/>
      </c>
      <c r="AK23" s="1748"/>
      <c r="AL23" s="1748"/>
      <c r="AM23" s="1748" t="str">
        <f>+IF(AND($AR$13=S.CAL!$CU$2,FA23&lt;&gt;0),FA23,IF(AND($AR$13=S.CAL!$CU$3,EU23&lt;&gt;0),EU23,""))</f>
        <v/>
      </c>
      <c r="AN23" s="1748"/>
      <c r="AO23" s="1784"/>
      <c r="AP23" s="215" t="str">
        <f t="shared" si="48"/>
        <v/>
      </c>
      <c r="AQ23" s="322"/>
      <c r="AR23" s="1104"/>
      <c r="AS23" s="314">
        <f t="shared" si="3"/>
        <v>0</v>
      </c>
      <c r="AT23" s="1125"/>
      <c r="AU23" s="1125"/>
      <c r="AV23" s="314"/>
      <c r="AW23" s="1791">
        <f t="shared" si="21"/>
        <v>46360</v>
      </c>
      <c r="AX23" s="1761"/>
      <c r="AY23" s="314"/>
      <c r="AZ23" s="1104"/>
      <c r="BA23" s="973"/>
      <c r="BB23" s="543"/>
      <c r="BC23" s="548">
        <f t="shared" si="22"/>
        <v>0</v>
      </c>
      <c r="BD23" s="1104"/>
      <c r="BE23" s="807">
        <f t="shared" si="23"/>
        <v>0</v>
      </c>
      <c r="BF23" s="1128"/>
      <c r="BG23" s="222"/>
      <c r="BH23" s="548" t="str">
        <f t="shared" si="24"/>
        <v/>
      </c>
      <c r="BI23" s="1128"/>
      <c r="BJ23" s="129" t="str">
        <f t="shared" si="25"/>
        <v>Fiche infoA5</v>
      </c>
      <c r="BK23" s="129">
        <f t="shared" si="49"/>
        <v>49</v>
      </c>
      <c r="BL23" s="129" t="str">
        <f t="shared" si="4"/>
        <v>A</v>
      </c>
      <c r="BM23" s="129">
        <f t="shared" si="50"/>
        <v>5</v>
      </c>
      <c r="BN23" s="223" t="str">
        <f t="shared" ref="BN23:BN50" si="60">+BN22</f>
        <v>Fiche info</v>
      </c>
      <c r="BO23" s="314" t="str">
        <f t="shared" si="51"/>
        <v/>
      </c>
      <c r="BP23" s="196" t="str">
        <f t="shared" si="52"/>
        <v/>
      </c>
      <c r="BQ23" s="196"/>
      <c r="BR23" s="196"/>
      <c r="BS23" s="566"/>
      <c r="BT23" s="566"/>
      <c r="BU23" s="566"/>
      <c r="BV23" s="1949"/>
      <c r="BW23" s="1949"/>
      <c r="BX23" s="1949"/>
      <c r="BY23" s="1949"/>
      <c r="BZ23" s="1949"/>
      <c r="CJ23" s="447"/>
      <c r="CK23" s="447"/>
      <c r="CL23" s="447"/>
      <c r="CM23" s="447"/>
      <c r="CN23" s="447"/>
      <c r="CO23" s="447"/>
      <c r="CP23" s="447"/>
      <c r="CQ23" s="447"/>
      <c r="CR23" s="447"/>
      <c r="CS23" s="447"/>
      <c r="CT23" s="447"/>
      <c r="CU23" s="447"/>
      <c r="CV23" s="447"/>
      <c r="CW23" s="447"/>
      <c r="CX23" s="447"/>
      <c r="CY23" s="447"/>
      <c r="CZ23" s="447"/>
      <c r="DA23" s="447"/>
      <c r="DB23" s="447"/>
      <c r="DC23" s="447"/>
      <c r="DD23" s="447"/>
      <c r="DJ23" s="315" t="s">
        <v>154</v>
      </c>
      <c r="DO23" s="402" t="s">
        <v>1354</v>
      </c>
      <c r="DP23" s="315">
        <f>+VLOOKUP(DP4,base_donné_contrat,18,FALSE)</f>
        <v>0</v>
      </c>
      <c r="DU23" s="315">
        <f>IF(AND(SUM(AD23:AL23)&lt;=$DL$3,SUM(AD23:AL23)&gt;0,$CC$44=S.CAL!$BC$3),1,IF(AND(SUM(AD23:AL23)&lt;=$CE$54,SUM(AD23:AL23)&gt;0,$CC$44=S.CAL!$BC$4),1,0))</f>
        <v>0</v>
      </c>
      <c r="DV23" s="315">
        <f>IF(AND(SUM(AD23:AL23)&gt;$DL$3,$CC$44=S.CAL!$BC$3),SUM(AD23:AL23),IF(AND(SUM(AD23:AL23)&gt;$CE$54,$CC$44=S.CAL!$BC$4),SUM(AD23:AL23),IF(AND($CC$44=S.CAL!$BC$5,(SUM(AD23:AL23)*$CE$59)&gt;$CE$47),SUM(AD23:AL23),0)))</f>
        <v>0</v>
      </c>
      <c r="DW23" s="315">
        <f>+IF(AND($CC$44=S.CAL!$BC$5,(SUM(AD23:AL23)*$CE$59)&lt;=$CE$47),DX23,0)</f>
        <v>0</v>
      </c>
      <c r="DX23" s="315">
        <f>IF(AND(SUM(AD23:AL23)&lt;=DL3,SUM(AD23:AL23)&gt;0),1,0)</f>
        <v>0</v>
      </c>
      <c r="DY23" s="315">
        <f>IF(AND(SUM(AD23:AL23)&gt;DL3),SUM(AD23:AL23),0)</f>
        <v>0</v>
      </c>
      <c r="EA23" s="315">
        <f t="shared" si="8"/>
        <v>0</v>
      </c>
      <c r="EB23" s="315">
        <f t="shared" si="9"/>
        <v>0</v>
      </c>
      <c r="EH23" s="402" t="s">
        <v>533</v>
      </c>
      <c r="EI23" s="315">
        <f>+EI19/EI20</f>
        <v>0</v>
      </c>
      <c r="EQ23" s="783">
        <f t="shared" si="53"/>
        <v>46360</v>
      </c>
      <c r="ER23" s="784">
        <f t="shared" si="10"/>
        <v>0</v>
      </c>
      <c r="ES23" s="785">
        <f t="shared" si="11"/>
        <v>0</v>
      </c>
      <c r="ET23" s="784">
        <f t="shared" si="12"/>
        <v>0</v>
      </c>
      <c r="EU23" s="785">
        <f t="shared" si="13"/>
        <v>0</v>
      </c>
      <c r="EV23" s="784" t="str">
        <f t="shared" si="14"/>
        <v/>
      </c>
      <c r="EW23" s="751">
        <f t="shared" si="28"/>
        <v>46360</v>
      </c>
      <c r="EX23" s="759" t="str">
        <f>IFERROR(IF(AND(AZ23="",AR23&lt;&gt;S.CAL!$BJ$3,AR23&lt;&gt;S.CAL!$BJ$4),FS23-BC23,IF(AZ23&lt;&gt;0,AZ23,IF(OR(AR23=S.CAL!$BJ$3,AR23=S.CAL!$BJ$4),AR23,0))),"")</f>
        <v/>
      </c>
      <c r="EY23" s="753">
        <f t="shared" si="54"/>
        <v>0</v>
      </c>
      <c r="EZ23" s="736">
        <f t="shared" si="55"/>
        <v>0</v>
      </c>
      <c r="FA23" s="759" t="str">
        <f t="shared" si="31"/>
        <v/>
      </c>
      <c r="FB23" s="754" t="str">
        <f t="shared" si="15"/>
        <v/>
      </c>
      <c r="FC23" s="315" t="str">
        <f t="shared" si="56"/>
        <v>non</v>
      </c>
      <c r="FD23" s="760">
        <f t="shared" si="16"/>
        <v>0</v>
      </c>
      <c r="FG23" s="315" t="str">
        <f t="shared" si="57"/>
        <v/>
      </c>
      <c r="FJ23" s="315">
        <f t="shared" si="58"/>
        <v>1</v>
      </c>
      <c r="FK23" s="129">
        <f t="shared" si="17"/>
        <v>10</v>
      </c>
      <c r="FL23" s="129">
        <f t="shared" si="35"/>
        <v>1</v>
      </c>
      <c r="FN23" s="129">
        <f>+IF(AND($DP$8&lt;&gt;52,AR23=S.CAL!$BJ$4),10,1)</f>
        <v>1</v>
      </c>
      <c r="FP23" s="129">
        <f t="shared" si="18"/>
        <v>0</v>
      </c>
      <c r="FS23" s="223" t="str">
        <f t="shared" si="36"/>
        <v/>
      </c>
      <c r="FZ23" s="129">
        <f t="shared" si="37"/>
        <v>49</v>
      </c>
      <c r="GA23" s="129">
        <f t="shared" si="38"/>
        <v>2026</v>
      </c>
      <c r="GB23" s="129" t="str">
        <f t="shared" si="39"/>
        <v>492026</v>
      </c>
      <c r="GC23" s="223">
        <f t="shared" si="40"/>
        <v>0</v>
      </c>
      <c r="GF23" s="223" t="str">
        <f t="shared" si="41"/>
        <v/>
      </c>
      <c r="GG23" s="1446" t="str">
        <f>+'Retenue Déc'!D21</f>
        <v/>
      </c>
      <c r="GH23" s="1446">
        <f>IF(Identification!$B$132="Non",+'Retenue Déc'!BF21,+'Retenue Déc'!BE21)</f>
        <v>0</v>
      </c>
      <c r="GJ23" s="1507" t="str">
        <f t="shared" si="42"/>
        <v/>
      </c>
      <c r="GK23" s="223" t="str">
        <f t="shared" si="43"/>
        <v/>
      </c>
      <c r="GL23" s="223" t="str">
        <f t="shared" si="44"/>
        <v/>
      </c>
      <c r="GM23" s="1506">
        <f t="shared" si="45"/>
        <v>0</v>
      </c>
      <c r="GO23" s="129">
        <f t="shared" si="19"/>
        <v>0</v>
      </c>
      <c r="GP23" s="129" t="str">
        <f t="shared" si="46"/>
        <v/>
      </c>
      <c r="GQ23" s="1446" t="str">
        <f t="shared" si="47"/>
        <v/>
      </c>
    </row>
    <row r="24" spans="1:199" ht="12.75" customHeight="1" x14ac:dyDescent="0.2">
      <c r="A24" s="2222"/>
      <c r="B24" s="2082" t="s">
        <v>1415</v>
      </c>
      <c r="C24" s="1993"/>
      <c r="D24" s="1993"/>
      <c r="E24" s="1993"/>
      <c r="F24" s="1993"/>
      <c r="G24" s="1993"/>
      <c r="H24" s="1993"/>
      <c r="I24" s="1993"/>
      <c r="J24" s="1993"/>
      <c r="K24" s="1994"/>
      <c r="L24" s="1973"/>
      <c r="M24" s="1974"/>
      <c r="N24" s="1974"/>
      <c r="O24" s="1975"/>
      <c r="P24" s="1958"/>
      <c r="Q24" s="1959"/>
      <c r="R24" s="1959"/>
      <c r="S24" s="1960"/>
      <c r="T24" s="1753">
        <f t="shared" si="59"/>
        <v>0</v>
      </c>
      <c r="U24" s="1969"/>
      <c r="V24" s="1969"/>
      <c r="W24" s="1970"/>
      <c r="X24" s="221"/>
      <c r="Y24" s="221"/>
      <c r="Z24" s="221"/>
      <c r="AA24" s="885" t="str">
        <f>IF(AND(BE24="OUI",$AR$13=S.CAL!$CU$2),"►",IF(AND(EV24="OUI",$AR$13=S.CAL!$CU$3),"►",""))</f>
        <v/>
      </c>
      <c r="AB24" s="1760">
        <f>+$X$3+4</f>
        <v>46361</v>
      </c>
      <c r="AC24" s="1761">
        <f>+$D$6+4</f>
        <v>4</v>
      </c>
      <c r="AD24" s="1748" t="str">
        <f>+IF(AND($AR$13=S.CAL!$CU$2,EX24&lt;&gt;0),EX24,IF(AND($AR$13=S.CAL!$CU$3,ER24&lt;&gt;0),ER24,0))</f>
        <v/>
      </c>
      <c r="AE24" s="1748"/>
      <c r="AF24" s="1748"/>
      <c r="AG24" s="1748" t="str">
        <f>+IF(AND($AR$13=S.CAL!$CU$2,EY24&lt;&gt;0),EY24,IF(AND($AR$13=S.CAL!$CU$3,ES24&lt;&gt;0),ES24,""))</f>
        <v/>
      </c>
      <c r="AH24" s="1748"/>
      <c r="AI24" s="1748"/>
      <c r="AJ24" s="1748" t="str">
        <f>+IF(AND($AR$13=S.CAL!$CU$2,EZ24&lt;&gt;0),EZ24,IF(AND($AR$13=S.CAL!$CU$3,ET24&lt;&gt;0),ET24,""))</f>
        <v/>
      </c>
      <c r="AK24" s="1748"/>
      <c r="AL24" s="1748"/>
      <c r="AM24" s="1748" t="str">
        <f>+IF(AND($AR$13=S.CAL!$CU$2,FA24&lt;&gt;0),FA24,IF(AND($AR$13=S.CAL!$CU$3,EU24&lt;&gt;0),EU24,""))</f>
        <v/>
      </c>
      <c r="AN24" s="1748"/>
      <c r="AO24" s="1784"/>
      <c r="AP24" s="215" t="str">
        <f t="shared" si="48"/>
        <v/>
      </c>
      <c r="AQ24" s="322"/>
      <c r="AR24" s="1104"/>
      <c r="AS24" s="314">
        <f t="shared" si="3"/>
        <v>0</v>
      </c>
      <c r="AT24" s="1125"/>
      <c r="AU24" s="1125"/>
      <c r="AV24" s="314"/>
      <c r="AW24" s="1791">
        <f t="shared" si="21"/>
        <v>46361</v>
      </c>
      <c r="AX24" s="1761"/>
      <c r="AY24" s="314"/>
      <c r="AZ24" s="1104"/>
      <c r="BA24" s="973"/>
      <c r="BB24" s="543"/>
      <c r="BC24" s="548">
        <f t="shared" si="22"/>
        <v>0</v>
      </c>
      <c r="BD24" s="1104"/>
      <c r="BE24" s="807">
        <f t="shared" si="23"/>
        <v>0</v>
      </c>
      <c r="BF24" s="1128"/>
      <c r="BG24" s="222"/>
      <c r="BH24" s="548" t="str">
        <f t="shared" si="24"/>
        <v/>
      </c>
      <c r="BI24" s="1128"/>
      <c r="BJ24" s="129" t="str">
        <f t="shared" si="25"/>
        <v>Fiche infoA6</v>
      </c>
      <c r="BK24" s="129">
        <f t="shared" si="49"/>
        <v>49</v>
      </c>
      <c r="BL24" s="129" t="str">
        <f t="shared" si="4"/>
        <v>A</v>
      </c>
      <c r="BM24" s="129">
        <f t="shared" si="50"/>
        <v>6</v>
      </c>
      <c r="BN24" s="223" t="str">
        <f t="shared" si="60"/>
        <v>Fiche info</v>
      </c>
      <c r="BO24" s="314" t="str">
        <f t="shared" si="51"/>
        <v/>
      </c>
      <c r="BP24" s="196" t="str">
        <f t="shared" si="52"/>
        <v/>
      </c>
      <c r="BQ24" s="225"/>
      <c r="BV24" s="217" t="s">
        <v>439</v>
      </c>
      <c r="BW24" s="566"/>
      <c r="BX24" s="566"/>
      <c r="BY24" s="566"/>
      <c r="BZ24" s="566"/>
      <c r="CJ24" s="196"/>
      <c r="CK24" s="196"/>
      <c r="CL24" s="196"/>
      <c r="CM24" s="196"/>
      <c r="CN24" s="196"/>
      <c r="CO24" s="196"/>
      <c r="CP24" s="196"/>
      <c r="CQ24" s="196"/>
      <c r="CR24" s="196"/>
      <c r="CS24" s="196"/>
      <c r="CT24" s="196"/>
      <c r="CU24" s="196"/>
      <c r="CV24" s="196"/>
      <c r="CW24" s="196"/>
      <c r="CX24" s="196"/>
      <c r="CY24" s="196"/>
      <c r="CZ24" s="196"/>
      <c r="DA24" s="196"/>
      <c r="DB24" s="196"/>
      <c r="DC24" s="196"/>
      <c r="DD24" s="196"/>
      <c r="DO24" s="402" t="s">
        <v>1407</v>
      </c>
      <c r="DP24" s="758">
        <f>+T19+T26</f>
        <v>0</v>
      </c>
      <c r="DU24" s="315">
        <f>IF(AND(SUM(AD24:AL24)&lt;=$DL$3,SUM(AD24:AL24)&gt;0,$CC$44=S.CAL!$BC$3),1,IF(AND(SUM(AD24:AL24)&lt;=$CE$54,SUM(AD24:AL24)&gt;0,$CC$44=S.CAL!$BC$4),1,0))</f>
        <v>0</v>
      </c>
      <c r="DV24" s="315">
        <f>IF(AND(SUM(AD24:AL24)&gt;$DL$3,$CC$44=S.CAL!$BC$3),SUM(AD24:AL24),IF(AND(SUM(AD24:AL24)&gt;$CE$54,$CC$44=S.CAL!$BC$4),SUM(AD24:AL24),IF(AND($CC$44=S.CAL!$BC$5,(SUM(AD24:AL24)*$CE$59)&gt;$CE$47),SUM(AD24:AL24),0)))</f>
        <v>0</v>
      </c>
      <c r="DW24" s="315">
        <f>+IF(AND($CC$44=S.CAL!$BC$5,(SUM(AD24:AL24)*$CE$59)&lt;=$CE$47),DX24,0)</f>
        <v>0</v>
      </c>
      <c r="DX24" s="315">
        <f>IF(AND(SUM(AD24:AL24)&lt;=DL3,SUM(AD24:AL24)&gt;0),1,0)</f>
        <v>0</v>
      </c>
      <c r="DY24" s="315">
        <f>IF(AND(SUM(AD24:AL24)&gt;DL3),SUM(AD24:AL24),0)</f>
        <v>0</v>
      </c>
      <c r="EA24" s="315">
        <f t="shared" si="8"/>
        <v>0</v>
      </c>
      <c r="EB24" s="315">
        <f t="shared" si="9"/>
        <v>0</v>
      </c>
      <c r="EQ24" s="783">
        <f t="shared" si="53"/>
        <v>46361</v>
      </c>
      <c r="ER24" s="784">
        <f t="shared" si="10"/>
        <v>0</v>
      </c>
      <c r="ES24" s="785">
        <f t="shared" si="11"/>
        <v>0</v>
      </c>
      <c r="ET24" s="784">
        <f t="shared" si="12"/>
        <v>0</v>
      </c>
      <c r="EU24" s="785">
        <f t="shared" si="13"/>
        <v>0</v>
      </c>
      <c r="EV24" s="784" t="str">
        <f t="shared" si="14"/>
        <v/>
      </c>
      <c r="EW24" s="751">
        <f t="shared" si="28"/>
        <v>46361</v>
      </c>
      <c r="EX24" s="759" t="str">
        <f>IFERROR(IF(AND(AZ24="",AR24&lt;&gt;S.CAL!$BJ$3,AR24&lt;&gt;S.CAL!$BJ$4),FS24-BC24,IF(AZ24&lt;&gt;0,AZ24,IF(OR(AR24=S.CAL!$BJ$3,AR24=S.CAL!$BJ$4),AR24,0))),"")</f>
        <v/>
      </c>
      <c r="EY24" s="753">
        <f t="shared" si="54"/>
        <v>0</v>
      </c>
      <c r="EZ24" s="736">
        <f t="shared" si="55"/>
        <v>0</v>
      </c>
      <c r="FA24" s="759" t="str">
        <f t="shared" si="31"/>
        <v/>
      </c>
      <c r="FB24" s="754" t="str">
        <f t="shared" si="15"/>
        <v/>
      </c>
      <c r="FC24" s="315" t="str">
        <f t="shared" si="56"/>
        <v>non</v>
      </c>
      <c r="FD24" s="760">
        <f t="shared" si="16"/>
        <v>0</v>
      </c>
      <c r="FG24" s="315" t="str">
        <f t="shared" si="57"/>
        <v/>
      </c>
      <c r="FJ24" s="315">
        <f t="shared" si="58"/>
        <v>1</v>
      </c>
      <c r="FK24" s="129">
        <f t="shared" si="17"/>
        <v>10</v>
      </c>
      <c r="FL24" s="129">
        <f t="shared" si="35"/>
        <v>1</v>
      </c>
      <c r="FN24" s="129">
        <f>+IF(AND($DP$8&lt;&gt;52,AR24=S.CAL!$BJ$4),10,1)</f>
        <v>1</v>
      </c>
      <c r="FP24" s="129">
        <f t="shared" si="18"/>
        <v>0</v>
      </c>
      <c r="FS24" s="223" t="str">
        <f t="shared" si="36"/>
        <v/>
      </c>
      <c r="FZ24" s="129">
        <f t="shared" si="37"/>
        <v>49</v>
      </c>
      <c r="GA24" s="129">
        <f t="shared" si="38"/>
        <v>2026</v>
      </c>
      <c r="GB24" s="129" t="str">
        <f t="shared" si="39"/>
        <v>492026</v>
      </c>
      <c r="GC24" s="223">
        <f t="shared" si="40"/>
        <v>0</v>
      </c>
      <c r="GF24" s="223" t="str">
        <f t="shared" si="41"/>
        <v/>
      </c>
      <c r="GG24" s="1446" t="str">
        <f>+'Retenue Déc'!D22</f>
        <v/>
      </c>
      <c r="GH24" s="1446">
        <f>IF(Identification!$B$132="Non",+'Retenue Déc'!BF22,+'Retenue Déc'!BE22)</f>
        <v>0</v>
      </c>
      <c r="GJ24" s="1507" t="str">
        <f t="shared" si="42"/>
        <v/>
      </c>
      <c r="GK24" s="223" t="str">
        <f t="shared" si="43"/>
        <v/>
      </c>
      <c r="GL24" s="223" t="str">
        <f t="shared" si="44"/>
        <v/>
      </c>
      <c r="GM24" s="1506">
        <f t="shared" si="45"/>
        <v>0</v>
      </c>
      <c r="GO24" s="129">
        <f t="shared" si="19"/>
        <v>0</v>
      </c>
      <c r="GP24" s="129" t="str">
        <f t="shared" si="46"/>
        <v/>
      </c>
      <c r="GQ24" s="1446" t="str">
        <f t="shared" si="47"/>
        <v/>
      </c>
    </row>
    <row r="25" spans="1:199" ht="12.75" customHeight="1" x14ac:dyDescent="0.2">
      <c r="A25" s="2243" t="s">
        <v>48</v>
      </c>
      <c r="B25" s="2253" t="s">
        <v>1233</v>
      </c>
      <c r="C25" s="2254"/>
      <c r="D25" s="2254"/>
      <c r="E25" s="2254"/>
      <c r="F25" s="2254"/>
      <c r="G25" s="2254"/>
      <c r="H25" s="2254"/>
      <c r="I25" s="2254"/>
      <c r="J25" s="2254"/>
      <c r="K25" s="2255"/>
      <c r="L25" s="1756" t="e">
        <f>IF(A18="Salaire heures normales réelles",0,'Retenue Déc'!R48*-1)</f>
        <v>#DIV/0!</v>
      </c>
      <c r="M25" s="2142"/>
      <c r="N25" s="2142"/>
      <c r="O25" s="2143"/>
      <c r="P25" s="1753" t="e">
        <f>+IF(L25,T25/L25,0)</f>
        <v>#DIV/0!</v>
      </c>
      <c r="Q25" s="1969"/>
      <c r="R25" s="1969"/>
      <c r="S25" s="1970"/>
      <c r="T25" s="1966">
        <f>IF(A18="Salaire heures normales réelles",0,'Retenue Déc'!R52*-1)</f>
        <v>0</v>
      </c>
      <c r="U25" s="1967"/>
      <c r="V25" s="1967"/>
      <c r="W25" s="1968"/>
      <c r="X25" s="224"/>
      <c r="Y25" s="224"/>
      <c r="Z25" s="224"/>
      <c r="AA25" s="885" t="str">
        <f>IF(AND(BE25="OUI",$AR$13=S.CAL!$CU$2),"►",IF(AND(EV25="OUI",$AR$13=S.CAL!$CU$3),"►",""))</f>
        <v/>
      </c>
      <c r="AB25" s="1760">
        <f>+$X$3+5</f>
        <v>46362</v>
      </c>
      <c r="AC25" s="1761">
        <f>+$D$6+5</f>
        <v>5</v>
      </c>
      <c r="AD25" s="1748" t="str">
        <f>+IF(AND($AR$13=S.CAL!$CU$2,EX25&lt;&gt;0),EX25,IF(AND($AR$13=S.CAL!$CU$3,ER25&lt;&gt;0),ER25,0))</f>
        <v/>
      </c>
      <c r="AE25" s="1748"/>
      <c r="AF25" s="1748"/>
      <c r="AG25" s="1748" t="str">
        <f>+IF(AND($AR$13=S.CAL!$CU$2,EY25&lt;&gt;0),EY25,IF(AND($AR$13=S.CAL!$CU$3,ES25&lt;&gt;0),ES25,""))</f>
        <v/>
      </c>
      <c r="AH25" s="1748"/>
      <c r="AI25" s="1748"/>
      <c r="AJ25" s="1748" t="str">
        <f>+IF(AND($AR$13=S.CAL!$CU$2,EZ25&lt;&gt;0),EZ25,IF(AND($AR$13=S.CAL!$CU$3,ET25&lt;&gt;0),ET25,""))</f>
        <v/>
      </c>
      <c r="AK25" s="1748"/>
      <c r="AL25" s="1748"/>
      <c r="AM25" s="1748" t="str">
        <f>+IF(AND($AR$13=S.CAL!$CU$2,FA25&lt;&gt;0),FA25,IF(AND($AR$13=S.CAL!$CU$3,EU25&lt;&gt;0),EU25,""))</f>
        <v/>
      </c>
      <c r="AN25" s="1748"/>
      <c r="AO25" s="1784"/>
      <c r="AP25" s="215" t="str">
        <f t="shared" si="48"/>
        <v/>
      </c>
      <c r="AQ25" s="322"/>
      <c r="AR25" s="1104"/>
      <c r="AS25" s="314">
        <f t="shared" si="3"/>
        <v>0</v>
      </c>
      <c r="AT25" s="1125"/>
      <c r="AU25" s="1125"/>
      <c r="AV25" s="314"/>
      <c r="AW25" s="1791">
        <f t="shared" si="21"/>
        <v>46362</v>
      </c>
      <c r="AX25" s="1761"/>
      <c r="AY25" s="314"/>
      <c r="AZ25" s="1104"/>
      <c r="BA25" s="973"/>
      <c r="BB25" s="543"/>
      <c r="BC25" s="548">
        <f t="shared" si="22"/>
        <v>0</v>
      </c>
      <c r="BD25" s="1104"/>
      <c r="BE25" s="807">
        <f t="shared" si="23"/>
        <v>0</v>
      </c>
      <c r="BF25" s="1128"/>
      <c r="BG25" s="222"/>
      <c r="BH25" s="548" t="str">
        <f t="shared" si="24"/>
        <v/>
      </c>
      <c r="BI25" s="1128"/>
      <c r="BJ25" s="129" t="str">
        <f t="shared" si="25"/>
        <v>Fiche infoA7</v>
      </c>
      <c r="BK25" s="129">
        <f t="shared" si="49"/>
        <v>49</v>
      </c>
      <c r="BL25" s="129" t="str">
        <f t="shared" si="4"/>
        <v>A</v>
      </c>
      <c r="BM25" s="129">
        <f t="shared" si="50"/>
        <v>7</v>
      </c>
      <c r="BN25" s="223" t="str">
        <f t="shared" si="60"/>
        <v>Fiche info</v>
      </c>
      <c r="BO25" s="314" t="str">
        <f t="shared" si="51"/>
        <v/>
      </c>
      <c r="BP25" s="196" t="str">
        <f t="shared" si="52"/>
        <v/>
      </c>
      <c r="BQ25" s="206"/>
      <c r="BV25" s="566"/>
      <c r="BW25" s="566"/>
      <c r="BX25" s="566"/>
      <c r="BY25" s="566"/>
      <c r="BZ25" s="566"/>
      <c r="CC25" s="1572"/>
      <c r="CD25" s="1572"/>
      <c r="CE25" s="1572"/>
      <c r="CF25" s="1572"/>
      <c r="CG25" s="1572"/>
      <c r="CH25" s="1572"/>
      <c r="CI25" s="1572"/>
      <c r="CJ25" s="1572"/>
      <c r="CK25" s="1572"/>
      <c r="CL25" s="1572"/>
      <c r="CM25" s="574"/>
      <c r="CN25" s="574"/>
      <c r="CO25" s="574"/>
      <c r="CP25" s="574"/>
      <c r="CQ25" s="574"/>
      <c r="CR25" s="574"/>
      <c r="CS25" s="574"/>
      <c r="CT25" s="574"/>
      <c r="CU25" s="574"/>
      <c r="CV25" s="574"/>
      <c r="CW25" s="574"/>
      <c r="CX25" s="574"/>
      <c r="CY25" s="574"/>
      <c r="CZ25" s="574"/>
      <c r="DA25" s="574"/>
      <c r="DB25" s="574"/>
      <c r="DC25" s="574"/>
      <c r="DD25" s="206"/>
      <c r="DE25" s="740"/>
      <c r="DF25" s="740"/>
      <c r="DJ25" s="761" t="s">
        <v>1348</v>
      </c>
      <c r="DK25" s="738">
        <f>IF(Identification!B126="Net",(IF(H59&gt;0,(((N62*BY4)-((T32+T33+T34)*BY4*BY4))+(K59*(DK29)*DK26))/(BY4+K59),(N62-((T32+T33+T34)*BY4)))),IF(Identification!B126="Brut",(IF(H59&gt;0,(T35-(T32+T33+T34)),(T35-((T32+T33+T34))))),"erreur"))</f>
        <v>0</v>
      </c>
      <c r="DO25" s="402" t="s">
        <v>1570</v>
      </c>
      <c r="DP25" s="758">
        <f>IF(B34=S.CAL!FZ3,ROUND(T34,2),0)</f>
        <v>0</v>
      </c>
      <c r="DU25" s="315">
        <f>IF(AND(SUM(AD25:AL25)&lt;=$DL$3,SUM(AD25:AL25)&gt;0,$CC$44=S.CAL!$BC$3),1,IF(AND(SUM(AD25:AL25)&lt;=$CE$54,SUM(AD25:AL25)&gt;0,$CC$44=S.CAL!$BC$4),1,0))</f>
        <v>0</v>
      </c>
      <c r="DV25" s="315">
        <f>IF(AND(SUM(AD25:AL25)&gt;$DL$3,$CC$44=S.CAL!$BC$3),SUM(AD25:AL25),IF(AND(SUM(AD25:AL25)&gt;$CE$54,$CC$44=S.CAL!$BC$4),SUM(AD25:AL25),IF(AND($CC$44=S.CAL!$BC$5,(SUM(AD25:AL25)*$CE$59)&gt;$CE$47),SUM(AD25:AL25),0)))</f>
        <v>0</v>
      </c>
      <c r="DW25" s="315">
        <f>+IF(AND($CC$44=S.CAL!$BC$5,(SUM(AD25:AL25)*$CE$59)&lt;=$CE$47),DX25,0)</f>
        <v>0</v>
      </c>
      <c r="DX25" s="315">
        <f>IF(AND(SUM(AD25:AL25)&lt;=DL3,SUM(AD25:AL25)&gt;0),1,0)</f>
        <v>0</v>
      </c>
      <c r="DY25" s="315">
        <f>IF(AND(SUM(AD25:AL25)&gt;DL3),SUM(AD25:AL25),0)</f>
        <v>0</v>
      </c>
      <c r="EA25" s="315">
        <f t="shared" si="8"/>
        <v>0</v>
      </c>
      <c r="EB25" s="315">
        <f t="shared" si="9"/>
        <v>0</v>
      </c>
      <c r="EE25" s="402" t="s">
        <v>1642</v>
      </c>
      <c r="EI25" s="315">
        <f>+ROUND(BE149/4*2,2)</f>
        <v>0</v>
      </c>
      <c r="EQ25" s="783">
        <f t="shared" si="53"/>
        <v>46362</v>
      </c>
      <c r="ER25" s="784">
        <f t="shared" si="10"/>
        <v>0</v>
      </c>
      <c r="ES25" s="785">
        <f t="shared" si="11"/>
        <v>0</v>
      </c>
      <c r="ET25" s="784">
        <f t="shared" si="12"/>
        <v>0</v>
      </c>
      <c r="EU25" s="785">
        <f t="shared" si="13"/>
        <v>0</v>
      </c>
      <c r="EV25" s="784" t="str">
        <f t="shared" si="14"/>
        <v/>
      </c>
      <c r="EW25" s="751">
        <f t="shared" si="28"/>
        <v>46362</v>
      </c>
      <c r="EX25" s="759" t="str">
        <f>IFERROR(IF(AND(AZ25="",AR25&lt;&gt;S.CAL!$BJ$3,AR25&lt;&gt;S.CAL!$BJ$4),FS25-BC25,IF(AZ25&lt;&gt;0,AZ25,IF(OR(AR25=S.CAL!$BJ$3,AR25=S.CAL!$BJ$4),AR25,0))),"")</f>
        <v/>
      </c>
      <c r="EY25" s="753">
        <f t="shared" si="54"/>
        <v>0</v>
      </c>
      <c r="EZ25" s="736">
        <f t="shared" si="55"/>
        <v>0</v>
      </c>
      <c r="FA25" s="759" t="str">
        <f t="shared" si="31"/>
        <v/>
      </c>
      <c r="FB25" s="754" t="str">
        <f t="shared" si="15"/>
        <v/>
      </c>
      <c r="FC25" s="315" t="str">
        <f t="shared" si="56"/>
        <v>non</v>
      </c>
      <c r="FD25" s="760">
        <f t="shared" si="16"/>
        <v>0</v>
      </c>
      <c r="FG25" s="315" t="str">
        <f t="shared" si="57"/>
        <v/>
      </c>
      <c r="FJ25" s="315">
        <f t="shared" si="58"/>
        <v>1</v>
      </c>
      <c r="FK25" s="129">
        <f t="shared" si="17"/>
        <v>10</v>
      </c>
      <c r="FL25" s="129">
        <f t="shared" si="35"/>
        <v>1</v>
      </c>
      <c r="FN25" s="129">
        <f>+IF(AND($DP$8&lt;&gt;52,AR25=S.CAL!$BJ$4),10,1)</f>
        <v>1</v>
      </c>
      <c r="FP25" s="129">
        <f t="shared" si="18"/>
        <v>0</v>
      </c>
      <c r="FS25" s="223" t="str">
        <f t="shared" si="36"/>
        <v/>
      </c>
      <c r="FZ25" s="129">
        <f t="shared" si="37"/>
        <v>49</v>
      </c>
      <c r="GA25" s="129">
        <f t="shared" si="38"/>
        <v>2026</v>
      </c>
      <c r="GB25" s="129" t="str">
        <f t="shared" si="39"/>
        <v>492026</v>
      </c>
      <c r="GC25" s="223">
        <f t="shared" si="40"/>
        <v>0</v>
      </c>
      <c r="GF25" s="223" t="str">
        <f t="shared" si="41"/>
        <v/>
      </c>
      <c r="GG25" s="1446" t="str">
        <f>+'Retenue Déc'!D23</f>
        <v/>
      </c>
      <c r="GH25" s="1446">
        <f>IF(Identification!$B$132="Non",+'Retenue Déc'!BF23,+'Retenue Déc'!BE23)</f>
        <v>0</v>
      </c>
      <c r="GJ25" s="1507" t="str">
        <f t="shared" si="42"/>
        <v/>
      </c>
      <c r="GK25" s="223" t="str">
        <f t="shared" si="43"/>
        <v/>
      </c>
      <c r="GL25" s="223" t="str">
        <f t="shared" si="44"/>
        <v/>
      </c>
      <c r="GM25" s="1506">
        <f t="shared" si="45"/>
        <v>0</v>
      </c>
      <c r="GO25" s="129">
        <f t="shared" si="19"/>
        <v>0</v>
      </c>
      <c r="GP25" s="129" t="str">
        <f t="shared" si="46"/>
        <v/>
      </c>
      <c r="GQ25" s="1446" t="str">
        <f t="shared" si="47"/>
        <v/>
      </c>
    </row>
    <row r="26" spans="1:199" ht="12.75" customHeight="1" x14ac:dyDescent="0.2">
      <c r="A26" s="2244"/>
      <c r="B26" s="2256" t="s">
        <v>832</v>
      </c>
      <c r="C26" s="2257"/>
      <c r="D26" s="2257"/>
      <c r="E26" s="2257"/>
      <c r="F26" s="2257"/>
      <c r="G26" s="2257"/>
      <c r="H26" s="2257"/>
      <c r="I26" s="2257"/>
      <c r="J26" s="2257"/>
      <c r="K26" s="2258"/>
      <c r="L26" s="1756" t="e">
        <f>IF(A18="Salaire heures normales réelles",0,'Retenue Déc'!R50*-1)</f>
        <v>#DIV/0!</v>
      </c>
      <c r="M26" s="2142"/>
      <c r="N26" s="2142"/>
      <c r="O26" s="2143"/>
      <c r="P26" s="1753" t="e">
        <f>+IF(L26,T26/L26,0)</f>
        <v>#DIV/0!</v>
      </c>
      <c r="Q26" s="1969"/>
      <c r="R26" s="1969"/>
      <c r="S26" s="1970"/>
      <c r="T26" s="1966">
        <f>IF(A18="Salaire heures normales réelles",0,'Retenue Déc'!R54*-1)</f>
        <v>0</v>
      </c>
      <c r="U26" s="1967"/>
      <c r="V26" s="1967"/>
      <c r="W26" s="1968"/>
      <c r="X26" s="221"/>
      <c r="Y26" s="221"/>
      <c r="Z26" s="221"/>
      <c r="AA26" s="885" t="str">
        <f>IF(AND(BE26="OUI",$AR$13=S.CAL!$CU$2),"►",IF(AND(EV26="OUI",$AR$13=S.CAL!$CU$3),"►",""))</f>
        <v/>
      </c>
      <c r="AB26" s="1760">
        <f>+$X$3+6</f>
        <v>46363</v>
      </c>
      <c r="AC26" s="1761">
        <f>+$D$6+6</f>
        <v>6</v>
      </c>
      <c r="AD26" s="1748" t="str">
        <f>+IF(AND($AR$13=S.CAL!$CU$2,EX26&lt;&gt;0),EX26,IF(AND($AR$13=S.CAL!$CU$3,ER26&lt;&gt;0),ER26,0))</f>
        <v/>
      </c>
      <c r="AE26" s="1748"/>
      <c r="AF26" s="1748"/>
      <c r="AG26" s="1748" t="str">
        <f>+IF(AND($AR$13=S.CAL!$CU$2,EY26&lt;&gt;0),EY26,IF(AND($AR$13=S.CAL!$CU$3,ES26&lt;&gt;0),ES26,""))</f>
        <v/>
      </c>
      <c r="AH26" s="1748"/>
      <c r="AI26" s="1748"/>
      <c r="AJ26" s="1748" t="str">
        <f>+IF(AND($AR$13=S.CAL!$CU$2,EZ26&lt;&gt;0),EZ26,IF(AND($AR$13=S.CAL!$CU$3,ET26&lt;&gt;0),ET26,""))</f>
        <v/>
      </c>
      <c r="AK26" s="1748"/>
      <c r="AL26" s="1748"/>
      <c r="AM26" s="1748" t="str">
        <f>+IF(AND($AR$13=S.CAL!$CU$2,FA26&lt;&gt;0),FA26,IF(AND($AR$13=S.CAL!$CU$3,EU26&lt;&gt;0),EU26,""))</f>
        <v/>
      </c>
      <c r="AN26" s="1748"/>
      <c r="AO26" s="1784"/>
      <c r="AP26" s="215">
        <f t="shared" si="48"/>
        <v>50</v>
      </c>
      <c r="AQ26" s="322"/>
      <c r="AR26" s="1104"/>
      <c r="AS26" s="314">
        <f t="shared" si="3"/>
        <v>0</v>
      </c>
      <c r="AT26" s="1125"/>
      <c r="AU26" s="1125"/>
      <c r="AV26" s="314"/>
      <c r="AW26" s="1791">
        <f t="shared" si="21"/>
        <v>46363</v>
      </c>
      <c r="AX26" s="1761"/>
      <c r="AY26" s="314"/>
      <c r="AZ26" s="1104"/>
      <c r="BA26" s="973"/>
      <c r="BB26" s="543"/>
      <c r="BC26" s="548">
        <f t="shared" si="22"/>
        <v>0</v>
      </c>
      <c r="BD26" s="1104"/>
      <c r="BE26" s="807">
        <f t="shared" si="23"/>
        <v>0</v>
      </c>
      <c r="BF26" s="1128"/>
      <c r="BG26" s="222"/>
      <c r="BH26" s="548" t="str">
        <f t="shared" si="24"/>
        <v/>
      </c>
      <c r="BI26" s="1128"/>
      <c r="BJ26" s="129" t="str">
        <f t="shared" si="25"/>
        <v>Fiche infoA1</v>
      </c>
      <c r="BK26" s="129">
        <f t="shared" si="49"/>
        <v>50</v>
      </c>
      <c r="BL26" s="129" t="str">
        <f t="shared" si="4"/>
        <v>A</v>
      </c>
      <c r="BM26" s="129">
        <f t="shared" si="50"/>
        <v>1</v>
      </c>
      <c r="BN26" s="223" t="str">
        <f t="shared" si="60"/>
        <v>Fiche info</v>
      </c>
      <c r="BO26" s="314" t="str">
        <f t="shared" si="51"/>
        <v/>
      </c>
      <c r="BP26" s="196" t="str">
        <f t="shared" si="52"/>
        <v/>
      </c>
      <c r="BQ26" s="206"/>
      <c r="BX26" s="577"/>
      <c r="BY26" s="1951" t="s">
        <v>1098</v>
      </c>
      <c r="BZ26" s="1951" t="s">
        <v>440</v>
      </c>
      <c r="CA26" s="2013" t="s">
        <v>1099</v>
      </c>
      <c r="CB26" s="447"/>
      <c r="CC26" s="1572"/>
      <c r="CD26" s="1572"/>
      <c r="CE26" s="1572"/>
      <c r="CF26" s="1572"/>
      <c r="CG26" s="1572"/>
      <c r="CH26" s="1572"/>
      <c r="CI26" s="1572"/>
      <c r="CJ26" s="1573"/>
      <c r="CK26" s="1573"/>
      <c r="CL26" s="1573"/>
      <c r="CM26" s="216"/>
      <c r="CN26" s="216"/>
      <c r="CO26" s="216"/>
      <c r="CP26" s="216"/>
      <c r="CQ26" s="216"/>
      <c r="CR26" s="216"/>
      <c r="CS26" s="216"/>
      <c r="CT26" s="216"/>
      <c r="CU26" s="216"/>
      <c r="CV26" s="216"/>
      <c r="CW26" s="216"/>
      <c r="CX26" s="216"/>
      <c r="CY26" s="216"/>
      <c r="CZ26" s="216"/>
      <c r="DA26" s="216"/>
      <c r="DB26" s="216"/>
      <c r="DC26" s="216"/>
      <c r="DD26" s="206"/>
      <c r="DE26" s="740"/>
      <c r="DF26" s="740"/>
      <c r="DJ26" s="761" t="s">
        <v>1347</v>
      </c>
      <c r="DK26" s="762">
        <f>IF(Identification!B125="Net",ROUND(+AL15,Identification!B124),IF(Identification!B125="Brut",ROUND(+AL14,Identification!B124),"erreur"))</f>
        <v>0</v>
      </c>
      <c r="DN26" s="763"/>
      <c r="DO26" s="763" t="s">
        <v>1611</v>
      </c>
      <c r="DP26" s="763">
        <f>+VLOOKUP(DP4,base_donné_contrat,17,FALSE)</f>
        <v>0</v>
      </c>
      <c r="DQ26" s="763"/>
      <c r="DR26" s="763"/>
      <c r="DS26" s="763"/>
      <c r="DT26" s="763"/>
      <c r="DU26" s="315">
        <f>IF(AND(SUM(AD26:AL26)&lt;=$DL$3,SUM(AD26:AL26)&gt;0,$CC$44=S.CAL!$BC$3),1,IF(AND(SUM(AD26:AL26)&lt;=$CE$54,SUM(AD26:AL26)&gt;0,$CC$44=S.CAL!$BC$4),1,0))</f>
        <v>0</v>
      </c>
      <c r="DV26" s="315">
        <f>IF(AND(SUM(AD26:AL26)&gt;$DL$3,$CC$44=S.CAL!$BC$3),SUM(AD26:AL26),IF(AND(SUM(AD26:AL26)&gt;$CE$54,$CC$44=S.CAL!$BC$4),SUM(AD26:AL26),IF(AND($CC$44=S.CAL!$BC$5,(SUM(AD26:AL26)*$CE$59)&gt;$CE$47),SUM(AD26:AL26),0)))</f>
        <v>0</v>
      </c>
      <c r="DW26" s="315">
        <f>+IF(AND($CC$44=S.CAL!$BC$5,(SUM(AD26:AL26)*$CE$59)&lt;=$CE$47),DX26,0)</f>
        <v>0</v>
      </c>
      <c r="DX26" s="315">
        <f>IF(AND(SUM(AD26:AL26)&lt;=DL3,SUM(AD26:AL26)&gt;0),1,0)</f>
        <v>0</v>
      </c>
      <c r="DY26" s="315">
        <f>IF(AND(SUM(AD26:AL26)&gt;DL3),SUM(AD26:AL26),0)</f>
        <v>0</v>
      </c>
      <c r="EA26" s="315">
        <f t="shared" si="8"/>
        <v>0</v>
      </c>
      <c r="EB26" s="315">
        <f t="shared" si="9"/>
        <v>0</v>
      </c>
      <c r="EQ26" s="783">
        <f t="shared" si="53"/>
        <v>46363</v>
      </c>
      <c r="ER26" s="784">
        <f t="shared" si="10"/>
        <v>0</v>
      </c>
      <c r="ES26" s="785">
        <f t="shared" si="11"/>
        <v>0</v>
      </c>
      <c r="ET26" s="784">
        <f t="shared" si="12"/>
        <v>0</v>
      </c>
      <c r="EU26" s="785">
        <f t="shared" si="13"/>
        <v>0</v>
      </c>
      <c r="EV26" s="784" t="str">
        <f t="shared" si="14"/>
        <v/>
      </c>
      <c r="EW26" s="751">
        <f t="shared" si="28"/>
        <v>46363</v>
      </c>
      <c r="EX26" s="759" t="str">
        <f>IFERROR(IF(AND(AZ26="",AR26&lt;&gt;S.CAL!$BJ$3,AR26&lt;&gt;S.CAL!$BJ$4),FS26-BC26,IF(AZ26&lt;&gt;0,AZ26,IF(OR(AR26=S.CAL!$BJ$3,AR26=S.CAL!$BJ$4),AR26,0))),"")</f>
        <v/>
      </c>
      <c r="EY26" s="753">
        <f t="shared" si="54"/>
        <v>0</v>
      </c>
      <c r="EZ26" s="736">
        <f t="shared" si="55"/>
        <v>0</v>
      </c>
      <c r="FA26" s="759" t="str">
        <f t="shared" si="31"/>
        <v/>
      </c>
      <c r="FB26" s="754" t="str">
        <f t="shared" si="15"/>
        <v/>
      </c>
      <c r="FC26" s="315" t="str">
        <f t="shared" si="56"/>
        <v>non</v>
      </c>
      <c r="FD26" s="760">
        <f t="shared" si="16"/>
        <v>0</v>
      </c>
      <c r="FG26" s="315" t="str">
        <f t="shared" si="57"/>
        <v/>
      </c>
      <c r="FJ26" s="315">
        <f t="shared" si="58"/>
        <v>1</v>
      </c>
      <c r="FK26" s="129">
        <f t="shared" si="17"/>
        <v>10</v>
      </c>
      <c r="FL26" s="129">
        <f t="shared" si="35"/>
        <v>1</v>
      </c>
      <c r="FN26" s="129">
        <f>+IF(AND($DP$8&lt;&gt;52,AR26=S.CAL!$BJ$4),10,1)</f>
        <v>1</v>
      </c>
      <c r="FP26" s="129">
        <f t="shared" si="18"/>
        <v>0</v>
      </c>
      <c r="FS26" s="223" t="str">
        <f t="shared" si="36"/>
        <v/>
      </c>
      <c r="FZ26" s="129">
        <f t="shared" si="37"/>
        <v>50</v>
      </c>
      <c r="GA26" s="129">
        <f t="shared" si="38"/>
        <v>2026</v>
      </c>
      <c r="GB26" s="129" t="str">
        <f t="shared" si="39"/>
        <v>502026</v>
      </c>
      <c r="GC26" s="223">
        <f t="shared" si="40"/>
        <v>0</v>
      </c>
      <c r="GF26" s="223" t="str">
        <f t="shared" si="41"/>
        <v/>
      </c>
      <c r="GG26" s="1446" t="str">
        <f>+'Retenue Déc'!D24</f>
        <v/>
      </c>
      <c r="GH26" s="1446">
        <f>IF(Identification!$B$132="Non",+'Retenue Déc'!BF24,+'Retenue Déc'!BE24)</f>
        <v>0</v>
      </c>
      <c r="GJ26" s="1507" t="str">
        <f t="shared" si="42"/>
        <v/>
      </c>
      <c r="GK26" s="223" t="str">
        <f t="shared" si="43"/>
        <v/>
      </c>
      <c r="GL26" s="223" t="str">
        <f t="shared" si="44"/>
        <v/>
      </c>
      <c r="GM26" s="1506">
        <f t="shared" si="45"/>
        <v>0</v>
      </c>
      <c r="GO26" s="129">
        <f t="shared" si="19"/>
        <v>0</v>
      </c>
      <c r="GP26" s="129" t="str">
        <f t="shared" si="46"/>
        <v/>
      </c>
      <c r="GQ26" s="1446" t="str">
        <f t="shared" si="47"/>
        <v/>
      </c>
    </row>
    <row r="27" spans="1:199" ht="14.25" customHeight="1" x14ac:dyDescent="0.2">
      <c r="A27" s="2263"/>
      <c r="B27" s="2253" t="s">
        <v>682</v>
      </c>
      <c r="C27" s="2254"/>
      <c r="D27" s="2254"/>
      <c r="E27" s="2254"/>
      <c r="F27" s="2254"/>
      <c r="G27" s="2254"/>
      <c r="H27" s="2254"/>
      <c r="I27" s="2254"/>
      <c r="J27" s="2254"/>
      <c r="K27" s="2255"/>
      <c r="L27" s="1785"/>
      <c r="M27" s="1971"/>
      <c r="N27" s="1971"/>
      <c r="O27" s="1972"/>
      <c r="P27" s="1753"/>
      <c r="Q27" s="1969"/>
      <c r="R27" s="1969"/>
      <c r="S27" s="1970"/>
      <c r="T27" s="1966">
        <f>ROUND(IF(L27="",IF(DP8=52,VLOOKUP($X$3,base_retenue,6,FALSE)*-1,0),L27),2)</f>
        <v>0</v>
      </c>
      <c r="U27" s="1967"/>
      <c r="V27" s="1967"/>
      <c r="W27" s="1968"/>
      <c r="X27" s="221"/>
      <c r="Y27" s="221"/>
      <c r="Z27" s="221"/>
      <c r="AA27" s="885" t="str">
        <f>IF(AND(BE27="OUI",$AR$13=S.CAL!$CU$2),"►",IF(AND(EV27="OUI",$AR$13=S.CAL!$CU$3),"►",""))</f>
        <v/>
      </c>
      <c r="AB27" s="1760">
        <f>+$X$3+7</f>
        <v>46364</v>
      </c>
      <c r="AC27" s="1761">
        <f>+$D$6+7</f>
        <v>7</v>
      </c>
      <c r="AD27" s="1748" t="str">
        <f>+IF(AND($AR$13=S.CAL!$CU$2,EX27&lt;&gt;0),EX27,IF(AND($AR$13=S.CAL!$CU$3,ER27&lt;&gt;0),ER27,0))</f>
        <v/>
      </c>
      <c r="AE27" s="1748"/>
      <c r="AF27" s="1748"/>
      <c r="AG27" s="1748" t="str">
        <f>+IF(AND($AR$13=S.CAL!$CU$2,EY27&lt;&gt;0),EY27,IF(AND($AR$13=S.CAL!$CU$3,ES27&lt;&gt;0),ES27,""))</f>
        <v/>
      </c>
      <c r="AH27" s="1748"/>
      <c r="AI27" s="1748"/>
      <c r="AJ27" s="1748" t="str">
        <f>+IF(AND($AR$13=S.CAL!$CU$2,EZ27&lt;&gt;0),EZ27,IF(AND($AR$13=S.CAL!$CU$3,ET27&lt;&gt;0),ET27,""))</f>
        <v/>
      </c>
      <c r="AK27" s="1748"/>
      <c r="AL27" s="1748"/>
      <c r="AM27" s="1748" t="str">
        <f>+IF(AND($AR$13=S.CAL!$CU$2,FA27&lt;&gt;0),FA27,IF(AND($AR$13=S.CAL!$CU$3,EU27&lt;&gt;0),EU27,""))</f>
        <v/>
      </c>
      <c r="AN27" s="1748"/>
      <c r="AO27" s="1784"/>
      <c r="AP27" s="215" t="str">
        <f t="shared" si="48"/>
        <v/>
      </c>
      <c r="AQ27" s="322"/>
      <c r="AR27" s="1104"/>
      <c r="AS27" s="314">
        <f t="shared" si="3"/>
        <v>0</v>
      </c>
      <c r="AT27" s="1125"/>
      <c r="AU27" s="1125"/>
      <c r="AV27" s="314"/>
      <c r="AW27" s="1791">
        <f t="shared" si="21"/>
        <v>46364</v>
      </c>
      <c r="AX27" s="1761"/>
      <c r="AY27" s="314"/>
      <c r="AZ27" s="1104"/>
      <c r="BA27" s="973"/>
      <c r="BB27" s="543"/>
      <c r="BC27" s="548">
        <f t="shared" si="22"/>
        <v>0</v>
      </c>
      <c r="BD27" s="1104"/>
      <c r="BE27" s="807">
        <f t="shared" si="23"/>
        <v>0</v>
      </c>
      <c r="BF27" s="1128"/>
      <c r="BG27" s="222"/>
      <c r="BH27" s="548" t="str">
        <f t="shared" si="24"/>
        <v/>
      </c>
      <c r="BI27" s="1128"/>
      <c r="BJ27" s="129" t="str">
        <f t="shared" si="25"/>
        <v>Fiche infoA2</v>
      </c>
      <c r="BK27" s="129">
        <f t="shared" si="49"/>
        <v>50</v>
      </c>
      <c r="BL27" s="129" t="str">
        <f t="shared" si="4"/>
        <v>A</v>
      </c>
      <c r="BM27" s="129">
        <f t="shared" si="50"/>
        <v>2</v>
      </c>
      <c r="BN27" s="223" t="str">
        <f t="shared" si="60"/>
        <v>Fiche info</v>
      </c>
      <c r="BO27" s="314" t="str">
        <f t="shared" si="51"/>
        <v/>
      </c>
      <c r="BP27" s="196" t="str">
        <f t="shared" si="52"/>
        <v/>
      </c>
      <c r="BQ27" s="206"/>
      <c r="BX27" s="577"/>
      <c r="BY27" s="2015"/>
      <c r="BZ27" s="1952"/>
      <c r="CA27" s="2014"/>
      <c r="CB27" s="196" t="s">
        <v>1095</v>
      </c>
      <c r="CC27" s="574" t="s">
        <v>1096</v>
      </c>
      <c r="CD27" s="574" t="s">
        <v>1097</v>
      </c>
      <c r="CE27" s="574" t="s">
        <v>1223</v>
      </c>
      <c r="CF27" s="574"/>
      <c r="CG27" s="574"/>
      <c r="CH27" s="574" t="s">
        <v>1224</v>
      </c>
      <c r="CI27" s="574"/>
      <c r="CJ27" s="1575" t="s">
        <v>1672</v>
      </c>
      <c r="CK27" s="1573"/>
      <c r="CL27" s="1573"/>
      <c r="CM27" s="216"/>
      <c r="CN27" s="216"/>
      <c r="CO27" s="216"/>
      <c r="CP27" s="216"/>
      <c r="CQ27" s="216"/>
      <c r="CR27" s="216"/>
      <c r="CS27" s="216"/>
      <c r="CT27" s="216"/>
      <c r="CU27" s="216"/>
      <c r="CV27" s="216"/>
      <c r="CW27" s="216"/>
      <c r="CX27" s="216"/>
      <c r="CY27" s="216"/>
      <c r="CZ27" s="216"/>
      <c r="DA27" s="216"/>
      <c r="DB27" s="216"/>
      <c r="DC27" s="216"/>
      <c r="DD27" s="206"/>
      <c r="DE27" s="740"/>
      <c r="DF27" s="740"/>
      <c r="DJ27" s="761" t="s">
        <v>151</v>
      </c>
      <c r="DK27" s="764" t="e">
        <f>ROUNDDOWN((T18+T25)/AL14,Identification!B121)</f>
        <v>#DIV/0!</v>
      </c>
      <c r="DL27" s="765"/>
      <c r="DN27" s="763"/>
      <c r="DO27" s="757" t="s">
        <v>1612</v>
      </c>
      <c r="DP27" s="763">
        <f>+VLOOKUP(DP4,base_donné_contrat,19,FALSE)</f>
        <v>0</v>
      </c>
      <c r="DQ27" s="763"/>
      <c r="DR27" s="763"/>
      <c r="DS27" s="763"/>
      <c r="DT27" s="763"/>
      <c r="DU27" s="315">
        <f>IF(AND(SUM(AD27:AL27)&lt;=$DL$3,SUM(AD27:AL27)&gt;0,$CC$44=S.CAL!$BC$3),1,IF(AND(SUM(AD27:AL27)&lt;=$CE$54,SUM(AD27:AL27)&gt;0,$CC$44=S.CAL!$BC$4),1,0))</f>
        <v>0</v>
      </c>
      <c r="DV27" s="315">
        <f>IF(AND(SUM(AD27:AL27)&gt;$DL$3,$CC$44=S.CAL!$BC$3),SUM(AD27:AL27),IF(AND(SUM(AD27:AL27)&gt;$CE$54,$CC$44=S.CAL!$BC$4),SUM(AD27:AL27),IF(AND($CC$44=S.CAL!$BC$5,(SUM(AD27:AL27)*$CE$59)&gt;$CE$47),SUM(AD27:AL27),0)))</f>
        <v>0</v>
      </c>
      <c r="DW27" s="315">
        <f>+IF(AND($CC$44=S.CAL!$BC$5,(SUM(AD27:AL27)*$CE$59)&lt;=$CE$47),DX27,0)</f>
        <v>0</v>
      </c>
      <c r="DX27" s="315">
        <f>IF(AND(SUM(AD27:AL27)&lt;=DL3,SUM(AD27:AL27)&gt;0),1,0)</f>
        <v>0</v>
      </c>
      <c r="DY27" s="315">
        <f>IF(AND(SUM(AD27:AL27)&gt;DL3),SUM(AD27:AL27),0)</f>
        <v>0</v>
      </c>
      <c r="EA27" s="315">
        <f t="shared" si="8"/>
        <v>0</v>
      </c>
      <c r="EB27" s="315">
        <f t="shared" si="9"/>
        <v>0</v>
      </c>
      <c r="EQ27" s="783">
        <f t="shared" si="53"/>
        <v>46364</v>
      </c>
      <c r="ER27" s="784">
        <f t="shared" si="10"/>
        <v>0</v>
      </c>
      <c r="ES27" s="785">
        <f t="shared" si="11"/>
        <v>0</v>
      </c>
      <c r="ET27" s="784">
        <f t="shared" si="12"/>
        <v>0</v>
      </c>
      <c r="EU27" s="785">
        <f t="shared" si="13"/>
        <v>0</v>
      </c>
      <c r="EV27" s="784" t="str">
        <f t="shared" si="14"/>
        <v/>
      </c>
      <c r="EW27" s="751">
        <f t="shared" si="28"/>
        <v>46364</v>
      </c>
      <c r="EX27" s="759" t="str">
        <f>IFERROR(IF(AND(AZ27="",AR27&lt;&gt;S.CAL!$BJ$3,AR27&lt;&gt;S.CAL!$BJ$4),FS27-BC27,IF(AZ27&lt;&gt;0,AZ27,IF(OR(AR27=S.CAL!$BJ$3,AR27=S.CAL!$BJ$4),AR27,0))),"")</f>
        <v/>
      </c>
      <c r="EY27" s="753">
        <f t="shared" si="54"/>
        <v>0</v>
      </c>
      <c r="EZ27" s="736">
        <f t="shared" si="55"/>
        <v>0</v>
      </c>
      <c r="FA27" s="759" t="str">
        <f t="shared" si="31"/>
        <v/>
      </c>
      <c r="FB27" s="754" t="str">
        <f t="shared" si="15"/>
        <v/>
      </c>
      <c r="FC27" s="315" t="str">
        <f t="shared" si="56"/>
        <v>non</v>
      </c>
      <c r="FD27" s="760">
        <f t="shared" si="16"/>
        <v>0</v>
      </c>
      <c r="FG27" s="315" t="str">
        <f t="shared" si="57"/>
        <v/>
      </c>
      <c r="FJ27" s="315">
        <f t="shared" si="58"/>
        <v>1</v>
      </c>
      <c r="FK27" s="129">
        <f t="shared" si="17"/>
        <v>10</v>
      </c>
      <c r="FL27" s="129">
        <f t="shared" si="35"/>
        <v>1</v>
      </c>
      <c r="FN27" s="129">
        <f>+IF(AND($DP$8&lt;&gt;52,AR27=S.CAL!$BJ$4),10,1)</f>
        <v>1</v>
      </c>
      <c r="FP27" s="129">
        <f t="shared" si="18"/>
        <v>0</v>
      </c>
      <c r="FS27" s="223" t="str">
        <f t="shared" ref="FS27:FS50" si="61">+BH27</f>
        <v/>
      </c>
      <c r="FZ27" s="129">
        <f t="shared" si="37"/>
        <v>50</v>
      </c>
      <c r="GA27" s="129">
        <f t="shared" si="38"/>
        <v>2026</v>
      </c>
      <c r="GB27" s="129" t="str">
        <f t="shared" si="39"/>
        <v>502026</v>
      </c>
      <c r="GC27" s="223">
        <f t="shared" si="40"/>
        <v>0</v>
      </c>
      <c r="GF27" s="223" t="str">
        <f t="shared" si="41"/>
        <v/>
      </c>
      <c r="GG27" s="1446" t="str">
        <f>+'Retenue Déc'!D25</f>
        <v/>
      </c>
      <c r="GH27" s="1446">
        <f>IF(Identification!$B$132="Non",+'Retenue Déc'!BF25,+'Retenue Déc'!BE25)</f>
        <v>0</v>
      </c>
      <c r="GJ27" s="1507" t="str">
        <f t="shared" si="42"/>
        <v/>
      </c>
      <c r="GK27" s="223" t="str">
        <f t="shared" si="43"/>
        <v/>
      </c>
      <c r="GL27" s="223" t="str">
        <f t="shared" si="44"/>
        <v/>
      </c>
      <c r="GM27" s="1506">
        <f t="shared" si="45"/>
        <v>0</v>
      </c>
      <c r="GO27" s="129">
        <f t="shared" si="19"/>
        <v>0</v>
      </c>
      <c r="GP27" s="129" t="str">
        <f t="shared" si="46"/>
        <v/>
      </c>
      <c r="GQ27" s="1446" t="str">
        <f t="shared" si="47"/>
        <v/>
      </c>
    </row>
    <row r="28" spans="1:199" ht="12.75" customHeight="1" x14ac:dyDescent="0.2">
      <c r="A28" s="2264"/>
      <c r="B28" s="2082" t="s">
        <v>683</v>
      </c>
      <c r="C28" s="1993"/>
      <c r="D28" s="1993"/>
      <c r="E28" s="1993"/>
      <c r="F28" s="1993"/>
      <c r="G28" s="1993"/>
      <c r="H28" s="1993"/>
      <c r="I28" s="1993"/>
      <c r="J28" s="1993"/>
      <c r="K28" s="1994"/>
      <c r="L28" s="1785"/>
      <c r="M28" s="1971"/>
      <c r="N28" s="1971"/>
      <c r="O28" s="1972"/>
      <c r="P28" s="2261"/>
      <c r="Q28" s="1827"/>
      <c r="R28" s="1827"/>
      <c r="S28" s="2262"/>
      <c r="T28" s="1966">
        <f>ROUND(IF(L28="",IF(AND(DP8=52,VLOOKUP($X$3,base_retenue,11,FALSE)&gt;IF(G100,(G99*DK51/G100),0)),(VLOOKUP($X$3,base_retenue,11,FALSE)+VLOOKUP($X$3,base_retenue,9,FALSE)),IF(AND(DP8=52,(VLOOKUP($X$3,base_retenue,11,FALSE))&lt;=IF(G100,(G99*DK51/G100),0)),IF(G100,(G99*DK51/G100),0)+VLOOKUP($X$3,base_retenue,9,FALSE),0)),L28),2)</f>
        <v>0</v>
      </c>
      <c r="U28" s="1967"/>
      <c r="V28" s="1967"/>
      <c r="W28" s="1968"/>
      <c r="X28" s="221"/>
      <c r="Y28" s="221"/>
      <c r="Z28" s="221"/>
      <c r="AA28" s="885" t="str">
        <f>IF(AND(BE28="OUI",$AR$13=S.CAL!$CU$2),"►",IF(AND(EV28="OUI",$AR$13=S.CAL!$CU$3),"►",""))</f>
        <v/>
      </c>
      <c r="AB28" s="1760">
        <f>+$X$3+8</f>
        <v>46365</v>
      </c>
      <c r="AC28" s="1761">
        <f>+$D$6+8</f>
        <v>8</v>
      </c>
      <c r="AD28" s="1748" t="str">
        <f>+IF(AND($AR$13=S.CAL!$CU$2,EX28&lt;&gt;0),EX28,IF(AND($AR$13=S.CAL!$CU$3,ER28&lt;&gt;0),ER28,0))</f>
        <v/>
      </c>
      <c r="AE28" s="1748"/>
      <c r="AF28" s="1748"/>
      <c r="AG28" s="1748" t="str">
        <f>+IF(AND($AR$13=S.CAL!$CU$2,EY28&lt;&gt;0),EY28,IF(AND($AR$13=S.CAL!$CU$3,ES28&lt;&gt;0),ES28,""))</f>
        <v/>
      </c>
      <c r="AH28" s="1748"/>
      <c r="AI28" s="1748"/>
      <c r="AJ28" s="1748" t="str">
        <f>+IF(AND($AR$13=S.CAL!$CU$2,EZ28&lt;&gt;0),EZ28,IF(AND($AR$13=S.CAL!$CU$3,ET28&lt;&gt;0),ET28,""))</f>
        <v/>
      </c>
      <c r="AK28" s="1748"/>
      <c r="AL28" s="1748"/>
      <c r="AM28" s="1748" t="str">
        <f>+IF(AND($AR$13=S.CAL!$CU$2,FA28&lt;&gt;0),FA28,IF(AND($AR$13=S.CAL!$CU$3,EU28&lt;&gt;0),EU28,""))</f>
        <v/>
      </c>
      <c r="AN28" s="1748"/>
      <c r="AO28" s="1784"/>
      <c r="AP28" s="215" t="str">
        <f t="shared" si="48"/>
        <v/>
      </c>
      <c r="AQ28" s="322"/>
      <c r="AR28" s="1104"/>
      <c r="AS28" s="314">
        <f t="shared" si="3"/>
        <v>0</v>
      </c>
      <c r="AT28" s="1125"/>
      <c r="AU28" s="1125"/>
      <c r="AV28" s="314"/>
      <c r="AW28" s="1791">
        <f t="shared" si="21"/>
        <v>46365</v>
      </c>
      <c r="AX28" s="1761"/>
      <c r="AY28" s="314"/>
      <c r="AZ28" s="1104"/>
      <c r="BA28" s="973"/>
      <c r="BB28" s="543"/>
      <c r="BC28" s="548">
        <f t="shared" si="22"/>
        <v>0</v>
      </c>
      <c r="BD28" s="1104"/>
      <c r="BE28" s="807">
        <f t="shared" si="23"/>
        <v>0</v>
      </c>
      <c r="BF28" s="1128"/>
      <c r="BG28" s="222"/>
      <c r="BH28" s="548" t="str">
        <f t="shared" si="24"/>
        <v/>
      </c>
      <c r="BI28" s="1128"/>
      <c r="BJ28" s="129" t="str">
        <f t="shared" si="25"/>
        <v>Fiche infoA3</v>
      </c>
      <c r="BK28" s="129">
        <f t="shared" si="49"/>
        <v>50</v>
      </c>
      <c r="BL28" s="129" t="str">
        <f t="shared" si="4"/>
        <v>A</v>
      </c>
      <c r="BM28" s="129">
        <f t="shared" si="50"/>
        <v>3</v>
      </c>
      <c r="BN28" s="223" t="str">
        <f t="shared" si="60"/>
        <v>Fiche info</v>
      </c>
      <c r="BO28" s="314" t="str">
        <f t="shared" si="51"/>
        <v/>
      </c>
      <c r="BP28" s="196" t="str">
        <f t="shared" si="52"/>
        <v/>
      </c>
      <c r="BQ28" s="196"/>
      <c r="BS28" s="2100" t="str">
        <f>+"Semaine numéro : "&amp;AT4</f>
        <v>Semaine numéro : 49</v>
      </c>
      <c r="BT28" s="2101"/>
      <c r="BU28" s="2101"/>
      <c r="BV28" s="2101"/>
      <c r="BW28" s="2101"/>
      <c r="BX28" s="2102"/>
      <c r="BY28" s="1577"/>
      <c r="BZ28" s="656">
        <f>+IF(BY28="",IF(AND(CC28&gt;0,CB28&gt;0),CC28+CB28,IF(CD28&gt;0,0,CB28)),BY28)</f>
        <v>0</v>
      </c>
      <c r="CA28" s="655">
        <f t="shared" ref="CA28:CA33" si="62">IF(BZ28&gt;45,BZ28-45,0)</f>
        <v>0</v>
      </c>
      <c r="CB28" s="196">
        <f t="shared" ref="CB28:CB33" si="63">+SUMIF($BK$20:$BK$50,AT4,$AM$20:$AO$50)</f>
        <v>0</v>
      </c>
      <c r="CC28" s="574">
        <f>+SUMIF(Novembre!$BK$20:$BK$50,AT4,Novembre!$AM$20:$AO$50)</f>
        <v>0</v>
      </c>
      <c r="CD28" s="574"/>
      <c r="CE28" s="574" t="str">
        <f>+$BY$2&amp;AU4</f>
        <v>Fiche infoA</v>
      </c>
      <c r="CF28" s="574">
        <f ca="1">+SUMIF(S.CAL!$ED$1:$EI$897,Décembre!CE28,S.CAL!$EI$1:$EI$897)-(SUMIF($BK$20:$BK$50,AT4,$BC$20:$BC$50))</f>
        <v>0</v>
      </c>
      <c r="CG28" s="574">
        <f>+SUMIF($BK$20:$BK$50,CH28,$GG$20:$GG$52)</f>
        <v>0</v>
      </c>
      <c r="CH28" s="574">
        <f>+AT4</f>
        <v>49</v>
      </c>
      <c r="CI28" s="574">
        <f ca="1">+CF28-CG28</f>
        <v>0</v>
      </c>
      <c r="CJ28" s="1576" t="b">
        <f>+IF(AND(CG28&gt;0,CH29=""),TRUE,FALSE)</f>
        <v>0</v>
      </c>
      <c r="CK28" s="1574"/>
      <c r="CL28" s="1574"/>
      <c r="CM28" s="223"/>
      <c r="CN28" s="223"/>
      <c r="CO28" s="223"/>
      <c r="CP28" s="223"/>
      <c r="CQ28" s="223"/>
      <c r="CR28" s="223"/>
      <c r="CS28" s="223"/>
      <c r="CT28" s="223"/>
      <c r="CU28" s="223"/>
      <c r="CV28" s="223"/>
      <c r="CW28" s="223"/>
      <c r="CX28" s="223"/>
      <c r="CY28" s="223"/>
      <c r="CZ28" s="223"/>
      <c r="DA28" s="223"/>
      <c r="DB28" s="223"/>
      <c r="DC28" s="223"/>
      <c r="DD28" s="206"/>
      <c r="DE28" s="740"/>
      <c r="DF28" s="740"/>
      <c r="DJ28" s="402" t="s">
        <v>1416</v>
      </c>
      <c r="DK28" s="764">
        <f>IF(AL14,+(T31+T23+T24+T29+T27+T28)/AL14,0)</f>
        <v>0</v>
      </c>
      <c r="DL28" s="765" t="s">
        <v>1171</v>
      </c>
      <c r="DM28" s="315">
        <f>IF(AL14,+(HO16+T30)/AL14,0)</f>
        <v>0</v>
      </c>
      <c r="DN28" s="736"/>
      <c r="DO28" s="736" t="s">
        <v>1613</v>
      </c>
      <c r="DP28" s="1513">
        <f>+VLOOKUP(DP4,base_donné_contrat,20,FALSE)</f>
        <v>0</v>
      </c>
      <c r="DQ28" s="736"/>
      <c r="DR28" s="736"/>
      <c r="DS28" s="736"/>
      <c r="DT28" s="736"/>
      <c r="DU28" s="315">
        <f>IF(AND(SUM(AD28:AL28)&lt;=$DL$3,SUM(AD28:AL28)&gt;0,$CC$44=S.CAL!$BC$3),1,IF(AND(SUM(AD28:AL28)&lt;=$CE$54,SUM(AD28:AL28)&gt;0,$CC$44=S.CAL!$BC$4),1,0))</f>
        <v>0</v>
      </c>
      <c r="DV28" s="315">
        <f>IF(AND(SUM(AD28:AL28)&gt;$DL$3,$CC$44=S.CAL!$BC$3),SUM(AD28:AL28),IF(AND(SUM(AD28:AL28)&gt;$CE$54,$CC$44=S.CAL!$BC$4),SUM(AD28:AL28),IF(AND($CC$44=S.CAL!$BC$5,(SUM(AD28:AL28)*$CE$59)&gt;$CE$47),SUM(AD28:AL28),0)))</f>
        <v>0</v>
      </c>
      <c r="DW28" s="315">
        <f>+IF(AND($CC$44=S.CAL!$BC$5,(SUM(AD28:AL28)*$CE$59)&lt;=$CE$47),DX28,0)</f>
        <v>0</v>
      </c>
      <c r="DX28" s="315">
        <f>IF(AND(SUM(AD28:AL28)&lt;=DL3,SUM(AD28:AL28)&gt;0),1,0)</f>
        <v>0</v>
      </c>
      <c r="DY28" s="315">
        <f>IF(AND(SUM(AD28:AL28)&gt;DL3),SUM(AD28:AL28),0)</f>
        <v>0</v>
      </c>
      <c r="EA28" s="315">
        <f t="shared" si="8"/>
        <v>0</v>
      </c>
      <c r="EB28" s="315">
        <f t="shared" si="9"/>
        <v>0</v>
      </c>
      <c r="EE28" s="315" t="s">
        <v>1643</v>
      </c>
      <c r="EI28" s="315">
        <f>+GO57</f>
        <v>0</v>
      </c>
      <c r="EQ28" s="783">
        <f t="shared" si="53"/>
        <v>46365</v>
      </c>
      <c r="ER28" s="784">
        <f t="shared" si="10"/>
        <v>0</v>
      </c>
      <c r="ES28" s="785">
        <f t="shared" si="11"/>
        <v>0</v>
      </c>
      <c r="ET28" s="784">
        <f t="shared" si="12"/>
        <v>0</v>
      </c>
      <c r="EU28" s="785">
        <f t="shared" si="13"/>
        <v>0</v>
      </c>
      <c r="EV28" s="784" t="str">
        <f t="shared" si="14"/>
        <v/>
      </c>
      <c r="EW28" s="751">
        <f t="shared" si="28"/>
        <v>46365</v>
      </c>
      <c r="EX28" s="759" t="str">
        <f>IFERROR(IF(AND(AZ28="",AR28&lt;&gt;S.CAL!$BJ$3,AR28&lt;&gt;S.CAL!$BJ$4),FS28-BC28,IF(AZ28&lt;&gt;0,AZ28,IF(OR(AR28=S.CAL!$BJ$3,AR28=S.CAL!$BJ$4),AR28,0))),"")</f>
        <v/>
      </c>
      <c r="EY28" s="753">
        <f t="shared" si="54"/>
        <v>0</v>
      </c>
      <c r="EZ28" s="736">
        <f t="shared" si="55"/>
        <v>0</v>
      </c>
      <c r="FA28" s="759" t="str">
        <f t="shared" si="31"/>
        <v/>
      </c>
      <c r="FB28" s="754" t="str">
        <f t="shared" si="15"/>
        <v/>
      </c>
      <c r="FC28" s="315" t="str">
        <f t="shared" si="56"/>
        <v>non</v>
      </c>
      <c r="FD28" s="760">
        <f t="shared" si="16"/>
        <v>0</v>
      </c>
      <c r="FG28" s="315" t="str">
        <f t="shared" si="57"/>
        <v/>
      </c>
      <c r="FJ28" s="315">
        <f t="shared" si="58"/>
        <v>1</v>
      </c>
      <c r="FK28" s="129">
        <f t="shared" si="17"/>
        <v>10</v>
      </c>
      <c r="FL28" s="129">
        <f t="shared" si="35"/>
        <v>1</v>
      </c>
      <c r="FN28" s="129">
        <f>+IF(AND($DP$8&lt;&gt;52,AR28=S.CAL!$BJ$4),10,1)</f>
        <v>1</v>
      </c>
      <c r="FP28" s="129">
        <f t="shared" si="18"/>
        <v>0</v>
      </c>
      <c r="FS28" s="223" t="str">
        <f t="shared" si="61"/>
        <v/>
      </c>
      <c r="FZ28" s="129">
        <f t="shared" si="37"/>
        <v>50</v>
      </c>
      <c r="GA28" s="129">
        <f t="shared" si="38"/>
        <v>2026</v>
      </c>
      <c r="GB28" s="129" t="str">
        <f t="shared" si="39"/>
        <v>502026</v>
      </c>
      <c r="GC28" s="223">
        <f t="shared" si="40"/>
        <v>0</v>
      </c>
      <c r="GF28" s="223" t="str">
        <f t="shared" si="41"/>
        <v/>
      </c>
      <c r="GG28" s="1446" t="str">
        <f>+'Retenue Déc'!D26</f>
        <v/>
      </c>
      <c r="GH28" s="1446">
        <f>IF(Identification!$B$132="Non",+'Retenue Déc'!BF26,+'Retenue Déc'!BE26)</f>
        <v>0</v>
      </c>
      <c r="GJ28" s="1507" t="str">
        <f t="shared" si="42"/>
        <v/>
      </c>
      <c r="GK28" s="223" t="str">
        <f t="shared" si="43"/>
        <v/>
      </c>
      <c r="GL28" s="223" t="str">
        <f t="shared" si="44"/>
        <v/>
      </c>
      <c r="GM28" s="1506">
        <f t="shared" si="45"/>
        <v>0</v>
      </c>
      <c r="GO28" s="129">
        <f t="shared" si="19"/>
        <v>0</v>
      </c>
      <c r="GP28" s="129" t="str">
        <f t="shared" si="46"/>
        <v/>
      </c>
      <c r="GQ28" s="1446" t="str">
        <f t="shared" si="47"/>
        <v/>
      </c>
    </row>
    <row r="29" spans="1:199" ht="12.75" customHeight="1" x14ac:dyDescent="0.2">
      <c r="A29" s="2245" t="s">
        <v>49</v>
      </c>
      <c r="B29" s="2265"/>
      <c r="C29" s="2266"/>
      <c r="D29" s="2266"/>
      <c r="E29" s="2266"/>
      <c r="F29" s="2266"/>
      <c r="G29" s="2266"/>
      <c r="H29" s="2266"/>
      <c r="I29" s="2266"/>
      <c r="J29" s="2266"/>
      <c r="K29" s="2267"/>
      <c r="L29" s="2139"/>
      <c r="M29" s="2140"/>
      <c r="N29" s="2140"/>
      <c r="O29" s="2141"/>
      <c r="P29" s="2139"/>
      <c r="Q29" s="2140"/>
      <c r="R29" s="2140"/>
      <c r="S29" s="2141"/>
      <c r="T29" s="1785"/>
      <c r="U29" s="1971"/>
      <c r="V29" s="1971"/>
      <c r="W29" s="1972"/>
      <c r="AA29" s="885" t="str">
        <f>IF(AND(BE29="OUI",$AR$13=S.CAL!$CU$2),"►",IF(AND(EV29="OUI",$AR$13=S.CAL!$CU$3),"►",""))</f>
        <v/>
      </c>
      <c r="AB29" s="1760">
        <f>+$X$3+9</f>
        <v>46366</v>
      </c>
      <c r="AC29" s="1761">
        <f>+$D$6+9</f>
        <v>9</v>
      </c>
      <c r="AD29" s="1748" t="str">
        <f>+IF(AND($AR$13=S.CAL!$CU$2,EX29&lt;&gt;0),EX29,IF(AND($AR$13=S.CAL!$CU$3,ER29&lt;&gt;0),ER29,0))</f>
        <v/>
      </c>
      <c r="AE29" s="1748"/>
      <c r="AF29" s="1748"/>
      <c r="AG29" s="1748" t="str">
        <f>+IF(AND($AR$13=S.CAL!$CU$2,EY29&lt;&gt;0),EY29,IF(AND($AR$13=S.CAL!$CU$3,ES29&lt;&gt;0),ES29,""))</f>
        <v/>
      </c>
      <c r="AH29" s="1748"/>
      <c r="AI29" s="1748"/>
      <c r="AJ29" s="1748" t="str">
        <f>+IF(AND($AR$13=S.CAL!$CU$2,EZ29&lt;&gt;0),EZ29,IF(AND($AR$13=S.CAL!$CU$3,ET29&lt;&gt;0),ET29,""))</f>
        <v/>
      </c>
      <c r="AK29" s="1748"/>
      <c r="AL29" s="1748"/>
      <c r="AM29" s="1748" t="str">
        <f>+IF(AND($AR$13=S.CAL!$CU$2,FA29&lt;&gt;0),FA29,IF(AND($AR$13=S.CAL!$CU$3,EU29&lt;&gt;0),EU29,""))</f>
        <v/>
      </c>
      <c r="AN29" s="1748"/>
      <c r="AO29" s="1784"/>
      <c r="AP29" s="215" t="str">
        <f t="shared" si="48"/>
        <v/>
      </c>
      <c r="AQ29" s="322"/>
      <c r="AR29" s="1104"/>
      <c r="AS29" s="314">
        <f t="shared" si="3"/>
        <v>0</v>
      </c>
      <c r="AT29" s="1125"/>
      <c r="AU29" s="1125"/>
      <c r="AV29" s="314"/>
      <c r="AW29" s="1791">
        <f t="shared" si="21"/>
        <v>46366</v>
      </c>
      <c r="AX29" s="1761"/>
      <c r="AY29" s="314"/>
      <c r="AZ29" s="1104"/>
      <c r="BA29" s="973"/>
      <c r="BB29" s="543"/>
      <c r="BC29" s="548">
        <f t="shared" si="22"/>
        <v>0</v>
      </c>
      <c r="BD29" s="1104"/>
      <c r="BE29" s="807">
        <f t="shared" si="23"/>
        <v>0</v>
      </c>
      <c r="BF29" s="1128"/>
      <c r="BG29" s="222"/>
      <c r="BH29" s="548" t="str">
        <f t="shared" si="24"/>
        <v/>
      </c>
      <c r="BI29" s="1128"/>
      <c r="BJ29" s="129" t="str">
        <f t="shared" si="25"/>
        <v>Fiche infoA4</v>
      </c>
      <c r="BK29" s="129">
        <f t="shared" si="49"/>
        <v>50</v>
      </c>
      <c r="BL29" s="129" t="str">
        <f t="shared" si="4"/>
        <v>A</v>
      </c>
      <c r="BM29" s="129">
        <f t="shared" si="50"/>
        <v>4</v>
      </c>
      <c r="BN29" s="223" t="str">
        <f t="shared" si="60"/>
        <v>Fiche info</v>
      </c>
      <c r="BO29" s="314" t="str">
        <f t="shared" si="51"/>
        <v/>
      </c>
      <c r="BP29" s="196" t="str">
        <f t="shared" si="52"/>
        <v/>
      </c>
      <c r="BQ29" s="196"/>
      <c r="BS29" s="2100" t="str">
        <f t="shared" ref="BS29:BS33" si="64">+"Semaine numéro : "&amp;AT5</f>
        <v>Semaine numéro : 50</v>
      </c>
      <c r="BT29" s="2101"/>
      <c r="BU29" s="2101"/>
      <c r="BV29" s="2101"/>
      <c r="BW29" s="2101"/>
      <c r="BX29" s="2102"/>
      <c r="BY29" s="1115"/>
      <c r="BZ29" s="656">
        <f t="shared" ref="BZ29:BZ33" si="65">+IF(BY29="",IF(AND(CC29&gt;0,CB29&gt;0),CC29+CB29,IF(CD29&gt;0,0,CB29)),BY29)</f>
        <v>0</v>
      </c>
      <c r="CA29" s="655">
        <f t="shared" si="62"/>
        <v>0</v>
      </c>
      <c r="CB29" s="196">
        <f t="shared" si="63"/>
        <v>0</v>
      </c>
      <c r="CC29" s="574">
        <f>+SUMIF(Novembre!$BK$20:$BK$50,AT5,Novembre!$AM$20:$AO$50)</f>
        <v>0</v>
      </c>
      <c r="CD29" s="574"/>
      <c r="CE29" s="574" t="str">
        <f t="shared" ref="CE29:CE33" si="66">+$BY$2&amp;AU5</f>
        <v>Fiche infoA</v>
      </c>
      <c r="CF29" s="574">
        <f ca="1">+SUMIF(S.CAL!$ED$1:$EI$897,Décembre!CE29,S.CAL!$EI$1:$EI$897)-(SUMIF($BK$20:$BK$50,AT5,$BC$20:$BC$50))</f>
        <v>0</v>
      </c>
      <c r="CG29" s="574">
        <f t="shared" ref="CG29:CG33" si="67">+SUMIF($BK$20:$BK$50,CH29,$GG$20:$GG$52)</f>
        <v>0</v>
      </c>
      <c r="CH29" s="574">
        <f t="shared" ref="CH29:CH33" si="68">+AT5</f>
        <v>50</v>
      </c>
      <c r="CI29" s="574">
        <f t="shared" ref="CI29:CI33" ca="1" si="69">+CF29-CG29</f>
        <v>0</v>
      </c>
      <c r="CJ29" s="1576" t="b">
        <f t="shared" ref="CJ29:CJ33" si="70">+IF(AND(CG29&gt;0,CH30=""),TRUE,FALSE)</f>
        <v>0</v>
      </c>
      <c r="CK29" s="1574"/>
      <c r="CL29" s="1574"/>
      <c r="CM29" s="223"/>
      <c r="CN29" s="223"/>
      <c r="CO29" s="223"/>
      <c r="CP29" s="223"/>
      <c r="CQ29" s="223"/>
      <c r="CR29" s="223"/>
      <c r="CS29" s="223"/>
      <c r="CT29" s="223"/>
      <c r="CU29" s="223"/>
      <c r="CV29" s="223"/>
      <c r="CW29" s="223"/>
      <c r="CX29" s="223"/>
      <c r="CY29" s="223"/>
      <c r="CZ29" s="223"/>
      <c r="DA29" s="223"/>
      <c r="DB29" s="223"/>
      <c r="DC29" s="223"/>
      <c r="DD29" s="196"/>
      <c r="DF29" s="740"/>
      <c r="DG29" s="740"/>
      <c r="DH29" s="740"/>
      <c r="DJ29" s="402" t="s">
        <v>1031</v>
      </c>
      <c r="DK29" s="766" t="e">
        <f>+ROUNDDOWN(DK27+DK28+DM28,Identification!B121)</f>
        <v>#DIV/0!</v>
      </c>
      <c r="DL29" s="736" t="s">
        <v>990</v>
      </c>
      <c r="DM29" s="315">
        <f>+IF(AL14,T32/AL14,0)</f>
        <v>0</v>
      </c>
      <c r="DN29" s="736"/>
      <c r="DO29" s="1514" t="s">
        <v>1596</v>
      </c>
      <c r="DP29" s="315">
        <f>+VLOOKUP(DP4,base_donné_contrat,21,FALSE)</f>
        <v>0</v>
      </c>
      <c r="DQ29" s="736"/>
      <c r="DR29" s="736"/>
      <c r="DS29" s="736"/>
      <c r="DT29" s="736"/>
      <c r="DU29" s="315">
        <f>IF(AND(SUM(AD29:AL29)&lt;=$DL$3,SUM(AD29:AL29)&gt;0,$CC$44=S.CAL!$BC$3),1,IF(AND(SUM(AD29:AL29)&lt;=$CE$54,SUM(AD29:AL29)&gt;0,$CC$44=S.CAL!$BC$4),1,0))</f>
        <v>0</v>
      </c>
      <c r="DV29" s="315">
        <f>IF(AND(SUM(AD29:AL29)&gt;$DL$3,$CC$44=S.CAL!$BC$3),SUM(AD29:AL29),IF(AND(SUM(AD29:AL29)&gt;$CE$54,$CC$44=S.CAL!$BC$4),SUM(AD29:AL29),IF(AND($CC$44=S.CAL!$BC$5,(SUM(AD29:AL29)*$CE$59)&gt;$CE$47),SUM(AD29:AL29),0)))</f>
        <v>0</v>
      </c>
      <c r="DW29" s="315">
        <f>+IF(AND($CC$44=S.CAL!$BC$5,(SUM(AD29:AL29)*$CE$59)&lt;=$CE$47),DX29,0)</f>
        <v>0</v>
      </c>
      <c r="DX29" s="315">
        <f>IF(AND(SUM(AD29:AL29)&lt;=DL3,SUM(AD29:AL29)&gt;0),1,0)</f>
        <v>0</v>
      </c>
      <c r="DY29" s="315">
        <f>IF(AND(SUM(AD29:AL29)&gt;DL3),SUM(AD29:AL29),0)</f>
        <v>0</v>
      </c>
      <c r="EA29" s="315">
        <f t="shared" si="8"/>
        <v>0</v>
      </c>
      <c r="EB29" s="315">
        <f t="shared" si="9"/>
        <v>0</v>
      </c>
      <c r="EE29" s="402" t="s">
        <v>1644</v>
      </c>
      <c r="EI29" s="315" t="e">
        <f>+EI28/EI19*2</f>
        <v>#DIV/0!</v>
      </c>
      <c r="EQ29" s="783">
        <f t="shared" si="53"/>
        <v>46366</v>
      </c>
      <c r="ER29" s="784">
        <f t="shared" si="10"/>
        <v>0</v>
      </c>
      <c r="ES29" s="785">
        <f t="shared" si="11"/>
        <v>0</v>
      </c>
      <c r="ET29" s="784">
        <f t="shared" si="12"/>
        <v>0</v>
      </c>
      <c r="EU29" s="785">
        <f t="shared" si="13"/>
        <v>0</v>
      </c>
      <c r="EV29" s="784" t="str">
        <f t="shared" si="14"/>
        <v/>
      </c>
      <c r="EW29" s="751">
        <f t="shared" si="28"/>
        <v>46366</v>
      </c>
      <c r="EX29" s="759" t="str">
        <f>IFERROR(IF(AND(AZ29="",AR29&lt;&gt;S.CAL!$BJ$3,AR29&lt;&gt;S.CAL!$BJ$4),FS29-BC29,IF(AZ29&lt;&gt;0,AZ29,IF(OR(AR29=S.CAL!$BJ$3,AR29=S.CAL!$BJ$4),AR29,0))),"")</f>
        <v/>
      </c>
      <c r="EY29" s="753">
        <f t="shared" si="54"/>
        <v>0</v>
      </c>
      <c r="EZ29" s="736">
        <f t="shared" si="55"/>
        <v>0</v>
      </c>
      <c r="FA29" s="759" t="str">
        <f t="shared" si="31"/>
        <v/>
      </c>
      <c r="FB29" s="754" t="str">
        <f t="shared" si="15"/>
        <v/>
      </c>
      <c r="FC29" s="315" t="str">
        <f t="shared" si="56"/>
        <v>non</v>
      </c>
      <c r="FD29" s="760">
        <f t="shared" si="16"/>
        <v>0</v>
      </c>
      <c r="FG29" s="315" t="str">
        <f t="shared" si="57"/>
        <v/>
      </c>
      <c r="FJ29" s="315">
        <f t="shared" si="58"/>
        <v>1</v>
      </c>
      <c r="FK29" s="129">
        <f t="shared" si="17"/>
        <v>10</v>
      </c>
      <c r="FL29" s="129">
        <f t="shared" si="35"/>
        <v>1</v>
      </c>
      <c r="FN29" s="129">
        <f>+IF(AND($DP$8&lt;&gt;52,AR29=S.CAL!$BJ$4),10,1)</f>
        <v>1</v>
      </c>
      <c r="FP29" s="129">
        <f t="shared" si="18"/>
        <v>0</v>
      </c>
      <c r="FS29" s="223" t="str">
        <f t="shared" si="61"/>
        <v/>
      </c>
      <c r="FZ29" s="129">
        <f t="shared" si="37"/>
        <v>50</v>
      </c>
      <c r="GA29" s="129">
        <f t="shared" si="38"/>
        <v>2026</v>
      </c>
      <c r="GB29" s="129" t="str">
        <f t="shared" si="39"/>
        <v>502026</v>
      </c>
      <c r="GC29" s="223">
        <f t="shared" si="40"/>
        <v>0</v>
      </c>
      <c r="GF29" s="223" t="str">
        <f t="shared" si="41"/>
        <v/>
      </c>
      <c r="GG29" s="1446" t="str">
        <f>+'Retenue Déc'!D27</f>
        <v/>
      </c>
      <c r="GH29" s="1446">
        <f>IF(Identification!$B$132="Non",+'Retenue Déc'!BF27,+'Retenue Déc'!BE27)</f>
        <v>0</v>
      </c>
      <c r="GJ29" s="1507" t="str">
        <f t="shared" si="42"/>
        <v/>
      </c>
      <c r="GK29" s="223" t="str">
        <f t="shared" si="43"/>
        <v/>
      </c>
      <c r="GL29" s="223" t="str">
        <f t="shared" si="44"/>
        <v/>
      </c>
      <c r="GM29" s="1506">
        <f t="shared" si="45"/>
        <v>0</v>
      </c>
      <c r="GO29" s="129">
        <f t="shared" si="19"/>
        <v>0</v>
      </c>
      <c r="GP29" s="129" t="str">
        <f t="shared" si="46"/>
        <v/>
      </c>
      <c r="GQ29" s="1446" t="str">
        <f t="shared" si="47"/>
        <v/>
      </c>
    </row>
    <row r="30" spans="1:199" x14ac:dyDescent="0.2">
      <c r="A30" s="2246"/>
      <c r="B30" s="2112" t="s">
        <v>1471</v>
      </c>
      <c r="C30" s="2248"/>
      <c r="D30" s="2248"/>
      <c r="E30" s="2248"/>
      <c r="F30" s="2248"/>
      <c r="G30" s="2248"/>
      <c r="H30" s="2248"/>
      <c r="I30" s="2248"/>
      <c r="J30" s="2248"/>
      <c r="K30" s="2249"/>
      <c r="L30" s="2242"/>
      <c r="M30" s="1786"/>
      <c r="N30" s="1786"/>
      <c r="O30" s="1787"/>
      <c r="P30" s="2139"/>
      <c r="Q30" s="1754"/>
      <c r="R30" s="1754"/>
      <c r="S30" s="1755"/>
      <c r="T30" s="1753">
        <f>ROUND(+IF(AND(L30="",DP8&lt;&gt;52,BY8="NON"),IFERROR(VLOOKUP(X3,Bddconge,4,FALSE),0),IF(AND(L30="",DP8=52,BY8="NON"),IFERROR(VLOOKUP(X3,Bddconge,3,FALSE),0),L30)),2)</f>
        <v>0</v>
      </c>
      <c r="U30" s="1754"/>
      <c r="V30" s="1754"/>
      <c r="W30" s="1755"/>
      <c r="X30" s="221"/>
      <c r="Y30" s="221"/>
      <c r="Z30" s="221"/>
      <c r="AA30" s="885" t="str">
        <f>IF(AND(BE30="OUI",$AR$13=S.CAL!$CU$2),"►",IF(AND(EV30="OUI",$AR$13=S.CAL!$CU$3),"►",""))</f>
        <v/>
      </c>
      <c r="AB30" s="1760">
        <f>+$X$3+10</f>
        <v>46367</v>
      </c>
      <c r="AC30" s="1761">
        <f>+$D$6+10</f>
        <v>10</v>
      </c>
      <c r="AD30" s="1748" t="str">
        <f>+IF(AND($AR$13=S.CAL!$CU$2,EX30&lt;&gt;0),EX30,IF(AND($AR$13=S.CAL!$CU$3,ER30&lt;&gt;0),ER30,0))</f>
        <v/>
      </c>
      <c r="AE30" s="1748"/>
      <c r="AF30" s="1748"/>
      <c r="AG30" s="1748" t="str">
        <f>+IF(AND($AR$13=S.CAL!$CU$2,EY30&lt;&gt;0),EY30,IF(AND($AR$13=S.CAL!$CU$3,ES30&lt;&gt;0),ES30,""))</f>
        <v/>
      </c>
      <c r="AH30" s="1748"/>
      <c r="AI30" s="1748"/>
      <c r="AJ30" s="1748" t="str">
        <f>+IF(AND($AR$13=S.CAL!$CU$2,EZ30&lt;&gt;0),EZ30,IF(AND($AR$13=S.CAL!$CU$3,ET30&lt;&gt;0),ET30,""))</f>
        <v/>
      </c>
      <c r="AK30" s="1748"/>
      <c r="AL30" s="1748"/>
      <c r="AM30" s="1748" t="str">
        <f>+IF(AND($AR$13=S.CAL!$CU$2,FA30&lt;&gt;0),FA30,IF(AND($AR$13=S.CAL!$CU$3,EU30&lt;&gt;0),EU30,""))</f>
        <v/>
      </c>
      <c r="AN30" s="1748"/>
      <c r="AO30" s="1784"/>
      <c r="AP30" s="215" t="str">
        <f t="shared" si="48"/>
        <v/>
      </c>
      <c r="AQ30" s="322"/>
      <c r="AR30" s="1104"/>
      <c r="AS30" s="314">
        <f t="shared" si="3"/>
        <v>0</v>
      </c>
      <c r="AT30" s="1125"/>
      <c r="AU30" s="1125"/>
      <c r="AV30" s="314"/>
      <c r="AW30" s="1791">
        <f t="shared" si="21"/>
        <v>46367</v>
      </c>
      <c r="AX30" s="1761"/>
      <c r="AY30" s="314"/>
      <c r="AZ30" s="1104"/>
      <c r="BA30" s="973"/>
      <c r="BB30" s="543"/>
      <c r="BC30" s="548">
        <f t="shared" si="22"/>
        <v>0</v>
      </c>
      <c r="BD30" s="1104"/>
      <c r="BE30" s="807">
        <f t="shared" si="23"/>
        <v>0</v>
      </c>
      <c r="BF30" s="1128"/>
      <c r="BG30" s="222"/>
      <c r="BH30" s="548" t="str">
        <f t="shared" si="24"/>
        <v/>
      </c>
      <c r="BI30" s="1128"/>
      <c r="BJ30" s="129" t="str">
        <f t="shared" si="25"/>
        <v>Fiche infoA5</v>
      </c>
      <c r="BK30" s="129">
        <f t="shared" si="49"/>
        <v>50</v>
      </c>
      <c r="BL30" s="129" t="str">
        <f t="shared" si="4"/>
        <v>A</v>
      </c>
      <c r="BM30" s="129">
        <f t="shared" si="50"/>
        <v>5</v>
      </c>
      <c r="BN30" s="223" t="str">
        <f t="shared" si="60"/>
        <v>Fiche info</v>
      </c>
      <c r="BO30" s="314" t="str">
        <f t="shared" si="51"/>
        <v/>
      </c>
      <c r="BP30" s="196" t="str">
        <f t="shared" si="52"/>
        <v/>
      </c>
      <c r="BQ30" s="196"/>
      <c r="BS30" s="2100" t="str">
        <f t="shared" si="64"/>
        <v>Semaine numéro : 51</v>
      </c>
      <c r="BT30" s="2101"/>
      <c r="BU30" s="2101"/>
      <c r="BV30" s="2101"/>
      <c r="BW30" s="2101"/>
      <c r="BX30" s="2102"/>
      <c r="BY30" s="1115"/>
      <c r="BZ30" s="656">
        <f t="shared" si="65"/>
        <v>0</v>
      </c>
      <c r="CA30" s="655">
        <f t="shared" si="62"/>
        <v>0</v>
      </c>
      <c r="CB30" s="196">
        <f t="shared" si="63"/>
        <v>0</v>
      </c>
      <c r="CC30" s="574">
        <f>+SUMIF(Novembre!$BK$20:$BK$50,AT6,Novembre!$AM$20:$AO$50)</f>
        <v>0</v>
      </c>
      <c r="CD30" s="574"/>
      <c r="CE30" s="574" t="str">
        <f t="shared" si="66"/>
        <v>Fiche infoA</v>
      </c>
      <c r="CF30" s="574">
        <f ca="1">+SUMIF(S.CAL!$ED$1:$EI$897,Décembre!CE30,S.CAL!$EI$1:$EI$897)-(SUMIF($BK$20:$BK$50,AT6,$BC$20:$BC$50))</f>
        <v>0</v>
      </c>
      <c r="CG30" s="574">
        <f t="shared" si="67"/>
        <v>0</v>
      </c>
      <c r="CH30" s="574">
        <f t="shared" si="68"/>
        <v>51</v>
      </c>
      <c r="CI30" s="574">
        <f t="shared" ca="1" si="69"/>
        <v>0</v>
      </c>
      <c r="CJ30" s="1576" t="b">
        <f t="shared" si="70"/>
        <v>0</v>
      </c>
      <c r="CK30" s="1574"/>
      <c r="CL30" s="1574"/>
      <c r="CM30" s="223"/>
      <c r="CN30" s="223"/>
      <c r="CO30" s="223"/>
      <c r="CP30" s="223"/>
      <c r="CQ30" s="223"/>
      <c r="CR30" s="223"/>
      <c r="CS30" s="223"/>
      <c r="CT30" s="223"/>
      <c r="CU30" s="223"/>
      <c r="CV30" s="223"/>
      <c r="CW30" s="223"/>
      <c r="CX30" s="223"/>
      <c r="CY30" s="223"/>
      <c r="CZ30" s="223"/>
      <c r="DA30" s="223"/>
      <c r="DB30" s="223"/>
      <c r="DC30" s="223"/>
      <c r="DD30" s="196"/>
      <c r="DF30" s="740"/>
      <c r="DG30" s="740"/>
      <c r="DH30" s="740"/>
      <c r="DJ30" s="761" t="s">
        <v>150</v>
      </c>
      <c r="DK30" s="738">
        <f>IF(Identification!B126="Net",+DK25/BY4,IF(Identification!B126="Brut",+DK25,"erreur"))</f>
        <v>0</v>
      </c>
      <c r="DL30" s="736"/>
      <c r="DN30" s="736"/>
      <c r="DO30" s="1514" t="s">
        <v>1695</v>
      </c>
      <c r="DP30" s="315">
        <f>+VLOOKUP(DP4,base_donné_contrat,22,FALSE)</f>
        <v>0</v>
      </c>
      <c r="DQ30" s="736"/>
      <c r="DR30" s="736"/>
      <c r="DS30" s="736"/>
      <c r="DT30" s="736"/>
      <c r="DU30" s="315">
        <f>IF(AND(SUM(AD30:AL30)&lt;=$DL$3,SUM(AD30:AL30)&gt;0,$CC$44=S.CAL!$BC$3),1,IF(AND(SUM(AD30:AL30)&lt;=$CE$54,SUM(AD30:AL30)&gt;0,$CC$44=S.CAL!$BC$4),1,0))</f>
        <v>0</v>
      </c>
      <c r="DV30" s="315">
        <f>IF(AND(SUM(AD30:AL30)&gt;$DL$3,$CC$44=S.CAL!$BC$3),SUM(AD30:AL30),IF(AND(SUM(AD30:AL30)&gt;$CE$54,$CC$44=S.CAL!$BC$4),SUM(AD30:AL30),IF(AND($CC$44=S.CAL!$BC$5,(SUM(AD30:AL30)*$CE$59)&gt;$CE$47),SUM(AD30:AL30),0)))</f>
        <v>0</v>
      </c>
      <c r="DW30" s="315">
        <f>+IF(AND($CC$44=S.CAL!$BC$5,(SUM(AD30:AL30)*$CE$59)&lt;=$CE$47),DX30,0)</f>
        <v>0</v>
      </c>
      <c r="DX30" s="315">
        <f>IF(AND(SUM(AD30:AL30)&lt;=DL3,SUM(AD30:AL30)&gt;0),1,0)</f>
        <v>0</v>
      </c>
      <c r="DY30" s="315">
        <f>IF(AND(SUM(AD30:AL30)&gt;DL3),SUM(AD30:AL30),0)</f>
        <v>0</v>
      </c>
      <c r="EA30" s="315">
        <f t="shared" si="8"/>
        <v>0</v>
      </c>
      <c r="EB30" s="315">
        <f t="shared" si="9"/>
        <v>0</v>
      </c>
      <c r="EQ30" s="783">
        <f t="shared" si="53"/>
        <v>46367</v>
      </c>
      <c r="ER30" s="784">
        <f t="shared" si="10"/>
        <v>0</v>
      </c>
      <c r="ES30" s="785">
        <f t="shared" si="11"/>
        <v>0</v>
      </c>
      <c r="ET30" s="784">
        <f t="shared" si="12"/>
        <v>0</v>
      </c>
      <c r="EU30" s="785">
        <f t="shared" si="13"/>
        <v>0</v>
      </c>
      <c r="EV30" s="784" t="str">
        <f t="shared" si="14"/>
        <v/>
      </c>
      <c r="EW30" s="751">
        <f t="shared" si="28"/>
        <v>46367</v>
      </c>
      <c r="EX30" s="759" t="str">
        <f>IFERROR(IF(AND(AZ30="",AR30&lt;&gt;S.CAL!$BJ$3,AR30&lt;&gt;S.CAL!$BJ$4),FS30-BC30,IF(AZ30&lt;&gt;0,AZ30,IF(OR(AR30=S.CAL!$BJ$3,AR30=S.CAL!$BJ$4),AR30,0))),"")</f>
        <v/>
      </c>
      <c r="EY30" s="753">
        <f t="shared" si="54"/>
        <v>0</v>
      </c>
      <c r="EZ30" s="736">
        <f t="shared" si="55"/>
        <v>0</v>
      </c>
      <c r="FA30" s="759" t="str">
        <f t="shared" si="31"/>
        <v/>
      </c>
      <c r="FB30" s="754" t="str">
        <f t="shared" si="15"/>
        <v/>
      </c>
      <c r="FC30" s="315" t="str">
        <f t="shared" si="56"/>
        <v>non</v>
      </c>
      <c r="FD30" s="760">
        <f t="shared" si="16"/>
        <v>0</v>
      </c>
      <c r="FG30" s="315" t="str">
        <f t="shared" si="57"/>
        <v/>
      </c>
      <c r="FJ30" s="315">
        <f t="shared" si="58"/>
        <v>1</v>
      </c>
      <c r="FK30" s="129">
        <f t="shared" si="17"/>
        <v>10</v>
      </c>
      <c r="FL30" s="129">
        <f t="shared" si="35"/>
        <v>1</v>
      </c>
      <c r="FN30" s="129">
        <f>+IF(AND($DP$8&lt;&gt;52,AR30=S.CAL!$BJ$4),10,1)</f>
        <v>1</v>
      </c>
      <c r="FP30" s="129">
        <f t="shared" si="18"/>
        <v>0</v>
      </c>
      <c r="FS30" s="223" t="str">
        <f t="shared" si="61"/>
        <v/>
      </c>
      <c r="FZ30" s="129">
        <f t="shared" si="37"/>
        <v>50</v>
      </c>
      <c r="GA30" s="129">
        <f t="shared" si="38"/>
        <v>2026</v>
      </c>
      <c r="GB30" s="129" t="str">
        <f t="shared" si="39"/>
        <v>502026</v>
      </c>
      <c r="GC30" s="223">
        <f t="shared" si="40"/>
        <v>0</v>
      </c>
      <c r="GF30" s="223" t="str">
        <f t="shared" si="41"/>
        <v/>
      </c>
      <c r="GG30" s="1446" t="str">
        <f>+'Retenue Déc'!D28</f>
        <v/>
      </c>
      <c r="GH30" s="1446">
        <f>IF(Identification!$B$132="Non",+'Retenue Déc'!BF28,+'Retenue Déc'!BE28)</f>
        <v>0</v>
      </c>
      <c r="GJ30" s="1507" t="str">
        <f t="shared" si="42"/>
        <v/>
      </c>
      <c r="GK30" s="223" t="str">
        <f t="shared" si="43"/>
        <v/>
      </c>
      <c r="GL30" s="223" t="str">
        <f t="shared" si="44"/>
        <v/>
      </c>
      <c r="GM30" s="1506">
        <f t="shared" si="45"/>
        <v>0</v>
      </c>
      <c r="GO30" s="129">
        <f t="shared" si="19"/>
        <v>0</v>
      </c>
      <c r="GP30" s="129" t="str">
        <f t="shared" si="46"/>
        <v/>
      </c>
      <c r="GQ30" s="1446" t="str">
        <f t="shared" si="47"/>
        <v/>
      </c>
    </row>
    <row r="31" spans="1:199" x14ac:dyDescent="0.2">
      <c r="A31" s="2246"/>
      <c r="B31" s="2112" t="s">
        <v>50</v>
      </c>
      <c r="C31" s="2113"/>
      <c r="D31" s="2113"/>
      <c r="E31" s="2113"/>
      <c r="F31" s="2113"/>
      <c r="G31" s="2113"/>
      <c r="H31" s="2113"/>
      <c r="I31" s="2113"/>
      <c r="J31" s="2113"/>
      <c r="K31" s="2114"/>
      <c r="L31" s="1785"/>
      <c r="M31" s="1786"/>
      <c r="N31" s="1786"/>
      <c r="O31" s="1787"/>
      <c r="P31" s="1756"/>
      <c r="Q31" s="1754"/>
      <c r="R31" s="1754"/>
      <c r="S31" s="1755"/>
      <c r="T31" s="1753">
        <f>IF(AD137&lt;0,0,AD137)</f>
        <v>0</v>
      </c>
      <c r="U31" s="1754"/>
      <c r="V31" s="1754"/>
      <c r="W31" s="1755"/>
      <c r="X31" s="221"/>
      <c r="Y31" s="221"/>
      <c r="Z31" s="221"/>
      <c r="AA31" s="885" t="str">
        <f>IF(AND(BE31="OUI",$AR$13=S.CAL!$CU$2),"►",IF(AND(EV31="OUI",$AR$13=S.CAL!$CU$3),"►",""))</f>
        <v/>
      </c>
      <c r="AB31" s="1760">
        <f>+$X$3+11</f>
        <v>46368</v>
      </c>
      <c r="AC31" s="1761">
        <f>+$D$6+11</f>
        <v>11</v>
      </c>
      <c r="AD31" s="1748" t="str">
        <f>+IF(AND($AR$13=S.CAL!$CU$2,EX31&lt;&gt;0),EX31,IF(AND($AR$13=S.CAL!$CU$3,ER31&lt;&gt;0),ER31,0))</f>
        <v/>
      </c>
      <c r="AE31" s="1748"/>
      <c r="AF31" s="1748"/>
      <c r="AG31" s="1748" t="str">
        <f>+IF(AND($AR$13=S.CAL!$CU$2,EY31&lt;&gt;0),EY31,IF(AND($AR$13=S.CAL!$CU$3,ES31&lt;&gt;0),ES31,""))</f>
        <v/>
      </c>
      <c r="AH31" s="1748"/>
      <c r="AI31" s="1748"/>
      <c r="AJ31" s="1748" t="str">
        <f>+IF(AND($AR$13=S.CAL!$CU$2,EZ31&lt;&gt;0),EZ31,IF(AND($AR$13=S.CAL!$CU$3,ET31&lt;&gt;0),ET31,""))</f>
        <v/>
      </c>
      <c r="AK31" s="1748"/>
      <c r="AL31" s="1748"/>
      <c r="AM31" s="1748" t="str">
        <f>+IF(AND($AR$13=S.CAL!$CU$2,FA31&lt;&gt;0),FA31,IF(AND($AR$13=S.CAL!$CU$3,EU31&lt;&gt;0),EU31,""))</f>
        <v/>
      </c>
      <c r="AN31" s="1748"/>
      <c r="AO31" s="1784"/>
      <c r="AP31" s="215" t="str">
        <f t="shared" si="48"/>
        <v/>
      </c>
      <c r="AQ31" s="322"/>
      <c r="AR31" s="1104"/>
      <c r="AS31" s="314">
        <f t="shared" si="3"/>
        <v>0</v>
      </c>
      <c r="AT31" s="1125"/>
      <c r="AU31" s="1125"/>
      <c r="AV31" s="314"/>
      <c r="AW31" s="1791">
        <f t="shared" si="21"/>
        <v>46368</v>
      </c>
      <c r="AX31" s="1761"/>
      <c r="AY31" s="314"/>
      <c r="AZ31" s="1104"/>
      <c r="BA31" s="973"/>
      <c r="BB31" s="543"/>
      <c r="BC31" s="548">
        <f t="shared" si="22"/>
        <v>0</v>
      </c>
      <c r="BD31" s="1104"/>
      <c r="BE31" s="807">
        <f t="shared" si="23"/>
        <v>0</v>
      </c>
      <c r="BF31" s="1128"/>
      <c r="BG31" s="222"/>
      <c r="BH31" s="548" t="str">
        <f t="shared" si="24"/>
        <v/>
      </c>
      <c r="BI31" s="1128"/>
      <c r="BJ31" s="129" t="str">
        <f t="shared" si="25"/>
        <v>Fiche infoA6</v>
      </c>
      <c r="BK31" s="129">
        <f t="shared" si="49"/>
        <v>50</v>
      </c>
      <c r="BL31" s="129" t="str">
        <f t="shared" si="4"/>
        <v>A</v>
      </c>
      <c r="BM31" s="129">
        <f t="shared" si="50"/>
        <v>6</v>
      </c>
      <c r="BN31" s="223" t="str">
        <f t="shared" si="60"/>
        <v>Fiche info</v>
      </c>
      <c r="BO31" s="314" t="str">
        <f t="shared" si="51"/>
        <v/>
      </c>
      <c r="BP31" s="196" t="str">
        <f t="shared" si="52"/>
        <v/>
      </c>
      <c r="BQ31" s="196"/>
      <c r="BS31" s="2100" t="str">
        <f t="shared" si="64"/>
        <v>Semaine numéro : 52</v>
      </c>
      <c r="BT31" s="2101"/>
      <c r="BU31" s="2101"/>
      <c r="BV31" s="2101"/>
      <c r="BW31" s="2101"/>
      <c r="BX31" s="2102"/>
      <c r="BY31" s="1115"/>
      <c r="BZ31" s="656">
        <f t="shared" si="65"/>
        <v>0</v>
      </c>
      <c r="CA31" s="655">
        <f t="shared" si="62"/>
        <v>0</v>
      </c>
      <c r="CB31" s="196">
        <f t="shared" si="63"/>
        <v>0</v>
      </c>
      <c r="CC31" s="574">
        <f>+SUMIF(Novembre!$BK$20:$BK$50,AT7,Novembre!$AM$20:$AO$50)</f>
        <v>0</v>
      </c>
      <c r="CD31" s="574"/>
      <c r="CE31" s="574" t="str">
        <f t="shared" si="66"/>
        <v>Fiche infoA</v>
      </c>
      <c r="CF31" s="574">
        <f ca="1">+SUMIF(S.CAL!$ED$1:$EI$897,Décembre!CE31,S.CAL!$EI$1:$EI$897)-(SUMIF($BK$20:$BK$50,AT7,$BC$20:$BC$50))</f>
        <v>0</v>
      </c>
      <c r="CG31" s="574">
        <f t="shared" si="67"/>
        <v>0</v>
      </c>
      <c r="CH31" s="574">
        <f t="shared" si="68"/>
        <v>52</v>
      </c>
      <c r="CI31" s="574">
        <f t="shared" ca="1" si="69"/>
        <v>0</v>
      </c>
      <c r="CJ31" s="1576" t="b">
        <f t="shared" si="70"/>
        <v>0</v>
      </c>
      <c r="CK31" s="1574"/>
      <c r="CL31" s="1574"/>
      <c r="CM31" s="223"/>
      <c r="CN31" s="223"/>
      <c r="CO31" s="223"/>
      <c r="CP31" s="223"/>
      <c r="CQ31" s="223"/>
      <c r="CR31" s="223"/>
      <c r="CS31" s="223"/>
      <c r="CT31" s="223"/>
      <c r="CU31" s="223"/>
      <c r="CV31" s="223"/>
      <c r="CW31" s="223"/>
      <c r="CX31" s="223"/>
      <c r="CY31" s="223"/>
      <c r="CZ31" s="223"/>
      <c r="DA31" s="223"/>
      <c r="DB31" s="223"/>
      <c r="DC31" s="223"/>
      <c r="DD31" s="196"/>
      <c r="DF31" s="740"/>
      <c r="DG31" s="740"/>
      <c r="DH31" s="740"/>
      <c r="DJ31" s="761" t="s">
        <v>1032</v>
      </c>
      <c r="DK31" s="738">
        <f>IF(Identification!B126="Net",IF(H59&gt;0,+(DK25-(DK29*DK26))/BY4,0),IF(Identification!B126="Brut",IF(H59&gt;0,+(DK25-(DK29*DK26)),0),"erreur"))</f>
        <v>0</v>
      </c>
      <c r="DL31" s="736"/>
      <c r="DN31" s="736"/>
      <c r="DO31" s="736"/>
      <c r="DP31" s="736"/>
      <c r="DQ31" s="736"/>
      <c r="DR31" s="736"/>
      <c r="DS31" s="736"/>
      <c r="DT31" s="736"/>
      <c r="DU31" s="315">
        <f>IF(AND(SUM(AD31:AL31)&lt;=$DL$3,SUM(AD31:AL31)&gt;0,$CC$44=S.CAL!$BC$3),1,IF(AND(SUM(AD31:AL31)&lt;=$CE$54,SUM(AD31:AL31)&gt;0,$CC$44=S.CAL!$BC$4),1,0))</f>
        <v>0</v>
      </c>
      <c r="DV31" s="315">
        <f>IF(AND(SUM(AD31:AL31)&gt;$DL$3,$CC$44=S.CAL!$BC$3),SUM(AD31:AL31),IF(AND(SUM(AD31:AL31)&gt;$CE$54,$CC$44=S.CAL!$BC$4),SUM(AD31:AL31),IF(AND($CC$44=S.CAL!$BC$5,(SUM(AD31:AL31)*$CE$59)&gt;$CE$47),SUM(AD31:AL31),0)))</f>
        <v>0</v>
      </c>
      <c r="DW31" s="315">
        <f>+IF(AND($CC$44=S.CAL!$BC$5,(SUM(AD31:AL31)*$CE$59)&lt;=$CE$47),DX31,0)</f>
        <v>0</v>
      </c>
      <c r="DX31" s="315">
        <f>IF(AND(SUM(AD31:AL31)&lt;=DL3,SUM(AD31:AL31)&gt;0),1,0)</f>
        <v>0</v>
      </c>
      <c r="DY31" s="315">
        <f>IF(AND(SUM(AD31:AL31)&gt;DL3),SUM(AD31:AL31),0)</f>
        <v>0</v>
      </c>
      <c r="EA31" s="315">
        <f t="shared" si="8"/>
        <v>0</v>
      </c>
      <c r="EB31" s="315">
        <f t="shared" si="9"/>
        <v>0</v>
      </c>
      <c r="EQ31" s="783">
        <f t="shared" si="53"/>
        <v>46368</v>
      </c>
      <c r="ER31" s="784">
        <f t="shared" si="10"/>
        <v>0</v>
      </c>
      <c r="ES31" s="785">
        <f t="shared" si="11"/>
        <v>0</v>
      </c>
      <c r="ET31" s="784">
        <f t="shared" si="12"/>
        <v>0</v>
      </c>
      <c r="EU31" s="785">
        <f t="shared" si="13"/>
        <v>0</v>
      </c>
      <c r="EV31" s="784" t="str">
        <f t="shared" si="14"/>
        <v/>
      </c>
      <c r="EW31" s="751">
        <f t="shared" si="28"/>
        <v>46368</v>
      </c>
      <c r="EX31" s="759" t="str">
        <f>IFERROR(IF(AND(AZ31="",AR31&lt;&gt;S.CAL!$BJ$3,AR31&lt;&gt;S.CAL!$BJ$4),FS31-BC31,IF(AZ31&lt;&gt;0,AZ31,IF(OR(AR31=S.CAL!$BJ$3,AR31=S.CAL!$BJ$4),AR31,0))),"")</f>
        <v/>
      </c>
      <c r="EY31" s="753">
        <f t="shared" si="54"/>
        <v>0</v>
      </c>
      <c r="EZ31" s="736">
        <f t="shared" si="55"/>
        <v>0</v>
      </c>
      <c r="FA31" s="759" t="str">
        <f t="shared" si="31"/>
        <v/>
      </c>
      <c r="FB31" s="754" t="str">
        <f t="shared" si="15"/>
        <v/>
      </c>
      <c r="FC31" s="315" t="str">
        <f t="shared" si="56"/>
        <v>non</v>
      </c>
      <c r="FD31" s="760">
        <f t="shared" si="16"/>
        <v>0</v>
      </c>
      <c r="FG31" s="315" t="str">
        <f t="shared" si="57"/>
        <v/>
      </c>
      <c r="FJ31" s="315">
        <f t="shared" si="58"/>
        <v>1</v>
      </c>
      <c r="FK31" s="129">
        <f t="shared" si="17"/>
        <v>10</v>
      </c>
      <c r="FL31" s="129">
        <f t="shared" si="35"/>
        <v>1</v>
      </c>
      <c r="FN31" s="129">
        <f>+IF(AND($DP$8&lt;&gt;52,AR31=S.CAL!$BJ$4),10,1)</f>
        <v>1</v>
      </c>
      <c r="FP31" s="129">
        <f t="shared" si="18"/>
        <v>0</v>
      </c>
      <c r="FS31" s="223" t="str">
        <f t="shared" si="61"/>
        <v/>
      </c>
      <c r="FZ31" s="129">
        <f t="shared" si="37"/>
        <v>50</v>
      </c>
      <c r="GA31" s="129">
        <f t="shared" si="38"/>
        <v>2026</v>
      </c>
      <c r="GB31" s="129" t="str">
        <f t="shared" si="39"/>
        <v>502026</v>
      </c>
      <c r="GC31" s="223">
        <f t="shared" si="40"/>
        <v>0</v>
      </c>
      <c r="GF31" s="223" t="str">
        <f t="shared" si="41"/>
        <v/>
      </c>
      <c r="GG31" s="1446" t="str">
        <f>+'Retenue Déc'!D29</f>
        <v/>
      </c>
      <c r="GH31" s="1446">
        <f>IF(Identification!$B$132="Non",+'Retenue Déc'!BF29,+'Retenue Déc'!BE29)</f>
        <v>0</v>
      </c>
      <c r="GJ31" s="1507" t="str">
        <f t="shared" si="42"/>
        <v/>
      </c>
      <c r="GK31" s="223" t="str">
        <f t="shared" si="43"/>
        <v/>
      </c>
      <c r="GL31" s="223" t="str">
        <f t="shared" si="44"/>
        <v/>
      </c>
      <c r="GM31" s="1506">
        <f t="shared" si="45"/>
        <v>0</v>
      </c>
      <c r="GO31" s="129">
        <f t="shared" si="19"/>
        <v>0</v>
      </c>
      <c r="GP31" s="129" t="str">
        <f t="shared" si="46"/>
        <v/>
      </c>
      <c r="GQ31" s="1446" t="str">
        <f t="shared" si="47"/>
        <v/>
      </c>
    </row>
    <row r="32" spans="1:199" x14ac:dyDescent="0.2">
      <c r="A32" s="2246"/>
      <c r="B32" s="2112" t="s">
        <v>464</v>
      </c>
      <c r="C32" s="2113"/>
      <c r="D32" s="2113"/>
      <c r="E32" s="2113"/>
      <c r="F32" s="2113"/>
      <c r="G32" s="2113"/>
      <c r="H32" s="2113"/>
      <c r="I32" s="2113"/>
      <c r="J32" s="2113"/>
      <c r="K32" s="2114"/>
      <c r="L32" s="1785"/>
      <c r="M32" s="1786"/>
      <c r="N32" s="1786"/>
      <c r="O32" s="1787"/>
      <c r="P32" s="1756"/>
      <c r="Q32" s="1754"/>
      <c r="R32" s="1754"/>
      <c r="S32" s="1755"/>
      <c r="T32" s="1753">
        <f>ROUND(+IF(AND(L32="",DP8&lt;&gt;52,BY8="OUI",BY9="O",OR(DP29="NON",DP29=0)),IFERROR(VLOOKUP(X3,Bddconge,6,FALSE),0),IF(AND(L32="",DP8=52,BY8="OUI",BY9="O",OR(DP29="NON",DP29=0)),IFERROR(VLOOKUP(X3,Bddconge,5,FALSE),0),IF(AND(DP29="OUI",BY8="OUI",BY9="O"),IFERROR(VLOOKUP(X3,Bddconge,5,FALSE),0),IF(AND(BY9="FIN",BY8="OUI"),0,L32)))),2)</f>
        <v>0</v>
      </c>
      <c r="U32" s="1754"/>
      <c r="V32" s="1754"/>
      <c r="W32" s="1755"/>
      <c r="X32" s="221"/>
      <c r="Y32" s="221"/>
      <c r="Z32" s="221"/>
      <c r="AA32" s="885" t="str">
        <f>IF(AND(BE32="OUI",$AR$13=S.CAL!$CU$2),"►",IF(AND(EV32="OUI",$AR$13=S.CAL!$CU$3),"►",""))</f>
        <v/>
      </c>
      <c r="AB32" s="1760">
        <f>+$X$3+12</f>
        <v>46369</v>
      </c>
      <c r="AC32" s="1761">
        <f>+$D$6+12</f>
        <v>12</v>
      </c>
      <c r="AD32" s="1748" t="str">
        <f>+IF(AND($AR$13=S.CAL!$CU$2,EX32&lt;&gt;0),EX32,IF(AND($AR$13=S.CAL!$CU$3,ER32&lt;&gt;0),ER32,0))</f>
        <v/>
      </c>
      <c r="AE32" s="1748"/>
      <c r="AF32" s="1748"/>
      <c r="AG32" s="1748" t="str">
        <f>+IF(AND($AR$13=S.CAL!$CU$2,EY32&lt;&gt;0),EY32,IF(AND($AR$13=S.CAL!$CU$3,ES32&lt;&gt;0),ES32,""))</f>
        <v/>
      </c>
      <c r="AH32" s="1748"/>
      <c r="AI32" s="1748"/>
      <c r="AJ32" s="1748" t="str">
        <f>+IF(AND($AR$13=S.CAL!$CU$2,EZ32&lt;&gt;0),EZ32,IF(AND($AR$13=S.CAL!$CU$3,ET32&lt;&gt;0),ET32,""))</f>
        <v/>
      </c>
      <c r="AK32" s="1748"/>
      <c r="AL32" s="1748"/>
      <c r="AM32" s="1748" t="str">
        <f>+IF(AND($AR$13=S.CAL!$CU$2,FA32&lt;&gt;0),FA32,IF(AND($AR$13=S.CAL!$CU$3,EU32&lt;&gt;0),EU32,""))</f>
        <v/>
      </c>
      <c r="AN32" s="1748"/>
      <c r="AO32" s="1784"/>
      <c r="AP32" s="215" t="str">
        <f t="shared" si="48"/>
        <v/>
      </c>
      <c r="AQ32" s="322"/>
      <c r="AR32" s="1104"/>
      <c r="AS32" s="314">
        <f t="shared" si="3"/>
        <v>0</v>
      </c>
      <c r="AT32" s="1125"/>
      <c r="AU32" s="1125"/>
      <c r="AV32" s="314"/>
      <c r="AW32" s="1791">
        <f t="shared" si="21"/>
        <v>46369</v>
      </c>
      <c r="AX32" s="1761"/>
      <c r="AY32" s="314"/>
      <c r="AZ32" s="1104"/>
      <c r="BA32" s="973"/>
      <c r="BB32" s="543"/>
      <c r="BC32" s="548">
        <f t="shared" si="22"/>
        <v>0</v>
      </c>
      <c r="BD32" s="1104"/>
      <c r="BE32" s="807">
        <f t="shared" si="23"/>
        <v>0</v>
      </c>
      <c r="BF32" s="1128"/>
      <c r="BG32" s="222"/>
      <c r="BH32" s="548" t="str">
        <f t="shared" si="24"/>
        <v/>
      </c>
      <c r="BI32" s="1128"/>
      <c r="BJ32" s="129" t="str">
        <f t="shared" si="25"/>
        <v>Fiche infoA7</v>
      </c>
      <c r="BK32" s="129">
        <f t="shared" si="49"/>
        <v>50</v>
      </c>
      <c r="BL32" s="129" t="str">
        <f t="shared" si="4"/>
        <v>A</v>
      </c>
      <c r="BM32" s="129">
        <f t="shared" si="50"/>
        <v>7</v>
      </c>
      <c r="BN32" s="223" t="str">
        <f t="shared" si="60"/>
        <v>Fiche info</v>
      </c>
      <c r="BO32" s="314" t="str">
        <f t="shared" si="51"/>
        <v/>
      </c>
      <c r="BP32" s="196" t="str">
        <f t="shared" si="52"/>
        <v/>
      </c>
      <c r="BQ32" s="196"/>
      <c r="BS32" s="2100" t="str">
        <f t="shared" si="64"/>
        <v>Semaine numéro : 53</v>
      </c>
      <c r="BT32" s="2101"/>
      <c r="BU32" s="2101"/>
      <c r="BV32" s="2101"/>
      <c r="BW32" s="2101"/>
      <c r="BX32" s="2102"/>
      <c r="BY32" s="1115"/>
      <c r="BZ32" s="656">
        <f t="shared" si="65"/>
        <v>0</v>
      </c>
      <c r="CA32" s="655">
        <f t="shared" si="62"/>
        <v>0</v>
      </c>
      <c r="CB32" s="196">
        <f t="shared" si="63"/>
        <v>0</v>
      </c>
      <c r="CC32" s="574">
        <f>+SUMIF(Novembre!$BK$20:$BK$50,AT8,Novembre!$AM$20:$AO$50)</f>
        <v>0</v>
      </c>
      <c r="CD32" s="574"/>
      <c r="CE32" s="574" t="str">
        <f t="shared" si="66"/>
        <v>Fiche infoA</v>
      </c>
      <c r="CF32" s="574">
        <f ca="1">+SUMIF(S.CAL!$ED$1:$EI$897,Décembre!CE32,S.CAL!$EI$1:$EI$897)-(SUMIF($BK$20:$BK$50,AT8,$BC$20:$BC$50))</f>
        <v>0</v>
      </c>
      <c r="CG32" s="574">
        <f t="shared" si="67"/>
        <v>0</v>
      </c>
      <c r="CH32" s="574">
        <f t="shared" si="68"/>
        <v>53</v>
      </c>
      <c r="CI32" s="574">
        <f t="shared" ca="1" si="69"/>
        <v>0</v>
      </c>
      <c r="CJ32" s="1576" t="b">
        <f t="shared" si="70"/>
        <v>0</v>
      </c>
      <c r="CK32" s="1574"/>
      <c r="CL32" s="1574"/>
      <c r="CM32" s="223"/>
      <c r="CN32" s="223"/>
      <c r="CO32" s="223"/>
      <c r="CP32" s="223"/>
      <c r="CQ32" s="223"/>
      <c r="CR32" s="223"/>
      <c r="CS32" s="223"/>
      <c r="CT32" s="223"/>
      <c r="CU32" s="223"/>
      <c r="CV32" s="223"/>
      <c r="CW32" s="223"/>
      <c r="CX32" s="223"/>
      <c r="CY32" s="223"/>
      <c r="CZ32" s="223"/>
      <c r="DA32" s="223"/>
      <c r="DB32" s="223"/>
      <c r="DC32" s="223"/>
      <c r="DD32" s="196"/>
      <c r="DF32" s="740"/>
      <c r="DG32" s="740"/>
      <c r="DH32" s="740"/>
      <c r="DJ32" s="761" t="s">
        <v>152</v>
      </c>
      <c r="DK32" s="738">
        <f>ROUND(DK31*K59,2)</f>
        <v>0</v>
      </c>
      <c r="DL32" s="736"/>
      <c r="DN32" s="736"/>
      <c r="DO32" s="736"/>
      <c r="DP32" s="736"/>
      <c r="DQ32" s="736"/>
      <c r="DR32" s="736"/>
      <c r="DS32" s="736"/>
      <c r="DT32" s="736"/>
      <c r="DU32" s="315">
        <f>IF(AND(SUM(AD32:AL32)&lt;=$DL$3,SUM(AD32:AL32)&gt;0,$CC$44=S.CAL!$BC$3),1,IF(AND(SUM(AD32:AL32)&lt;=$CE$54,SUM(AD32:AL32)&gt;0,$CC$44=S.CAL!$BC$4),1,0))</f>
        <v>0</v>
      </c>
      <c r="DV32" s="315">
        <f>IF(AND(SUM(AD32:AL32)&gt;$DL$3,$CC$44=S.CAL!$BC$3),SUM(AD32:AL32),IF(AND(SUM(AD32:AL32)&gt;$CE$54,$CC$44=S.CAL!$BC$4),SUM(AD32:AL32),IF(AND($CC$44=S.CAL!$BC$5,(SUM(AD32:AL32)*$CE$59)&gt;$CE$47),SUM(AD32:AL32),0)))</f>
        <v>0</v>
      </c>
      <c r="DW32" s="315">
        <f>+IF(AND($CC$44=S.CAL!$BC$5,(SUM(AD32:AL32)*$CE$59)&lt;=$CE$47),DX32,0)</f>
        <v>0</v>
      </c>
      <c r="DX32" s="315">
        <f>IF(AND(SUM(AD32:AL32)&lt;=DL3,SUM(AD32:AL32)&gt;0),1,0)</f>
        <v>0</v>
      </c>
      <c r="DY32" s="315">
        <f>IF(AND(SUM(AD32:AL32)&gt;DL3),SUM(AD32:AL32),0)</f>
        <v>0</v>
      </c>
      <c r="EA32" s="315">
        <f t="shared" si="8"/>
        <v>0</v>
      </c>
      <c r="EB32" s="315">
        <f t="shared" si="9"/>
        <v>0</v>
      </c>
      <c r="EQ32" s="783">
        <f t="shared" si="53"/>
        <v>46369</v>
      </c>
      <c r="ER32" s="784">
        <f t="shared" si="10"/>
        <v>0</v>
      </c>
      <c r="ES32" s="785">
        <f t="shared" si="11"/>
        <v>0</v>
      </c>
      <c r="ET32" s="784">
        <f t="shared" si="12"/>
        <v>0</v>
      </c>
      <c r="EU32" s="785">
        <f t="shared" si="13"/>
        <v>0</v>
      </c>
      <c r="EV32" s="784" t="str">
        <f t="shared" si="14"/>
        <v/>
      </c>
      <c r="EW32" s="751">
        <f t="shared" si="28"/>
        <v>46369</v>
      </c>
      <c r="EX32" s="759" t="str">
        <f>IFERROR(IF(AND(AZ32="",AR32&lt;&gt;S.CAL!$BJ$3,AR32&lt;&gt;S.CAL!$BJ$4),FS32-BC32,IF(AZ32&lt;&gt;0,AZ32,IF(OR(AR32=S.CAL!$BJ$3,AR32=S.CAL!$BJ$4),AR32,0))),"")</f>
        <v/>
      </c>
      <c r="EY32" s="753">
        <f t="shared" si="54"/>
        <v>0</v>
      </c>
      <c r="EZ32" s="736">
        <f t="shared" si="55"/>
        <v>0</v>
      </c>
      <c r="FA32" s="759" t="str">
        <f t="shared" si="31"/>
        <v/>
      </c>
      <c r="FB32" s="754" t="str">
        <f t="shared" si="15"/>
        <v/>
      </c>
      <c r="FC32" s="315" t="str">
        <f t="shared" si="56"/>
        <v>non</v>
      </c>
      <c r="FD32" s="760">
        <f t="shared" si="16"/>
        <v>0</v>
      </c>
      <c r="FG32" s="315" t="str">
        <f t="shared" si="57"/>
        <v/>
      </c>
      <c r="FJ32" s="315">
        <f t="shared" si="58"/>
        <v>1</v>
      </c>
      <c r="FK32" s="129">
        <f t="shared" si="17"/>
        <v>10</v>
      </c>
      <c r="FL32" s="129">
        <f t="shared" si="35"/>
        <v>1</v>
      </c>
      <c r="FN32" s="129">
        <f>+IF(AND($DP$8&lt;&gt;52,AR32=S.CAL!$BJ$4),10,1)</f>
        <v>1</v>
      </c>
      <c r="FP32" s="129">
        <f t="shared" si="18"/>
        <v>0</v>
      </c>
      <c r="FS32" s="223" t="str">
        <f t="shared" si="61"/>
        <v/>
      </c>
      <c r="FZ32" s="129">
        <f t="shared" si="37"/>
        <v>50</v>
      </c>
      <c r="GA32" s="129">
        <f t="shared" si="38"/>
        <v>2026</v>
      </c>
      <c r="GB32" s="129" t="str">
        <f t="shared" si="39"/>
        <v>502026</v>
      </c>
      <c r="GC32" s="223">
        <f t="shared" si="40"/>
        <v>0</v>
      </c>
      <c r="GF32" s="223" t="str">
        <f t="shared" si="41"/>
        <v/>
      </c>
      <c r="GG32" s="1446" t="str">
        <f>+'Retenue Déc'!D30</f>
        <v/>
      </c>
      <c r="GH32" s="1446">
        <f>IF(Identification!$B$132="Non",+'Retenue Déc'!BF30,+'Retenue Déc'!BE30)</f>
        <v>0</v>
      </c>
      <c r="GJ32" s="1507" t="str">
        <f t="shared" si="42"/>
        <v/>
      </c>
      <c r="GK32" s="223" t="str">
        <f t="shared" si="43"/>
        <v/>
      </c>
      <c r="GL32" s="223" t="str">
        <f t="shared" si="44"/>
        <v/>
      </c>
      <c r="GM32" s="1506">
        <f t="shared" si="45"/>
        <v>0</v>
      </c>
      <c r="GO32" s="129">
        <f t="shared" si="19"/>
        <v>0</v>
      </c>
      <c r="GP32" s="129" t="str">
        <f t="shared" si="46"/>
        <v/>
      </c>
      <c r="GQ32" s="1446" t="str">
        <f t="shared" si="47"/>
        <v/>
      </c>
    </row>
    <row r="33" spans="1:199" x14ac:dyDescent="0.2">
      <c r="A33" s="2246"/>
      <c r="B33" s="2112" t="s">
        <v>463</v>
      </c>
      <c r="C33" s="2113"/>
      <c r="D33" s="2113"/>
      <c r="E33" s="2113"/>
      <c r="F33" s="2113"/>
      <c r="G33" s="2113"/>
      <c r="H33" s="2113"/>
      <c r="I33" s="2113"/>
      <c r="J33" s="2113"/>
      <c r="K33" s="2114"/>
      <c r="L33" s="1756"/>
      <c r="M33" s="1754"/>
      <c r="N33" s="1754"/>
      <c r="O33" s="1755"/>
      <c r="P33" s="1756"/>
      <c r="Q33" s="1754"/>
      <c r="R33" s="1754"/>
      <c r="S33" s="1755"/>
      <c r="T33" s="1785"/>
      <c r="U33" s="1786"/>
      <c r="V33" s="1786"/>
      <c r="W33" s="1787"/>
      <c r="X33" s="221"/>
      <c r="Y33" s="221"/>
      <c r="Z33" s="221"/>
      <c r="AA33" s="885" t="str">
        <f>IF(AND(BE33="OUI",$AR$13=S.CAL!$CU$2),"►",IF(AND(EV33="OUI",$AR$13=S.CAL!$CU$3),"►",""))</f>
        <v/>
      </c>
      <c r="AB33" s="1760">
        <f>+$X$3+13</f>
        <v>46370</v>
      </c>
      <c r="AC33" s="1761">
        <f>+$D$6+13</f>
        <v>13</v>
      </c>
      <c r="AD33" s="1748" t="str">
        <f>+IF(AND($AR$13=S.CAL!$CU$2,EX33&lt;&gt;0),EX33,IF(AND($AR$13=S.CAL!$CU$3,ER33&lt;&gt;0),ER33,0))</f>
        <v/>
      </c>
      <c r="AE33" s="1748"/>
      <c r="AF33" s="1748"/>
      <c r="AG33" s="1748" t="str">
        <f>+IF(AND($AR$13=S.CAL!$CU$2,EY33&lt;&gt;0),EY33,IF(AND($AR$13=S.CAL!$CU$3,ES33&lt;&gt;0),ES33,""))</f>
        <v/>
      </c>
      <c r="AH33" s="1748"/>
      <c r="AI33" s="1748"/>
      <c r="AJ33" s="1748" t="str">
        <f>+IF(AND($AR$13=S.CAL!$CU$2,EZ33&lt;&gt;0),EZ33,IF(AND($AR$13=S.CAL!$CU$3,ET33&lt;&gt;0),ET33,""))</f>
        <v/>
      </c>
      <c r="AK33" s="1748"/>
      <c r="AL33" s="1748"/>
      <c r="AM33" s="1748" t="str">
        <f>+IF(AND($AR$13=S.CAL!$CU$2,FA33&lt;&gt;0),FA33,IF(AND($AR$13=S.CAL!$CU$3,EU33&lt;&gt;0),EU33,""))</f>
        <v/>
      </c>
      <c r="AN33" s="1748"/>
      <c r="AO33" s="1784"/>
      <c r="AP33" s="215">
        <f t="shared" si="48"/>
        <v>51</v>
      </c>
      <c r="AQ33" s="322"/>
      <c r="AR33" s="1104"/>
      <c r="AS33" s="314">
        <f t="shared" si="3"/>
        <v>0</v>
      </c>
      <c r="AT33" s="1125"/>
      <c r="AU33" s="1125"/>
      <c r="AV33" s="314"/>
      <c r="AW33" s="1791">
        <f t="shared" si="21"/>
        <v>46370</v>
      </c>
      <c r="AX33" s="1761"/>
      <c r="AY33" s="314"/>
      <c r="AZ33" s="1104"/>
      <c r="BA33" s="973"/>
      <c r="BB33" s="543"/>
      <c r="BC33" s="548">
        <f t="shared" si="22"/>
        <v>0</v>
      </c>
      <c r="BD33" s="1104"/>
      <c r="BE33" s="807">
        <f t="shared" si="23"/>
        <v>0</v>
      </c>
      <c r="BF33" s="1128"/>
      <c r="BG33" s="222"/>
      <c r="BH33" s="548" t="str">
        <f t="shared" si="24"/>
        <v/>
      </c>
      <c r="BI33" s="1128"/>
      <c r="BJ33" s="129" t="str">
        <f t="shared" si="25"/>
        <v>Fiche infoA1</v>
      </c>
      <c r="BK33" s="129">
        <f t="shared" si="49"/>
        <v>51</v>
      </c>
      <c r="BL33" s="129" t="str">
        <f t="shared" si="4"/>
        <v>A</v>
      </c>
      <c r="BM33" s="129">
        <f t="shared" si="50"/>
        <v>1</v>
      </c>
      <c r="BN33" s="223" t="str">
        <f t="shared" si="60"/>
        <v>Fiche info</v>
      </c>
      <c r="BO33" s="314" t="str">
        <f t="shared" si="51"/>
        <v/>
      </c>
      <c r="BP33" s="196" t="str">
        <f t="shared" si="52"/>
        <v/>
      </c>
      <c r="BQ33" s="196"/>
      <c r="BS33" s="2100" t="str">
        <f t="shared" si="64"/>
        <v xml:space="preserve">Semaine numéro : </v>
      </c>
      <c r="BT33" s="2101"/>
      <c r="BU33" s="2101"/>
      <c r="BV33" s="2101"/>
      <c r="BW33" s="2101"/>
      <c r="BX33" s="2102"/>
      <c r="BY33" s="1115"/>
      <c r="BZ33" s="656">
        <f t="shared" si="65"/>
        <v>0</v>
      </c>
      <c r="CA33" s="655">
        <f t="shared" si="62"/>
        <v>0</v>
      </c>
      <c r="CB33" s="196">
        <f t="shared" si="63"/>
        <v>0</v>
      </c>
      <c r="CC33" s="574">
        <f>+SUMIF(Novembre!$BK$20:$BK$50,AT9,Novembre!$AM$20:$AO$50)</f>
        <v>0</v>
      </c>
      <c r="CD33" s="574"/>
      <c r="CE33" s="574" t="str">
        <f t="shared" si="66"/>
        <v>Fiche infoA</v>
      </c>
      <c r="CF33" s="574">
        <f ca="1">+SUMIF(S.CAL!$ED$1:$EI$897,Décembre!CE33,S.CAL!$EI$1:$EI$897)-(SUMIF($BK$20:$BK$50,AT9,$BC$20:$BC$50))</f>
        <v>0</v>
      </c>
      <c r="CG33" s="574">
        <f t="shared" si="67"/>
        <v>0</v>
      </c>
      <c r="CH33" s="574" t="str">
        <f t="shared" si="68"/>
        <v/>
      </c>
      <c r="CI33" s="574">
        <f t="shared" ca="1" si="69"/>
        <v>0</v>
      </c>
      <c r="CJ33" s="1576" t="b">
        <f t="shared" si="70"/>
        <v>0</v>
      </c>
      <c r="CK33" s="1574"/>
      <c r="CL33" s="1574"/>
      <c r="CM33" s="223"/>
      <c r="CN33" s="223"/>
      <c r="CO33" s="223"/>
      <c r="CP33" s="223"/>
      <c r="CQ33" s="223"/>
      <c r="CR33" s="223"/>
      <c r="CS33" s="223"/>
      <c r="CT33" s="223"/>
      <c r="CU33" s="223"/>
      <c r="CV33" s="223"/>
      <c r="CW33" s="223"/>
      <c r="CX33" s="223"/>
      <c r="CY33" s="223"/>
      <c r="CZ33" s="223"/>
      <c r="DA33" s="223"/>
      <c r="DB33" s="223"/>
      <c r="DC33" s="223"/>
      <c r="DD33" s="196"/>
      <c r="DF33" s="740"/>
      <c r="DG33" s="740"/>
      <c r="DH33" s="740"/>
      <c r="DJ33" s="761" t="s">
        <v>153</v>
      </c>
      <c r="DK33" s="738">
        <f>ROUND(+DK25+DK32+N65+N66+N67+N68+N69+N71+N70,2)</f>
        <v>0</v>
      </c>
      <c r="DL33" s="736"/>
      <c r="DN33" s="736"/>
      <c r="DO33" s="736"/>
      <c r="DP33" s="736"/>
      <c r="DQ33" s="736"/>
      <c r="DR33" s="736"/>
      <c r="DS33" s="736"/>
      <c r="DT33" s="736"/>
      <c r="DU33" s="315">
        <f>IF(AND(SUM(AD33:AL33)&lt;=$DL$3,SUM(AD33:AL33)&gt;0,$CC$44=S.CAL!$BC$3),1,IF(AND(SUM(AD33:AL33)&lt;=$CE$54,SUM(AD33:AL33)&gt;0,$CC$44=S.CAL!$BC$4),1,0))</f>
        <v>0</v>
      </c>
      <c r="DV33" s="315">
        <f>IF(AND(SUM(AD33:AL33)&gt;$DL$3,$CC$44=S.CAL!$BC$3),SUM(AD33:AL33),IF(AND(SUM(AD33:AL33)&gt;$CE$54,$CC$44=S.CAL!$BC$4),SUM(AD33:AL33),IF(AND($CC$44=S.CAL!$BC$5,(SUM(AD33:AL33)*$CE$59)&gt;$CE$47),SUM(AD33:AL33),0)))</f>
        <v>0</v>
      </c>
      <c r="DW33" s="315">
        <f>+IF(AND($CC$44=S.CAL!$BC$5,(SUM(AD33:AL33)*$CE$59)&lt;=$CE$47),DX33,0)</f>
        <v>0</v>
      </c>
      <c r="DX33" s="315">
        <f>IF(AND(SUM(AD33:AL33)&lt;=DL3,SUM(AD33:AL33)&gt;0),1,0)</f>
        <v>0</v>
      </c>
      <c r="DY33" s="315">
        <f>IF(AND(SUM(AD33:AL33)&gt;DL3),SUM(AD33:AL33),0)</f>
        <v>0</v>
      </c>
      <c r="EA33" s="315">
        <f t="shared" si="8"/>
        <v>0</v>
      </c>
      <c r="EB33" s="315">
        <f t="shared" si="9"/>
        <v>0</v>
      </c>
      <c r="EQ33" s="783">
        <f t="shared" si="53"/>
        <v>46370</v>
      </c>
      <c r="ER33" s="784">
        <f t="shared" si="10"/>
        <v>0</v>
      </c>
      <c r="ES33" s="785">
        <f t="shared" si="11"/>
        <v>0</v>
      </c>
      <c r="ET33" s="784">
        <f t="shared" si="12"/>
        <v>0</v>
      </c>
      <c r="EU33" s="785">
        <f t="shared" si="13"/>
        <v>0</v>
      </c>
      <c r="EV33" s="784" t="str">
        <f t="shared" si="14"/>
        <v/>
      </c>
      <c r="EW33" s="751">
        <f t="shared" si="28"/>
        <v>46370</v>
      </c>
      <c r="EX33" s="759" t="str">
        <f>IFERROR(IF(AND(AZ33="",AR33&lt;&gt;S.CAL!$BJ$3,AR33&lt;&gt;S.CAL!$BJ$4),FS33-BC33,IF(AZ33&lt;&gt;0,AZ33,IF(OR(AR33=S.CAL!$BJ$3,AR33=S.CAL!$BJ$4),AR33,0))),"")</f>
        <v/>
      </c>
      <c r="EY33" s="753">
        <f t="shared" si="54"/>
        <v>0</v>
      </c>
      <c r="EZ33" s="736">
        <f t="shared" si="55"/>
        <v>0</v>
      </c>
      <c r="FA33" s="759" t="str">
        <f t="shared" si="31"/>
        <v/>
      </c>
      <c r="FB33" s="754" t="str">
        <f t="shared" si="15"/>
        <v/>
      </c>
      <c r="FC33" s="315" t="str">
        <f t="shared" si="56"/>
        <v>non</v>
      </c>
      <c r="FD33" s="760">
        <f t="shared" si="16"/>
        <v>0</v>
      </c>
      <c r="FG33" s="315" t="str">
        <f t="shared" si="57"/>
        <v/>
      </c>
      <c r="FJ33" s="315">
        <f t="shared" si="58"/>
        <v>1</v>
      </c>
      <c r="FK33" s="129">
        <f t="shared" si="17"/>
        <v>10</v>
      </c>
      <c r="FL33" s="129">
        <f t="shared" si="35"/>
        <v>1</v>
      </c>
      <c r="FN33" s="129">
        <f>+IF(AND($DP$8&lt;&gt;52,AR33=S.CAL!$BJ$4),10,1)</f>
        <v>1</v>
      </c>
      <c r="FP33" s="129">
        <f t="shared" si="18"/>
        <v>0</v>
      </c>
      <c r="FS33" s="223" t="str">
        <f t="shared" si="61"/>
        <v/>
      </c>
      <c r="FZ33" s="129">
        <f t="shared" si="37"/>
        <v>51</v>
      </c>
      <c r="GA33" s="129">
        <f t="shared" si="38"/>
        <v>2026</v>
      </c>
      <c r="GB33" s="129" t="str">
        <f t="shared" si="39"/>
        <v>512026</v>
      </c>
      <c r="GC33" s="223">
        <f t="shared" si="40"/>
        <v>0</v>
      </c>
      <c r="GF33" s="223" t="str">
        <f t="shared" si="41"/>
        <v/>
      </c>
      <c r="GG33" s="1446" t="str">
        <f>+'Retenue Déc'!D31</f>
        <v/>
      </c>
      <c r="GH33" s="1446">
        <f>IF(Identification!$B$132="Non",+'Retenue Déc'!BF31,+'Retenue Déc'!BE31)</f>
        <v>0</v>
      </c>
      <c r="GJ33" s="1507" t="str">
        <f t="shared" si="42"/>
        <v/>
      </c>
      <c r="GK33" s="223" t="str">
        <f t="shared" si="43"/>
        <v/>
      </c>
      <c r="GL33" s="223" t="str">
        <f t="shared" si="44"/>
        <v/>
      </c>
      <c r="GM33" s="1506">
        <f t="shared" si="45"/>
        <v>0</v>
      </c>
      <c r="GO33" s="129">
        <f t="shared" si="19"/>
        <v>0</v>
      </c>
      <c r="GP33" s="129" t="str">
        <f t="shared" si="46"/>
        <v/>
      </c>
      <c r="GQ33" s="1446" t="str">
        <f t="shared" si="47"/>
        <v/>
      </c>
    </row>
    <row r="34" spans="1:199" x14ac:dyDescent="0.2">
      <c r="A34" s="2247"/>
      <c r="B34" s="2250" t="str">
        <f>IF(AND(BZ8="OUI",DP23="oui"),S.CAL!FT3,"")</f>
        <v/>
      </c>
      <c r="C34" s="2251"/>
      <c r="D34" s="2251"/>
      <c r="E34" s="2251"/>
      <c r="F34" s="2251"/>
      <c r="G34" s="2251"/>
      <c r="H34" s="2251"/>
      <c r="I34" s="2251"/>
      <c r="J34" s="2251"/>
      <c r="K34" s="2252"/>
      <c r="L34" s="2133"/>
      <c r="M34" s="2134"/>
      <c r="N34" s="2134"/>
      <c r="O34" s="2135"/>
      <c r="P34" s="2115"/>
      <c r="Q34" s="2116"/>
      <c r="R34" s="2116"/>
      <c r="S34" s="2117"/>
      <c r="T34" s="1753">
        <f>IF(AND(L34="",BZ8="OUI",B34=S.CAL!FT3),IFERROR(VLOOKUP(X3,bddrupture,3,FALSE),0),ROUND(L34,2))</f>
        <v>0</v>
      </c>
      <c r="U34" s="1969"/>
      <c r="V34" s="1969"/>
      <c r="W34" s="1976"/>
      <c r="X34" s="221"/>
      <c r="Y34" s="221"/>
      <c r="Z34" s="221"/>
      <c r="AA34" s="885" t="str">
        <f>IF(AND(BE34="OUI",$AR$13=S.CAL!$CU$2),"►",IF(AND(EV34="OUI",$AR$13=S.CAL!$CU$3),"►",""))</f>
        <v/>
      </c>
      <c r="AB34" s="1760">
        <f>+$X$3+14</f>
        <v>46371</v>
      </c>
      <c r="AC34" s="1761">
        <f>+$D$6+13</f>
        <v>13</v>
      </c>
      <c r="AD34" s="1748" t="str">
        <f>+IF(AND($AR$13=S.CAL!$CU$2,EX34&lt;&gt;0),EX34,IF(AND($AR$13=S.CAL!$CU$3,ER34&lt;&gt;0),ER34,0))</f>
        <v/>
      </c>
      <c r="AE34" s="1748"/>
      <c r="AF34" s="1748"/>
      <c r="AG34" s="1748" t="str">
        <f>+IF(AND($AR$13=S.CAL!$CU$2,EY34&lt;&gt;0),EY34,IF(AND($AR$13=S.CAL!$CU$3,ES34&lt;&gt;0),ES34,""))</f>
        <v/>
      </c>
      <c r="AH34" s="1748"/>
      <c r="AI34" s="1748"/>
      <c r="AJ34" s="1748" t="str">
        <f>+IF(AND($AR$13=S.CAL!$CU$2,EZ34&lt;&gt;0),EZ34,IF(AND($AR$13=S.CAL!$CU$3,ET34&lt;&gt;0),ET34,""))</f>
        <v/>
      </c>
      <c r="AK34" s="1748"/>
      <c r="AL34" s="1748"/>
      <c r="AM34" s="1748" t="str">
        <f>+IF(AND($AR$13=S.CAL!$CU$2,FA34&lt;&gt;0),FA34,IF(AND($AR$13=S.CAL!$CU$3,EU34&lt;&gt;0),EU34,""))</f>
        <v/>
      </c>
      <c r="AN34" s="1748"/>
      <c r="AO34" s="1784"/>
      <c r="AP34" s="215" t="str">
        <f t="shared" si="48"/>
        <v/>
      </c>
      <c r="AQ34" s="322"/>
      <c r="AR34" s="1104"/>
      <c r="AS34" s="314">
        <f t="shared" si="3"/>
        <v>0</v>
      </c>
      <c r="AT34" s="1125"/>
      <c r="AU34" s="1125"/>
      <c r="AV34" s="314"/>
      <c r="AW34" s="1791">
        <f t="shared" si="21"/>
        <v>46371</v>
      </c>
      <c r="AX34" s="1761"/>
      <c r="AY34" s="314"/>
      <c r="AZ34" s="1104"/>
      <c r="BA34" s="973"/>
      <c r="BB34" s="543"/>
      <c r="BC34" s="548">
        <f t="shared" si="22"/>
        <v>0</v>
      </c>
      <c r="BD34" s="1104"/>
      <c r="BE34" s="807">
        <f t="shared" si="23"/>
        <v>0</v>
      </c>
      <c r="BF34" s="1128"/>
      <c r="BG34" s="222"/>
      <c r="BH34" s="548" t="str">
        <f t="shared" si="24"/>
        <v/>
      </c>
      <c r="BI34" s="1128"/>
      <c r="BJ34" s="129" t="str">
        <f t="shared" si="25"/>
        <v>Fiche infoA2</v>
      </c>
      <c r="BK34" s="129">
        <f t="shared" si="49"/>
        <v>51</v>
      </c>
      <c r="BL34" s="129" t="str">
        <f t="shared" si="4"/>
        <v>A</v>
      </c>
      <c r="BM34" s="129">
        <f t="shared" si="50"/>
        <v>2</v>
      </c>
      <c r="BN34" s="223" t="str">
        <f t="shared" si="60"/>
        <v>Fiche info</v>
      </c>
      <c r="BO34" s="314" t="str">
        <f t="shared" si="51"/>
        <v/>
      </c>
      <c r="BP34" s="196" t="str">
        <f t="shared" si="52"/>
        <v/>
      </c>
      <c r="BQ34" s="196"/>
      <c r="BZ34" s="658" t="s">
        <v>441</v>
      </c>
      <c r="CA34" s="659">
        <f>+IF(AND(DP14=1,OR(DP29="NON",DP29=0)),0,SUM(CA28:CA33))</f>
        <v>0</v>
      </c>
      <c r="CB34" s="659">
        <f ca="1">+SUMIFS(CG30:CG33,CI30:CI33,"&gt;0,05",CH30:CH33,CB35)</f>
        <v>0</v>
      </c>
      <c r="CC34" s="129" t="s">
        <v>1225</v>
      </c>
      <c r="CF34" s="447"/>
      <c r="CG34" s="447"/>
      <c r="CH34" s="447"/>
      <c r="CI34" s="447"/>
      <c r="DD34" s="196"/>
      <c r="DJ34" s="402" t="s">
        <v>156</v>
      </c>
      <c r="DK34" s="738">
        <f>+ROUND(DK30*0.9825*2.9/100,2)</f>
        <v>0</v>
      </c>
      <c r="DL34" s="736"/>
      <c r="DU34" s="315">
        <f>IF(AND(SUM(AD34:AL34)&lt;=$DL$3,SUM(AD34:AL34)&gt;0,$CC$44=S.CAL!$BC$3),1,IF(AND(SUM(AD34:AL34)&lt;=$CE$54,SUM(AD34:AL34)&gt;0,$CC$44=S.CAL!$BC$4),1,0))</f>
        <v>0</v>
      </c>
      <c r="DV34" s="315">
        <f>IF(AND(SUM(AD34:AL34)&gt;$DL$3,$CC$44=S.CAL!$BC$3),SUM(AD34:AL34),IF(AND(SUM(AD34:AL34)&gt;$CE$54,$CC$44=S.CAL!$BC$4),SUM(AD34:AL34),IF(AND($CC$44=S.CAL!$BC$5,(SUM(AD34:AL34)*$CE$59)&gt;$CE$47),SUM(AD34:AL34),0)))</f>
        <v>0</v>
      </c>
      <c r="DW34" s="315">
        <f>+IF(AND($CC$44=S.CAL!$BC$5,(SUM(AD34:AL34)*$CE$59)&lt;=$CE$47),DX34,0)</f>
        <v>0</v>
      </c>
      <c r="DX34" s="315">
        <f>IF(AND(SUM(AD34:AL34)&lt;=DL3,SUM(AD34:AL34)&gt;0),1,0)</f>
        <v>0</v>
      </c>
      <c r="DY34" s="315">
        <f>IF(AND(SUM(AD34:AL34)&gt;DL3),SUM(AD34:AL34),0)</f>
        <v>0</v>
      </c>
      <c r="EA34" s="315">
        <f t="shared" si="8"/>
        <v>0</v>
      </c>
      <c r="EB34" s="315">
        <f t="shared" si="9"/>
        <v>0</v>
      </c>
      <c r="EQ34" s="783">
        <f t="shared" si="53"/>
        <v>46371</v>
      </c>
      <c r="ER34" s="784">
        <f t="shared" si="10"/>
        <v>0</v>
      </c>
      <c r="ES34" s="785">
        <f t="shared" si="11"/>
        <v>0</v>
      </c>
      <c r="ET34" s="784">
        <f t="shared" si="12"/>
        <v>0</v>
      </c>
      <c r="EU34" s="785">
        <f t="shared" si="13"/>
        <v>0</v>
      </c>
      <c r="EV34" s="784" t="str">
        <f t="shared" si="14"/>
        <v/>
      </c>
      <c r="EW34" s="751">
        <f t="shared" si="28"/>
        <v>46371</v>
      </c>
      <c r="EX34" s="759" t="str">
        <f>IFERROR(IF(AND(AZ34="",AR34&lt;&gt;S.CAL!$BJ$3,AR34&lt;&gt;S.CAL!$BJ$4),FS34-BC34,IF(AZ34&lt;&gt;0,AZ34,IF(OR(AR34=S.CAL!$BJ$3,AR34=S.CAL!$BJ$4),AR34,0))),"")</f>
        <v/>
      </c>
      <c r="EY34" s="753">
        <f t="shared" si="54"/>
        <v>0</v>
      </c>
      <c r="EZ34" s="736">
        <f t="shared" si="55"/>
        <v>0</v>
      </c>
      <c r="FA34" s="759" t="str">
        <f t="shared" si="31"/>
        <v/>
      </c>
      <c r="FB34" s="754" t="str">
        <f t="shared" si="15"/>
        <v/>
      </c>
      <c r="FC34" s="315" t="str">
        <f t="shared" si="56"/>
        <v>non</v>
      </c>
      <c r="FD34" s="760">
        <f t="shared" si="16"/>
        <v>0</v>
      </c>
      <c r="FG34" s="315" t="str">
        <f t="shared" si="57"/>
        <v/>
      </c>
      <c r="FJ34" s="315">
        <f t="shared" si="58"/>
        <v>1</v>
      </c>
      <c r="FK34" s="129">
        <f t="shared" si="17"/>
        <v>10</v>
      </c>
      <c r="FL34" s="129">
        <f t="shared" si="35"/>
        <v>1</v>
      </c>
      <c r="FN34" s="129">
        <f>+IF(AND($DP$8&lt;&gt;52,AR34=S.CAL!$BJ$4),10,1)</f>
        <v>1</v>
      </c>
      <c r="FP34" s="129">
        <f t="shared" si="18"/>
        <v>0</v>
      </c>
      <c r="FS34" s="223" t="str">
        <f t="shared" si="61"/>
        <v/>
      </c>
      <c r="FZ34" s="129">
        <f t="shared" si="37"/>
        <v>51</v>
      </c>
      <c r="GA34" s="129">
        <f t="shared" si="38"/>
        <v>2026</v>
      </c>
      <c r="GB34" s="129" t="str">
        <f t="shared" si="39"/>
        <v>512026</v>
      </c>
      <c r="GC34" s="223">
        <f t="shared" si="40"/>
        <v>0</v>
      </c>
      <c r="GF34" s="223" t="str">
        <f t="shared" si="41"/>
        <v/>
      </c>
      <c r="GG34" s="1446" t="str">
        <f>+'Retenue Déc'!D32</f>
        <v/>
      </c>
      <c r="GH34" s="1446">
        <f>IF(Identification!$B$132="Non",+'Retenue Déc'!BF32,+'Retenue Déc'!BE32)</f>
        <v>0</v>
      </c>
      <c r="GJ34" s="1507" t="str">
        <f t="shared" si="42"/>
        <v/>
      </c>
      <c r="GK34" s="223" t="str">
        <f t="shared" si="43"/>
        <v/>
      </c>
      <c r="GL34" s="223" t="str">
        <f t="shared" si="44"/>
        <v/>
      </c>
      <c r="GM34" s="1506">
        <f t="shared" si="45"/>
        <v>0</v>
      </c>
      <c r="GO34" s="129">
        <f t="shared" si="19"/>
        <v>0</v>
      </c>
      <c r="GP34" s="129" t="str">
        <f t="shared" si="46"/>
        <v/>
      </c>
      <c r="GQ34" s="1446" t="str">
        <f t="shared" si="47"/>
        <v/>
      </c>
    </row>
    <row r="35" spans="1:199" x14ac:dyDescent="0.2">
      <c r="L35" s="2130" t="s">
        <v>51</v>
      </c>
      <c r="M35" s="2131"/>
      <c r="N35" s="2131"/>
      <c r="O35" s="2131"/>
      <c r="P35" s="2131"/>
      <c r="Q35" s="2131"/>
      <c r="R35" s="2131"/>
      <c r="S35" s="2132"/>
      <c r="T35" s="2106">
        <f>+ROUND(SUM(T18:W34),2)</f>
        <v>0</v>
      </c>
      <c r="U35" s="2107"/>
      <c r="V35" s="2107"/>
      <c r="W35" s="2108"/>
      <c r="X35" s="221"/>
      <c r="Y35" s="221"/>
      <c r="Z35" s="221"/>
      <c r="AA35" s="885" t="str">
        <f>IF(AND(BE35="OUI",$AR$13=S.CAL!$CU$2),"►",IF(AND(EV35="OUI",$AR$13=S.CAL!$CU$3),"►",""))</f>
        <v/>
      </c>
      <c r="AB35" s="1760">
        <f>+$X$3+15</f>
        <v>46372</v>
      </c>
      <c r="AC35" s="1761">
        <f>+$D$6+15</f>
        <v>15</v>
      </c>
      <c r="AD35" s="1748" t="str">
        <f>+IF(AND($AR$13=S.CAL!$CU$2,EX35&lt;&gt;0),EX35,IF(AND($AR$13=S.CAL!$CU$3,ER35&lt;&gt;0),ER35,0))</f>
        <v/>
      </c>
      <c r="AE35" s="1748"/>
      <c r="AF35" s="1748"/>
      <c r="AG35" s="1748" t="str">
        <f>+IF(AND($AR$13=S.CAL!$CU$2,EY35&lt;&gt;0),EY35,IF(AND($AR$13=S.CAL!$CU$3,ES35&lt;&gt;0),ES35,""))</f>
        <v/>
      </c>
      <c r="AH35" s="1748"/>
      <c r="AI35" s="1748"/>
      <c r="AJ35" s="1748" t="str">
        <f>+IF(AND($AR$13=S.CAL!$CU$2,EZ35&lt;&gt;0),EZ35,IF(AND($AR$13=S.CAL!$CU$3,ET35&lt;&gt;0),ET35,""))</f>
        <v/>
      </c>
      <c r="AK35" s="1748"/>
      <c r="AL35" s="1748"/>
      <c r="AM35" s="1748" t="str">
        <f>+IF(AND($AR$13=S.CAL!$CU$2,FA35&lt;&gt;0),FA35,IF(AND($AR$13=S.CAL!$CU$3,EU35&lt;&gt;0),EU35,""))</f>
        <v/>
      </c>
      <c r="AN35" s="1748"/>
      <c r="AO35" s="1784"/>
      <c r="AP35" s="215" t="str">
        <f t="shared" si="48"/>
        <v/>
      </c>
      <c r="AQ35" s="322"/>
      <c r="AR35" s="1104"/>
      <c r="AS35" s="314">
        <f t="shared" si="3"/>
        <v>0</v>
      </c>
      <c r="AT35" s="1125"/>
      <c r="AU35" s="1125"/>
      <c r="AV35" s="314"/>
      <c r="AW35" s="1791">
        <f t="shared" si="21"/>
        <v>46372</v>
      </c>
      <c r="AX35" s="1761"/>
      <c r="AY35" s="314"/>
      <c r="AZ35" s="1104"/>
      <c r="BA35" s="973"/>
      <c r="BB35" s="543"/>
      <c r="BC35" s="548">
        <f t="shared" si="22"/>
        <v>0</v>
      </c>
      <c r="BD35" s="1104"/>
      <c r="BE35" s="807">
        <f t="shared" si="23"/>
        <v>0</v>
      </c>
      <c r="BF35" s="1128"/>
      <c r="BG35" s="222"/>
      <c r="BH35" s="548" t="str">
        <f t="shared" si="24"/>
        <v/>
      </c>
      <c r="BI35" s="1128"/>
      <c r="BJ35" s="129" t="str">
        <f t="shared" si="25"/>
        <v>Fiche infoA3</v>
      </c>
      <c r="BK35" s="129">
        <f t="shared" si="49"/>
        <v>51</v>
      </c>
      <c r="BL35" s="129" t="str">
        <f t="shared" si="4"/>
        <v>A</v>
      </c>
      <c r="BM35" s="129">
        <f t="shared" si="50"/>
        <v>3</v>
      </c>
      <c r="BN35" s="223" t="str">
        <f t="shared" si="60"/>
        <v>Fiche info</v>
      </c>
      <c r="BO35" s="314" t="str">
        <f t="shared" si="51"/>
        <v/>
      </c>
      <c r="BP35" s="196" t="str">
        <f t="shared" si="52"/>
        <v/>
      </c>
      <c r="BQ35" s="196"/>
      <c r="CB35" s="883">
        <f>SUMIFS(CH30:CH33,CJ30:CJ33,TRUE)</f>
        <v>0</v>
      </c>
      <c r="CF35" s="447"/>
      <c r="CG35" s="447"/>
      <c r="CH35" s="447"/>
      <c r="CI35" s="447"/>
      <c r="DD35" s="196"/>
      <c r="DJ35" s="402" t="s">
        <v>157</v>
      </c>
      <c r="DK35" s="738" t="e">
        <f>+ROUND(DK32/K59*BY4,2)</f>
        <v>#DIV/0!</v>
      </c>
      <c r="DU35" s="315">
        <f>IF(AND(SUM(AD35:AL35)&lt;=$DL$3,SUM(AD35:AL35)&gt;0,$CC$44=S.CAL!$BC$3),1,IF(AND(SUM(AD35:AL35)&lt;=$CE$54,SUM(AD35:AL35)&gt;0,$CC$44=S.CAL!$BC$4),1,0))</f>
        <v>0</v>
      </c>
      <c r="DV35" s="315">
        <f>IF(AND(SUM(AD35:AL35)&gt;$DL$3,$CC$44=S.CAL!$BC$3),SUM(AD35:AL35),IF(AND(SUM(AD35:AL35)&gt;$CE$54,$CC$44=S.CAL!$BC$4),SUM(AD35:AL35),IF(AND($CC$44=S.CAL!$BC$5,(SUM(AD35:AL35)*$CE$59)&gt;$CE$47),SUM(AD35:AL35),0)))</f>
        <v>0</v>
      </c>
      <c r="DW35" s="315">
        <f>+IF(AND($CC$44=S.CAL!$BC$5,(SUM(AD35:AL35)*$CE$59)&lt;=$CE$47),DX35,0)</f>
        <v>0</v>
      </c>
      <c r="DX35" s="315">
        <f>IF(AND(SUM(AD35:AL35)&lt;=DL3,SUM(AD35:AL35)&gt;0),1,0)</f>
        <v>0</v>
      </c>
      <c r="DY35" s="315">
        <f>IF(AND(SUM(AD35:AL35)&gt;DL3),SUM(AD35:AL35),0)</f>
        <v>0</v>
      </c>
      <c r="EA35" s="315">
        <f t="shared" si="8"/>
        <v>0</v>
      </c>
      <c r="EB35" s="315">
        <f t="shared" si="9"/>
        <v>0</v>
      </c>
      <c r="EQ35" s="783">
        <f t="shared" si="53"/>
        <v>46372</v>
      </c>
      <c r="ER35" s="784">
        <f t="shared" si="10"/>
        <v>0</v>
      </c>
      <c r="ES35" s="785">
        <f t="shared" si="11"/>
        <v>0</v>
      </c>
      <c r="ET35" s="784">
        <f t="shared" si="12"/>
        <v>0</v>
      </c>
      <c r="EU35" s="785">
        <f t="shared" si="13"/>
        <v>0</v>
      </c>
      <c r="EV35" s="784" t="str">
        <f t="shared" si="14"/>
        <v/>
      </c>
      <c r="EW35" s="751">
        <f t="shared" si="28"/>
        <v>46372</v>
      </c>
      <c r="EX35" s="759" t="str">
        <f>IFERROR(IF(AND(AZ35="",AR35&lt;&gt;S.CAL!$BJ$3,AR35&lt;&gt;S.CAL!$BJ$4),FS35-BC35,IF(AZ35&lt;&gt;0,AZ35,IF(OR(AR35=S.CAL!$BJ$3,AR35=S.CAL!$BJ$4),AR35,0))),"")</f>
        <v/>
      </c>
      <c r="EY35" s="753">
        <f t="shared" si="54"/>
        <v>0</v>
      </c>
      <c r="EZ35" s="736">
        <f t="shared" si="55"/>
        <v>0</v>
      </c>
      <c r="FA35" s="759" t="str">
        <f t="shared" si="31"/>
        <v/>
      </c>
      <c r="FB35" s="754" t="str">
        <f t="shared" si="15"/>
        <v/>
      </c>
      <c r="FC35" s="315" t="str">
        <f t="shared" si="56"/>
        <v>non</v>
      </c>
      <c r="FD35" s="760">
        <f t="shared" si="16"/>
        <v>0</v>
      </c>
      <c r="FG35" s="315" t="str">
        <f t="shared" si="57"/>
        <v/>
      </c>
      <c r="FJ35" s="315">
        <f t="shared" si="58"/>
        <v>1</v>
      </c>
      <c r="FK35" s="129">
        <f t="shared" si="17"/>
        <v>10</v>
      </c>
      <c r="FL35" s="129">
        <f t="shared" si="35"/>
        <v>1</v>
      </c>
      <c r="FN35" s="129">
        <f>+IF(AND($DP$8&lt;&gt;52,AR35=S.CAL!$BJ$4),10,1)</f>
        <v>1</v>
      </c>
      <c r="FP35" s="129">
        <f t="shared" si="18"/>
        <v>0</v>
      </c>
      <c r="FS35" s="223" t="str">
        <f t="shared" si="61"/>
        <v/>
      </c>
      <c r="FZ35" s="129">
        <f t="shared" si="37"/>
        <v>51</v>
      </c>
      <c r="GA35" s="129">
        <f t="shared" si="38"/>
        <v>2026</v>
      </c>
      <c r="GB35" s="129" t="str">
        <f t="shared" si="39"/>
        <v>512026</v>
      </c>
      <c r="GC35" s="223">
        <f t="shared" si="40"/>
        <v>0</v>
      </c>
      <c r="GF35" s="223" t="str">
        <f t="shared" si="41"/>
        <v/>
      </c>
      <c r="GG35" s="1446" t="str">
        <f>+'Retenue Déc'!D33</f>
        <v/>
      </c>
      <c r="GH35" s="1446">
        <f>IF(Identification!$B$132="Non",+'Retenue Déc'!BF33,+'Retenue Déc'!BE33)</f>
        <v>0</v>
      </c>
      <c r="GJ35" s="1507" t="str">
        <f t="shared" si="42"/>
        <v/>
      </c>
      <c r="GK35" s="223" t="str">
        <f t="shared" si="43"/>
        <v/>
      </c>
      <c r="GL35" s="223" t="str">
        <f t="shared" si="44"/>
        <v/>
      </c>
      <c r="GM35" s="1506">
        <f t="shared" si="45"/>
        <v>0</v>
      </c>
      <c r="GO35" s="129">
        <f t="shared" si="19"/>
        <v>0</v>
      </c>
      <c r="GP35" s="129" t="str">
        <f t="shared" si="46"/>
        <v/>
      </c>
      <c r="GQ35" s="1446" t="str">
        <f t="shared" si="47"/>
        <v/>
      </c>
    </row>
    <row r="36" spans="1:199" x14ac:dyDescent="0.2">
      <c r="X36" s="226"/>
      <c r="Y36" s="226"/>
      <c r="Z36" s="226"/>
      <c r="AA36" s="885" t="str">
        <f>IF(AND(BE36="OUI",$AR$13=S.CAL!$CU$2),"►",IF(AND(EV36="OUI",$AR$13=S.CAL!$CU$3),"►",""))</f>
        <v/>
      </c>
      <c r="AB36" s="1760">
        <f>+$X$3+16</f>
        <v>46373</v>
      </c>
      <c r="AC36" s="1761">
        <f>+$D$6+16</f>
        <v>16</v>
      </c>
      <c r="AD36" s="1748" t="str">
        <f>+IF(AND($AR$13=S.CAL!$CU$2,EX36&lt;&gt;0),EX36,IF(AND($AR$13=S.CAL!$CU$3,ER36&lt;&gt;0),ER36,0))</f>
        <v/>
      </c>
      <c r="AE36" s="1748"/>
      <c r="AF36" s="1748"/>
      <c r="AG36" s="1748" t="str">
        <f>+IF(AND($AR$13=S.CAL!$CU$2,EY36&lt;&gt;0),EY36,IF(AND($AR$13=S.CAL!$CU$3,ES36&lt;&gt;0),ES36,""))</f>
        <v/>
      </c>
      <c r="AH36" s="1748"/>
      <c r="AI36" s="1748"/>
      <c r="AJ36" s="1748" t="str">
        <f>+IF(AND($AR$13=S.CAL!$CU$2,EZ36&lt;&gt;0),EZ36,IF(AND($AR$13=S.CAL!$CU$3,ET36&lt;&gt;0),ET36,""))</f>
        <v/>
      </c>
      <c r="AK36" s="1748"/>
      <c r="AL36" s="1748"/>
      <c r="AM36" s="1748" t="str">
        <f>+IF(AND($AR$13=S.CAL!$CU$2,FA36&lt;&gt;0),FA36,IF(AND($AR$13=S.CAL!$CU$3,EU36&lt;&gt;0),EU36,""))</f>
        <v/>
      </c>
      <c r="AN36" s="1748"/>
      <c r="AO36" s="1784"/>
      <c r="AP36" s="215" t="str">
        <f t="shared" si="48"/>
        <v/>
      </c>
      <c r="AQ36" s="322"/>
      <c r="AR36" s="1104"/>
      <c r="AS36" s="314">
        <f t="shared" si="3"/>
        <v>0</v>
      </c>
      <c r="AT36" s="1125"/>
      <c r="AU36" s="1125"/>
      <c r="AV36" s="314"/>
      <c r="AW36" s="1791">
        <f t="shared" si="21"/>
        <v>46373</v>
      </c>
      <c r="AX36" s="1761"/>
      <c r="AY36" s="314"/>
      <c r="AZ36" s="1104"/>
      <c r="BA36" s="973"/>
      <c r="BB36" s="543"/>
      <c r="BC36" s="548">
        <f t="shared" si="22"/>
        <v>0</v>
      </c>
      <c r="BD36" s="1104"/>
      <c r="BE36" s="807">
        <f t="shared" si="23"/>
        <v>0</v>
      </c>
      <c r="BF36" s="1128"/>
      <c r="BG36" s="222"/>
      <c r="BH36" s="548" t="str">
        <f t="shared" si="24"/>
        <v/>
      </c>
      <c r="BI36" s="1128"/>
      <c r="BJ36" s="129" t="str">
        <f t="shared" si="25"/>
        <v>Fiche infoA4</v>
      </c>
      <c r="BK36" s="129">
        <f t="shared" si="49"/>
        <v>51</v>
      </c>
      <c r="BL36" s="129" t="str">
        <f t="shared" si="4"/>
        <v>A</v>
      </c>
      <c r="BM36" s="129">
        <f t="shared" si="50"/>
        <v>4</v>
      </c>
      <c r="BN36" s="223" t="str">
        <f t="shared" si="60"/>
        <v>Fiche info</v>
      </c>
      <c r="BO36" s="314" t="str">
        <f t="shared" si="51"/>
        <v/>
      </c>
      <c r="BP36" s="196" t="str">
        <f t="shared" si="52"/>
        <v/>
      </c>
      <c r="BQ36" s="2105" t="s">
        <v>1051</v>
      </c>
      <c r="BR36" s="2105"/>
      <c r="BS36" s="2105"/>
      <c r="BT36" s="2105"/>
      <c r="BU36" s="2105"/>
      <c r="BV36" s="2105"/>
      <c r="BW36" s="2105"/>
      <c r="BX36" s="2105"/>
      <c r="BY36" s="2105"/>
      <c r="BZ36" s="2105"/>
      <c r="CA36" s="2105"/>
      <c r="DD36" s="196"/>
      <c r="DJ36" s="402" t="s">
        <v>158</v>
      </c>
      <c r="DK36" s="738" t="e">
        <f>ROUND(+DK25+DK34-DK35+DK37+DK38+DK39,2)</f>
        <v>#DIV/0!</v>
      </c>
      <c r="DU36" s="315">
        <f>IF(AND(SUM(AD36:AL36)&lt;=$DL$3,SUM(AD36:AL36)&gt;0,$CC$44=S.CAL!$BC$3),1,IF(AND(SUM(AD36:AL36)&lt;=$CE$54,SUM(AD36:AL36)&gt;0,$CC$44=S.CAL!$BC$4),1,0))</f>
        <v>0</v>
      </c>
      <c r="DV36" s="315">
        <f>IF(AND(SUM(AD36:AL36)&gt;$DL$3,$CC$44=S.CAL!$BC$3),SUM(AD36:AL36),IF(AND(SUM(AD36:AL36)&gt;$CE$54,$CC$44=S.CAL!$BC$4),SUM(AD36:AL36),IF(AND($CC$44=S.CAL!$BC$5,(SUM(AD36:AL36)*$CE$59)&gt;$CE$47),SUM(AD36:AL36),0)))</f>
        <v>0</v>
      </c>
      <c r="DW36" s="315">
        <f>+IF(AND($CC$44=S.CAL!$BC$5,(SUM(AD36:AL36)*$CE$59)&lt;=$CE$47),DX36,0)</f>
        <v>0</v>
      </c>
      <c r="DX36" s="315">
        <f>IF(AND(SUM(AD36:AL36)&lt;=DL3,SUM(AD36:AL36)&gt;0),1,0)</f>
        <v>0</v>
      </c>
      <c r="DY36" s="315">
        <f>IF(AND(SUM(AD36:AL36)&gt;DL3),SUM(AD36:AL36),0)</f>
        <v>0</v>
      </c>
      <c r="EA36" s="315">
        <f t="shared" si="8"/>
        <v>0</v>
      </c>
      <c r="EB36" s="315">
        <f t="shared" si="9"/>
        <v>0</v>
      </c>
      <c r="EQ36" s="783">
        <f t="shared" si="53"/>
        <v>46373</v>
      </c>
      <c r="ER36" s="784">
        <f t="shared" si="10"/>
        <v>0</v>
      </c>
      <c r="ES36" s="785">
        <f t="shared" si="11"/>
        <v>0</v>
      </c>
      <c r="ET36" s="784">
        <f t="shared" si="12"/>
        <v>0</v>
      </c>
      <c r="EU36" s="785">
        <f t="shared" si="13"/>
        <v>0</v>
      </c>
      <c r="EV36" s="784" t="str">
        <f t="shared" si="14"/>
        <v/>
      </c>
      <c r="EW36" s="751">
        <f t="shared" si="28"/>
        <v>46373</v>
      </c>
      <c r="EX36" s="759" t="str">
        <f>IFERROR(IF(AND(AZ36="",AR36&lt;&gt;S.CAL!$BJ$3,AR36&lt;&gt;S.CAL!$BJ$4),FS36-BC36,IF(AZ36&lt;&gt;0,AZ36,IF(OR(AR36=S.CAL!$BJ$3,AR36=S.CAL!$BJ$4),AR36,0))),"")</f>
        <v/>
      </c>
      <c r="EY36" s="753">
        <f t="shared" si="54"/>
        <v>0</v>
      </c>
      <c r="EZ36" s="736">
        <f t="shared" si="55"/>
        <v>0</v>
      </c>
      <c r="FA36" s="759" t="str">
        <f t="shared" si="31"/>
        <v/>
      </c>
      <c r="FB36" s="754" t="str">
        <f t="shared" si="15"/>
        <v/>
      </c>
      <c r="FC36" s="315" t="str">
        <f t="shared" si="56"/>
        <v>non</v>
      </c>
      <c r="FD36" s="760">
        <f t="shared" si="16"/>
        <v>0</v>
      </c>
      <c r="FG36" s="315" t="str">
        <f t="shared" si="57"/>
        <v/>
      </c>
      <c r="FJ36" s="315">
        <f t="shared" si="58"/>
        <v>1</v>
      </c>
      <c r="FK36" s="129">
        <f t="shared" si="17"/>
        <v>10</v>
      </c>
      <c r="FL36" s="129">
        <f t="shared" si="35"/>
        <v>1</v>
      </c>
      <c r="FN36" s="129">
        <f>+IF(AND($DP$8&lt;&gt;52,AR36=S.CAL!$BJ$4),10,1)</f>
        <v>1</v>
      </c>
      <c r="FP36" s="129">
        <f t="shared" si="18"/>
        <v>0</v>
      </c>
      <c r="FS36" s="223" t="str">
        <f t="shared" si="61"/>
        <v/>
      </c>
      <c r="FZ36" s="129">
        <f t="shared" si="37"/>
        <v>51</v>
      </c>
      <c r="GA36" s="129">
        <f t="shared" si="38"/>
        <v>2026</v>
      </c>
      <c r="GB36" s="129" t="str">
        <f t="shared" si="39"/>
        <v>512026</v>
      </c>
      <c r="GC36" s="223">
        <f t="shared" si="40"/>
        <v>0</v>
      </c>
      <c r="GF36" s="223" t="str">
        <f t="shared" si="41"/>
        <v/>
      </c>
      <c r="GG36" s="1446" t="str">
        <f>+'Retenue Déc'!D34</f>
        <v/>
      </c>
      <c r="GH36" s="1446">
        <f>IF(Identification!$B$132="Non",+'Retenue Déc'!BF34,+'Retenue Déc'!BE34)</f>
        <v>0</v>
      </c>
      <c r="GJ36" s="1507" t="str">
        <f t="shared" si="42"/>
        <v/>
      </c>
      <c r="GK36" s="223" t="str">
        <f t="shared" si="43"/>
        <v/>
      </c>
      <c r="GL36" s="223" t="str">
        <f t="shared" si="44"/>
        <v/>
      </c>
      <c r="GM36" s="1506">
        <f t="shared" si="45"/>
        <v>0</v>
      </c>
      <c r="GO36" s="129">
        <f t="shared" si="19"/>
        <v>0</v>
      </c>
      <c r="GP36" s="129" t="str">
        <f t="shared" si="46"/>
        <v/>
      </c>
      <c r="GQ36" s="1446" t="str">
        <f t="shared" si="47"/>
        <v/>
      </c>
    </row>
    <row r="37" spans="1:199" x14ac:dyDescent="0.2">
      <c r="J37" s="141"/>
      <c r="K37" s="141"/>
      <c r="L37" s="141"/>
      <c r="M37" s="141"/>
      <c r="N37" s="141"/>
      <c r="O37" s="227"/>
      <c r="P37" s="226"/>
      <c r="Q37" s="226"/>
      <c r="R37" s="226"/>
      <c r="S37" s="226"/>
      <c r="T37" s="226"/>
      <c r="U37" s="226"/>
      <c r="V37" s="226"/>
      <c r="W37" s="226"/>
      <c r="X37" s="226"/>
      <c r="Y37" s="226"/>
      <c r="Z37" s="226"/>
      <c r="AA37" s="885" t="str">
        <f>IF(AND(BE37="OUI",$AR$13=S.CAL!$CU$2),"►",IF(AND(EV37="OUI",$AR$13=S.CAL!$CU$3),"►",""))</f>
        <v/>
      </c>
      <c r="AB37" s="1760">
        <f>+$X$3+17</f>
        <v>46374</v>
      </c>
      <c r="AC37" s="1761">
        <f>+$D$6+17</f>
        <v>17</v>
      </c>
      <c r="AD37" s="1748" t="str">
        <f>+IF(AND($AR$13=S.CAL!$CU$2,EX37&lt;&gt;0),EX37,IF(AND($AR$13=S.CAL!$CU$3,ER37&lt;&gt;0),ER37,0))</f>
        <v/>
      </c>
      <c r="AE37" s="1748"/>
      <c r="AF37" s="1748"/>
      <c r="AG37" s="1748" t="str">
        <f>+IF(AND($AR$13=S.CAL!$CU$2,EY37&lt;&gt;0),EY37,IF(AND($AR$13=S.CAL!$CU$3,ES37&lt;&gt;0),ES37,""))</f>
        <v/>
      </c>
      <c r="AH37" s="1748"/>
      <c r="AI37" s="1748"/>
      <c r="AJ37" s="1748" t="str">
        <f>+IF(AND($AR$13=S.CAL!$CU$2,EZ37&lt;&gt;0),EZ37,IF(AND($AR$13=S.CAL!$CU$3,ET37&lt;&gt;0),ET37,""))</f>
        <v/>
      </c>
      <c r="AK37" s="1748"/>
      <c r="AL37" s="1748"/>
      <c r="AM37" s="1748" t="str">
        <f>+IF(AND($AR$13=S.CAL!$CU$2,FA37&lt;&gt;0),FA37,IF(AND($AR$13=S.CAL!$CU$3,EU37&lt;&gt;0),EU37,""))</f>
        <v/>
      </c>
      <c r="AN37" s="1748"/>
      <c r="AO37" s="1784"/>
      <c r="AP37" s="215" t="str">
        <f t="shared" si="48"/>
        <v/>
      </c>
      <c r="AQ37" s="322"/>
      <c r="AR37" s="1104"/>
      <c r="AS37" s="314">
        <f t="shared" si="3"/>
        <v>0</v>
      </c>
      <c r="AT37" s="1125"/>
      <c r="AU37" s="1125"/>
      <c r="AV37" s="314"/>
      <c r="AW37" s="1791">
        <f t="shared" si="21"/>
        <v>46374</v>
      </c>
      <c r="AX37" s="1761"/>
      <c r="AY37" s="314"/>
      <c r="AZ37" s="1104"/>
      <c r="BA37" s="973"/>
      <c r="BB37" s="543"/>
      <c r="BC37" s="548">
        <f t="shared" si="22"/>
        <v>0</v>
      </c>
      <c r="BD37" s="1104"/>
      <c r="BE37" s="807">
        <f t="shared" si="23"/>
        <v>0</v>
      </c>
      <c r="BF37" s="1128"/>
      <c r="BG37" s="222"/>
      <c r="BH37" s="548" t="str">
        <f t="shared" si="24"/>
        <v/>
      </c>
      <c r="BI37" s="1128"/>
      <c r="BJ37" s="129" t="str">
        <f t="shared" si="25"/>
        <v>Fiche infoA5</v>
      </c>
      <c r="BK37" s="129">
        <f t="shared" si="49"/>
        <v>51</v>
      </c>
      <c r="BL37" s="129" t="str">
        <f t="shared" si="4"/>
        <v>A</v>
      </c>
      <c r="BM37" s="129">
        <f t="shared" si="50"/>
        <v>5</v>
      </c>
      <c r="BN37" s="223" t="str">
        <f t="shared" si="60"/>
        <v>Fiche info</v>
      </c>
      <c r="BO37" s="314" t="str">
        <f t="shared" si="51"/>
        <v/>
      </c>
      <c r="BP37" s="196" t="str">
        <f t="shared" si="52"/>
        <v/>
      </c>
      <c r="BQ37" s="583"/>
      <c r="BR37" s="583"/>
      <c r="BS37" s="583"/>
      <c r="BT37" s="583"/>
      <c r="BU37" s="583"/>
      <c r="BV37" s="583"/>
      <c r="BW37" s="583"/>
      <c r="BX37" s="583"/>
      <c r="BY37" s="583"/>
      <c r="BZ37" s="583"/>
      <c r="CA37" s="583"/>
      <c r="DD37" s="196"/>
      <c r="DJ37" s="402" t="s">
        <v>474</v>
      </c>
      <c r="DK37" s="738">
        <f>+IF(L123="OUI",SUM(N65:N66),0)</f>
        <v>0</v>
      </c>
      <c r="DU37" s="315">
        <f>IF(AND(SUM(AD37:AL37)&lt;=$DL$3,SUM(AD37:AL37)&gt;0,$CC$44=S.CAL!$BC$3),1,IF(AND(SUM(AD37:AL37)&lt;=$CE$54,SUM(AD37:AL37)&gt;0,$CC$44=S.CAL!$BC$4),1,0))</f>
        <v>0</v>
      </c>
      <c r="DV37" s="315">
        <f>IF(AND(SUM(AD37:AL37)&gt;$DL$3,$CC$44=S.CAL!$BC$3),SUM(AD37:AL37),IF(AND(SUM(AD37:AL37)&gt;$CE$54,$CC$44=S.CAL!$BC$4),SUM(AD37:AL37),IF(AND($CC$44=S.CAL!$BC$5,(SUM(AD37:AL37)*$CE$59)&gt;$CE$47),SUM(AD37:AL37),0)))</f>
        <v>0</v>
      </c>
      <c r="DW37" s="315">
        <f>+IF(AND($CC$44=S.CAL!$BC$5,(SUM(AD37:AL37)*$CE$59)&lt;=$CE$47),DX37,0)</f>
        <v>0</v>
      </c>
      <c r="DX37" s="315">
        <f>IF(AND(SUM(AD37:AL37)&lt;=DL3,SUM(AD37:AL37)&gt;0),1,0)</f>
        <v>0</v>
      </c>
      <c r="DY37" s="315">
        <f>IF(AND(SUM(AD37:AL37)&gt;DL3),SUM(AD37:AL37),0)</f>
        <v>0</v>
      </c>
      <c r="EA37" s="315">
        <f t="shared" si="8"/>
        <v>0</v>
      </c>
      <c r="EB37" s="315">
        <f t="shared" si="9"/>
        <v>0</v>
      </c>
      <c r="EQ37" s="783">
        <f t="shared" si="53"/>
        <v>46374</v>
      </c>
      <c r="ER37" s="784">
        <f t="shared" si="10"/>
        <v>0</v>
      </c>
      <c r="ES37" s="785">
        <f t="shared" si="11"/>
        <v>0</v>
      </c>
      <c r="ET37" s="784">
        <f t="shared" si="12"/>
        <v>0</v>
      </c>
      <c r="EU37" s="785">
        <f t="shared" si="13"/>
        <v>0</v>
      </c>
      <c r="EV37" s="784" t="str">
        <f t="shared" si="14"/>
        <v/>
      </c>
      <c r="EW37" s="751">
        <f t="shared" si="28"/>
        <v>46374</v>
      </c>
      <c r="EX37" s="759" t="str">
        <f>IFERROR(IF(AND(AZ37="",AR37&lt;&gt;S.CAL!$BJ$3,AR37&lt;&gt;S.CAL!$BJ$4),FS37-BC37,IF(AZ37&lt;&gt;0,AZ37,IF(OR(AR37=S.CAL!$BJ$3,AR37=S.CAL!$BJ$4),AR37,0))),"")</f>
        <v/>
      </c>
      <c r="EY37" s="753">
        <f t="shared" si="54"/>
        <v>0</v>
      </c>
      <c r="EZ37" s="736">
        <f t="shared" si="55"/>
        <v>0</v>
      </c>
      <c r="FA37" s="759" t="str">
        <f t="shared" si="31"/>
        <v/>
      </c>
      <c r="FB37" s="754" t="str">
        <f t="shared" si="15"/>
        <v/>
      </c>
      <c r="FC37" s="315" t="str">
        <f t="shared" si="56"/>
        <v>non</v>
      </c>
      <c r="FD37" s="760">
        <f t="shared" si="16"/>
        <v>0</v>
      </c>
      <c r="FG37" s="315" t="str">
        <f t="shared" si="57"/>
        <v/>
      </c>
      <c r="FJ37" s="315">
        <f t="shared" si="58"/>
        <v>1</v>
      </c>
      <c r="FK37" s="129">
        <f t="shared" si="17"/>
        <v>10</v>
      </c>
      <c r="FL37" s="129">
        <f t="shared" si="35"/>
        <v>1</v>
      </c>
      <c r="FN37" s="129">
        <f>+IF(AND($DP$8&lt;&gt;52,AR37=S.CAL!$BJ$4),10,1)</f>
        <v>1</v>
      </c>
      <c r="FP37" s="129">
        <f t="shared" si="18"/>
        <v>0</v>
      </c>
      <c r="FS37" s="223" t="str">
        <f t="shared" si="61"/>
        <v/>
      </c>
      <c r="FZ37" s="129">
        <f t="shared" si="37"/>
        <v>51</v>
      </c>
      <c r="GA37" s="129">
        <f t="shared" si="38"/>
        <v>2026</v>
      </c>
      <c r="GB37" s="129" t="str">
        <f t="shared" si="39"/>
        <v>512026</v>
      </c>
      <c r="GC37" s="223">
        <f t="shared" si="40"/>
        <v>0</v>
      </c>
      <c r="GF37" s="223" t="str">
        <f t="shared" si="41"/>
        <v/>
      </c>
      <c r="GG37" s="1446" t="str">
        <f>+'Retenue Déc'!D35</f>
        <v/>
      </c>
      <c r="GH37" s="1446">
        <f>IF(Identification!$B$132="Non",+'Retenue Déc'!BF35,+'Retenue Déc'!BE35)</f>
        <v>0</v>
      </c>
      <c r="GJ37" s="1507" t="str">
        <f t="shared" si="42"/>
        <v/>
      </c>
      <c r="GK37" s="223" t="str">
        <f t="shared" si="43"/>
        <v/>
      </c>
      <c r="GL37" s="223" t="str">
        <f t="shared" si="44"/>
        <v/>
      </c>
      <c r="GM37" s="1506">
        <f t="shared" si="45"/>
        <v>0</v>
      </c>
      <c r="GO37" s="129">
        <f t="shared" si="19"/>
        <v>0</v>
      </c>
      <c r="GP37" s="129" t="str">
        <f t="shared" si="46"/>
        <v/>
      </c>
      <c r="GQ37" s="1446" t="str">
        <f t="shared" si="47"/>
        <v/>
      </c>
    </row>
    <row r="38" spans="1:199" x14ac:dyDescent="0.2">
      <c r="H38" s="2127" t="s">
        <v>103</v>
      </c>
      <c r="I38" s="2128"/>
      <c r="J38" s="2128"/>
      <c r="K38" s="2128"/>
      <c r="L38" s="2128"/>
      <c r="M38" s="2128"/>
      <c r="N38" s="2128"/>
      <c r="O38" s="2128"/>
      <c r="P38" s="2129"/>
      <c r="R38" s="1742" t="s">
        <v>104</v>
      </c>
      <c r="S38" s="1743"/>
      <c r="T38" s="1743"/>
      <c r="U38" s="1743"/>
      <c r="V38" s="1743"/>
      <c r="W38" s="1743"/>
      <c r="X38" s="1743"/>
      <c r="Y38" s="1743"/>
      <c r="Z38" s="1744"/>
      <c r="AA38" s="885" t="str">
        <f>IF(AND(BE38="OUI",$AR$13=S.CAL!$CU$2),"►",IF(AND(EV38="OUI",$AR$13=S.CAL!$CU$3),"►",""))</f>
        <v/>
      </c>
      <c r="AB38" s="1760">
        <f>+$X$3+18</f>
        <v>46375</v>
      </c>
      <c r="AC38" s="1761">
        <f>+$D$6+18</f>
        <v>18</v>
      </c>
      <c r="AD38" s="1748" t="str">
        <f>+IF(AND($AR$13=S.CAL!$CU$2,EX38&lt;&gt;0),EX38,IF(AND($AR$13=S.CAL!$CU$3,ER38&lt;&gt;0),ER38,0))</f>
        <v/>
      </c>
      <c r="AE38" s="1748"/>
      <c r="AF38" s="1748"/>
      <c r="AG38" s="1748" t="str">
        <f>+IF(AND($AR$13=S.CAL!$CU$2,EY38&lt;&gt;0),EY38,IF(AND($AR$13=S.CAL!$CU$3,ES38&lt;&gt;0),ES38,""))</f>
        <v/>
      </c>
      <c r="AH38" s="1748"/>
      <c r="AI38" s="1748"/>
      <c r="AJ38" s="1748" t="str">
        <f>+IF(AND($AR$13=S.CAL!$CU$2,EZ38&lt;&gt;0),EZ38,IF(AND($AR$13=S.CAL!$CU$3,ET38&lt;&gt;0),ET38,""))</f>
        <v/>
      </c>
      <c r="AK38" s="1748"/>
      <c r="AL38" s="1748"/>
      <c r="AM38" s="1748" t="str">
        <f>+IF(AND($AR$13=S.CAL!$CU$2,FA38&lt;&gt;0),FA38,IF(AND($AR$13=S.CAL!$CU$3,EU38&lt;&gt;0),EU38,""))</f>
        <v/>
      </c>
      <c r="AN38" s="1748"/>
      <c r="AO38" s="1784"/>
      <c r="AP38" s="215" t="str">
        <f t="shared" si="48"/>
        <v/>
      </c>
      <c r="AQ38" s="322"/>
      <c r="AR38" s="1104"/>
      <c r="AS38" s="314">
        <f t="shared" si="3"/>
        <v>0</v>
      </c>
      <c r="AT38" s="1125"/>
      <c r="AU38" s="1125"/>
      <c r="AV38" s="314"/>
      <c r="AW38" s="1791">
        <f t="shared" si="21"/>
        <v>46375</v>
      </c>
      <c r="AX38" s="1761"/>
      <c r="AY38" s="314"/>
      <c r="AZ38" s="1104"/>
      <c r="BA38" s="973"/>
      <c r="BB38" s="543"/>
      <c r="BC38" s="548">
        <f t="shared" si="22"/>
        <v>0</v>
      </c>
      <c r="BD38" s="1104"/>
      <c r="BE38" s="807">
        <f t="shared" si="23"/>
        <v>0</v>
      </c>
      <c r="BF38" s="1128"/>
      <c r="BG38" s="222"/>
      <c r="BH38" s="548" t="str">
        <f t="shared" si="24"/>
        <v/>
      </c>
      <c r="BI38" s="1128"/>
      <c r="BJ38" s="129" t="str">
        <f t="shared" si="25"/>
        <v>Fiche infoA6</v>
      </c>
      <c r="BK38" s="129">
        <f t="shared" si="49"/>
        <v>51</v>
      </c>
      <c r="BL38" s="129" t="str">
        <f t="shared" si="4"/>
        <v>A</v>
      </c>
      <c r="BM38" s="129">
        <f t="shared" si="50"/>
        <v>6</v>
      </c>
      <c r="BN38" s="223" t="str">
        <f t="shared" si="60"/>
        <v>Fiche info</v>
      </c>
      <c r="BO38" s="314" t="str">
        <f t="shared" si="51"/>
        <v/>
      </c>
      <c r="BP38" s="196" t="str">
        <f t="shared" si="52"/>
        <v/>
      </c>
      <c r="BQ38" s="583" t="s">
        <v>1044</v>
      </c>
      <c r="BR38" s="583"/>
      <c r="BS38" s="583"/>
      <c r="BT38" s="583"/>
      <c r="BU38" s="583"/>
      <c r="BV38" s="583"/>
      <c r="BW38" s="583"/>
      <c r="BX38" s="583"/>
      <c r="BY38" s="583"/>
      <c r="BZ38" s="583"/>
      <c r="CA38" s="583"/>
      <c r="DD38" s="196"/>
      <c r="DJ38" s="402" t="s">
        <v>475</v>
      </c>
      <c r="DK38" s="738">
        <f>+IF(L125="OUI",SUM(N67:N69),0)</f>
        <v>0</v>
      </c>
      <c r="DU38" s="315">
        <f>IF(AND(SUM(AD38:AL38)&lt;=$DL$3,SUM(AD38:AL38)&gt;0,$CC$44=S.CAL!$BC$3),1,IF(AND(SUM(AD38:AL38)&lt;=$CE$54,SUM(AD38:AL38)&gt;0,$CC$44=S.CAL!$BC$4),1,0))</f>
        <v>0</v>
      </c>
      <c r="DV38" s="315">
        <f>IF(AND(SUM(AD38:AL38)&gt;$DL$3,$CC$44=S.CAL!$BC$3),SUM(AD38:AL38),IF(AND(SUM(AD38:AL38)&gt;$CE$54,$CC$44=S.CAL!$BC$4),SUM(AD38:AL38),IF(AND($CC$44=S.CAL!$BC$5,(SUM(AD38:AL38)*$CE$59)&gt;$CE$47),SUM(AD38:AL38),0)))</f>
        <v>0</v>
      </c>
      <c r="DW38" s="315">
        <f>+IF(AND($CC$44=S.CAL!$BC$5,(SUM(AD38:AL38)*$CE$59)&lt;=$CE$47),DX38,0)</f>
        <v>0</v>
      </c>
      <c r="DX38" s="315">
        <f>IF(AND(SUM(AD38:AL38)&lt;=DL3,SUM(AD38:AL38)&gt;0),1,0)</f>
        <v>0</v>
      </c>
      <c r="DY38" s="315">
        <f>IF(AND(SUM(AD38:AL38)&gt;DL3),SUM(AD38:AL38),0)</f>
        <v>0</v>
      </c>
      <c r="EA38" s="315">
        <f t="shared" si="8"/>
        <v>0</v>
      </c>
      <c r="EB38" s="315">
        <f t="shared" si="9"/>
        <v>0</v>
      </c>
      <c r="EQ38" s="783">
        <f t="shared" si="53"/>
        <v>46375</v>
      </c>
      <c r="ER38" s="784">
        <f t="shared" si="10"/>
        <v>0</v>
      </c>
      <c r="ES38" s="785">
        <f t="shared" si="11"/>
        <v>0</v>
      </c>
      <c r="ET38" s="784">
        <f t="shared" si="12"/>
        <v>0</v>
      </c>
      <c r="EU38" s="785">
        <f t="shared" si="13"/>
        <v>0</v>
      </c>
      <c r="EV38" s="784" t="str">
        <f t="shared" si="14"/>
        <v/>
      </c>
      <c r="EW38" s="751">
        <f t="shared" si="28"/>
        <v>46375</v>
      </c>
      <c r="EX38" s="759" t="str">
        <f>IFERROR(IF(AND(AZ38="",AR38&lt;&gt;S.CAL!$BJ$3,AR38&lt;&gt;S.CAL!$BJ$4),FS38-BC38,IF(AZ38&lt;&gt;0,AZ38,IF(OR(AR38=S.CAL!$BJ$3,AR38=S.CAL!$BJ$4),AR38,0))),"")</f>
        <v/>
      </c>
      <c r="EY38" s="753">
        <f t="shared" si="54"/>
        <v>0</v>
      </c>
      <c r="EZ38" s="736">
        <f t="shared" si="55"/>
        <v>0</v>
      </c>
      <c r="FA38" s="759" t="str">
        <f t="shared" si="31"/>
        <v/>
      </c>
      <c r="FB38" s="754" t="str">
        <f t="shared" si="15"/>
        <v/>
      </c>
      <c r="FC38" s="315" t="str">
        <f t="shared" si="56"/>
        <v>non</v>
      </c>
      <c r="FD38" s="760">
        <f t="shared" si="16"/>
        <v>0</v>
      </c>
      <c r="FG38" s="315" t="str">
        <f t="shared" si="57"/>
        <v/>
      </c>
      <c r="FJ38" s="315">
        <f t="shared" si="58"/>
        <v>1</v>
      </c>
      <c r="FK38" s="129">
        <f t="shared" si="17"/>
        <v>10</v>
      </c>
      <c r="FL38" s="129">
        <f t="shared" si="35"/>
        <v>1</v>
      </c>
      <c r="FN38" s="129">
        <f>+IF(AND($DP$8&lt;&gt;52,AR38=S.CAL!$BJ$4),10,1)</f>
        <v>1</v>
      </c>
      <c r="FP38" s="129">
        <f t="shared" si="18"/>
        <v>0</v>
      </c>
      <c r="FS38" s="223" t="str">
        <f t="shared" si="61"/>
        <v/>
      </c>
      <c r="FZ38" s="129">
        <f t="shared" si="37"/>
        <v>51</v>
      </c>
      <c r="GA38" s="129">
        <f t="shared" si="38"/>
        <v>2026</v>
      </c>
      <c r="GB38" s="129" t="str">
        <f t="shared" si="39"/>
        <v>512026</v>
      </c>
      <c r="GC38" s="223">
        <f t="shared" si="40"/>
        <v>0</v>
      </c>
      <c r="GF38" s="223" t="str">
        <f t="shared" si="41"/>
        <v/>
      </c>
      <c r="GG38" s="1446" t="str">
        <f>+'Retenue Déc'!D36</f>
        <v/>
      </c>
      <c r="GH38" s="1446">
        <f>IF(Identification!$B$132="Non",+'Retenue Déc'!BF36,+'Retenue Déc'!BE36)</f>
        <v>0</v>
      </c>
      <c r="GJ38" s="1507" t="str">
        <f t="shared" si="42"/>
        <v/>
      </c>
      <c r="GK38" s="223" t="str">
        <f t="shared" si="43"/>
        <v/>
      </c>
      <c r="GL38" s="223" t="str">
        <f t="shared" si="44"/>
        <v/>
      </c>
      <c r="GM38" s="1506">
        <f t="shared" si="45"/>
        <v>0</v>
      </c>
      <c r="GO38" s="129">
        <f t="shared" si="19"/>
        <v>0</v>
      </c>
      <c r="GP38" s="129" t="str">
        <f t="shared" si="46"/>
        <v/>
      </c>
      <c r="GQ38" s="1446" t="str">
        <f t="shared" si="47"/>
        <v/>
      </c>
    </row>
    <row r="39" spans="1:199" x14ac:dyDescent="0.2">
      <c r="A39" s="2240" t="s">
        <v>102</v>
      </c>
      <c r="B39" s="2240"/>
      <c r="C39" s="2240"/>
      <c r="D39" s="2240"/>
      <c r="E39" s="2240"/>
      <c r="F39" s="2240"/>
      <c r="G39" s="2241"/>
      <c r="H39" s="2124" t="s">
        <v>40</v>
      </c>
      <c r="I39" s="2125"/>
      <c r="J39" s="2126"/>
      <c r="K39" s="2125" t="s">
        <v>41</v>
      </c>
      <c r="L39" s="1769"/>
      <c r="M39" s="1770"/>
      <c r="N39" s="1768" t="s">
        <v>42</v>
      </c>
      <c r="O39" s="1769"/>
      <c r="P39" s="1770"/>
      <c r="Q39" s="204"/>
      <c r="R39" s="1768" t="s">
        <v>40</v>
      </c>
      <c r="S39" s="1769"/>
      <c r="T39" s="1770"/>
      <c r="U39" s="1768" t="s">
        <v>41</v>
      </c>
      <c r="V39" s="1769"/>
      <c r="W39" s="1770"/>
      <c r="X39" s="1768" t="s">
        <v>42</v>
      </c>
      <c r="Y39" s="1769"/>
      <c r="Z39" s="1770"/>
      <c r="AA39" s="885" t="str">
        <f>IF(AND(BE39="OUI",$AR$13=S.CAL!$CU$2),"►",IF(AND(EV39="OUI",$AR$13=S.CAL!$CU$3),"►",""))</f>
        <v/>
      </c>
      <c r="AB39" s="1760">
        <f>+$X$3+19</f>
        <v>46376</v>
      </c>
      <c r="AC39" s="1761">
        <f>+$D$6+19</f>
        <v>19</v>
      </c>
      <c r="AD39" s="1748" t="str">
        <f>+IF(AND($AR$13=S.CAL!$CU$2,EX39&lt;&gt;0),EX39,IF(AND($AR$13=S.CAL!$CU$3,ER39&lt;&gt;0),ER39,0))</f>
        <v/>
      </c>
      <c r="AE39" s="1748"/>
      <c r="AF39" s="1748"/>
      <c r="AG39" s="1748" t="str">
        <f>+IF(AND($AR$13=S.CAL!$CU$2,EY39&lt;&gt;0),EY39,IF(AND($AR$13=S.CAL!$CU$3,ES39&lt;&gt;0),ES39,""))</f>
        <v/>
      </c>
      <c r="AH39" s="1748"/>
      <c r="AI39" s="1748"/>
      <c r="AJ39" s="1748" t="str">
        <f>+IF(AND($AR$13=S.CAL!$CU$2,EZ39&lt;&gt;0),EZ39,IF(AND($AR$13=S.CAL!$CU$3,ET39&lt;&gt;0),ET39,""))</f>
        <v/>
      </c>
      <c r="AK39" s="1748"/>
      <c r="AL39" s="1748"/>
      <c r="AM39" s="1748" t="str">
        <f>+IF(AND($AR$13=S.CAL!$CU$2,FA39&lt;&gt;0),FA39,IF(AND($AR$13=S.CAL!$CU$3,EU39&lt;&gt;0),EU39,""))</f>
        <v/>
      </c>
      <c r="AN39" s="1748"/>
      <c r="AO39" s="1784"/>
      <c r="AP39" s="215" t="str">
        <f t="shared" si="48"/>
        <v/>
      </c>
      <c r="AQ39" s="322"/>
      <c r="AR39" s="1104"/>
      <c r="AS39" s="314">
        <f t="shared" si="3"/>
        <v>0</v>
      </c>
      <c r="AT39" s="1125"/>
      <c r="AU39" s="1125"/>
      <c r="AV39" s="314"/>
      <c r="AW39" s="1791">
        <f t="shared" si="21"/>
        <v>46376</v>
      </c>
      <c r="AX39" s="1761"/>
      <c r="AY39" s="314"/>
      <c r="AZ39" s="1104"/>
      <c r="BA39" s="973"/>
      <c r="BB39" s="543"/>
      <c r="BC39" s="548">
        <f t="shared" si="22"/>
        <v>0</v>
      </c>
      <c r="BD39" s="1104"/>
      <c r="BE39" s="807">
        <f t="shared" si="23"/>
        <v>0</v>
      </c>
      <c r="BF39" s="1128"/>
      <c r="BG39" s="222"/>
      <c r="BH39" s="548" t="str">
        <f t="shared" si="24"/>
        <v/>
      </c>
      <c r="BI39" s="1128"/>
      <c r="BJ39" s="129" t="str">
        <f t="shared" si="25"/>
        <v>Fiche infoA7</v>
      </c>
      <c r="BK39" s="129">
        <f t="shared" si="49"/>
        <v>51</v>
      </c>
      <c r="BL39" s="129" t="str">
        <f t="shared" si="4"/>
        <v>A</v>
      </c>
      <c r="BM39" s="129">
        <f t="shared" si="50"/>
        <v>7</v>
      </c>
      <c r="BN39" s="223" t="str">
        <f t="shared" si="60"/>
        <v>Fiche info</v>
      </c>
      <c r="BO39" s="314" t="str">
        <f t="shared" si="51"/>
        <v/>
      </c>
      <c r="BP39" s="196" t="str">
        <f t="shared" si="52"/>
        <v/>
      </c>
      <c r="BQ39" s="583" t="s">
        <v>1045</v>
      </c>
      <c r="BR39" s="582"/>
      <c r="BS39" s="582"/>
      <c r="BT39" s="582"/>
      <c r="BU39" s="582"/>
      <c r="BV39" s="583"/>
      <c r="BW39" s="583"/>
      <c r="BX39" s="583"/>
      <c r="BY39" s="583"/>
      <c r="BZ39" s="583"/>
      <c r="CA39" s="583"/>
      <c r="DD39" s="196"/>
      <c r="DJ39" s="402" t="s">
        <v>479</v>
      </c>
      <c r="DK39" s="738">
        <f>+(SUM(T32:W34)*BY4)+SUM(T32:W34)*0.9825*K57</f>
        <v>0</v>
      </c>
      <c r="DU39" s="315">
        <f>IF(AND(SUM(AD39:AL39)&lt;=$DL$3,SUM(AD39:AL39)&gt;0,$CC$44=S.CAL!$BC$3),1,IF(AND(SUM(AD39:AL39)&lt;=$CE$54,SUM(AD39:AL39)&gt;0,$CC$44=S.CAL!$BC$4),1,0))</f>
        <v>0</v>
      </c>
      <c r="DV39" s="315">
        <f>IF(AND(SUM(AD39:AL39)&gt;$DL$3,$CC$44=S.CAL!$BC$3),SUM(AD39:AL39),IF(AND(SUM(AD39:AL39)&gt;$CE$54,$CC$44=S.CAL!$BC$4),SUM(AD39:AL39),IF(AND($CC$44=S.CAL!$BC$5,(SUM(AD39:AL39)*$CE$59)&gt;$CE$47),SUM(AD39:AL39),0)))</f>
        <v>0</v>
      </c>
      <c r="DW39" s="315">
        <f>+IF(AND($CC$44=S.CAL!$BC$5,(SUM(AD39:AL39)*$CE$59)&lt;=$CE$47),DX39,0)</f>
        <v>0</v>
      </c>
      <c r="DX39" s="315">
        <f>IF(AND(SUM(AD39:AL39)&lt;=DL3,SUM(AD39:AL39)&gt;0),1,0)</f>
        <v>0</v>
      </c>
      <c r="DY39" s="315">
        <f>IF(AND(SUM(AD39:AL39)&gt;DL3),SUM(AD39:AL39),0)</f>
        <v>0</v>
      </c>
      <c r="EA39" s="315">
        <f t="shared" si="8"/>
        <v>0</v>
      </c>
      <c r="EB39" s="315">
        <f t="shared" si="9"/>
        <v>0</v>
      </c>
      <c r="EQ39" s="783">
        <f t="shared" si="53"/>
        <v>46376</v>
      </c>
      <c r="ER39" s="784">
        <f t="shared" si="10"/>
        <v>0</v>
      </c>
      <c r="ES39" s="785">
        <f t="shared" si="11"/>
        <v>0</v>
      </c>
      <c r="ET39" s="784">
        <f t="shared" si="12"/>
        <v>0</v>
      </c>
      <c r="EU39" s="785">
        <f t="shared" si="13"/>
        <v>0</v>
      </c>
      <c r="EV39" s="784" t="str">
        <f t="shared" si="14"/>
        <v/>
      </c>
      <c r="EW39" s="751">
        <f t="shared" si="28"/>
        <v>46376</v>
      </c>
      <c r="EX39" s="759" t="str">
        <f>IFERROR(IF(AND(AZ39="",AR39&lt;&gt;S.CAL!$BJ$3,AR39&lt;&gt;S.CAL!$BJ$4),FS39-BC39,IF(AZ39&lt;&gt;0,AZ39,IF(OR(AR39=S.CAL!$BJ$3,AR39=S.CAL!$BJ$4),AR39,0))),"")</f>
        <v/>
      </c>
      <c r="EY39" s="753">
        <f t="shared" si="54"/>
        <v>0</v>
      </c>
      <c r="EZ39" s="736">
        <f t="shared" si="55"/>
        <v>0</v>
      </c>
      <c r="FA39" s="759" t="str">
        <f t="shared" si="31"/>
        <v/>
      </c>
      <c r="FB39" s="754" t="str">
        <f t="shared" si="15"/>
        <v/>
      </c>
      <c r="FC39" s="315" t="str">
        <f t="shared" si="56"/>
        <v>non</v>
      </c>
      <c r="FD39" s="760">
        <f t="shared" si="16"/>
        <v>0</v>
      </c>
      <c r="FG39" s="315" t="str">
        <f t="shared" si="57"/>
        <v/>
      </c>
      <c r="FJ39" s="315">
        <f t="shared" si="58"/>
        <v>1</v>
      </c>
      <c r="FK39" s="129">
        <f t="shared" si="17"/>
        <v>10</v>
      </c>
      <c r="FL39" s="129">
        <f t="shared" si="35"/>
        <v>1</v>
      </c>
      <c r="FN39" s="129">
        <f>+IF(AND($DP$8&lt;&gt;52,AR39=S.CAL!$BJ$4),10,1)</f>
        <v>1</v>
      </c>
      <c r="FP39" s="129">
        <f t="shared" si="18"/>
        <v>0</v>
      </c>
      <c r="FS39" s="223" t="str">
        <f t="shared" si="61"/>
        <v/>
      </c>
      <c r="FZ39" s="129">
        <f t="shared" si="37"/>
        <v>51</v>
      </c>
      <c r="GA39" s="129">
        <f t="shared" si="38"/>
        <v>2026</v>
      </c>
      <c r="GB39" s="129" t="str">
        <f t="shared" si="39"/>
        <v>512026</v>
      </c>
      <c r="GC39" s="223">
        <f t="shared" si="40"/>
        <v>0</v>
      </c>
      <c r="GF39" s="223" t="str">
        <f t="shared" si="41"/>
        <v/>
      </c>
      <c r="GG39" s="1446" t="str">
        <f>+'Retenue Déc'!D37</f>
        <v/>
      </c>
      <c r="GH39" s="1446">
        <f>IF(Identification!$B$132="Non",+'Retenue Déc'!BF37,+'Retenue Déc'!BE37)</f>
        <v>0</v>
      </c>
      <c r="GJ39" s="1507" t="str">
        <f t="shared" si="42"/>
        <v/>
      </c>
      <c r="GK39" s="223" t="str">
        <f t="shared" si="43"/>
        <v/>
      </c>
      <c r="GL39" s="223" t="str">
        <f t="shared" si="44"/>
        <v/>
      </c>
      <c r="GM39" s="1506">
        <f t="shared" si="45"/>
        <v>0</v>
      </c>
      <c r="GO39" s="129">
        <f t="shared" si="19"/>
        <v>0</v>
      </c>
      <c r="GP39" s="129" t="str">
        <f t="shared" si="46"/>
        <v/>
      </c>
      <c r="GQ39" s="1446" t="str">
        <f t="shared" si="47"/>
        <v/>
      </c>
    </row>
    <row r="40" spans="1:199" x14ac:dyDescent="0.2">
      <c r="A40" s="2374" t="str">
        <f>Taux_cotisations!A9</f>
        <v>Santé :</v>
      </c>
      <c r="B40" s="2375"/>
      <c r="C40" s="2375"/>
      <c r="D40" s="2375"/>
      <c r="E40" s="2375"/>
      <c r="F40" s="2375"/>
      <c r="G40" s="2376"/>
      <c r="H40" s="2337"/>
      <c r="I40" s="2338"/>
      <c r="J40" s="2339"/>
      <c r="K40" s="1741"/>
      <c r="L40" s="2340"/>
      <c r="M40" s="2340"/>
      <c r="N40" s="1869"/>
      <c r="O40" s="1869"/>
      <c r="P40" s="1869"/>
      <c r="Q40" s="204"/>
      <c r="R40" s="2351"/>
      <c r="S40" s="2351"/>
      <c r="T40" s="2351"/>
      <c r="U40" s="2352"/>
      <c r="V40" s="2352"/>
      <c r="W40" s="2352"/>
      <c r="X40" s="2347"/>
      <c r="Y40" s="2347"/>
      <c r="Z40" s="2347"/>
      <c r="AA40" s="885" t="str">
        <f>IF(AND(BE40="OUI",$AR$13=S.CAL!$CU$2),"►",IF(AND(EV40="OUI",$AR$13=S.CAL!$CU$3),"►",""))</f>
        <v/>
      </c>
      <c r="AB40" s="1760">
        <f>+$X$3+20</f>
        <v>46377</v>
      </c>
      <c r="AC40" s="1761">
        <f>+$D$6+20</f>
        <v>20</v>
      </c>
      <c r="AD40" s="1748" t="str">
        <f>+IF(AND($AR$13=S.CAL!$CU$2,EX40&lt;&gt;0),EX40,IF(AND($AR$13=S.CAL!$CU$3,ER40&lt;&gt;0),ER40,0))</f>
        <v/>
      </c>
      <c r="AE40" s="1748"/>
      <c r="AF40" s="1748"/>
      <c r="AG40" s="1748" t="str">
        <f>+IF(AND($AR$13=S.CAL!$CU$2,EY40&lt;&gt;0),EY40,IF(AND($AR$13=S.CAL!$CU$3,ES40&lt;&gt;0),ES40,""))</f>
        <v/>
      </c>
      <c r="AH40" s="1748"/>
      <c r="AI40" s="1748"/>
      <c r="AJ40" s="1748" t="str">
        <f>+IF(AND($AR$13=S.CAL!$CU$2,EZ40&lt;&gt;0),EZ40,IF(AND($AR$13=S.CAL!$CU$3,ET40&lt;&gt;0),ET40,""))</f>
        <v/>
      </c>
      <c r="AK40" s="1748"/>
      <c r="AL40" s="1748"/>
      <c r="AM40" s="1748" t="str">
        <f>+IF(AND($AR$13=S.CAL!$CU$2,FA40&lt;&gt;0),FA40,IF(AND($AR$13=S.CAL!$CU$3,EU40&lt;&gt;0),EU40,""))</f>
        <v/>
      </c>
      <c r="AN40" s="1748"/>
      <c r="AO40" s="1784"/>
      <c r="AP40" s="215">
        <f t="shared" si="48"/>
        <v>52</v>
      </c>
      <c r="AQ40" s="322"/>
      <c r="AR40" s="1104"/>
      <c r="AS40" s="314">
        <f t="shared" si="3"/>
        <v>0</v>
      </c>
      <c r="AT40" s="1125"/>
      <c r="AU40" s="1125"/>
      <c r="AV40" s="314"/>
      <c r="AW40" s="1791">
        <f t="shared" si="21"/>
        <v>46377</v>
      </c>
      <c r="AX40" s="1761"/>
      <c r="AY40" s="314"/>
      <c r="AZ40" s="1104"/>
      <c r="BA40" s="973"/>
      <c r="BB40" s="543"/>
      <c r="BC40" s="548">
        <f t="shared" si="22"/>
        <v>0</v>
      </c>
      <c r="BD40" s="1104"/>
      <c r="BE40" s="807">
        <f t="shared" si="23"/>
        <v>0</v>
      </c>
      <c r="BF40" s="1128"/>
      <c r="BG40" s="222"/>
      <c r="BH40" s="548" t="str">
        <f t="shared" si="24"/>
        <v/>
      </c>
      <c r="BI40" s="1128"/>
      <c r="BJ40" s="129" t="str">
        <f t="shared" si="25"/>
        <v>Fiche infoA1</v>
      </c>
      <c r="BK40" s="129">
        <f t="shared" si="49"/>
        <v>52</v>
      </c>
      <c r="BL40" s="129" t="str">
        <f t="shared" si="4"/>
        <v>A</v>
      </c>
      <c r="BM40" s="129">
        <f t="shared" si="50"/>
        <v>1</v>
      </c>
      <c r="BN40" s="223" t="str">
        <f t="shared" si="60"/>
        <v>Fiche info</v>
      </c>
      <c r="BO40" s="314" t="str">
        <f t="shared" si="51"/>
        <v/>
      </c>
      <c r="BP40" s="196" t="str">
        <f t="shared" si="52"/>
        <v/>
      </c>
      <c r="BQ40" s="583"/>
      <c r="BR40" s="583"/>
      <c r="BS40" s="583"/>
      <c r="BT40" s="583"/>
      <c r="BU40" s="583"/>
      <c r="BV40" s="583"/>
      <c r="BW40" s="583"/>
      <c r="BX40" s="583"/>
      <c r="BY40" s="583"/>
      <c r="BZ40" s="583"/>
      <c r="CA40" s="583"/>
      <c r="DJ40" s="402" t="s">
        <v>1172</v>
      </c>
      <c r="DK40" s="741">
        <f>+'Retenue Déc'!P27</f>
        <v>0</v>
      </c>
      <c r="DU40" s="315">
        <f>IF(AND(SUM(AD40:AL40)&lt;=$DL$3,SUM(AD40:AL40)&gt;0,$CC$44=S.CAL!$BC$3),1,IF(AND(SUM(AD40:AL40)&lt;=$CE$54,SUM(AD40:AL40)&gt;0,$CC$44=S.CAL!$BC$4),1,0))</f>
        <v>0</v>
      </c>
      <c r="DV40" s="315">
        <f>IF(AND(SUM(AD40:AL40)&gt;$DL$3,$CC$44=S.CAL!$BC$3),SUM(AD40:AL40),IF(AND(SUM(AD40:AL40)&gt;$CE$54,$CC$44=S.CAL!$BC$4),SUM(AD40:AL40),IF(AND($CC$44=S.CAL!$BC$5,(SUM(AD40:AL40)*$CE$59)&gt;$CE$47),SUM(AD40:AL40),0)))</f>
        <v>0</v>
      </c>
      <c r="DW40" s="315">
        <f>+IF(AND($CC$44=S.CAL!$BC$5,(SUM(AD40:AL40)*$CE$59)&lt;=$CE$47),DX40,0)</f>
        <v>0</v>
      </c>
      <c r="DX40" s="315">
        <f>IF(AND(SUM(AD40:AL40)&lt;=DL3,SUM(AD40:AL40)&gt;0),1,0)</f>
        <v>0</v>
      </c>
      <c r="DY40" s="315">
        <f>IF(AND(SUM(AD40:AL40)&gt;DL3),SUM(AD40:AL40),0)</f>
        <v>0</v>
      </c>
      <c r="EA40" s="315">
        <f t="shared" si="8"/>
        <v>0</v>
      </c>
      <c r="EB40" s="315">
        <f t="shared" si="9"/>
        <v>0</v>
      </c>
      <c r="EQ40" s="783">
        <f t="shared" si="53"/>
        <v>46377</v>
      </c>
      <c r="ER40" s="784">
        <f t="shared" si="10"/>
        <v>0</v>
      </c>
      <c r="ES40" s="785">
        <f t="shared" si="11"/>
        <v>0</v>
      </c>
      <c r="ET40" s="784">
        <f t="shared" si="12"/>
        <v>0</v>
      </c>
      <c r="EU40" s="785">
        <f t="shared" si="13"/>
        <v>0</v>
      </c>
      <c r="EV40" s="784" t="str">
        <f t="shared" si="14"/>
        <v/>
      </c>
      <c r="EW40" s="751">
        <f t="shared" si="28"/>
        <v>46377</v>
      </c>
      <c r="EX40" s="759" t="str">
        <f>IFERROR(IF(AND(AZ40="",AR40&lt;&gt;S.CAL!$BJ$3,AR40&lt;&gt;S.CAL!$BJ$4),FS40-BC40,IF(AZ40&lt;&gt;0,AZ40,IF(OR(AR40=S.CAL!$BJ$3,AR40=S.CAL!$BJ$4),AR40,0))),"")</f>
        <v/>
      </c>
      <c r="EY40" s="753">
        <f t="shared" si="54"/>
        <v>0</v>
      </c>
      <c r="EZ40" s="736">
        <f t="shared" si="55"/>
        <v>0</v>
      </c>
      <c r="FA40" s="759" t="str">
        <f t="shared" si="31"/>
        <v/>
      </c>
      <c r="FB40" s="754" t="str">
        <f t="shared" si="15"/>
        <v/>
      </c>
      <c r="FC40" s="315" t="str">
        <f t="shared" si="56"/>
        <v>non</v>
      </c>
      <c r="FD40" s="760">
        <f t="shared" si="16"/>
        <v>0</v>
      </c>
      <c r="FG40" s="315" t="str">
        <f t="shared" si="57"/>
        <v/>
      </c>
      <c r="FJ40" s="315">
        <f t="shared" si="58"/>
        <v>1</v>
      </c>
      <c r="FK40" s="129">
        <f t="shared" si="17"/>
        <v>10</v>
      </c>
      <c r="FL40" s="129">
        <f t="shared" si="35"/>
        <v>1</v>
      </c>
      <c r="FN40" s="129">
        <f>+IF(AND($DP$8&lt;&gt;52,AR40=S.CAL!$BJ$4),10,1)</f>
        <v>1</v>
      </c>
      <c r="FP40" s="129">
        <f t="shared" si="18"/>
        <v>0</v>
      </c>
      <c r="FS40" s="223" t="str">
        <f t="shared" si="61"/>
        <v/>
      </c>
      <c r="FZ40" s="129">
        <f t="shared" si="37"/>
        <v>52</v>
      </c>
      <c r="GA40" s="129">
        <f t="shared" si="38"/>
        <v>2026</v>
      </c>
      <c r="GB40" s="129" t="str">
        <f t="shared" si="39"/>
        <v>522026</v>
      </c>
      <c r="GC40" s="223">
        <f t="shared" si="40"/>
        <v>0</v>
      </c>
      <c r="GF40" s="223" t="str">
        <f t="shared" si="41"/>
        <v/>
      </c>
      <c r="GG40" s="1446" t="str">
        <f>+'Retenue Déc'!D38</f>
        <v/>
      </c>
      <c r="GH40" s="1446">
        <f>IF(Identification!$B$132="Non",+'Retenue Déc'!BF38,+'Retenue Déc'!BE38)</f>
        <v>0</v>
      </c>
      <c r="GJ40" s="1507" t="str">
        <f t="shared" si="42"/>
        <v/>
      </c>
      <c r="GK40" s="223" t="str">
        <f t="shared" si="43"/>
        <v/>
      </c>
      <c r="GL40" s="223" t="str">
        <f t="shared" si="44"/>
        <v/>
      </c>
      <c r="GM40" s="1506">
        <f t="shared" si="45"/>
        <v>0</v>
      </c>
      <c r="GO40" s="129">
        <f t="shared" si="19"/>
        <v>0</v>
      </c>
      <c r="GP40" s="129" t="str">
        <f t="shared" si="46"/>
        <v/>
      </c>
      <c r="GQ40" s="1446" t="str">
        <f t="shared" si="47"/>
        <v/>
      </c>
    </row>
    <row r="41" spans="1:199" x14ac:dyDescent="0.2">
      <c r="A41" s="2333" t="str">
        <f>Taux_cotisations!A10</f>
        <v>Séc. Soc. Maladie invalidité</v>
      </c>
      <c r="B41" s="2334"/>
      <c r="C41" s="2334"/>
      <c r="D41" s="2334"/>
      <c r="E41" s="2334"/>
      <c r="F41" s="2334"/>
      <c r="G41" s="2335"/>
      <c r="H41" s="2337">
        <f>+T35*INDEX(table_base_coef_salariale,MATCH(A41,Taux_cotisations!$A$75:$A$101,0),MATCH($X$3,Taux_cotisations!$A$75:$M$75,0))</f>
        <v>0</v>
      </c>
      <c r="I41" s="2338"/>
      <c r="J41" s="2339"/>
      <c r="K41" s="1741">
        <f>INDEX(table_taux_salariales,MATCH(A41,Taux_cotisations!$A$6:$A$32,0),MATCH($X$3,Taux_cotisations!$A$6:$M$6,0))</f>
        <v>5.2200000000000003E-2</v>
      </c>
      <c r="L41" s="2340"/>
      <c r="M41" s="2340"/>
      <c r="N41" s="1869">
        <f>ROUND(K41*H41,4)</f>
        <v>0</v>
      </c>
      <c r="O41" s="1869"/>
      <c r="P41" s="1869"/>
      <c r="Q41" s="221"/>
      <c r="R41" s="2351">
        <f>+T35*INDEX(table_base_coef_patronale,MATCH(A41,Taux_cotisations!$A$110:$A$136,0),MATCH($X$3,Taux_cotisations!$A$110:$M$110,0))</f>
        <v>0</v>
      </c>
      <c r="S41" s="2351"/>
      <c r="T41" s="2351"/>
      <c r="U41" s="2352">
        <f>INDEX(table_taux_patronales,MATCH(A41,Taux_cotisations!$A$39:$A$65,0),MATCH($X$3,Taux_cotisations!$A$39:$M$39,0))</f>
        <v>5.8000000000000003E-2</v>
      </c>
      <c r="V41" s="2352"/>
      <c r="W41" s="2352"/>
      <c r="X41" s="2347">
        <f>ROUND(U41*R41,2)</f>
        <v>0</v>
      </c>
      <c r="Y41" s="2347"/>
      <c r="Z41" s="2347"/>
      <c r="AA41" s="885" t="str">
        <f>IF(AND(BE41="OUI",$AR$13=S.CAL!$CU$2),"►",IF(AND(EV41="OUI",$AR$13=S.CAL!$CU$3),"►",""))</f>
        <v/>
      </c>
      <c r="AB41" s="1760">
        <f>+$X$3+21</f>
        <v>46378</v>
      </c>
      <c r="AC41" s="1761">
        <f>+$D$6+21</f>
        <v>21</v>
      </c>
      <c r="AD41" s="1748" t="str">
        <f>+IF(AND($AR$13=S.CAL!$CU$2,EX41&lt;&gt;0),EX41,IF(AND($AR$13=S.CAL!$CU$3,ER41&lt;&gt;0),ER41,0))</f>
        <v/>
      </c>
      <c r="AE41" s="1748"/>
      <c r="AF41" s="1748"/>
      <c r="AG41" s="1748" t="str">
        <f>+IF(AND($AR$13=S.CAL!$CU$2,EY41&lt;&gt;0),EY41,IF(AND($AR$13=S.CAL!$CU$3,ES41&lt;&gt;0),ES41,""))</f>
        <v/>
      </c>
      <c r="AH41" s="1748"/>
      <c r="AI41" s="1748"/>
      <c r="AJ41" s="1748" t="str">
        <f>+IF(AND($AR$13=S.CAL!$CU$2,EZ41&lt;&gt;0),EZ41,IF(AND($AR$13=S.CAL!$CU$3,ET41&lt;&gt;0),ET41,""))</f>
        <v/>
      </c>
      <c r="AK41" s="1748"/>
      <c r="AL41" s="1748"/>
      <c r="AM41" s="1748" t="str">
        <f>+IF(AND($AR$13=S.CAL!$CU$2,FA41&lt;&gt;0),FA41,IF(AND($AR$13=S.CAL!$CU$3,EU41&lt;&gt;0),EU41,""))</f>
        <v/>
      </c>
      <c r="AN41" s="1748"/>
      <c r="AO41" s="1784"/>
      <c r="AP41" s="215" t="str">
        <f t="shared" si="48"/>
        <v/>
      </c>
      <c r="AQ41" s="322"/>
      <c r="AR41" s="1104"/>
      <c r="AS41" s="314">
        <f t="shared" si="3"/>
        <v>0</v>
      </c>
      <c r="AT41" s="1125"/>
      <c r="AU41" s="1125"/>
      <c r="AV41" s="314"/>
      <c r="AW41" s="1791">
        <f t="shared" si="21"/>
        <v>46378</v>
      </c>
      <c r="AX41" s="1761"/>
      <c r="AY41" s="314"/>
      <c r="AZ41" s="1104"/>
      <c r="BA41" s="973"/>
      <c r="BB41" s="543"/>
      <c r="BC41" s="548">
        <f t="shared" si="22"/>
        <v>0</v>
      </c>
      <c r="BD41" s="1104"/>
      <c r="BE41" s="807">
        <f t="shared" si="23"/>
        <v>0</v>
      </c>
      <c r="BF41" s="1128"/>
      <c r="BG41" s="222"/>
      <c r="BH41" s="548" t="str">
        <f t="shared" si="24"/>
        <v/>
      </c>
      <c r="BI41" s="1128"/>
      <c r="BJ41" s="129" t="str">
        <f t="shared" si="25"/>
        <v>Fiche infoA2</v>
      </c>
      <c r="BK41" s="129">
        <f t="shared" si="49"/>
        <v>52</v>
      </c>
      <c r="BL41" s="129" t="str">
        <f t="shared" si="4"/>
        <v>A</v>
      </c>
      <c r="BM41" s="129">
        <f t="shared" si="50"/>
        <v>2</v>
      </c>
      <c r="BN41" s="223" t="str">
        <f t="shared" si="60"/>
        <v>Fiche info</v>
      </c>
      <c r="BO41" s="314" t="str">
        <f t="shared" si="51"/>
        <v/>
      </c>
      <c r="BP41" s="196" t="str">
        <f t="shared" si="52"/>
        <v/>
      </c>
      <c r="BQ41" s="1948" t="s">
        <v>1047</v>
      </c>
      <c r="BR41" s="1948"/>
      <c r="BS41" s="1948"/>
      <c r="BT41" s="1948"/>
      <c r="BU41" s="1948"/>
      <c r="BV41" s="1948"/>
      <c r="BW41" s="583" t="str">
        <f>+IF(BX41="",Novembre!BW41,BX41)</f>
        <v>Non</v>
      </c>
      <c r="BX41" s="1116"/>
      <c r="BY41" s="583" t="s">
        <v>1048</v>
      </c>
      <c r="BZ41" s="583"/>
      <c r="CA41" s="583"/>
      <c r="DU41" s="315">
        <f>IF(AND(SUM(AD41:AL41)&lt;=$DL$3,SUM(AD41:AL41)&gt;0,$CC$44=S.CAL!$BC$3),1,IF(AND(SUM(AD41:AL41)&lt;=$CE$54,SUM(AD41:AL41)&gt;0,$CC$44=S.CAL!$BC$4),1,0))</f>
        <v>0</v>
      </c>
      <c r="DV41" s="315">
        <f>IF(AND(SUM(AD41:AL41)&gt;$DL$3,$CC$44=S.CAL!$BC$3),SUM(AD41:AL41),IF(AND(SUM(AD41:AL41)&gt;$CE$54,$CC$44=S.CAL!$BC$4),SUM(AD41:AL41),IF(AND($CC$44=S.CAL!$BC$5,(SUM(AD41:AL41)*$CE$59)&gt;$CE$47),SUM(AD41:AL41),0)))</f>
        <v>0</v>
      </c>
      <c r="DW41" s="315">
        <f>+IF(AND($CC$44=S.CAL!$BC$5,(SUM(AD41:AL41)*$CE$59)&lt;=$CE$47),DX41,0)</f>
        <v>0</v>
      </c>
      <c r="DX41" s="315">
        <f>IF(AND(SUM(AD41:AL41)&lt;=DL3,SUM(AD41:AL41)&gt;0),1,0)</f>
        <v>0</v>
      </c>
      <c r="DY41" s="315">
        <f>IF(AND(SUM(AD41:AL41)&gt;DL3),SUM(AD41:AL41),0)</f>
        <v>0</v>
      </c>
      <c r="EA41" s="315">
        <f t="shared" si="8"/>
        <v>0</v>
      </c>
      <c r="EB41" s="315">
        <f t="shared" si="9"/>
        <v>0</v>
      </c>
      <c r="EQ41" s="783">
        <f t="shared" si="53"/>
        <v>46378</v>
      </c>
      <c r="ER41" s="784">
        <f t="shared" si="10"/>
        <v>0</v>
      </c>
      <c r="ES41" s="785">
        <f t="shared" si="11"/>
        <v>0</v>
      </c>
      <c r="ET41" s="784">
        <f t="shared" si="12"/>
        <v>0</v>
      </c>
      <c r="EU41" s="785">
        <f t="shared" si="13"/>
        <v>0</v>
      </c>
      <c r="EV41" s="784" t="str">
        <f t="shared" si="14"/>
        <v/>
      </c>
      <c r="EW41" s="751">
        <f t="shared" si="28"/>
        <v>46378</v>
      </c>
      <c r="EX41" s="759" t="str">
        <f>IFERROR(IF(AND(AZ41="",AR41&lt;&gt;S.CAL!$BJ$3,AR41&lt;&gt;S.CAL!$BJ$4),FS41-BC41,IF(AZ41&lt;&gt;0,AZ41,IF(OR(AR41=S.CAL!$BJ$3,AR41=S.CAL!$BJ$4),AR41,0))),"")</f>
        <v/>
      </c>
      <c r="EY41" s="753">
        <f t="shared" si="54"/>
        <v>0</v>
      </c>
      <c r="EZ41" s="736">
        <f t="shared" si="55"/>
        <v>0</v>
      </c>
      <c r="FA41" s="759" t="str">
        <f t="shared" si="31"/>
        <v/>
      </c>
      <c r="FB41" s="754" t="str">
        <f t="shared" si="15"/>
        <v/>
      </c>
      <c r="FC41" s="315" t="str">
        <f t="shared" si="56"/>
        <v>non</v>
      </c>
      <c r="FD41" s="760">
        <f t="shared" si="16"/>
        <v>0</v>
      </c>
      <c r="FG41" s="315" t="str">
        <f t="shared" si="57"/>
        <v/>
      </c>
      <c r="FJ41" s="315">
        <f t="shared" si="58"/>
        <v>1</v>
      </c>
      <c r="FK41" s="129">
        <f t="shared" si="17"/>
        <v>10</v>
      </c>
      <c r="FL41" s="129">
        <f t="shared" si="35"/>
        <v>1</v>
      </c>
      <c r="FN41" s="129">
        <f>+IF(AND($DP$8&lt;&gt;52,AR41=S.CAL!$BJ$4),10,1)</f>
        <v>1</v>
      </c>
      <c r="FP41" s="129">
        <f t="shared" si="18"/>
        <v>0</v>
      </c>
      <c r="FS41" s="223" t="str">
        <f t="shared" si="61"/>
        <v/>
      </c>
      <c r="FZ41" s="129">
        <f t="shared" si="37"/>
        <v>52</v>
      </c>
      <c r="GA41" s="129">
        <f t="shared" si="38"/>
        <v>2026</v>
      </c>
      <c r="GB41" s="129" t="str">
        <f t="shared" si="39"/>
        <v>522026</v>
      </c>
      <c r="GC41" s="223">
        <f t="shared" si="40"/>
        <v>0</v>
      </c>
      <c r="GF41" s="223" t="str">
        <f t="shared" si="41"/>
        <v/>
      </c>
      <c r="GG41" s="1446" t="str">
        <f>+'Retenue Déc'!D39</f>
        <v/>
      </c>
      <c r="GH41" s="1446">
        <f>IF(Identification!$B$132="Non",+'Retenue Déc'!BF39,+'Retenue Déc'!BE39)</f>
        <v>0</v>
      </c>
      <c r="GJ41" s="1507" t="str">
        <f t="shared" si="42"/>
        <v/>
      </c>
      <c r="GK41" s="223" t="str">
        <f t="shared" si="43"/>
        <v/>
      </c>
      <c r="GL41" s="223" t="str">
        <f t="shared" si="44"/>
        <v/>
      </c>
      <c r="GM41" s="1506">
        <f t="shared" si="45"/>
        <v>0</v>
      </c>
      <c r="GO41" s="129">
        <f t="shared" si="19"/>
        <v>0</v>
      </c>
      <c r="GP41" s="129" t="str">
        <f t="shared" si="46"/>
        <v/>
      </c>
      <c r="GQ41" s="1446" t="str">
        <f t="shared" si="47"/>
        <v/>
      </c>
    </row>
    <row r="42" spans="1:199" x14ac:dyDescent="0.2">
      <c r="A42" s="2333" t="str">
        <f>Taux_cotisations!A11</f>
        <v>Prévoyance T1</v>
      </c>
      <c r="B42" s="2334"/>
      <c r="C42" s="2334"/>
      <c r="D42" s="2334"/>
      <c r="E42" s="2334"/>
      <c r="F42" s="2334"/>
      <c r="G42" s="2335"/>
      <c r="H42" s="2341">
        <f>IF(AND(T35&gt;=EG6,T35&gt;0),EG6*INDEX(table_base_coef_salariale,MATCH(A42,Taux_cotisations!$A$75:$A$101,0),MATCH($X$3,Taux_cotisations!$A$75:$M$75,0)),+T35*INDEX(table_base_coef_salariale,MATCH(A42,Taux_cotisations!$A$75:$A$101,0),MATCH($X$3,Taux_cotisations!$A$75:$M$75,0)))</f>
        <v>0</v>
      </c>
      <c r="I42" s="1869"/>
      <c r="J42" s="2342"/>
      <c r="K42" s="1741">
        <f>INDEX(table_taux_salariales,MATCH(A42,Taux_cotisations!$A$6:$A$32,0),MATCH($X$3,Taux_cotisations!$A$6:$M$6,0))</f>
        <v>1.04E-2</v>
      </c>
      <c r="L42" s="2340"/>
      <c r="M42" s="2340"/>
      <c r="N42" s="1869">
        <f>ROUND(K42*H42,4)</f>
        <v>0</v>
      </c>
      <c r="O42" s="1869"/>
      <c r="P42" s="1869"/>
      <c r="Q42" s="221"/>
      <c r="R42" s="2351">
        <f>IF(AND($T$35&gt;=$EG$6,$T$35&gt;0),$EG$6*INDEX(table_base_coef_patronale,MATCH(A42,Taux_cotisations!$A$110:$A$136,0),MATCH($X$3,Taux_cotisations!$A$110:$M$110,0)),+$T$35*INDEX(table_base_coef_patronale,MATCH(A42,Taux_cotisations!$A$110:$A$136,0),MATCH($X$3,Taux_cotisations!$A$110:$M$110,0)))</f>
        <v>0</v>
      </c>
      <c r="S42" s="2351"/>
      <c r="T42" s="2351"/>
      <c r="U42" s="2352">
        <f>INDEX(table_taux_patronales,MATCH(A42,Taux_cotisations!$A$39:$A$65,0),MATCH($X$3,Taux_cotisations!$A$39:$M$39,0))</f>
        <v>2.4500000000000001E-2</v>
      </c>
      <c r="V42" s="2352"/>
      <c r="W42" s="2352"/>
      <c r="X42" s="2347">
        <f>ROUND(U42*R42,2)</f>
        <v>0</v>
      </c>
      <c r="Y42" s="2347"/>
      <c r="Z42" s="2347"/>
      <c r="AA42" s="885" t="str">
        <f>IF(AND(BE42="OUI",$AR$13=S.CAL!$CU$2),"►",IF(AND(EV42="OUI",$AR$13=S.CAL!$CU$3),"►",""))</f>
        <v/>
      </c>
      <c r="AB42" s="1760">
        <f>+$X$3+22</f>
        <v>46379</v>
      </c>
      <c r="AC42" s="1761">
        <f>+$D$6+22</f>
        <v>22</v>
      </c>
      <c r="AD42" s="1748" t="str">
        <f>+IF(AND($AR$13=S.CAL!$CU$2,EX42&lt;&gt;0),EX42,IF(AND($AR$13=S.CAL!$CU$3,ER42&lt;&gt;0),ER42,0))</f>
        <v/>
      </c>
      <c r="AE42" s="1748"/>
      <c r="AF42" s="1748"/>
      <c r="AG42" s="1748" t="str">
        <f>+IF(AND($AR$13=S.CAL!$CU$2,EY42&lt;&gt;0),EY42,IF(AND($AR$13=S.CAL!$CU$3,ES42&lt;&gt;0),ES42,""))</f>
        <v/>
      </c>
      <c r="AH42" s="1748"/>
      <c r="AI42" s="1748"/>
      <c r="AJ42" s="1748" t="str">
        <f>+IF(AND($AR$13=S.CAL!$CU$2,EZ42&lt;&gt;0),EZ42,IF(AND($AR$13=S.CAL!$CU$3,ET42&lt;&gt;0),ET42,""))</f>
        <v/>
      </c>
      <c r="AK42" s="1748"/>
      <c r="AL42" s="1748"/>
      <c r="AM42" s="1748" t="str">
        <f>+IF(AND($AR$13=S.CAL!$CU$2,FA42&lt;&gt;0),FA42,IF(AND($AR$13=S.CAL!$CU$3,EU42&lt;&gt;0),EU42,""))</f>
        <v/>
      </c>
      <c r="AN42" s="1748"/>
      <c r="AO42" s="1784"/>
      <c r="AP42" s="215" t="str">
        <f t="shared" si="48"/>
        <v/>
      </c>
      <c r="AQ42" s="322"/>
      <c r="AR42" s="1104"/>
      <c r="AS42" s="314">
        <f t="shared" si="3"/>
        <v>0</v>
      </c>
      <c r="AT42" s="1125"/>
      <c r="AU42" s="1125"/>
      <c r="AV42" s="314"/>
      <c r="AW42" s="1791">
        <f t="shared" si="21"/>
        <v>46379</v>
      </c>
      <c r="AX42" s="1761"/>
      <c r="AY42" s="314"/>
      <c r="AZ42" s="1104"/>
      <c r="BA42" s="973"/>
      <c r="BB42" s="543"/>
      <c r="BC42" s="548">
        <f t="shared" si="22"/>
        <v>0</v>
      </c>
      <c r="BD42" s="1104"/>
      <c r="BE42" s="807">
        <f t="shared" si="23"/>
        <v>0</v>
      </c>
      <c r="BF42" s="1128"/>
      <c r="BG42" s="222"/>
      <c r="BH42" s="548" t="str">
        <f t="shared" si="24"/>
        <v/>
      </c>
      <c r="BI42" s="1128"/>
      <c r="BJ42" s="129" t="str">
        <f t="shared" si="25"/>
        <v>Fiche infoA3</v>
      </c>
      <c r="BK42" s="129">
        <f t="shared" si="49"/>
        <v>52</v>
      </c>
      <c r="BL42" s="129" t="str">
        <f t="shared" si="4"/>
        <v>A</v>
      </c>
      <c r="BM42" s="129">
        <f t="shared" si="50"/>
        <v>3</v>
      </c>
      <c r="BN42" s="223" t="str">
        <f t="shared" si="60"/>
        <v>Fiche info</v>
      </c>
      <c r="BO42" s="314" t="str">
        <f t="shared" si="51"/>
        <v/>
      </c>
      <c r="BP42" s="196" t="str">
        <f t="shared" si="52"/>
        <v/>
      </c>
      <c r="BQ42" s="2103" t="s">
        <v>1087</v>
      </c>
      <c r="BR42" s="2103"/>
      <c r="BS42" s="2103"/>
      <c r="BT42" s="2103"/>
      <c r="BU42" s="2103"/>
      <c r="BV42" s="2103"/>
      <c r="BW42" s="2103"/>
      <c r="BX42" s="583"/>
      <c r="BY42" s="583"/>
      <c r="BZ42" s="583"/>
      <c r="CA42" s="583"/>
      <c r="CB42" s="604"/>
      <c r="CC42" s="604" t="s">
        <v>1046</v>
      </c>
      <c r="CD42" s="604"/>
      <c r="CE42" s="604"/>
      <c r="DU42" s="315">
        <f>IF(AND(SUM(AD42:AL42)&lt;=$DL$3,SUM(AD42:AL42)&gt;0,$CC$44=S.CAL!$BC$3),1,IF(AND(SUM(AD42:AL42)&lt;=$CE$54,SUM(AD42:AL42)&gt;0,$CC$44=S.CAL!$BC$4),1,0))</f>
        <v>0</v>
      </c>
      <c r="DV42" s="315">
        <f>IF(AND(SUM(AD42:AL42)&gt;$DL$3,$CC$44=S.CAL!$BC$3),SUM(AD42:AL42),IF(AND(SUM(AD42:AL42)&gt;$CE$54,$CC$44=S.CAL!$BC$4),SUM(AD42:AL42),IF(AND($CC$44=S.CAL!$BC$5,(SUM(AD42:AL42)*$CE$59)&gt;$CE$47),SUM(AD42:AL42),0)))</f>
        <v>0</v>
      </c>
      <c r="DW42" s="315">
        <f>+IF(AND($CC$44=S.CAL!$BC$5,(SUM(AD42:AL42)*$CE$59)&lt;=$CE$47),DX42,0)</f>
        <v>0</v>
      </c>
      <c r="DX42" s="315">
        <f>IF(AND(SUM(AD42:AL42)&lt;=DL3,SUM(AD42:AL42)&gt;0),1,0)</f>
        <v>0</v>
      </c>
      <c r="DY42" s="315">
        <f>IF(AND(SUM(AD42:AL42)&gt;DL3),SUM(AD42:AL42),0)</f>
        <v>0</v>
      </c>
      <c r="EA42" s="315">
        <f t="shared" si="8"/>
        <v>0</v>
      </c>
      <c r="EB42" s="315">
        <f t="shared" si="9"/>
        <v>0</v>
      </c>
      <c r="EQ42" s="783">
        <f t="shared" si="53"/>
        <v>46379</v>
      </c>
      <c r="ER42" s="784">
        <f t="shared" si="10"/>
        <v>0</v>
      </c>
      <c r="ES42" s="785">
        <f t="shared" si="11"/>
        <v>0</v>
      </c>
      <c r="ET42" s="784">
        <f t="shared" si="12"/>
        <v>0</v>
      </c>
      <c r="EU42" s="785">
        <f t="shared" si="13"/>
        <v>0</v>
      </c>
      <c r="EV42" s="784" t="str">
        <f t="shared" si="14"/>
        <v/>
      </c>
      <c r="EW42" s="751">
        <f t="shared" si="28"/>
        <v>46379</v>
      </c>
      <c r="EX42" s="759" t="str">
        <f>IFERROR(IF(AND(AZ42="",AR42&lt;&gt;S.CAL!$BJ$3,AR42&lt;&gt;S.CAL!$BJ$4),FS42-BC42,IF(AZ42&lt;&gt;0,AZ42,IF(OR(AR42=S.CAL!$BJ$3,AR42=S.CAL!$BJ$4),AR42,0))),"")</f>
        <v/>
      </c>
      <c r="EY42" s="753">
        <f t="shared" si="54"/>
        <v>0</v>
      </c>
      <c r="EZ42" s="736">
        <f t="shared" si="55"/>
        <v>0</v>
      </c>
      <c r="FA42" s="759" t="str">
        <f t="shared" si="31"/>
        <v/>
      </c>
      <c r="FB42" s="754" t="str">
        <f t="shared" si="15"/>
        <v/>
      </c>
      <c r="FC42" s="315" t="str">
        <f t="shared" si="56"/>
        <v>non</v>
      </c>
      <c r="FD42" s="760">
        <f t="shared" si="16"/>
        <v>0</v>
      </c>
      <c r="FG42" s="315" t="str">
        <f t="shared" si="57"/>
        <v/>
      </c>
      <c r="FJ42" s="315">
        <f t="shared" si="58"/>
        <v>1</v>
      </c>
      <c r="FK42" s="129">
        <f t="shared" si="17"/>
        <v>10</v>
      </c>
      <c r="FL42" s="129">
        <f t="shared" si="35"/>
        <v>1</v>
      </c>
      <c r="FN42" s="129">
        <f>+IF(AND($DP$8&lt;&gt;52,AR42=S.CAL!$BJ$4),10,1)</f>
        <v>1</v>
      </c>
      <c r="FP42" s="129">
        <f t="shared" si="18"/>
        <v>0</v>
      </c>
      <c r="FS42" s="223" t="str">
        <f t="shared" si="61"/>
        <v/>
      </c>
      <c r="FZ42" s="129">
        <f t="shared" si="37"/>
        <v>52</v>
      </c>
      <c r="GA42" s="129">
        <f t="shared" si="38"/>
        <v>2026</v>
      </c>
      <c r="GB42" s="129" t="str">
        <f t="shared" si="39"/>
        <v>522026</v>
      </c>
      <c r="GC42" s="223">
        <f t="shared" si="40"/>
        <v>0</v>
      </c>
      <c r="GF42" s="223" t="str">
        <f t="shared" si="41"/>
        <v/>
      </c>
      <c r="GG42" s="1446" t="str">
        <f>+'Retenue Déc'!D40</f>
        <v/>
      </c>
      <c r="GH42" s="1446">
        <f>IF(Identification!$B$132="Non",+'Retenue Déc'!BF40,+'Retenue Déc'!BE40)</f>
        <v>0</v>
      </c>
      <c r="GJ42" s="1507" t="str">
        <f t="shared" si="42"/>
        <v/>
      </c>
      <c r="GK42" s="223" t="str">
        <f t="shared" si="43"/>
        <v/>
      </c>
      <c r="GL42" s="223" t="str">
        <f t="shared" si="44"/>
        <v/>
      </c>
      <c r="GM42" s="1506">
        <f t="shared" si="45"/>
        <v>0</v>
      </c>
      <c r="GO42" s="129">
        <f t="shared" si="19"/>
        <v>0</v>
      </c>
      <c r="GP42" s="129" t="str">
        <f t="shared" si="46"/>
        <v/>
      </c>
      <c r="GQ42" s="1446" t="str">
        <f t="shared" si="47"/>
        <v/>
      </c>
    </row>
    <row r="43" spans="1:199" x14ac:dyDescent="0.2">
      <c r="A43" s="2333" t="str">
        <f>Taux_cotisations!A12</f>
        <v>Prévoyance T2</v>
      </c>
      <c r="B43" s="2334"/>
      <c r="C43" s="2334"/>
      <c r="D43" s="2334"/>
      <c r="E43" s="2334"/>
      <c r="F43" s="2334"/>
      <c r="G43" s="2335"/>
      <c r="H43" s="2337"/>
      <c r="I43" s="2338"/>
      <c r="J43" s="2339"/>
      <c r="K43" s="1741"/>
      <c r="L43" s="2340"/>
      <c r="M43" s="2340"/>
      <c r="N43" s="1869"/>
      <c r="O43" s="1869"/>
      <c r="P43" s="1869"/>
      <c r="Q43" s="221"/>
      <c r="R43" s="2351">
        <f>+IF(AND(T35&gt;0,T35&gt;EG6),(T35-EG6)*INDEX(table_base_coef_patronale,MATCH(A43,Taux_cotisations!$A$110:$A$136,0),MATCH($X$3,Taux_cotisations!$A$110:$M$110,0)),0)</f>
        <v>0</v>
      </c>
      <c r="S43" s="2351"/>
      <c r="T43" s="2351"/>
      <c r="U43" s="2352">
        <f>IF(R43=0,0,INDEX(table_taux_patronales,MATCH(A43,Taux_cotisations!$A$39:$A$65,0),MATCH($X$3,Taux_cotisations!$A$39:$M$39,0)))</f>
        <v>0</v>
      </c>
      <c r="V43" s="2352"/>
      <c r="W43" s="2352"/>
      <c r="X43" s="2347">
        <f>ROUND(U43*R43,2)</f>
        <v>0</v>
      </c>
      <c r="Y43" s="2347"/>
      <c r="Z43" s="2347"/>
      <c r="AA43" s="885" t="str">
        <f>IF(AND(BE43="OUI",$AR$13=S.CAL!$CU$2),"►",IF(AND(EV43="OUI",$AR$13=S.CAL!$CU$3),"►",""))</f>
        <v/>
      </c>
      <c r="AB43" s="1760">
        <f>+$X$3+23</f>
        <v>46380</v>
      </c>
      <c r="AC43" s="1761">
        <f>+$D$6+23</f>
        <v>23</v>
      </c>
      <c r="AD43" s="1748" t="str">
        <f>+IF(AND($AR$13=S.CAL!$CU$2,EX43&lt;&gt;0),EX43,IF(AND($AR$13=S.CAL!$CU$3,ER43&lt;&gt;0),ER43,0))</f>
        <v/>
      </c>
      <c r="AE43" s="1748"/>
      <c r="AF43" s="1748"/>
      <c r="AG43" s="1748" t="str">
        <f>+IF(AND($AR$13=S.CAL!$CU$2,EY43&lt;&gt;0),EY43,IF(AND($AR$13=S.CAL!$CU$3,ES43&lt;&gt;0),ES43,""))</f>
        <v/>
      </c>
      <c r="AH43" s="1748"/>
      <c r="AI43" s="1748"/>
      <c r="AJ43" s="1748" t="str">
        <f>+IF(AND($AR$13=S.CAL!$CU$2,EZ43&lt;&gt;0),EZ43,IF(AND($AR$13=S.CAL!$CU$3,ET43&lt;&gt;0),ET43,""))</f>
        <v/>
      </c>
      <c r="AK43" s="1748"/>
      <c r="AL43" s="1748"/>
      <c r="AM43" s="1748" t="str">
        <f>+IF(AND($AR$13=S.CAL!$CU$2,FA43&lt;&gt;0),FA43,IF(AND($AR$13=S.CAL!$CU$3,EU43&lt;&gt;0),EU43,""))</f>
        <v/>
      </c>
      <c r="AN43" s="1748"/>
      <c r="AO43" s="1784"/>
      <c r="AP43" s="215" t="str">
        <f t="shared" si="48"/>
        <v/>
      </c>
      <c r="AQ43" s="322"/>
      <c r="AR43" s="1104"/>
      <c r="AS43" s="314">
        <f t="shared" si="3"/>
        <v>0</v>
      </c>
      <c r="AT43" s="1125"/>
      <c r="AU43" s="1125"/>
      <c r="AV43" s="314"/>
      <c r="AW43" s="1791">
        <f t="shared" si="21"/>
        <v>46380</v>
      </c>
      <c r="AX43" s="1761"/>
      <c r="AY43" s="314"/>
      <c r="AZ43" s="1104"/>
      <c r="BA43" s="973"/>
      <c r="BB43" s="543"/>
      <c r="BC43" s="548">
        <f t="shared" si="22"/>
        <v>0</v>
      </c>
      <c r="BD43" s="1104"/>
      <c r="BE43" s="807">
        <f t="shared" si="23"/>
        <v>0</v>
      </c>
      <c r="BF43" s="1128"/>
      <c r="BG43" s="222"/>
      <c r="BH43" s="548" t="str">
        <f t="shared" si="24"/>
        <v/>
      </c>
      <c r="BI43" s="1128"/>
      <c r="BJ43" s="129" t="str">
        <f t="shared" si="25"/>
        <v>Fiche infoA4</v>
      </c>
      <c r="BK43" s="129">
        <f t="shared" si="49"/>
        <v>52</v>
      </c>
      <c r="BL43" s="129" t="str">
        <f t="shared" si="4"/>
        <v>A</v>
      </c>
      <c r="BM43" s="129">
        <f t="shared" si="50"/>
        <v>4</v>
      </c>
      <c r="BN43" s="223" t="str">
        <f t="shared" si="60"/>
        <v>Fiche info</v>
      </c>
      <c r="BO43" s="314" t="str">
        <f t="shared" si="51"/>
        <v/>
      </c>
      <c r="BP43" s="196" t="str">
        <f t="shared" si="52"/>
        <v/>
      </c>
      <c r="BQ43" s="2104"/>
      <c r="BR43" s="2104"/>
      <c r="BS43" s="2104"/>
      <c r="BT43" s="2104"/>
      <c r="BU43" s="2104"/>
      <c r="BV43" s="2104"/>
      <c r="BW43" s="2104"/>
      <c r="BX43" s="583"/>
      <c r="BY43" s="584" t="s">
        <v>40</v>
      </c>
      <c r="BZ43" s="584" t="s">
        <v>41</v>
      </c>
      <c r="CA43" s="585" t="s">
        <v>42</v>
      </c>
      <c r="CB43" s="604"/>
      <c r="CC43" s="604"/>
      <c r="CD43" s="604"/>
      <c r="CE43" s="604"/>
      <c r="DU43" s="315">
        <f>IF(AND(SUM(AD43:AL43)&lt;=$DL$3,SUM(AD43:AL43)&gt;0,$CC$44=S.CAL!$BC$3),1,IF(AND(SUM(AD43:AL43)&lt;=$CE$54,SUM(AD43:AL43)&gt;0,$CC$44=S.CAL!$BC$4),1,0))</f>
        <v>0</v>
      </c>
      <c r="DV43" s="315">
        <f>IF(AND(SUM(AD43:AL43)&gt;$DL$3,$CC$44=S.CAL!$BC$3),SUM(AD43:AL43),IF(AND(SUM(AD43:AL43)&gt;$CE$54,$CC$44=S.CAL!$BC$4),SUM(AD43:AL43),IF(AND($CC$44=S.CAL!$BC$5,(SUM(AD43:AL43)*$CE$59)&gt;$CE$47),SUM(AD43:AL43),0)))</f>
        <v>0</v>
      </c>
      <c r="DW43" s="315">
        <f>+IF(AND($CC$44=S.CAL!$BC$5,(SUM(AD43:AL43)*$CE$59)&lt;=$CE$47),DX43,0)</f>
        <v>0</v>
      </c>
      <c r="DX43" s="315">
        <f>IF(AND(SUM(AD43:AL43)&lt;=DL3,SUM(AD43:AL43)&gt;0),1,0)</f>
        <v>0</v>
      </c>
      <c r="DY43" s="315">
        <f>IF(AND(SUM(AD43:AL43)&gt;DL3),SUM(AD43:AL43),0)</f>
        <v>0</v>
      </c>
      <c r="EA43" s="315">
        <f t="shared" si="8"/>
        <v>0</v>
      </c>
      <c r="EB43" s="315">
        <f t="shared" si="9"/>
        <v>0</v>
      </c>
      <c r="EQ43" s="783">
        <f t="shared" si="53"/>
        <v>46380</v>
      </c>
      <c r="ER43" s="784">
        <f t="shared" si="10"/>
        <v>0</v>
      </c>
      <c r="ES43" s="785">
        <f t="shared" si="11"/>
        <v>0</v>
      </c>
      <c r="ET43" s="784">
        <f t="shared" si="12"/>
        <v>0</v>
      </c>
      <c r="EU43" s="785">
        <f t="shared" si="13"/>
        <v>0</v>
      </c>
      <c r="EV43" s="784" t="str">
        <f t="shared" si="14"/>
        <v/>
      </c>
      <c r="EW43" s="751">
        <f t="shared" si="28"/>
        <v>46380</v>
      </c>
      <c r="EX43" s="759" t="str">
        <f>IFERROR(IF(AND(AZ43="",AR43&lt;&gt;S.CAL!$BJ$3,AR43&lt;&gt;S.CAL!$BJ$4),FS43-BC43,IF(AZ43&lt;&gt;0,AZ43,IF(OR(AR43=S.CAL!$BJ$3,AR43=S.CAL!$BJ$4),AR43,0))),"")</f>
        <v/>
      </c>
      <c r="EY43" s="753">
        <f t="shared" si="54"/>
        <v>0</v>
      </c>
      <c r="EZ43" s="736">
        <f t="shared" si="55"/>
        <v>0</v>
      </c>
      <c r="FA43" s="759" t="str">
        <f t="shared" si="31"/>
        <v/>
      </c>
      <c r="FB43" s="754" t="str">
        <f t="shared" si="15"/>
        <v/>
      </c>
      <c r="FC43" s="315" t="str">
        <f t="shared" si="56"/>
        <v>non</v>
      </c>
      <c r="FD43" s="760">
        <f t="shared" si="16"/>
        <v>0</v>
      </c>
      <c r="FG43" s="315" t="str">
        <f t="shared" si="57"/>
        <v/>
      </c>
      <c r="FJ43" s="315">
        <f t="shared" si="58"/>
        <v>1</v>
      </c>
      <c r="FK43" s="129">
        <f t="shared" si="17"/>
        <v>10</v>
      </c>
      <c r="FL43" s="129">
        <f t="shared" si="35"/>
        <v>1</v>
      </c>
      <c r="FN43" s="129">
        <f>+IF(AND($DP$8&lt;&gt;52,AR43=S.CAL!$BJ$4),10,1)</f>
        <v>1</v>
      </c>
      <c r="FP43" s="129">
        <f t="shared" si="18"/>
        <v>0</v>
      </c>
      <c r="FS43" s="223" t="str">
        <f t="shared" si="61"/>
        <v/>
      </c>
      <c r="FZ43" s="129">
        <f t="shared" si="37"/>
        <v>52</v>
      </c>
      <c r="GA43" s="129">
        <f t="shared" si="38"/>
        <v>2026</v>
      </c>
      <c r="GB43" s="129" t="str">
        <f t="shared" si="39"/>
        <v>522026</v>
      </c>
      <c r="GC43" s="223">
        <f t="shared" si="40"/>
        <v>0</v>
      </c>
      <c r="GF43" s="223" t="str">
        <f t="shared" si="41"/>
        <v/>
      </c>
      <c r="GG43" s="1446" t="str">
        <f>+'Retenue Déc'!D41</f>
        <v/>
      </c>
      <c r="GH43" s="1446">
        <f>IF(Identification!$B$132="Non",+'Retenue Déc'!BF41,+'Retenue Déc'!BE41)</f>
        <v>0</v>
      </c>
      <c r="GJ43" s="1507" t="str">
        <f t="shared" si="42"/>
        <v/>
      </c>
      <c r="GK43" s="223" t="str">
        <f t="shared" si="43"/>
        <v/>
      </c>
      <c r="GL43" s="223" t="str">
        <f t="shared" si="44"/>
        <v/>
      </c>
      <c r="GM43" s="1506">
        <f t="shared" si="45"/>
        <v>0</v>
      </c>
      <c r="GO43" s="129">
        <f t="shared" si="19"/>
        <v>0</v>
      </c>
      <c r="GP43" s="129" t="str">
        <f t="shared" si="46"/>
        <v/>
      </c>
      <c r="GQ43" s="1446" t="str">
        <f t="shared" si="47"/>
        <v/>
      </c>
    </row>
    <row r="44" spans="1:199" x14ac:dyDescent="0.2">
      <c r="A44" s="2356"/>
      <c r="B44" s="2357"/>
      <c r="C44" s="2357"/>
      <c r="D44" s="2357"/>
      <c r="E44" s="2357"/>
      <c r="F44" s="2357"/>
      <c r="G44" s="2358"/>
      <c r="H44" s="2337"/>
      <c r="I44" s="2338"/>
      <c r="J44" s="2339"/>
      <c r="K44" s="1741"/>
      <c r="L44" s="2340"/>
      <c r="M44" s="2340"/>
      <c r="N44" s="1869"/>
      <c r="O44" s="1869"/>
      <c r="P44" s="1869"/>
      <c r="R44" s="2351"/>
      <c r="S44" s="2351"/>
      <c r="T44" s="2351"/>
      <c r="U44" s="2352"/>
      <c r="V44" s="2352"/>
      <c r="W44" s="2352"/>
      <c r="X44" s="2347"/>
      <c r="Y44" s="2347"/>
      <c r="Z44" s="2347"/>
      <c r="AA44" s="885" t="str">
        <f>IF(AND(BE44="OUI",$AR$13=S.CAL!$CU$2),"►",IF(AND(EV44="OUI",$AR$13=S.CAL!$CU$3),"►",""))</f>
        <v/>
      </c>
      <c r="AB44" s="1760">
        <f>+$X$3+24</f>
        <v>46381</v>
      </c>
      <c r="AC44" s="1761">
        <f>+$D$6+24</f>
        <v>24</v>
      </c>
      <c r="AD44" s="1748" t="str">
        <f>+IF(AND($AR$13=S.CAL!$CU$2,EX44&lt;&gt;0),EX44,IF(AND($AR$13=S.CAL!$CU$3,ER44&lt;&gt;0),ER44,0))</f>
        <v/>
      </c>
      <c r="AE44" s="1748"/>
      <c r="AF44" s="1748"/>
      <c r="AG44" s="1748" t="str">
        <f>+IF(AND($AR$13=S.CAL!$CU$2,EY44&lt;&gt;0),EY44,IF(AND($AR$13=S.CAL!$CU$3,ES44&lt;&gt;0),ES44,""))</f>
        <v/>
      </c>
      <c r="AH44" s="1748"/>
      <c r="AI44" s="1748"/>
      <c r="AJ44" s="1748" t="str">
        <f>+IF(AND($AR$13=S.CAL!$CU$2,EZ44&lt;&gt;0),EZ44,IF(AND($AR$13=S.CAL!$CU$3,ET44&lt;&gt;0),ET44,""))</f>
        <v/>
      </c>
      <c r="AK44" s="1748"/>
      <c r="AL44" s="1748"/>
      <c r="AM44" s="1748" t="str">
        <f>+IF(AND($AR$13=S.CAL!$CU$2,FA44&lt;&gt;0),FA44,IF(AND($AR$13=S.CAL!$CU$3,EU44&lt;&gt;0),EU44,""))</f>
        <v/>
      </c>
      <c r="AN44" s="1748"/>
      <c r="AO44" s="1784"/>
      <c r="AP44" s="215" t="str">
        <f t="shared" si="48"/>
        <v/>
      </c>
      <c r="AQ44" s="322"/>
      <c r="AR44" s="1104"/>
      <c r="AS44" s="314">
        <f t="shared" si="3"/>
        <v>0</v>
      </c>
      <c r="AT44" s="1125"/>
      <c r="AU44" s="1125"/>
      <c r="AV44" s="314"/>
      <c r="AW44" s="1791">
        <f t="shared" si="21"/>
        <v>46381</v>
      </c>
      <c r="AX44" s="1761"/>
      <c r="AY44" s="314"/>
      <c r="AZ44" s="1104"/>
      <c r="BA44" s="973"/>
      <c r="BB44" s="543"/>
      <c r="BC44" s="548">
        <f t="shared" si="22"/>
        <v>0</v>
      </c>
      <c r="BD44" s="1104"/>
      <c r="BE44" s="807">
        <f t="shared" si="23"/>
        <v>0</v>
      </c>
      <c r="BF44" s="1128"/>
      <c r="BG44" s="222"/>
      <c r="BH44" s="548" t="str">
        <f t="shared" si="24"/>
        <v/>
      </c>
      <c r="BI44" s="1128"/>
      <c r="BJ44" s="129" t="str">
        <f t="shared" si="25"/>
        <v>Fiche infoA5</v>
      </c>
      <c r="BK44" s="129">
        <f t="shared" si="49"/>
        <v>52</v>
      </c>
      <c r="BL44" s="129" t="str">
        <f t="shared" si="4"/>
        <v>A</v>
      </c>
      <c r="BM44" s="129">
        <f t="shared" si="50"/>
        <v>5</v>
      </c>
      <c r="BN44" s="223" t="str">
        <f t="shared" si="60"/>
        <v>Fiche info</v>
      </c>
      <c r="BO44" s="314" t="str">
        <f t="shared" si="51"/>
        <v/>
      </c>
      <c r="BP44" s="196" t="str">
        <f t="shared" si="52"/>
        <v/>
      </c>
      <c r="BQ44" s="586" t="s">
        <v>52</v>
      </c>
      <c r="BR44" s="587"/>
      <c r="BS44" s="587"/>
      <c r="BT44" s="587"/>
      <c r="BU44" s="587"/>
      <c r="BV44" s="587"/>
      <c r="BW44" s="587"/>
      <c r="BX44" s="588"/>
      <c r="BY44" s="2098">
        <f>+IF(DW51&gt;=1,DW51,DU51)</f>
        <v>0</v>
      </c>
      <c r="BZ44" s="2085">
        <f>IF(CC44=S.CAL!$BC$3,CE47,IF(CC44=S.CAL!$BC$4,CE53,IF(CC44=S.CAL!$BC$5,CE47,0)))</f>
        <v>2.65</v>
      </c>
      <c r="CA44" s="2083">
        <f>BY44*BZ44</f>
        <v>0</v>
      </c>
      <c r="CB44" s="604"/>
      <c r="CC44" s="2331" t="str">
        <f>+IF(CC45="",Novembre!CC44,CC45)</f>
        <v>Indemnité mini. obligatoire</v>
      </c>
      <c r="CD44" s="2332"/>
      <c r="CE44" s="604"/>
      <c r="DU44" s="315">
        <f>IF(AND(SUM(AD44:AL44)&lt;=$DL$3,SUM(AD44:AL44)&gt;0,$CC$44=S.CAL!$BC$3),1,IF(AND(SUM(AD44:AL44)&lt;=$CE$54,SUM(AD44:AL44)&gt;0,$CC$44=S.CAL!$BC$4),1,0))</f>
        <v>0</v>
      </c>
      <c r="DV44" s="315">
        <f>IF(AND(SUM(AD44:AL44)&gt;$DL$3,$CC$44=S.CAL!$BC$3),SUM(AD44:AL44),IF(AND(SUM(AD44:AL44)&gt;$CE$54,$CC$44=S.CAL!$BC$4),SUM(AD44:AL44),IF(AND($CC$44=S.CAL!$BC$5,(SUM(AD44:AL44)*$CE$59)&gt;$CE$47),SUM(AD44:AL44),0)))</f>
        <v>0</v>
      </c>
      <c r="DW44" s="315">
        <f>+IF(AND($CC$44=S.CAL!$BC$5,(SUM(AD44:AL44)*$CE$59)&lt;=$CE$47),DX44,0)</f>
        <v>0</v>
      </c>
      <c r="DX44" s="315">
        <f>IF(AND(SUM(AD44:AL44)&lt;=DL3,SUM(AD44:AL44)&gt;0),1,0)</f>
        <v>0</v>
      </c>
      <c r="DY44" s="315">
        <f>IF(AND(SUM(AD44:AL44)&gt;DL3),SUM(AD44:AL44),0)</f>
        <v>0</v>
      </c>
      <c r="EA44" s="315">
        <f t="shared" si="8"/>
        <v>0</v>
      </c>
      <c r="EB44" s="315">
        <f t="shared" si="9"/>
        <v>0</v>
      </c>
      <c r="EQ44" s="783">
        <f t="shared" si="53"/>
        <v>46381</v>
      </c>
      <c r="ER44" s="784">
        <f t="shared" si="10"/>
        <v>0</v>
      </c>
      <c r="ES44" s="785">
        <f t="shared" si="11"/>
        <v>0</v>
      </c>
      <c r="ET44" s="784">
        <f t="shared" si="12"/>
        <v>0</v>
      </c>
      <c r="EU44" s="785">
        <f t="shared" si="13"/>
        <v>0</v>
      </c>
      <c r="EV44" s="784" t="str">
        <f t="shared" si="14"/>
        <v/>
      </c>
      <c r="EW44" s="751">
        <f t="shared" si="28"/>
        <v>46381</v>
      </c>
      <c r="EX44" s="759" t="str">
        <f>IFERROR(IF(AND(AZ44="",AR44&lt;&gt;S.CAL!$BJ$3,AR44&lt;&gt;S.CAL!$BJ$4),FS44-BC44,IF(AZ44&lt;&gt;0,AZ44,IF(OR(AR44=S.CAL!$BJ$3,AR44=S.CAL!$BJ$4),AR44,0))),"")</f>
        <v/>
      </c>
      <c r="EY44" s="753">
        <f t="shared" si="54"/>
        <v>0</v>
      </c>
      <c r="EZ44" s="736">
        <f t="shared" si="55"/>
        <v>0</v>
      </c>
      <c r="FA44" s="759" t="str">
        <f t="shared" si="31"/>
        <v/>
      </c>
      <c r="FB44" s="754" t="str">
        <f t="shared" si="15"/>
        <v/>
      </c>
      <c r="FC44" s="315" t="str">
        <f t="shared" si="56"/>
        <v>non</v>
      </c>
      <c r="FD44" s="760">
        <f t="shared" si="16"/>
        <v>0</v>
      </c>
      <c r="FG44" s="315" t="str">
        <f t="shared" si="57"/>
        <v/>
      </c>
      <c r="FJ44" s="315">
        <f t="shared" si="58"/>
        <v>1</v>
      </c>
      <c r="FK44" s="129">
        <f t="shared" si="17"/>
        <v>10</v>
      </c>
      <c r="FL44" s="129">
        <f t="shared" si="35"/>
        <v>1</v>
      </c>
      <c r="FN44" s="129">
        <f>+IF(AND($DP$8&lt;&gt;52,AR44=S.CAL!$BJ$4),10,1)</f>
        <v>1</v>
      </c>
      <c r="FP44" s="129">
        <f t="shared" si="18"/>
        <v>0</v>
      </c>
      <c r="FS44" s="223" t="str">
        <f t="shared" si="61"/>
        <v/>
      </c>
      <c r="FZ44" s="129">
        <f t="shared" si="37"/>
        <v>52</v>
      </c>
      <c r="GA44" s="129">
        <f t="shared" si="38"/>
        <v>2026</v>
      </c>
      <c r="GB44" s="129" t="str">
        <f t="shared" si="39"/>
        <v>522026</v>
      </c>
      <c r="GC44" s="223">
        <f t="shared" si="40"/>
        <v>0</v>
      </c>
      <c r="GF44" s="223" t="str">
        <f t="shared" si="41"/>
        <v/>
      </c>
      <c r="GG44" s="1446" t="str">
        <f>+'Retenue Déc'!D42</f>
        <v/>
      </c>
      <c r="GH44" s="1446">
        <f>IF(Identification!$B$132="Non",+'Retenue Déc'!BF42,+'Retenue Déc'!BE42)</f>
        <v>0</v>
      </c>
      <c r="GJ44" s="1507" t="str">
        <f t="shared" si="42"/>
        <v/>
      </c>
      <c r="GK44" s="223" t="str">
        <f t="shared" si="43"/>
        <v/>
      </c>
      <c r="GL44" s="223" t="str">
        <f t="shared" si="44"/>
        <v/>
      </c>
      <c r="GM44" s="1506">
        <f t="shared" si="45"/>
        <v>0</v>
      </c>
      <c r="GO44" s="129">
        <f t="shared" si="19"/>
        <v>0</v>
      </c>
      <c r="GP44" s="129" t="str">
        <f t="shared" si="46"/>
        <v/>
      </c>
      <c r="GQ44" s="1446" t="str">
        <f t="shared" si="47"/>
        <v/>
      </c>
    </row>
    <row r="45" spans="1:199" x14ac:dyDescent="0.2">
      <c r="A45" s="2356" t="str">
        <f>Taux_cotisations!A13</f>
        <v>Accident du travail :</v>
      </c>
      <c r="B45" s="2357"/>
      <c r="C45" s="2357"/>
      <c r="D45" s="2357"/>
      <c r="E45" s="2357"/>
      <c r="F45" s="2357"/>
      <c r="G45" s="2358"/>
      <c r="H45" s="2337"/>
      <c r="I45" s="2338"/>
      <c r="J45" s="2339"/>
      <c r="K45" s="1741"/>
      <c r="L45" s="2340"/>
      <c r="M45" s="2340"/>
      <c r="N45" s="1869"/>
      <c r="O45" s="1869"/>
      <c r="P45" s="1869"/>
      <c r="Q45" s="221"/>
      <c r="R45" s="2351">
        <f>IF(AND($T$35&gt;=$EG$6,$T$35&gt;0),$EG$6*INDEX(table_base_coef_patronale,MATCH(A45,Taux_cotisations!$A$110:$A$136,0),MATCH($X$3,Taux_cotisations!$A$110:$M$110,0)),+$T$35*INDEX(table_base_coef_patronale,MATCH(A45,Taux_cotisations!$A$110:$A$136,0),MATCH($X$3,Taux_cotisations!$A$110:$M$110,0)))</f>
        <v>0</v>
      </c>
      <c r="S45" s="2351"/>
      <c r="T45" s="2351"/>
      <c r="U45" s="2352">
        <f>INDEX(table_taux_patronales,MATCH(A45,Taux_cotisations!$A$39:$A$65,0),MATCH($X$3,Taux_cotisations!$A$39:$M$39,0))</f>
        <v>9.1000000000000004E-3</v>
      </c>
      <c r="V45" s="2352"/>
      <c r="W45" s="2352"/>
      <c r="X45" s="2347">
        <f>ROUND(U45*R45,2)</f>
        <v>0</v>
      </c>
      <c r="Y45" s="2347"/>
      <c r="Z45" s="2347"/>
      <c r="AA45" s="885" t="str">
        <f>IF(AND(BE45="OUI",$AR$13=S.CAL!$CU$2),"►",IF(AND(EV45="OUI",$AR$13=S.CAL!$CU$3),"►",""))</f>
        <v/>
      </c>
      <c r="AB45" s="1760">
        <f>+$X$3+25</f>
        <v>46382</v>
      </c>
      <c r="AC45" s="1761">
        <f>+$D$6+25</f>
        <v>25</v>
      </c>
      <c r="AD45" s="1748" t="str">
        <f>+IF(AND($AR$13=S.CAL!$CU$2,EX45&lt;&gt;0),EX45,IF(AND($AR$13=S.CAL!$CU$3,ER45&lt;&gt;0),ER45,0))</f>
        <v/>
      </c>
      <c r="AE45" s="1748"/>
      <c r="AF45" s="1748"/>
      <c r="AG45" s="1748" t="str">
        <f>+IF(AND($AR$13=S.CAL!$CU$2,EY45&lt;&gt;0),EY45,IF(AND($AR$13=S.CAL!$CU$3,ES45&lt;&gt;0),ES45,""))</f>
        <v/>
      </c>
      <c r="AH45" s="1748"/>
      <c r="AI45" s="1748"/>
      <c r="AJ45" s="1748" t="str">
        <f>+IF(AND($AR$13=S.CAL!$CU$2,EZ45&lt;&gt;0),EZ45,IF(AND($AR$13=S.CAL!$CU$3,ET45&lt;&gt;0),ET45,""))</f>
        <v/>
      </c>
      <c r="AK45" s="1748"/>
      <c r="AL45" s="1748"/>
      <c r="AM45" s="1748" t="str">
        <f>+IF(AND($AR$13=S.CAL!$CU$2,FA45&lt;&gt;0),FA45,IF(AND($AR$13=S.CAL!$CU$3,EU45&lt;&gt;0),EU45,""))</f>
        <v/>
      </c>
      <c r="AN45" s="1748"/>
      <c r="AO45" s="1784"/>
      <c r="AP45" s="215" t="str">
        <f t="shared" si="48"/>
        <v/>
      </c>
      <c r="AQ45" s="322"/>
      <c r="AR45" s="1104"/>
      <c r="AS45" s="314">
        <f t="shared" si="3"/>
        <v>0</v>
      </c>
      <c r="AT45" s="1125"/>
      <c r="AU45" s="1125"/>
      <c r="AV45" s="314"/>
      <c r="AW45" s="1791">
        <f t="shared" si="21"/>
        <v>46382</v>
      </c>
      <c r="AX45" s="1761"/>
      <c r="AY45" s="314"/>
      <c r="AZ45" s="1104"/>
      <c r="BA45" s="973"/>
      <c r="BB45" s="543"/>
      <c r="BC45" s="548">
        <f t="shared" si="22"/>
        <v>0</v>
      </c>
      <c r="BD45" s="1104"/>
      <c r="BE45" s="807">
        <f t="shared" si="23"/>
        <v>0</v>
      </c>
      <c r="BF45" s="1128"/>
      <c r="BG45" s="222"/>
      <c r="BH45" s="548" t="str">
        <f t="shared" si="24"/>
        <v/>
      </c>
      <c r="BI45" s="1128"/>
      <c r="BJ45" s="129" t="str">
        <f t="shared" si="25"/>
        <v>Fiche infoA6</v>
      </c>
      <c r="BK45" s="129">
        <f t="shared" si="49"/>
        <v>52</v>
      </c>
      <c r="BL45" s="129" t="str">
        <f t="shared" si="4"/>
        <v>A</v>
      </c>
      <c r="BM45" s="129">
        <f t="shared" si="50"/>
        <v>6</v>
      </c>
      <c r="BN45" s="223" t="str">
        <f t="shared" si="60"/>
        <v>Fiche info</v>
      </c>
      <c r="BO45" s="314" t="str">
        <f t="shared" si="51"/>
        <v/>
      </c>
      <c r="BP45" s="196" t="str">
        <f t="shared" si="52"/>
        <v/>
      </c>
      <c r="BQ45" s="589" t="str">
        <f>IF(CC44=S.CAL!$BC$3,"(journée inférieure ou égal à "&amp;DL1&amp;"h"&amp;DL2&amp;")",IF(CC44=S.CAL!$BC$4,"(journée inférieure ou égal à "&amp;CE54&amp;" hrs)",IF(AND(CC44=S.CAL!$BC$5,BY44&gt;=1),"(journée ind. minimum obligatoire)","")))</f>
        <v>(journée inférieure ou égal à 6h14)</v>
      </c>
      <c r="BR45" s="590"/>
      <c r="BS45" s="590"/>
      <c r="BT45" s="590"/>
      <c r="BU45" s="590"/>
      <c r="BV45" s="590"/>
      <c r="BW45" s="590"/>
      <c r="BX45" s="591"/>
      <c r="BY45" s="2099"/>
      <c r="BZ45" s="2089"/>
      <c r="CA45" s="2084"/>
      <c r="CB45" s="605" t="s">
        <v>492</v>
      </c>
      <c r="CC45" s="2233"/>
      <c r="CD45" s="2234"/>
      <c r="CE45" s="604"/>
      <c r="CJ45" s="575"/>
      <c r="CK45" s="575"/>
      <c r="CL45" s="575"/>
      <c r="CM45" s="575"/>
      <c r="CN45" s="575"/>
      <c r="CO45" s="575"/>
      <c r="CP45" s="575"/>
      <c r="CQ45" s="575"/>
      <c r="CR45" s="575"/>
      <c r="CS45" s="575"/>
      <c r="CT45" s="575"/>
      <c r="CU45" s="575"/>
      <c r="CV45" s="575"/>
      <c r="CW45" s="575"/>
      <c r="CX45" s="575"/>
      <c r="CY45" s="575"/>
      <c r="CZ45" s="575"/>
      <c r="DA45" s="575"/>
      <c r="DB45" s="575"/>
      <c r="DC45" s="575"/>
      <c r="DD45" s="575"/>
      <c r="DE45" s="767"/>
      <c r="DF45" s="738"/>
      <c r="DG45" s="738"/>
      <c r="DH45" s="738"/>
      <c r="DI45" s="738"/>
      <c r="DL45" s="738"/>
      <c r="DM45" s="738"/>
      <c r="DN45" s="738"/>
      <c r="DO45" s="738"/>
      <c r="DP45" s="738"/>
      <c r="DQ45" s="738"/>
      <c r="DR45" s="738"/>
      <c r="DS45" s="738"/>
      <c r="DT45" s="738"/>
      <c r="DU45" s="315">
        <f>IF(AND(SUM(AD45:AL45)&lt;=$DL$3,SUM(AD45:AL45)&gt;0,$CC$44=S.CAL!$BC$3),1,IF(AND(SUM(AD45:AL45)&lt;=$CE$54,SUM(AD45:AL45)&gt;0,$CC$44=S.CAL!$BC$4),1,0))</f>
        <v>0</v>
      </c>
      <c r="DV45" s="315">
        <f>IF(AND(SUM(AD45:AL45)&gt;$DL$3,$CC$44=S.CAL!$BC$3),SUM(AD45:AL45),IF(AND(SUM(AD45:AL45)&gt;$CE$54,$CC$44=S.CAL!$BC$4),SUM(AD45:AL45),IF(AND($CC$44=S.CAL!$BC$5,(SUM(AD45:AL45)*$CE$59)&gt;$CE$47),SUM(AD45:AL45),0)))</f>
        <v>0</v>
      </c>
      <c r="DW45" s="315">
        <f>+IF(AND($CC$44=S.CAL!$BC$5,(SUM(AD45:AL45)*$CE$59)&lt;=$CE$47),DX45,0)</f>
        <v>0</v>
      </c>
      <c r="DX45" s="315">
        <f>IF(AND(SUM(AD45:AL45)&lt;=DL3,SUM(AD45:AL45)&gt;0),1,0)</f>
        <v>0</v>
      </c>
      <c r="DY45" s="315">
        <f>IF(AND(SUM(AD45:AL45)&gt;DL3),SUM(AD45:AL45),0)</f>
        <v>0</v>
      </c>
      <c r="EA45" s="315">
        <f t="shared" si="8"/>
        <v>0</v>
      </c>
      <c r="EB45" s="315">
        <f t="shared" si="9"/>
        <v>0</v>
      </c>
      <c r="EQ45" s="783">
        <f t="shared" si="53"/>
        <v>46382</v>
      </c>
      <c r="ER45" s="784">
        <f t="shared" si="10"/>
        <v>0</v>
      </c>
      <c r="ES45" s="785">
        <f t="shared" si="11"/>
        <v>0</v>
      </c>
      <c r="ET45" s="784">
        <f t="shared" si="12"/>
        <v>0</v>
      </c>
      <c r="EU45" s="785">
        <f t="shared" si="13"/>
        <v>0</v>
      </c>
      <c r="EV45" s="784" t="str">
        <f t="shared" si="14"/>
        <v/>
      </c>
      <c r="EW45" s="751">
        <f t="shared" si="28"/>
        <v>46382</v>
      </c>
      <c r="EX45" s="759" t="str">
        <f>IFERROR(IF(AND(AZ45="",AR45&lt;&gt;S.CAL!$BJ$3,AR45&lt;&gt;S.CAL!$BJ$4),FS45-BC45,IF(AZ45&lt;&gt;0,AZ45,IF(OR(AR45=S.CAL!$BJ$3,AR45=S.CAL!$BJ$4),AR45,0))),"")</f>
        <v/>
      </c>
      <c r="EY45" s="753">
        <f t="shared" si="54"/>
        <v>0</v>
      </c>
      <c r="EZ45" s="736">
        <f t="shared" si="55"/>
        <v>0</v>
      </c>
      <c r="FA45" s="759" t="str">
        <f t="shared" si="31"/>
        <v/>
      </c>
      <c r="FB45" s="754" t="str">
        <f t="shared" si="15"/>
        <v/>
      </c>
      <c r="FC45" s="315" t="str">
        <f t="shared" si="56"/>
        <v>non</v>
      </c>
      <c r="FD45" s="760">
        <f t="shared" si="16"/>
        <v>0</v>
      </c>
      <c r="FG45" s="315" t="str">
        <f t="shared" si="57"/>
        <v/>
      </c>
      <c r="FJ45" s="315">
        <f t="shared" si="58"/>
        <v>1</v>
      </c>
      <c r="FK45" s="129">
        <f t="shared" si="17"/>
        <v>10</v>
      </c>
      <c r="FL45" s="129">
        <f t="shared" si="35"/>
        <v>1</v>
      </c>
      <c r="FN45" s="129">
        <f>+IF(AND($DP$8&lt;&gt;52,AR45=S.CAL!$BJ$4),10,1)</f>
        <v>1</v>
      </c>
      <c r="FP45" s="129">
        <f t="shared" si="18"/>
        <v>0</v>
      </c>
      <c r="FS45" s="223" t="str">
        <f t="shared" si="61"/>
        <v/>
      </c>
      <c r="FZ45" s="129">
        <f t="shared" si="37"/>
        <v>52</v>
      </c>
      <c r="GA45" s="129">
        <f t="shared" si="38"/>
        <v>2026</v>
      </c>
      <c r="GB45" s="129" t="str">
        <f t="shared" si="39"/>
        <v>522026</v>
      </c>
      <c r="GC45" s="223">
        <f t="shared" si="40"/>
        <v>0</v>
      </c>
      <c r="GF45" s="223" t="str">
        <f t="shared" si="41"/>
        <v/>
      </c>
      <c r="GG45" s="1446" t="str">
        <f>+'Retenue Déc'!D43</f>
        <v/>
      </c>
      <c r="GH45" s="1446">
        <f>IF(Identification!$B$132="Non",+'Retenue Déc'!BF43,+'Retenue Déc'!BE43)</f>
        <v>0</v>
      </c>
      <c r="GJ45" s="1507" t="str">
        <f t="shared" si="42"/>
        <v/>
      </c>
      <c r="GK45" s="223" t="str">
        <f t="shared" si="43"/>
        <v/>
      </c>
      <c r="GL45" s="223" t="str">
        <f t="shared" si="44"/>
        <v/>
      </c>
      <c r="GM45" s="1506">
        <f t="shared" si="45"/>
        <v>0</v>
      </c>
      <c r="GO45" s="129">
        <f t="shared" si="19"/>
        <v>0</v>
      </c>
      <c r="GP45" s="129" t="str">
        <f t="shared" si="46"/>
        <v/>
      </c>
      <c r="GQ45" s="1446" t="str">
        <f t="shared" si="47"/>
        <v/>
      </c>
    </row>
    <row r="46" spans="1:199" x14ac:dyDescent="0.2">
      <c r="A46" s="2333"/>
      <c r="B46" s="2334"/>
      <c r="C46" s="2334"/>
      <c r="D46" s="2334"/>
      <c r="E46" s="2334"/>
      <c r="F46" s="2334"/>
      <c r="G46" s="2335"/>
      <c r="H46" s="2337"/>
      <c r="I46" s="2338"/>
      <c r="J46" s="2339"/>
      <c r="K46" s="1741"/>
      <c r="L46" s="2340"/>
      <c r="M46" s="2340"/>
      <c r="N46" s="1869"/>
      <c r="O46" s="1869"/>
      <c r="P46" s="1869"/>
      <c r="Q46" s="221"/>
      <c r="R46" s="2351"/>
      <c r="S46" s="2351"/>
      <c r="T46" s="2351"/>
      <c r="U46" s="2352"/>
      <c r="V46" s="2352"/>
      <c r="W46" s="2352"/>
      <c r="X46" s="2347"/>
      <c r="Y46" s="2347"/>
      <c r="Z46" s="2347"/>
      <c r="AA46" s="885" t="str">
        <f>IF(AND(BE46="OUI",$AR$13=S.CAL!$CU$2),"►",IF(AND(EV46="OUI",$AR$13=S.CAL!$CU$3),"►",""))</f>
        <v/>
      </c>
      <c r="AB46" s="1760">
        <f>+$X$3+26</f>
        <v>46383</v>
      </c>
      <c r="AC46" s="1761">
        <f>+$D$6+26</f>
        <v>26</v>
      </c>
      <c r="AD46" s="1748" t="str">
        <f>+IF(AND($AR$13=S.CAL!$CU$2,EX46&lt;&gt;0),EX46,IF(AND($AR$13=S.CAL!$CU$3,ER46&lt;&gt;0),ER46,0))</f>
        <v/>
      </c>
      <c r="AE46" s="1748"/>
      <c r="AF46" s="1748"/>
      <c r="AG46" s="1748" t="str">
        <f>+IF(AND($AR$13=S.CAL!$CU$2,EY46&lt;&gt;0),EY46,IF(AND($AR$13=S.CAL!$CU$3,ES46&lt;&gt;0),ES46,""))</f>
        <v/>
      </c>
      <c r="AH46" s="1748"/>
      <c r="AI46" s="1748"/>
      <c r="AJ46" s="1748" t="str">
        <f>+IF(AND($AR$13=S.CAL!$CU$2,EZ46&lt;&gt;0),EZ46,IF(AND($AR$13=S.CAL!$CU$3,ET46&lt;&gt;0),ET46,""))</f>
        <v/>
      </c>
      <c r="AK46" s="1748"/>
      <c r="AL46" s="1748"/>
      <c r="AM46" s="1748" t="str">
        <f>+IF(AND($AR$13=S.CAL!$CU$2,FA46&lt;&gt;0),FA46,IF(AND($AR$13=S.CAL!$CU$3,EU46&lt;&gt;0),EU46,""))</f>
        <v/>
      </c>
      <c r="AN46" s="1748"/>
      <c r="AO46" s="1784"/>
      <c r="AP46" s="215" t="str">
        <f t="shared" si="48"/>
        <v/>
      </c>
      <c r="AQ46" s="322"/>
      <c r="AR46" s="1104"/>
      <c r="AS46" s="314">
        <f t="shared" si="3"/>
        <v>0</v>
      </c>
      <c r="AT46" s="1125"/>
      <c r="AU46" s="1125"/>
      <c r="AV46" s="314"/>
      <c r="AW46" s="1791">
        <f t="shared" si="21"/>
        <v>46383</v>
      </c>
      <c r="AX46" s="1761"/>
      <c r="AY46" s="314"/>
      <c r="AZ46" s="1104"/>
      <c r="BA46" s="973"/>
      <c r="BB46" s="543"/>
      <c r="BC46" s="548">
        <f t="shared" si="22"/>
        <v>0</v>
      </c>
      <c r="BD46" s="1104"/>
      <c r="BE46" s="807">
        <f t="shared" si="23"/>
        <v>0</v>
      </c>
      <c r="BF46" s="1128"/>
      <c r="BG46" s="222"/>
      <c r="BH46" s="548" t="str">
        <f t="shared" si="24"/>
        <v/>
      </c>
      <c r="BI46" s="1128"/>
      <c r="BJ46" s="129" t="str">
        <f t="shared" si="25"/>
        <v>Fiche infoA7</v>
      </c>
      <c r="BK46" s="129">
        <f t="shared" si="49"/>
        <v>52</v>
      </c>
      <c r="BL46" s="129" t="str">
        <f t="shared" si="4"/>
        <v>A</v>
      </c>
      <c r="BM46" s="129">
        <f t="shared" si="50"/>
        <v>7</v>
      </c>
      <c r="BN46" s="223" t="str">
        <f t="shared" si="60"/>
        <v>Fiche info</v>
      </c>
      <c r="BO46" s="314" t="str">
        <f t="shared" si="51"/>
        <v/>
      </c>
      <c r="BP46" s="196" t="str">
        <f t="shared" si="52"/>
        <v/>
      </c>
      <c r="BQ46" s="587"/>
      <c r="BR46" s="587"/>
      <c r="BS46" s="587"/>
      <c r="BT46" s="587"/>
      <c r="BU46" s="587"/>
      <c r="BV46" s="587"/>
      <c r="BW46" s="587"/>
      <c r="BX46" s="587"/>
      <c r="BY46" s="592"/>
      <c r="BZ46" s="592"/>
      <c r="CA46" s="593"/>
      <c r="CB46" s="604"/>
      <c r="CC46" s="604"/>
      <c r="CD46" s="604"/>
      <c r="CE46" s="604"/>
      <c r="CF46" s="575" t="s">
        <v>492</v>
      </c>
      <c r="CG46" s="575"/>
      <c r="CH46" s="575"/>
      <c r="CI46" s="575"/>
      <c r="DU46" s="315">
        <f>IF(AND(SUM(AD46:AL46)&lt;=$DL$3,SUM(AD46:AL46)&gt;0,$CC$44=S.CAL!$BC$3),1,IF(AND(SUM(AD46:AL46)&lt;=$CE$54,SUM(AD46:AL46)&gt;0,$CC$44=S.CAL!$BC$4),1,0))</f>
        <v>0</v>
      </c>
      <c r="DV46" s="315">
        <f>IF(AND(SUM(AD46:AL46)&gt;$DL$3,$CC$44=S.CAL!$BC$3),SUM(AD46:AL46),IF(AND(SUM(AD46:AL46)&gt;$CE$54,$CC$44=S.CAL!$BC$4),SUM(AD46:AL46),IF(AND($CC$44=S.CAL!$BC$5,(SUM(AD46:AL46)*$CE$59)&gt;$CE$47),SUM(AD46:AL46),0)))</f>
        <v>0</v>
      </c>
      <c r="DW46" s="315">
        <f>+IF(AND($CC$44=S.CAL!$BC$5,(SUM(AD46:AL46)*$CE$59)&lt;=$CE$47),DX46,0)</f>
        <v>0</v>
      </c>
      <c r="DX46" s="315">
        <f>IF(AND(SUM(AD46:AL46)&lt;=DL3,SUM(AD46:AL46)&gt;0),1,0)</f>
        <v>0</v>
      </c>
      <c r="DY46" s="315">
        <f>IF(AND(SUM(AD46:AL46)&gt;DL3),SUM(AD46:AL46),0)</f>
        <v>0</v>
      </c>
      <c r="EA46" s="315">
        <f t="shared" si="8"/>
        <v>0</v>
      </c>
      <c r="EB46" s="315">
        <f t="shared" si="9"/>
        <v>0</v>
      </c>
      <c r="EQ46" s="783">
        <f t="shared" si="53"/>
        <v>46383</v>
      </c>
      <c r="ER46" s="784">
        <f t="shared" si="10"/>
        <v>0</v>
      </c>
      <c r="ES46" s="785">
        <f t="shared" si="11"/>
        <v>0</v>
      </c>
      <c r="ET46" s="784">
        <f t="shared" si="12"/>
        <v>0</v>
      </c>
      <c r="EU46" s="785">
        <f t="shared" si="13"/>
        <v>0</v>
      </c>
      <c r="EV46" s="784" t="str">
        <f t="shared" si="14"/>
        <v/>
      </c>
      <c r="EW46" s="751">
        <f t="shared" si="28"/>
        <v>46383</v>
      </c>
      <c r="EX46" s="759" t="str">
        <f>IFERROR(IF(AND(AZ46="",AR46&lt;&gt;S.CAL!$BJ$3,AR46&lt;&gt;S.CAL!$BJ$4),FS46-BC46,IF(AZ46&lt;&gt;0,AZ46,IF(OR(AR46=S.CAL!$BJ$3,AR46=S.CAL!$BJ$4),AR46,0))),"")</f>
        <v/>
      </c>
      <c r="EY46" s="753">
        <f t="shared" si="54"/>
        <v>0</v>
      </c>
      <c r="EZ46" s="736">
        <f t="shared" si="55"/>
        <v>0</v>
      </c>
      <c r="FA46" s="759" t="str">
        <f t="shared" si="31"/>
        <v/>
      </c>
      <c r="FB46" s="754" t="str">
        <f t="shared" si="15"/>
        <v/>
      </c>
      <c r="FC46" s="315" t="str">
        <f t="shared" si="56"/>
        <v>non</v>
      </c>
      <c r="FD46" s="760">
        <f t="shared" si="16"/>
        <v>0</v>
      </c>
      <c r="FG46" s="315" t="str">
        <f t="shared" si="57"/>
        <v/>
      </c>
      <c r="FJ46" s="315">
        <f t="shared" si="58"/>
        <v>1</v>
      </c>
      <c r="FK46" s="129">
        <f t="shared" si="17"/>
        <v>10</v>
      </c>
      <c r="FL46" s="129">
        <f t="shared" si="35"/>
        <v>1</v>
      </c>
      <c r="FN46" s="129">
        <f>+IF(AND($DP$8&lt;&gt;52,AR46=S.CAL!$BJ$4),10,1)</f>
        <v>1</v>
      </c>
      <c r="FP46" s="129">
        <f t="shared" si="18"/>
        <v>0</v>
      </c>
      <c r="FS46" s="223" t="str">
        <f t="shared" si="61"/>
        <v/>
      </c>
      <c r="FZ46" s="129">
        <f t="shared" si="37"/>
        <v>52</v>
      </c>
      <c r="GA46" s="129">
        <f t="shared" si="38"/>
        <v>2026</v>
      </c>
      <c r="GB46" s="129" t="str">
        <f t="shared" si="39"/>
        <v>522026</v>
      </c>
      <c r="GC46" s="223">
        <f t="shared" si="40"/>
        <v>0</v>
      </c>
      <c r="GF46" s="223" t="str">
        <f t="shared" si="41"/>
        <v/>
      </c>
      <c r="GG46" s="1446" t="str">
        <f>+'Retenue Déc'!D44</f>
        <v/>
      </c>
      <c r="GH46" s="1446">
        <f>IF(Identification!$B$132="Non",+'Retenue Déc'!BF44,+'Retenue Déc'!BE44)</f>
        <v>0</v>
      </c>
      <c r="GJ46" s="1507" t="str">
        <f t="shared" si="42"/>
        <v/>
      </c>
      <c r="GK46" s="223" t="str">
        <f t="shared" si="43"/>
        <v/>
      </c>
      <c r="GL46" s="223" t="str">
        <f t="shared" si="44"/>
        <v/>
      </c>
      <c r="GM46" s="1506">
        <f t="shared" si="45"/>
        <v>0</v>
      </c>
      <c r="GO46" s="129">
        <f t="shared" si="19"/>
        <v>0</v>
      </c>
      <c r="GP46" s="129" t="str">
        <f t="shared" si="46"/>
        <v/>
      </c>
      <c r="GQ46" s="1446" t="str">
        <f t="shared" si="47"/>
        <v/>
      </c>
    </row>
    <row r="47" spans="1:199" x14ac:dyDescent="0.2">
      <c r="A47" s="2333" t="str">
        <f>Taux_cotisations!A14</f>
        <v>Retraite :</v>
      </c>
      <c r="B47" s="2334"/>
      <c r="C47" s="2334"/>
      <c r="D47" s="2334"/>
      <c r="E47" s="2334"/>
      <c r="F47" s="2334"/>
      <c r="G47" s="2335"/>
      <c r="H47" s="2337"/>
      <c r="I47" s="2338"/>
      <c r="J47" s="2339"/>
      <c r="K47" s="1741"/>
      <c r="L47" s="2340"/>
      <c r="M47" s="2340"/>
      <c r="N47" s="1869"/>
      <c r="O47" s="1869"/>
      <c r="P47" s="1869"/>
      <c r="Q47" s="221"/>
      <c r="R47" s="2351"/>
      <c r="S47" s="2351"/>
      <c r="T47" s="2351"/>
      <c r="U47" s="2352"/>
      <c r="V47" s="2352"/>
      <c r="W47" s="2352"/>
      <c r="X47" s="2347"/>
      <c r="Y47" s="2347"/>
      <c r="Z47" s="2347"/>
      <c r="AA47" s="885" t="str">
        <f>IF(AND(BE47="OUI",$AR$13=S.CAL!$CU$2),"►",IF(AND(EV47="OUI",$AR$13=S.CAL!$CU$3),"►",""))</f>
        <v/>
      </c>
      <c r="AB47" s="1760">
        <f>+$X$3+27</f>
        <v>46384</v>
      </c>
      <c r="AC47" s="1761">
        <f>+$D$6+26</f>
        <v>26</v>
      </c>
      <c r="AD47" s="1748" t="str">
        <f>+IF(AND($AR$13=S.CAL!$CU$2,EX47&lt;&gt;0),EX47,IF(AND($AR$13=S.CAL!$CU$3,ER47&lt;&gt;0),ER47,0))</f>
        <v/>
      </c>
      <c r="AE47" s="1748"/>
      <c r="AF47" s="1748"/>
      <c r="AG47" s="1748" t="str">
        <f>+IF(AND($AR$13=S.CAL!$CU$2,EY47&lt;&gt;0),EY47,IF(AND($AR$13=S.CAL!$CU$3,ES47&lt;&gt;0),ES47,""))</f>
        <v/>
      </c>
      <c r="AH47" s="1748"/>
      <c r="AI47" s="1748"/>
      <c r="AJ47" s="1748" t="str">
        <f>+IF(AND($AR$13=S.CAL!$CU$2,EZ47&lt;&gt;0),EZ47,IF(AND($AR$13=S.CAL!$CU$3,ET47&lt;&gt;0),ET47,""))</f>
        <v/>
      </c>
      <c r="AK47" s="1748"/>
      <c r="AL47" s="1748"/>
      <c r="AM47" s="1748" t="str">
        <f>+IF(AND($AR$13=S.CAL!$CU$2,FA47&lt;&gt;0),FA47,IF(AND($AR$13=S.CAL!$CU$3,EU47&lt;&gt;0),EU47,""))</f>
        <v/>
      </c>
      <c r="AN47" s="1748"/>
      <c r="AO47" s="1784"/>
      <c r="AP47" s="215">
        <f t="shared" si="48"/>
        <v>53</v>
      </c>
      <c r="AQ47" s="322"/>
      <c r="AR47" s="1104"/>
      <c r="AS47" s="314">
        <f t="shared" si="3"/>
        <v>0</v>
      </c>
      <c r="AT47" s="1125"/>
      <c r="AU47" s="1125"/>
      <c r="AV47" s="314"/>
      <c r="AW47" s="1791">
        <f t="shared" si="21"/>
        <v>46384</v>
      </c>
      <c r="AX47" s="1761"/>
      <c r="AY47" s="314"/>
      <c r="AZ47" s="1104"/>
      <c r="BA47" s="973"/>
      <c r="BB47" s="543"/>
      <c r="BC47" s="548">
        <f t="shared" si="22"/>
        <v>0</v>
      </c>
      <c r="BD47" s="1104"/>
      <c r="BE47" s="807">
        <f t="shared" si="23"/>
        <v>0</v>
      </c>
      <c r="BF47" s="1128"/>
      <c r="BG47" s="222"/>
      <c r="BH47" s="548" t="str">
        <f t="shared" si="24"/>
        <v/>
      </c>
      <c r="BI47" s="1128"/>
      <c r="BJ47" s="129" t="str">
        <f t="shared" si="25"/>
        <v>Fiche infoA1</v>
      </c>
      <c r="BK47" s="129">
        <f t="shared" si="49"/>
        <v>53</v>
      </c>
      <c r="BL47" s="129" t="str">
        <f t="shared" si="4"/>
        <v>A</v>
      </c>
      <c r="BM47" s="129">
        <f t="shared" si="50"/>
        <v>1</v>
      </c>
      <c r="BN47" s="223" t="str">
        <f t="shared" si="60"/>
        <v>Fiche info</v>
      </c>
      <c r="BO47" s="314" t="str">
        <f t="shared" si="51"/>
        <v/>
      </c>
      <c r="BP47" s="196" t="str">
        <f t="shared" si="52"/>
        <v/>
      </c>
      <c r="BQ47" s="594" t="s">
        <v>54</v>
      </c>
      <c r="BR47" s="595"/>
      <c r="BS47" s="595"/>
      <c r="BT47" s="595"/>
      <c r="BU47" s="595"/>
      <c r="BV47" s="595"/>
      <c r="BW47" s="595"/>
      <c r="BX47" s="596"/>
      <c r="BY47" s="2087">
        <f>DV51</f>
        <v>0</v>
      </c>
      <c r="BZ47" s="2085">
        <f>IF(CC44=S.CAL!$BC$3,CE47/DL3,IF(CC44=S.CAL!$BC$4,CE55,IF(CC44=S.CAL!$BC$5,CE59,0)))</f>
        <v>0.42500000000000004</v>
      </c>
      <c r="CA47" s="2083">
        <f>BZ47*BY47</f>
        <v>0</v>
      </c>
      <c r="CB47" s="604"/>
      <c r="CC47" s="604"/>
      <c r="CD47" s="1351" t="s">
        <v>453</v>
      </c>
      <c r="CE47" s="1041">
        <f>IF(CF47="",Novembre!CE47,CF47)</f>
        <v>2.65</v>
      </c>
      <c r="CF47" s="1117"/>
      <c r="CJ47" s="575"/>
      <c r="CK47" s="575"/>
      <c r="CL47" s="575"/>
      <c r="CM47" s="575"/>
      <c r="CN47" s="575"/>
      <c r="CO47" s="575"/>
      <c r="CP47" s="575"/>
      <c r="CQ47" s="575"/>
      <c r="CR47" s="575"/>
      <c r="CS47" s="575"/>
      <c r="CT47" s="575"/>
      <c r="CU47" s="575"/>
      <c r="CV47" s="575"/>
      <c r="CW47" s="575"/>
      <c r="CX47" s="575"/>
      <c r="CY47" s="575"/>
      <c r="CZ47" s="575"/>
      <c r="DA47" s="575"/>
      <c r="DB47" s="575"/>
      <c r="DC47" s="575"/>
      <c r="DD47" s="575"/>
      <c r="DE47" s="767"/>
      <c r="DF47" s="738"/>
      <c r="DG47" s="738"/>
      <c r="DH47" s="738"/>
      <c r="DI47" s="738"/>
      <c r="DJ47" s="738"/>
      <c r="DK47" s="738"/>
      <c r="DL47" s="738"/>
      <c r="DM47" s="738"/>
      <c r="DN47" s="738"/>
      <c r="DO47" s="738"/>
      <c r="DP47" s="738"/>
      <c r="DQ47" s="738"/>
      <c r="DR47" s="738"/>
      <c r="DS47" s="738"/>
      <c r="DT47" s="738"/>
      <c r="DU47" s="315">
        <f>IF(AND(SUM(AD47:AL47)&lt;=$DL$3,SUM(AD47:AL47)&gt;0,$CC$44=S.CAL!$BC$3),1,IF(AND(SUM(AD47:AL47)&lt;=$CE$54,SUM(AD47:AL47)&gt;0,$CC$44=S.CAL!$BC$4),1,0))</f>
        <v>0</v>
      </c>
      <c r="DV47" s="315">
        <f>IF(AND(SUM(AD47:AL47)&gt;$DL$3,$CC$44=S.CAL!$BC$3),SUM(AD47:AL47),IF(AND(SUM(AD47:AL47)&gt;$CE$54,$CC$44=S.CAL!$BC$4),SUM(AD47:AL47),IF(AND($CC$44=S.CAL!$BC$5,(SUM(AD47:AL47)*$CE$59)&gt;$CE$47),SUM(AD47:AL47),0)))</f>
        <v>0</v>
      </c>
      <c r="DW47" s="315">
        <f>+IF(AND($CC$44=S.CAL!$BC$5,(SUM(AD47:AL47)*$CE$59)&lt;=$CE$47),DX47,0)</f>
        <v>0</v>
      </c>
      <c r="DX47" s="315">
        <f>IF(AND(SUM(AD47:AL47)&lt;=DL3,SUM(AD47:AL47)&gt;0),1,0)</f>
        <v>0</v>
      </c>
      <c r="DY47" s="315">
        <f>IF(AND(SUM(AD47:AL47)&gt;DL3),SUM(AD47:AL47),0)</f>
        <v>0</v>
      </c>
      <c r="EA47" s="315">
        <f t="shared" si="8"/>
        <v>0</v>
      </c>
      <c r="EB47" s="315">
        <f t="shared" si="9"/>
        <v>0</v>
      </c>
      <c r="EQ47" s="783">
        <f t="shared" si="53"/>
        <v>46384</v>
      </c>
      <c r="ER47" s="784">
        <f t="shared" si="10"/>
        <v>0</v>
      </c>
      <c r="ES47" s="785">
        <f t="shared" si="11"/>
        <v>0</v>
      </c>
      <c r="ET47" s="784">
        <f t="shared" si="12"/>
        <v>0</v>
      </c>
      <c r="EU47" s="785">
        <f t="shared" si="13"/>
        <v>0</v>
      </c>
      <c r="EV47" s="784" t="str">
        <f t="shared" si="14"/>
        <v/>
      </c>
      <c r="EW47" s="751">
        <f t="shared" si="28"/>
        <v>46384</v>
      </c>
      <c r="EX47" s="759" t="str">
        <f>IFERROR(IF(AND(AZ47="",AR47&lt;&gt;S.CAL!$BJ$3,AR47&lt;&gt;S.CAL!$BJ$4),FS47-BC47,IF(AZ47&lt;&gt;0,AZ47,IF(OR(AR47=S.CAL!$BJ$3,AR47=S.CAL!$BJ$4),AR47,0))),"")</f>
        <v/>
      </c>
      <c r="EY47" s="753">
        <f t="shared" si="54"/>
        <v>0</v>
      </c>
      <c r="EZ47" s="736">
        <f t="shared" si="55"/>
        <v>0</v>
      </c>
      <c r="FA47" s="759" t="str">
        <f t="shared" si="31"/>
        <v/>
      </c>
      <c r="FB47" s="754" t="str">
        <f t="shared" si="15"/>
        <v/>
      </c>
      <c r="FC47" s="315" t="str">
        <f t="shared" si="56"/>
        <v>non</v>
      </c>
      <c r="FD47" s="760">
        <f t="shared" si="16"/>
        <v>0</v>
      </c>
      <c r="FG47" s="315" t="str">
        <f t="shared" si="57"/>
        <v/>
      </c>
      <c r="FJ47" s="315">
        <f t="shared" si="58"/>
        <v>1</v>
      </c>
      <c r="FK47" s="129">
        <f t="shared" si="17"/>
        <v>10</v>
      </c>
      <c r="FL47" s="129">
        <f t="shared" si="35"/>
        <v>1</v>
      </c>
      <c r="FN47" s="129">
        <f>+IF(AND($DP$8&lt;&gt;52,AR47=S.CAL!$BJ$4),10,1)</f>
        <v>1</v>
      </c>
      <c r="FP47" s="129">
        <f t="shared" si="18"/>
        <v>0</v>
      </c>
      <c r="FS47" s="223" t="str">
        <f t="shared" si="61"/>
        <v/>
      </c>
      <c r="FZ47" s="129">
        <f t="shared" si="37"/>
        <v>53</v>
      </c>
      <c r="GA47" s="129">
        <f t="shared" si="38"/>
        <v>2026</v>
      </c>
      <c r="GB47" s="129" t="str">
        <f t="shared" si="39"/>
        <v>532026</v>
      </c>
      <c r="GC47" s="223">
        <f t="shared" si="40"/>
        <v>0</v>
      </c>
      <c r="GF47" s="223" t="str">
        <f t="shared" si="41"/>
        <v/>
      </c>
      <c r="GG47" s="1446" t="str">
        <f>+'Retenue Déc'!D45</f>
        <v/>
      </c>
      <c r="GH47" s="1446">
        <f>IF(Identification!$B$132="Non",+'Retenue Déc'!BF45,+'Retenue Déc'!BE45)</f>
        <v>0</v>
      </c>
      <c r="GJ47" s="1507" t="str">
        <f t="shared" si="42"/>
        <v/>
      </c>
      <c r="GK47" s="223" t="str">
        <f t="shared" si="43"/>
        <v/>
      </c>
      <c r="GL47" s="223" t="str">
        <f t="shared" si="44"/>
        <v/>
      </c>
      <c r="GM47" s="1506">
        <f t="shared" si="45"/>
        <v>0</v>
      </c>
      <c r="GO47" s="129">
        <f t="shared" si="19"/>
        <v>0</v>
      </c>
      <c r="GP47" s="129" t="str">
        <f t="shared" si="46"/>
        <v/>
      </c>
      <c r="GQ47" s="1446" t="str">
        <f t="shared" si="47"/>
        <v/>
      </c>
    </row>
    <row r="48" spans="1:199" x14ac:dyDescent="0.2">
      <c r="A48" s="2333" t="str">
        <f>Taux_cotisations!A15</f>
        <v>Retraite SS T1</v>
      </c>
      <c r="B48" s="2334"/>
      <c r="C48" s="2334"/>
      <c r="D48" s="2334"/>
      <c r="E48" s="2334"/>
      <c r="F48" s="2334"/>
      <c r="G48" s="2335"/>
      <c r="H48" s="2337">
        <f>IF(AND(T35&gt;=EG6,T35&gt;0),EG6*INDEX(table_base_coef_salariale,MATCH(A48,Taux_cotisations!$A$75:$A$101,0),MATCH($X$3,Taux_cotisations!$A$75:$M$75,0)),+T35*INDEX(table_base_coef_salariale,MATCH(A48,Taux_cotisations!$A$75:$A$101,0),MATCH($X$3,Taux_cotisations!$A$75:$M$75,0)))</f>
        <v>0</v>
      </c>
      <c r="I48" s="2338"/>
      <c r="J48" s="2339"/>
      <c r="K48" s="1741">
        <f>INDEX(table_taux_salariales,MATCH(A48,Taux_cotisations!$A$6:$A$32,0),MATCH($X$3,Taux_cotisations!$A$6:$M$6,0))</f>
        <v>5.5399999999999998E-2</v>
      </c>
      <c r="L48" s="2340"/>
      <c r="M48" s="2340"/>
      <c r="N48" s="1869">
        <f>ROUND(K48*H48,4)</f>
        <v>0</v>
      </c>
      <c r="O48" s="1869"/>
      <c r="P48" s="1869"/>
      <c r="Q48" s="221"/>
      <c r="R48" s="2351">
        <f>IF(AND($T$35&gt;=$EG$6,$T$35&gt;0),$EG$6*INDEX(table_base_coef_patronale,MATCH(A48,Taux_cotisations!$A$110:$A$136,0),MATCH($X$3,Taux_cotisations!$A$110:$M$110,0)),+$T$35*INDEX(table_base_coef_patronale,MATCH(A48,Taux_cotisations!$A$110:$A$136,0),MATCH($X$3,Taux_cotisations!$A$110:$M$110,0)))</f>
        <v>0</v>
      </c>
      <c r="S48" s="2351"/>
      <c r="T48" s="2351"/>
      <c r="U48" s="2352">
        <f>INDEX(table_taux_patronales,MATCH(A48,Taux_cotisations!$A$39:$A$65,0),MATCH($X$3,Taux_cotisations!$A$39:$M$39,0))</f>
        <v>9.9000000000000005E-2</v>
      </c>
      <c r="V48" s="2352"/>
      <c r="W48" s="2352"/>
      <c r="X48" s="2347">
        <f>ROUND(U48*R48,2)</f>
        <v>0</v>
      </c>
      <c r="Y48" s="2347"/>
      <c r="Z48" s="2347"/>
      <c r="AA48" s="885" t="str">
        <f>IF(AND(BE48="OUI",$AR$13=S.CAL!$CU$2),"►",IF(AND(EV48="OUI",$AR$13=S.CAL!$CU$3),"►",""))</f>
        <v/>
      </c>
      <c r="AB48" s="1760">
        <f>IF(AB20+28&lt;DATE(YEAR(AB20),MONTH(AB20)+1,DAY(AB20)),AB20+28,"")</f>
        <v>46385</v>
      </c>
      <c r="AC48" s="1761">
        <f>+$D$6+26</f>
        <v>26</v>
      </c>
      <c r="AD48" s="1748" t="str">
        <f>+IF(AND($AR$13=S.CAL!$CU$2,EX48&lt;&gt;0),EX48,IF(AND($AR$13=S.CAL!$CU$3,ER48&lt;&gt;0),ER48,0))</f>
        <v/>
      </c>
      <c r="AE48" s="1748"/>
      <c r="AF48" s="1748"/>
      <c r="AG48" s="1748" t="str">
        <f>+IF(AND($AR$13=S.CAL!$CU$2,EY48&lt;&gt;0),EY48,IF(AND($AR$13=S.CAL!$CU$3,ES48&lt;&gt;0),ES48,""))</f>
        <v/>
      </c>
      <c r="AH48" s="1748"/>
      <c r="AI48" s="1748"/>
      <c r="AJ48" s="1748" t="str">
        <f>+IF(AND($AR$13=S.CAL!$CU$2,EZ48&lt;&gt;0),EZ48,IF(AND($AR$13=S.CAL!$CU$3,ET48&lt;&gt;0),ET48,""))</f>
        <v/>
      </c>
      <c r="AK48" s="1748"/>
      <c r="AL48" s="1748"/>
      <c r="AM48" s="1748" t="str">
        <f>+IF(AND($AR$13=S.CAL!$CU$2,FA48&lt;&gt;0),FA48,IF(AND($AR$13=S.CAL!$CU$3,EU48&lt;&gt;0),EU48,""))</f>
        <v/>
      </c>
      <c r="AN48" s="1748"/>
      <c r="AO48" s="1784"/>
      <c r="AP48" s="215" t="str">
        <f t="shared" si="48"/>
        <v/>
      </c>
      <c r="AQ48" s="322"/>
      <c r="AR48" s="1104"/>
      <c r="AS48" s="314">
        <f t="shared" si="3"/>
        <v>0</v>
      </c>
      <c r="AT48" s="1125"/>
      <c r="AU48" s="1125"/>
      <c r="AV48" s="314"/>
      <c r="AW48" s="1791">
        <f t="shared" si="21"/>
        <v>46385</v>
      </c>
      <c r="AX48" s="1761"/>
      <c r="AY48" s="314"/>
      <c r="AZ48" s="1104"/>
      <c r="BA48" s="973"/>
      <c r="BB48" s="543"/>
      <c r="BC48" s="548">
        <f t="shared" si="22"/>
        <v>0</v>
      </c>
      <c r="BD48" s="1104"/>
      <c r="BE48" s="807">
        <f t="shared" si="23"/>
        <v>0</v>
      </c>
      <c r="BF48" s="1128"/>
      <c r="BG48" s="222"/>
      <c r="BH48" s="548" t="str">
        <f t="shared" si="24"/>
        <v/>
      </c>
      <c r="BI48" s="1128"/>
      <c r="BJ48" s="129" t="str">
        <f>IFERROR(+BN48&amp;BL48&amp;BM48,0)</f>
        <v>Fiche infoA2</v>
      </c>
      <c r="BK48" s="129">
        <f t="shared" si="49"/>
        <v>53</v>
      </c>
      <c r="BL48" s="129" t="str">
        <f t="shared" si="4"/>
        <v>A</v>
      </c>
      <c r="BM48" s="129">
        <f>IFERROR(WEEKDAY(AB48,2),0)</f>
        <v>2</v>
      </c>
      <c r="BN48" s="223" t="str">
        <f t="shared" si="60"/>
        <v>Fiche info</v>
      </c>
      <c r="BO48" s="314" t="str">
        <f t="shared" si="51"/>
        <v/>
      </c>
      <c r="BP48" s="196" t="str">
        <f t="shared" si="52"/>
        <v/>
      </c>
      <c r="BQ48" s="597" t="str">
        <f>IF(CC44=S.CAL!$BC$3,"(journée supérieur à "&amp;DL1&amp;"h"&amp;DL2&amp;")",IF(CC44=S.CAL!$BC$4,"(journée supérieur à "&amp;CE54&amp;" hrs)",IF(CC44=S.CAL!$BC$5,"(indemnité entretien horaire)","")))</f>
        <v>(journée supérieur à 6h14)</v>
      </c>
      <c r="BR48" s="598"/>
      <c r="BS48" s="598"/>
      <c r="BT48" s="598"/>
      <c r="BU48" s="598"/>
      <c r="BV48" s="598"/>
      <c r="BW48" s="598"/>
      <c r="BX48" s="599"/>
      <c r="BY48" s="2088"/>
      <c r="BZ48" s="2086"/>
      <c r="CA48" s="2084"/>
      <c r="CB48" s="604"/>
      <c r="CC48" s="606"/>
      <c r="CD48" s="1352" t="str">
        <f>+"(journée inférieure ou égale à "&amp;DL1&amp;"h"&amp;DL2&amp;")"</f>
        <v>(journée inférieure ou égale à 6h14)</v>
      </c>
      <c r="CE48" s="604"/>
      <c r="CF48" s="665"/>
      <c r="CG48" s="575"/>
      <c r="CH48" s="575"/>
      <c r="CI48" s="575"/>
      <c r="DU48" s="315">
        <f>IF(AND(SUM(AD48:AL48)&lt;=$DL$3,SUM(AD48:AL48)&gt;0,$CC$44=S.CAL!$BC$3),1,IF(AND(SUM(AD48:AL48)&lt;=$CE$54,SUM(AD48:AL48)&gt;0,$CC$44=S.CAL!$BC$4),1,0))</f>
        <v>0</v>
      </c>
      <c r="DV48" s="315">
        <f>IF(AND(SUM(AD48:AL48)&gt;$DL$3,$CC$44=S.CAL!$BC$3),SUM(AD48:AL48),IF(AND(SUM(AD48:AL48)&gt;$CE$54,$CC$44=S.CAL!$BC$4),SUM(AD48:AL48),IF(AND($CC$44=S.CAL!$BC$5,(SUM(AD48:AL48)*$CE$59)&gt;$CE$47),SUM(AD48:AL48),0)))</f>
        <v>0</v>
      </c>
      <c r="DW48" s="315">
        <f>+IF(AND($CC$44=S.CAL!$BC$5,(SUM(AD48:AL48)*$CE$59)&lt;=$CE$47),DX48,0)</f>
        <v>0</v>
      </c>
      <c r="DX48" s="315">
        <f>IF(AND(SUM(AD48:AL48)&lt;=DL3,SUM(AD48:AL48)&gt;0),1,0)</f>
        <v>0</v>
      </c>
      <c r="DY48" s="315">
        <f>IF(AND(SUM(AD48:AL48)&gt;DL3),SUM(AD48:AL48),0)</f>
        <v>0</v>
      </c>
      <c r="EA48" s="315">
        <f t="shared" si="8"/>
        <v>0</v>
      </c>
      <c r="EB48" s="315">
        <f t="shared" si="9"/>
        <v>0</v>
      </c>
      <c r="EQ48" s="783">
        <f t="shared" si="53"/>
        <v>46385</v>
      </c>
      <c r="ER48" s="784">
        <f t="shared" si="10"/>
        <v>0</v>
      </c>
      <c r="ES48" s="785">
        <f t="shared" si="11"/>
        <v>0</v>
      </c>
      <c r="ET48" s="784">
        <f t="shared" si="12"/>
        <v>0</v>
      </c>
      <c r="EU48" s="785">
        <f t="shared" si="13"/>
        <v>0</v>
      </c>
      <c r="EV48" s="784" t="str">
        <f t="shared" si="14"/>
        <v/>
      </c>
      <c r="EW48" s="751">
        <f t="shared" si="28"/>
        <v>46385</v>
      </c>
      <c r="EX48" s="759" t="str">
        <f>IFERROR(IF(AND(AZ48="",AR48&lt;&gt;S.CAL!$BJ$3,AR48&lt;&gt;S.CAL!$BJ$4),FS48-BC48,IF(AZ48&lt;&gt;0,AZ48,IF(OR(AR48=S.CAL!$BJ$3,AR48=S.CAL!$BJ$4),AR48,0))),"")</f>
        <v/>
      </c>
      <c r="EY48" s="753">
        <f t="shared" si="54"/>
        <v>0</v>
      </c>
      <c r="EZ48" s="736">
        <f t="shared" si="55"/>
        <v>0</v>
      </c>
      <c r="FA48" s="759" t="str">
        <f t="shared" si="31"/>
        <v/>
      </c>
      <c r="FB48" s="754" t="str">
        <f t="shared" si="15"/>
        <v/>
      </c>
      <c r="FC48" s="315" t="str">
        <f t="shared" si="56"/>
        <v>non</v>
      </c>
      <c r="FD48" s="760">
        <f t="shared" si="16"/>
        <v>0</v>
      </c>
      <c r="FG48" s="315" t="str">
        <f t="shared" si="57"/>
        <v/>
      </c>
      <c r="FJ48" s="315">
        <f t="shared" si="58"/>
        <v>1</v>
      </c>
      <c r="FK48" s="129">
        <f t="shared" si="17"/>
        <v>10</v>
      </c>
      <c r="FL48" s="129">
        <f t="shared" si="35"/>
        <v>1</v>
      </c>
      <c r="FN48" s="129">
        <f>+IF(AND($DP$8&lt;&gt;52,AR48=S.CAL!$BJ$4),10,1)</f>
        <v>1</v>
      </c>
      <c r="FP48" s="129">
        <f t="shared" si="18"/>
        <v>0</v>
      </c>
      <c r="FS48" s="223" t="str">
        <f t="shared" si="61"/>
        <v/>
      </c>
      <c r="FZ48" s="129">
        <f t="shared" si="37"/>
        <v>53</v>
      </c>
      <c r="GA48" s="129">
        <f t="shared" si="38"/>
        <v>2026</v>
      </c>
      <c r="GB48" s="129" t="str">
        <f t="shared" si="39"/>
        <v>532026</v>
      </c>
      <c r="GC48" s="223">
        <f t="shared" si="40"/>
        <v>0</v>
      </c>
      <c r="GF48" s="223" t="str">
        <f t="shared" si="41"/>
        <v/>
      </c>
      <c r="GG48" s="1446" t="str">
        <f>+'Retenue Déc'!D46</f>
        <v/>
      </c>
      <c r="GH48" s="1446">
        <f>IF(Identification!$B$132="Non",+'Retenue Déc'!BF46,+'Retenue Déc'!BE46)</f>
        <v>0</v>
      </c>
      <c r="GJ48" s="1507" t="str">
        <f t="shared" si="42"/>
        <v/>
      </c>
      <c r="GK48" s="223" t="str">
        <f t="shared" si="43"/>
        <v/>
      </c>
      <c r="GL48" s="223" t="str">
        <f t="shared" si="44"/>
        <v/>
      </c>
      <c r="GM48" s="1506">
        <f t="shared" si="45"/>
        <v>0</v>
      </c>
      <c r="GO48" s="129">
        <f t="shared" si="19"/>
        <v>0</v>
      </c>
      <c r="GP48" s="129" t="str">
        <f t="shared" si="46"/>
        <v/>
      </c>
      <c r="GQ48" s="1446" t="str">
        <f t="shared" si="47"/>
        <v/>
      </c>
    </row>
    <row r="49" spans="1:199" x14ac:dyDescent="0.2">
      <c r="A49" s="2333"/>
      <c r="B49" s="2334"/>
      <c r="C49" s="2334"/>
      <c r="D49" s="2334"/>
      <c r="E49" s="2334"/>
      <c r="F49" s="2334"/>
      <c r="G49" s="2335"/>
      <c r="H49" s="2337"/>
      <c r="I49" s="2338"/>
      <c r="J49" s="2339"/>
      <c r="K49" s="1741"/>
      <c r="L49" s="2340"/>
      <c r="M49" s="2340"/>
      <c r="N49" s="1869"/>
      <c r="O49" s="1869"/>
      <c r="P49" s="1869"/>
      <c r="Q49" s="221"/>
      <c r="R49" s="2351"/>
      <c r="S49" s="2351"/>
      <c r="T49" s="2351"/>
      <c r="U49" s="2352"/>
      <c r="V49" s="2352"/>
      <c r="W49" s="2352"/>
      <c r="X49" s="2347"/>
      <c r="Y49" s="2347"/>
      <c r="Z49" s="2347"/>
      <c r="AA49" s="885" t="str">
        <f>IF(AND(BE49="OUI",$AR$13=S.CAL!$CU$2),"►",IF(AND(EV49="OUI",$AR$13=S.CAL!$CU$3),"►",""))</f>
        <v/>
      </c>
      <c r="AB49" s="1760">
        <f>IF(AB20+29&lt;DATE(YEAR(AB20),MONTH(AB20)+1,DAY(AB20)),AB20+29,"")</f>
        <v>46386</v>
      </c>
      <c r="AC49" s="1761">
        <f>+$D$6+26</f>
        <v>26</v>
      </c>
      <c r="AD49" s="1748" t="str">
        <f>+IF(AND($AR$13=S.CAL!$CU$2,EX49&lt;&gt;0),EX49,IF(AND($AR$13=S.CAL!$CU$3,ER49&lt;&gt;0),ER49,0))</f>
        <v/>
      </c>
      <c r="AE49" s="1748"/>
      <c r="AF49" s="1748"/>
      <c r="AG49" s="1748" t="str">
        <f>+IF(AND($AR$13=S.CAL!$CU$2,EY49&lt;&gt;0),EY49,IF(AND($AR$13=S.CAL!$CU$3,ES49&lt;&gt;0),ES49,""))</f>
        <v/>
      </c>
      <c r="AH49" s="1748"/>
      <c r="AI49" s="1748"/>
      <c r="AJ49" s="1748" t="str">
        <f>+IF(AND($AR$13=S.CAL!$CU$2,EZ49&lt;&gt;0),EZ49,IF(AND($AR$13=S.CAL!$CU$3,ET49&lt;&gt;0),ET49,""))</f>
        <v/>
      </c>
      <c r="AK49" s="1748"/>
      <c r="AL49" s="1748"/>
      <c r="AM49" s="1748" t="str">
        <f>+IF(AND($AR$13=S.CAL!$CU$2,FA49&lt;&gt;0),FA49,IF(AND($AR$13=S.CAL!$CU$3,EU49&lt;&gt;0),EU49,""))</f>
        <v/>
      </c>
      <c r="AN49" s="1748"/>
      <c r="AO49" s="1784"/>
      <c r="AP49" s="215" t="str">
        <f t="shared" si="48"/>
        <v/>
      </c>
      <c r="AQ49" s="322"/>
      <c r="AR49" s="1104"/>
      <c r="AS49" s="314">
        <f t="shared" si="3"/>
        <v>0</v>
      </c>
      <c r="AT49" s="1125"/>
      <c r="AU49" s="1125"/>
      <c r="AV49" s="314"/>
      <c r="AW49" s="1791">
        <f t="shared" si="21"/>
        <v>46386</v>
      </c>
      <c r="AX49" s="1761"/>
      <c r="AY49" s="314"/>
      <c r="AZ49" s="1104"/>
      <c r="BA49" s="973"/>
      <c r="BB49" s="543"/>
      <c r="BC49" s="548">
        <f t="shared" si="22"/>
        <v>0</v>
      </c>
      <c r="BD49" s="1104"/>
      <c r="BE49" s="807">
        <f t="shared" si="23"/>
        <v>0</v>
      </c>
      <c r="BF49" s="1128"/>
      <c r="BG49" s="222"/>
      <c r="BH49" s="548" t="str">
        <f t="shared" si="24"/>
        <v/>
      </c>
      <c r="BI49" s="1128"/>
      <c r="BJ49" s="129" t="str">
        <f t="shared" ref="BJ49:BJ50" si="71">IFERROR(+BN49&amp;BL49&amp;BM49,0)</f>
        <v>Fiche infoA3</v>
      </c>
      <c r="BK49" s="129">
        <f t="shared" si="49"/>
        <v>53</v>
      </c>
      <c r="BL49" s="129" t="str">
        <f t="shared" si="4"/>
        <v>A</v>
      </c>
      <c r="BM49" s="129">
        <f>IFERROR(WEEKDAY(AB49,2),0)</f>
        <v>3</v>
      </c>
      <c r="BN49" s="223" t="str">
        <f t="shared" si="60"/>
        <v>Fiche info</v>
      </c>
      <c r="BO49" s="314" t="str">
        <f t="shared" si="51"/>
        <v/>
      </c>
      <c r="BP49" s="196" t="str">
        <f t="shared" si="52"/>
        <v/>
      </c>
      <c r="BQ49" s="583"/>
      <c r="BR49" s="583"/>
      <c r="BS49" s="583"/>
      <c r="BT49" s="583"/>
      <c r="BU49" s="583"/>
      <c r="BV49" s="583"/>
      <c r="BW49" s="583"/>
      <c r="BX49" s="583"/>
      <c r="BY49" s="2094" t="s">
        <v>910</v>
      </c>
      <c r="BZ49" s="2095"/>
      <c r="CA49" s="2083">
        <f>+CA47+CA44</f>
        <v>0</v>
      </c>
      <c r="CB49" s="607"/>
      <c r="CC49" s="606"/>
      <c r="CD49" s="1351" t="s">
        <v>454</v>
      </c>
      <c r="CE49" s="1041">
        <f>IF(CF49="",Novembre!CE49,CF49)</f>
        <v>3.8250000000000002</v>
      </c>
      <c r="CF49" s="1117"/>
      <c r="DU49" s="315">
        <f>IF(AND(SUM(AD49:AL49)&lt;=$DL$3,SUM(AD49:AL49)&gt;0,$CC$44=S.CAL!$BC$3),1,IF(AND(SUM(AD49:AL49)&lt;=$CE$54,SUM(AD49:AL49)&gt;0,$CC$44=S.CAL!$BC$4),1,0))</f>
        <v>0</v>
      </c>
      <c r="DV49" s="315">
        <f>IF(AND(SUM(AD49:AL49)&gt;$DL$3,$CC$44=S.CAL!$BC$3),SUM(AD49:AL49),IF(AND(SUM(AD49:AL49)&gt;$CE$54,$CC$44=S.CAL!$BC$4),SUM(AD49:AL49),IF(AND($CC$44=S.CAL!$BC$5,(SUM(AD49:AL49)*$CE$59)&gt;$CE$47),SUM(AD49:AL49),0)))</f>
        <v>0</v>
      </c>
      <c r="DW49" s="315">
        <f>+IF(AND($CC$44=S.CAL!$BC$5,(SUM(AD49:AL49)*$CE$59)&lt;=$CE$47),DX49,0)</f>
        <v>0</v>
      </c>
      <c r="DX49" s="315">
        <f>IF(AND(SUM(AD49:AL49)&lt;=DL3,SUM(AD49:AL49)&gt;0),1,0)</f>
        <v>0</v>
      </c>
      <c r="DY49" s="315">
        <f>IF(AND(SUM(AD49:AL49)&gt;DL3),SUM(AD49:AL49),0)</f>
        <v>0</v>
      </c>
      <c r="EA49" s="315">
        <f t="shared" si="8"/>
        <v>0</v>
      </c>
      <c r="EB49" s="315">
        <f t="shared" si="9"/>
        <v>0</v>
      </c>
      <c r="EQ49" s="783">
        <f t="shared" si="53"/>
        <v>46386</v>
      </c>
      <c r="ER49" s="784">
        <f t="shared" si="10"/>
        <v>0</v>
      </c>
      <c r="ES49" s="785">
        <f t="shared" si="11"/>
        <v>0</v>
      </c>
      <c r="ET49" s="784">
        <f t="shared" si="12"/>
        <v>0</v>
      </c>
      <c r="EU49" s="785">
        <f t="shared" si="13"/>
        <v>0</v>
      </c>
      <c r="EV49" s="784" t="str">
        <f t="shared" si="14"/>
        <v/>
      </c>
      <c r="EW49" s="751">
        <f t="shared" si="28"/>
        <v>46386</v>
      </c>
      <c r="EX49" s="759" t="str">
        <f>IFERROR(IF(AND(AZ49="",AR49&lt;&gt;S.CAL!$BJ$3,AR49&lt;&gt;S.CAL!$BJ$4),FS49-BC49,IF(AZ49&lt;&gt;0,AZ49,IF(OR(AR49=S.CAL!$BJ$3,AR49=S.CAL!$BJ$4),AR49,0))),"")</f>
        <v/>
      </c>
      <c r="EY49" s="753">
        <f t="shared" si="54"/>
        <v>0</v>
      </c>
      <c r="EZ49" s="736">
        <f t="shared" si="55"/>
        <v>0</v>
      </c>
      <c r="FA49" s="759" t="str">
        <f t="shared" si="31"/>
        <v/>
      </c>
      <c r="FB49" s="754" t="str">
        <f t="shared" si="15"/>
        <v/>
      </c>
      <c r="FC49" s="315" t="str">
        <f t="shared" si="56"/>
        <v>non</v>
      </c>
      <c r="FD49" s="760">
        <f t="shared" si="16"/>
        <v>0</v>
      </c>
      <c r="FG49" s="315" t="str">
        <f t="shared" si="57"/>
        <v/>
      </c>
      <c r="FJ49" s="315">
        <f t="shared" si="58"/>
        <v>1</v>
      </c>
      <c r="FK49" s="129">
        <f t="shared" si="17"/>
        <v>10</v>
      </c>
      <c r="FL49" s="129">
        <f t="shared" si="35"/>
        <v>1</v>
      </c>
      <c r="FN49" s="129">
        <f>+IF(AND($DP$8&lt;&gt;52,AR49=S.CAL!$BJ$4),10,1)</f>
        <v>1</v>
      </c>
      <c r="FP49" s="129">
        <f t="shared" si="18"/>
        <v>0</v>
      </c>
      <c r="FS49" s="223" t="str">
        <f t="shared" si="61"/>
        <v/>
      </c>
      <c r="FZ49" s="129">
        <f t="shared" si="37"/>
        <v>53</v>
      </c>
      <c r="GA49" s="129">
        <f t="shared" si="38"/>
        <v>2026</v>
      </c>
      <c r="GB49" s="129" t="str">
        <f t="shared" ref="GB49:GB50" si="72">+FZ49&amp;GA49</f>
        <v>532026</v>
      </c>
      <c r="GC49" s="223">
        <f t="shared" ref="GC49:GC50" si="73">IF(BH49="",0,BH49)</f>
        <v>0</v>
      </c>
      <c r="GF49" s="223" t="str">
        <f t="shared" ref="GF49:GF50" si="74">IF(FP49=1,GG49,AM49)</f>
        <v/>
      </c>
      <c r="GG49" s="1446" t="str">
        <f>+'Retenue Déc'!D47</f>
        <v/>
      </c>
      <c r="GH49" s="1446">
        <f>IF(Identification!$B$132="Non",+'Retenue Déc'!BF47,+'Retenue Déc'!BE47)</f>
        <v>0</v>
      </c>
      <c r="GJ49" s="1507" t="str">
        <f t="shared" si="42"/>
        <v/>
      </c>
      <c r="GK49" s="223" t="str">
        <f t="shared" si="43"/>
        <v/>
      </c>
      <c r="GL49" s="223" t="str">
        <f t="shared" si="44"/>
        <v/>
      </c>
      <c r="GM49" s="1506">
        <f t="shared" si="45"/>
        <v>0</v>
      </c>
      <c r="GO49" s="129">
        <f t="shared" si="19"/>
        <v>0</v>
      </c>
      <c r="GP49" s="129" t="str">
        <f t="shared" si="46"/>
        <v/>
      </c>
      <c r="GQ49" s="1446" t="str">
        <f t="shared" si="47"/>
        <v/>
      </c>
    </row>
    <row r="50" spans="1:199" x14ac:dyDescent="0.2">
      <c r="A50" s="2333" t="str">
        <f>Taux_cotisations!A24</f>
        <v>Famille</v>
      </c>
      <c r="B50" s="2334"/>
      <c r="C50" s="2334"/>
      <c r="D50" s="2334"/>
      <c r="E50" s="2334"/>
      <c r="F50" s="2334"/>
      <c r="G50" s="2335"/>
      <c r="H50" s="2337"/>
      <c r="I50" s="2338"/>
      <c r="J50" s="2339"/>
      <c r="K50" s="1741"/>
      <c r="L50" s="2340"/>
      <c r="M50" s="2340"/>
      <c r="N50" s="1869"/>
      <c r="O50" s="1869"/>
      <c r="P50" s="1869"/>
      <c r="Q50" s="221"/>
      <c r="R50" s="2347">
        <f>IF(AND($T$35&gt;=$EG$6,$T$35&gt;0),$EG$6*INDEX(table_base_coef_patronale,MATCH(A50,Taux_cotisations!$A$110:$A$136,0),MATCH($X$3,Taux_cotisations!$A$110:$M$110,0)),+$T$35*INDEX(table_base_coef_patronale,MATCH(A50,Taux_cotisations!$A$110:$A$136,0),MATCH($X$3,Taux_cotisations!$A$110:$M$110,0)))</f>
        <v>0</v>
      </c>
      <c r="S50" s="2347"/>
      <c r="T50" s="2347"/>
      <c r="U50" s="2353">
        <f>INDEX(table_taux_patronales,MATCH(A50,Taux_cotisations!$A$39:$A$65,0),MATCH($X$3,Taux_cotisations!$A$39:$M$39,0))</f>
        <v>5.3999999999999999E-2</v>
      </c>
      <c r="V50" s="2353"/>
      <c r="W50" s="2353"/>
      <c r="X50" s="2347">
        <f t="shared" ref="X50" si="75">ROUND(U50*R50,2)</f>
        <v>0</v>
      </c>
      <c r="Y50" s="2347"/>
      <c r="Z50" s="2347"/>
      <c r="AA50" s="885" t="str">
        <f>IF(AND(BE50="OUI",$AR$13=S.CAL!$CU$2),"►",IF(AND(EV50="OUI",$AR$13=S.CAL!$CU$3),"►",""))</f>
        <v/>
      </c>
      <c r="AB50" s="1760">
        <f>IF(AB20+30&lt;DATE(YEAR(AB20),MONTH(AB20)+1,DAY(AB20)),AB20+30,"")</f>
        <v>46387</v>
      </c>
      <c r="AC50" s="1761">
        <f>+$D$6+26</f>
        <v>26</v>
      </c>
      <c r="AD50" s="1748" t="str">
        <f>+IF(AND($AR$13=S.CAL!$CU$2,EX50&lt;&gt;0),EX50,IF(AND($AR$13=S.CAL!$CU$3,ER50&lt;&gt;0),ER50,0))</f>
        <v/>
      </c>
      <c r="AE50" s="1748"/>
      <c r="AF50" s="1748"/>
      <c r="AG50" s="1748" t="str">
        <f>+IF(AND($AR$13=S.CAL!$CU$2,EY50&lt;&gt;0),EY50,IF(AND($AR$13=S.CAL!$CU$3,ES50&lt;&gt;0),ES50,""))</f>
        <v/>
      </c>
      <c r="AH50" s="1748"/>
      <c r="AI50" s="1748"/>
      <c r="AJ50" s="1748" t="str">
        <f>+IF(AND($AR$13=S.CAL!$CU$2,EZ50&lt;&gt;0),EZ50,IF(AND($AR$13=S.CAL!$CU$3,ET50&lt;&gt;0),ET50,""))</f>
        <v/>
      </c>
      <c r="AK50" s="1748"/>
      <c r="AL50" s="1748"/>
      <c r="AM50" s="1748" t="str">
        <f>+IF(AND($AR$13=S.CAL!$CU$2,FA50&lt;&gt;0),FA50,IF(AND($AR$13=S.CAL!$CU$3,EU50&lt;&gt;0),EU50,""))</f>
        <v/>
      </c>
      <c r="AN50" s="1748"/>
      <c r="AO50" s="1784"/>
      <c r="AP50" s="215" t="str">
        <f t="shared" si="48"/>
        <v/>
      </c>
      <c r="AQ50" s="322"/>
      <c r="AR50" s="1105"/>
      <c r="AS50" s="314">
        <f t="shared" si="3"/>
        <v>0</v>
      </c>
      <c r="AT50" s="1126"/>
      <c r="AU50" s="1126"/>
      <c r="AV50" s="314"/>
      <c r="AW50" s="2026">
        <f t="shared" si="21"/>
        <v>46387</v>
      </c>
      <c r="AX50" s="2027"/>
      <c r="AY50" s="314"/>
      <c r="AZ50" s="1105"/>
      <c r="BA50" s="974"/>
      <c r="BB50" s="543"/>
      <c r="BC50" s="546">
        <f t="shared" si="22"/>
        <v>0</v>
      </c>
      <c r="BD50" s="1105"/>
      <c r="BE50" s="808">
        <f t="shared" si="23"/>
        <v>0</v>
      </c>
      <c r="BF50" s="1129"/>
      <c r="BG50" s="222"/>
      <c r="BH50" s="546" t="str">
        <f t="shared" si="24"/>
        <v/>
      </c>
      <c r="BI50" s="1129"/>
      <c r="BJ50" s="129" t="str">
        <f t="shared" si="71"/>
        <v>Fiche infoA4</v>
      </c>
      <c r="BK50" s="129">
        <f t="shared" si="49"/>
        <v>53</v>
      </c>
      <c r="BL50" s="129" t="str">
        <f t="shared" si="4"/>
        <v>A</v>
      </c>
      <c r="BM50" s="129">
        <f>IFERROR(WEEKDAY(AB50,2),0)</f>
        <v>4</v>
      </c>
      <c r="BN50" s="223" t="str">
        <f t="shared" si="60"/>
        <v>Fiche info</v>
      </c>
      <c r="BO50" s="314" t="str">
        <f t="shared" si="51"/>
        <v/>
      </c>
      <c r="BP50" s="196" t="str">
        <f t="shared" si="52"/>
        <v/>
      </c>
      <c r="BQ50" s="583"/>
      <c r="BR50" s="583"/>
      <c r="BS50" s="583"/>
      <c r="BT50" s="583"/>
      <c r="BU50" s="583"/>
      <c r="BV50" s="583"/>
      <c r="BW50" s="583"/>
      <c r="BX50" s="600"/>
      <c r="BY50" s="2096"/>
      <c r="BZ50" s="2097"/>
      <c r="CA50" s="2093"/>
      <c r="CB50" s="607"/>
      <c r="CC50" s="607"/>
      <c r="CD50" s="1353" t="s">
        <v>1515</v>
      </c>
      <c r="CE50" s="604"/>
      <c r="CJ50" s="575"/>
      <c r="CK50" s="575"/>
      <c r="CL50" s="575"/>
      <c r="CM50" s="575"/>
      <c r="CN50" s="575"/>
      <c r="CO50" s="575"/>
      <c r="CP50" s="575"/>
      <c r="CQ50" s="575"/>
      <c r="CR50" s="575"/>
      <c r="CS50" s="575"/>
      <c r="CT50" s="575"/>
      <c r="CU50" s="575"/>
      <c r="CV50" s="575"/>
      <c r="CW50" s="575"/>
      <c r="CX50" s="575"/>
      <c r="CY50" s="575"/>
      <c r="CZ50" s="575"/>
      <c r="DA50" s="575"/>
      <c r="DB50" s="575"/>
      <c r="DC50" s="575"/>
      <c r="DD50" s="575"/>
      <c r="DE50" s="767"/>
      <c r="DF50" s="738"/>
      <c r="DG50" s="738"/>
      <c r="DH50" s="738"/>
      <c r="DI50" s="738"/>
      <c r="DJ50" s="738"/>
      <c r="DK50" s="738"/>
      <c r="DL50" s="738"/>
      <c r="DM50" s="738"/>
      <c r="DN50" s="738"/>
      <c r="DO50" s="738"/>
      <c r="DP50" s="738"/>
      <c r="DQ50" s="738"/>
      <c r="DR50" s="738"/>
      <c r="DS50" s="738"/>
      <c r="DT50" s="738"/>
      <c r="DU50" s="315">
        <f>IF(AND(SUM(AD50:AL50)&lt;=$DL$3,SUM(AD50:AL50)&gt;0,$CC$44=S.CAL!$BC$3),1,IF(AND(SUM(AD50:AL50)&lt;=$CE$54,SUM(AD50:AL50)&gt;0,$CC$44=S.CAL!$BC$4),1,0))</f>
        <v>0</v>
      </c>
      <c r="DV50" s="315">
        <f>IF(AND(SUM(AD50:AL50)&gt;$DL$3,$CC$44=S.CAL!$BC$3),SUM(AD50:AL50),IF(AND(SUM(AD50:AL50)&gt;$CE$54,$CC$44=S.CAL!$BC$4),SUM(AD50:AL50),IF(AND($CC$44=S.CAL!$BC$5,(SUM(AD50:AL50)*$CE$59)&gt;$CE$47),SUM(AD50:AL50),0)))</f>
        <v>0</v>
      </c>
      <c r="DW50" s="315">
        <f>+IF(AND($CC$44=S.CAL!$BC$5,(SUM(AD50:AL50)*$CE$59)&lt;=$CE$47),DX50,0)</f>
        <v>0</v>
      </c>
      <c r="DX50" s="315">
        <f>IF(AND(SUM(AD50:AL50)&lt;=DL3,SUM(AD50:AL50)&gt;0),1,0)</f>
        <v>0</v>
      </c>
      <c r="DY50" s="315">
        <f>IF(AND(SUM(AD50:AL50)&gt;DL3),SUM(AD50:AL50),0)</f>
        <v>0</v>
      </c>
      <c r="EA50" s="315">
        <f t="shared" si="8"/>
        <v>0</v>
      </c>
      <c r="EB50" s="315">
        <f t="shared" si="9"/>
        <v>0</v>
      </c>
      <c r="EQ50" s="786">
        <f t="shared" si="53"/>
        <v>46387</v>
      </c>
      <c r="ER50" s="787">
        <f t="shared" si="10"/>
        <v>0</v>
      </c>
      <c r="ES50" s="788">
        <f t="shared" si="11"/>
        <v>0</v>
      </c>
      <c r="ET50" s="787">
        <f t="shared" si="12"/>
        <v>0</v>
      </c>
      <c r="EU50" s="788">
        <f t="shared" si="13"/>
        <v>0</v>
      </c>
      <c r="EV50" s="787" t="str">
        <f t="shared" si="14"/>
        <v/>
      </c>
      <c r="EW50" s="771">
        <f t="shared" si="28"/>
        <v>46387</v>
      </c>
      <c r="EX50" s="772" t="str">
        <f>IFERROR(IF(AND(AZ50="",AR50&lt;&gt;S.CAL!$BJ$3,AR50&lt;&gt;S.CAL!$BJ$4),FS50-BC50,IF(AZ50&lt;&gt;0,AZ50,IF(OR(AR50=S.CAL!$BJ$3,AR50=S.CAL!$BJ$4),AR50,0))),"")</f>
        <v/>
      </c>
      <c r="EY50" s="772">
        <f t="shared" si="54"/>
        <v>0</v>
      </c>
      <c r="EZ50" s="773">
        <f t="shared" si="55"/>
        <v>0</v>
      </c>
      <c r="FA50" s="772" t="str">
        <f t="shared" si="31"/>
        <v/>
      </c>
      <c r="FB50" s="774" t="str">
        <f t="shared" si="15"/>
        <v/>
      </c>
      <c r="FC50" s="315" t="str">
        <f t="shared" si="56"/>
        <v>non</v>
      </c>
      <c r="FD50" s="775">
        <f t="shared" si="16"/>
        <v>0</v>
      </c>
      <c r="FG50" s="315" t="str">
        <f t="shared" si="57"/>
        <v/>
      </c>
      <c r="FJ50" s="315">
        <f t="shared" si="58"/>
        <v>1</v>
      </c>
      <c r="FK50" s="129">
        <f t="shared" si="17"/>
        <v>10</v>
      </c>
      <c r="FL50" s="129">
        <f t="shared" si="35"/>
        <v>1</v>
      </c>
      <c r="FN50" s="129">
        <f>+IF(AND($DP$8&lt;&gt;52,AR50=S.CAL!$BJ$4),10,1)</f>
        <v>1</v>
      </c>
      <c r="FP50" s="129">
        <f t="shared" si="18"/>
        <v>0</v>
      </c>
      <c r="FS50" s="223" t="str">
        <f t="shared" si="61"/>
        <v/>
      </c>
      <c r="FZ50" s="129">
        <f t="shared" si="37"/>
        <v>53</v>
      </c>
      <c r="GA50" s="129">
        <f t="shared" si="38"/>
        <v>2026</v>
      </c>
      <c r="GB50" s="129" t="str">
        <f t="shared" si="72"/>
        <v>532026</v>
      </c>
      <c r="GC50" s="223">
        <f t="shared" si="73"/>
        <v>0</v>
      </c>
      <c r="GF50" s="223" t="str">
        <f t="shared" si="74"/>
        <v/>
      </c>
      <c r="GG50" s="1446" t="str">
        <f>+'Retenue Déc'!D48</f>
        <v/>
      </c>
      <c r="GH50" s="1446">
        <f>IF(Identification!$B$132="Non",+'Retenue Déc'!BF48,+'Retenue Déc'!BE48)</f>
        <v>0</v>
      </c>
      <c r="GJ50" s="1507" t="str">
        <f t="shared" si="42"/>
        <v/>
      </c>
      <c r="GK50" s="223" t="str">
        <f t="shared" si="43"/>
        <v/>
      </c>
      <c r="GL50" s="223" t="str">
        <f t="shared" si="44"/>
        <v/>
      </c>
      <c r="GM50" s="1506">
        <f t="shared" si="45"/>
        <v>0</v>
      </c>
      <c r="GO50" s="129">
        <f t="shared" si="19"/>
        <v>0</v>
      </c>
      <c r="GP50" s="129" t="str">
        <f t="shared" si="46"/>
        <v/>
      </c>
      <c r="GQ50" s="1446" t="str">
        <f t="shared" si="47"/>
        <v/>
      </c>
    </row>
    <row r="51" spans="1:199" ht="13.5" thickBot="1" x14ac:dyDescent="0.25">
      <c r="A51" s="1856"/>
      <c r="B51" s="1857"/>
      <c r="C51" s="1857"/>
      <c r="D51" s="1857"/>
      <c r="E51" s="1857"/>
      <c r="F51" s="1857"/>
      <c r="G51" s="2336"/>
      <c r="H51" s="2337"/>
      <c r="I51" s="2338"/>
      <c r="J51" s="2339"/>
      <c r="K51" s="1741"/>
      <c r="L51" s="2340"/>
      <c r="M51" s="2340"/>
      <c r="N51" s="1869"/>
      <c r="O51" s="1869"/>
      <c r="P51" s="1869"/>
      <c r="Q51" s="221"/>
      <c r="R51" s="2351"/>
      <c r="S51" s="2351"/>
      <c r="T51" s="2351"/>
      <c r="U51" s="2352"/>
      <c r="V51" s="2352"/>
      <c r="W51" s="2352"/>
      <c r="X51" s="2347"/>
      <c r="Y51" s="2347"/>
      <c r="Z51" s="2347"/>
      <c r="AA51" s="886"/>
      <c r="AB51" s="2232"/>
      <c r="AC51" s="2232"/>
      <c r="AD51" s="2092">
        <f>SUM(AD20:AF50)</f>
        <v>0</v>
      </c>
      <c r="AE51" s="2092"/>
      <c r="AF51" s="2092"/>
      <c r="AG51" s="2048">
        <f>SUM(AG20:AI50)</f>
        <v>0</v>
      </c>
      <c r="AH51" s="2048"/>
      <c r="AI51" s="2048"/>
      <c r="AJ51" s="2092">
        <f>SUM(AJ20:AL50)</f>
        <v>0</v>
      </c>
      <c r="AK51" s="2092"/>
      <c r="AL51" s="2092"/>
      <c r="AM51" s="2049">
        <f>SUM(AM20:AM50)</f>
        <v>0</v>
      </c>
      <c r="AN51" s="2048"/>
      <c r="AO51" s="2050"/>
      <c r="AP51" s="504"/>
      <c r="AQ51" s="1548" t="str">
        <f>+AQ16</f>
        <v/>
      </c>
      <c r="BC51" s="1415">
        <f>SUM(BC20:BC50)</f>
        <v>0</v>
      </c>
      <c r="BQ51" s="583"/>
      <c r="BR51" s="583"/>
      <c r="BS51" s="583"/>
      <c r="BT51" s="583"/>
      <c r="BU51" s="583"/>
      <c r="BV51" s="583"/>
      <c r="BW51" s="583"/>
      <c r="BX51" s="583"/>
      <c r="BY51" s="583"/>
      <c r="BZ51" s="601" t="s">
        <v>1043</v>
      </c>
      <c r="CA51" s="602">
        <f>+ROUND((DX51*CE47)+(DY51*CE47/DL3),2)</f>
        <v>0</v>
      </c>
      <c r="CB51" s="608"/>
      <c r="CC51" s="607"/>
      <c r="CD51" s="607"/>
      <c r="CE51" s="604"/>
      <c r="CF51" s="665" t="s">
        <v>492</v>
      </c>
      <c r="CG51" s="575"/>
      <c r="CH51" s="575"/>
      <c r="CI51" s="575"/>
      <c r="CJ51" s="576"/>
      <c r="CK51" s="576"/>
      <c r="CL51" s="576"/>
      <c r="CM51" s="576"/>
      <c r="CN51" s="576"/>
      <c r="CO51" s="576"/>
      <c r="CP51" s="576"/>
      <c r="CQ51" s="576"/>
      <c r="CR51" s="576"/>
      <c r="CS51" s="576"/>
      <c r="CT51" s="576"/>
      <c r="CU51" s="576"/>
      <c r="CV51" s="576"/>
      <c r="CW51" s="576"/>
      <c r="CX51" s="576"/>
      <c r="CY51" s="576"/>
      <c r="CZ51" s="576"/>
      <c r="DA51" s="576"/>
      <c r="DB51" s="576"/>
      <c r="DC51" s="576"/>
      <c r="DD51" s="576"/>
      <c r="DE51" s="776"/>
      <c r="DF51" s="735"/>
      <c r="DG51" s="735"/>
      <c r="DH51" s="735"/>
      <c r="DI51" s="735"/>
      <c r="DJ51" s="1543" t="s">
        <v>746</v>
      </c>
      <c r="DK51" s="220">
        <f>+IF(AZ90="",+COUNTIF(AR20:AR50,S.CAL!BJ3),AZ90)</f>
        <v>0</v>
      </c>
      <c r="DL51" s="735"/>
      <c r="DM51" s="735"/>
      <c r="DN51" s="735"/>
      <c r="DO51" s="735"/>
      <c r="DP51" s="735"/>
      <c r="DQ51" s="735"/>
      <c r="DR51" s="735"/>
      <c r="DS51" s="735"/>
      <c r="DT51" s="735"/>
      <c r="DU51" s="1348">
        <f>SUM(DU20:DU50)</f>
        <v>0</v>
      </c>
      <c r="DV51" s="1348">
        <f t="shared" ref="DV51:DW51" si="76">SUM(DV20:DV50)</f>
        <v>0</v>
      </c>
      <c r="DW51" s="1348">
        <f t="shared" si="76"/>
        <v>0</v>
      </c>
      <c r="DX51" s="747">
        <f>SUM(DX20:DX50)</f>
        <v>0</v>
      </c>
      <c r="DY51" s="747">
        <f>SUM(DY20:DY50)</f>
        <v>0</v>
      </c>
      <c r="DZ51" s="747"/>
      <c r="EA51" s="747">
        <f>SUM(EA20:EA50)</f>
        <v>0</v>
      </c>
      <c r="EB51" s="747">
        <f>SUM(EB20:EB50)</f>
        <v>0</v>
      </c>
      <c r="EC51" s="747"/>
      <c r="ED51" s="747"/>
      <c r="EE51" s="747"/>
      <c r="EQ51" s="778"/>
      <c r="ER51" s="785"/>
      <c r="ES51" s="785"/>
      <c r="ET51" s="785"/>
      <c r="EU51" s="785"/>
      <c r="EV51" s="785"/>
      <c r="FD51" s="315">
        <f>+COUNTIF(FD20:FD50,S.CAL!BJ3)</f>
        <v>0</v>
      </c>
      <c r="GJ51" s="1507"/>
      <c r="GM51" s="1506"/>
    </row>
    <row r="52" spans="1:199" ht="13.5" thickTop="1" x14ac:dyDescent="0.2">
      <c r="A52" s="1856" t="str">
        <f>Taux_cotisations!A25</f>
        <v>Assurance Chômage</v>
      </c>
      <c r="B52" s="1857"/>
      <c r="C52" s="1857"/>
      <c r="D52" s="1857"/>
      <c r="E52" s="1857"/>
      <c r="F52" s="1857"/>
      <c r="G52" s="2336"/>
      <c r="H52" s="2337"/>
      <c r="I52" s="2338"/>
      <c r="J52" s="2339"/>
      <c r="K52" s="1741"/>
      <c r="L52" s="2340"/>
      <c r="M52" s="2340"/>
      <c r="N52" s="1869"/>
      <c r="O52" s="1869"/>
      <c r="P52" s="1869"/>
      <c r="Q52" s="221"/>
      <c r="R52" s="2351">
        <f>IF(AND($T$35&gt;=$EG$6,$T$35&gt;0),$EG$6*INDEX(table_base_coef_patronale,MATCH(A52,Taux_cotisations!$A$110:$A$136,0),MATCH($X$3,Taux_cotisations!$A$110:$M$110,0)),+$T$35*INDEX(table_base_coef_patronale,MATCH(A52,Taux_cotisations!$A$110:$A$136,0),MATCH($X$3,Taux_cotisations!$A$110:$M$110,0)))</f>
        <v>0</v>
      </c>
      <c r="S52" s="2351"/>
      <c r="T52" s="2351"/>
      <c r="U52" s="2352">
        <f>INDEX(table_taux_patronales,MATCH(A52,Taux_cotisations!$A$39:$A$65,0),MATCH($X$3,Taux_cotisations!$A$39:$M$39,0))</f>
        <v>2.8000000000000001E-2</v>
      </c>
      <c r="V52" s="2352"/>
      <c r="W52" s="2352"/>
      <c r="X52" s="2347">
        <f t="shared" ref="X52" si="77">ROUND(U52*R52,2)</f>
        <v>0</v>
      </c>
      <c r="Y52" s="2347"/>
      <c r="Z52" s="2347"/>
      <c r="AA52" s="886"/>
      <c r="AB52" s="220"/>
      <c r="AC52" s="220"/>
      <c r="AD52" s="222"/>
      <c r="AE52" s="222"/>
      <c r="AF52" s="222"/>
      <c r="AG52" s="222"/>
      <c r="AH52" s="222"/>
      <c r="AI52" s="222"/>
      <c r="AJ52" s="222"/>
      <c r="AK52" s="222"/>
      <c r="AL52" s="222"/>
      <c r="AM52" s="222"/>
      <c r="AN52" s="222"/>
      <c r="AO52" s="222"/>
      <c r="AP52" s="222"/>
      <c r="AQ52" s="1546" t="str">
        <f>+AQ17</f>
        <v/>
      </c>
      <c r="AS52" s="129"/>
      <c r="BC52" s="222"/>
      <c r="BQ52" s="583"/>
      <c r="BR52" s="583"/>
      <c r="BS52" s="583"/>
      <c r="BT52" s="583"/>
      <c r="BU52" s="583"/>
      <c r="BV52" s="583"/>
      <c r="BW52" s="583"/>
      <c r="BX52" s="583"/>
      <c r="BY52" s="583"/>
      <c r="BZ52" s="601"/>
      <c r="CA52" s="602"/>
      <c r="CB52" s="608"/>
      <c r="CC52" s="607"/>
      <c r="CD52" s="607"/>
      <c r="CE52" s="604"/>
      <c r="CF52" s="665"/>
      <c r="CG52" s="575"/>
      <c r="CH52" s="575"/>
      <c r="CI52" s="575"/>
      <c r="CJ52" s="576"/>
      <c r="CK52" s="576"/>
      <c r="CL52" s="576"/>
      <c r="CM52" s="576"/>
      <c r="CN52" s="576"/>
      <c r="CO52" s="576"/>
      <c r="CP52" s="576"/>
      <c r="CQ52" s="576"/>
      <c r="CR52" s="576"/>
      <c r="CS52" s="576"/>
      <c r="CT52" s="576"/>
      <c r="CU52" s="576"/>
      <c r="CV52" s="576"/>
      <c r="CW52" s="576"/>
      <c r="CX52" s="576"/>
      <c r="CY52" s="576"/>
      <c r="CZ52" s="576"/>
      <c r="DA52" s="576"/>
      <c r="DB52" s="576"/>
      <c r="DC52" s="576"/>
      <c r="DD52" s="576"/>
      <c r="DE52" s="776"/>
      <c r="DF52" s="735"/>
      <c r="DG52" s="735"/>
      <c r="DH52" s="735"/>
      <c r="DI52" s="735"/>
      <c r="DJ52" s="1544" t="s">
        <v>696</v>
      </c>
      <c r="DK52" s="220">
        <f>IF(BA90="",COUNTIF(AR20:AR50,S.CAL!BJ4),BA90)</f>
        <v>0</v>
      </c>
      <c r="DL52" s="735"/>
      <c r="DM52" s="735"/>
      <c r="DN52" s="735"/>
      <c r="DO52" s="735"/>
      <c r="DP52" s="735"/>
      <c r="DQ52" s="735"/>
      <c r="DR52" s="735"/>
      <c r="DS52" s="735"/>
      <c r="DT52" s="735"/>
      <c r="DU52" s="1348"/>
      <c r="DV52" s="1348"/>
      <c r="DW52" s="1348"/>
      <c r="DX52" s="747"/>
      <c r="DY52" s="747"/>
      <c r="DZ52" s="747"/>
      <c r="EA52" s="747"/>
      <c r="EB52" s="747"/>
      <c r="EC52" s="747"/>
      <c r="ED52" s="747"/>
      <c r="EE52" s="747"/>
      <c r="EQ52" s="778"/>
      <c r="ER52" s="785"/>
      <c r="ES52" s="785"/>
      <c r="ET52" s="785"/>
      <c r="EU52" s="785"/>
      <c r="EV52" s="785"/>
      <c r="GJ52" s="1508"/>
      <c r="GK52" s="212"/>
      <c r="GL52" s="212"/>
      <c r="GM52" s="1509">
        <f>SUM(GM20:GM50)</f>
        <v>0</v>
      </c>
    </row>
    <row r="53" spans="1:199" x14ac:dyDescent="0.2">
      <c r="A53" s="1856"/>
      <c r="B53" s="1857"/>
      <c r="C53" s="1857"/>
      <c r="D53" s="1857"/>
      <c r="E53" s="1857"/>
      <c r="F53" s="1857"/>
      <c r="G53" s="2336"/>
      <c r="H53" s="2337"/>
      <c r="I53" s="2338"/>
      <c r="J53" s="2339"/>
      <c r="K53" s="1741"/>
      <c r="L53" s="2340"/>
      <c r="M53" s="2340"/>
      <c r="N53" s="1869"/>
      <c r="O53" s="1869"/>
      <c r="P53" s="1869"/>
      <c r="Q53" s="221"/>
      <c r="R53" s="2351"/>
      <c r="S53" s="2351"/>
      <c r="T53" s="2351"/>
      <c r="U53" s="2352"/>
      <c r="V53" s="2352"/>
      <c r="W53" s="2352"/>
      <c r="X53" s="2347"/>
      <c r="Y53" s="2347"/>
      <c r="Z53" s="2347"/>
      <c r="AA53" s="886"/>
      <c r="AB53" s="220"/>
      <c r="AC53" s="220"/>
      <c r="AD53" s="222"/>
      <c r="AE53" s="222"/>
      <c r="AF53" s="222"/>
      <c r="AG53" s="222"/>
      <c r="AH53" s="222"/>
      <c r="AI53" s="222"/>
      <c r="AJ53" s="222"/>
      <c r="AK53" s="222"/>
      <c r="AL53" s="222"/>
      <c r="AM53" s="222"/>
      <c r="AN53" s="222"/>
      <c r="AO53" s="222"/>
      <c r="AP53" s="222"/>
      <c r="AQ53" s="322"/>
      <c r="AR53" s="220"/>
      <c r="AS53" s="129"/>
      <c r="BC53" s="222"/>
      <c r="CB53" s="604"/>
      <c r="CC53" s="608"/>
      <c r="CD53" s="1349" t="s">
        <v>1509</v>
      </c>
      <c r="CE53" s="1346">
        <f>IF(CF53="",+Novembre!CE53,CF53)</f>
        <v>0</v>
      </c>
      <c r="CF53" s="1297"/>
      <c r="CG53" s="575"/>
      <c r="CH53" s="575"/>
      <c r="CI53" s="575"/>
      <c r="CJ53" s="576"/>
      <c r="CK53" s="576"/>
      <c r="CL53" s="576"/>
      <c r="CM53" s="576"/>
      <c r="CN53" s="576"/>
      <c r="CO53" s="576"/>
      <c r="CP53" s="576"/>
      <c r="CQ53" s="576"/>
      <c r="CR53" s="576"/>
      <c r="CS53" s="576"/>
      <c r="CT53" s="576"/>
      <c r="CU53" s="576"/>
      <c r="CV53" s="576"/>
      <c r="CW53" s="576"/>
      <c r="CX53" s="576"/>
      <c r="CY53" s="576"/>
      <c r="CZ53" s="576"/>
      <c r="DA53" s="576"/>
      <c r="DB53" s="576"/>
      <c r="DC53" s="576"/>
      <c r="DD53" s="576"/>
      <c r="DE53" s="776"/>
      <c r="DF53" s="735"/>
      <c r="DG53" s="735"/>
      <c r="DH53" s="735"/>
      <c r="DI53" s="735"/>
      <c r="DJ53" s="735"/>
      <c r="DK53" s="735"/>
      <c r="DL53" s="735"/>
      <c r="DM53" s="735"/>
      <c r="DN53" s="735"/>
      <c r="DO53" s="735"/>
      <c r="DP53" s="735"/>
      <c r="DQ53" s="735"/>
      <c r="DR53" s="735"/>
      <c r="DS53" s="735"/>
      <c r="DT53" s="735"/>
      <c r="DU53" s="1348"/>
      <c r="DV53" s="1348"/>
      <c r="DW53" s="1348"/>
      <c r="DX53" s="747"/>
      <c r="DY53" s="747"/>
      <c r="DZ53" s="747"/>
      <c r="EA53" s="747"/>
      <c r="EB53" s="747"/>
      <c r="EC53" s="747"/>
      <c r="ED53" s="747"/>
      <c r="EE53" s="747"/>
      <c r="EQ53" s="778"/>
      <c r="ER53" s="785"/>
      <c r="ES53" s="785"/>
      <c r="ET53" s="785"/>
      <c r="EU53" s="785"/>
      <c r="EV53" s="785"/>
    </row>
    <row r="54" spans="1:199" x14ac:dyDescent="0.2">
      <c r="A54" s="1856" t="str">
        <f>+Taux_cotisations!A26</f>
        <v>Contribution Santé au Travail</v>
      </c>
      <c r="B54" s="1857"/>
      <c r="C54" s="1857"/>
      <c r="D54" s="1857"/>
      <c r="E54" s="1857"/>
      <c r="F54" s="1857"/>
      <c r="G54" s="2336"/>
      <c r="H54" s="2337"/>
      <c r="I54" s="2338"/>
      <c r="J54" s="2339"/>
      <c r="K54" s="1741"/>
      <c r="L54" s="2340"/>
      <c r="M54" s="2340"/>
      <c r="N54" s="1869"/>
      <c r="O54" s="1869"/>
      <c r="P54" s="1869"/>
      <c r="Q54" s="221"/>
      <c r="R54" s="2351">
        <f>+$T$35*INDEX(table_base_coef_patronale,MATCH(A54,Taux_cotisations!$A$110:$A$136,0),MATCH($X$3,Taux_cotisations!$A$110:$M$110,0))</f>
        <v>0</v>
      </c>
      <c r="S54" s="2351"/>
      <c r="T54" s="2351"/>
      <c r="U54" s="2352">
        <f>INDEX(table_taux_patronales,MATCH(A54,Taux_cotisations!$A$39:$A$65,0),MATCH($X$3,Taux_cotisations!$A$39:$M$39,0))</f>
        <v>2.7E-2</v>
      </c>
      <c r="V54" s="2352"/>
      <c r="W54" s="2352"/>
      <c r="X54" s="2347">
        <f>MIN(ROUND(U54*R54,2),5)</f>
        <v>0</v>
      </c>
      <c r="Y54" s="2347"/>
      <c r="Z54" s="2347"/>
      <c r="AA54" s="886"/>
      <c r="AB54" s="1777" t="s">
        <v>1206</v>
      </c>
      <c r="AC54" s="1777"/>
      <c r="AD54" s="1777"/>
      <c r="AE54" s="1777"/>
      <c r="AF54" s="1777"/>
      <c r="AG54" s="1777"/>
      <c r="AH54" s="1777"/>
      <c r="AI54" s="1777"/>
      <c r="AJ54" s="1777"/>
      <c r="AK54" s="1777"/>
      <c r="AL54" s="1777"/>
      <c r="AM54" s="1777"/>
      <c r="AN54" s="1777"/>
      <c r="AO54" s="1777"/>
      <c r="AP54" s="222"/>
      <c r="AQ54" s="322"/>
      <c r="AR54" s="220"/>
      <c r="AS54" s="129"/>
      <c r="BC54" s="222"/>
      <c r="BQ54" s="1998" t="s">
        <v>1052</v>
      </c>
      <c r="BR54" s="1998"/>
      <c r="BS54" s="1998"/>
      <c r="BT54" s="1998"/>
      <c r="BU54" s="1998"/>
      <c r="BV54" s="1998"/>
      <c r="BW54" s="1998"/>
      <c r="BX54" s="1998"/>
      <c r="BY54" s="1998"/>
      <c r="BZ54" s="1998"/>
      <c r="CA54" s="610"/>
      <c r="CB54" s="604"/>
      <c r="CC54" s="604"/>
      <c r="CD54" s="1345" t="s">
        <v>1037</v>
      </c>
      <c r="CE54" s="1350">
        <f>IF(CF54="",Novembre!CE54,CF54)</f>
        <v>0</v>
      </c>
      <c r="CF54" s="1347"/>
      <c r="CG54" s="575"/>
      <c r="CH54" s="575"/>
      <c r="CI54" s="575"/>
      <c r="CJ54" s="576"/>
      <c r="CK54" s="576"/>
      <c r="CL54" s="576"/>
      <c r="CM54" s="576"/>
      <c r="CN54" s="576"/>
      <c r="CO54" s="576"/>
      <c r="CP54" s="576"/>
      <c r="CQ54" s="576"/>
      <c r="CR54" s="576"/>
      <c r="CS54" s="576"/>
      <c r="CT54" s="576"/>
      <c r="CU54" s="576"/>
      <c r="CV54" s="576"/>
      <c r="CW54" s="576"/>
      <c r="CX54" s="576"/>
      <c r="CY54" s="576"/>
      <c r="CZ54" s="576"/>
      <c r="DA54" s="576"/>
      <c r="DB54" s="576"/>
      <c r="DC54" s="576"/>
      <c r="DD54" s="576"/>
      <c r="DE54" s="776"/>
      <c r="DF54" s="735"/>
      <c r="DG54" s="735"/>
      <c r="DH54" s="735"/>
      <c r="DI54" s="735"/>
      <c r="DJ54" s="735"/>
      <c r="DK54" s="735"/>
      <c r="DL54" s="735"/>
      <c r="DM54" s="735"/>
      <c r="DN54" s="735"/>
      <c r="DO54" s="735"/>
      <c r="DP54" s="735"/>
      <c r="DQ54" s="735"/>
      <c r="DR54" s="735"/>
      <c r="DS54" s="735"/>
      <c r="DT54" s="735"/>
      <c r="DU54" s="1348"/>
      <c r="DV54" s="1348"/>
      <c r="DW54" s="1348"/>
      <c r="DX54" s="747"/>
      <c r="DY54" s="747"/>
      <c r="DZ54" s="747"/>
      <c r="EA54" s="747"/>
      <c r="EB54" s="747"/>
      <c r="EC54" s="747"/>
      <c r="ED54" s="747"/>
      <c r="EE54" s="747"/>
      <c r="EQ54" s="778"/>
      <c r="ER54" s="785"/>
      <c r="ES54" s="785"/>
      <c r="ET54" s="785"/>
      <c r="EU54" s="785"/>
      <c r="EV54" s="785"/>
    </row>
    <row r="55" spans="1:199" x14ac:dyDescent="0.2">
      <c r="A55" s="1856"/>
      <c r="B55" s="1857"/>
      <c r="C55" s="1857"/>
      <c r="D55" s="1857"/>
      <c r="E55" s="1857"/>
      <c r="F55" s="1857"/>
      <c r="G55" s="2336"/>
      <c r="H55" s="2341"/>
      <c r="I55" s="1869"/>
      <c r="J55" s="2342"/>
      <c r="K55" s="1919"/>
      <c r="L55" s="2364"/>
      <c r="M55" s="2364"/>
      <c r="N55" s="1869"/>
      <c r="O55" s="1869"/>
      <c r="P55" s="1869"/>
      <c r="Q55" s="224"/>
      <c r="R55" s="2347"/>
      <c r="S55" s="2347"/>
      <c r="T55" s="2347"/>
      <c r="U55" s="2352"/>
      <c r="V55" s="2352"/>
      <c r="W55" s="2352"/>
      <c r="X55" s="2347"/>
      <c r="Y55" s="2347"/>
      <c r="Z55" s="2347"/>
      <c r="AA55" s="886"/>
      <c r="AB55" s="1776" t="s">
        <v>1207</v>
      </c>
      <c r="AC55" s="1776"/>
      <c r="AD55" s="1776"/>
      <c r="AE55" s="1776"/>
      <c r="AF55" s="1776"/>
      <c r="AG55" s="1776"/>
      <c r="AH55" s="1776"/>
      <c r="AI55" s="1776"/>
      <c r="AJ55" s="1776"/>
      <c r="AK55" s="1776"/>
      <c r="AL55" s="1776"/>
      <c r="AM55" s="1778" t="e">
        <f>+EG2</f>
        <v>#DIV/0!</v>
      </c>
      <c r="AN55" s="1778"/>
      <c r="AO55" s="1778"/>
      <c r="AP55" s="222"/>
      <c r="AQ55" s="322"/>
      <c r="AR55" s="220"/>
      <c r="AS55" s="129"/>
      <c r="BC55" s="222"/>
      <c r="BI55" s="131"/>
      <c r="BQ55" s="610"/>
      <c r="BR55" s="610"/>
      <c r="BS55" s="610"/>
      <c r="BT55" s="610"/>
      <c r="BU55" s="610"/>
      <c r="BV55" s="610"/>
      <c r="BW55" s="610"/>
      <c r="BX55" s="610"/>
      <c r="BY55" s="610"/>
      <c r="BZ55" s="610"/>
      <c r="CA55" s="610"/>
      <c r="CB55" s="604"/>
      <c r="CC55" s="604"/>
      <c r="CD55" s="605" t="str">
        <f>+"Soit par heure au dessus de " &amp;CE54&amp;" h :"</f>
        <v>Soit par heure au dessus de 0 h :</v>
      </c>
      <c r="CE55" s="1346">
        <f>IF(CF55&gt;0,CF55,IF(AND(CE53=Novembre!CE53,CE54=Novembre!CE54),Novembre!CE55,IF(OR(CE53&lt;&gt;Novembre!CE53,CE54&lt;&gt;Novembre!CE54),CE53/CE54)))</f>
        <v>0</v>
      </c>
      <c r="CF55" s="1297"/>
      <c r="CG55" s="575"/>
      <c r="CH55" s="575"/>
      <c r="CI55" s="575"/>
      <c r="CJ55" s="576"/>
      <c r="CK55" s="576"/>
      <c r="CL55" s="576"/>
      <c r="CM55" s="576"/>
      <c r="CN55" s="576"/>
      <c r="CO55" s="576"/>
      <c r="CP55" s="576"/>
      <c r="CQ55" s="576"/>
      <c r="CR55" s="576"/>
      <c r="CS55" s="576"/>
      <c r="CT55" s="576"/>
      <c r="CU55" s="576"/>
      <c r="CV55" s="576"/>
      <c r="CW55" s="576"/>
      <c r="CX55" s="576"/>
      <c r="CY55" s="576"/>
      <c r="CZ55" s="576"/>
      <c r="DA55" s="576"/>
      <c r="DB55" s="576"/>
      <c r="DC55" s="576"/>
      <c r="DD55" s="576"/>
      <c r="DE55" s="776"/>
      <c r="DF55" s="735"/>
      <c r="DG55" s="735"/>
      <c r="DH55" s="735"/>
      <c r="DI55" s="735"/>
      <c r="DJ55" s="735"/>
      <c r="DK55" s="735"/>
      <c r="DL55" s="735"/>
      <c r="DM55" s="735"/>
      <c r="DN55" s="735"/>
      <c r="DO55" s="735"/>
      <c r="DP55" s="735"/>
      <c r="DQ55" s="735"/>
      <c r="DR55" s="735"/>
      <c r="DS55" s="735"/>
      <c r="DT55" s="735"/>
      <c r="DU55" s="1348"/>
      <c r="DV55" s="1348"/>
      <c r="DW55" s="1348"/>
      <c r="DX55" s="747"/>
      <c r="DY55" s="747"/>
      <c r="DZ55" s="747"/>
      <c r="EA55" s="747"/>
      <c r="EB55" s="747"/>
      <c r="EC55" s="747"/>
      <c r="ED55" s="747"/>
      <c r="EE55" s="747"/>
      <c r="EQ55" s="778"/>
      <c r="ER55" s="785"/>
      <c r="ES55" s="785"/>
      <c r="ET55" s="785"/>
      <c r="EU55" s="785"/>
      <c r="EV55" s="785"/>
    </row>
    <row r="56" spans="1:199" x14ac:dyDescent="0.2">
      <c r="A56" s="1853" t="str">
        <f>Taux_cotisations!A27</f>
        <v>Autres cotisations patronales</v>
      </c>
      <c r="B56" s="1854"/>
      <c r="C56" s="1854"/>
      <c r="D56" s="1854"/>
      <c r="E56" s="1854"/>
      <c r="F56" s="1854"/>
      <c r="G56" s="2365"/>
      <c r="H56" s="1736"/>
      <c r="I56" s="1737"/>
      <c r="J56" s="2343"/>
      <c r="K56" s="1740"/>
      <c r="L56" s="1740"/>
      <c r="M56" s="1741"/>
      <c r="N56" s="1773"/>
      <c r="O56" s="1774"/>
      <c r="P56" s="1775"/>
      <c r="Q56" s="221"/>
      <c r="R56" s="2347">
        <f>+$T$35*INDEX(table_base_coef_patronale,MATCH(A56,Taux_cotisations!$A$110:$A$136,0),MATCH($X$3,Taux_cotisations!$A$110:$M$110,0))</f>
        <v>0</v>
      </c>
      <c r="S56" s="2347"/>
      <c r="T56" s="2347"/>
      <c r="U56" s="2353">
        <f>INDEX(table_taux_patronales,MATCH(A56,Taux_cotisations!$A$39:$A$65,0),MATCH($X$3,Taux_cotisations!$A$39:$M$39,0))</f>
        <v>8.6599999999999993E-3</v>
      </c>
      <c r="V56" s="2353"/>
      <c r="W56" s="2353"/>
      <c r="X56" s="2347">
        <f t="shared" ref="X56:X57" si="78">ROUND(U56*R56,2)</f>
        <v>0</v>
      </c>
      <c r="Y56" s="2347"/>
      <c r="Z56" s="2347"/>
      <c r="AA56" s="229"/>
      <c r="AB56" s="1776" t="s">
        <v>1208</v>
      </c>
      <c r="AC56" s="1776"/>
      <c r="AD56" s="1776"/>
      <c r="AE56" s="1776"/>
      <c r="AF56" s="1776"/>
      <c r="AG56" s="1776"/>
      <c r="AH56" s="1776"/>
      <c r="AI56" s="1776"/>
      <c r="AJ56" s="1776"/>
      <c r="AK56" s="1776"/>
      <c r="AL56" s="1776"/>
      <c r="AM56" s="1924">
        <f>'Retenue Déc'!E52</f>
        <v>0</v>
      </c>
      <c r="AN56" s="1925"/>
      <c r="AO56" s="1925"/>
      <c r="AQ56" s="316"/>
      <c r="AS56" s="129"/>
      <c r="BI56" s="1999" t="s">
        <v>1091</v>
      </c>
      <c r="BJ56" s="1999"/>
      <c r="BK56" s="1999"/>
      <c r="BL56" s="1999"/>
      <c r="BM56" s="1999"/>
      <c r="BN56" s="1999"/>
      <c r="BO56" s="1999"/>
      <c r="BP56" s="1999"/>
      <c r="BQ56" s="1999"/>
      <c r="BR56" s="1999"/>
      <c r="BS56" s="1999"/>
      <c r="BT56" s="1999"/>
      <c r="BU56" s="1999"/>
      <c r="BV56" s="1999"/>
      <c r="BW56" s="1999"/>
      <c r="BX56" s="1999"/>
      <c r="BY56" s="612">
        <f>+IF(BY57="",Novembre!BY56,BY57)</f>
        <v>24</v>
      </c>
      <c r="BZ56" s="611" t="s">
        <v>1049</v>
      </c>
      <c r="CA56" s="614">
        <f>+IF(CA57="",Novembre!CA56,CA57)</f>
        <v>0</v>
      </c>
      <c r="CE56" s="566"/>
      <c r="CF56" s="665" t="s">
        <v>492</v>
      </c>
      <c r="CJ56" s="22"/>
      <c r="CK56" s="22"/>
      <c r="CL56" s="22"/>
      <c r="CM56" s="22"/>
      <c r="CN56" s="22"/>
      <c r="CO56" s="22"/>
      <c r="CP56" s="22"/>
      <c r="CQ56" s="22"/>
      <c r="CR56" s="22"/>
      <c r="CS56" s="22"/>
      <c r="CT56" s="22"/>
      <c r="CU56" s="22"/>
      <c r="CV56" s="22"/>
      <c r="CW56" s="22"/>
      <c r="CX56" s="22"/>
      <c r="CY56" s="22"/>
      <c r="CZ56" s="22"/>
      <c r="DA56" s="22"/>
      <c r="DB56" s="22"/>
      <c r="DC56" s="22"/>
      <c r="DD56" s="22"/>
      <c r="DE56" s="738"/>
      <c r="DF56" s="738"/>
      <c r="DG56" s="738"/>
      <c r="DH56" s="738"/>
      <c r="DI56" s="738"/>
      <c r="DJ56" s="738"/>
      <c r="DK56" s="738"/>
      <c r="DL56" s="738"/>
      <c r="DM56" s="738"/>
      <c r="DN56" s="738"/>
      <c r="DO56" s="738"/>
      <c r="DP56" s="738"/>
      <c r="DQ56" s="738"/>
      <c r="DR56" s="738"/>
      <c r="DS56" s="738"/>
      <c r="DT56" s="738"/>
      <c r="FD56" s="315">
        <f>+COUNTIF(FD20:FD50,S.CAL!BJ4)</f>
        <v>0</v>
      </c>
    </row>
    <row r="57" spans="1:199" x14ac:dyDescent="0.2">
      <c r="A57" s="1853" t="str">
        <f>Taux_cotisations!A28</f>
        <v>Autres cotisations patronales T1</v>
      </c>
      <c r="B57" s="1854"/>
      <c r="C57" s="1854"/>
      <c r="D57" s="1854"/>
      <c r="E57" s="1854"/>
      <c r="F57" s="1854"/>
      <c r="G57" s="2365"/>
      <c r="H57" s="1736"/>
      <c r="I57" s="1737"/>
      <c r="J57" s="2343"/>
      <c r="K57" s="1740"/>
      <c r="L57" s="1740"/>
      <c r="M57" s="1741"/>
      <c r="N57" s="1773"/>
      <c r="O57" s="1774"/>
      <c r="P57" s="1775"/>
      <c r="Q57" s="221"/>
      <c r="R57" s="2347">
        <f>IF(AND(T35&gt;=EG6,T35&gt;0),EG6*INDEX(table_base_coef_patronale,MATCH(A42,Taux_cotisations!$A$110:$A$136,0),MATCH($X$3,Taux_cotisations!$A$110:$M$110,0)),+T35*INDEX(table_base_coef_patronale,MATCH(A57,Taux_cotisations!$A$110:$A$136,0),MATCH($X$3,Taux_cotisations!$A$110:$M$110,0)))</f>
        <v>0</v>
      </c>
      <c r="S57" s="2347"/>
      <c r="T57" s="2347"/>
      <c r="U57" s="2360">
        <f>INDEX(table_taux_patronales,MATCH(A57,Taux_cotisations!$A$39:$A$65,0),MATCH($X$3,Taux_cotisations!$A$39:$M$39,0))</f>
        <v>1E-3</v>
      </c>
      <c r="V57" s="2360"/>
      <c r="W57" s="2360"/>
      <c r="X57" s="2347">
        <f t="shared" si="78"/>
        <v>0</v>
      </c>
      <c r="Y57" s="2347"/>
      <c r="Z57" s="2347"/>
      <c r="AA57" s="229"/>
      <c r="AB57" s="1776" t="s">
        <v>1209</v>
      </c>
      <c r="AC57" s="1776"/>
      <c r="AD57" s="1776"/>
      <c r="AE57" s="1776"/>
      <c r="AF57" s="1776"/>
      <c r="AG57" s="1776"/>
      <c r="AH57" s="1776"/>
      <c r="AI57" s="1776"/>
      <c r="AJ57" s="1776"/>
      <c r="AK57" s="1776"/>
      <c r="AL57" s="1776"/>
      <c r="AM57" s="2051">
        <f>+EG1</f>
        <v>0</v>
      </c>
      <c r="AN57" s="2051"/>
      <c r="AO57" s="2051"/>
      <c r="AP57" s="222"/>
      <c r="AQ57" s="322"/>
      <c r="AR57" s="222"/>
      <c r="AS57" s="129"/>
      <c r="BI57" s="129"/>
      <c r="BJ57" s="540"/>
      <c r="BK57" s="540"/>
      <c r="BQ57" s="610"/>
      <c r="BR57" s="610"/>
      <c r="BS57" s="610"/>
      <c r="BT57" s="610"/>
      <c r="BU57" s="610"/>
      <c r="BV57" s="610"/>
      <c r="BW57" s="2000" t="s">
        <v>1050</v>
      </c>
      <c r="BX57" s="2000"/>
      <c r="BY57" s="1118"/>
      <c r="BZ57" s="615" t="s">
        <v>492</v>
      </c>
      <c r="CA57" s="1119"/>
      <c r="CD57" s="1349" t="s">
        <v>1510</v>
      </c>
      <c r="CE57" s="1346">
        <f>IF(CF57="",+Novembre!CE57,CF57)</f>
        <v>0</v>
      </c>
      <c r="CF57" s="1297"/>
      <c r="FP57" s="129">
        <f>SUM(FP20:FP50)</f>
        <v>0</v>
      </c>
      <c r="GO57" s="129">
        <f>SUM(GO20:GO52)</f>
        <v>0</v>
      </c>
    </row>
    <row r="58" spans="1:199" x14ac:dyDescent="0.2">
      <c r="A58" s="1853"/>
      <c r="B58" s="1854"/>
      <c r="C58" s="1854"/>
      <c r="D58" s="1854"/>
      <c r="E58" s="1854"/>
      <c r="F58" s="1854"/>
      <c r="G58" s="2365"/>
      <c r="H58" s="1736"/>
      <c r="I58" s="1737"/>
      <c r="J58" s="2343"/>
      <c r="K58" s="1740"/>
      <c r="L58" s="1740"/>
      <c r="M58" s="1741"/>
      <c r="N58" s="1773"/>
      <c r="O58" s="1774"/>
      <c r="P58" s="1775"/>
      <c r="Q58" s="221"/>
      <c r="R58" s="2347"/>
      <c r="S58" s="2347"/>
      <c r="T58" s="2347"/>
      <c r="U58" s="2360"/>
      <c r="V58" s="2360"/>
      <c r="W58" s="2360"/>
      <c r="X58" s="2347"/>
      <c r="Y58" s="2347"/>
      <c r="Z58" s="2347"/>
      <c r="AA58" s="229"/>
      <c r="AP58" s="222"/>
      <c r="AQ58" s="322"/>
      <c r="AR58" s="222"/>
      <c r="AS58" s="129"/>
      <c r="AU58" s="618"/>
      <c r="AV58" s="618"/>
      <c r="AW58" s="618"/>
      <c r="AX58" s="618"/>
      <c r="AY58" s="618"/>
      <c r="AZ58" s="618"/>
      <c r="BA58" s="1132" t="s">
        <v>1426</v>
      </c>
      <c r="BB58" s="131"/>
      <c r="BC58" s="131"/>
      <c r="BD58" s="131"/>
      <c r="BE58" s="131"/>
      <c r="BF58" s="131"/>
      <c r="BG58" s="131"/>
      <c r="BH58" s="131"/>
      <c r="BI58" s="129"/>
      <c r="BJ58" s="234"/>
      <c r="BK58" s="234"/>
      <c r="BQ58" s="610"/>
      <c r="BR58" s="610"/>
      <c r="BS58" s="610"/>
      <c r="BT58" s="610"/>
      <c r="BU58" s="610"/>
      <c r="BV58" s="610"/>
      <c r="BW58" s="610"/>
      <c r="BX58" s="610"/>
      <c r="BY58" s="610"/>
      <c r="BZ58" s="610"/>
      <c r="CA58" s="610"/>
      <c r="CD58" s="1345" t="s">
        <v>1504</v>
      </c>
      <c r="CE58" s="1350">
        <f>IF(CF58="",Novembre!CE58,CF58)</f>
        <v>0</v>
      </c>
      <c r="CF58" s="1347"/>
      <c r="FG58" s="315">
        <f t="array" ref="FG58">IFERROR(+INDEX($FG$20:$FG$50,MATCH(0,INDEX(COUNTIF($FG$57:FG57,$FG$20:$FG$50),0,0),0)),0)</f>
        <v>0</v>
      </c>
    </row>
    <row r="59" spans="1:199" x14ac:dyDescent="0.2">
      <c r="A59" s="1940"/>
      <c r="B59" s="1941"/>
      <c r="C59" s="1941"/>
      <c r="D59" s="1941"/>
      <c r="E59" s="1941"/>
      <c r="F59" s="1941"/>
      <c r="G59" s="1942"/>
      <c r="H59" s="2341"/>
      <c r="I59" s="1869"/>
      <c r="J59" s="2342"/>
      <c r="K59" s="1740"/>
      <c r="L59" s="1740"/>
      <c r="M59" s="1741"/>
      <c r="N59" s="1869"/>
      <c r="O59" s="1869"/>
      <c r="P59" s="1869"/>
      <c r="Q59" s="231"/>
      <c r="R59" s="2359"/>
      <c r="S59" s="2359"/>
      <c r="T59" s="2359"/>
      <c r="U59" s="2359"/>
      <c r="V59" s="2359"/>
      <c r="W59" s="2359"/>
      <c r="X59" s="2359"/>
      <c r="Y59" s="2359"/>
      <c r="Z59" s="2359"/>
      <c r="AA59" s="229"/>
      <c r="AP59" s="222"/>
      <c r="AQ59" s="1022"/>
      <c r="AR59" s="1023"/>
      <c r="AS59" s="1024"/>
      <c r="AT59" s="1024"/>
      <c r="AU59" s="1024"/>
      <c r="AV59" s="1024"/>
      <c r="AW59" s="1024"/>
      <c r="AX59" s="1024"/>
      <c r="AY59" s="1024"/>
      <c r="AZ59" s="1024"/>
      <c r="BB59" s="129"/>
      <c r="BC59" s="129"/>
      <c r="BD59" s="129"/>
      <c r="BE59" s="129"/>
      <c r="BF59" s="129"/>
      <c r="BG59" s="129"/>
      <c r="BH59" s="129"/>
      <c r="BI59" s="1999" t="str">
        <f>+"2) Pour une journée supérieure (&gt;) à "</f>
        <v xml:space="preserve">2) Pour une journée supérieure (&gt;) à </v>
      </c>
      <c r="BJ59" s="1999"/>
      <c r="BK59" s="1999"/>
      <c r="BL59" s="1999"/>
      <c r="BM59" s="1999"/>
      <c r="BN59" s="1999"/>
      <c r="BO59" s="1999"/>
      <c r="BP59" s="1999"/>
      <c r="BQ59" s="1999"/>
      <c r="BR59" s="1999"/>
      <c r="BS59" s="1999"/>
      <c r="BT59" s="1999"/>
      <c r="BU59" s="1999"/>
      <c r="BV59" s="1999"/>
      <c r="BW59" s="1999"/>
      <c r="BX59" s="1999"/>
      <c r="BY59" s="616">
        <f>+BY56</f>
        <v>24</v>
      </c>
      <c r="BZ59" s="610"/>
      <c r="CA59" s="610"/>
      <c r="CD59" s="605" t="str">
        <f>+"Soit par heure :"</f>
        <v>Soit par heure :</v>
      </c>
      <c r="CE59" s="1346">
        <f>+IF(CE58,CE57/CE58,0)</f>
        <v>0</v>
      </c>
      <c r="FG59" s="315">
        <f t="array" ref="FG59">IFERROR(+INDEX($FG$20:$FG$50,MATCH(0,INDEX(COUNTIF($FG$57:FG58,$FG$20:$FG$50),0,0),0)),0)</f>
        <v>0</v>
      </c>
    </row>
    <row r="60" spans="1:199" x14ac:dyDescent="0.2">
      <c r="A60" s="1878"/>
      <c r="B60" s="1879"/>
      <c r="C60" s="1879"/>
      <c r="D60" s="1879"/>
      <c r="E60" s="1879"/>
      <c r="F60" s="1879"/>
      <c r="G60" s="1880"/>
      <c r="H60" s="2362"/>
      <c r="I60" s="2269"/>
      <c r="J60" s="2363"/>
      <c r="K60" s="1740"/>
      <c r="L60" s="1740"/>
      <c r="M60" s="1741"/>
      <c r="N60" s="1869"/>
      <c r="O60" s="1869"/>
      <c r="P60" s="1869"/>
      <c r="Q60" s="231"/>
      <c r="R60" s="2361"/>
      <c r="S60" s="2361"/>
      <c r="T60" s="2361"/>
      <c r="U60" s="2361"/>
      <c r="V60" s="2361"/>
      <c r="W60" s="2361"/>
      <c r="X60" s="2361"/>
      <c r="Y60" s="2361"/>
      <c r="Z60" s="2361"/>
      <c r="AA60" s="229"/>
      <c r="AB60" s="895"/>
      <c r="AC60" s="895"/>
      <c r="AD60" s="895"/>
      <c r="AE60" s="895"/>
      <c r="AF60" s="895"/>
      <c r="AG60" s="895"/>
      <c r="AH60" s="895"/>
      <c r="AI60" s="895"/>
      <c r="AJ60" s="895"/>
      <c r="AK60" s="895"/>
      <c r="AL60" s="895"/>
      <c r="AM60" s="1019"/>
      <c r="AN60" s="1019"/>
      <c r="AO60" s="1019"/>
      <c r="AP60" s="222"/>
      <c r="AQ60" s="1133" t="s">
        <v>1673</v>
      </c>
      <c r="AR60" s="1134"/>
      <c r="AS60" s="1135" t="s">
        <v>1423</v>
      </c>
      <c r="AT60" s="1136" t="s">
        <v>32</v>
      </c>
      <c r="AU60" s="1811" t="s">
        <v>1425</v>
      </c>
      <c r="AV60" s="1811"/>
      <c r="AW60" s="1811"/>
      <c r="AX60" s="1812" t="s">
        <v>32</v>
      </c>
      <c r="AY60" s="1812"/>
      <c r="AZ60" s="1137" t="s">
        <v>1424</v>
      </c>
      <c r="BA60" s="1136" t="s">
        <v>32</v>
      </c>
      <c r="BB60" s="129"/>
      <c r="BC60" s="129"/>
      <c r="BD60" s="129"/>
      <c r="BE60" s="129"/>
      <c r="BF60" s="129"/>
      <c r="BG60" s="129"/>
      <c r="BH60" s="129"/>
      <c r="BI60" s="1999" t="s">
        <v>1092</v>
      </c>
      <c r="BJ60" s="1999"/>
      <c r="BK60" s="1999"/>
      <c r="BL60" s="1999"/>
      <c r="BM60" s="1999"/>
      <c r="BN60" s="1999"/>
      <c r="BO60" s="1999"/>
      <c r="BP60" s="1999"/>
      <c r="BQ60" s="1999"/>
      <c r="BR60" s="1999"/>
      <c r="BS60" s="1999"/>
      <c r="BT60" s="1999"/>
      <c r="BU60" s="1999"/>
      <c r="BV60" s="1999"/>
      <c r="BW60" s="1999"/>
      <c r="BX60" s="1999"/>
      <c r="BY60" s="616">
        <v>24.00001</v>
      </c>
      <c r="BZ60" s="613" t="s">
        <v>1049</v>
      </c>
      <c r="CA60" s="614">
        <f>+IF(CA61="",Novembre!CA60,CA61)</f>
        <v>0</v>
      </c>
      <c r="FG60" s="315">
        <f t="array" ref="FG60">IFERROR(+INDEX($FG$20:$FG$50,MATCH(0,INDEX(COUNTIF($FG$57:FG59,$FG$20:$FG$50),0,0),0)),0)</f>
        <v>0</v>
      </c>
    </row>
    <row r="61" spans="1:199" x14ac:dyDescent="0.2">
      <c r="A61" s="232"/>
      <c r="B61" s="232"/>
      <c r="C61" s="232"/>
      <c r="D61" s="232"/>
      <c r="E61" s="232"/>
      <c r="F61" s="232"/>
      <c r="G61" s="232"/>
      <c r="H61" s="1909" t="s">
        <v>125</v>
      </c>
      <c r="I61" s="1910"/>
      <c r="J61" s="1910"/>
      <c r="K61" s="1910"/>
      <c r="L61" s="1910"/>
      <c r="M61" s="1910"/>
      <c r="N61" s="1905">
        <f>ROUND(SUM(N40:P59),2)</f>
        <v>0</v>
      </c>
      <c r="O61" s="1905"/>
      <c r="P61" s="1906"/>
      <c r="Q61" s="233"/>
      <c r="R61" s="1844" t="s">
        <v>126</v>
      </c>
      <c r="S61" s="1845"/>
      <c r="T61" s="1845"/>
      <c r="U61" s="1845"/>
      <c r="V61" s="1845"/>
      <c r="W61" s="1846"/>
      <c r="X61" s="1911">
        <f>ROUND(SUM(X40:Z59),2)</f>
        <v>0</v>
      </c>
      <c r="Y61" s="1912"/>
      <c r="Z61" s="1913"/>
      <c r="AA61" s="229"/>
      <c r="AB61" s="895"/>
      <c r="AC61" s="895"/>
      <c r="AD61" s="895"/>
      <c r="AE61" s="895"/>
      <c r="AF61" s="895"/>
      <c r="AG61" s="895"/>
      <c r="AH61" s="895"/>
      <c r="AI61" s="895"/>
      <c r="AJ61" s="895"/>
      <c r="AK61" s="895"/>
      <c r="AL61" s="895"/>
      <c r="AM61" s="1019"/>
      <c r="AN61" s="1019"/>
      <c r="AO61" s="1019"/>
      <c r="AP61" s="222"/>
      <c r="AQ61" s="1133" t="s">
        <v>1674</v>
      </c>
      <c r="AR61" s="1134"/>
      <c r="AS61" s="1135" t="s">
        <v>1423</v>
      </c>
      <c r="AT61" s="1136" t="s">
        <v>32</v>
      </c>
      <c r="AU61" s="1811" t="s">
        <v>1425</v>
      </c>
      <c r="AV61" s="1811"/>
      <c r="AW61" s="1811"/>
      <c r="AX61" s="1812" t="s">
        <v>32</v>
      </c>
      <c r="AY61" s="1812"/>
      <c r="AZ61" s="1137" t="s">
        <v>1424</v>
      </c>
      <c r="BA61" s="1136" t="s">
        <v>32</v>
      </c>
      <c r="BB61" s="129"/>
      <c r="BC61" s="129"/>
      <c r="BD61" s="129"/>
      <c r="BE61" s="129"/>
      <c r="BF61" s="129"/>
      <c r="BG61" s="129"/>
      <c r="BH61" s="129"/>
      <c r="BI61" s="1413"/>
      <c r="BQ61" s="610"/>
      <c r="BR61" s="610"/>
      <c r="BS61" s="610"/>
      <c r="BT61" s="610"/>
      <c r="BU61" s="610"/>
      <c r="BV61" s="610"/>
      <c r="BW61" s="610"/>
      <c r="BX61" s="653"/>
      <c r="BY61" s="653"/>
      <c r="BZ61" s="615" t="s">
        <v>492</v>
      </c>
      <c r="CA61" s="1119"/>
      <c r="FG61" s="315">
        <f t="array" ref="FG61">IFERROR(+INDEX($FG$20:$FG$50,MATCH(0,INDEX(COUNTIF($FG$57:FG60,$FG$20:$FG$50),0,0),0)),0)</f>
        <v>0</v>
      </c>
    </row>
    <row r="62" spans="1:199" x14ac:dyDescent="0.2">
      <c r="A62" s="232"/>
      <c r="B62" s="232"/>
      <c r="C62" s="232"/>
      <c r="D62" s="232"/>
      <c r="E62" s="232"/>
      <c r="F62" s="232"/>
      <c r="G62" s="232"/>
      <c r="H62" s="1887" t="s">
        <v>55</v>
      </c>
      <c r="I62" s="1887"/>
      <c r="J62" s="1887"/>
      <c r="K62" s="1887"/>
      <c r="L62" s="1887"/>
      <c r="M62" s="1887"/>
      <c r="N62" s="1882">
        <f>ROUND(T35-N61,2)</f>
        <v>0</v>
      </c>
      <c r="O62" s="1882"/>
      <c r="P62" s="1882"/>
      <c r="Q62" s="233"/>
      <c r="R62" s="1881" t="s">
        <v>1268</v>
      </c>
      <c r="S62" s="1881"/>
      <c r="T62" s="1881"/>
      <c r="U62" s="900"/>
      <c r="V62" s="900"/>
      <c r="W62" s="900"/>
      <c r="X62" s="900"/>
      <c r="Y62" s="900"/>
      <c r="Z62" s="900"/>
      <c r="AA62" s="927"/>
      <c r="AB62" s="220"/>
      <c r="AC62" s="220"/>
      <c r="AD62" s="222"/>
      <c r="AE62" s="222"/>
      <c r="AF62" s="222"/>
      <c r="AG62" s="222"/>
      <c r="AH62" s="222"/>
      <c r="AI62" s="222"/>
      <c r="AJ62" s="2020" t="s">
        <v>1262</v>
      </c>
      <c r="AK62" s="2021"/>
      <c r="AL62" s="2021"/>
      <c r="AM62" s="2045" t="s">
        <v>657</v>
      </c>
      <c r="AN62" s="2045"/>
      <c r="AO62" s="2046"/>
      <c r="AP62" s="222"/>
      <c r="AQ62" s="2031"/>
      <c r="AR62" s="2032"/>
      <c r="AS62" s="2032"/>
      <c r="AT62" s="2032"/>
      <c r="AU62" s="2033"/>
      <c r="AV62" s="1025"/>
      <c r="AW62" s="1024"/>
      <c r="AX62" s="2034"/>
      <c r="AY62" s="2035"/>
      <c r="AZ62" s="1580"/>
      <c r="BA62" s="1582"/>
      <c r="BB62" s="540"/>
      <c r="BC62" s="2028" t="str">
        <f>+IF((N65+N66)&lt;CA51,"Attention vos indemnités d'entretien pour le mois sont inférieures au minimum conventionnel","")</f>
        <v/>
      </c>
      <c r="BD62" s="2028"/>
      <c r="BE62" s="2028"/>
      <c r="BF62" s="2028"/>
      <c r="BG62" s="1413"/>
      <c r="BH62" s="1413"/>
      <c r="BI62" s="129"/>
      <c r="BJ62" s="129"/>
      <c r="BK62" s="129"/>
      <c r="BL62" s="129"/>
      <c r="BM62" s="129"/>
      <c r="BN62" s="129"/>
      <c r="BO62" s="129"/>
      <c r="BP62" s="129"/>
      <c r="FG62" s="315">
        <f t="array" ref="FG62">IFERROR(+INDEX($FG$20:$FG$50,MATCH(0,INDEX(COUNTIF($FG$57:FG61,$FG$20:$FG$50),0,0),0)),0)</f>
        <v>0</v>
      </c>
    </row>
    <row r="63" spans="1:199" x14ac:dyDescent="0.2">
      <c r="R63" s="1839" t="str">
        <f>+IF(FG58=0,"",FG58)</f>
        <v/>
      </c>
      <c r="S63" s="1839"/>
      <c r="T63" s="1776" t="str">
        <f>IFERROR(+VLOOKUP(R63,'Liste des Libellés'!$A$5:$B$34,2,FALSE),"")</f>
        <v/>
      </c>
      <c r="U63" s="1776"/>
      <c r="V63" s="1776"/>
      <c r="W63" s="1776"/>
      <c r="X63" s="1776"/>
      <c r="Y63" s="1776"/>
      <c r="Z63" s="1776"/>
      <c r="AA63" s="2047" t="str">
        <f>+AT75</f>
        <v/>
      </c>
      <c r="AB63" s="1923"/>
      <c r="AC63" s="1923"/>
      <c r="AD63" s="1923"/>
      <c r="AE63" s="1923"/>
      <c r="AF63" s="1923"/>
      <c r="AG63" s="1922" t="str">
        <f>+AY75</f>
        <v/>
      </c>
      <c r="AH63" s="1923"/>
      <c r="AI63" s="1923"/>
      <c r="AJ63" s="2022" t="str">
        <f>+BA75</f>
        <v/>
      </c>
      <c r="AK63" s="2022"/>
      <c r="AL63" s="2022"/>
      <c r="AM63" s="2022" t="str">
        <f>+BC75</f>
        <v/>
      </c>
      <c r="AN63" s="2022"/>
      <c r="AO63" s="2052"/>
      <c r="AP63" s="222"/>
      <c r="AQ63" s="2023"/>
      <c r="AR63" s="2024"/>
      <c r="AS63" s="2024"/>
      <c r="AT63" s="2024"/>
      <c r="AU63" s="2025"/>
      <c r="AV63" s="1025"/>
      <c r="AW63" s="1024"/>
      <c r="AX63" s="2029"/>
      <c r="AY63" s="2030"/>
      <c r="AZ63" s="1581"/>
      <c r="BA63" s="1583"/>
      <c r="BB63" s="541"/>
      <c r="BC63" s="2028"/>
      <c r="BD63" s="2028"/>
      <c r="BE63" s="2028"/>
      <c r="BF63" s="2028"/>
      <c r="BG63" s="1413"/>
      <c r="BH63" s="1413"/>
      <c r="BI63" s="129"/>
      <c r="BJ63" s="129"/>
      <c r="BK63" s="129"/>
      <c r="BL63" s="129"/>
      <c r="BM63" s="129"/>
      <c r="BN63" s="129"/>
      <c r="BO63" s="129"/>
      <c r="BP63" s="129"/>
    </row>
    <row r="64" spans="1:199" ht="12.75" customHeight="1" x14ac:dyDescent="0.2">
      <c r="A64" s="1907" t="s">
        <v>56</v>
      </c>
      <c r="B64" s="1908"/>
      <c r="C64" s="1908"/>
      <c r="D64" s="1908"/>
      <c r="E64" s="1908"/>
      <c r="F64" s="1908"/>
      <c r="G64" s="1908"/>
      <c r="H64" s="1874" t="s">
        <v>40</v>
      </c>
      <c r="I64" s="1874"/>
      <c r="J64" s="1874"/>
      <c r="K64" s="1874" t="s">
        <v>41</v>
      </c>
      <c r="L64" s="1874"/>
      <c r="M64" s="1874"/>
      <c r="N64" s="1874" t="s">
        <v>42</v>
      </c>
      <c r="O64" s="1874"/>
      <c r="P64" s="1874"/>
      <c r="Q64" s="204"/>
      <c r="R64" s="1839" t="str">
        <f t="shared" ref="R64:R67" si="79">+IF(FG59=0,"",FG59)</f>
        <v/>
      </c>
      <c r="S64" s="1839"/>
      <c r="T64" s="1776" t="str">
        <f>IFERROR(+VLOOKUP(R64,'Liste des Libellés'!$A$5:$B$34,2,FALSE),"")</f>
        <v/>
      </c>
      <c r="U64" s="1776"/>
      <c r="V64" s="1776"/>
      <c r="W64" s="1776"/>
      <c r="X64" s="1776"/>
      <c r="Y64" s="1776"/>
      <c r="Z64" s="1776"/>
      <c r="AA64" s="1838" t="str">
        <f>+AT78</f>
        <v/>
      </c>
      <c r="AB64" s="1839"/>
      <c r="AC64" s="1839"/>
      <c r="AD64" s="1839"/>
      <c r="AE64" s="1839"/>
      <c r="AF64" s="1839"/>
      <c r="AG64" s="2001" t="str">
        <f>+AY78</f>
        <v/>
      </c>
      <c r="AH64" s="1839"/>
      <c r="AI64" s="1839"/>
      <c r="AJ64" s="1829" t="str">
        <f>+BA78</f>
        <v/>
      </c>
      <c r="AK64" s="1829"/>
      <c r="AL64" s="1829"/>
      <c r="AM64" s="1829" t="str">
        <f>+BC78</f>
        <v/>
      </c>
      <c r="AN64" s="1829"/>
      <c r="AO64" s="1830"/>
      <c r="AP64" s="222"/>
      <c r="AQ64" s="905" t="s">
        <v>1079</v>
      </c>
      <c r="AR64" s="222"/>
      <c r="AZ64" s="129"/>
      <c r="BA64" s="129"/>
      <c r="BB64" s="129"/>
      <c r="BC64" s="2028"/>
      <c r="BD64" s="2028"/>
      <c r="BE64" s="2028"/>
      <c r="BF64" s="2028"/>
      <c r="BG64" s="1413"/>
      <c r="BH64" s="1413"/>
      <c r="BI64" s="129"/>
      <c r="BJ64" s="129"/>
      <c r="BK64" s="129"/>
      <c r="BL64" s="129"/>
      <c r="BM64" s="129"/>
      <c r="BN64" s="129"/>
      <c r="BO64" s="129"/>
      <c r="BP64" s="129"/>
    </row>
    <row r="65" spans="1:83" x14ac:dyDescent="0.2">
      <c r="A65" s="1896" t="s">
        <v>1435</v>
      </c>
      <c r="B65" s="1902" t="str">
        <f>IF(AT60="Oui",AQ62,IF(AND(CC44=S.CAL!$BC$3,$BW$41="Oui"),"Ind entretien (jrs&lt;ou="&amp;DL1&amp;"h"&amp;DL2&amp;")",IF(AND(CC44=S.CAL!$BC$4,$BW$41="Oui"),"Ind entretien (jrs&lt;ou="&amp;CE54&amp;" hrs)",IF(AND(CC44=S.CAL!$BC$5,$BW$41="Oui",BY44&gt;=1),"Ind entretien min. par jour",IF(BW41="Non","IE forfaitaire (jrs&lt;ou="&amp;BY56&amp;" hrs)","")))))</f>
        <v>IE forfaitaire (jrs&lt;ou=24 hrs)</v>
      </c>
      <c r="C65" s="1903"/>
      <c r="D65" s="1903"/>
      <c r="E65" s="1903"/>
      <c r="F65" s="1903"/>
      <c r="G65" s="1904"/>
      <c r="H65" s="1837">
        <f>IF(AX60="Oui",AX62,IF(AX60="Oui",AX62,+IF(BW41="Oui",BY44,IF(AND(BW41="Non",K65&gt;0),EA51,0))))</f>
        <v>0</v>
      </c>
      <c r="I65" s="1837"/>
      <c r="J65" s="1837"/>
      <c r="K65" s="1888">
        <f>IF(BA60="Oui",BA62,+IF(BW41="Oui",BZ44,IF(BW41="Non",CA56,0)))</f>
        <v>0</v>
      </c>
      <c r="L65" s="1888"/>
      <c r="M65" s="1888"/>
      <c r="N65" s="1883">
        <f>ROUND(K65*H65,2)</f>
        <v>0</v>
      </c>
      <c r="O65" s="1883"/>
      <c r="P65" s="1883"/>
      <c r="Q65" s="229"/>
      <c r="R65" s="1839" t="str">
        <f t="shared" si="79"/>
        <v/>
      </c>
      <c r="S65" s="1839"/>
      <c r="T65" s="1776" t="str">
        <f>IFERROR(+VLOOKUP(R65,'Liste des Libellés'!$A$5:$B$34,2,FALSE),"")</f>
        <v/>
      </c>
      <c r="U65" s="1776"/>
      <c r="V65" s="1776"/>
      <c r="W65" s="1776"/>
      <c r="X65" s="1776"/>
      <c r="Y65" s="1776"/>
      <c r="Z65" s="1776"/>
      <c r="AA65" s="1838" t="str">
        <f>+AT81</f>
        <v/>
      </c>
      <c r="AB65" s="1839"/>
      <c r="AC65" s="1839"/>
      <c r="AD65" s="1839"/>
      <c r="AE65" s="1839"/>
      <c r="AF65" s="1839"/>
      <c r="AG65" s="2001" t="str">
        <f>+AY81</f>
        <v/>
      </c>
      <c r="AH65" s="1839"/>
      <c r="AI65" s="1839"/>
      <c r="AJ65" s="1829" t="str">
        <f>+BA81</f>
        <v/>
      </c>
      <c r="AK65" s="1829"/>
      <c r="AL65" s="1829"/>
      <c r="AM65" s="1829" t="str">
        <f>+BC81</f>
        <v/>
      </c>
      <c r="AN65" s="1829"/>
      <c r="AO65" s="1830"/>
      <c r="AP65" s="222"/>
      <c r="AQ65" s="906" t="s">
        <v>1077</v>
      </c>
      <c r="AR65" s="1954" t="s">
        <v>357</v>
      </c>
      <c r="AS65" s="1954"/>
      <c r="AT65" s="1954"/>
      <c r="AU65" s="1954"/>
      <c r="AV65" s="1954"/>
      <c r="AW65" s="1954"/>
      <c r="AX65" s="1954"/>
      <c r="AY65" s="1954"/>
      <c r="AZ65" s="1954"/>
      <c r="BA65" s="1138"/>
      <c r="BB65" s="542"/>
      <c r="BC65" s="542"/>
      <c r="BD65" s="542" t="s">
        <v>1715</v>
      </c>
      <c r="BE65" s="2291"/>
      <c r="BF65" s="2291"/>
      <c r="BG65" s="542"/>
      <c r="BH65" s="542"/>
      <c r="BI65" s="542"/>
    </row>
    <row r="66" spans="1:83" x14ac:dyDescent="0.2">
      <c r="A66" s="1897"/>
      <c r="B66" s="1891" t="str">
        <f>IF(AT61="Oui",AQ63,IF(AND(CC44=S.CAL!$BC$3,$BW$41="Oui"),"Ind entretien horaire (jrs&gt;"&amp;DL1&amp;"h"&amp;DL2&amp;")",IF(AND(CC44=S.CAL!$BC$4,$BW$41="Oui"),"Ind entretien horaire (jrs&gt;"&amp;CE54&amp;" hrs)",IF(AND(CC44=S.CAL!$BC$5,$BW$41="Oui"),"Ind entretien horaire",IF(AND(BW41="Non",BY60-BY59&gt;0.01),"IE forf. (jrs &gt;"&amp;BY59&amp;" hrs et &lt;ou="&amp;ROUND(BY60,0)&amp;" hrs)","")))))</f>
        <v/>
      </c>
      <c r="C66" s="1891"/>
      <c r="D66" s="1891"/>
      <c r="E66" s="1891"/>
      <c r="F66" s="1891"/>
      <c r="G66" s="1892"/>
      <c r="H66" s="1899">
        <f>+IF(AX61="Oui",AX63,+IF(BW41="Oui",BY47,IF(AND(BW41="Non",K65&gt;0),EB51,0)))</f>
        <v>0</v>
      </c>
      <c r="I66" s="1899"/>
      <c r="J66" s="1899"/>
      <c r="K66" s="1888">
        <f>IF(BA61="Oui",BA63,+IF(BW41="Oui",BZ47,IF(AND(BW41="Non",BY60-BY59&gt;0.01),CA60,0)))</f>
        <v>0</v>
      </c>
      <c r="L66" s="1888"/>
      <c r="M66" s="1888"/>
      <c r="N66" s="1869">
        <f>ROUND(K66*H66,2)</f>
        <v>0</v>
      </c>
      <c r="O66" s="1869"/>
      <c r="P66" s="1869"/>
      <c r="Q66" s="229"/>
      <c r="R66" s="1839" t="str">
        <f t="shared" si="79"/>
        <v/>
      </c>
      <c r="S66" s="1839"/>
      <c r="T66" s="1776" t="str">
        <f>IFERROR(+VLOOKUP(R66,'Liste des Libellés'!$A$5:$B$34,2,FALSE),"")</f>
        <v/>
      </c>
      <c r="U66" s="1776"/>
      <c r="V66" s="1776"/>
      <c r="W66" s="1776"/>
      <c r="X66" s="1776"/>
      <c r="Y66" s="1776"/>
      <c r="Z66" s="1776"/>
      <c r="AA66" s="2036" t="str">
        <f>+AT84</f>
        <v/>
      </c>
      <c r="AB66" s="2037"/>
      <c r="AC66" s="2037"/>
      <c r="AD66" s="2037"/>
      <c r="AE66" s="2037"/>
      <c r="AF66" s="2037"/>
      <c r="AG66" s="2037" t="str">
        <f>+AY84</f>
        <v/>
      </c>
      <c r="AH66" s="2038"/>
      <c r="AI66" s="2038"/>
      <c r="AJ66" s="1831" t="str">
        <f>+BA84</f>
        <v/>
      </c>
      <c r="AK66" s="1831"/>
      <c r="AL66" s="1831"/>
      <c r="AM66" s="1831" t="str">
        <f>+BC84</f>
        <v/>
      </c>
      <c r="AN66" s="1831"/>
      <c r="AO66" s="1939"/>
      <c r="AQ66" s="906" t="s">
        <v>1077</v>
      </c>
      <c r="AR66" s="1953" t="s">
        <v>355</v>
      </c>
      <c r="AS66" s="1953"/>
      <c r="AT66" s="1953"/>
      <c r="AU66" s="1953"/>
      <c r="AV66" s="1953"/>
      <c r="AW66" s="1953"/>
      <c r="AX66" s="1953"/>
      <c r="AY66" s="1953"/>
      <c r="AZ66" s="1953"/>
      <c r="BA66" s="1139"/>
      <c r="BB66" s="541"/>
      <c r="BC66" s="541"/>
      <c r="BD66" s="541"/>
      <c r="BE66" s="541"/>
      <c r="BF66" s="541"/>
      <c r="BG66" s="541"/>
      <c r="BH66" s="541"/>
      <c r="BI66" s="541"/>
      <c r="BQ66" s="650" t="s">
        <v>1042</v>
      </c>
    </row>
    <row r="67" spans="1:83" x14ac:dyDescent="0.2">
      <c r="A67" s="1897"/>
      <c r="B67" s="1867" t="str">
        <f>+IF(BE65="","Indemnité repas",BE65)</f>
        <v>Indemnité repas</v>
      </c>
      <c r="C67" s="1867"/>
      <c r="D67" s="1867"/>
      <c r="E67" s="1867"/>
      <c r="F67" s="1867"/>
      <c r="G67" s="1868"/>
      <c r="H67" s="1893">
        <f>+IF(AND(BA66="",K67&gt;0),AL69,BA66)</f>
        <v>0</v>
      </c>
      <c r="I67" s="1893"/>
      <c r="J67" s="1893"/>
      <c r="K67" s="1894">
        <f>+IF(BA65="",Novembre!K67,BA65)</f>
        <v>0</v>
      </c>
      <c r="L67" s="1894"/>
      <c r="M67" s="1894"/>
      <c r="N67" s="1869">
        <f>ROUND(K67*H67,2)</f>
        <v>0</v>
      </c>
      <c r="O67" s="1869"/>
      <c r="P67" s="1869"/>
      <c r="Q67" s="236"/>
      <c r="R67" s="1839" t="str">
        <f t="shared" si="79"/>
        <v/>
      </c>
      <c r="S67" s="1839"/>
      <c r="T67" s="1776" t="str">
        <f>IFERROR(+VLOOKUP(R67,'Liste des Libellés'!$A$5:$B$34,2,FALSE),"")</f>
        <v/>
      </c>
      <c r="U67" s="1776"/>
      <c r="V67" s="1776"/>
      <c r="W67" s="1776"/>
      <c r="X67" s="1776"/>
      <c r="Y67" s="1776"/>
      <c r="Z67" s="1776"/>
      <c r="AA67" s="245"/>
      <c r="AB67" s="944"/>
      <c r="AC67" s="245"/>
      <c r="AD67" s="245"/>
      <c r="AE67" s="245"/>
      <c r="AF67" s="245"/>
      <c r="AG67" s="245"/>
      <c r="AH67" s="245"/>
      <c r="AI67" s="245"/>
      <c r="AJ67" s="245"/>
      <c r="AK67" s="245"/>
      <c r="AL67" s="245"/>
      <c r="AM67" s="245"/>
      <c r="AN67" s="245"/>
      <c r="AO67" s="245"/>
      <c r="AP67" s="237"/>
      <c r="AQ67" s="906" t="s">
        <v>1077</v>
      </c>
      <c r="AR67" s="1026"/>
      <c r="AS67" s="1025"/>
      <c r="AT67" s="1025"/>
      <c r="AU67" s="1025"/>
      <c r="AV67" s="1025"/>
      <c r="AW67" s="1025"/>
      <c r="AX67" s="1025"/>
      <c r="AY67" s="1025"/>
      <c r="AZ67" s="1025"/>
      <c r="BA67" s="1024"/>
    </row>
    <row r="68" spans="1:83" ht="12.75" customHeight="1" x14ac:dyDescent="0.2">
      <c r="A68" s="1897"/>
      <c r="B68" s="1867" t="str">
        <f>+IF(BE68="","Indemnité goûter",BE68)</f>
        <v>Indemnité goûter</v>
      </c>
      <c r="C68" s="1867"/>
      <c r="D68" s="1867"/>
      <c r="E68" s="1867"/>
      <c r="F68" s="1867"/>
      <c r="G68" s="1868"/>
      <c r="H68" s="1893">
        <f>+IF(AND(BA69="",K68&gt;0),AL69,BA69)</f>
        <v>0</v>
      </c>
      <c r="I68" s="1893"/>
      <c r="J68" s="1893"/>
      <c r="K68" s="1894">
        <f>+IF(BA68="",Novembre!K68,BA68)</f>
        <v>0</v>
      </c>
      <c r="L68" s="1894"/>
      <c r="M68" s="1894"/>
      <c r="N68" s="1869">
        <f>ROUND(K68*H68,2)</f>
        <v>0</v>
      </c>
      <c r="O68" s="1869"/>
      <c r="P68" s="1869"/>
      <c r="R68" s="238"/>
      <c r="S68" s="239"/>
      <c r="T68" s="239"/>
      <c r="U68" s="239"/>
      <c r="V68" s="239"/>
      <c r="W68" s="239"/>
      <c r="X68" s="240"/>
      <c r="Y68" s="240"/>
      <c r="Z68" s="240"/>
      <c r="AA68" s="240"/>
      <c r="AB68" s="240"/>
      <c r="AC68" s="240"/>
      <c r="AD68" s="240"/>
      <c r="AE68" s="240"/>
      <c r="AF68" s="240"/>
      <c r="AG68" s="240"/>
      <c r="AH68" s="240"/>
      <c r="AI68" s="240"/>
      <c r="AJ68" s="240"/>
      <c r="AK68" s="240"/>
      <c r="AL68" s="240"/>
      <c r="AM68" s="240"/>
      <c r="AN68" s="240"/>
      <c r="AO68" s="240"/>
      <c r="AP68" s="237"/>
      <c r="AQ68" s="906" t="s">
        <v>1077</v>
      </c>
      <c r="AR68" s="1954" t="s">
        <v>358</v>
      </c>
      <c r="AS68" s="1954"/>
      <c r="AT68" s="1954"/>
      <c r="AU68" s="1954"/>
      <c r="AV68" s="1954"/>
      <c r="AW68" s="1954"/>
      <c r="AX68" s="1954"/>
      <c r="AY68" s="1954"/>
      <c r="AZ68" s="1954"/>
      <c r="BA68" s="1138"/>
      <c r="BB68" s="542"/>
      <c r="BC68" s="542"/>
      <c r="BD68" s="542" t="s">
        <v>1716</v>
      </c>
      <c r="BE68" s="2377"/>
      <c r="BF68" s="2377"/>
      <c r="BG68" s="542"/>
      <c r="BH68" s="542"/>
      <c r="BI68" s="542"/>
      <c r="BJ68" s="244"/>
      <c r="BK68" s="244"/>
      <c r="BL68" s="244"/>
      <c r="BM68" s="244"/>
      <c r="BN68" s="244"/>
      <c r="BO68" s="244"/>
      <c r="BQ68" s="129" t="s">
        <v>57</v>
      </c>
      <c r="BZ68" s="230">
        <f>IFERROR(IF(BZ118="Scénario 4",DK29,+DK29+DM29),0)</f>
        <v>0</v>
      </c>
      <c r="CA68" s="844" t="str">
        <f>IF(BZ118=BZ140,+"(Détail du calcul : ( "&amp;T18&amp;" + "&amp;T23&amp;" + "&amp;T24&amp;" - "&amp;T25*-1&amp;" - "&amp;T27*-1&amp;" + "&amp;T28&amp;" + "&amp;T29&amp;" + "&amp;HO16&amp;" + "&amp;T30&amp;" + "&amp;T31&amp;" ) / "&amp;ROUND(AL14,4)&amp;" € )","(Détail du calcul : ( "&amp;T18&amp;" + "&amp;T23&amp;" + "&amp;T24&amp;" - "&amp;T25*-1&amp;" - "&amp;T27*-1&amp;" + "&amp;T28&amp;" + "&amp;T29&amp;" + "&amp;HO16&amp;" + "&amp;T30&amp;" + "&amp;T31&amp;" + "&amp;T32&amp;" ) / "&amp;ROUND(AL14,4)&amp;" € )")</f>
        <v>(Détail du calcul : ( 0 + 0 + 0 - 0 - 0 + 0 +  + 0 + 0 + 0 ) / 0 € )</v>
      </c>
    </row>
    <row r="69" spans="1:83" ht="12.75" customHeight="1" x14ac:dyDescent="0.2">
      <c r="A69" s="1897"/>
      <c r="B69" s="1891" t="s">
        <v>1434</v>
      </c>
      <c r="C69" s="1891"/>
      <c r="D69" s="1891"/>
      <c r="E69" s="1891"/>
      <c r="F69" s="1891"/>
      <c r="G69" s="1892"/>
      <c r="H69" s="1873"/>
      <c r="I69" s="1873"/>
      <c r="J69" s="1873"/>
      <c r="K69" s="1895"/>
      <c r="L69" s="1895"/>
      <c r="M69" s="1895"/>
      <c r="N69" s="1869">
        <f>ROUND(K69*H69,2)</f>
        <v>0</v>
      </c>
      <c r="O69" s="1869"/>
      <c r="P69" s="1869"/>
      <c r="Q69" s="211"/>
      <c r="R69" s="2006" t="s">
        <v>106</v>
      </c>
      <c r="S69" s="2006"/>
      <c r="T69" s="2006"/>
      <c r="U69" s="2006"/>
      <c r="V69" s="2006"/>
      <c r="W69" s="2006"/>
      <c r="X69" s="2006"/>
      <c r="Y69" s="2006"/>
      <c r="Z69" s="2006"/>
      <c r="AA69" s="2006"/>
      <c r="AB69" s="2006"/>
      <c r="AC69" s="2003" t="s">
        <v>1668</v>
      </c>
      <c r="AD69" s="2007" t="s">
        <v>59</v>
      </c>
      <c r="AE69" s="2008"/>
      <c r="AF69" s="2008"/>
      <c r="AG69" s="2008"/>
      <c r="AH69" s="2008"/>
      <c r="AI69" s="2008"/>
      <c r="AJ69" s="2008"/>
      <c r="AK69" s="2009"/>
      <c r="AL69" s="2012">
        <f>COUNTIF(AS20:AS50,"&gt;0")</f>
        <v>0</v>
      </c>
      <c r="AM69" s="2012"/>
      <c r="AN69" s="2012"/>
      <c r="AO69" s="2012"/>
      <c r="AP69" s="241"/>
      <c r="AQ69" s="906" t="s">
        <v>1077</v>
      </c>
      <c r="AR69" s="1953" t="s">
        <v>356</v>
      </c>
      <c r="AS69" s="1953"/>
      <c r="AT69" s="1953"/>
      <c r="AU69" s="1953"/>
      <c r="AV69" s="1953"/>
      <c r="AW69" s="1953"/>
      <c r="AX69" s="1953"/>
      <c r="AY69" s="1953"/>
      <c r="AZ69" s="1953"/>
      <c r="BA69" s="1139"/>
      <c r="BB69" s="541"/>
      <c r="BC69" s="541"/>
      <c r="BD69" s="541"/>
      <c r="BE69" s="541"/>
      <c r="BF69" s="541"/>
      <c r="BG69" s="541"/>
      <c r="BH69" s="541"/>
      <c r="BI69" s="541"/>
    </row>
    <row r="70" spans="1:83" x14ac:dyDescent="0.2">
      <c r="A70" s="1898"/>
      <c r="B70" s="212" t="s">
        <v>1463</v>
      </c>
      <c r="C70" s="1900"/>
      <c r="D70" s="1900"/>
      <c r="E70" s="1900"/>
      <c r="F70" s="1900"/>
      <c r="G70" s="1901"/>
      <c r="H70" s="1946"/>
      <c r="I70" s="1946"/>
      <c r="J70" s="1946"/>
      <c r="K70" s="1947"/>
      <c r="L70" s="1947"/>
      <c r="M70" s="1947"/>
      <c r="N70" s="1869">
        <f>ROUND(H70,2)</f>
        <v>0</v>
      </c>
      <c r="O70" s="1869"/>
      <c r="P70" s="1869"/>
      <c r="R70" s="2002" t="s">
        <v>127</v>
      </c>
      <c r="S70" s="2002"/>
      <c r="T70" s="2002"/>
      <c r="U70" s="2002"/>
      <c r="V70" s="2002"/>
      <c r="W70" s="2002"/>
      <c r="X70" s="2002"/>
      <c r="Y70" s="2002"/>
      <c r="Z70" s="2011">
        <f>+(T35*3.15%)-((H57+H58)*1.7%)</f>
        <v>0</v>
      </c>
      <c r="AA70" s="2011"/>
      <c r="AB70" s="2011"/>
      <c r="AC70" s="2004"/>
      <c r="AD70" s="2007" t="s">
        <v>61</v>
      </c>
      <c r="AE70" s="2008"/>
      <c r="AF70" s="2008"/>
      <c r="AG70" s="2008"/>
      <c r="AH70" s="2008"/>
      <c r="AI70" s="2008"/>
      <c r="AJ70" s="2008"/>
      <c r="AK70" s="2009"/>
      <c r="AL70" s="2012">
        <f>COUNTIF(AS20:AS50,"=8")+COUNTIF(AS20:AS50,"&gt;8")</f>
        <v>0</v>
      </c>
      <c r="AM70" s="2012"/>
      <c r="AN70" s="2012"/>
      <c r="AO70" s="2012"/>
      <c r="AQ70" s="906" t="s">
        <v>1077</v>
      </c>
      <c r="AS70" s="244"/>
      <c r="AT70" s="244"/>
      <c r="AU70" s="244"/>
      <c r="AV70" s="244"/>
      <c r="AW70" s="244"/>
      <c r="AX70" s="244"/>
      <c r="AY70" s="244"/>
      <c r="AZ70" s="244"/>
      <c r="BA70" s="244"/>
      <c r="BB70" s="244"/>
      <c r="BC70" s="244"/>
      <c r="BD70" s="244"/>
      <c r="BE70" s="244"/>
      <c r="BF70" s="244"/>
      <c r="BG70" s="244"/>
      <c r="BH70" s="244"/>
      <c r="BI70" s="244"/>
      <c r="BJ70" s="246"/>
      <c r="BK70" s="246"/>
      <c r="BL70" s="246"/>
      <c r="BM70" s="246"/>
      <c r="BN70" s="246"/>
      <c r="BO70" s="246"/>
      <c r="BQ70" s="129" t="s">
        <v>58</v>
      </c>
    </row>
    <row r="71" spans="1:83" x14ac:dyDescent="0.2">
      <c r="A71" s="1182" t="s">
        <v>1436</v>
      </c>
      <c r="B71" s="1871" t="s">
        <v>1022</v>
      </c>
      <c r="C71" s="1871"/>
      <c r="D71" s="1871"/>
      <c r="E71" s="1871"/>
      <c r="F71" s="1871"/>
      <c r="G71" s="1872"/>
      <c r="H71" s="1870"/>
      <c r="I71" s="1870"/>
      <c r="J71" s="1870"/>
      <c r="K71" s="1889"/>
      <c r="L71" s="1889"/>
      <c r="M71" s="1889"/>
      <c r="N71" s="2269">
        <f>IF(AND(H71="",BZ8="OUI"),IFERROR(VLOOKUP(X3,bddrupture,2,FALSE),0),ROUND(H71,2))</f>
        <v>0</v>
      </c>
      <c r="O71" s="2269"/>
      <c r="P71" s="2269"/>
      <c r="R71" s="2002" t="s">
        <v>108</v>
      </c>
      <c r="S71" s="2002"/>
      <c r="T71" s="2002"/>
      <c r="U71" s="2002"/>
      <c r="V71" s="2002"/>
      <c r="W71" s="2002"/>
      <c r="X71" s="2002"/>
      <c r="Y71" s="2002"/>
      <c r="Z71" s="2011">
        <f>+N59*-1</f>
        <v>0</v>
      </c>
      <c r="AA71" s="2011"/>
      <c r="AB71" s="2011"/>
      <c r="AC71" s="2005"/>
      <c r="AD71" s="2007" t="s">
        <v>107</v>
      </c>
      <c r="AE71" s="2008"/>
      <c r="AF71" s="2008"/>
      <c r="AG71" s="2008"/>
      <c r="AH71" s="2008"/>
      <c r="AI71" s="2008"/>
      <c r="AJ71" s="2008"/>
      <c r="AK71" s="2009"/>
      <c r="AL71" s="2010">
        <f>SUMIF(AS20:AS50,"&lt;8")</f>
        <v>0</v>
      </c>
      <c r="AM71" s="2010"/>
      <c r="AN71" s="2010"/>
      <c r="AO71" s="2010"/>
      <c r="AQ71" s="906" t="s">
        <v>1077</v>
      </c>
      <c r="BJ71" s="246"/>
      <c r="BK71" s="246"/>
      <c r="BL71" s="246"/>
      <c r="BM71" s="246"/>
      <c r="BN71" s="246"/>
      <c r="BO71" s="246"/>
      <c r="BZ71" s="1626" t="s">
        <v>16</v>
      </c>
      <c r="CC71" s="378">
        <f>IF(AL14,(T31+T29)/(AL14*8),0)</f>
        <v>0</v>
      </c>
      <c r="CD71" s="217" t="s">
        <v>521</v>
      </c>
    </row>
    <row r="72" spans="1:83" x14ac:dyDescent="0.2">
      <c r="N72" s="1749">
        <f>ROUND(SUM(N65:P69)+N71+N70,2)</f>
        <v>0</v>
      </c>
      <c r="O72" s="1750"/>
      <c r="P72" s="1751"/>
      <c r="R72" s="245"/>
      <c r="S72" s="245"/>
      <c r="T72" s="245"/>
      <c r="U72" s="245"/>
      <c r="V72" s="245"/>
      <c r="W72" s="245"/>
      <c r="X72" s="245"/>
      <c r="Y72" s="245"/>
      <c r="Z72" s="245"/>
      <c r="AA72" s="232"/>
      <c r="AB72" s="232"/>
      <c r="AC72" s="232"/>
      <c r="AD72" s="232"/>
      <c r="AE72" s="232"/>
      <c r="AF72" s="232"/>
      <c r="AG72" s="232"/>
      <c r="AH72" s="232"/>
      <c r="AI72" s="232"/>
      <c r="AJ72" s="232"/>
      <c r="AK72" s="232"/>
      <c r="AL72" s="232"/>
      <c r="AM72" s="232"/>
      <c r="AN72" s="232"/>
      <c r="AO72" s="232"/>
      <c r="AP72" s="241"/>
      <c r="AQ72" s="906" t="s">
        <v>1077</v>
      </c>
      <c r="AR72" s="907" t="s">
        <v>1079</v>
      </c>
      <c r="AS72" s="907" t="s">
        <v>1079</v>
      </c>
      <c r="AT72" s="908" t="s">
        <v>1079</v>
      </c>
      <c r="AU72" s="903" t="s">
        <v>1260</v>
      </c>
      <c r="AV72" s="904"/>
      <c r="AW72" s="904"/>
      <c r="AX72" s="904"/>
      <c r="AY72" s="904"/>
      <c r="AZ72" s="904"/>
      <c r="BA72" s="904"/>
      <c r="BB72" s="904"/>
      <c r="BC72" s="226"/>
      <c r="BD72" s="226"/>
      <c r="BE72" s="226"/>
      <c r="BF72" s="226"/>
      <c r="BG72" s="226"/>
      <c r="BH72" s="226"/>
      <c r="BI72" s="226"/>
      <c r="BQ72" s="129" t="s">
        <v>60</v>
      </c>
      <c r="BZ72" s="1627">
        <f>IF(DP29="OUI",COUNTIF(AM20:AO50,"&gt;0"),+DP5)</f>
        <v>0</v>
      </c>
      <c r="CA72" s="22"/>
      <c r="CC72" s="379"/>
      <c r="CD72" s="217"/>
    </row>
    <row r="73" spans="1:83" ht="15.75" customHeight="1" x14ac:dyDescent="0.2">
      <c r="E73" s="2320" t="s">
        <v>1399</v>
      </c>
      <c r="F73" s="2320"/>
      <c r="G73" s="2320"/>
      <c r="H73" s="2319" t="s">
        <v>1400</v>
      </c>
      <c r="I73" s="2320"/>
      <c r="J73" s="2320"/>
      <c r="K73" s="2320"/>
      <c r="N73" s="236"/>
      <c r="O73" s="236"/>
      <c r="P73" s="236"/>
      <c r="R73" s="245"/>
      <c r="S73" s="245"/>
      <c r="T73" s="245"/>
      <c r="U73" s="245"/>
      <c r="V73" s="245"/>
      <c r="W73" s="245"/>
      <c r="X73" s="245"/>
      <c r="Y73" s="2280" t="s">
        <v>1667</v>
      </c>
      <c r="Z73" s="2274" t="str">
        <f>"Montant à percevoir : ("&amp;AM51&amp;" hrs X "&amp;ROUND(AL14,4)&amp;" €)"</f>
        <v>Montant à percevoir : (0 hrs X 0 €)</v>
      </c>
      <c r="AA73" s="2275"/>
      <c r="AB73" s="2275"/>
      <c r="AC73" s="2275"/>
      <c r="AD73" s="2275"/>
      <c r="AE73" s="2275"/>
      <c r="AF73" s="2275"/>
      <c r="AG73" s="2275"/>
      <c r="AH73" s="2275"/>
      <c r="AI73" s="2275"/>
      <c r="AJ73" s="2275"/>
      <c r="AK73" s="2276"/>
      <c r="AL73" s="1832">
        <f>+AM51*AL14</f>
        <v>0</v>
      </c>
      <c r="AM73" s="1832"/>
      <c r="AN73" s="1832"/>
      <c r="AO73" s="1832"/>
      <c r="AP73" s="241"/>
      <c r="AQ73" s="324"/>
      <c r="AR73" s="241"/>
      <c r="AS73" s="246"/>
      <c r="AT73" s="246"/>
      <c r="AU73" s="2303" t="s">
        <v>1272</v>
      </c>
      <c r="AV73" s="2304"/>
      <c r="AW73" s="2304"/>
      <c r="AX73" s="2304"/>
      <c r="AY73" s="2304"/>
      <c r="AZ73" s="2304"/>
      <c r="BA73" s="2304"/>
      <c r="BB73" s="2305"/>
      <c r="BC73" s="226"/>
      <c r="BD73" s="226"/>
      <c r="BE73" s="226"/>
      <c r="BF73" s="226"/>
      <c r="BG73" s="226"/>
      <c r="BH73" s="226"/>
      <c r="BI73" s="226"/>
      <c r="BQ73" s="129" t="s">
        <v>1588</v>
      </c>
      <c r="BZ73" s="1628">
        <f>+ROUNDUP(CC71+CC73+GM52,0)</f>
        <v>0</v>
      </c>
      <c r="CC73" s="1120">
        <v>0</v>
      </c>
      <c r="CD73" s="217" t="s">
        <v>1516</v>
      </c>
    </row>
    <row r="74" spans="1:83" ht="15.75" customHeight="1" thickBot="1" x14ac:dyDescent="0.25">
      <c r="A74" s="1847" t="s">
        <v>63</v>
      </c>
      <c r="B74" s="1848"/>
      <c r="C74" s="1848"/>
      <c r="D74" s="1849"/>
      <c r="E74" s="1859">
        <f>+ROUND((T18+T23+T24+T25+T29+HO16+T30+T31+T32+T33+T34)-(N61-(N57+N58)),2)</f>
        <v>0</v>
      </c>
      <c r="F74" s="1774"/>
      <c r="G74" s="1931"/>
      <c r="H74" s="2286">
        <f ca="1">E74+Novembre!H74</f>
        <v>0</v>
      </c>
      <c r="I74" s="2287"/>
      <c r="J74" s="2287"/>
      <c r="K74" s="2288"/>
      <c r="L74" s="1840" t="s">
        <v>1572</v>
      </c>
      <c r="M74" s="1840"/>
      <c r="N74" s="1840"/>
      <c r="O74" s="1840"/>
      <c r="P74" s="1840"/>
      <c r="Q74" s="1841">
        <f>+N62+N71</f>
        <v>0</v>
      </c>
      <c r="R74" s="1842"/>
      <c r="S74" s="1842"/>
      <c r="T74" s="1843"/>
      <c r="U74" s="245"/>
      <c r="V74" s="245"/>
      <c r="W74" s="245"/>
      <c r="X74" s="245"/>
      <c r="Y74" s="2281"/>
      <c r="Z74" s="2274" t="str">
        <f>IF(U14&gt;0,"Montant perçu : ("&amp;T18&amp;" + "&amp;T19&amp;" - "&amp;ROUND(T25*-1,2)&amp;" - "&amp;ROUND(T26*-1,2)&amp;")","Montant perçu : ("&amp;T18&amp;" - "&amp;ROUND(T25*-1,2)&amp;")")</f>
        <v>Montant perçu : (0 - 0)</v>
      </c>
      <c r="AA74" s="2275"/>
      <c r="AB74" s="2275"/>
      <c r="AC74" s="2275"/>
      <c r="AD74" s="2275"/>
      <c r="AE74" s="2275"/>
      <c r="AF74" s="2275"/>
      <c r="AG74" s="2275"/>
      <c r="AH74" s="2275"/>
      <c r="AI74" s="2275"/>
      <c r="AJ74" s="2275"/>
      <c r="AK74" s="2276"/>
      <c r="AL74" s="1832">
        <f>+T18+T19+T25+T26</f>
        <v>0</v>
      </c>
      <c r="AM74" s="1832"/>
      <c r="AN74" s="1832"/>
      <c r="AO74" s="1832"/>
      <c r="AQ74" s="316"/>
      <c r="AU74" s="899"/>
      <c r="AV74" s="899"/>
      <c r="AW74" s="899"/>
      <c r="AX74" s="909"/>
      <c r="AY74" s="909"/>
      <c r="AZ74" s="909"/>
      <c r="BA74" s="910" t="s">
        <v>1261</v>
      </c>
      <c r="BB74" s="911"/>
      <c r="BC74" s="910" t="s">
        <v>657</v>
      </c>
      <c r="BD74" s="910"/>
      <c r="BE74" s="129"/>
      <c r="BF74" s="129"/>
      <c r="BG74" s="129"/>
      <c r="BH74" s="129"/>
      <c r="BI74" s="129"/>
      <c r="BQ74" s="129" t="s">
        <v>1202</v>
      </c>
      <c r="BZ74" s="1629">
        <f>ROUNDDOWN(IF(AL14,(DP5*DK40)+CC74,0),0)</f>
        <v>0</v>
      </c>
      <c r="CA74" s="644" t="s">
        <v>1078</v>
      </c>
      <c r="CB74" s="644" t="s">
        <v>1078</v>
      </c>
      <c r="CC74" s="1120">
        <v>0</v>
      </c>
      <c r="CD74" s="129" t="s">
        <v>1517</v>
      </c>
    </row>
    <row r="75" spans="1:83" ht="13.5" thickTop="1" x14ac:dyDescent="0.2">
      <c r="A75" s="2268" t="s">
        <v>69</v>
      </c>
      <c r="B75" s="1984"/>
      <c r="C75" s="1984"/>
      <c r="D75" s="2197"/>
      <c r="E75" s="1859">
        <f>+IF(AC133="Oui",SUM(N65:P70),SUM(N65:P69))</f>
        <v>0</v>
      </c>
      <c r="F75" s="1774"/>
      <c r="G75" s="1931"/>
      <c r="H75" s="1859">
        <f>E75+Novembre!H75</f>
        <v>0</v>
      </c>
      <c r="I75" s="1774"/>
      <c r="J75" s="1774"/>
      <c r="K75" s="1860"/>
      <c r="U75" s="245"/>
      <c r="V75" s="245"/>
      <c r="W75" s="245"/>
      <c r="X75" s="245"/>
      <c r="Y75" s="2282"/>
      <c r="Z75" s="2277" t="s">
        <v>1666</v>
      </c>
      <c r="AA75" s="2278"/>
      <c r="AB75" s="2278"/>
      <c r="AC75" s="2278"/>
      <c r="AD75" s="2278"/>
      <c r="AE75" s="2278"/>
      <c r="AF75" s="2278"/>
      <c r="AG75" s="2278"/>
      <c r="AH75" s="2278"/>
      <c r="AI75" s="2278"/>
      <c r="AJ75" s="2278"/>
      <c r="AK75" s="2279"/>
      <c r="AL75" s="1813">
        <f>+AL73-AL74</f>
        <v>0</v>
      </c>
      <c r="AM75" s="1813"/>
      <c r="AN75" s="1813"/>
      <c r="AO75" s="1813"/>
      <c r="AP75" s="226"/>
      <c r="AQ75" s="325"/>
      <c r="AR75" s="226"/>
      <c r="AT75" s="2057" t="str">
        <f>IFERROR(VLOOKUP(AY75,'Liste des Libellés'!$A$4:$F$32,6,FALSE),"")</f>
        <v/>
      </c>
      <c r="AU75" s="2058"/>
      <c r="AV75" s="2058"/>
      <c r="AW75" s="2058"/>
      <c r="AX75" s="917"/>
      <c r="AY75" s="1772" t="str">
        <f>+IF(AX76="",IF('Retenue Déc'!EH51=0,"",'Retenue Déc'!EH51),AX76)</f>
        <v/>
      </c>
      <c r="AZ75" s="1772"/>
      <c r="BA75" s="918" t="str">
        <f>+IF(BA76="",IF('Retenue Déc'!EF51=0,"",'Retenue Déc'!EF51),BA76)</f>
        <v/>
      </c>
      <c r="BB75" s="919"/>
      <c r="BC75" s="920" t="str">
        <f>IF(BC76="",IF(+'Retenue Déc'!EG51=0,"",'Retenue Déc'!EG51),BC76)</f>
        <v/>
      </c>
      <c r="BD75" s="952"/>
      <c r="BE75" s="129"/>
      <c r="BF75" s="129"/>
      <c r="BG75" s="129"/>
      <c r="BH75" s="129"/>
      <c r="BI75" s="129"/>
      <c r="BQ75" s="217" t="s">
        <v>62</v>
      </c>
      <c r="BZ75" s="1630">
        <f>+BZ72+BZ73-BZ74</f>
        <v>0</v>
      </c>
      <c r="CA75" s="22"/>
      <c r="CB75" s="235"/>
      <c r="CC75" s="844" t="str">
        <f>"Détail : Nbre jours d'activité = jrs activités mensualisés ("&amp;BZ72&amp;" jrs) + jrs rajoutés (régul…) ("&amp;CC73&amp;" jrs) - jrs déduits ("&amp;DP5&amp;" jrs * "&amp;"("&amp;'Retenue Déc'!E50&amp;" hrs / "&amp;'Retenue Déc'!D50&amp;" hrs) + "&amp;CC74&amp;" jrs)"</f>
        <v>Détail : Nbre jours d'activité = jrs activités mensualisés (0 jrs) + jrs rajoutés (régul…) (0 jrs) - jrs déduits (0 jrs * (0 hrs / 0 hrs) + 0 jrs)</v>
      </c>
    </row>
    <row r="76" spans="1:83" ht="14.25" customHeight="1" x14ac:dyDescent="0.2">
      <c r="A76" s="2268" t="s">
        <v>1401</v>
      </c>
      <c r="B76" s="1984"/>
      <c r="C76" s="1984"/>
      <c r="D76" s="2197"/>
      <c r="E76" s="1859">
        <f>+Q78*-1</f>
        <v>0</v>
      </c>
      <c r="F76" s="1774"/>
      <c r="G76" s="1931"/>
      <c r="H76" s="1859">
        <f ca="1">E76+Novembre!H76</f>
        <v>0</v>
      </c>
      <c r="I76" s="1774"/>
      <c r="J76" s="1774"/>
      <c r="K76" s="1860"/>
      <c r="L76" s="1840" t="s">
        <v>65</v>
      </c>
      <c r="M76" s="1840"/>
      <c r="N76" s="1840"/>
      <c r="O76" s="1840"/>
      <c r="P76" s="1890"/>
      <c r="Q76" s="1841">
        <f>ROUND(T35-N61+N72,2)</f>
        <v>0</v>
      </c>
      <c r="R76" s="1842"/>
      <c r="S76" s="1842"/>
      <c r="T76" s="1843"/>
      <c r="U76" s="245"/>
      <c r="V76" s="245"/>
      <c r="W76" s="245"/>
      <c r="X76" s="245"/>
      <c r="Y76" s="245"/>
      <c r="Z76" s="232"/>
      <c r="AA76" s="232"/>
      <c r="AB76" s="232"/>
      <c r="AC76" s="232"/>
      <c r="AD76" s="232"/>
      <c r="AE76" s="232"/>
      <c r="AF76" s="232"/>
      <c r="AG76" s="232"/>
      <c r="AH76" s="232"/>
      <c r="AI76" s="232"/>
      <c r="AJ76" s="232"/>
      <c r="AK76" s="232"/>
      <c r="AM76" s="232"/>
      <c r="AN76" s="232"/>
      <c r="AO76" s="232"/>
      <c r="AP76" s="226"/>
      <c r="AQ76" s="325"/>
      <c r="AR76" s="226"/>
      <c r="AT76" s="921"/>
      <c r="AU76" s="922"/>
      <c r="AV76" s="922"/>
      <c r="AW76" s="923" t="s">
        <v>492</v>
      </c>
      <c r="AX76" s="1828"/>
      <c r="AY76" s="1828"/>
      <c r="AZ76" s="922"/>
      <c r="BA76" s="1130"/>
      <c r="BB76" s="924"/>
      <c r="BC76" s="1131"/>
      <c r="BD76" s="963"/>
      <c r="BE76" s="129"/>
      <c r="BF76" s="129"/>
      <c r="BG76" s="129"/>
      <c r="BH76" s="129"/>
      <c r="BI76" s="129"/>
    </row>
    <row r="77" spans="1:83" ht="15.75" customHeight="1" x14ac:dyDescent="0.2">
      <c r="A77" s="2327" t="s">
        <v>66</v>
      </c>
      <c r="B77" s="2328"/>
      <c r="C77" s="2328"/>
      <c r="D77" s="2329"/>
      <c r="E77" s="1920">
        <f>ROUND(+T19+T20+T21+T22+T26,2)</f>
        <v>0</v>
      </c>
      <c r="F77" s="1915"/>
      <c r="G77" s="1921"/>
      <c r="H77" s="1920">
        <f ca="1">+E77+Novembre!H77</f>
        <v>0</v>
      </c>
      <c r="I77" s="1915"/>
      <c r="J77" s="1915"/>
      <c r="K77" s="1921"/>
      <c r="U77" s="245"/>
      <c r="V77" s="245"/>
      <c r="W77" s="245"/>
      <c r="X77" s="245"/>
      <c r="Y77" s="245"/>
      <c r="Z77" s="2283" t="s">
        <v>67</v>
      </c>
      <c r="AA77" s="2284"/>
      <c r="AB77" s="2284"/>
      <c r="AC77" s="2284"/>
      <c r="AD77" s="2284"/>
      <c r="AE77" s="2284"/>
      <c r="AF77" s="2284"/>
      <c r="AG77" s="2284"/>
      <c r="AH77" s="2284"/>
      <c r="AI77" s="2284"/>
      <c r="AJ77" s="2284"/>
      <c r="AK77" s="2285"/>
      <c r="AL77" s="2298">
        <f>+IFERROR(IF(BY6="non",DK36,E74),0)</f>
        <v>0</v>
      </c>
      <c r="AM77" s="2298"/>
      <c r="AN77" s="2298"/>
      <c r="AO77" s="2298"/>
      <c r="AQ77" s="2300" t="s">
        <v>754</v>
      </c>
      <c r="AR77" s="2301"/>
      <c r="AS77" s="2301"/>
      <c r="AT77" s="2301"/>
      <c r="AU77" s="895"/>
      <c r="AV77" s="895"/>
      <c r="AW77" s="895"/>
      <c r="AX77" s="912"/>
      <c r="AY77" s="912"/>
      <c r="AZ77" s="913"/>
      <c r="BA77" s="913"/>
      <c r="BB77" s="913"/>
      <c r="BC77" s="913"/>
      <c r="BD77" s="913"/>
      <c r="BE77" s="129"/>
      <c r="BF77" s="129"/>
      <c r="BG77" s="129"/>
      <c r="BH77" s="129"/>
      <c r="BI77" s="129"/>
      <c r="BQ77" s="129" t="s">
        <v>64</v>
      </c>
      <c r="BZ77" s="1294">
        <f>MROUND(+CC80+CC81,0.5)</f>
        <v>0</v>
      </c>
      <c r="CA77" s="643" t="s">
        <v>1079</v>
      </c>
    </row>
    <row r="78" spans="1:83" ht="15" customHeight="1" x14ac:dyDescent="0.2">
      <c r="H78" s="1010"/>
      <c r="I78" s="1010"/>
      <c r="J78" s="1010"/>
      <c r="K78" s="232"/>
      <c r="L78" s="1827" t="s">
        <v>68</v>
      </c>
      <c r="M78" s="1827"/>
      <c r="N78" s="1827"/>
      <c r="O78" s="1827"/>
      <c r="P78" s="2323"/>
      <c r="Q78" s="1841">
        <f>ROUND(+AL77*AL78*-1,2)</f>
        <v>0</v>
      </c>
      <c r="R78" s="1842"/>
      <c r="S78" s="1842"/>
      <c r="T78" s="1843"/>
      <c r="U78" s="245"/>
      <c r="V78" s="245"/>
      <c r="W78" s="245"/>
      <c r="X78" s="245"/>
      <c r="Y78" s="245"/>
      <c r="Z78" s="2283" t="s">
        <v>14</v>
      </c>
      <c r="AA78" s="2284"/>
      <c r="AB78" s="2284"/>
      <c r="AC78" s="2284"/>
      <c r="AD78" s="2284"/>
      <c r="AE78" s="2284"/>
      <c r="AF78" s="2284"/>
      <c r="AG78" s="2284"/>
      <c r="AH78" s="2284"/>
      <c r="AI78" s="2284"/>
      <c r="AJ78" s="2284"/>
      <c r="AK78" s="2285"/>
      <c r="AL78" s="2299">
        <f>+IF(AR78="",Novembre!AL78,AR78)</f>
        <v>0</v>
      </c>
      <c r="AM78" s="2299"/>
      <c r="AN78" s="2299"/>
      <c r="AO78" s="2299"/>
      <c r="AQ78" s="420" t="s">
        <v>750</v>
      </c>
      <c r="AR78" s="2344"/>
      <c r="AS78" s="2344"/>
      <c r="AT78" s="2058" t="str">
        <f>IFERROR(VLOOKUP(AY78,'Liste des Libellés'!$A$4:$F$32,6,FALSE),"")</f>
        <v/>
      </c>
      <c r="AU78" s="2058"/>
      <c r="AV78" s="2058"/>
      <c r="AW78" s="2058"/>
      <c r="AX78" s="917"/>
      <c r="AY78" s="1772" t="str">
        <f>+IF(AX79="",IF('Retenue Déc'!EH53=0,"",'Retenue Déc'!EH53),AX79)</f>
        <v/>
      </c>
      <c r="AZ78" s="1772"/>
      <c r="BA78" s="918" t="str">
        <f>+IF(BA79="",IF('Retenue Déc'!EF53=0,"",'Retenue Déc'!EF53),BA79)</f>
        <v/>
      </c>
      <c r="BB78" s="919"/>
      <c r="BC78" s="920" t="str">
        <f>IF(BC79="",IF(+'Retenue Déc'!EG53=0,"",'Retenue Déc'!EG53),BC79)</f>
        <v/>
      </c>
      <c r="BD78" s="952"/>
      <c r="BE78" s="129"/>
      <c r="BF78" s="129"/>
      <c r="BG78" s="129"/>
      <c r="BH78" s="129"/>
      <c r="BI78" s="129"/>
      <c r="CA78" s="645" t="s">
        <v>1077</v>
      </c>
      <c r="CB78" s="1615"/>
    </row>
    <row r="79" spans="1:83" ht="13.5" customHeight="1" x14ac:dyDescent="0.2">
      <c r="K79" s="1433" t="s">
        <v>139</v>
      </c>
      <c r="AE79" s="131"/>
      <c r="AH79" s="131"/>
      <c r="AI79" s="204"/>
      <c r="AP79" s="216"/>
      <c r="AQ79" s="326"/>
      <c r="AR79" s="216"/>
      <c r="AT79" s="921"/>
      <c r="AU79" s="922"/>
      <c r="AV79" s="922"/>
      <c r="AW79" s="923" t="s">
        <v>492</v>
      </c>
      <c r="AX79" s="1828"/>
      <c r="AY79" s="1828"/>
      <c r="AZ79" s="922"/>
      <c r="BA79" s="1130"/>
      <c r="BB79" s="924"/>
      <c r="BC79" s="1131"/>
      <c r="BD79" s="963"/>
      <c r="BE79" s="129"/>
      <c r="BF79" s="129"/>
      <c r="BG79" s="129"/>
      <c r="BH79" s="129"/>
      <c r="BI79" s="129"/>
      <c r="BQ79" s="129" t="str">
        <f>+IF(Identification!B125="Net","Sal horaire net d'une heure normale :",IF(Identification!B125="Brut","Sal horaire brut d'une heure normale :","Erreur"))</f>
        <v>Sal horaire net d'une heure normale :</v>
      </c>
      <c r="BZ79" s="242">
        <f>+DK26</f>
        <v>0</v>
      </c>
      <c r="CA79" s="645" t="s">
        <v>1077</v>
      </c>
      <c r="CB79" s="243"/>
    </row>
    <row r="80" spans="1:83" ht="15.75" customHeight="1" x14ac:dyDescent="0.2">
      <c r="A80" s="1984" t="s">
        <v>141</v>
      </c>
      <c r="B80" s="1984"/>
      <c r="C80" s="1984"/>
      <c r="D80" s="1984"/>
      <c r="E80" s="2366"/>
      <c r="F80" s="2324" t="str">
        <f>+Novembre!F80</f>
        <v>Virement</v>
      </c>
      <c r="G80" s="2325"/>
      <c r="H80" s="2326"/>
      <c r="L80" s="1433"/>
      <c r="M80" s="1433"/>
      <c r="N80" s="1433"/>
      <c r="O80" s="1433"/>
      <c r="P80" s="1433"/>
      <c r="Q80" s="1435"/>
      <c r="R80" s="1435"/>
      <c r="S80" s="1435"/>
      <c r="T80" s="1435"/>
      <c r="V80" s="2076" t="s">
        <v>140</v>
      </c>
      <c r="W80" s="2077"/>
      <c r="X80" s="2077"/>
      <c r="Y80" s="2077"/>
      <c r="Z80" s="2077"/>
      <c r="AA80" s="2077"/>
      <c r="AB80" s="2077"/>
      <c r="AC80" s="2077"/>
      <c r="AD80" s="2077"/>
      <c r="AE80" s="2077"/>
      <c r="AF80" s="2078"/>
      <c r="AH80" s="2061" t="str">
        <f>+"Année préc. de 06/"&amp;Identification!B60-2001&amp;" à 05/"&amp;Identification!B60-2000</f>
        <v>Année préc. de 06/25 à 05/26</v>
      </c>
      <c r="AI80" s="2062"/>
      <c r="AJ80" s="2062"/>
      <c r="AK80" s="2063"/>
      <c r="AL80" s="2061" t="str">
        <f>+"Année en cours de 06/"&amp;Identification!B60-2000&amp;" à 05/"&amp;Identification!B60-1999</f>
        <v>Année en cours de 06/26 à 05/27</v>
      </c>
      <c r="AM80" s="2062"/>
      <c r="AN80" s="2062"/>
      <c r="AO80" s="2063"/>
      <c r="AP80" s="216"/>
      <c r="AQ80" s="326"/>
      <c r="AR80" s="216"/>
      <c r="AU80" s="129"/>
      <c r="AV80" s="129"/>
      <c r="AW80" s="129"/>
      <c r="AX80" s="913"/>
      <c r="AY80" s="913"/>
      <c r="AZ80" s="913"/>
      <c r="BA80" s="913"/>
      <c r="BB80" s="913"/>
      <c r="BC80" s="913"/>
      <c r="BD80" s="913"/>
      <c r="BE80" s="129"/>
      <c r="BF80" s="129"/>
      <c r="BG80" s="129"/>
      <c r="BH80" s="129"/>
      <c r="BI80" s="129"/>
      <c r="CA80" s="645" t="s">
        <v>1077</v>
      </c>
      <c r="CC80" s="1173">
        <f>IF(IF(AL14,HO16/(AL14*8),0)&gt;2.5,2.5,IF(AL14,HO16/(AL14*8),0))</f>
        <v>0</v>
      </c>
      <c r="CD80" s="196" t="s">
        <v>446</v>
      </c>
      <c r="CE80" s="196"/>
    </row>
    <row r="81" spans="1:82" ht="15.75" x14ac:dyDescent="0.25">
      <c r="A81" s="1984" t="s">
        <v>142</v>
      </c>
      <c r="B81" s="1984"/>
      <c r="C81" s="1984"/>
      <c r="D81" s="1984"/>
      <c r="E81" s="2366"/>
      <c r="F81" s="1933">
        <f>Q85</f>
        <v>0</v>
      </c>
      <c r="G81" s="1934"/>
      <c r="H81" s="1935"/>
      <c r="K81" s="129" t="s">
        <v>994</v>
      </c>
      <c r="M81" s="251"/>
      <c r="N81" s="226"/>
      <c r="O81" s="226"/>
      <c r="P81" s="226"/>
      <c r="V81" s="2079"/>
      <c r="W81" s="2080"/>
      <c r="X81" s="2080"/>
      <c r="Y81" s="2080"/>
      <c r="Z81" s="2080"/>
      <c r="AA81" s="2080"/>
      <c r="AB81" s="2080"/>
      <c r="AC81" s="2080"/>
      <c r="AD81" s="2080"/>
      <c r="AE81" s="2080"/>
      <c r="AF81" s="2081"/>
      <c r="AH81" s="2064"/>
      <c r="AI81" s="1771"/>
      <c r="AJ81" s="1771"/>
      <c r="AK81" s="2065"/>
      <c r="AL81" s="2064"/>
      <c r="AM81" s="1771"/>
      <c r="AN81" s="1771"/>
      <c r="AO81" s="2065"/>
      <c r="AP81" s="204"/>
      <c r="AQ81" s="2345"/>
      <c r="AR81" s="2346"/>
      <c r="AS81" s="2346"/>
      <c r="AT81" s="2057" t="str">
        <f>IFERROR(VLOOKUP(AY81,'Liste des Libellés'!$A$4:$F$32,6,FALSE),"")</f>
        <v/>
      </c>
      <c r="AU81" s="2058"/>
      <c r="AV81" s="2058"/>
      <c r="AW81" s="2058"/>
      <c r="AX81" s="917"/>
      <c r="AY81" s="1772" t="str">
        <f>+IF(AX82="",IF('Retenue Déc'!EH55=0,"",'Retenue Déc'!EH55),AX82)</f>
        <v/>
      </c>
      <c r="AZ81" s="1772"/>
      <c r="BA81" s="918" t="str">
        <f>+IF(BA82="",IF('Retenue Déc'!EF55=0,"",'Retenue Déc'!EF55),BA82)</f>
        <v/>
      </c>
      <c r="BB81" s="919"/>
      <c r="BC81" s="920" t="str">
        <f>IF(BC82="",IF(+'Retenue Déc'!EG55=0,"",'Retenue Déc'!EG55),BC82)</f>
        <v/>
      </c>
      <c r="BD81" s="952"/>
      <c r="BE81" s="129"/>
      <c r="BF81" s="129"/>
      <c r="BG81" s="129"/>
      <c r="BH81" s="129"/>
      <c r="BI81" s="129"/>
      <c r="BQ81" s="129" t="s">
        <v>70</v>
      </c>
      <c r="BZ81" s="230" t="e">
        <f>IF(AND(ROUNDUP((T19+T20+T22+T26)/(AL14*(1+N15)),Identification!B122)&gt;0,ROUNDUP((T19+T20+T22+T26)/(AL14*(1+N15)),Identification!B122)&lt;=1),ROUNDUP((T19+T20+T22+T26)/(AL14*(1+N15)),Identification!B122),ROUND((T19+T20+T22+T26)/(AL14*(1+N15)),Identification!B122))</f>
        <v>#DIV/0!</v>
      </c>
      <c r="CA81" s="646" t="s">
        <v>1079</v>
      </c>
      <c r="CB81" s="648" t="s">
        <v>1080</v>
      </c>
      <c r="CC81" s="1174">
        <f>MROUND(IF((CC82&lt;&gt;""),CC82,IF(AND(AL14,L30&gt;0),(T30+T27+T28)/(AL14*8),IF(AND(AL14,CC132="OUI",L32&gt;0),(T27+T28+T32)/(AL14*8),IF(AND(T30&gt;0,L30&lt;=0,DP8&lt;&gt;52,AE123="NON"),VLOOKUP(X3,Bddconge,7,FALSE),IF(AND(T30&gt;0,L30&lt;=0,DP8&lt;&gt;52,AE123="OUI"),(T30+T27+T28)/(AL14*8),IF(AND(T32&gt;0,L32&lt;=0,DP8&lt;&gt;52,CC132="OUI",DP23="non"),'Ind Comp. de CP A. Incomplète'!F41,IF(OR(AND(T32&gt;0,L32&lt;=0,DP8&lt;&gt;52,CC132="OUI",DP23="non"),(AND(T32&gt;0,L32&lt;=0,DP8=52,CC132="OUI"))),'Ind Comp. de  CP A. Complète'!F39+'Ind Comp. de  CP A. Complète'!F125,0))))))),0.5)</f>
        <v>0</v>
      </c>
      <c r="CD81" s="129" t="str">
        <f>+IF(CC132="OUI","Jrs congés complément / ICCP","Jrs congés complément")</f>
        <v>Jrs congés complément</v>
      </c>
    </row>
    <row r="82" spans="1:82" x14ac:dyDescent="0.2">
      <c r="A82" s="1984" t="s">
        <v>143</v>
      </c>
      <c r="B82" s="1984"/>
      <c r="C82" s="1984"/>
      <c r="D82" s="1984"/>
      <c r="E82" s="2366"/>
      <c r="F82" s="1928" t="s">
        <v>149</v>
      </c>
      <c r="G82" s="1929"/>
      <c r="H82" s="1930"/>
      <c r="K82" s="129" t="s">
        <v>993</v>
      </c>
      <c r="P82" s="1434"/>
      <c r="Q82" s="1436">
        <f>ROUND(+R88,2)</f>
        <v>0</v>
      </c>
      <c r="R82" s="1437"/>
      <c r="S82" s="1437"/>
      <c r="T82" s="1438"/>
      <c r="V82" s="2056"/>
      <c r="W82" s="2056"/>
      <c r="X82" s="2056"/>
      <c r="Y82" s="2056"/>
      <c r="AH82" s="2066"/>
      <c r="AI82" s="2067"/>
      <c r="AJ82" s="2067"/>
      <c r="AK82" s="2068"/>
      <c r="AL82" s="2066"/>
      <c r="AM82" s="2067"/>
      <c r="AN82" s="2067"/>
      <c r="AO82" s="2068"/>
      <c r="AP82" s="204"/>
      <c r="AQ82" s="317"/>
      <c r="AR82" s="204"/>
      <c r="AT82" s="921"/>
      <c r="AU82" s="922"/>
      <c r="AV82" s="922"/>
      <c r="AW82" s="923" t="s">
        <v>492</v>
      </c>
      <c r="AX82" s="1828"/>
      <c r="AY82" s="1828"/>
      <c r="AZ82" s="922"/>
      <c r="BA82" s="1130"/>
      <c r="BB82" s="924"/>
      <c r="BC82" s="1131"/>
      <c r="BD82" s="963"/>
      <c r="BE82" s="129"/>
      <c r="BF82" s="129"/>
      <c r="BG82" s="129"/>
      <c r="BH82" s="129"/>
      <c r="BI82" s="129"/>
      <c r="BQ82" s="2072" t="str">
        <f>"Détail du calcul : ("&amp;T19&amp;" € + "&amp;T20&amp;" € + "&amp;T22&amp;" € - "&amp;T26*-1&amp;" €) / "&amp;ROUND(AL14*(1+N15),4)&amp;" €"</f>
        <v>Détail du calcul : (0 € + 0 € + 0 € - 0 €) / 0 €</v>
      </c>
      <c r="BR82" s="2072"/>
      <c r="BS82" s="2072"/>
      <c r="BT82" s="2072"/>
      <c r="BU82" s="2072"/>
      <c r="BV82" s="2072"/>
      <c r="BW82" s="2072"/>
      <c r="BX82" s="2072"/>
      <c r="BY82" s="2072"/>
      <c r="BZ82" s="247"/>
      <c r="CB82" s="247"/>
      <c r="CC82" s="1121"/>
      <c r="CD82" s="129" t="s">
        <v>805</v>
      </c>
    </row>
    <row r="83" spans="1:82" ht="15.75" thickBot="1" x14ac:dyDescent="0.25">
      <c r="A83" s="1984" t="s">
        <v>144</v>
      </c>
      <c r="B83" s="1984"/>
      <c r="C83" s="1984"/>
      <c r="D83" s="1984"/>
      <c r="E83" s="2366"/>
      <c r="F83" s="1933"/>
      <c r="G83" s="1934"/>
      <c r="H83" s="1935"/>
      <c r="P83" s="1434"/>
      <c r="Q83" s="1436">
        <f>+ROUND(R89*-1,2)</f>
        <v>0</v>
      </c>
      <c r="R83" s="1437"/>
      <c r="S83" s="1437"/>
      <c r="T83" s="1438"/>
      <c r="V83" s="1963" t="str">
        <f>IF(DP8=52,"Nombre de mois travaillés avant:","Nombre de semaines travaillées avant")</f>
        <v>Nombre de semaines travaillées avant</v>
      </c>
      <c r="W83" s="1964"/>
      <c r="X83" s="1964"/>
      <c r="Y83" s="1964"/>
      <c r="Z83" s="1964"/>
      <c r="AA83" s="1964"/>
      <c r="AB83" s="1964"/>
      <c r="AC83" s="1964"/>
      <c r="AD83" s="1964"/>
      <c r="AE83" s="1964"/>
      <c r="AF83" s="1964"/>
      <c r="AG83" s="1965"/>
      <c r="AH83" s="2069">
        <f>+IF(DP8=52,EF16,EG16)</f>
        <v>0</v>
      </c>
      <c r="AI83" s="2070"/>
      <c r="AJ83" s="2070"/>
      <c r="AK83" s="2071"/>
      <c r="AL83" s="2069">
        <f>+IF(DP8=52,EH16,EI16)</f>
        <v>0</v>
      </c>
      <c r="AM83" s="2070"/>
      <c r="AN83" s="2070"/>
      <c r="AO83" s="2071"/>
      <c r="AP83" s="237"/>
      <c r="AQ83" s="323"/>
      <c r="AR83" s="237"/>
      <c r="AU83" s="129"/>
      <c r="AV83" s="129"/>
      <c r="AW83" s="129"/>
      <c r="AX83" s="913"/>
      <c r="AY83" s="913"/>
      <c r="AZ83" s="913"/>
      <c r="BA83" s="913"/>
      <c r="BB83" s="913"/>
      <c r="BC83" s="913"/>
      <c r="BD83" s="913"/>
      <c r="BE83" s="129"/>
      <c r="BF83" s="129"/>
      <c r="BG83" s="129"/>
      <c r="BH83" s="129"/>
      <c r="BI83" s="129"/>
      <c r="CB83" s="652" t="s">
        <v>1077</v>
      </c>
    </row>
    <row r="84" spans="1:82" ht="12.75" customHeight="1" x14ac:dyDescent="0.2">
      <c r="V84" s="2082" t="str">
        <f>IF(DP8=52,"Mois travaillé:","Semaines travaillées ce mois ci :")</f>
        <v>Semaines travaillées ce mois ci :</v>
      </c>
      <c r="W84" s="1993"/>
      <c r="X84" s="1993"/>
      <c r="Y84" s="1993"/>
      <c r="Z84" s="1993"/>
      <c r="AA84" s="1993"/>
      <c r="AB84" s="1993"/>
      <c r="AC84" s="1993"/>
      <c r="AD84" s="1993"/>
      <c r="AE84" s="1993"/>
      <c r="AF84" s="1993"/>
      <c r="AG84" s="1994"/>
      <c r="AH84" s="2073"/>
      <c r="AI84" s="2074"/>
      <c r="AJ84" s="2074"/>
      <c r="AK84" s="2075"/>
      <c r="AL84" s="2073">
        <f>+IF(DP8=52,EH17,EI17)</f>
        <v>0</v>
      </c>
      <c r="AM84" s="2074"/>
      <c r="AN84" s="2074"/>
      <c r="AO84" s="2075"/>
      <c r="AP84" s="237"/>
      <c r="AQ84" s="323"/>
      <c r="AR84" s="237"/>
      <c r="AT84" s="2057" t="str">
        <f>IFERROR(VLOOKUP(AY84,'Liste des Libellés'!$A$4:$F$32,6,FALSE),"")</f>
        <v/>
      </c>
      <c r="AU84" s="2058"/>
      <c r="AV84" s="2058"/>
      <c r="AW84" s="2058"/>
      <c r="AX84" s="917"/>
      <c r="AY84" s="1772" t="str">
        <f>+IF(AX85="",IF('Retenue Déc'!EH57=0,"",'Retenue Déc'!EH57),AX85)</f>
        <v/>
      </c>
      <c r="AZ84" s="1772"/>
      <c r="BA84" s="918" t="str">
        <f>+IF(BA85="",IF('Retenue Déc'!EF57=0,"",'Retenue Déc'!EF57),BA85)</f>
        <v/>
      </c>
      <c r="BB84" s="919"/>
      <c r="BC84" s="920" t="str">
        <f>IF(BC85="",IF(+'Retenue Déc'!EG57=0,"",'Retenue Déc'!EG57),BC85)</f>
        <v/>
      </c>
      <c r="BD84" s="952"/>
      <c r="BE84" s="129"/>
      <c r="BF84" s="129"/>
      <c r="BG84" s="129"/>
      <c r="BH84" s="129"/>
      <c r="BI84" s="129"/>
      <c r="BQ84" s="129" t="s">
        <v>72</v>
      </c>
      <c r="BZ84" s="230">
        <f>IF(AND(ROUNDUP(+L21,Identification!B123)&gt;0,ROUNDUP(+L21,Identification!B123)&lt;=1),ROUNDUP(+L21,Identification!B123),ROUND(+L21,Identification!B123))</f>
        <v>0</v>
      </c>
      <c r="CB84" s="2348" t="s">
        <v>1076</v>
      </c>
      <c r="CC84" s="248"/>
    </row>
    <row r="85" spans="1:82" ht="15" x14ac:dyDescent="0.2">
      <c r="I85" s="2309" t="s">
        <v>1472</v>
      </c>
      <c r="J85" s="2309"/>
      <c r="K85" s="2309"/>
      <c r="L85" s="2309"/>
      <c r="M85" s="2309"/>
      <c r="N85" s="2309"/>
      <c r="O85" s="2309"/>
      <c r="P85" s="2310"/>
      <c r="Q85" s="1841">
        <f>ROUND(+Q76+Q78+Q80,2)+Q82+Q83</f>
        <v>0</v>
      </c>
      <c r="R85" s="1842"/>
      <c r="S85" s="1842"/>
      <c r="T85" s="1843"/>
      <c r="V85" s="1963" t="s">
        <v>75</v>
      </c>
      <c r="W85" s="1964"/>
      <c r="X85" s="1964"/>
      <c r="Y85" s="1964"/>
      <c r="Z85" s="1964"/>
      <c r="AA85" s="1964"/>
      <c r="AB85" s="1964"/>
      <c r="AC85" s="1964"/>
      <c r="AD85" s="1964"/>
      <c r="AE85" s="1964"/>
      <c r="AF85" s="1964"/>
      <c r="AG85" s="1965"/>
      <c r="AH85" s="1808">
        <f>MIN(ROUNDUP(IF(DP8=52,EF18,EG18),2),30)</f>
        <v>0</v>
      </c>
      <c r="AI85" s="1809"/>
      <c r="AJ85" s="1809"/>
      <c r="AK85" s="1810"/>
      <c r="AL85" s="1808">
        <f>+IF(BY8="OUI",ROUNDUP(MIN(IF(DP8=52,EH18,EI18),30),2),MIN(IF(DP8=52,EH18,EI18),30))</f>
        <v>0</v>
      </c>
      <c r="AM85" s="1809"/>
      <c r="AN85" s="1809"/>
      <c r="AO85" s="1810"/>
      <c r="AP85" s="237"/>
      <c r="AQ85" s="323"/>
      <c r="AR85" s="1519" t="s">
        <v>1645</v>
      </c>
      <c r="AS85" s="228"/>
      <c r="AT85" s="921"/>
      <c r="AU85" s="922"/>
      <c r="AV85" s="922"/>
      <c r="AW85" s="923" t="s">
        <v>492</v>
      </c>
      <c r="AX85" s="1828"/>
      <c r="AY85" s="1828"/>
      <c r="AZ85" s="922"/>
      <c r="BA85" s="1130"/>
      <c r="BB85" s="924"/>
      <c r="BC85" s="1131"/>
      <c r="BD85" s="963"/>
      <c r="BE85" s="129"/>
      <c r="BF85" s="129"/>
      <c r="BG85" s="129"/>
      <c r="BH85" s="129"/>
      <c r="BI85" s="129"/>
      <c r="CB85" s="2349"/>
    </row>
    <row r="86" spans="1:82" ht="14.25" customHeight="1" thickBot="1" x14ac:dyDescent="0.25">
      <c r="A86" s="1827" t="s">
        <v>73</v>
      </c>
      <c r="B86" s="1827"/>
      <c r="C86" s="1827"/>
      <c r="D86" s="1827"/>
      <c r="E86" s="1827"/>
      <c r="F86" s="1932">
        <f>Novembre!F86</f>
        <v>0</v>
      </c>
      <c r="G86" s="1932"/>
      <c r="H86" s="1932"/>
      <c r="I86" s="1932"/>
      <c r="J86" s="1932"/>
      <c r="K86" s="1932"/>
      <c r="L86" s="1932"/>
      <c r="O86" s="1432"/>
      <c r="P86" s="1432"/>
      <c r="Q86" s="1432"/>
      <c r="R86" s="1432"/>
      <c r="S86" s="1432"/>
      <c r="T86" s="1432"/>
      <c r="V86" s="1799" t="s">
        <v>1632</v>
      </c>
      <c r="W86" s="1798"/>
      <c r="X86" s="1798"/>
      <c r="Y86" s="1798"/>
      <c r="Z86" s="1798"/>
      <c r="AA86" s="1798"/>
      <c r="AB86" s="1798"/>
      <c r="AC86" s="1798"/>
      <c r="AD86" s="1798"/>
      <c r="AE86" s="1798"/>
      <c r="AF86" s="1798"/>
      <c r="AG86" s="1800"/>
      <c r="AH86" s="1733">
        <f>IF(AR86="",Novembre!AH86,AR86)</f>
        <v>0</v>
      </c>
      <c r="AI86" s="1734"/>
      <c r="AJ86" s="1734"/>
      <c r="AK86" s="1735"/>
      <c r="AL86" s="1733">
        <f>IF(AS86="",IF(DP8=52,+EI29+Novembre!AL86,+EI25+Novembre!AL86),IF(DP8=52,+EI29+Novembre!AL86+AS86,+EI25+Novembre!AL86+AS86))</f>
        <v>0</v>
      </c>
      <c r="AM86" s="1734"/>
      <c r="AN86" s="1734"/>
      <c r="AO86" s="1735"/>
      <c r="AP86" s="237"/>
      <c r="AQ86" s="1549" t="s">
        <v>750</v>
      </c>
      <c r="AR86" s="1550"/>
      <c r="AS86" s="1550"/>
      <c r="AU86" s="129"/>
      <c r="AV86" s="129"/>
      <c r="AW86" s="129"/>
      <c r="AX86" s="129"/>
      <c r="AY86" s="129"/>
      <c r="AZ86" s="129"/>
      <c r="BA86" s="129"/>
      <c r="BB86" s="129"/>
      <c r="BC86" s="129"/>
      <c r="BD86" s="129"/>
      <c r="BE86" s="129"/>
      <c r="BF86" s="129"/>
      <c r="BG86" s="129"/>
      <c r="BH86" s="129"/>
      <c r="BI86" s="129"/>
      <c r="BQ86" s="129" t="str">
        <f>+IF(Identification!B125="Net","Salaire net total (hors indemnités) :",IF(Identification!B125="Brut","Salaire brut total (hors indemnités) :","Erreur"))</f>
        <v>Salaire net total (hors indemnités) :</v>
      </c>
      <c r="BZ86" s="249">
        <f>+IF(Identification!B125="Net",IF(OR(BZ118="Scénario 2",BZ118="Scénario 3"),DK25+(T32*BY4),+DK25),IF(Identification!B125="Brut",IF(OR(BZ118="Scénario 2",BZ118="Scénario 3"),DK25+(T32),+DK25),"Erreur"))</f>
        <v>0</v>
      </c>
      <c r="CB86" s="2350"/>
      <c r="CC86" s="250"/>
    </row>
    <row r="87" spans="1:82" x14ac:dyDescent="0.2">
      <c r="A87" s="1827" t="s">
        <v>74</v>
      </c>
      <c r="B87" s="1827"/>
      <c r="C87" s="1827"/>
      <c r="D87" s="1827"/>
      <c r="E87" s="1827"/>
      <c r="F87" s="1826">
        <f>EOMONTH(X3,0)</f>
        <v>46387</v>
      </c>
      <c r="G87" s="1826"/>
      <c r="H87" s="1826"/>
      <c r="I87" s="1826"/>
      <c r="K87" s="574"/>
      <c r="L87" s="574"/>
      <c r="M87" s="232"/>
      <c r="N87" s="232"/>
      <c r="O87" s="232"/>
      <c r="P87" s="232"/>
      <c r="Q87" s="232"/>
      <c r="R87" s="2371">
        <v>0</v>
      </c>
      <c r="S87" s="2371"/>
      <c r="T87" s="2371"/>
      <c r="V87" s="1799" t="s">
        <v>526</v>
      </c>
      <c r="W87" s="1798"/>
      <c r="X87" s="1798"/>
      <c r="Y87" s="1798"/>
      <c r="Z87" s="1798"/>
      <c r="AA87" s="1798"/>
      <c r="AB87" s="1798"/>
      <c r="AC87" s="1798"/>
      <c r="AD87" s="1798"/>
      <c r="AE87" s="1798"/>
      <c r="AF87" s="1798"/>
      <c r="AG87" s="1800"/>
      <c r="AH87" s="1733">
        <f>+Novembre!AH87</f>
        <v>0</v>
      </c>
      <c r="AI87" s="1734"/>
      <c r="AJ87" s="1734"/>
      <c r="AK87" s="1735"/>
      <c r="AL87" s="1733"/>
      <c r="AM87" s="1734"/>
      <c r="AN87" s="1734"/>
      <c r="AO87" s="1735"/>
      <c r="AP87" s="237"/>
      <c r="AQ87" s="323"/>
      <c r="AR87" s="237"/>
      <c r="AS87" s="1520"/>
    </row>
    <row r="88" spans="1:82" x14ac:dyDescent="0.2">
      <c r="A88" s="1827" t="s">
        <v>76</v>
      </c>
      <c r="B88" s="1827"/>
      <c r="C88" s="1827"/>
      <c r="D88" s="1827"/>
      <c r="E88" s="1827"/>
      <c r="K88" s="232"/>
      <c r="L88" s="232"/>
      <c r="M88" s="232"/>
      <c r="N88" s="232"/>
      <c r="O88" s="232"/>
      <c r="P88" s="232"/>
      <c r="Q88" s="232"/>
      <c r="R88" s="2370">
        <v>0</v>
      </c>
      <c r="S88" s="2370"/>
      <c r="T88" s="2370"/>
      <c r="V88" s="1799" t="s">
        <v>628</v>
      </c>
      <c r="W88" s="1798"/>
      <c r="X88" s="1798"/>
      <c r="Y88" s="1798"/>
      <c r="Z88" s="1798"/>
      <c r="AA88" s="1798"/>
      <c r="AB88" s="1798"/>
      <c r="AC88" s="1798"/>
      <c r="AD88" s="1798"/>
      <c r="AE88" s="1798"/>
      <c r="AF88" s="1798"/>
      <c r="AG88" s="1800"/>
      <c r="AH88" s="1808">
        <f>ROUNDUP(MIN(+AH87+AH85+AH86,30),0)</f>
        <v>0</v>
      </c>
      <c r="AI88" s="2070"/>
      <c r="AJ88" s="2070"/>
      <c r="AK88" s="2071"/>
      <c r="AL88" s="1808">
        <f>CEILING(MIN(+AL85+AL86,30),0.5)</f>
        <v>0</v>
      </c>
      <c r="AM88" s="2070"/>
      <c r="AN88" s="2070"/>
      <c r="AO88" s="2071"/>
      <c r="AP88" s="237"/>
      <c r="AQ88" s="323"/>
      <c r="AR88" s="237"/>
      <c r="BQ88" s="129" t="str">
        <f>+IF(Identification!B130="Oui","Indemnités d'entretien (+ Autres) :","Indemnités d'entretien")</f>
        <v>Indemnités d'entretien (+ Autres) :</v>
      </c>
      <c r="BZ88" s="249">
        <f>+IF(Identification!B130="Oui",N65+N66+N70,N65+N66)</f>
        <v>0</v>
      </c>
      <c r="CB88" s="250"/>
      <c r="CC88" s="250"/>
    </row>
    <row r="89" spans="1:82" x14ac:dyDescent="0.2">
      <c r="K89" s="232"/>
      <c r="L89" s="232"/>
      <c r="M89" s="232"/>
      <c r="N89" s="232"/>
      <c r="O89" s="232"/>
      <c r="P89" s="232"/>
      <c r="Q89" s="232"/>
      <c r="R89" s="2370">
        <v>0</v>
      </c>
      <c r="S89" s="2370"/>
      <c r="T89" s="2370"/>
      <c r="V89" s="1799" t="s">
        <v>1012</v>
      </c>
      <c r="W89" s="1798"/>
      <c r="X89" s="1798"/>
      <c r="Y89" s="1798"/>
      <c r="Z89" s="1798"/>
      <c r="AA89" s="1798"/>
      <c r="AB89" s="1798"/>
      <c r="AC89" s="1798"/>
      <c r="AD89" s="1798"/>
      <c r="AE89" s="1798"/>
      <c r="AF89" s="1798"/>
      <c r="AG89" s="1800"/>
      <c r="AH89" s="1733">
        <f>+Novembre!AH89+Novembre!AH90</f>
        <v>0</v>
      </c>
      <c r="AI89" s="1734"/>
      <c r="AJ89" s="1734"/>
      <c r="AK89" s="1735"/>
      <c r="AL89" s="1733">
        <f>+Novembre!AL89+Novembre!AL90</f>
        <v>0</v>
      </c>
      <c r="AM89" s="1734"/>
      <c r="AN89" s="1734"/>
      <c r="AO89" s="1735"/>
      <c r="AP89" s="237"/>
      <c r="AQ89" s="323"/>
      <c r="AR89" s="237"/>
      <c r="AZ89" s="215" t="s">
        <v>1664</v>
      </c>
      <c r="BA89" s="943" t="s">
        <v>1665</v>
      </c>
      <c r="BZ89" s="236"/>
      <c r="CB89" s="236"/>
      <c r="CC89" s="236"/>
    </row>
    <row r="90" spans="1:82" x14ac:dyDescent="0.2">
      <c r="K90" s="2367"/>
      <c r="L90" s="2367"/>
      <c r="M90" s="2367"/>
      <c r="N90" s="2367"/>
      <c r="O90" s="2367"/>
      <c r="P90" s="2367"/>
      <c r="Q90" s="2367"/>
      <c r="R90" s="2371">
        <v>0</v>
      </c>
      <c r="S90" s="2371"/>
      <c r="T90" s="2371"/>
      <c r="V90" s="1799" t="s">
        <v>1013</v>
      </c>
      <c r="W90" s="1798"/>
      <c r="X90" s="1798"/>
      <c r="Y90" s="1798"/>
      <c r="Z90" s="1798"/>
      <c r="AA90" s="1798"/>
      <c r="AB90" s="1798"/>
      <c r="AC90" s="1798"/>
      <c r="AD90" s="1798"/>
      <c r="AE90" s="1798"/>
      <c r="AF90" s="1798"/>
      <c r="AG90" s="1800"/>
      <c r="AH90" s="1733">
        <f>IF(AZ90&lt;&gt;"",AZ90,IF($AR$13=S.CAL!$CU$3,FD51,DK51))</f>
        <v>0</v>
      </c>
      <c r="AI90" s="1734"/>
      <c r="AJ90" s="1734"/>
      <c r="AK90" s="1735"/>
      <c r="AL90" s="1733">
        <f>IF(BA90&lt;&gt;"",BA90,IF($AR$13=S.CAL!$CU$3,FD56,DK52))</f>
        <v>0</v>
      </c>
      <c r="AM90" s="1734"/>
      <c r="AN90" s="1734"/>
      <c r="AO90" s="1735"/>
      <c r="AP90" s="237"/>
      <c r="AQ90" s="323"/>
      <c r="AR90" s="1006" t="s">
        <v>1398</v>
      </c>
      <c r="AU90" s="853"/>
      <c r="AV90" s="1004"/>
      <c r="AW90" s="1004"/>
      <c r="AX90" s="1004"/>
      <c r="AY90" s="895" t="s">
        <v>668</v>
      </c>
      <c r="AZ90" s="1542"/>
      <c r="BA90" s="1542"/>
      <c r="BQ90" s="129" t="s">
        <v>79</v>
      </c>
      <c r="BZ90" s="249">
        <f>+N67+N68</f>
        <v>0</v>
      </c>
    </row>
    <row r="91" spans="1:82" x14ac:dyDescent="0.2">
      <c r="A91" s="1039" t="s">
        <v>1437</v>
      </c>
      <c r="B91" s="1040"/>
      <c r="T91" s="562"/>
      <c r="V91" s="1799" t="str">
        <f>+IF(T32&gt;0,"Solde des jours ICCP","")</f>
        <v/>
      </c>
      <c r="W91" s="1798"/>
      <c r="X91" s="1798"/>
      <c r="Y91" s="1798"/>
      <c r="Z91" s="1798"/>
      <c r="AA91" s="1798"/>
      <c r="AB91" s="1798"/>
      <c r="AC91" s="1798"/>
      <c r="AD91" s="1798"/>
      <c r="AE91" s="1798"/>
      <c r="AF91" s="1798"/>
      <c r="AG91" s="1800"/>
      <c r="AH91" s="1733">
        <f>IF(AND(T32&gt;0,AR91=""),AH88-AH89-AH90,AR91)</f>
        <v>0</v>
      </c>
      <c r="AI91" s="1734"/>
      <c r="AJ91" s="1734"/>
      <c r="AK91" s="1735"/>
      <c r="AL91" s="1733">
        <f>IF(AND(T32&gt;0,AS91=""),AL88-AL89-AL90,AS91)</f>
        <v>0</v>
      </c>
      <c r="AM91" s="1734"/>
      <c r="AN91" s="1734"/>
      <c r="AO91" s="1735"/>
      <c r="AP91" s="237"/>
      <c r="AQ91" s="420" t="s">
        <v>750</v>
      </c>
      <c r="AR91" s="1141"/>
      <c r="AS91" s="1141"/>
      <c r="CB91" s="250"/>
      <c r="CC91" s="250"/>
    </row>
    <row r="92" spans="1:82" x14ac:dyDescent="0.2">
      <c r="A92" s="1039" t="s">
        <v>1438</v>
      </c>
      <c r="B92" s="1040"/>
      <c r="V92" s="1801" t="s">
        <v>78</v>
      </c>
      <c r="W92" s="1802"/>
      <c r="X92" s="1802"/>
      <c r="Y92" s="1802"/>
      <c r="Z92" s="1802"/>
      <c r="AA92" s="1802"/>
      <c r="AB92" s="1802"/>
      <c r="AC92" s="1802"/>
      <c r="AD92" s="1802"/>
      <c r="AE92" s="1802"/>
      <c r="AF92" s="1802"/>
      <c r="AG92" s="1803"/>
      <c r="AH92" s="1833">
        <f>+AH88-AH89-AH90-AH91</f>
        <v>0</v>
      </c>
      <c r="AI92" s="1834"/>
      <c r="AJ92" s="1834"/>
      <c r="AK92" s="1835"/>
      <c r="AL92" s="1833">
        <f>+AL88-AL89-AL90-AL91</f>
        <v>0</v>
      </c>
      <c r="AM92" s="1834"/>
      <c r="AN92" s="1834"/>
      <c r="AO92" s="1835"/>
      <c r="AP92" s="237"/>
      <c r="AQ92" s="323"/>
      <c r="AR92" s="422" t="s">
        <v>1034</v>
      </c>
      <c r="BQ92" s="129" t="s">
        <v>80</v>
      </c>
      <c r="BZ92" s="249">
        <f>+N69</f>
        <v>0</v>
      </c>
    </row>
    <row r="93" spans="1:82" x14ac:dyDescent="0.2">
      <c r="B93"/>
      <c r="C93"/>
      <c r="D93"/>
      <c r="E93"/>
      <c r="F93"/>
      <c r="G93"/>
      <c r="H93"/>
      <c r="I93"/>
      <c r="J93"/>
      <c r="K93"/>
      <c r="L93"/>
      <c r="M93"/>
      <c r="N93"/>
      <c r="O93"/>
      <c r="P93"/>
      <c r="Q93"/>
      <c r="R93"/>
      <c r="S93"/>
      <c r="T93"/>
      <c r="U93"/>
      <c r="V93" s="1804" t="s">
        <v>527</v>
      </c>
      <c r="W93" s="1805"/>
      <c r="X93" s="1805"/>
      <c r="Y93" s="1805"/>
      <c r="Z93" s="1805"/>
      <c r="AA93" s="1805"/>
      <c r="AB93" s="1805"/>
      <c r="AC93" s="1805"/>
      <c r="AD93" s="1805"/>
      <c r="AE93" s="1805"/>
      <c r="AF93" s="1805"/>
      <c r="AG93" s="1806"/>
      <c r="AH93" s="1936">
        <f>IF(AR93="",+Novembre!AH93-COUNTIF(AD20:AF50,'Liste des Libellés'!A18),AR93)</f>
        <v>0</v>
      </c>
      <c r="AI93" s="1937"/>
      <c r="AJ93" s="1937"/>
      <c r="AK93" s="1938"/>
      <c r="AL93" s="1936"/>
      <c r="AM93" s="1937"/>
      <c r="AN93" s="1937"/>
      <c r="AO93" s="1938"/>
      <c r="AP93" s="1008"/>
      <c r="AQ93" s="1007" t="s">
        <v>750</v>
      </c>
      <c r="AR93" s="1140"/>
      <c r="BZ93" s="250"/>
      <c r="CB93" s="250"/>
      <c r="CC93" s="250"/>
    </row>
    <row r="94" spans="1:82" x14ac:dyDescent="0.2">
      <c r="A94" s="204"/>
      <c r="B94" s="204"/>
      <c r="C94" s="204"/>
      <c r="D94" s="204"/>
      <c r="E94" s="204"/>
      <c r="F94" s="204"/>
      <c r="G94" s="204"/>
      <c r="H94" s="204"/>
      <c r="I94" s="204"/>
      <c r="J94" s="204"/>
      <c r="K94" s="204"/>
      <c r="L94" s="204"/>
      <c r="M94" s="204"/>
      <c r="N94" s="204"/>
      <c r="O94" s="204"/>
      <c r="P94" s="204"/>
      <c r="Q94" s="204"/>
      <c r="R94" s="204"/>
      <c r="S94" s="204"/>
      <c r="T94" s="204"/>
      <c r="U94" s="204"/>
      <c r="V94"/>
      <c r="W94"/>
      <c r="X94"/>
      <c r="Y94"/>
      <c r="Z94"/>
      <c r="AA94"/>
      <c r="AB94"/>
      <c r="AC94"/>
      <c r="AD94"/>
      <c r="AE94"/>
      <c r="AF94"/>
      <c r="AG94"/>
      <c r="AH94"/>
      <c r="AI94"/>
      <c r="AJ94"/>
      <c r="AK94"/>
      <c r="AL94"/>
      <c r="AM94"/>
      <c r="AN94"/>
      <c r="AO94"/>
      <c r="AP94" s="1009"/>
      <c r="AU94" s="1032" t="s">
        <v>908</v>
      </c>
      <c r="AW94" s="1032"/>
      <c r="AX94" s="1032"/>
      <c r="AY94" s="1032"/>
      <c r="BQ94" s="129" t="s">
        <v>1010</v>
      </c>
      <c r="BZ94" s="249">
        <f>+IF(Identification!B125="Net",IF(BZ118="Scénario 3",0,+T32*BY4),IF(Identification!B125="Brut",IF(BZ118="Scénario 3",0,+T32),"Erreur"))</f>
        <v>0</v>
      </c>
    </row>
    <row r="95" spans="1:82" x14ac:dyDescent="0.2">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1009"/>
      <c r="AQ95" s="1522"/>
      <c r="AR95" s="196"/>
      <c r="AV95" s="1926"/>
      <c r="AW95" s="1926"/>
      <c r="AX95" s="1926"/>
      <c r="AY95" s="1926"/>
      <c r="BZ95" s="250"/>
      <c r="CB95" s="250"/>
      <c r="CC95" s="250"/>
    </row>
    <row r="96" spans="1:82" x14ac:dyDescent="0.2">
      <c r="R96" s="204"/>
      <c r="S96" s="204"/>
      <c r="T96" s="204"/>
      <c r="U96" s="204"/>
      <c r="V96" s="204"/>
      <c r="W96" s="204"/>
      <c r="X96" s="204"/>
      <c r="Y96" s="204"/>
      <c r="Z96" s="204"/>
      <c r="AB96" s="204"/>
      <c r="AC96" s="204"/>
      <c r="AD96" s="204"/>
      <c r="AE96" s="204"/>
      <c r="AF96" s="204"/>
      <c r="AG96" s="204"/>
      <c r="AH96" s="204"/>
      <c r="AP96" s="1009"/>
      <c r="BQ96" s="129" t="s">
        <v>467</v>
      </c>
      <c r="BZ96" s="249">
        <f>+IF(Identification!B125="Net",T33*BY4,IF(Identification!B125="Brut",T33,"Erreur"))</f>
        <v>0</v>
      </c>
    </row>
    <row r="97" spans="2:87" x14ac:dyDescent="0.2">
      <c r="AA97" s="204"/>
      <c r="AP97" s="1009"/>
      <c r="AT97" s="129"/>
      <c r="AU97" s="855" t="s">
        <v>1195</v>
      </c>
      <c r="AV97" s="129"/>
      <c r="AW97" s="129"/>
      <c r="AX97" s="129"/>
      <c r="BZ97" s="250"/>
    </row>
    <row r="98" spans="2:87" x14ac:dyDescent="0.2">
      <c r="C98" s="1798" t="s">
        <v>651</v>
      </c>
      <c r="D98" s="1798"/>
      <c r="E98" s="1798"/>
      <c r="F98" s="1798"/>
      <c r="G98" s="1798"/>
      <c r="H98" s="1798"/>
      <c r="I98" s="1798"/>
      <c r="J98" s="1798"/>
      <c r="K98" s="1798"/>
      <c r="L98" s="1798"/>
      <c r="M98" s="1798"/>
      <c r="N98" s="1798"/>
      <c r="O98" s="1798"/>
      <c r="AT98" s="129"/>
      <c r="AU98" s="131" t="str">
        <f>+IF(AND(R88&gt;0,AR129=""),"Avances versées ce mois en net :","")</f>
        <v/>
      </c>
      <c r="AV98" s="129"/>
      <c r="AW98" s="129"/>
      <c r="AX98" s="129"/>
      <c r="BQ98" s="129" t="s">
        <v>468</v>
      </c>
      <c r="BZ98" s="249">
        <f>+IF(Identification!B125="Net",IF(B34="Prime de précarité 10% (CDD)",T34*BY4,0),IF(Identification!B125="Brut",IF(B34="Prime de précarité 10% (CDD)",T34,0),"Erreur"))</f>
        <v>0</v>
      </c>
    </row>
    <row r="99" spans="2:87" x14ac:dyDescent="0.2">
      <c r="C99" s="129" t="s">
        <v>690</v>
      </c>
      <c r="D99" s="2368">
        <f>+DATE(YEAR(X3),5,31)</f>
        <v>46173</v>
      </c>
      <c r="E99" s="2368"/>
      <c r="F99" s="2368"/>
      <c r="G99" s="2369">
        <f>+Novembre!G99</f>
        <v>0</v>
      </c>
      <c r="H99" s="2411"/>
      <c r="I99" s="2412"/>
      <c r="AT99" s="129" t="str">
        <f>IF(AND(R88&gt;0,AR129=""),"( "&amp;T18&amp;" + "&amp;T19&amp;" + "&amp;T20&amp;" + "&amp;T21&amp;" + "&amp;T22&amp;" - "&amp;T25*-1&amp;" - "&amp;T26*-1&amp;" + "&amp;T29&amp;" + "&amp;T31&amp;" ) X "&amp;BY4&amp;" X 10%","")</f>
        <v/>
      </c>
      <c r="AU99" s="129"/>
      <c r="AV99" s="129"/>
      <c r="AW99" s="129"/>
      <c r="AX99" s="129"/>
    </row>
    <row r="100" spans="2:87" ht="12.75" customHeight="1" x14ac:dyDescent="0.2">
      <c r="F100" s="131" t="s">
        <v>701</v>
      </c>
      <c r="G100" s="2311">
        <f>+Novembre!G100</f>
        <v>0</v>
      </c>
      <c r="H100" s="2312"/>
      <c r="I100" s="2313"/>
      <c r="L100" s="131"/>
      <c r="M100" s="353"/>
      <c r="N100" s="353"/>
      <c r="O100" s="353"/>
      <c r="P100" s="204"/>
      <c r="Q100" s="204"/>
      <c r="AT100" s="129"/>
      <c r="AU100" s="129"/>
      <c r="AV100" s="129"/>
      <c r="AW100" s="129"/>
      <c r="AX100" s="129"/>
      <c r="BQ100" s="129" t="s">
        <v>81</v>
      </c>
      <c r="BZ100" s="249">
        <f>+N71</f>
        <v>0</v>
      </c>
    </row>
    <row r="101" spans="2:87" ht="12.75" customHeight="1" x14ac:dyDescent="0.2">
      <c r="R101" s="204"/>
      <c r="S101" s="204"/>
      <c r="T101" s="204"/>
      <c r="U101" s="204"/>
      <c r="V101" s="204"/>
      <c r="W101" s="204"/>
      <c r="X101" s="204"/>
      <c r="Y101" s="204"/>
      <c r="Z101" s="204"/>
      <c r="AB101" s="204"/>
      <c r="AC101" s="204"/>
      <c r="AD101" s="204"/>
      <c r="AE101" s="204"/>
      <c r="AF101" s="204"/>
      <c r="AG101" s="204"/>
      <c r="AH101" s="204"/>
      <c r="AT101" s="129"/>
      <c r="AU101" s="129"/>
      <c r="AV101" s="129"/>
      <c r="AW101" s="129"/>
      <c r="AX101" s="129"/>
    </row>
    <row r="102" spans="2:87" ht="12.75" customHeight="1" x14ac:dyDescent="0.2">
      <c r="S102" s="2271" t="s">
        <v>1077</v>
      </c>
      <c r="T102" s="2271"/>
      <c r="AT102" s="129"/>
      <c r="AU102" s="129"/>
      <c r="AV102" s="129"/>
      <c r="AW102" s="129"/>
      <c r="AX102" s="129"/>
      <c r="AZ102" s="897"/>
      <c r="BA102" s="1798" t="s">
        <v>1634</v>
      </c>
      <c r="BB102" s="1798"/>
      <c r="BC102" s="1798"/>
      <c r="BD102" s="1798"/>
      <c r="BE102" s="1798"/>
      <c r="BF102" s="1798"/>
      <c r="BG102" s="1798"/>
      <c r="BH102" s="1798"/>
      <c r="BQ102" s="196" t="s">
        <v>469</v>
      </c>
      <c r="BR102" s="196"/>
      <c r="BS102" s="196"/>
      <c r="BT102" s="196"/>
      <c r="BU102" s="196"/>
      <c r="BV102" s="196"/>
      <c r="BW102" s="196"/>
      <c r="BX102" s="196"/>
      <c r="BY102" s="196"/>
      <c r="BZ102" s="1018">
        <f>+IF(Identification!B125="Net",IF(B34="Indemnité départ volontaire à la retraite",T34*BY4,0),IF(Identification!B125="Brut",IF(B34="Indemnité départ volontaire à la retraite",T34,0),"Erreur"))</f>
        <v>0</v>
      </c>
    </row>
    <row r="103" spans="2:87" ht="12.75" customHeight="1" thickBot="1" x14ac:dyDescent="0.25">
      <c r="S103" s="2272"/>
      <c r="T103" s="2272"/>
      <c r="AT103" s="129"/>
      <c r="AU103" s="129"/>
      <c r="AV103" s="129"/>
      <c r="AW103" s="129"/>
      <c r="AX103" s="129"/>
      <c r="AZ103" s="897"/>
      <c r="BA103" s="1447"/>
      <c r="BB103" s="897"/>
      <c r="BC103" s="232"/>
      <c r="BD103" s="232"/>
      <c r="BE103" s="232"/>
    </row>
    <row r="104" spans="2:87" ht="12.75" customHeight="1" x14ac:dyDescent="0.2">
      <c r="B104" s="1816" t="s">
        <v>1075</v>
      </c>
      <c r="C104" s="1817"/>
      <c r="D104" s="1817"/>
      <c r="E104" s="1817"/>
      <c r="F104" s="1817"/>
      <c r="G104" s="1817"/>
      <c r="H104" s="1817"/>
      <c r="I104" s="1817"/>
      <c r="J104" s="1817"/>
      <c r="K104" s="1817"/>
      <c r="L104" s="1817"/>
      <c r="M104" s="1817"/>
      <c r="N104" s="1817"/>
      <c r="O104" s="1817"/>
      <c r="P104" s="1817"/>
      <c r="Q104" s="1817"/>
      <c r="R104" s="1817"/>
      <c r="S104" s="1817"/>
      <c r="T104" s="1817"/>
      <c r="U104" s="1817"/>
      <c r="V104" s="1817"/>
      <c r="W104" s="1817"/>
      <c r="X104" s="1817"/>
      <c r="Y104" s="1817"/>
      <c r="Z104" s="1817"/>
      <c r="AA104" s="1817"/>
      <c r="AB104" s="1817"/>
      <c r="AC104" s="1817"/>
      <c r="AD104" s="1817"/>
      <c r="AE104" s="1817"/>
      <c r="AF104" s="1817"/>
      <c r="AG104" s="1817"/>
      <c r="AH104" s="1817"/>
      <c r="AI104" s="1817"/>
      <c r="AJ104" s="1817"/>
      <c r="AK104" s="1817"/>
      <c r="AL104" s="1817"/>
      <c r="AM104" s="1817"/>
      <c r="AN104" s="1817"/>
      <c r="AO104" s="1818"/>
      <c r="AT104" s="129"/>
      <c r="AU104" s="129"/>
      <c r="AV104" s="129"/>
      <c r="AW104" s="129"/>
      <c r="AX104" s="129"/>
      <c r="AZ104" s="897"/>
      <c r="BA104" s="1792" t="s">
        <v>1562</v>
      </c>
      <c r="BB104" s="1792" t="s">
        <v>1563</v>
      </c>
      <c r="BC104" s="1793"/>
      <c r="BD104" s="1796" t="s">
        <v>1564</v>
      </c>
      <c r="BE104" s="1793" t="s">
        <v>1565</v>
      </c>
      <c r="BF104" s="1470" t="s">
        <v>659</v>
      </c>
      <c r="BG104" s="1471"/>
      <c r="BH104" s="1476" t="s">
        <v>659</v>
      </c>
    </row>
    <row r="105" spans="2:87" ht="12.75" customHeight="1" x14ac:dyDescent="0.2">
      <c r="B105" s="1819"/>
      <c r="C105" s="1820"/>
      <c r="D105" s="1820"/>
      <c r="E105" s="1820"/>
      <c r="F105" s="1820"/>
      <c r="G105" s="1820"/>
      <c r="H105" s="1820"/>
      <c r="I105" s="1820"/>
      <c r="J105" s="1820"/>
      <c r="K105" s="1820"/>
      <c r="L105" s="1820"/>
      <c r="M105" s="1820"/>
      <c r="N105" s="1820"/>
      <c r="O105" s="1820"/>
      <c r="P105" s="1820"/>
      <c r="Q105" s="1820"/>
      <c r="R105" s="1820"/>
      <c r="S105" s="1820"/>
      <c r="T105" s="1820"/>
      <c r="U105" s="1820"/>
      <c r="V105" s="1820"/>
      <c r="W105" s="1820"/>
      <c r="X105" s="1820"/>
      <c r="Y105" s="1820"/>
      <c r="Z105" s="1820"/>
      <c r="AA105" s="1820"/>
      <c r="AB105" s="1820"/>
      <c r="AC105" s="1820"/>
      <c r="AD105" s="1820"/>
      <c r="AE105" s="1820"/>
      <c r="AF105" s="1820"/>
      <c r="AG105" s="1820"/>
      <c r="AH105" s="1820"/>
      <c r="AI105" s="1820"/>
      <c r="AJ105" s="1820"/>
      <c r="AK105" s="1820"/>
      <c r="AL105" s="1820"/>
      <c r="AM105" s="1820"/>
      <c r="AN105" s="1820"/>
      <c r="AO105" s="1821"/>
      <c r="AT105" s="129"/>
      <c r="AU105" s="129"/>
      <c r="AV105" s="129"/>
      <c r="AW105" s="129"/>
      <c r="AX105" s="129"/>
      <c r="AZ105" s="1447"/>
      <c r="BA105" s="1794"/>
      <c r="BB105" s="1794"/>
      <c r="BC105" s="1795"/>
      <c r="BD105" s="1797"/>
      <c r="BE105" s="1795"/>
      <c r="BF105" s="1472" t="s">
        <v>1568</v>
      </c>
      <c r="BG105" s="1473" t="s">
        <v>1564</v>
      </c>
      <c r="BH105" s="1474"/>
    </row>
    <row r="106" spans="2:87" ht="12.75" customHeight="1" x14ac:dyDescent="0.2">
      <c r="B106" s="1819"/>
      <c r="C106" s="1820"/>
      <c r="D106" s="1820"/>
      <c r="E106" s="1820"/>
      <c r="F106" s="1820"/>
      <c r="G106" s="1820"/>
      <c r="H106" s="1820"/>
      <c r="I106" s="1820"/>
      <c r="J106" s="1820"/>
      <c r="K106" s="1820"/>
      <c r="L106" s="1820"/>
      <c r="M106" s="1820"/>
      <c r="N106" s="1820"/>
      <c r="O106" s="1820"/>
      <c r="P106" s="1820"/>
      <c r="Q106" s="1820"/>
      <c r="R106" s="1820"/>
      <c r="S106" s="1820"/>
      <c r="T106" s="1820"/>
      <c r="U106" s="1820"/>
      <c r="V106" s="1820"/>
      <c r="W106" s="1820"/>
      <c r="X106" s="1820"/>
      <c r="Y106" s="1820"/>
      <c r="Z106" s="1820"/>
      <c r="AA106" s="1820"/>
      <c r="AB106" s="1820"/>
      <c r="AC106" s="1820"/>
      <c r="AD106" s="1820"/>
      <c r="AE106" s="1820"/>
      <c r="AF106" s="1820"/>
      <c r="AG106" s="1820"/>
      <c r="AH106" s="1820"/>
      <c r="AI106" s="1820"/>
      <c r="AJ106" s="1820"/>
      <c r="AK106" s="1820"/>
      <c r="AL106" s="1820"/>
      <c r="AM106" s="1820"/>
      <c r="AN106" s="1820"/>
      <c r="AO106" s="1821"/>
      <c r="AT106" s="129"/>
      <c r="AU106" s="129"/>
      <c r="AV106" s="129"/>
      <c r="AW106" s="129"/>
      <c r="AX106" s="129"/>
      <c r="AZ106" s="1447"/>
      <c r="BA106" s="1448"/>
      <c r="BB106" s="897"/>
      <c r="BC106" s="1448"/>
      <c r="BD106" s="1448"/>
      <c r="BE106" s="1448"/>
      <c r="BF106" s="315"/>
      <c r="BG106" s="315"/>
      <c r="BH106" s="315"/>
    </row>
    <row r="107" spans="2:87" ht="12.75" customHeight="1" x14ac:dyDescent="0.2">
      <c r="B107" s="1819"/>
      <c r="C107" s="1820"/>
      <c r="D107" s="1820"/>
      <c r="E107" s="1820"/>
      <c r="F107" s="1820"/>
      <c r="G107" s="1820"/>
      <c r="H107" s="1820"/>
      <c r="I107" s="1820"/>
      <c r="J107" s="1820"/>
      <c r="K107" s="1820"/>
      <c r="L107" s="1820"/>
      <c r="M107" s="1820"/>
      <c r="N107" s="1820"/>
      <c r="O107" s="1820"/>
      <c r="P107" s="1820"/>
      <c r="Q107" s="1820"/>
      <c r="R107" s="1820"/>
      <c r="S107" s="1820"/>
      <c r="T107" s="1820"/>
      <c r="U107" s="1820"/>
      <c r="V107" s="1820"/>
      <c r="W107" s="1820"/>
      <c r="X107" s="1820"/>
      <c r="Y107" s="1820"/>
      <c r="Z107" s="1820"/>
      <c r="AA107" s="1820"/>
      <c r="AB107" s="1820"/>
      <c r="AC107" s="1820"/>
      <c r="AD107" s="1820"/>
      <c r="AE107" s="1820"/>
      <c r="AF107" s="1820"/>
      <c r="AG107" s="1820"/>
      <c r="AH107" s="1820"/>
      <c r="AI107" s="1820"/>
      <c r="AJ107" s="1820"/>
      <c r="AK107" s="1820"/>
      <c r="AL107" s="1820"/>
      <c r="AM107" s="1820"/>
      <c r="AN107" s="1820"/>
      <c r="AO107" s="1821"/>
      <c r="AT107" s="129"/>
      <c r="AU107" s="129"/>
      <c r="AV107" s="129"/>
      <c r="AW107" s="129"/>
      <c r="AX107" s="129"/>
      <c r="AZ107" s="1449" t="str">
        <f>+$BG$9</f>
        <v>492026</v>
      </c>
      <c r="BA107" s="1450">
        <f>+$AT$4</f>
        <v>49</v>
      </c>
      <c r="BB107" s="1451"/>
      <c r="BC107" s="1452">
        <f>+IF(BF107&gt;0,BF107,+COUNTIFS($GF$20:$GF$50,"&gt;0",$GB$20:$GB$50,AZ107)+IF($DP$8&lt;52,+COUNTIFS($GH$20:$GH$50,"&gt;0",$GB$20:$GB$50,AZ107)))</f>
        <v>0</v>
      </c>
      <c r="BD107" s="1453">
        <f>IF(BH107&gt;0,BH107,+COUNTIFS(S.CAL!$FX$3:$FX$374,"&gt;0",S.CAL!$FW$3:$FW$374,AZ107))</f>
        <v>0</v>
      </c>
      <c r="BE107" s="1454">
        <f>IFERROR(ROUND(+BC107/BD107,2),0)</f>
        <v>0</v>
      </c>
      <c r="BF107" s="1477"/>
      <c r="BG107" s="1468"/>
      <c r="BH107" s="1477"/>
    </row>
    <row r="108" spans="2:87" ht="12.75" customHeight="1" x14ac:dyDescent="0.2">
      <c r="B108" s="1819"/>
      <c r="C108" s="1820"/>
      <c r="D108" s="1820"/>
      <c r="E108" s="1820"/>
      <c r="F108" s="1820"/>
      <c r="G108" s="1820"/>
      <c r="H108" s="1820"/>
      <c r="I108" s="1820"/>
      <c r="J108" s="1820"/>
      <c r="K108" s="1820"/>
      <c r="L108" s="1820"/>
      <c r="M108" s="1820"/>
      <c r="N108" s="1820"/>
      <c r="O108" s="1820"/>
      <c r="P108" s="1820"/>
      <c r="Q108" s="1820"/>
      <c r="R108" s="1820"/>
      <c r="S108" s="1820"/>
      <c r="T108" s="1820"/>
      <c r="U108" s="1820"/>
      <c r="V108" s="1820"/>
      <c r="W108" s="1820"/>
      <c r="X108" s="1820"/>
      <c r="Y108" s="1820"/>
      <c r="Z108" s="1820"/>
      <c r="AA108" s="1820"/>
      <c r="AB108" s="1820"/>
      <c r="AC108" s="1820"/>
      <c r="AD108" s="1820"/>
      <c r="AE108" s="1820"/>
      <c r="AF108" s="1820"/>
      <c r="AG108" s="1820"/>
      <c r="AH108" s="1820"/>
      <c r="AI108" s="1820"/>
      <c r="AJ108" s="1820"/>
      <c r="AK108" s="1820"/>
      <c r="AL108" s="1820"/>
      <c r="AM108" s="1820"/>
      <c r="AN108" s="1820"/>
      <c r="AO108" s="1821"/>
      <c r="AZ108" s="1449" t="str">
        <f>+$BG$10</f>
        <v>502026</v>
      </c>
      <c r="BA108" s="1455">
        <f>+$AT$5</f>
        <v>50</v>
      </c>
      <c r="BB108" s="1456"/>
      <c r="BC108" s="1457">
        <f>+IF(BF108&gt;0,BF108,COUNTIFS($GF$20:$GF$50,"&gt;0",$GB$20:$GB$50,AZ108)+IF($DP$8&lt;52,+COUNTIFS($GH$20:$GH$50,"&gt;0",$GB$20:$GB$50,AZ108)))</f>
        <v>0</v>
      </c>
      <c r="BD108" s="1458">
        <f>IF(BH108&gt;0,BH108,COUNTIFS(S.CAL!$FX$3:$FX$374,"&gt;0",S.CAL!$FW$3:$FW$374,AZ108))</f>
        <v>0</v>
      </c>
      <c r="BE108" s="1459">
        <f t="shared" ref="BE108:BE112" si="80">IFERROR(ROUND(+BC108/BD108,2),0)</f>
        <v>0</v>
      </c>
      <c r="BF108" s="1478"/>
      <c r="BG108" s="1475"/>
      <c r="BH108" s="1478"/>
    </row>
    <row r="109" spans="2:87" ht="12.75" customHeight="1" x14ac:dyDescent="0.2">
      <c r="B109" s="1819"/>
      <c r="C109" s="1820"/>
      <c r="D109" s="1820"/>
      <c r="E109" s="1820"/>
      <c r="F109" s="1820"/>
      <c r="G109" s="1820"/>
      <c r="H109" s="1820"/>
      <c r="I109" s="1820"/>
      <c r="J109" s="1820"/>
      <c r="K109" s="1820"/>
      <c r="L109" s="1820"/>
      <c r="M109" s="1820"/>
      <c r="N109" s="1820"/>
      <c r="O109" s="1820"/>
      <c r="P109" s="1820"/>
      <c r="Q109" s="1820"/>
      <c r="R109" s="1820"/>
      <c r="S109" s="1820"/>
      <c r="T109" s="1820"/>
      <c r="U109" s="1820"/>
      <c r="V109" s="1820"/>
      <c r="W109" s="1820"/>
      <c r="X109" s="1820"/>
      <c r="Y109" s="1820"/>
      <c r="Z109" s="1820"/>
      <c r="AA109" s="1820"/>
      <c r="AB109" s="1820"/>
      <c r="AC109" s="1820"/>
      <c r="AD109" s="1820"/>
      <c r="AE109" s="1820"/>
      <c r="AF109" s="1820"/>
      <c r="AG109" s="1820"/>
      <c r="AH109" s="1820"/>
      <c r="AI109" s="1820"/>
      <c r="AJ109" s="1820"/>
      <c r="AK109" s="1820"/>
      <c r="AL109" s="1820"/>
      <c r="AM109" s="1820"/>
      <c r="AN109" s="1820"/>
      <c r="AO109" s="1821"/>
      <c r="AZ109" s="1449" t="str">
        <f>+$BG$11</f>
        <v>512026</v>
      </c>
      <c r="BA109" s="1455">
        <f>+$AT$6</f>
        <v>51</v>
      </c>
      <c r="BB109" s="1456"/>
      <c r="BC109" s="1457">
        <f>IF(BF109&gt;0,BF109,+COUNTIFS($GF$20:$GF$50,"&gt;0",$GB$20:$GB$50,AZ109)+IF($DP$8&lt;52,+COUNTIFS($GH$20:$GH$50,"&gt;0",$GB$20:$GB$50,AZ109)))</f>
        <v>0</v>
      </c>
      <c r="BD109" s="1458">
        <f>IF(BH109&gt;0,BH109,+COUNTIFS(S.CAL!$FX$3:$FX$374,"&gt;0",S.CAL!$FW$3:$FW$374,AZ109))</f>
        <v>0</v>
      </c>
      <c r="BE109" s="1459">
        <f t="shared" si="80"/>
        <v>0</v>
      </c>
      <c r="BF109" s="1478"/>
      <c r="BG109" s="1475"/>
      <c r="BH109" s="1478"/>
      <c r="BW109" s="196"/>
      <c r="BX109" s="196"/>
      <c r="BY109" s="196"/>
      <c r="BZ109" s="196"/>
      <c r="CA109" s="196"/>
      <c r="CB109" s="196"/>
      <c r="CC109" s="196"/>
      <c r="CD109" s="196"/>
      <c r="CE109" s="196"/>
      <c r="CF109" s="196"/>
      <c r="CG109" s="196"/>
      <c r="CH109" s="196"/>
      <c r="CI109" s="196"/>
    </row>
    <row r="110" spans="2:87" ht="12.75" customHeight="1" x14ac:dyDescent="0.2">
      <c r="B110" s="1819"/>
      <c r="C110" s="1820"/>
      <c r="D110" s="1820"/>
      <c r="E110" s="1820"/>
      <c r="F110" s="1820"/>
      <c r="G110" s="1820"/>
      <c r="H110" s="1820"/>
      <c r="I110" s="1820"/>
      <c r="J110" s="1820"/>
      <c r="K110" s="1820"/>
      <c r="L110" s="1820"/>
      <c r="M110" s="1820"/>
      <c r="N110" s="1820"/>
      <c r="O110" s="1820"/>
      <c r="P110" s="1820"/>
      <c r="Q110" s="1820"/>
      <c r="R110" s="1820"/>
      <c r="S110" s="1820"/>
      <c r="T110" s="1820"/>
      <c r="U110" s="1820"/>
      <c r="V110" s="1820"/>
      <c r="W110" s="1820"/>
      <c r="X110" s="1820"/>
      <c r="Y110" s="1820"/>
      <c r="Z110" s="1820"/>
      <c r="AA110" s="1820"/>
      <c r="AB110" s="1820"/>
      <c r="AC110" s="1820"/>
      <c r="AD110" s="1820"/>
      <c r="AE110" s="1820"/>
      <c r="AF110" s="1820"/>
      <c r="AG110" s="1820"/>
      <c r="AH110" s="1820"/>
      <c r="AI110" s="1820"/>
      <c r="AJ110" s="1820"/>
      <c r="AK110" s="1820"/>
      <c r="AL110" s="1820"/>
      <c r="AM110" s="1820"/>
      <c r="AN110" s="1820"/>
      <c r="AO110" s="1821"/>
      <c r="AZ110" s="1449" t="str">
        <f>+$BG$12</f>
        <v>522026</v>
      </c>
      <c r="BA110" s="1455">
        <f>+$AT$7</f>
        <v>52</v>
      </c>
      <c r="BB110" s="1456"/>
      <c r="BC110" s="1457">
        <f>IF(BF110&gt;0,BF110,+COUNTIFS($GF$20:$GF$50,"&gt;0",$GB$20:$GB$50,AZ110)+IF($DP$8&lt;52,+COUNTIFS($GH$20:$GH$50,"&gt;0",$GB$20:$GB$50,AZ110)))</f>
        <v>0</v>
      </c>
      <c r="BD110" s="1458">
        <f>IF(BH110&gt;0,BH110,+COUNTIFS(S.CAL!$FX$3:$FX$374,"&gt;0",S.CAL!$FW$3:$FW$374,AZ110))</f>
        <v>0</v>
      </c>
      <c r="BE110" s="1459">
        <f t="shared" si="80"/>
        <v>0</v>
      </c>
      <c r="BF110" s="1478"/>
      <c r="BG110" s="1475"/>
      <c r="BH110" s="1478"/>
      <c r="BW110" s="196"/>
      <c r="BX110" s="196"/>
      <c r="BY110" s="1265" t="s">
        <v>1006</v>
      </c>
      <c r="BZ110" s="196"/>
      <c r="CA110" s="196"/>
      <c r="CB110" s="196"/>
      <c r="CC110" s="196"/>
      <c r="CD110" s="196"/>
      <c r="CE110" s="196"/>
      <c r="CF110" s="196"/>
      <c r="CG110" s="196"/>
      <c r="CH110" s="196"/>
      <c r="CI110" s="196"/>
    </row>
    <row r="111" spans="2:87" ht="12.75" customHeight="1" x14ac:dyDescent="0.2">
      <c r="B111" s="1819"/>
      <c r="C111" s="1820"/>
      <c r="D111" s="1820"/>
      <c r="E111" s="1820"/>
      <c r="F111" s="1820"/>
      <c r="G111" s="1820"/>
      <c r="H111" s="1820"/>
      <c r="I111" s="1820"/>
      <c r="J111" s="1820"/>
      <c r="K111" s="1820"/>
      <c r="L111" s="1820"/>
      <c r="M111" s="1820"/>
      <c r="N111" s="1820"/>
      <c r="O111" s="1820"/>
      <c r="P111" s="1820"/>
      <c r="Q111" s="1820"/>
      <c r="R111" s="1820"/>
      <c r="S111" s="1820"/>
      <c r="T111" s="1820"/>
      <c r="U111" s="1820"/>
      <c r="V111" s="1820"/>
      <c r="W111" s="1820"/>
      <c r="X111" s="1820"/>
      <c r="Y111" s="1820"/>
      <c r="Z111" s="1820"/>
      <c r="AA111" s="1820"/>
      <c r="AB111" s="1820"/>
      <c r="AC111" s="1820"/>
      <c r="AD111" s="1820"/>
      <c r="AE111" s="1820"/>
      <c r="AF111" s="1820"/>
      <c r="AG111" s="1820"/>
      <c r="AH111" s="1820"/>
      <c r="AI111" s="1820"/>
      <c r="AJ111" s="1820"/>
      <c r="AK111" s="1820"/>
      <c r="AL111" s="1820"/>
      <c r="AM111" s="1820"/>
      <c r="AN111" s="1820"/>
      <c r="AO111" s="1821"/>
      <c r="AZ111" s="1449" t="str">
        <f>+$BG$13</f>
        <v>532026</v>
      </c>
      <c r="BA111" s="1455">
        <f>+$AT$8</f>
        <v>53</v>
      </c>
      <c r="BB111" s="1456"/>
      <c r="BC111" s="1457">
        <f>IF(BF111&gt;0,BF111,+COUNTIFS($GF$20:$GF$50,"&gt;0",$GB$20:$GB$50,AZ111)+IF($DP$8&lt;52,+COUNTIFS($GH$20:$GH$50,"&gt;0",$GB$20:$GB$50,AZ111)))</f>
        <v>0</v>
      </c>
      <c r="BD111" s="1458">
        <f>IF(BH111&gt;0,BH111,SUMIFS(S.CAL!$G$2:$G$897,S.CAL!$B$2:$B$897,Décembre!$BY$2,S.CAL!$C$2:$C$897,$AU$8))</f>
        <v>0</v>
      </c>
      <c r="BE111" s="1459">
        <f t="shared" si="80"/>
        <v>0</v>
      </c>
      <c r="BF111" s="1478"/>
      <c r="BG111" s="1475"/>
      <c r="BH111" s="1478"/>
      <c r="BW111" s="196"/>
      <c r="BX111" s="196"/>
      <c r="BY111" s="574" t="s">
        <v>1384</v>
      </c>
      <c r="BZ111" s="196"/>
      <c r="CA111" s="196"/>
      <c r="CB111" s="196"/>
      <c r="CC111" s="196"/>
      <c r="CD111" s="196"/>
      <c r="CE111" s="196"/>
      <c r="CF111" s="196"/>
      <c r="CG111" s="196"/>
      <c r="CH111" s="196"/>
      <c r="CI111" s="196"/>
    </row>
    <row r="112" spans="2:87" ht="12.75" customHeight="1" x14ac:dyDescent="0.2">
      <c r="B112" s="1819"/>
      <c r="C112" s="1820"/>
      <c r="D112" s="1820"/>
      <c r="E112" s="1820"/>
      <c r="F112" s="1820"/>
      <c r="G112" s="1820"/>
      <c r="H112" s="1820"/>
      <c r="I112" s="1820"/>
      <c r="J112" s="1820"/>
      <c r="K112" s="1820"/>
      <c r="L112" s="1820"/>
      <c r="M112" s="1820"/>
      <c r="N112" s="1820"/>
      <c r="O112" s="1820"/>
      <c r="P112" s="1820"/>
      <c r="Q112" s="1820"/>
      <c r="R112" s="1820"/>
      <c r="S112" s="1820"/>
      <c r="T112" s="1820"/>
      <c r="U112" s="1820"/>
      <c r="V112" s="1820"/>
      <c r="W112" s="1820"/>
      <c r="X112" s="1820"/>
      <c r="Y112" s="1820"/>
      <c r="Z112" s="1820"/>
      <c r="AA112" s="1820"/>
      <c r="AB112" s="1820"/>
      <c r="AC112" s="1820"/>
      <c r="AD112" s="1820"/>
      <c r="AE112" s="1820"/>
      <c r="AF112" s="1820"/>
      <c r="AG112" s="1820"/>
      <c r="AH112" s="1820"/>
      <c r="AI112" s="1820"/>
      <c r="AJ112" s="1820"/>
      <c r="AK112" s="1820"/>
      <c r="AL112" s="1820"/>
      <c r="AM112" s="1820"/>
      <c r="AN112" s="1820"/>
      <c r="AO112" s="1821"/>
      <c r="AZ112" s="1449" t="str">
        <f>+$BG$14</f>
        <v>2026</v>
      </c>
      <c r="BA112" s="1460" t="str">
        <f>+$AT$9</f>
        <v/>
      </c>
      <c r="BB112" s="1461"/>
      <c r="BC112" s="1462">
        <f>IF(BF112&gt;0,BF112,+COUNTIFS($GF$20:$GF$50,"&gt;0",$GB$20:$GB$50,AZ112)+IF($DP$8&lt;52,+COUNTIFS($GH$20:$GH$50,"&gt;0",$GB$20:$GB$50,AZ112)))</f>
        <v>0</v>
      </c>
      <c r="BD112" s="1463">
        <f>IF(BH112&gt;0,BH112,SUMIFS(S.CAL!$G$2:$G$897,S.CAL!$B$2:$B$897,Décembre!$BY$2,S.CAL!$C$2:$C$897,$AU$9))</f>
        <v>0</v>
      </c>
      <c r="BE112" s="1464">
        <f t="shared" si="80"/>
        <v>0</v>
      </c>
      <c r="BF112" s="1479"/>
      <c r="BG112" s="1469"/>
      <c r="BH112" s="1479"/>
      <c r="BW112" s="196"/>
      <c r="BX112" s="196"/>
      <c r="BY112" s="574"/>
      <c r="BZ112" s="196"/>
      <c r="CA112" s="196"/>
      <c r="CB112" s="196"/>
      <c r="CC112" s="196"/>
      <c r="CD112" s="196"/>
      <c r="CE112" s="196"/>
      <c r="CF112" s="196"/>
      <c r="CG112" s="196"/>
      <c r="CH112" s="196"/>
      <c r="CI112" s="196"/>
    </row>
    <row r="113" spans="2:87" ht="12.75" customHeight="1" x14ac:dyDescent="0.2">
      <c r="B113" s="1819"/>
      <c r="C113" s="1820"/>
      <c r="D113" s="1820"/>
      <c r="E113" s="1820"/>
      <c r="F113" s="1820"/>
      <c r="G113" s="1820"/>
      <c r="H113" s="1820"/>
      <c r="I113" s="1820"/>
      <c r="J113" s="1820"/>
      <c r="K113" s="1820"/>
      <c r="L113" s="1820"/>
      <c r="M113" s="1820"/>
      <c r="N113" s="1820"/>
      <c r="O113" s="1820"/>
      <c r="P113" s="1820"/>
      <c r="Q113" s="1820"/>
      <c r="R113" s="1820"/>
      <c r="S113" s="1820"/>
      <c r="T113" s="1820"/>
      <c r="U113" s="1820"/>
      <c r="V113" s="1820"/>
      <c r="W113" s="1820"/>
      <c r="X113" s="1820"/>
      <c r="Y113" s="1820"/>
      <c r="Z113" s="1820"/>
      <c r="AA113" s="1820"/>
      <c r="AB113" s="1820"/>
      <c r="AC113" s="1820"/>
      <c r="AD113" s="1820"/>
      <c r="AE113" s="1820"/>
      <c r="AF113" s="1820"/>
      <c r="AG113" s="1820"/>
      <c r="AH113" s="1820"/>
      <c r="AI113" s="1820"/>
      <c r="AJ113" s="1820"/>
      <c r="AK113" s="1820"/>
      <c r="AL113" s="1820"/>
      <c r="AM113" s="1820"/>
      <c r="AN113" s="1820"/>
      <c r="AO113" s="1821"/>
      <c r="AZ113" s="897"/>
      <c r="BA113" s="232"/>
      <c r="BB113" s="232"/>
      <c r="BC113" s="232"/>
      <c r="BD113" s="232"/>
      <c r="BE113" s="232"/>
      <c r="BW113" s="196"/>
      <c r="BX113" s="196"/>
      <c r="BY113" s="574" t="s">
        <v>1370</v>
      </c>
      <c r="BZ113" s="196"/>
      <c r="CA113" s="196"/>
      <c r="CB113" s="196"/>
      <c r="CC113" s="196"/>
      <c r="CD113" s="196"/>
      <c r="CE113" s="196"/>
      <c r="CF113" s="196"/>
      <c r="CG113" s="196"/>
      <c r="CH113" s="196"/>
      <c r="CI113" s="196"/>
    </row>
    <row r="114" spans="2:87" ht="13.5" customHeight="1" x14ac:dyDescent="0.2">
      <c r="B114" s="1819"/>
      <c r="C114" s="1820"/>
      <c r="D114" s="1820"/>
      <c r="E114" s="1820"/>
      <c r="F114" s="1820"/>
      <c r="G114" s="1820"/>
      <c r="H114" s="1820"/>
      <c r="I114" s="1820"/>
      <c r="J114" s="1820"/>
      <c r="K114" s="1820"/>
      <c r="L114" s="1820"/>
      <c r="M114" s="1820"/>
      <c r="N114" s="1820"/>
      <c r="O114" s="1820"/>
      <c r="P114" s="1820"/>
      <c r="Q114" s="1820"/>
      <c r="R114" s="1820"/>
      <c r="S114" s="1820"/>
      <c r="T114" s="1820"/>
      <c r="U114" s="1820"/>
      <c r="V114" s="1820"/>
      <c r="W114" s="1820"/>
      <c r="X114" s="1820"/>
      <c r="Y114" s="1820"/>
      <c r="Z114" s="1820"/>
      <c r="AA114" s="1820"/>
      <c r="AB114" s="1820"/>
      <c r="AC114" s="1820"/>
      <c r="AD114" s="1820"/>
      <c r="AE114" s="1820"/>
      <c r="AF114" s="1820"/>
      <c r="AG114" s="1820"/>
      <c r="AH114" s="1820"/>
      <c r="AI114" s="1820"/>
      <c r="AJ114" s="1820"/>
      <c r="AK114" s="1820"/>
      <c r="AL114" s="1820"/>
      <c r="AM114" s="1820"/>
      <c r="AN114" s="1820"/>
      <c r="AO114" s="1821"/>
      <c r="AZ114" s="897"/>
      <c r="BA114" s="232"/>
      <c r="BB114" s="232"/>
      <c r="BC114" s="232"/>
      <c r="BD114" s="898" t="s">
        <v>1566</v>
      </c>
      <c r="BE114" s="1465">
        <f>MROUND(SUM(BE107:BE112),0.05)</f>
        <v>0</v>
      </c>
      <c r="BW114" s="196"/>
      <c r="BX114" s="196"/>
      <c r="BY114" s="574" t="s">
        <v>1007</v>
      </c>
      <c r="BZ114" s="196"/>
      <c r="CA114" s="196"/>
      <c r="CB114" s="196"/>
      <c r="CC114" s="196"/>
      <c r="CD114" s="196"/>
      <c r="CE114" s="196"/>
      <c r="CF114" s="196"/>
      <c r="CG114" s="196"/>
      <c r="CH114" s="196"/>
      <c r="CI114" s="196"/>
    </row>
    <row r="115" spans="2:87" ht="12.75" customHeight="1" x14ac:dyDescent="0.2">
      <c r="B115" s="1819"/>
      <c r="C115" s="1820"/>
      <c r="D115" s="1820"/>
      <c r="E115" s="1820"/>
      <c r="F115" s="1820"/>
      <c r="G115" s="1820"/>
      <c r="H115" s="1820"/>
      <c r="I115" s="1820"/>
      <c r="J115" s="1820"/>
      <c r="K115" s="1820"/>
      <c r="L115" s="1820"/>
      <c r="M115" s="1820"/>
      <c r="N115" s="1820"/>
      <c r="O115" s="1820"/>
      <c r="P115" s="1820"/>
      <c r="Q115" s="1820"/>
      <c r="R115" s="1820"/>
      <c r="S115" s="1820"/>
      <c r="T115" s="1820"/>
      <c r="U115" s="1820"/>
      <c r="V115" s="1820"/>
      <c r="W115" s="1820"/>
      <c r="X115" s="1820"/>
      <c r="Y115" s="1820"/>
      <c r="Z115" s="1820"/>
      <c r="AA115" s="1820"/>
      <c r="AB115" s="1820"/>
      <c r="AC115" s="1820"/>
      <c r="AD115" s="1820"/>
      <c r="AE115" s="1820"/>
      <c r="AF115" s="1820"/>
      <c r="AG115" s="1820"/>
      <c r="AH115" s="1820"/>
      <c r="AI115" s="1820"/>
      <c r="AJ115" s="1820"/>
      <c r="AK115" s="1820"/>
      <c r="AL115" s="1820"/>
      <c r="AM115" s="1820"/>
      <c r="AN115" s="1820"/>
      <c r="AO115" s="1821"/>
      <c r="AZ115" s="897"/>
      <c r="BA115" s="897"/>
      <c r="BB115" s="897"/>
      <c r="BC115" s="897"/>
      <c r="BD115" s="1466" t="s">
        <v>1567</v>
      </c>
      <c r="BE115" s="1467">
        <f>+BE114/4</f>
        <v>0</v>
      </c>
      <c r="BW115" s="196"/>
      <c r="BX115" s="196"/>
      <c r="BY115" s="574" t="s">
        <v>1008</v>
      </c>
      <c r="BZ115" s="196"/>
      <c r="CA115" s="196"/>
      <c r="CB115" s="196"/>
      <c r="CC115" s="196"/>
      <c r="CD115" s="196"/>
      <c r="CE115" s="196"/>
      <c r="CF115" s="196"/>
      <c r="CG115" s="196"/>
      <c r="CH115" s="196"/>
      <c r="CI115" s="196"/>
    </row>
    <row r="116" spans="2:87" ht="12.75" customHeight="1" x14ac:dyDescent="0.2">
      <c r="B116" s="1819"/>
      <c r="C116" s="1820"/>
      <c r="D116" s="1820"/>
      <c r="E116" s="1820"/>
      <c r="F116" s="1820"/>
      <c r="G116" s="1820"/>
      <c r="H116" s="1820"/>
      <c r="I116" s="1820"/>
      <c r="J116" s="1820"/>
      <c r="K116" s="1820"/>
      <c r="L116" s="1820"/>
      <c r="M116" s="1820"/>
      <c r="N116" s="1820"/>
      <c r="O116" s="1820"/>
      <c r="P116" s="1820"/>
      <c r="Q116" s="1820"/>
      <c r="R116" s="1820"/>
      <c r="S116" s="1820"/>
      <c r="T116" s="1820"/>
      <c r="U116" s="1820"/>
      <c r="V116" s="1820"/>
      <c r="W116" s="1820"/>
      <c r="X116" s="1820"/>
      <c r="Y116" s="1820"/>
      <c r="Z116" s="1820"/>
      <c r="AA116" s="1820"/>
      <c r="AB116" s="1820"/>
      <c r="AC116" s="1820"/>
      <c r="AD116" s="1820"/>
      <c r="AE116" s="1820"/>
      <c r="AF116" s="1820"/>
      <c r="AG116" s="1820"/>
      <c r="AH116" s="1820"/>
      <c r="AI116" s="1820"/>
      <c r="AJ116" s="1820"/>
      <c r="AK116" s="1820"/>
      <c r="AL116" s="1820"/>
      <c r="AM116" s="1820"/>
      <c r="AN116" s="1820"/>
      <c r="AO116" s="1821"/>
      <c r="BW116" s="196"/>
      <c r="BX116" s="196"/>
      <c r="BY116" s="574" t="s">
        <v>1371</v>
      </c>
      <c r="BZ116" s="196"/>
      <c r="CA116" s="196"/>
      <c r="CB116" s="196"/>
      <c r="CC116" s="196"/>
      <c r="CD116" s="196"/>
      <c r="CE116" s="196"/>
      <c r="CF116" s="196"/>
      <c r="CG116" s="196"/>
      <c r="CH116" s="196"/>
      <c r="CI116" s="196"/>
    </row>
    <row r="117" spans="2:87" ht="13.5" customHeight="1" x14ac:dyDescent="0.2">
      <c r="B117" s="1819"/>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0"/>
      <c r="AG117" s="1820"/>
      <c r="AH117" s="1820"/>
      <c r="AI117" s="1820"/>
      <c r="AJ117" s="1820"/>
      <c r="AK117" s="1820"/>
      <c r="AL117" s="1820"/>
      <c r="AM117" s="1820"/>
      <c r="AN117" s="1820"/>
      <c r="AO117" s="1821"/>
      <c r="BW117" s="196"/>
      <c r="BX117" s="196"/>
      <c r="BY117" s="574"/>
      <c r="BZ117" s="196"/>
      <c r="CA117" s="196"/>
      <c r="CB117" s="196"/>
      <c r="CC117" s="196"/>
      <c r="CD117" s="196"/>
      <c r="CE117" s="196"/>
      <c r="CF117" s="196"/>
      <c r="CG117" s="196"/>
      <c r="CH117" s="196"/>
      <c r="CI117" s="196"/>
    </row>
    <row r="118" spans="2:87" ht="13.5" thickBot="1" x14ac:dyDescent="0.25">
      <c r="B118" s="1822"/>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c r="Y118" s="1823"/>
      <c r="Z118" s="1823"/>
      <c r="AA118" s="1823"/>
      <c r="AB118" s="1823"/>
      <c r="AC118" s="1823"/>
      <c r="AD118" s="1823"/>
      <c r="AE118" s="1823"/>
      <c r="AF118" s="1823"/>
      <c r="AG118" s="1823"/>
      <c r="AH118" s="1823"/>
      <c r="AI118" s="1823"/>
      <c r="AJ118" s="1823"/>
      <c r="AK118" s="1823"/>
      <c r="AL118" s="1823"/>
      <c r="AM118" s="1823"/>
      <c r="AN118" s="1823"/>
      <c r="AO118" s="1824"/>
      <c r="BW118" s="196"/>
      <c r="BX118" s="196"/>
      <c r="BY118" s="574" t="s">
        <v>1009</v>
      </c>
      <c r="BZ118" s="581" t="str">
        <f>+IF(Identification!B133="Oui",BZ137,Janvier!BZ140)</f>
        <v>Scénario 4</v>
      </c>
      <c r="CA118" s="196"/>
      <c r="CB118" s="196"/>
      <c r="CC118" s="196"/>
      <c r="CD118" s="196"/>
      <c r="CE118" s="196"/>
      <c r="CF118" s="196"/>
      <c r="CG118" s="196"/>
      <c r="CH118" s="196"/>
      <c r="CI118" s="196"/>
    </row>
    <row r="119" spans="2:87" x14ac:dyDescent="0.2">
      <c r="BW119" s="196"/>
      <c r="BX119" s="196"/>
      <c r="BY119" s="196"/>
      <c r="BZ119" s="196"/>
      <c r="CA119" s="196"/>
      <c r="CB119" s="196"/>
      <c r="CC119" s="196"/>
      <c r="CD119" s="196"/>
      <c r="CE119" s="196"/>
      <c r="CF119" s="196"/>
      <c r="CG119" s="196"/>
      <c r="CH119" s="196"/>
      <c r="CI119" s="196"/>
    </row>
    <row r="120" spans="2:87" ht="13.5" hidden="1" thickBot="1" x14ac:dyDescent="0.25">
      <c r="U120" s="254"/>
      <c r="V120" s="255"/>
      <c r="W120" s="255"/>
      <c r="X120" s="255"/>
      <c r="Y120" s="255"/>
      <c r="Z120" s="255"/>
      <c r="AA120" s="255"/>
      <c r="AB120" s="255"/>
      <c r="AC120" s="255"/>
      <c r="AD120" s="255"/>
      <c r="AE120" s="255"/>
      <c r="AF120" s="255"/>
      <c r="AG120" s="255"/>
      <c r="AH120" s="255"/>
      <c r="AI120" s="255"/>
      <c r="AJ120" s="255"/>
      <c r="AK120" s="255"/>
      <c r="AL120" s="255"/>
      <c r="AM120" s="255"/>
      <c r="AN120" s="255"/>
      <c r="AO120" s="255"/>
      <c r="AP120" s="256"/>
      <c r="BW120" s="196"/>
      <c r="BX120" s="196"/>
      <c r="BY120" s="196"/>
      <c r="BZ120" s="196"/>
      <c r="CA120" s="196"/>
      <c r="CB120" s="196"/>
      <c r="CC120" s="196"/>
      <c r="CD120" s="196"/>
      <c r="CE120" s="196"/>
      <c r="CF120" s="196"/>
      <c r="CG120" s="196"/>
      <c r="CH120" s="196"/>
      <c r="CI120" s="196"/>
    </row>
    <row r="121" spans="2:87" ht="13.5" hidden="1" thickBot="1" x14ac:dyDescent="0.25">
      <c r="B121" s="257" t="s">
        <v>473</v>
      </c>
      <c r="C121" s="258"/>
      <c r="D121" s="258"/>
      <c r="E121" s="258"/>
      <c r="F121" s="258"/>
      <c r="G121" s="258"/>
      <c r="H121" s="258"/>
      <c r="I121" s="258"/>
      <c r="J121" s="258"/>
      <c r="K121" s="258"/>
      <c r="L121" s="258"/>
      <c r="M121" s="258"/>
      <c r="N121" s="258"/>
      <c r="O121" s="258"/>
      <c r="P121" s="259"/>
      <c r="U121" s="260"/>
      <c r="V121" s="198" t="s">
        <v>629</v>
      </c>
      <c r="W121" s="198"/>
      <c r="X121" s="198"/>
      <c r="Y121" s="198"/>
      <c r="Z121" s="198"/>
      <c r="AA121" s="198"/>
      <c r="AB121" s="198"/>
      <c r="AC121" s="198"/>
      <c r="AD121" s="198"/>
      <c r="AE121" s="198"/>
      <c r="AF121" s="198"/>
      <c r="AG121" s="198"/>
      <c r="AP121" s="261"/>
      <c r="BW121" s="196"/>
      <c r="BX121" s="196"/>
      <c r="BY121" s="196"/>
      <c r="BZ121" s="196"/>
      <c r="CA121" s="196"/>
      <c r="CB121" s="196"/>
      <c r="CC121" s="196"/>
      <c r="CD121" s="196"/>
      <c r="CE121" s="196"/>
      <c r="CF121" s="196"/>
      <c r="CG121" s="196"/>
      <c r="CH121" s="196"/>
      <c r="CI121" s="196"/>
    </row>
    <row r="122" spans="2:87" hidden="1" x14ac:dyDescent="0.2">
      <c r="B122" s="260"/>
      <c r="P122" s="261"/>
      <c r="U122" s="260"/>
      <c r="AQ122" s="255"/>
      <c r="AR122" s="255"/>
      <c r="AS122" s="472"/>
      <c r="BW122" s="196"/>
      <c r="BX122" s="196"/>
      <c r="BY122" s="196"/>
      <c r="BZ122" s="196"/>
      <c r="CA122" s="196"/>
      <c r="CB122" s="196"/>
      <c r="CC122" s="196"/>
      <c r="CD122" s="196"/>
      <c r="CE122" s="196"/>
      <c r="CF122" s="196"/>
      <c r="CG122" s="196"/>
      <c r="CH122" s="196"/>
      <c r="CI122" s="196"/>
    </row>
    <row r="123" spans="2:87" hidden="1" x14ac:dyDescent="0.2">
      <c r="B123" s="260" t="s">
        <v>471</v>
      </c>
      <c r="L123" s="2289" t="s">
        <v>429</v>
      </c>
      <c r="M123" s="2289"/>
      <c r="P123" s="261"/>
      <c r="U123" s="260"/>
      <c r="V123" s="196" t="s">
        <v>909</v>
      </c>
      <c r="W123" s="196"/>
      <c r="X123" s="196"/>
      <c r="Y123" s="196"/>
      <c r="Z123" s="196"/>
      <c r="AA123" s="196"/>
      <c r="AB123" s="196"/>
      <c r="AC123" s="196"/>
      <c r="AD123" s="196"/>
      <c r="AE123" s="2290" t="str">
        <f>IF(AN123="",DP7,AN123)</f>
        <v>NON</v>
      </c>
      <c r="AF123" s="2290"/>
      <c r="AG123" s="196"/>
      <c r="AH123" s="196"/>
      <c r="AI123" s="196"/>
      <c r="AJ123" s="196"/>
      <c r="AK123" s="196"/>
      <c r="AL123" s="196"/>
      <c r="AM123" s="228" t="s">
        <v>632</v>
      </c>
      <c r="AN123" s="2297"/>
      <c r="AO123" s="2290"/>
      <c r="AP123" s="196"/>
      <c r="AQ123" s="228" t="s">
        <v>971</v>
      </c>
      <c r="AR123" s="1814"/>
      <c r="AS123" s="1815"/>
      <c r="BW123" s="196"/>
      <c r="BX123" s="196"/>
      <c r="BY123" s="196"/>
      <c r="BZ123" s="196"/>
      <c r="CA123" s="196"/>
      <c r="CB123" s="196"/>
      <c r="CC123" s="196"/>
      <c r="CD123" s="196"/>
      <c r="CE123" s="196"/>
      <c r="CF123" s="196"/>
      <c r="CG123" s="196"/>
      <c r="CH123" s="196"/>
      <c r="CI123" s="196"/>
    </row>
    <row r="124" spans="2:87" ht="13.5" hidden="1" thickBot="1" x14ac:dyDescent="0.25">
      <c r="B124" s="260"/>
      <c r="L124" s="262"/>
      <c r="M124" s="262"/>
      <c r="P124" s="261"/>
      <c r="U124" s="260"/>
      <c r="AQ124" s="264"/>
      <c r="AR124" s="264"/>
      <c r="AS124" s="473"/>
      <c r="BW124" s="196"/>
      <c r="BX124" s="196"/>
      <c r="BY124" s="196"/>
      <c r="BZ124" s="196"/>
      <c r="CA124" s="196"/>
      <c r="CB124" s="196"/>
      <c r="CC124" s="196"/>
      <c r="CD124" s="196"/>
      <c r="CE124" s="196"/>
      <c r="CF124" s="196"/>
      <c r="CG124" s="196"/>
      <c r="CH124" s="196"/>
      <c r="CI124" s="196"/>
    </row>
    <row r="125" spans="2:87" hidden="1" x14ac:dyDescent="0.2">
      <c r="B125" s="260" t="s">
        <v>472</v>
      </c>
      <c r="L125" s="2289" t="s">
        <v>429</v>
      </c>
      <c r="M125" s="2289"/>
      <c r="P125" s="261"/>
      <c r="U125" s="260"/>
      <c r="V125" s="129" t="s">
        <v>630</v>
      </c>
      <c r="AJ125" s="2289" t="s">
        <v>137</v>
      </c>
      <c r="AK125" s="2289"/>
      <c r="AL125" s="405" t="s">
        <v>740</v>
      </c>
      <c r="AM125" s="2295"/>
      <c r="AN125" s="2295"/>
      <c r="AO125" s="2295"/>
      <c r="AP125" s="2296"/>
      <c r="AQ125" s="403"/>
      <c r="AR125" s="403"/>
      <c r="BW125" s="196"/>
      <c r="BX125" s="196"/>
      <c r="BY125" s="196"/>
      <c r="BZ125" s="196"/>
      <c r="CA125" s="196"/>
      <c r="CB125" s="196"/>
      <c r="CC125" s="196"/>
      <c r="CD125" s="196"/>
      <c r="CE125" s="196"/>
      <c r="CF125" s="196"/>
      <c r="CG125" s="196"/>
      <c r="CH125" s="196"/>
      <c r="CI125" s="196"/>
    </row>
    <row r="126" spans="2:87" ht="13.5" hidden="1" thickBot="1" x14ac:dyDescent="0.25">
      <c r="B126" s="263"/>
      <c r="C126" s="264"/>
      <c r="D126" s="264"/>
      <c r="E126" s="264"/>
      <c r="F126" s="264"/>
      <c r="G126" s="264"/>
      <c r="H126" s="264"/>
      <c r="I126" s="264"/>
      <c r="J126" s="264"/>
      <c r="K126" s="264"/>
      <c r="L126" s="264"/>
      <c r="M126" s="264"/>
      <c r="N126" s="264"/>
      <c r="O126" s="264"/>
      <c r="P126" s="265"/>
      <c r="U126" s="260"/>
      <c r="AP126" s="261"/>
      <c r="BW126" s="196"/>
      <c r="BX126" s="196"/>
      <c r="BY126" s="196"/>
      <c r="BZ126" s="196"/>
      <c r="CA126" s="196"/>
      <c r="CB126" s="196"/>
      <c r="CC126" s="196"/>
      <c r="CD126" s="196"/>
      <c r="CE126" s="196"/>
      <c r="CF126" s="196"/>
      <c r="CG126" s="196"/>
      <c r="CH126" s="196"/>
      <c r="CI126" s="196"/>
    </row>
    <row r="127" spans="2:87" ht="13.5" hidden="1" thickBot="1" x14ac:dyDescent="0.25">
      <c r="U127" s="260"/>
      <c r="V127" s="129" t="s">
        <v>631</v>
      </c>
      <c r="AI127" s="2289" t="s">
        <v>137</v>
      </c>
      <c r="AJ127" s="2289"/>
      <c r="AK127" s="404" t="s">
        <v>741</v>
      </c>
      <c r="AL127" s="406" t="s">
        <v>740</v>
      </c>
      <c r="AM127" s="2295"/>
      <c r="AN127" s="2295"/>
      <c r="AO127" s="2295"/>
      <c r="AP127" s="2296"/>
      <c r="AQ127" s="403"/>
      <c r="AR127" s="403"/>
      <c r="BW127" s="196"/>
      <c r="BX127" s="196"/>
      <c r="BY127" s="196"/>
      <c r="BZ127" s="196"/>
      <c r="CA127" s="196"/>
      <c r="CB127" s="196"/>
      <c r="CC127" s="196"/>
      <c r="CD127" s="196"/>
      <c r="CE127" s="196"/>
      <c r="CF127" s="196"/>
      <c r="CG127" s="196"/>
      <c r="CH127" s="196"/>
      <c r="CI127" s="196"/>
    </row>
    <row r="128" spans="2:87" hidden="1" x14ac:dyDescent="0.2">
      <c r="U128" s="260"/>
      <c r="AQ128" s="255"/>
      <c r="AR128" s="255"/>
      <c r="AS128" s="472"/>
      <c r="AT128" s="510"/>
      <c r="AU128" s="510"/>
      <c r="AV128" s="510"/>
      <c r="AW128" s="510"/>
      <c r="AX128" s="510"/>
      <c r="AY128" s="510"/>
      <c r="BW128" s="196"/>
      <c r="BX128" s="196"/>
      <c r="BY128" s="196"/>
      <c r="BZ128" s="196"/>
      <c r="CA128" s="196"/>
      <c r="CB128" s="196"/>
      <c r="CC128" s="196"/>
      <c r="CD128" s="196"/>
      <c r="CE128" s="196"/>
      <c r="CF128" s="196"/>
      <c r="CG128" s="196"/>
      <c r="CH128" s="196"/>
      <c r="CI128" s="196"/>
    </row>
    <row r="129" spans="21:87" hidden="1" x14ac:dyDescent="0.2">
      <c r="U129" s="260"/>
      <c r="V129" s="196" t="s">
        <v>923</v>
      </c>
      <c r="W129" s="196"/>
      <c r="X129" s="196"/>
      <c r="Y129" s="196"/>
      <c r="Z129" s="196"/>
      <c r="AA129" s="196"/>
      <c r="AB129" s="196"/>
      <c r="AC129" s="196"/>
      <c r="AD129" s="196"/>
      <c r="AE129" s="2290" t="str">
        <f>IF(AN129="",DP19,AN129)</f>
        <v>NON</v>
      </c>
      <c r="AF129" s="2290"/>
      <c r="AG129" s="196"/>
      <c r="AH129" s="196"/>
      <c r="AI129" s="196"/>
      <c r="AJ129" s="196"/>
      <c r="AK129" s="196"/>
      <c r="AL129" s="196"/>
      <c r="AM129" s="228" t="s">
        <v>632</v>
      </c>
      <c r="AN129" s="2297"/>
      <c r="AO129" s="2290"/>
      <c r="AP129" s="196"/>
      <c r="AQ129" s="228" t="s">
        <v>910</v>
      </c>
      <c r="AR129" s="1814"/>
      <c r="AS129" s="1815"/>
      <c r="BW129" s="196"/>
      <c r="BX129" s="196"/>
      <c r="BY129" s="196"/>
      <c r="BZ129" s="196"/>
      <c r="CA129" s="196"/>
      <c r="CB129" s="196"/>
      <c r="CC129" s="196"/>
      <c r="CD129" s="196"/>
      <c r="CE129" s="196"/>
      <c r="CF129" s="196"/>
      <c r="CG129" s="196"/>
      <c r="CH129" s="196"/>
      <c r="CI129" s="196"/>
    </row>
    <row r="130" spans="21:87" hidden="1" x14ac:dyDescent="0.2">
      <c r="U130" s="260"/>
      <c r="AS130" s="865"/>
      <c r="BW130" s="196"/>
      <c r="BX130" s="196"/>
      <c r="BY130" s="196"/>
      <c r="BZ130" s="196"/>
      <c r="CA130" s="196"/>
      <c r="CB130" s="196"/>
      <c r="CC130" s="196"/>
      <c r="CD130" s="196"/>
      <c r="CE130" s="196"/>
      <c r="CF130" s="196"/>
      <c r="CG130" s="196"/>
      <c r="CH130" s="196"/>
      <c r="CI130" s="196"/>
    </row>
    <row r="131" spans="21:87" hidden="1" x14ac:dyDescent="0.2">
      <c r="U131" s="260"/>
      <c r="V131" s="129" t="s">
        <v>1690</v>
      </c>
      <c r="AG131" s="867"/>
      <c r="AH131" s="867"/>
      <c r="AJ131" s="2270" t="str">
        <f>+IF(AO131="",+Identification!B130,AO131)</f>
        <v>Oui</v>
      </c>
      <c r="AK131" s="2270"/>
      <c r="AL131" s="1984" t="s">
        <v>1050</v>
      </c>
      <c r="AM131" s="1984"/>
      <c r="AN131" s="1984"/>
      <c r="AO131" s="1807"/>
      <c r="AP131" s="1807"/>
      <c r="AS131" s="865"/>
      <c r="BW131" s="196"/>
      <c r="BX131" s="196"/>
      <c r="BY131" s="196"/>
      <c r="BZ131" s="196"/>
      <c r="CA131" s="196"/>
      <c r="CB131" s="196"/>
      <c r="CC131" s="196"/>
      <c r="CD131" s="196"/>
      <c r="CE131" s="196"/>
      <c r="CF131" s="196"/>
      <c r="CG131" s="196"/>
      <c r="CH131" s="196"/>
      <c r="CI131" s="196"/>
    </row>
    <row r="132" spans="21:87" hidden="1" x14ac:dyDescent="0.2">
      <c r="U132" s="260"/>
      <c r="AG132" s="867"/>
      <c r="AH132" s="867"/>
      <c r="AJ132" s="1585"/>
      <c r="AK132" s="1585"/>
      <c r="AL132" s="131"/>
      <c r="AM132" s="131"/>
      <c r="AN132" s="131"/>
      <c r="AO132" s="510"/>
      <c r="AP132" s="510"/>
      <c r="AS132" s="865"/>
      <c r="BW132" s="196"/>
      <c r="BX132" s="196"/>
      <c r="BY132" s="196"/>
      <c r="BZ132" s="196"/>
      <c r="CA132" s="196"/>
      <c r="CB132" s="228" t="s">
        <v>1511</v>
      </c>
      <c r="CC132" s="1428" t="s">
        <v>137</v>
      </c>
      <c r="CD132" s="196"/>
      <c r="CE132" s="196"/>
      <c r="CF132" s="196"/>
      <c r="CG132" s="196"/>
      <c r="CH132" s="196"/>
      <c r="CI132" s="196"/>
    </row>
    <row r="133" spans="21:87" ht="13.5" hidden="1" thickBot="1" x14ac:dyDescent="0.25">
      <c r="U133" s="260"/>
      <c r="V133" s="129" t="s">
        <v>1691</v>
      </c>
      <c r="AC133" s="2292" t="str">
        <f>IF(AH133="",+Identification!B131,AH133)</f>
        <v>Oui</v>
      </c>
      <c r="AD133" s="2293"/>
      <c r="AE133" s="1984" t="s">
        <v>1050</v>
      </c>
      <c r="AF133" s="1984"/>
      <c r="AG133" s="1984"/>
      <c r="AH133" s="2294"/>
      <c r="AI133" s="2294"/>
      <c r="AJ133" s="1585"/>
      <c r="AK133" s="1585"/>
      <c r="AL133" s="131"/>
      <c r="AM133" s="131"/>
      <c r="AN133" s="131"/>
      <c r="AO133" s="510"/>
      <c r="AP133" s="510"/>
      <c r="AS133" s="865"/>
      <c r="BW133" s="196"/>
      <c r="BX133" s="196"/>
      <c r="BY133" s="196"/>
      <c r="BZ133" s="196"/>
      <c r="CA133" s="196"/>
      <c r="CB133" s="196"/>
      <c r="CC133" s="196"/>
      <c r="CD133" s="196"/>
      <c r="CE133" s="196"/>
      <c r="CF133" s="196"/>
      <c r="CG133" s="196"/>
      <c r="CH133" s="196"/>
      <c r="CI133" s="196"/>
    </row>
    <row r="134" spans="21:87" hidden="1" x14ac:dyDescent="0.2">
      <c r="U134" s="255"/>
      <c r="V134" s="255"/>
      <c r="W134" s="255"/>
      <c r="X134" s="255"/>
      <c r="Y134" s="255"/>
      <c r="Z134" s="255"/>
      <c r="AA134" s="255"/>
      <c r="AB134" s="255"/>
      <c r="AC134" s="255"/>
      <c r="AD134" s="255"/>
      <c r="AE134" s="255"/>
      <c r="AF134" s="255"/>
      <c r="AG134" s="255"/>
      <c r="AH134" s="255"/>
      <c r="AI134" s="255"/>
      <c r="AJ134" s="255"/>
      <c r="AK134" s="255"/>
      <c r="AL134" s="255"/>
      <c r="AM134" s="255"/>
      <c r="AN134" s="255"/>
      <c r="AO134" s="255"/>
      <c r="AP134" s="255"/>
      <c r="AQ134" s="255"/>
      <c r="AR134" s="255"/>
      <c r="AS134" s="1593"/>
      <c r="BW134" s="196"/>
      <c r="BX134" s="196"/>
      <c r="BY134" s="196"/>
      <c r="BZ134" s="196"/>
      <c r="CA134" s="196"/>
      <c r="CB134" s="196"/>
      <c r="CC134" s="196"/>
      <c r="CD134" s="196"/>
      <c r="CE134" s="196"/>
      <c r="CF134" s="196"/>
      <c r="CG134" s="196"/>
      <c r="CH134" s="196"/>
      <c r="CI134" s="196"/>
    </row>
    <row r="135" spans="21:87" x14ac:dyDescent="0.2">
      <c r="V135" s="129" t="s">
        <v>1697</v>
      </c>
      <c r="AD135" s="2292" t="str">
        <f>IF(AJ135&lt;&gt;"",AJ135,IF(AND(+VLOOKUP(DP4,base_donné_contrat,23,FALSE)="OUI",BY8="OUI"),"OUI","NON"))</f>
        <v>NON</v>
      </c>
      <c r="AE135" s="2293"/>
      <c r="AG135" s="1984" t="s">
        <v>1050</v>
      </c>
      <c r="AH135" s="1984"/>
      <c r="AI135" s="1984"/>
      <c r="AJ135" s="2294"/>
      <c r="AK135" s="2294"/>
      <c r="BW135" s="196"/>
      <c r="BX135" s="196"/>
      <c r="BY135" s="196"/>
      <c r="BZ135" s="196"/>
      <c r="CA135" s="196"/>
      <c r="CB135" s="196"/>
      <c r="CC135" s="196"/>
      <c r="CD135" s="196"/>
      <c r="CE135" s="196"/>
      <c r="CF135" s="196"/>
      <c r="CG135" s="196"/>
      <c r="CH135" s="196"/>
      <c r="CI135" s="196"/>
    </row>
    <row r="136" spans="21:87" x14ac:dyDescent="0.2">
      <c r="BW136" s="196"/>
      <c r="BX136" s="196"/>
      <c r="BY136" s="196"/>
      <c r="BZ136" s="196"/>
      <c r="CA136" s="196"/>
      <c r="CB136" s="196"/>
      <c r="CC136" s="196"/>
      <c r="CD136" s="196"/>
      <c r="CE136" s="196"/>
      <c r="CF136" s="196"/>
      <c r="CG136" s="196"/>
      <c r="CH136" s="196"/>
      <c r="CI136" s="196"/>
    </row>
    <row r="137" spans="21:87" x14ac:dyDescent="0.2">
      <c r="AC137" s="131" t="s">
        <v>1714</v>
      </c>
      <c r="AD137" s="2317">
        <f>ROUND(IF(OR(AND(DP8&lt;&gt;52,L31=""),AND(AD135="OUI",L31="")),+VLOOKUP(X3,tab_regularisation,2,FALSE),L31),2)</f>
        <v>0</v>
      </c>
      <c r="AE137" s="2317"/>
      <c r="AF137" s="2317"/>
      <c r="AG137" s="2317"/>
      <c r="AZ137" s="897"/>
      <c r="BA137" s="1798" t="s">
        <v>1633</v>
      </c>
      <c r="BB137" s="1798"/>
      <c r="BC137" s="1798"/>
      <c r="BD137" s="1798"/>
      <c r="BE137" s="1798"/>
      <c r="BF137" s="1798"/>
      <c r="BG137" s="1798"/>
      <c r="BH137" s="1798"/>
      <c r="BW137" s="196"/>
      <c r="BX137" s="196"/>
      <c r="BY137" s="196"/>
      <c r="BZ137" s="196" t="s">
        <v>1709</v>
      </c>
      <c r="CA137" s="196"/>
      <c r="CB137" s="196"/>
      <c r="CC137" s="196"/>
      <c r="CD137" s="196"/>
      <c r="CE137" s="196"/>
      <c r="CF137" s="196"/>
      <c r="CG137" s="196"/>
      <c r="CH137" s="196"/>
      <c r="CI137" s="196"/>
    </row>
    <row r="138" spans="21:87" x14ac:dyDescent="0.2">
      <c r="AZ138" s="897"/>
      <c r="BA138" s="1447"/>
      <c r="BB138" s="897"/>
      <c r="BC138" s="232"/>
      <c r="BD138" s="232"/>
      <c r="BE138" s="232"/>
      <c r="BW138" s="196"/>
      <c r="BX138" s="196"/>
      <c r="BY138" s="196"/>
      <c r="BZ138" s="196" t="s">
        <v>1710</v>
      </c>
      <c r="CA138" s="196"/>
      <c r="CB138" s="196"/>
      <c r="CC138" s="196"/>
      <c r="CD138" s="196"/>
      <c r="CE138" s="196"/>
      <c r="CF138" s="196"/>
      <c r="CG138" s="196"/>
      <c r="CH138" s="196"/>
      <c r="CI138" s="196"/>
    </row>
    <row r="139" spans="21:87" x14ac:dyDescent="0.2">
      <c r="AZ139" s="897"/>
      <c r="BA139" s="1792" t="s">
        <v>1562</v>
      </c>
      <c r="BB139" s="1792" t="s">
        <v>1563</v>
      </c>
      <c r="BC139" s="1793"/>
      <c r="BD139" s="1796" t="s">
        <v>1564</v>
      </c>
      <c r="BE139" s="1793" t="s">
        <v>1565</v>
      </c>
      <c r="BF139" s="1470" t="s">
        <v>659</v>
      </c>
      <c r="BG139" s="1471"/>
      <c r="BH139" s="1476" t="s">
        <v>659</v>
      </c>
      <c r="BW139" s="196"/>
      <c r="BX139" s="196"/>
      <c r="BY139" s="196"/>
      <c r="BZ139" s="196" t="s">
        <v>1711</v>
      </c>
      <c r="CA139" s="196"/>
      <c r="CB139" s="196"/>
      <c r="CC139" s="196"/>
      <c r="CD139" s="196"/>
      <c r="CE139" s="196"/>
      <c r="CF139" s="196"/>
      <c r="CG139" s="196"/>
      <c r="CH139" s="196"/>
      <c r="CI139" s="196"/>
    </row>
    <row r="140" spans="21:87" x14ac:dyDescent="0.2">
      <c r="AZ140" s="1447"/>
      <c r="BA140" s="1794"/>
      <c r="BB140" s="1794"/>
      <c r="BC140" s="1795"/>
      <c r="BD140" s="1797"/>
      <c r="BE140" s="1795"/>
      <c r="BF140" s="1472" t="s">
        <v>1568</v>
      </c>
      <c r="BG140" s="1473" t="s">
        <v>1564</v>
      </c>
      <c r="BH140" s="1474"/>
      <c r="BW140" s="196"/>
      <c r="BX140" s="196"/>
      <c r="BY140" s="196"/>
      <c r="BZ140" s="196" t="s">
        <v>1014</v>
      </c>
      <c r="CA140" s="196"/>
      <c r="CB140" s="196"/>
      <c r="CC140" s="196"/>
      <c r="CD140" s="196"/>
      <c r="CE140" s="196"/>
      <c r="CF140" s="196"/>
      <c r="CG140" s="196"/>
      <c r="CH140" s="196"/>
      <c r="CI140" s="196"/>
    </row>
    <row r="141" spans="21:87" x14ac:dyDescent="0.2">
      <c r="AZ141" s="1447"/>
      <c r="BA141" s="1448"/>
      <c r="BB141" s="897"/>
      <c r="BC141" s="1448"/>
      <c r="BD141" s="1448"/>
      <c r="BE141" s="1448"/>
      <c r="BF141" s="315"/>
      <c r="BG141" s="315"/>
      <c r="BH141" s="315"/>
      <c r="BW141" s="196"/>
      <c r="BX141" s="196"/>
      <c r="BY141" s="196"/>
      <c r="BZ141" s="196"/>
      <c r="CA141" s="196"/>
      <c r="CB141" s="196"/>
      <c r="CC141" s="196"/>
      <c r="CD141" s="196"/>
      <c r="CE141" s="196"/>
      <c r="CF141" s="196"/>
      <c r="CG141" s="196"/>
      <c r="CH141" s="196"/>
      <c r="CI141" s="196"/>
    </row>
    <row r="142" spans="21:87" x14ac:dyDescent="0.2">
      <c r="AZ142" s="1449" t="str">
        <f>+$BG$9</f>
        <v>492026</v>
      </c>
      <c r="BA142" s="1450">
        <f>+$AT$4</f>
        <v>49</v>
      </c>
      <c r="BB142" s="1451"/>
      <c r="BC142" s="1452">
        <f>+IF(BF142&gt;0,BF142,+COUNTIFS($GP$20:$GP$50,"&gt;0",$GB$20:$GB$50,AZ142))</f>
        <v>0</v>
      </c>
      <c r="BD142" s="1453">
        <f>IF(BH142&gt;0,BH142,+COUNTIFS(S.CAL!$FX$3:$FX$374,"&gt;0",S.CAL!$FW$3:$FW$374,AZ142))</f>
        <v>0</v>
      </c>
      <c r="BE142" s="1454">
        <f>IFERROR(ROUND(+BC142/BD142,2),0)</f>
        <v>0</v>
      </c>
      <c r="BF142" s="1477"/>
      <c r="BG142" s="1468"/>
      <c r="BH142" s="1477"/>
      <c r="BW142" s="196"/>
      <c r="BX142" s="196"/>
      <c r="BY142" s="196"/>
      <c r="BZ142" s="196"/>
      <c r="CA142" s="196"/>
      <c r="CB142" s="196"/>
      <c r="CC142" s="196"/>
      <c r="CD142" s="196"/>
      <c r="CE142" s="196"/>
      <c r="CF142" s="196"/>
      <c r="CG142" s="196"/>
      <c r="CH142" s="196"/>
      <c r="CI142" s="196"/>
    </row>
    <row r="143" spans="21:87" x14ac:dyDescent="0.2">
      <c r="AZ143" s="1449" t="str">
        <f>+$BG$10</f>
        <v>502026</v>
      </c>
      <c r="BA143" s="1455">
        <f>+$AT$5</f>
        <v>50</v>
      </c>
      <c r="BB143" s="1456"/>
      <c r="BC143" s="1457">
        <f t="shared" ref="BC143:BC147" si="81">+IF(BF143&gt;0,BF143,+COUNTIFS($GP$20:$GP$50,"&gt;0",$GB$20:$GB$50,AZ143))</f>
        <v>0</v>
      </c>
      <c r="BD143" s="1458">
        <f>IF(BH143&gt;0,BH143,COUNTIFS(S.CAL!$FX$3:$FX$374,"&gt;0",S.CAL!$FW$3:$FW$374,AZ143))</f>
        <v>0</v>
      </c>
      <c r="BE143" s="1459">
        <f t="shared" ref="BE143:BE147" si="82">IFERROR(ROUND(+BC143/BD143,2),0)</f>
        <v>0</v>
      </c>
      <c r="BF143" s="1478"/>
      <c r="BG143" s="1475"/>
      <c r="BH143" s="1478"/>
    </row>
    <row r="144" spans="21:87" x14ac:dyDescent="0.2">
      <c r="AZ144" s="1449" t="str">
        <f>+$BG$11</f>
        <v>512026</v>
      </c>
      <c r="BA144" s="1455">
        <f>+$AT$6</f>
        <v>51</v>
      </c>
      <c r="BB144" s="1456"/>
      <c r="BC144" s="1457">
        <f t="shared" si="81"/>
        <v>0</v>
      </c>
      <c r="BD144" s="1458">
        <f>IF(BH144&gt;0,BH144,+COUNTIFS(S.CAL!$FX$3:$FX$374,"&gt;0",S.CAL!$FW$3:$FW$374,AZ144))</f>
        <v>0</v>
      </c>
      <c r="BE144" s="1459">
        <f t="shared" si="82"/>
        <v>0</v>
      </c>
      <c r="BF144" s="1478"/>
      <c r="BG144" s="1475"/>
      <c r="BH144" s="1478"/>
    </row>
    <row r="145" spans="52:60" x14ac:dyDescent="0.2">
      <c r="AZ145" s="1449" t="str">
        <f>+$BG$12</f>
        <v>522026</v>
      </c>
      <c r="BA145" s="1455">
        <f>+$AT$7</f>
        <v>52</v>
      </c>
      <c r="BB145" s="1456"/>
      <c r="BC145" s="1457">
        <f t="shared" si="81"/>
        <v>0</v>
      </c>
      <c r="BD145" s="1458">
        <f>IF(BH145&gt;0,BH145,+COUNTIFS(S.CAL!$FX$3:$FX$374,"&gt;0",S.CAL!$FW$3:$FW$374,AZ145))</f>
        <v>0</v>
      </c>
      <c r="BE145" s="1459">
        <f t="shared" si="82"/>
        <v>0</v>
      </c>
      <c r="BF145" s="1478"/>
      <c r="BG145" s="1475"/>
      <c r="BH145" s="1478"/>
    </row>
    <row r="146" spans="52:60" x14ac:dyDescent="0.2">
      <c r="AZ146" s="1449" t="str">
        <f>+$BG$13</f>
        <v>532026</v>
      </c>
      <c r="BA146" s="1455">
        <f>+$AT$8</f>
        <v>53</v>
      </c>
      <c r="BB146" s="1456"/>
      <c r="BC146" s="1457">
        <f t="shared" si="81"/>
        <v>0</v>
      </c>
      <c r="BD146" s="1458">
        <f>IF(BH146&gt;0,BH146,SUMIFS(S.CAL!$G$2:$G$897,S.CAL!$B$2:$B$897,Décembre!$BY$2,S.CAL!$C$2:$C$897,$AU$8))</f>
        <v>0</v>
      </c>
      <c r="BE146" s="1459">
        <f t="shared" si="82"/>
        <v>0</v>
      </c>
      <c r="BF146" s="1478"/>
      <c r="BG146" s="1475"/>
      <c r="BH146" s="1478"/>
    </row>
    <row r="147" spans="52:60" x14ac:dyDescent="0.2">
      <c r="AZ147" s="1449" t="str">
        <f>+$BG$14</f>
        <v>2026</v>
      </c>
      <c r="BA147" s="1460" t="str">
        <f>+$AT$9</f>
        <v/>
      </c>
      <c r="BB147" s="1461"/>
      <c r="BC147" s="1462">
        <f t="shared" si="81"/>
        <v>0</v>
      </c>
      <c r="BD147" s="1463">
        <f>IF(BH147&gt;0,BH147,SUMIFS(S.CAL!$G$2:$G$897,S.CAL!$B$2:$B$897,Décembre!$BY$2,S.CAL!$C$2:$C$897,$AU$9))</f>
        <v>0</v>
      </c>
      <c r="BE147" s="1464">
        <f t="shared" si="82"/>
        <v>0</v>
      </c>
      <c r="BF147" s="1479"/>
      <c r="BG147" s="1469"/>
      <c r="BH147" s="1479"/>
    </row>
    <row r="148" spans="52:60" x14ac:dyDescent="0.2">
      <c r="AZ148" s="897"/>
      <c r="BA148" s="232"/>
      <c r="BB148" s="232"/>
      <c r="BC148" s="232"/>
      <c r="BD148" s="232"/>
      <c r="BE148" s="232"/>
    </row>
    <row r="149" spans="52:60" x14ac:dyDescent="0.2">
      <c r="AZ149" s="897"/>
      <c r="BA149" s="232"/>
      <c r="BB149" s="232"/>
      <c r="BC149" s="232"/>
      <c r="BD149" s="898" t="s">
        <v>1566</v>
      </c>
      <c r="BE149" s="1465">
        <f>MROUND(SUM(BE142:BE147),0.05)</f>
        <v>0</v>
      </c>
    </row>
  </sheetData>
  <sheetProtection algorithmName="SHA-512" hashValue="kYnlsuFlDUx1yMms93X9q6z+edwRKLXCCAwmyBgVDagpRFFLQeahL8jSF0lxLS2Vbz8vIi8U2B0h9njStUSutQ==" saltValue="/vRDuncPrKrpnbW4OYBIcw==" spinCount="100000" sheet="1" objects="1" scenarios="1" formatCells="0" formatColumns="0" formatRows="0" insertColumns="0" insertRows="0" insertHyperlinks="0" sort="0" autoFilter="0" pivotTables="0"/>
  <mergeCells count="799">
    <mergeCell ref="AD137:AG137"/>
    <mergeCell ref="BE65:BF65"/>
    <mergeCell ref="BE68:BF68"/>
    <mergeCell ref="AM30:AO30"/>
    <mergeCell ref="AM26:AO26"/>
    <mergeCell ref="AD24:AF24"/>
    <mergeCell ref="AD135:AE135"/>
    <mergeCell ref="AG135:AI135"/>
    <mergeCell ref="AJ135:AK135"/>
    <mergeCell ref="AG24:AI24"/>
    <mergeCell ref="AM50:AO50"/>
    <mergeCell ref="AM47:AO47"/>
    <mergeCell ref="AM48:AO48"/>
    <mergeCell ref="AM43:AO43"/>
    <mergeCell ref="AJ45:AL45"/>
    <mergeCell ref="AM45:AO45"/>
    <mergeCell ref="AM40:AO40"/>
    <mergeCell ref="V91:AG91"/>
    <mergeCell ref="B104:AO118"/>
    <mergeCell ref="AM125:AP125"/>
    <mergeCell ref="C98:O98"/>
    <mergeCell ref="D99:F99"/>
    <mergeCell ref="L123:M123"/>
    <mergeCell ref="K90:Q90"/>
    <mergeCell ref="AC133:AD133"/>
    <mergeCell ref="AE133:AG133"/>
    <mergeCell ref="AH133:AI133"/>
    <mergeCell ref="AA63:AF63"/>
    <mergeCell ref="AE129:AF129"/>
    <mergeCell ref="AH92:AK92"/>
    <mergeCell ref="AE123:AF123"/>
    <mergeCell ref="AJ125:AK125"/>
    <mergeCell ref="V89:AG89"/>
    <mergeCell ref="V90:AG90"/>
    <mergeCell ref="AH90:AK90"/>
    <mergeCell ref="AJ131:AK131"/>
    <mergeCell ref="Q74:T74"/>
    <mergeCell ref="R67:S67"/>
    <mergeCell ref="R66:S66"/>
    <mergeCell ref="AJ42:AL42"/>
    <mergeCell ref="U47:W47"/>
    <mergeCell ref="R48:T48"/>
    <mergeCell ref="U44:W44"/>
    <mergeCell ref="X44:Z44"/>
    <mergeCell ref="AD45:AF45"/>
    <mergeCell ref="R45:T45"/>
    <mergeCell ref="AD44:AF44"/>
    <mergeCell ref="X51:Z51"/>
    <mergeCell ref="U50:W50"/>
    <mergeCell ref="U52:W52"/>
    <mergeCell ref="X50:Z50"/>
    <mergeCell ref="AB49:AC49"/>
    <mergeCell ref="AG45:AI45"/>
    <mergeCell ref="AG49:AI49"/>
    <mergeCell ref="AB45:AC45"/>
    <mergeCell ref="AG46:AI46"/>
    <mergeCell ref="AB44:AC44"/>
    <mergeCell ref="X3:AC3"/>
    <mergeCell ref="AH12:AO12"/>
    <mergeCell ref="AJ4:AO4"/>
    <mergeCell ref="AL14:AO14"/>
    <mergeCell ref="AM32:AO32"/>
    <mergeCell ref="AG21:AI21"/>
    <mergeCell ref="AG29:AI29"/>
    <mergeCell ref="AB26:AC26"/>
    <mergeCell ref="AB28:AC28"/>
    <mergeCell ref="AJ26:AL26"/>
    <mergeCell ref="AB21:AC21"/>
    <mergeCell ref="AD21:AF21"/>
    <mergeCell ref="AD28:AF28"/>
    <mergeCell ref="AM23:AO23"/>
    <mergeCell ref="AM24:AO24"/>
    <mergeCell ref="AB30:AC30"/>
    <mergeCell ref="AJ27:AL27"/>
    <mergeCell ref="AD30:AF30"/>
    <mergeCell ref="AG25:AI25"/>
    <mergeCell ref="AM27:AO27"/>
    <mergeCell ref="AD20:AF20"/>
    <mergeCell ref="AM25:AO25"/>
    <mergeCell ref="AM18:AO19"/>
    <mergeCell ref="AJ30:AL30"/>
    <mergeCell ref="CG8:CI8"/>
    <mergeCell ref="CE3:CF3"/>
    <mergeCell ref="BH7:BI7"/>
    <mergeCell ref="BJ18:BJ19"/>
    <mergeCell ref="BR4:BX4"/>
    <mergeCell ref="AR14:AZ14"/>
    <mergeCell ref="AR13:AZ13"/>
    <mergeCell ref="CE5:CF5"/>
    <mergeCell ref="CE8:CF8"/>
    <mergeCell ref="BQ15:CC17"/>
    <mergeCell ref="AF4:AI4"/>
    <mergeCell ref="AJ18:AL19"/>
    <mergeCell ref="AJ21:AL21"/>
    <mergeCell ref="AJ25:AL25"/>
    <mergeCell ref="AD22:AF22"/>
    <mergeCell ref="BQ8:BX8"/>
    <mergeCell ref="AR12:BF12"/>
    <mergeCell ref="AG26:AI26"/>
    <mergeCell ref="Z11:AO11"/>
    <mergeCell ref="Z5:AA5"/>
    <mergeCell ref="Z8:AO8"/>
    <mergeCell ref="Z12:AG12"/>
    <mergeCell ref="AG22:AI22"/>
    <mergeCell ref="AG20:AI20"/>
    <mergeCell ref="X4:AC4"/>
    <mergeCell ref="U14:X14"/>
    <mergeCell ref="V9:Y9"/>
    <mergeCell ref="BV21:BZ23"/>
    <mergeCell ref="BI18:BI19"/>
    <mergeCell ref="AR18:AR19"/>
    <mergeCell ref="BY26:BY27"/>
    <mergeCell ref="AU18:AU19"/>
    <mergeCell ref="AD26:AF26"/>
    <mergeCell ref="AB24:AC24"/>
    <mergeCell ref="E8:R8"/>
    <mergeCell ref="P15:X15"/>
    <mergeCell ref="B23:K23"/>
    <mergeCell ref="B24:K24"/>
    <mergeCell ref="L23:O23"/>
    <mergeCell ref="L24:O24"/>
    <mergeCell ref="A22:K22"/>
    <mergeCell ref="A23:A24"/>
    <mergeCell ref="AD25:AF25"/>
    <mergeCell ref="B25:K25"/>
    <mergeCell ref="O14:T14"/>
    <mergeCell ref="AB20:AC20"/>
    <mergeCell ref="L22:O22"/>
    <mergeCell ref="T19:W19"/>
    <mergeCell ref="AD18:AF19"/>
    <mergeCell ref="A21:K21"/>
    <mergeCell ref="AB22:AC22"/>
    <mergeCell ref="L17:O17"/>
    <mergeCell ref="A20:K20"/>
    <mergeCell ref="T24:W24"/>
    <mergeCell ref="P18:S18"/>
    <mergeCell ref="P23:S23"/>
    <mergeCell ref="L21:O21"/>
    <mergeCell ref="A25:A26"/>
    <mergeCell ref="L19:O19"/>
    <mergeCell ref="P22:S22"/>
    <mergeCell ref="L25:O25"/>
    <mergeCell ref="AB23:AC23"/>
    <mergeCell ref="AD23:AF23"/>
    <mergeCell ref="AD35:AF35"/>
    <mergeCell ref="AB33:AC33"/>
    <mergeCell ref="AB43:AC43"/>
    <mergeCell ref="AD39:AF39"/>
    <mergeCell ref="AD43:AF43"/>
    <mergeCell ref="AD41:AF41"/>
    <mergeCell ref="K42:M42"/>
    <mergeCell ref="T26:W26"/>
    <mergeCell ref="AB25:AC25"/>
    <mergeCell ref="A19:K19"/>
    <mergeCell ref="L20:O20"/>
    <mergeCell ref="P19:S19"/>
    <mergeCell ref="P20:S20"/>
    <mergeCell ref="P21:S21"/>
    <mergeCell ref="A27:A28"/>
    <mergeCell ref="N39:P39"/>
    <mergeCell ref="K41:M41"/>
    <mergeCell ref="B33:K33"/>
    <mergeCell ref="L34:O34"/>
    <mergeCell ref="L31:O31"/>
    <mergeCell ref="X42:Z42"/>
    <mergeCell ref="AD33:AF33"/>
    <mergeCell ref="P33:S33"/>
    <mergeCell ref="T32:W32"/>
    <mergeCell ref="N42:P42"/>
    <mergeCell ref="X45:Z45"/>
    <mergeCell ref="AD40:AF40"/>
    <mergeCell ref="K47:M47"/>
    <mergeCell ref="N45:P45"/>
    <mergeCell ref="U45:W45"/>
    <mergeCell ref="L32:O32"/>
    <mergeCell ref="P31:S31"/>
    <mergeCell ref="B31:K31"/>
    <mergeCell ref="H39:J39"/>
    <mergeCell ref="H41:J41"/>
    <mergeCell ref="A40:G40"/>
    <mergeCell ref="H40:J40"/>
    <mergeCell ref="A39:G39"/>
    <mergeCell ref="A41:G41"/>
    <mergeCell ref="B32:K32"/>
    <mergeCell ref="N40:P40"/>
    <mergeCell ref="P32:S32"/>
    <mergeCell ref="U42:W42"/>
    <mergeCell ref="AG32:AI32"/>
    <mergeCell ref="T34:W34"/>
    <mergeCell ref="AJ31:AL31"/>
    <mergeCell ref="AG37:AI37"/>
    <mergeCell ref="AD38:AF38"/>
    <mergeCell ref="AJ38:AL38"/>
    <mergeCell ref="AG41:AI41"/>
    <mergeCell ref="AG39:AI39"/>
    <mergeCell ref="R43:T43"/>
    <mergeCell ref="AJ43:AL43"/>
    <mergeCell ref="AJ40:AL40"/>
    <mergeCell ref="AJ41:AL41"/>
    <mergeCell ref="X43:Z43"/>
    <mergeCell ref="R42:T42"/>
    <mergeCell ref="AG43:AI43"/>
    <mergeCell ref="X40:Z40"/>
    <mergeCell ref="AB35:AC35"/>
    <mergeCell ref="AB40:AC40"/>
    <mergeCell ref="AD42:AF42"/>
    <mergeCell ref="A42:G42"/>
    <mergeCell ref="AJ32:AL32"/>
    <mergeCell ref="U40:W40"/>
    <mergeCell ref="R40:T40"/>
    <mergeCell ref="T33:W33"/>
    <mergeCell ref="AB39:AC39"/>
    <mergeCell ref="AB34:AC34"/>
    <mergeCell ref="X41:Z41"/>
    <mergeCell ref="AB41:AC41"/>
    <mergeCell ref="AB36:AC36"/>
    <mergeCell ref="AB42:AC42"/>
    <mergeCell ref="X39:Z39"/>
    <mergeCell ref="AG33:AI33"/>
    <mergeCell ref="AG42:AI42"/>
    <mergeCell ref="AB32:AC32"/>
    <mergeCell ref="AD32:AF32"/>
    <mergeCell ref="AB37:AC37"/>
    <mergeCell ref="AD36:AF36"/>
    <mergeCell ref="AJ34:AL34"/>
    <mergeCell ref="AG36:AI36"/>
    <mergeCell ref="AG38:AI38"/>
    <mergeCell ref="T35:W35"/>
    <mergeCell ref="U41:W41"/>
    <mergeCell ref="AB38:AC38"/>
    <mergeCell ref="AG28:AI28"/>
    <mergeCell ref="AG30:AI30"/>
    <mergeCell ref="T28:W28"/>
    <mergeCell ref="T30:W30"/>
    <mergeCell ref="AB29:AC29"/>
    <mergeCell ref="AD29:AF29"/>
    <mergeCell ref="AB31:AC31"/>
    <mergeCell ref="T31:W31"/>
    <mergeCell ref="P30:S30"/>
    <mergeCell ref="AG31:AI31"/>
    <mergeCell ref="P29:S29"/>
    <mergeCell ref="AD31:AF31"/>
    <mergeCell ref="X5:Y5"/>
    <mergeCell ref="Z9:AO9"/>
    <mergeCell ref="Z10:AO10"/>
    <mergeCell ref="V7:AO7"/>
    <mergeCell ref="V8:Y8"/>
    <mergeCell ref="V10:Y10"/>
    <mergeCell ref="V11:Y11"/>
    <mergeCell ref="V12:Y12"/>
    <mergeCell ref="AG23:AI23"/>
    <mergeCell ref="AB5:AC5"/>
    <mergeCell ref="AJ20:AL20"/>
    <mergeCell ref="AM21:AO21"/>
    <mergeCell ref="AM22:AO22"/>
    <mergeCell ref="T17:W17"/>
    <mergeCell ref="T22:W22"/>
    <mergeCell ref="T18:W18"/>
    <mergeCell ref="AJ22:AL22"/>
    <mergeCell ref="T20:W20"/>
    <mergeCell ref="T21:W21"/>
    <mergeCell ref="AD27:AF27"/>
    <mergeCell ref="AG27:AI27"/>
    <mergeCell ref="T27:W27"/>
    <mergeCell ref="AB27:AC27"/>
    <mergeCell ref="A1:AO1"/>
    <mergeCell ref="AF3:AH3"/>
    <mergeCell ref="A3:R3"/>
    <mergeCell ref="E5:R5"/>
    <mergeCell ref="E6:R6"/>
    <mergeCell ref="L18:O18"/>
    <mergeCell ref="E7:R7"/>
    <mergeCell ref="A5:D5"/>
    <mergeCell ref="A4:D4"/>
    <mergeCell ref="E4:R4"/>
    <mergeCell ref="AB18:AC19"/>
    <mergeCell ref="A18:K18"/>
    <mergeCell ref="AI3:AO3"/>
    <mergeCell ref="AL15:AO15"/>
    <mergeCell ref="AE14:AK14"/>
    <mergeCell ref="AE15:AK15"/>
    <mergeCell ref="AG18:AI19"/>
    <mergeCell ref="A7:D7"/>
    <mergeCell ref="A17:K17"/>
    <mergeCell ref="A8:D8"/>
    <mergeCell ref="A14:H14"/>
    <mergeCell ref="I14:L14"/>
    <mergeCell ref="N15:O15"/>
    <mergeCell ref="C15:M15"/>
    <mergeCell ref="A80:E80"/>
    <mergeCell ref="H76:K76"/>
    <mergeCell ref="L78:P78"/>
    <mergeCell ref="A58:G58"/>
    <mergeCell ref="A59:G59"/>
    <mergeCell ref="H58:J58"/>
    <mergeCell ref="N56:P56"/>
    <mergeCell ref="N57:P57"/>
    <mergeCell ref="A56:G56"/>
    <mergeCell ref="N58:P58"/>
    <mergeCell ref="H59:J59"/>
    <mergeCell ref="H62:M62"/>
    <mergeCell ref="N59:P59"/>
    <mergeCell ref="K59:M59"/>
    <mergeCell ref="N61:P61"/>
    <mergeCell ref="N62:P62"/>
    <mergeCell ref="H61:M61"/>
    <mergeCell ref="A60:G60"/>
    <mergeCell ref="H60:J60"/>
    <mergeCell ref="K60:M60"/>
    <mergeCell ref="A88:E88"/>
    <mergeCell ref="R87:T87"/>
    <mergeCell ref="E77:G77"/>
    <mergeCell ref="F87:I87"/>
    <mergeCell ref="A86:E86"/>
    <mergeCell ref="A87:E87"/>
    <mergeCell ref="A76:D76"/>
    <mergeCell ref="E76:G76"/>
    <mergeCell ref="A82:E82"/>
    <mergeCell ref="A83:E83"/>
    <mergeCell ref="F86:L86"/>
    <mergeCell ref="Q85:T85"/>
    <mergeCell ref="R88:T88"/>
    <mergeCell ref="F83:H83"/>
    <mergeCell ref="F80:H80"/>
    <mergeCell ref="F81:H81"/>
    <mergeCell ref="Q76:T76"/>
    <mergeCell ref="L76:P76"/>
    <mergeCell ref="A81:E81"/>
    <mergeCell ref="A77:D77"/>
    <mergeCell ref="H77:K77"/>
    <mergeCell ref="I85:P85"/>
    <mergeCell ref="Q78:T78"/>
    <mergeCell ref="H65:J65"/>
    <mergeCell ref="H66:J66"/>
    <mergeCell ref="T66:Z66"/>
    <mergeCell ref="R70:Y70"/>
    <mergeCell ref="U51:W51"/>
    <mergeCell ref="B65:G65"/>
    <mergeCell ref="T67:Z67"/>
    <mergeCell ref="R69:AB69"/>
    <mergeCell ref="H69:J69"/>
    <mergeCell ref="K69:M69"/>
    <mergeCell ref="N67:P67"/>
    <mergeCell ref="H68:J68"/>
    <mergeCell ref="N70:P70"/>
    <mergeCell ref="A51:G51"/>
    <mergeCell ref="A53:G53"/>
    <mergeCell ref="H51:J51"/>
    <mergeCell ref="K51:M51"/>
    <mergeCell ref="H53:J53"/>
    <mergeCell ref="K53:M53"/>
    <mergeCell ref="A54:G54"/>
    <mergeCell ref="N60:P60"/>
    <mergeCell ref="A52:G52"/>
    <mergeCell ref="H52:J52"/>
    <mergeCell ref="K52:M52"/>
    <mergeCell ref="K66:M66"/>
    <mergeCell ref="N66:P66"/>
    <mergeCell ref="R65:S65"/>
    <mergeCell ref="N51:P51"/>
    <mergeCell ref="N53:P53"/>
    <mergeCell ref="N54:P54"/>
    <mergeCell ref="N55:P55"/>
    <mergeCell ref="R64:S64"/>
    <mergeCell ref="R60:T60"/>
    <mergeCell ref="N64:P64"/>
    <mergeCell ref="K64:M64"/>
    <mergeCell ref="N65:P65"/>
    <mergeCell ref="K65:M65"/>
    <mergeCell ref="K55:M55"/>
    <mergeCell ref="K56:M56"/>
    <mergeCell ref="K54:M54"/>
    <mergeCell ref="K57:M57"/>
    <mergeCell ref="R51:T51"/>
    <mergeCell ref="N52:P52"/>
    <mergeCell ref="R53:T53"/>
    <mergeCell ref="R55:T55"/>
    <mergeCell ref="A64:G64"/>
    <mergeCell ref="R52:T52"/>
    <mergeCell ref="A57:G57"/>
    <mergeCell ref="H75:K75"/>
    <mergeCell ref="B69:G69"/>
    <mergeCell ref="B68:G68"/>
    <mergeCell ref="N68:P68"/>
    <mergeCell ref="N69:P69"/>
    <mergeCell ref="H70:J70"/>
    <mergeCell ref="K68:M68"/>
    <mergeCell ref="K67:M67"/>
    <mergeCell ref="K70:M70"/>
    <mergeCell ref="E74:G74"/>
    <mergeCell ref="A75:D75"/>
    <mergeCell ref="N72:P72"/>
    <mergeCell ref="E75:G75"/>
    <mergeCell ref="E73:G73"/>
    <mergeCell ref="H74:K74"/>
    <mergeCell ref="A74:D74"/>
    <mergeCell ref="K71:M71"/>
    <mergeCell ref="H67:J67"/>
    <mergeCell ref="H73:K73"/>
    <mergeCell ref="L74:P74"/>
    <mergeCell ref="H71:J71"/>
    <mergeCell ref="N71:P71"/>
    <mergeCell ref="A65:A70"/>
    <mergeCell ref="B71:G71"/>
    <mergeCell ref="B67:G67"/>
    <mergeCell ref="B66:G66"/>
    <mergeCell ref="C70:G70"/>
    <mergeCell ref="X52:Z52"/>
    <mergeCell ref="K58:M58"/>
    <mergeCell ref="U53:W53"/>
    <mergeCell ref="X53:Z53"/>
    <mergeCell ref="U58:W58"/>
    <mergeCell ref="U54:W54"/>
    <mergeCell ref="X55:Z55"/>
    <mergeCell ref="R56:T56"/>
    <mergeCell ref="X61:Z61"/>
    <mergeCell ref="R62:T62"/>
    <mergeCell ref="R58:T58"/>
    <mergeCell ref="R63:S63"/>
    <mergeCell ref="R61:W61"/>
    <mergeCell ref="R59:T59"/>
    <mergeCell ref="X56:Z56"/>
    <mergeCell ref="U59:W59"/>
    <mergeCell ref="T63:Z63"/>
    <mergeCell ref="R54:T54"/>
    <mergeCell ref="A55:G55"/>
    <mergeCell ref="H55:J55"/>
    <mergeCell ref="A47:G47"/>
    <mergeCell ref="L35:S35"/>
    <mergeCell ref="A49:G49"/>
    <mergeCell ref="A50:G50"/>
    <mergeCell ref="N49:P49"/>
    <mergeCell ref="R44:T44"/>
    <mergeCell ref="N46:P46"/>
    <mergeCell ref="A48:G48"/>
    <mergeCell ref="H49:J49"/>
    <mergeCell ref="H47:J47"/>
    <mergeCell ref="R47:T47"/>
    <mergeCell ref="K50:M50"/>
    <mergeCell ref="K49:M49"/>
    <mergeCell ref="R39:T39"/>
    <mergeCell ref="R41:T41"/>
    <mergeCell ref="N41:P41"/>
    <mergeCell ref="H38:P38"/>
    <mergeCell ref="H50:J50"/>
    <mergeCell ref="K46:M46"/>
    <mergeCell ref="H46:J46"/>
    <mergeCell ref="H44:J44"/>
    <mergeCell ref="H54:J54"/>
    <mergeCell ref="H48:J48"/>
    <mergeCell ref="AB48:AC48"/>
    <mergeCell ref="U48:W48"/>
    <mergeCell ref="N47:P47"/>
    <mergeCell ref="N48:P48"/>
    <mergeCell ref="K48:M48"/>
    <mergeCell ref="H64:J64"/>
    <mergeCell ref="H56:J56"/>
    <mergeCell ref="H57:J57"/>
    <mergeCell ref="T64:Z64"/>
    <mergeCell ref="X59:Z59"/>
    <mergeCell ref="X58:Z58"/>
    <mergeCell ref="R57:T57"/>
    <mergeCell ref="U56:W56"/>
    <mergeCell ref="N50:P50"/>
    <mergeCell ref="R50:T50"/>
    <mergeCell ref="A46:G46"/>
    <mergeCell ref="H45:J45"/>
    <mergeCell ref="A45:G45"/>
    <mergeCell ref="A44:G44"/>
    <mergeCell ref="H43:J43"/>
    <mergeCell ref="A43:G43"/>
    <mergeCell ref="AG34:AI34"/>
    <mergeCell ref="AD34:AF34"/>
    <mergeCell ref="AG44:AI44"/>
    <mergeCell ref="R38:Z38"/>
    <mergeCell ref="AD37:AF37"/>
    <mergeCell ref="P34:S34"/>
    <mergeCell ref="AG40:AI40"/>
    <mergeCell ref="AG35:AI35"/>
    <mergeCell ref="H42:J42"/>
    <mergeCell ref="B34:K34"/>
    <mergeCell ref="A29:A34"/>
    <mergeCell ref="L29:O29"/>
    <mergeCell ref="K45:M45"/>
    <mergeCell ref="N43:P43"/>
    <mergeCell ref="K44:M44"/>
    <mergeCell ref="U43:W43"/>
    <mergeCell ref="N44:P44"/>
    <mergeCell ref="K43:M43"/>
    <mergeCell ref="AW40:AX40"/>
    <mergeCell ref="AW37:AX37"/>
    <mergeCell ref="BA18:BA19"/>
    <mergeCell ref="BL18:BL19"/>
    <mergeCell ref="AW33:AX33"/>
    <mergeCell ref="BC18:BC19"/>
    <mergeCell ref="BD18:BD19"/>
    <mergeCell ref="AZ18:AZ19"/>
    <mergeCell ref="AW39:AX39"/>
    <mergeCell ref="AW36:AX36"/>
    <mergeCell ref="AW31:AX31"/>
    <mergeCell ref="A6:D6"/>
    <mergeCell ref="Y15:Z15"/>
    <mergeCell ref="AW41:AX41"/>
    <mergeCell ref="AM34:AO34"/>
    <mergeCell ref="AM35:AO35"/>
    <mergeCell ref="AM37:AO37"/>
    <mergeCell ref="AM38:AO38"/>
    <mergeCell ref="AM36:AO36"/>
    <mergeCell ref="AM39:AO39"/>
    <mergeCell ref="AM33:AO33"/>
    <mergeCell ref="AJ33:AL33"/>
    <mergeCell ref="AJ35:AL35"/>
    <mergeCell ref="AJ39:AL39"/>
    <mergeCell ref="P27:S27"/>
    <mergeCell ref="P26:S26"/>
    <mergeCell ref="L28:O28"/>
    <mergeCell ref="B30:K30"/>
    <mergeCell ref="L30:O30"/>
    <mergeCell ref="K39:M39"/>
    <mergeCell ref="U39:W39"/>
    <mergeCell ref="K40:M40"/>
    <mergeCell ref="A10:M11"/>
    <mergeCell ref="P17:S17"/>
    <mergeCell ref="L33:O33"/>
    <mergeCell ref="B28:K28"/>
    <mergeCell ref="T23:W23"/>
    <mergeCell ref="T29:W29"/>
    <mergeCell ref="B27:K27"/>
    <mergeCell ref="B26:K26"/>
    <mergeCell ref="P25:S25"/>
    <mergeCell ref="L26:O26"/>
    <mergeCell ref="L27:O27"/>
    <mergeCell ref="B29:K29"/>
    <mergeCell ref="P24:S24"/>
    <mergeCell ref="T25:W25"/>
    <mergeCell ref="P28:S28"/>
    <mergeCell ref="AM46:AO46"/>
    <mergeCell ref="AD51:AF51"/>
    <mergeCell ref="AM56:AO56"/>
    <mergeCell ref="AM57:AO57"/>
    <mergeCell ref="AB56:AL56"/>
    <mergeCell ref="AJ48:AL48"/>
    <mergeCell ref="U46:W46"/>
    <mergeCell ref="AD48:AF48"/>
    <mergeCell ref="R49:T49"/>
    <mergeCell ref="X46:Z46"/>
    <mergeCell ref="AB47:AC47"/>
    <mergeCell ref="AD47:AF47"/>
    <mergeCell ref="X47:Z47"/>
    <mergeCell ref="X49:Z49"/>
    <mergeCell ref="U49:W49"/>
    <mergeCell ref="X48:Z48"/>
    <mergeCell ref="AD46:AF46"/>
    <mergeCell ref="AB46:AC46"/>
    <mergeCell ref="R46:T46"/>
    <mergeCell ref="AB55:AL55"/>
    <mergeCell ref="AG47:AI47"/>
    <mergeCell ref="U55:W55"/>
    <mergeCell ref="X54:Z54"/>
    <mergeCell ref="X57:Z57"/>
    <mergeCell ref="BR2:BX2"/>
    <mergeCell ref="AX3:AZ3"/>
    <mergeCell ref="BA13:BC14"/>
    <mergeCell ref="BF2:BQ2"/>
    <mergeCell ref="BQ36:CA36"/>
    <mergeCell ref="AW20:AX20"/>
    <mergeCell ref="AW21:AX21"/>
    <mergeCell ref="AW22:AX22"/>
    <mergeCell ref="AW23:AX23"/>
    <mergeCell ref="AW24:AX24"/>
    <mergeCell ref="AW25:AX25"/>
    <mergeCell ref="AW26:AX26"/>
    <mergeCell ref="AW27:AX27"/>
    <mergeCell ref="BZ26:BZ27"/>
    <mergeCell ref="BS31:BX31"/>
    <mergeCell ref="BP18:BP19"/>
    <mergeCell ref="AW34:AX34"/>
    <mergeCell ref="BS32:BX32"/>
    <mergeCell ref="BM18:BM19"/>
    <mergeCell ref="BN18:BN19"/>
    <mergeCell ref="BS30:BX30"/>
    <mergeCell ref="BS29:BX29"/>
    <mergeCell ref="BR5:BX5"/>
    <mergeCell ref="AX76:AY76"/>
    <mergeCell ref="V92:AG92"/>
    <mergeCell ref="V93:AG93"/>
    <mergeCell ref="AH86:AK86"/>
    <mergeCell ref="AL86:AO86"/>
    <mergeCell ref="V82:Y82"/>
    <mergeCell ref="AL87:AO87"/>
    <mergeCell ref="AL77:AO77"/>
    <mergeCell ref="Z78:AK78"/>
    <mergeCell ref="AL90:AO90"/>
    <mergeCell ref="AH91:AK91"/>
    <mergeCell ref="AL91:AO91"/>
    <mergeCell ref="AQ81:AS81"/>
    <mergeCell ref="AH85:AK85"/>
    <mergeCell ref="AL88:AO88"/>
    <mergeCell ref="AL83:AO83"/>
    <mergeCell ref="AL84:AO84"/>
    <mergeCell ref="AL78:AO78"/>
    <mergeCell ref="AL85:AO85"/>
    <mergeCell ref="AY81:AZ81"/>
    <mergeCell ref="AL89:AO89"/>
    <mergeCell ref="AH93:AK93"/>
    <mergeCell ref="AH89:AK89"/>
    <mergeCell ref="Z77:AK77"/>
    <mergeCell ref="HO16:HR16"/>
    <mergeCell ref="AM31:AO31"/>
    <mergeCell ref="AT18:AT19"/>
    <mergeCell ref="AW32:AX32"/>
    <mergeCell ref="GF17:GF18"/>
    <mergeCell ref="GG17:GG18"/>
    <mergeCell ref="GH17:GH18"/>
    <mergeCell ref="AM28:AO28"/>
    <mergeCell ref="AM20:AO20"/>
    <mergeCell ref="HK16:HN16"/>
    <mergeCell ref="GQ17:GQ18"/>
    <mergeCell ref="HG16:HJ16"/>
    <mergeCell ref="EQ17:EU17"/>
    <mergeCell ref="BC17:BE17"/>
    <mergeCell ref="AW30:AX30"/>
    <mergeCell ref="BH17:BI17"/>
    <mergeCell ref="BF18:BF19"/>
    <mergeCell ref="BS28:BX28"/>
    <mergeCell ref="AM29:AO29"/>
    <mergeCell ref="BH18:BH19"/>
    <mergeCell ref="GP17:GP18"/>
    <mergeCell ref="AW28:AX28"/>
    <mergeCell ref="AW29:AX29"/>
    <mergeCell ref="GW16:HF16"/>
    <mergeCell ref="EW17:FA17"/>
    <mergeCell ref="AW46:AX46"/>
    <mergeCell ref="AM41:AO41"/>
    <mergeCell ref="AM44:AO44"/>
    <mergeCell ref="BY44:BY45"/>
    <mergeCell ref="CA26:CA27"/>
    <mergeCell ref="AM42:AO42"/>
    <mergeCell ref="AJ47:AL47"/>
    <mergeCell ref="AW44:AX44"/>
    <mergeCell ref="AJ36:AL36"/>
    <mergeCell ref="AJ37:AL37"/>
    <mergeCell ref="BQ41:BV41"/>
    <mergeCell ref="AW38:AX38"/>
    <mergeCell ref="BS33:BX33"/>
    <mergeCell ref="AW35:AX35"/>
    <mergeCell ref="AJ28:AL28"/>
    <mergeCell ref="AJ23:AL23"/>
    <mergeCell ref="CC44:CD44"/>
    <mergeCell ref="AJ24:AL24"/>
    <mergeCell ref="AJ44:AL44"/>
    <mergeCell ref="BE18:BE19"/>
    <mergeCell ref="BO18:BO19"/>
    <mergeCell ref="BK18:BK19"/>
    <mergeCell ref="AJ29:AL29"/>
    <mergeCell ref="CC45:CD45"/>
    <mergeCell ref="CA44:CA45"/>
    <mergeCell ref="BZ44:BZ45"/>
    <mergeCell ref="AW43:AX43"/>
    <mergeCell ref="AW42:AX42"/>
    <mergeCell ref="BQ42:BW43"/>
    <mergeCell ref="BY47:BY48"/>
    <mergeCell ref="AW45:AX45"/>
    <mergeCell ref="AW49:AX49"/>
    <mergeCell ref="AW48:AX48"/>
    <mergeCell ref="AX60:AY60"/>
    <mergeCell ref="AU60:AW60"/>
    <mergeCell ref="BA139:BA140"/>
    <mergeCell ref="BB139:BC140"/>
    <mergeCell ref="BD139:BD140"/>
    <mergeCell ref="BE139:BE140"/>
    <mergeCell ref="BA137:BH137"/>
    <mergeCell ref="BA102:BH102"/>
    <mergeCell ref="BE104:BE105"/>
    <mergeCell ref="AT84:AW84"/>
    <mergeCell ref="AY84:AZ84"/>
    <mergeCell ref="BB104:BC105"/>
    <mergeCell ref="BD104:BD105"/>
    <mergeCell ref="AX85:AY85"/>
    <mergeCell ref="AV95:AY95"/>
    <mergeCell ref="BA104:BA105"/>
    <mergeCell ref="AU73:BB73"/>
    <mergeCell ref="AR68:AZ68"/>
    <mergeCell ref="AR78:AS78"/>
    <mergeCell ref="AR123:AS123"/>
    <mergeCell ref="AR129:AS129"/>
    <mergeCell ref="AT81:AW81"/>
    <mergeCell ref="AT78:AW78"/>
    <mergeCell ref="AX82:AY82"/>
    <mergeCell ref="AW50:AX50"/>
    <mergeCell ref="AU61:AW61"/>
    <mergeCell ref="AX79:AY79"/>
    <mergeCell ref="AM49:AO49"/>
    <mergeCell ref="AD50:AF50"/>
    <mergeCell ref="AG51:AI51"/>
    <mergeCell ref="AA65:AF65"/>
    <mergeCell ref="AG50:AI50"/>
    <mergeCell ref="AB51:AC51"/>
    <mergeCell ref="AX63:AY63"/>
    <mergeCell ref="AB57:AL57"/>
    <mergeCell ref="AG66:AI66"/>
    <mergeCell ref="AM66:AO66"/>
    <mergeCell ref="AM62:AO62"/>
    <mergeCell ref="AJ62:AL62"/>
    <mergeCell ref="AM64:AO64"/>
    <mergeCell ref="AR65:AZ65"/>
    <mergeCell ref="AJ66:AL66"/>
    <mergeCell ref="AM51:AO51"/>
    <mergeCell ref="AL75:AO75"/>
    <mergeCell ref="AB54:AO54"/>
    <mergeCell ref="AG63:AI63"/>
    <mergeCell ref="AM55:AO55"/>
    <mergeCell ref="AY78:AZ78"/>
    <mergeCell ref="CB84:CB86"/>
    <mergeCell ref="BZ47:BZ48"/>
    <mergeCell ref="CA49:CA50"/>
    <mergeCell ref="CA47:CA48"/>
    <mergeCell ref="AD69:AK69"/>
    <mergeCell ref="V84:AG84"/>
    <mergeCell ref="V85:AG85"/>
    <mergeCell ref="BQ82:BY82"/>
    <mergeCell ref="BY49:BZ50"/>
    <mergeCell ref="BC62:BF64"/>
    <mergeCell ref="BW57:BX57"/>
    <mergeCell ref="U57:W57"/>
    <mergeCell ref="AQ77:AT77"/>
    <mergeCell ref="AT75:AW75"/>
    <mergeCell ref="AQ62:AU62"/>
    <mergeCell ref="AQ63:AU63"/>
    <mergeCell ref="AX61:AY61"/>
    <mergeCell ref="V83:AG83"/>
    <mergeCell ref="AJ49:AL49"/>
    <mergeCell ref="AH83:AK83"/>
    <mergeCell ref="AL74:AO74"/>
    <mergeCell ref="AW47:AX47"/>
    <mergeCell ref="AR66:AZ66"/>
    <mergeCell ref="AX62:AY62"/>
    <mergeCell ref="BI59:BX59"/>
    <mergeCell ref="BQ54:BZ54"/>
    <mergeCell ref="BI56:BX56"/>
    <mergeCell ref="BI60:BX60"/>
    <mergeCell ref="AY75:AZ75"/>
    <mergeCell ref="AJ51:AL51"/>
    <mergeCell ref="AB50:AC50"/>
    <mergeCell ref="AJ50:AL50"/>
    <mergeCell ref="AJ46:AL46"/>
    <mergeCell ref="AD49:AF49"/>
    <mergeCell ref="AG48:AI48"/>
    <mergeCell ref="AD71:AK71"/>
    <mergeCell ref="AR69:AZ69"/>
    <mergeCell ref="AL69:AO69"/>
    <mergeCell ref="AL70:AO70"/>
    <mergeCell ref="AA66:AF66"/>
    <mergeCell ref="AM65:AO65"/>
    <mergeCell ref="AJ63:AL63"/>
    <mergeCell ref="AM63:AO63"/>
    <mergeCell ref="Z70:AB70"/>
    <mergeCell ref="AL71:AO71"/>
    <mergeCell ref="AA64:AF64"/>
    <mergeCell ref="AG64:AI64"/>
    <mergeCell ref="AJ64:AL64"/>
    <mergeCell ref="AL131:AN131"/>
    <mergeCell ref="AO131:AP131"/>
    <mergeCell ref="AG65:AI65"/>
    <mergeCell ref="AJ65:AL65"/>
    <mergeCell ref="T65:Z65"/>
    <mergeCell ref="AC69:AC71"/>
    <mergeCell ref="U60:W60"/>
    <mergeCell ref="X60:Z60"/>
    <mergeCell ref="AN129:AO129"/>
    <mergeCell ref="AL92:AO92"/>
    <mergeCell ref="AL80:AO82"/>
    <mergeCell ref="AN123:AO123"/>
    <mergeCell ref="AL93:AO93"/>
    <mergeCell ref="R71:Y71"/>
    <mergeCell ref="AD70:AK70"/>
    <mergeCell ref="Z71:AB71"/>
    <mergeCell ref="AL73:AO73"/>
    <mergeCell ref="Z74:AK74"/>
    <mergeCell ref="Z75:AK75"/>
    <mergeCell ref="Z73:AK73"/>
    <mergeCell ref="Y73:Y75"/>
    <mergeCell ref="AI127:AJ127"/>
    <mergeCell ref="AM127:AP127"/>
    <mergeCell ref="R89:T89"/>
    <mergeCell ref="L125:M125"/>
    <mergeCell ref="G100:I100"/>
    <mergeCell ref="V86:AG86"/>
    <mergeCell ref="V87:AG87"/>
    <mergeCell ref="V88:AG88"/>
    <mergeCell ref="AH88:AK88"/>
    <mergeCell ref="AH87:AK87"/>
    <mergeCell ref="AH80:AK82"/>
    <mergeCell ref="V80:AF81"/>
    <mergeCell ref="AH84:AK84"/>
    <mergeCell ref="G99:I99"/>
    <mergeCell ref="S102:T103"/>
    <mergeCell ref="R90:T90"/>
    <mergeCell ref="F82:H82"/>
  </mergeCells>
  <conditionalFormatting sqref="A20:W20">
    <cfRule type="expression" dxfId="4098" priority="16">
      <formula>$U$14=0</formula>
    </cfRule>
  </conditionalFormatting>
  <conditionalFormatting sqref="B26:K26">
    <cfRule type="expression" dxfId="4097" priority="26">
      <formula>$U$14=0</formula>
    </cfRule>
  </conditionalFormatting>
  <conditionalFormatting sqref="B29:K29">
    <cfRule type="cellIs" dxfId="4096" priority="13" operator="greaterThan">
      <formula>0</formula>
    </cfRule>
  </conditionalFormatting>
  <conditionalFormatting sqref="C70:G70">
    <cfRule type="cellIs" dxfId="4095" priority="7" operator="greaterThan">
      <formula>0</formula>
    </cfRule>
  </conditionalFormatting>
  <conditionalFormatting sqref="F87:I87">
    <cfRule type="cellIs" dxfId="4094" priority="2" operator="greaterThan">
      <formula>0</formula>
    </cfRule>
  </conditionalFormatting>
  <conditionalFormatting sqref="F86:L86">
    <cfRule type="cellIs" dxfId="4093" priority="3" operator="greaterThan">
      <formula>0</formula>
    </cfRule>
  </conditionalFormatting>
  <conditionalFormatting sqref="H65:J65">
    <cfRule type="expression" dxfId="4092" priority="38">
      <formula>AND($AX$60="Oui",$AZ$62="")</formula>
    </cfRule>
    <cfRule type="expression" dxfId="4091" priority="40">
      <formula>AND($AX$60="Oui",$AZ$62="hrs")</formula>
    </cfRule>
  </conditionalFormatting>
  <conditionalFormatting sqref="H66:J66">
    <cfRule type="expression" dxfId="4090" priority="36">
      <formula>AND($BW$41="Non",$AX$61="Non")</formula>
    </cfRule>
    <cfRule type="expression" dxfId="4089" priority="35">
      <formula>AND($AX$61="Oui",$AZ$63="jrs")</formula>
    </cfRule>
    <cfRule type="expression" dxfId="4088" priority="34">
      <formula>AND($AX$61="Oui",$AZ$63="")</formula>
    </cfRule>
    <cfRule type="expression" dxfId="4087" priority="37">
      <formula>AND($BW$41="Oui",$AX$61="Non")</formula>
    </cfRule>
  </conditionalFormatting>
  <conditionalFormatting sqref="H70:J71">
    <cfRule type="cellIs" dxfId="4086" priority="6" operator="greaterThan">
      <formula>0</formula>
    </cfRule>
  </conditionalFormatting>
  <conditionalFormatting sqref="H65:K66">
    <cfRule type="cellIs" dxfId="4085" priority="33" operator="equal">
      <formula>0</formula>
    </cfRule>
  </conditionalFormatting>
  <conditionalFormatting sqref="H67:M68">
    <cfRule type="cellIs" dxfId="4084" priority="54" operator="equal">
      <formula>0</formula>
    </cfRule>
  </conditionalFormatting>
  <conditionalFormatting sqref="H69:M69">
    <cfRule type="cellIs" dxfId="4083" priority="8" operator="greaterThan">
      <formula>0</formula>
    </cfRule>
  </conditionalFormatting>
  <conditionalFormatting sqref="H40:Z60">
    <cfRule type="cellIs" dxfId="4082" priority="32" operator="equal">
      <formula>0</formula>
    </cfRule>
  </conditionalFormatting>
  <conditionalFormatting sqref="K81:K82 L82:T83 K88:T88 K89:Q90">
    <cfRule type="expression" dxfId="4081" priority="520">
      <formula>$EO$6="OUI"</formula>
    </cfRule>
  </conditionalFormatting>
  <conditionalFormatting sqref="K87">
    <cfRule type="expression" dxfId="4080" priority="4">
      <formula>$EO$6="OUI"</formula>
    </cfRule>
  </conditionalFormatting>
  <conditionalFormatting sqref="L18:O19">
    <cfRule type="cellIs" dxfId="4079" priority="20" operator="equal">
      <formula>0</formula>
    </cfRule>
  </conditionalFormatting>
  <conditionalFormatting sqref="L21:O22">
    <cfRule type="cellIs" dxfId="4078" priority="31" operator="equal">
      <formula>0</formula>
    </cfRule>
  </conditionalFormatting>
  <conditionalFormatting sqref="L27:O28">
    <cfRule type="cellIs" dxfId="4077" priority="14" operator="greaterThan">
      <formula>0</formula>
    </cfRule>
  </conditionalFormatting>
  <conditionalFormatting sqref="L30:O32">
    <cfRule type="cellIs" dxfId="4076" priority="12" operator="greaterThan">
      <formula>0</formula>
    </cfRule>
  </conditionalFormatting>
  <conditionalFormatting sqref="L34:O34">
    <cfRule type="cellIs" dxfId="4075" priority="10" operator="greaterThan">
      <formula>0</formula>
    </cfRule>
  </conditionalFormatting>
  <conditionalFormatting sqref="L23:S24">
    <cfRule type="cellIs" dxfId="4074" priority="15" operator="greaterThan">
      <formula>0</formula>
    </cfRule>
  </conditionalFormatting>
  <conditionalFormatting sqref="L25:S26">
    <cfRule type="cellIs" dxfId="4073" priority="25" operator="equal">
      <formula>0</formula>
    </cfRule>
    <cfRule type="containsErrors" dxfId="4072" priority="24">
      <formula>ISERROR(L25)</formula>
    </cfRule>
  </conditionalFormatting>
  <conditionalFormatting sqref="M87:T87">
    <cfRule type="expression" dxfId="4071" priority="517">
      <formula>$EO$6="OUI"</formula>
    </cfRule>
  </conditionalFormatting>
  <conditionalFormatting sqref="N65:P71">
    <cfRule type="cellIs" dxfId="4070" priority="60" operator="equal">
      <formula>0</formula>
    </cfRule>
  </conditionalFormatting>
  <conditionalFormatting sqref="O86">
    <cfRule type="expression" dxfId="4069" priority="521">
      <formula>EO6="OUI"</formula>
    </cfRule>
  </conditionalFormatting>
  <conditionalFormatting sqref="O14:T14">
    <cfRule type="expression" dxfId="4068" priority="209">
      <formula>$U$14=0</formula>
    </cfRule>
  </conditionalFormatting>
  <conditionalFormatting sqref="P20">
    <cfRule type="expression" dxfId="4067" priority="17">
      <formula>$DP$14=1</formula>
    </cfRule>
  </conditionalFormatting>
  <conditionalFormatting sqref="P18:S18">
    <cfRule type="expression" dxfId="4066" priority="21">
      <formula>$L$18=0</formula>
    </cfRule>
  </conditionalFormatting>
  <conditionalFormatting sqref="P19:S19">
    <cfRule type="expression" dxfId="4065" priority="19">
      <formula>$L$19=0</formula>
    </cfRule>
  </conditionalFormatting>
  <conditionalFormatting sqref="P21:S21">
    <cfRule type="expression" dxfId="4064" priority="30">
      <formula>$L$21=0</formula>
    </cfRule>
  </conditionalFormatting>
  <conditionalFormatting sqref="P22:S22">
    <cfRule type="expression" dxfId="4063" priority="29">
      <formula>$L$22=0</formula>
    </cfRule>
  </conditionalFormatting>
  <conditionalFormatting sqref="R87:T87">
    <cfRule type="expression" dxfId="4062" priority="516">
      <formula>$EO$7="OUI"</formula>
    </cfRule>
  </conditionalFormatting>
  <conditionalFormatting sqref="R89:T89">
    <cfRule type="expression" dxfId="4061" priority="515">
      <formula>$EO$6="OUI"</formula>
    </cfRule>
    <cfRule type="expression" dxfId="4060" priority="514">
      <formula>$EO$8="OUI"</formula>
    </cfRule>
  </conditionalFormatting>
  <conditionalFormatting sqref="R90:T90">
    <cfRule type="expression" dxfId="4059" priority="518">
      <formula>$EO$7="OUI"</formula>
    </cfRule>
    <cfRule type="expression" dxfId="4058" priority="519">
      <formula>$EO$6="OUI"</formula>
    </cfRule>
  </conditionalFormatting>
  <conditionalFormatting sqref="T20">
    <cfRule type="expression" dxfId="4057" priority="18">
      <formula>$DP$14=1</formula>
    </cfRule>
  </conditionalFormatting>
  <conditionalFormatting sqref="T30:T32">
    <cfRule type="cellIs" dxfId="4056" priority="28" operator="equal">
      <formula>0</formula>
    </cfRule>
  </conditionalFormatting>
  <conditionalFormatting sqref="T18:W19">
    <cfRule type="cellIs" dxfId="4055" priority="22" operator="equal">
      <formula>0</formula>
    </cfRule>
  </conditionalFormatting>
  <conditionalFormatting sqref="T21:W28">
    <cfRule type="cellIs" dxfId="4054" priority="27" operator="equal">
      <formula>0</formula>
    </cfRule>
  </conditionalFormatting>
  <conditionalFormatting sqref="T29:W29">
    <cfRule type="cellIs" dxfId="4053" priority="11" operator="greaterThan">
      <formula>0</formula>
    </cfRule>
  </conditionalFormatting>
  <conditionalFormatting sqref="T33:W33">
    <cfRule type="cellIs" dxfId="4052" priority="9" operator="greaterThan">
      <formula>0</formula>
    </cfRule>
  </conditionalFormatting>
  <conditionalFormatting sqref="T34:W34">
    <cfRule type="cellIs" dxfId="4051" priority="23" operator="equal">
      <formula>0</formula>
    </cfRule>
  </conditionalFormatting>
  <conditionalFormatting sqref="U14:X14">
    <cfRule type="cellIs" dxfId="4050" priority="207" operator="equal">
      <formula>0</formula>
    </cfRule>
  </conditionalFormatting>
  <conditionalFormatting sqref="V80:AF81">
    <cfRule type="cellIs" dxfId="4049" priority="1" operator="notEqual">
      <formula>"Commentaires :"</formula>
    </cfRule>
  </conditionalFormatting>
  <conditionalFormatting sqref="Y73:AO75">
    <cfRule type="expression" dxfId="4048" priority="64">
      <formula>$DP$8=52</formula>
    </cfRule>
  </conditionalFormatting>
  <conditionalFormatting sqref="AB20:AC50">
    <cfRule type="expression" dxfId="4047" priority="429">
      <formula>WEEKDAY(AB20,2)=7</formula>
    </cfRule>
    <cfRule type="expression" dxfId="4046" priority="431">
      <formula>VLOOKUP(AB20,base_feries,1,FALSE)</formula>
    </cfRule>
    <cfRule type="expression" dxfId="4045" priority="430">
      <formula>OR(WEEKDAY(AB20,2)=6,WEEKDAY(AB20,2)=7)</formula>
    </cfRule>
  </conditionalFormatting>
  <conditionalFormatting sqref="AD20:AF50">
    <cfRule type="expression" dxfId="4044" priority="301">
      <formula>FC20="oui"</formula>
    </cfRule>
    <cfRule type="cellIs" dxfId="4043" priority="302" operator="equal">
      <formula>0</formula>
    </cfRule>
  </conditionalFormatting>
  <conditionalFormatting sqref="AG20:AI50">
    <cfRule type="expression" dxfId="4042" priority="303">
      <formula>FC20="oui"</formula>
    </cfRule>
  </conditionalFormatting>
  <conditionalFormatting sqref="AH83:AH84">
    <cfRule type="cellIs" dxfId="4041" priority="531" stopIfTrue="1" operator="equal">
      <formula>0</formula>
    </cfRule>
  </conditionalFormatting>
  <conditionalFormatting sqref="AH89:AH91">
    <cfRule type="cellIs" dxfId="4040" priority="69" stopIfTrue="1" operator="equal">
      <formula>0</formula>
    </cfRule>
  </conditionalFormatting>
  <conditionalFormatting sqref="AH93:AK93">
    <cfRule type="cellIs" dxfId="4039" priority="522" operator="equal">
      <formula>0</formula>
    </cfRule>
  </conditionalFormatting>
  <conditionalFormatting sqref="AH86:AL87">
    <cfRule type="cellIs" dxfId="4038" priority="65" stopIfTrue="1" operator="equal">
      <formula>0</formula>
    </cfRule>
  </conditionalFormatting>
  <conditionalFormatting sqref="AH92:AO92">
    <cfRule type="cellIs" dxfId="4037" priority="239" operator="lessThan">
      <formula>-0.001</formula>
    </cfRule>
  </conditionalFormatting>
  <conditionalFormatting sqref="AJ20:AL50">
    <cfRule type="expression" dxfId="4036" priority="304">
      <formula>FC20="oui"</formula>
    </cfRule>
  </conditionalFormatting>
  <conditionalFormatting sqref="AL83">
    <cfRule type="cellIs" dxfId="4035" priority="530" stopIfTrue="1" operator="equal">
      <formula>0</formula>
    </cfRule>
  </conditionalFormatting>
  <conditionalFormatting sqref="AL89:AL91">
    <cfRule type="cellIs" dxfId="4034" priority="68" stopIfTrue="1" operator="equal">
      <formula>0</formula>
    </cfRule>
  </conditionalFormatting>
  <conditionalFormatting sqref="AL93">
    <cfRule type="cellIs" dxfId="4033" priority="529" stopIfTrue="1" operator="equal">
      <formula>0</formula>
    </cfRule>
  </conditionalFormatting>
  <conditionalFormatting sqref="AM20:AO50">
    <cfRule type="expression" dxfId="4032" priority="305">
      <formula>FC20="oui"</formula>
    </cfRule>
  </conditionalFormatting>
  <conditionalFormatting sqref="AP20:AP50">
    <cfRule type="expression" dxfId="4031" priority="150">
      <formula>BL20="B"</formula>
    </cfRule>
    <cfRule type="expression" dxfId="4030" priority="148">
      <formula>BL20="D"</formula>
    </cfRule>
    <cfRule type="expression" dxfId="4029" priority="144">
      <formula>BL20="H"</formula>
    </cfRule>
    <cfRule type="expression" dxfId="4028" priority="145">
      <formula>BL20="G"</formula>
    </cfRule>
    <cfRule type="expression" dxfId="4027" priority="146">
      <formula>BL20="F"</formula>
    </cfRule>
    <cfRule type="expression" dxfId="4026" priority="147">
      <formula>BL20="E"</formula>
    </cfRule>
    <cfRule type="expression" dxfId="4025" priority="149">
      <formula>BL20="C"</formula>
    </cfRule>
  </conditionalFormatting>
  <conditionalFormatting sqref="AQ62:AU62">
    <cfRule type="expression" dxfId="4024" priority="46">
      <formula>$AT$60="Non"</formula>
    </cfRule>
  </conditionalFormatting>
  <conditionalFormatting sqref="AQ63:AU63">
    <cfRule type="expression" dxfId="4023" priority="43">
      <formula>$AT$61="Non"</formula>
    </cfRule>
  </conditionalFormatting>
  <conditionalFormatting sqref="AR20:AR50">
    <cfRule type="expression" dxfId="4022" priority="189">
      <formula>AND(AR20&lt;&gt;"",AZ20&lt;&gt;"")</formula>
    </cfRule>
    <cfRule type="expression" dxfId="4021" priority="185">
      <formula>FN20=10</formula>
    </cfRule>
    <cfRule type="expression" dxfId="4020" priority="181">
      <formula>FC20="oui"</formula>
    </cfRule>
    <cfRule type="expression" dxfId="4019" priority="173">
      <formula>AB20=""</formula>
    </cfRule>
  </conditionalFormatting>
  <conditionalFormatting sqref="AR17:BJ50">
    <cfRule type="expression" dxfId="4018" priority="49">
      <formula>$EX$13="oui"</formula>
    </cfRule>
  </conditionalFormatting>
  <conditionalFormatting sqref="AS51:BJ51 DK51">
    <cfRule type="expression" dxfId="4017" priority="134">
      <formula>$EX$13="oui"</formula>
    </cfRule>
  </conditionalFormatting>
  <conditionalFormatting sqref="AT4:AT10">
    <cfRule type="expression" dxfId="4016" priority="450">
      <formula>AU4="D"</formula>
    </cfRule>
    <cfRule type="expression" dxfId="4015" priority="451">
      <formula>AU4="C"</formula>
    </cfRule>
    <cfRule type="expression" dxfId="4014" priority="452">
      <formula>AU4="B"</formula>
    </cfRule>
    <cfRule type="expression" dxfId="4013" priority="446">
      <formula>AU4="H"</formula>
    </cfRule>
    <cfRule type="expression" dxfId="4012" priority="447">
      <formula>AU4="G"</formula>
    </cfRule>
    <cfRule type="expression" dxfId="4011" priority="448">
      <formula>AU4="F"</formula>
    </cfRule>
    <cfRule type="expression" dxfId="4010" priority="449">
      <formula>AU4="E"</formula>
    </cfRule>
  </conditionalFormatting>
  <conditionalFormatting sqref="AT20:AT50">
    <cfRule type="expression" dxfId="4009" priority="184">
      <formula>FC20="oui"</formula>
    </cfRule>
    <cfRule type="expression" dxfId="4008" priority="180">
      <formula>AB20=""</formula>
    </cfRule>
  </conditionalFormatting>
  <conditionalFormatting sqref="AU4:AU10">
    <cfRule type="expression" dxfId="4007" priority="382">
      <formula>AT4=""</formula>
    </cfRule>
    <cfRule type="expression" dxfId="4006" priority="383">
      <formula>FG4="rouge"</formula>
    </cfRule>
  </conditionalFormatting>
  <conditionalFormatting sqref="AU20:AU50">
    <cfRule type="expression" dxfId="4005" priority="179">
      <formula>AB20=""</formula>
    </cfRule>
    <cfRule type="expression" dxfId="4004" priority="188">
      <formula>FC20="oui"</formula>
    </cfRule>
  </conditionalFormatting>
  <conditionalFormatting sqref="AW20:AX50">
    <cfRule type="expression" dxfId="4003" priority="193">
      <formula>VLOOKUP(AW20,base_feries,1,FALSE)</formula>
    </cfRule>
    <cfRule type="expression" dxfId="4002" priority="191">
      <formula>WEEKDAY(AW20,2)=7</formula>
    </cfRule>
    <cfRule type="expression" dxfId="4001" priority="192">
      <formula>OR(WEEKDAY(AW20,2)=6,WEEKDAY(AW20,2)=7)</formula>
    </cfRule>
  </conditionalFormatting>
  <conditionalFormatting sqref="AX62:AZ62">
    <cfRule type="expression" dxfId="4000" priority="45">
      <formula>$AX$60="Non"</formula>
    </cfRule>
  </conditionalFormatting>
  <conditionalFormatting sqref="AX63:AZ63">
    <cfRule type="expression" dxfId="3999" priority="42">
      <formula>$AX$61="Non"</formula>
    </cfRule>
  </conditionalFormatting>
  <conditionalFormatting sqref="AZ20:AZ50">
    <cfRule type="expression" dxfId="3998" priority="50">
      <formula>AB20=""</formula>
    </cfRule>
    <cfRule type="expression" dxfId="3997" priority="51">
      <formula>FC20="oui"</formula>
    </cfRule>
    <cfRule type="expression" dxfId="3996" priority="52">
      <formula>FL20=10</formula>
    </cfRule>
    <cfRule type="expression" dxfId="3995" priority="53">
      <formula>AND(AR20&lt;&gt;"",AZ20&lt;&gt;"")</formula>
    </cfRule>
  </conditionalFormatting>
  <conditionalFormatting sqref="BA20:BA50">
    <cfRule type="expression" dxfId="3994" priority="178">
      <formula>AB20=""</formula>
    </cfRule>
    <cfRule type="expression" dxfId="3993" priority="182">
      <formula>FC20="oui"</formula>
    </cfRule>
  </conditionalFormatting>
  <conditionalFormatting sqref="BA62">
    <cfRule type="expression" dxfId="3992" priority="44">
      <formula>$BA$60="Non"</formula>
    </cfRule>
  </conditionalFormatting>
  <conditionalFormatting sqref="BA63">
    <cfRule type="expression" dxfId="3991" priority="41">
      <formula>$BA$61="Non"</formula>
    </cfRule>
  </conditionalFormatting>
  <conditionalFormatting sqref="BA102 BA103:BH115">
    <cfRule type="expression" dxfId="3990" priority="67">
      <formula>$DP$8=52</formula>
    </cfRule>
  </conditionalFormatting>
  <conditionalFormatting sqref="BA137 BA138:BH149">
    <cfRule type="expression" dxfId="3989" priority="66">
      <formula>$DP$8=52</formula>
    </cfRule>
  </conditionalFormatting>
  <conditionalFormatting sqref="BC20:BC55">
    <cfRule type="expression" dxfId="3988" priority="175">
      <formula>AJ20=""</formula>
    </cfRule>
    <cfRule type="cellIs" dxfId="3987" priority="187" operator="equal">
      <formula>0</formula>
    </cfRule>
  </conditionalFormatting>
  <conditionalFormatting sqref="BC112:BH112">
    <cfRule type="expression" dxfId="3986" priority="95">
      <formula>$BA$112=""</formula>
    </cfRule>
  </conditionalFormatting>
  <conditionalFormatting sqref="BC147:BH147">
    <cfRule type="expression" dxfId="3985" priority="94">
      <formula>$BA$112=""</formula>
    </cfRule>
  </conditionalFormatting>
  <conditionalFormatting sqref="BD20:BD50">
    <cfRule type="expression" dxfId="3984" priority="176">
      <formula>FL20="oui"</formula>
    </cfRule>
  </conditionalFormatting>
  <conditionalFormatting sqref="BE20:BE50">
    <cfRule type="expression" dxfId="3983" priority="186">
      <formula>OR(BE20=0,BE20="")</formula>
    </cfRule>
  </conditionalFormatting>
  <conditionalFormatting sqref="BH20:BH50">
    <cfRule type="expression" dxfId="3982" priority="135">
      <formula>AO20=""</formula>
    </cfRule>
    <cfRule type="cellIs" dxfId="3981" priority="172" operator="equal">
      <formula>0</formula>
    </cfRule>
  </conditionalFormatting>
  <conditionalFormatting sqref="BI9:BI14">
    <cfRule type="cellIs" dxfId="3980" priority="101" operator="equal">
      <formula>0</formula>
    </cfRule>
  </conditionalFormatting>
  <conditionalFormatting sqref="BQ54">
    <cfRule type="expression" dxfId="3979" priority="426">
      <formula>$BW$41="Non"</formula>
    </cfRule>
  </conditionalFormatting>
  <conditionalFormatting sqref="BQ36:CA36">
    <cfRule type="expression" dxfId="3978" priority="427">
      <formula>$BW$41="Oui"</formula>
    </cfRule>
  </conditionalFormatting>
  <conditionalFormatting sqref="BS21:CA34">
    <cfRule type="expression" dxfId="3977" priority="81">
      <formula>$EO$12="NON"</formula>
    </cfRule>
  </conditionalFormatting>
  <conditionalFormatting sqref="BY28:BY33">
    <cfRule type="notContainsBlanks" dxfId="3976" priority="82">
      <formula>LEN(TRIM(BY28))&gt;0</formula>
    </cfRule>
  </conditionalFormatting>
  <conditionalFormatting sqref="BY56">
    <cfRule type="duplicateValues" dxfId="3975" priority="474"/>
    <cfRule type="expression" dxfId="3974" priority="473">
      <formula>$BW$41="Oui"</formula>
    </cfRule>
  </conditionalFormatting>
  <conditionalFormatting sqref="BY60">
    <cfRule type="duplicateValues" dxfId="3973" priority="469"/>
    <cfRule type="expression" dxfId="3972" priority="467">
      <formula>$BW$41="Oui"</formula>
    </cfRule>
    <cfRule type="cellIs" dxfId="3971" priority="468" operator="lessThan">
      <formula>$BY$59</formula>
    </cfRule>
  </conditionalFormatting>
  <conditionalFormatting sqref="CA56">
    <cfRule type="expression" dxfId="3970" priority="278">
      <formula>AND($CA$56&lt;$CE$47,$BW$41="Non")</formula>
    </cfRule>
  </conditionalFormatting>
  <conditionalFormatting sqref="CB21:CC34 BS35:CC35">
    <cfRule type="expression" dxfId="3969" priority="415">
      <formula>OR($DP$14=1,$U$14=0)</formula>
    </cfRule>
  </conditionalFormatting>
  <conditionalFormatting sqref="CB34:CC35">
    <cfRule type="expression" dxfId="3968" priority="272">
      <formula>$DP$14=1</formula>
    </cfRule>
  </conditionalFormatting>
  <conditionalFormatting sqref="CE53:CE54">
    <cfRule type="expression" dxfId="3967" priority="153">
      <formula>$BW$41="Non"</formula>
    </cfRule>
  </conditionalFormatting>
  <conditionalFormatting sqref="CE57:CE58">
    <cfRule type="expression" dxfId="3966" priority="152">
      <formula>$BW$41="Non"</formula>
    </cfRule>
  </conditionalFormatting>
  <conditionalFormatting sqref="CE3:CF3">
    <cfRule type="expression" dxfId="3965" priority="113">
      <formula>AND($CE$3="",$CE$5&lt;&gt;"")</formula>
    </cfRule>
    <cfRule type="expression" dxfId="3964" priority="114">
      <formula>$CD$3=""</formula>
    </cfRule>
    <cfRule type="expression" dxfId="3963" priority="112">
      <formula>$FX$3="vrai"</formula>
    </cfRule>
  </conditionalFormatting>
  <conditionalFormatting sqref="CE5:CF5">
    <cfRule type="expression" dxfId="3962" priority="120">
      <formula>CD5=""</formula>
    </cfRule>
    <cfRule type="expression" dxfId="3961" priority="119">
      <formula>$FX$5="vrai"</formula>
    </cfRule>
    <cfRule type="expression" dxfId="3960" priority="121">
      <formula>OR(AND(CE5&lt;&gt;0,CE5&lt;AJ4),AND(CE5&lt;&gt;0,CE5&gt;EG5),AND(CE5&lt;&gt;0,CE5&lt;AB20))</formula>
    </cfRule>
  </conditionalFormatting>
  <conditionalFormatting sqref="CE8:CF8">
    <cfRule type="expression" dxfId="3959" priority="115">
      <formula>$FX$8="vrai"</formula>
    </cfRule>
    <cfRule type="expression" dxfId="3958" priority="116">
      <formula>CD8=""</formula>
    </cfRule>
    <cfRule type="expression" dxfId="3957" priority="117">
      <formula>AND(CE8&lt;&gt;0,CE8&lt;AJ4)</formula>
    </cfRule>
    <cfRule type="cellIs" dxfId="3956" priority="118" operator="greaterThan">
      <formula>$CE$5</formula>
    </cfRule>
  </conditionalFormatting>
  <conditionalFormatting sqref="CF47">
    <cfRule type="notContainsBlanks" dxfId="3955" priority="414">
      <formula>LEN(TRIM(CF47))&gt;0</formula>
    </cfRule>
  </conditionalFormatting>
  <conditionalFormatting sqref="CF49">
    <cfRule type="notContainsBlanks" dxfId="3954" priority="413">
      <formula>LEN(TRIM(CF49))&gt;0</formula>
    </cfRule>
  </conditionalFormatting>
  <conditionalFormatting sqref="CF53:CF54">
    <cfRule type="expression" dxfId="3953" priority="156">
      <formula>$BW$41="Non"</formula>
    </cfRule>
  </conditionalFormatting>
  <conditionalFormatting sqref="CF57:CF58">
    <cfRule type="expression" dxfId="3952" priority="154">
      <formula>$BW$41="Non"</formula>
    </cfRule>
  </conditionalFormatting>
  <conditionalFormatting sqref="CG8:CI8">
    <cfRule type="expression" dxfId="3951" priority="248">
      <formula>CD8=""</formula>
    </cfRule>
  </conditionalFormatting>
  <conditionalFormatting sqref="GW16:HR16">
    <cfRule type="expression" dxfId="3950" priority="404">
      <formula>$AE$123="NON"</formula>
    </cfRule>
  </conditionalFormatting>
  <conditionalFormatting sqref="HG16:HJ16">
    <cfRule type="expression" dxfId="3949" priority="4896">
      <formula>AR123&gt;0</formula>
    </cfRule>
  </conditionalFormatting>
  <conditionalFormatting sqref="HK16:HN16">
    <cfRule type="expression" dxfId="3948" priority="4897">
      <formula>AR123&gt;0</formula>
    </cfRule>
  </conditionalFormatting>
  <dataValidations count="22">
    <dataValidation operator="lessThanOrEqual" allowBlank="1" showErrorMessage="1" errorTitle="erreur plafond" error="Le bulletin n'est pas adapté pour les salaires suppérieurs à la première tranche du plafond de la CPAM soit 3377 €" sqref="T35" xr:uid="{00000000-0002-0000-2400-000000000000}">
      <formula1>0</formula1>
      <formula2>0</formula2>
    </dataValidation>
    <dataValidation type="list" allowBlank="1" showInputMessage="1" showErrorMessage="1" sqref="F80:H80" xr:uid="{00000000-0002-0000-2400-000001000000}">
      <formula1>"Chèque,Espèce,Virement,Pajemploi +,CESU"</formula1>
    </dataValidation>
    <dataValidation type="list" allowBlank="1" showInputMessage="1" showErrorMessage="1" sqref="F82:H82" xr:uid="{00000000-0002-0000-2400-000002000000}">
      <formula1>"' ,Chèque,Espèce,Virement,Pajemploi +,CESU"</formula1>
    </dataValidation>
    <dataValidation type="list" allowBlank="1" showInputMessage="1" showErrorMessage="1" sqref="AU4:AU10" xr:uid="{00000000-0002-0000-2400-000004000000}">
      <formula1>"A,B,C,D,E,F,G,H"</formula1>
    </dataValidation>
    <dataValidation showInputMessage="1" showErrorMessage="1" sqref="BY6" xr:uid="{00000000-0002-0000-2400-000005000000}"/>
    <dataValidation type="list" allowBlank="1" showInputMessage="1" showErrorMessage="1" sqref="L123:M123 L125:M125 AI127:AJ127 AJ125:AK125 CC132 BF20:BF50" xr:uid="{00000000-0002-0000-2400-000006000000}">
      <formula1>"OUI,NON"</formula1>
    </dataValidation>
    <dataValidation type="list" allowBlank="1" showInputMessage="1" showErrorMessage="1" sqref="BX41" xr:uid="{00000000-0002-0000-2400-000007000000}">
      <formula1>Table_utilisation_tab_entretien</formula1>
    </dataValidation>
    <dataValidation type="list" showInputMessage="1" showErrorMessage="1" sqref="AR14:AZ14" xr:uid="{00000000-0002-0000-2400-000009000000}">
      <formula1>calendrier_bs</formula1>
    </dataValidation>
    <dataValidation type="list" showInputMessage="1" showErrorMessage="1" sqref="BZ118" xr:uid="{00000000-0002-0000-2400-00000A000000}">
      <formula1>"Scénario 1,Scénario 2,Scénario 3,Scénario 4,"</formula1>
    </dataValidation>
    <dataValidation type="list" allowBlank="1" showInputMessage="1" showErrorMessage="1" sqref="BZ2" xr:uid="{00000000-0002-0000-2400-00000B000000}">
      <formula1>Source_liste_fiche2</formula1>
    </dataValidation>
    <dataValidation type="list" allowBlank="1" showInputMessage="1" sqref="CF58 CF54 DJ51:DK52" xr:uid="{00000000-0002-0000-2400-00000C000000}">
      <formula1>"1,2,3,4,5,6,7,8,9,10,11,12,13"</formula1>
    </dataValidation>
    <dataValidation allowBlank="1" showInputMessage="1" sqref="BY56 BY60 CE54 CE58" xr:uid="{00000000-0002-0000-2400-00000D000000}"/>
    <dataValidation type="list" allowBlank="1" showInputMessage="1" sqref="BY57" xr:uid="{00000000-0002-0000-2400-00000E000000}">
      <formula1>"0,1,2,3,4,5,6,7,8,9,10,11,12,13,14,24"</formula1>
    </dataValidation>
    <dataValidation type="list" allowBlank="1" showInputMessage="1" showErrorMessage="1" sqref="AX76:AY76 AX79:AY79 AX82:AY82 AX85:AY85" xr:uid="{00000000-0002-0000-2400-00000F000000}">
      <formula1>liste_attestation_modif_pole</formula1>
    </dataValidation>
    <dataValidation type="list" allowBlank="1" showInputMessage="1" showErrorMessage="1" sqref="CE3:CF3" xr:uid="{00000000-0002-0000-2400-000010000000}">
      <formula1>motif_rupture</formula1>
    </dataValidation>
    <dataValidation type="list" showInputMessage="1" showErrorMessage="1" error="Vous devez choisir entre :_x000a_ - cellule vide_x000a_ - CP Acq_x000a_ - CP Ant" sqref="AR20:AR50" xr:uid="{00000000-0002-0000-2400-000011000000}">
      <formula1>Source_pose_CP</formula1>
    </dataValidation>
    <dataValidation type="list" allowBlank="1" showInputMessage="1" showErrorMessage="1" sqref="BA60:BA61 AT60:AT61 AX60:AY61" xr:uid="{5A5439AE-BCD4-4D2B-960C-779404A89A44}">
      <formula1>"Non,Oui"</formula1>
    </dataValidation>
    <dataValidation allowBlank="1" showInputMessage="1" showErrorMessage="1" prompt="Vous pouvez choisir avec la petite flèche à droite &quot;Salaires heures normales réelles &quot;" sqref="A18:K18" xr:uid="{6536D4B9-A912-44D1-9789-B21511868F4B}"/>
    <dataValidation type="list" errorStyle="information" allowBlank="1" showInputMessage="1" showErrorMessage="1" error="Faites Entrée pour valider le nombre d'heures" sqref="AZ20:AZ50" xr:uid="{8DA6208D-859C-49A9-92BA-C992D35D1DAE}">
      <formula1>liste_motif</formula1>
    </dataValidation>
    <dataValidation type="list" allowBlank="1" showInputMessage="1" showErrorMessage="1" sqref="AZ62:AZ63" xr:uid="{E45F4B43-632C-4F39-A439-836FB3E47E3E}">
      <formula1>liste_hrs_jrs</formula1>
    </dataValidation>
    <dataValidation type="list" allowBlank="1" showInputMessage="1" showErrorMessage="1" sqref="AO131:AP133 AH133:AI133" xr:uid="{C65FECCD-6523-4B72-B638-0A2C9B8A0A0F}">
      <formula1>"Oui,Non"</formula1>
    </dataValidation>
    <dataValidation type="list" allowBlank="1" showInputMessage="1" showErrorMessage="1" sqref="AJ135:AK135" xr:uid="{4CEC0CE9-4EBF-405E-AF9B-E297D1F72DB2}">
      <formula1>liste_vide_oui_non</formula1>
    </dataValidation>
  </dataValidations>
  <printOptions horizontalCentered="1" verticalCentered="1"/>
  <pageMargins left="0.19652777777777777" right="0.19652777777777777" top="0.19652777777777777" bottom="0.19652777777777777" header="0.51180555555555551" footer="0.51180555555555551"/>
  <pageSetup paperSize="9" scale="70"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3" id="{29DFCA13-13A9-4DFB-9629-B1996A0698D6}">
            <xm:f>Avril!$BY$8="OUI"</xm:f>
            <x14:dxf>
              <font>
                <color theme="0"/>
              </font>
              <fill>
                <patternFill>
                  <bgColor theme="0"/>
                </patternFill>
              </fill>
            </x14:dxf>
          </x14:cfRule>
          <xm:sqref>BZ8</xm:sqref>
        </x14:conditionalFormatting>
        <x14:conditionalFormatting xmlns:xm="http://schemas.microsoft.com/office/excel/2006/main">
          <x14:cfRule type="expression" priority="157" id="{37B55ADC-411D-4E96-8534-C56DE9A877EB}">
            <xm:f>AND($EO$11="NON",$CC$44=S.CAL!$BC$4)</xm:f>
            <x14:dxf>
              <fill>
                <patternFill>
                  <bgColor rgb="FFFF0000"/>
                </patternFill>
              </fill>
            </x14:dxf>
          </x14:cfRule>
          <xm:sqref>CF53:CF54</xm:sqref>
        </x14:conditionalFormatting>
        <x14:conditionalFormatting xmlns:xm="http://schemas.microsoft.com/office/excel/2006/main">
          <x14:cfRule type="expression" priority="151" id="{64FEB0F9-2A96-4DAE-A31A-B9454CAC9C61}">
            <xm:f>AND($CF$55&lt;$CE$49/9,$CF$55&lt;&gt;"",$BW$41="Oui",$CC$44=S.CAL!$BC$4)</xm:f>
            <x14:dxf>
              <fill>
                <patternFill>
                  <bgColor rgb="FFFF0000"/>
                </patternFill>
              </fill>
            </x14:dxf>
          </x14:cfRule>
          <xm:sqref>CF55</xm:sqref>
        </x14:conditionalFormatting>
        <x14:conditionalFormatting xmlns:xm="http://schemas.microsoft.com/office/excel/2006/main">
          <x14:cfRule type="expression" priority="155" id="{58B56ACB-D189-4823-9D6C-091E9D7A4776}">
            <xm:f>AND($EP$11="NON",$CC$44=S.CAL!$BC$5)</xm:f>
            <x14:dxf>
              <fill>
                <patternFill>
                  <bgColor rgb="FFFF0000"/>
                </patternFill>
              </fill>
            </x14:dxf>
          </x14:cfRule>
          <xm:sqref>CF57:CF58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2400-000013000000}">
          <x14:formula1>
            <xm:f>S.CAL!$V$2:$V$4</xm:f>
          </x14:formula1>
          <xm:sqref>AN123:AO123 BZ8 AN129:AO129</xm:sqref>
        </x14:dataValidation>
        <x14:dataValidation type="list" allowBlank="1" showInputMessage="1" showErrorMessage="1" xr:uid="{00000000-0002-0000-2400-000014000000}">
          <x14:formula1>
            <xm:f>S.CAL!$S$2:$S$4</xm:f>
          </x14:formula1>
          <xm:sqref>BZ6</xm:sqref>
        </x14:dataValidation>
        <x14:dataValidation type="list" allowBlank="1" showInputMessage="1" showErrorMessage="1" xr:uid="{51F2C931-A870-4737-844B-B7C3BF3BAFBC}">
          <x14:formula1>
            <xm:f>S.CAL!$BC$2:$BC$5</xm:f>
          </x14:formula1>
          <xm:sqref>CC45:CD45</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70C0"/>
    <pageSetUpPr fitToPage="1"/>
  </sheetPr>
  <dimension ref="A1:T18"/>
  <sheetViews>
    <sheetView showGridLines="0" zoomScale="90" zoomScaleNormal="90" workbookViewId="0">
      <selection activeCell="B3" sqref="B3"/>
    </sheetView>
  </sheetViews>
  <sheetFormatPr baseColWidth="10" defaultColWidth="10.7109375" defaultRowHeight="12.75" x14ac:dyDescent="0.2"/>
  <cols>
    <col min="1" max="1" width="10.7109375" style="129"/>
    <col min="2" max="2" width="17.85546875" style="129" customWidth="1"/>
    <col min="3" max="3" width="16.28515625" style="129" customWidth="1"/>
    <col min="4" max="4" width="17.42578125" style="129" customWidth="1"/>
    <col min="5" max="5" width="21.28515625" style="129" customWidth="1"/>
    <col min="6" max="6" width="14.85546875" style="129" customWidth="1"/>
    <col min="7" max="7" width="10.7109375" style="129"/>
    <col min="8" max="10" width="12" style="129" customWidth="1"/>
    <col min="11" max="11" width="10.7109375" style="129"/>
    <col min="12" max="12" width="16.28515625" style="129" customWidth="1"/>
    <col min="13" max="21" width="10.7109375" style="129"/>
    <col min="22" max="22" width="17.85546875" style="129" customWidth="1"/>
    <col min="23" max="23" width="14.28515625" style="129" customWidth="1"/>
    <col min="24" max="16384" width="10.7109375" style="129"/>
  </cols>
  <sheetData>
    <row r="1" spans="1:20" ht="23.25" customHeight="1" x14ac:dyDescent="0.25">
      <c r="A1" s="2427" t="str">
        <f>+"ENFANT : "&amp;Identification!B25</f>
        <v>ENFANT : 0</v>
      </c>
      <c r="B1" s="2427"/>
      <c r="C1" s="2427"/>
      <c r="D1" s="2427"/>
      <c r="E1" s="2427"/>
      <c r="F1" s="2428" t="str">
        <f>+'Mode d''utilisation'!E2</f>
        <v>Syndicat National FO des Emplois de la Famille         www.emploisdelafamille-fo.fr</v>
      </c>
      <c r="G1" s="2428"/>
      <c r="H1" s="2428"/>
      <c r="I1" s="2428"/>
      <c r="J1" s="2428"/>
      <c r="K1" s="2428"/>
      <c r="L1" s="2428"/>
      <c r="M1" s="128"/>
    </row>
    <row r="2" spans="1:20" ht="18" x14ac:dyDescent="0.25">
      <c r="B2" s="128" t="s">
        <v>82</v>
      </c>
      <c r="D2" s="130">
        <f>Janvier!X4</f>
        <v>2026</v>
      </c>
      <c r="G2" s="131" t="s">
        <v>455</v>
      </c>
      <c r="H2" s="134">
        <f>+Identification!B107</f>
        <v>12.02</v>
      </c>
      <c r="I2" s="132" t="s">
        <v>1102</v>
      </c>
      <c r="J2" s="132"/>
    </row>
    <row r="3" spans="1:20" ht="18" x14ac:dyDescent="0.25">
      <c r="C3" s="128"/>
      <c r="E3" s="128"/>
      <c r="F3" s="128"/>
      <c r="G3" s="131" t="s">
        <v>460</v>
      </c>
      <c r="H3" s="1142" t="s">
        <v>137</v>
      </c>
      <c r="I3" s="133" t="str">
        <f>+IF(H3="OUI","Abattement 4 fois le montant horaire du SMIC brut","Abattement 3 fois le montant horaire du SMIC brut")</f>
        <v>Abattement 3 fois le montant horaire du SMIC brut</v>
      </c>
      <c r="O3" s="1654" t="s">
        <v>430</v>
      </c>
      <c r="P3" s="1654"/>
      <c r="Q3" s="1654"/>
      <c r="R3" s="1654"/>
      <c r="S3" s="198"/>
      <c r="T3" s="198"/>
    </row>
    <row r="5" spans="1:20" ht="51.75" customHeight="1" thickBot="1" x14ac:dyDescent="0.25">
      <c r="A5" s="118" t="s">
        <v>26</v>
      </c>
      <c r="B5" s="1412" t="s">
        <v>83</v>
      </c>
      <c r="C5" s="1412" t="s">
        <v>1486</v>
      </c>
      <c r="D5" s="1412" t="s">
        <v>84</v>
      </c>
      <c r="E5" s="1412" t="s">
        <v>85</v>
      </c>
      <c r="F5" s="1412" t="s">
        <v>458</v>
      </c>
      <c r="G5" s="1412" t="s">
        <v>86</v>
      </c>
      <c r="H5" s="1412" t="s">
        <v>147</v>
      </c>
      <c r="I5" s="118" t="s">
        <v>459</v>
      </c>
      <c r="J5" s="118" t="s">
        <v>456</v>
      </c>
      <c r="L5" s="118" t="s">
        <v>87</v>
      </c>
      <c r="O5" s="118" t="s">
        <v>145</v>
      </c>
      <c r="P5" s="118" t="s">
        <v>218</v>
      </c>
      <c r="Q5" s="118" t="s">
        <v>146</v>
      </c>
      <c r="R5" s="118" t="s">
        <v>88</v>
      </c>
      <c r="T5" s="118" t="s">
        <v>1101</v>
      </c>
    </row>
    <row r="6" spans="1:20" ht="21" customHeight="1" thickTop="1" x14ac:dyDescent="0.2">
      <c r="A6" s="1392">
        <f>+Identification!B61</f>
        <v>46023</v>
      </c>
      <c r="B6" s="1400">
        <f ca="1">Janvier!$E$74</f>
        <v>0</v>
      </c>
      <c r="C6" s="1401">
        <f>Janvier!$E$75</f>
        <v>0</v>
      </c>
      <c r="D6" s="1402">
        <f>Janvier!$AL$70</f>
        <v>0</v>
      </c>
      <c r="E6" s="1402">
        <f>Janvier!$AL$71</f>
        <v>0</v>
      </c>
      <c r="F6" s="1403"/>
      <c r="G6" s="1401">
        <f ca="1">Janvier!$E$77</f>
        <v>0</v>
      </c>
      <c r="H6" s="1404">
        <f>+R6</f>
        <v>0</v>
      </c>
      <c r="I6" s="1393">
        <f t="shared" ref="I6:I17" si="0">+IF($H$3="OUI",(D6*4*T6)+(E6*T6/8*4)+F6*T6,(D6*3*T6)+(E6*T6/8*3)+F6*T6)</f>
        <v>0</v>
      </c>
      <c r="J6" s="134">
        <f t="shared" ref="J6:J17" ca="1" si="1">+B6+C6+H6-I6</f>
        <v>0</v>
      </c>
      <c r="L6" s="134">
        <f ca="1">+Janvier!Q78*-1</f>
        <v>0</v>
      </c>
      <c r="O6" s="135">
        <f>+Janvier!AL69</f>
        <v>0</v>
      </c>
      <c r="P6" s="1143">
        <f>+O6</f>
        <v>0</v>
      </c>
      <c r="Q6" s="1144">
        <v>0</v>
      </c>
      <c r="R6" s="134">
        <f>+(P6*Q6)</f>
        <v>0</v>
      </c>
      <c r="T6" s="134">
        <f t="shared" ref="T6:T17" si="2">+VLOOKUP(A6,base_smic,2,TRUE)</f>
        <v>12.02</v>
      </c>
    </row>
    <row r="7" spans="1:20" ht="21" customHeight="1" x14ac:dyDescent="0.2">
      <c r="A7" s="1392">
        <f>DATE(YEAR(A6),MONTH(A6)+1,DAY(A6))</f>
        <v>46054</v>
      </c>
      <c r="B7" s="1405">
        <f>Février!$E$74</f>
        <v>0</v>
      </c>
      <c r="C7" s="1397">
        <f>Février!$E$75</f>
        <v>0</v>
      </c>
      <c r="D7" s="1398">
        <f>Février!$AL$70</f>
        <v>0</v>
      </c>
      <c r="E7" s="1398">
        <f>Février!$AL$71</f>
        <v>0</v>
      </c>
      <c r="F7" s="1399"/>
      <c r="G7" s="1397">
        <f>Février!$E$77</f>
        <v>0</v>
      </c>
      <c r="H7" s="1406">
        <f t="shared" ref="H7:H17" si="3">+R7</f>
        <v>0</v>
      </c>
      <c r="I7" s="1393">
        <f t="shared" si="0"/>
        <v>0</v>
      </c>
      <c r="J7" s="134">
        <f t="shared" si="1"/>
        <v>0</v>
      </c>
      <c r="L7" s="134">
        <f>+Février!Q78*-1</f>
        <v>0</v>
      </c>
      <c r="O7" s="135">
        <f>+Février!AL69</f>
        <v>0</v>
      </c>
      <c r="P7" s="1143">
        <f t="shared" ref="P7:P17" si="4">+O7</f>
        <v>0</v>
      </c>
      <c r="Q7" s="1144">
        <f>+Q6</f>
        <v>0</v>
      </c>
      <c r="R7" s="134">
        <f t="shared" ref="R7:R17" si="5">+(P7*Q7)</f>
        <v>0</v>
      </c>
      <c r="T7" s="134">
        <f t="shared" si="2"/>
        <v>12.02</v>
      </c>
    </row>
    <row r="8" spans="1:20" ht="21" customHeight="1" x14ac:dyDescent="0.2">
      <c r="A8" s="1392">
        <f>DATE(YEAR(A6),MONTH(A6)+2,DAY(A6))</f>
        <v>46082</v>
      </c>
      <c r="B8" s="1405">
        <f>Mars!$E$74</f>
        <v>0</v>
      </c>
      <c r="C8" s="1397">
        <f>Mars!$E$75</f>
        <v>0</v>
      </c>
      <c r="D8" s="1398">
        <f>Mars!$AL$70</f>
        <v>0</v>
      </c>
      <c r="E8" s="1398">
        <f>Mars!$AL$71</f>
        <v>0</v>
      </c>
      <c r="F8" s="1399"/>
      <c r="G8" s="1397">
        <f>Mars!$E$77</f>
        <v>0</v>
      </c>
      <c r="H8" s="1406">
        <f t="shared" si="3"/>
        <v>0</v>
      </c>
      <c r="I8" s="1393">
        <f t="shared" si="0"/>
        <v>0</v>
      </c>
      <c r="J8" s="134">
        <f t="shared" si="1"/>
        <v>0</v>
      </c>
      <c r="L8" s="134">
        <f>+Mars!Q78*-1</f>
        <v>0</v>
      </c>
      <c r="O8" s="135">
        <f>+Mars!AL69</f>
        <v>0</v>
      </c>
      <c r="P8" s="1143">
        <f t="shared" si="4"/>
        <v>0</v>
      </c>
      <c r="Q8" s="1144">
        <f>+Q7</f>
        <v>0</v>
      </c>
      <c r="R8" s="134">
        <f t="shared" si="5"/>
        <v>0</v>
      </c>
      <c r="T8" s="134">
        <f t="shared" si="2"/>
        <v>12.02</v>
      </c>
    </row>
    <row r="9" spans="1:20" ht="21" customHeight="1" x14ac:dyDescent="0.2">
      <c r="A9" s="1392">
        <f>DATE(YEAR(A6),MONTH(A6)+3,DAY(A6))</f>
        <v>46113</v>
      </c>
      <c r="B9" s="1405">
        <f>Avril!$E$74</f>
        <v>0</v>
      </c>
      <c r="C9" s="1397">
        <f>Avril!$E$75</f>
        <v>0</v>
      </c>
      <c r="D9" s="1398">
        <f>Avril!$AL$70</f>
        <v>0</v>
      </c>
      <c r="E9" s="1398">
        <f>Avril!$AL$71</f>
        <v>0</v>
      </c>
      <c r="F9" s="1399"/>
      <c r="G9" s="1397">
        <f>Avril!$E$77</f>
        <v>0</v>
      </c>
      <c r="H9" s="1406">
        <f t="shared" si="3"/>
        <v>0</v>
      </c>
      <c r="I9" s="1393">
        <f t="shared" si="0"/>
        <v>0</v>
      </c>
      <c r="J9" s="134">
        <f t="shared" si="1"/>
        <v>0</v>
      </c>
      <c r="L9" s="134">
        <f>+Avril!Q78*-1</f>
        <v>0</v>
      </c>
      <c r="O9" s="135">
        <f>+Avril!AL69</f>
        <v>0</v>
      </c>
      <c r="P9" s="1143">
        <f t="shared" si="4"/>
        <v>0</v>
      </c>
      <c r="Q9" s="1144">
        <f t="shared" ref="Q9:Q17" si="6">+Q8</f>
        <v>0</v>
      </c>
      <c r="R9" s="134">
        <f t="shared" si="5"/>
        <v>0</v>
      </c>
      <c r="T9" s="134">
        <f t="shared" si="2"/>
        <v>12.02</v>
      </c>
    </row>
    <row r="10" spans="1:20" ht="21" customHeight="1" x14ac:dyDescent="0.2">
      <c r="A10" s="1392">
        <f>DATE(YEAR(A6),MONTH(A6)+4,DAY(A6))</f>
        <v>46143</v>
      </c>
      <c r="B10" s="1405">
        <f>Mai!$E$74</f>
        <v>0</v>
      </c>
      <c r="C10" s="1397">
        <f>Mai!$E$75</f>
        <v>0</v>
      </c>
      <c r="D10" s="1398">
        <f>Mai!$AL$70</f>
        <v>0</v>
      </c>
      <c r="E10" s="1398">
        <f>Mai!$AL$71</f>
        <v>0</v>
      </c>
      <c r="F10" s="1399"/>
      <c r="G10" s="1397">
        <f>Mai!$E$77</f>
        <v>0</v>
      </c>
      <c r="H10" s="1406">
        <f t="shared" si="3"/>
        <v>0</v>
      </c>
      <c r="I10" s="1393">
        <f t="shared" si="0"/>
        <v>0</v>
      </c>
      <c r="J10" s="134">
        <f t="shared" si="1"/>
        <v>0</v>
      </c>
      <c r="L10" s="134">
        <f>+Mai!Q78*-1</f>
        <v>0</v>
      </c>
      <c r="O10" s="135">
        <f>+Mai!AL69</f>
        <v>0</v>
      </c>
      <c r="P10" s="1143">
        <f t="shared" si="4"/>
        <v>0</v>
      </c>
      <c r="Q10" s="1144">
        <f t="shared" si="6"/>
        <v>0</v>
      </c>
      <c r="R10" s="134">
        <f t="shared" si="5"/>
        <v>0</v>
      </c>
      <c r="T10" s="134">
        <f t="shared" si="2"/>
        <v>12.02</v>
      </c>
    </row>
    <row r="11" spans="1:20" ht="21" customHeight="1" x14ac:dyDescent="0.2">
      <c r="A11" s="1392">
        <f>DATE(YEAR(A6),MONTH(A6)+5,DAY(A6))</f>
        <v>46174</v>
      </c>
      <c r="B11" s="1405">
        <f ca="1">Juin!$E$74</f>
        <v>0</v>
      </c>
      <c r="C11" s="1397">
        <f>Juin!$E$75</f>
        <v>0</v>
      </c>
      <c r="D11" s="1398">
        <f>Juin!$AL$70</f>
        <v>0</v>
      </c>
      <c r="E11" s="1398">
        <f>Juin!$AL$71</f>
        <v>0</v>
      </c>
      <c r="F11" s="1399"/>
      <c r="G11" s="1397">
        <f>Juin!$E$77</f>
        <v>0</v>
      </c>
      <c r="H11" s="1406">
        <f t="shared" si="3"/>
        <v>0</v>
      </c>
      <c r="I11" s="1393">
        <f t="shared" si="0"/>
        <v>0</v>
      </c>
      <c r="J11" s="134">
        <f t="shared" ca="1" si="1"/>
        <v>0</v>
      </c>
      <c r="L11" s="134">
        <f ca="1">+Juin!Q78*-1</f>
        <v>0</v>
      </c>
      <c r="O11" s="135">
        <f>+Juin!AL69</f>
        <v>0</v>
      </c>
      <c r="P11" s="1143">
        <f t="shared" si="4"/>
        <v>0</v>
      </c>
      <c r="Q11" s="1144">
        <f t="shared" si="6"/>
        <v>0</v>
      </c>
      <c r="R11" s="134">
        <f t="shared" si="5"/>
        <v>0</v>
      </c>
      <c r="T11" s="134">
        <f t="shared" si="2"/>
        <v>12.02</v>
      </c>
    </row>
    <row r="12" spans="1:20" ht="21" customHeight="1" x14ac:dyDescent="0.2">
      <c r="A12" s="1392">
        <f>DATE(YEAR(A6),MONTH(A6)+6,DAY(A6))</f>
        <v>46204</v>
      </c>
      <c r="B12" s="1405">
        <f>Juillet!$E$74</f>
        <v>0</v>
      </c>
      <c r="C12" s="1397">
        <f>Juillet!$E$75</f>
        <v>0</v>
      </c>
      <c r="D12" s="1398">
        <f>Juillet!$AL$70</f>
        <v>0</v>
      </c>
      <c r="E12" s="1398">
        <f>Juillet!$AL$71</f>
        <v>0</v>
      </c>
      <c r="F12" s="1399"/>
      <c r="G12" s="1397">
        <f>Juillet!$E$77</f>
        <v>0</v>
      </c>
      <c r="H12" s="1406">
        <f t="shared" si="3"/>
        <v>0</v>
      </c>
      <c r="I12" s="1393">
        <f t="shared" si="0"/>
        <v>0</v>
      </c>
      <c r="J12" s="134">
        <f t="shared" si="1"/>
        <v>0</v>
      </c>
      <c r="L12" s="134">
        <f>+Juillet!Q78*-1</f>
        <v>0</v>
      </c>
      <c r="O12" s="135">
        <f>+Juillet!AL69</f>
        <v>0</v>
      </c>
      <c r="P12" s="1143">
        <f t="shared" si="4"/>
        <v>0</v>
      </c>
      <c r="Q12" s="1144">
        <f t="shared" si="6"/>
        <v>0</v>
      </c>
      <c r="R12" s="134">
        <f t="shared" si="5"/>
        <v>0</v>
      </c>
      <c r="T12" s="134">
        <f t="shared" si="2"/>
        <v>12.02</v>
      </c>
    </row>
    <row r="13" spans="1:20" ht="21" customHeight="1" x14ac:dyDescent="0.2">
      <c r="A13" s="1392">
        <f>DATE(YEAR(A6),MONTH(A6)+7,DAY(A6))</f>
        <v>46235</v>
      </c>
      <c r="B13" s="1405">
        <f>Aout!$E$74</f>
        <v>0</v>
      </c>
      <c r="C13" s="1397">
        <f>Aout!$E$75</f>
        <v>0</v>
      </c>
      <c r="D13" s="1398">
        <f>Aout!$AL$70</f>
        <v>0</v>
      </c>
      <c r="E13" s="1398">
        <f>Aout!$AL$71</f>
        <v>0</v>
      </c>
      <c r="F13" s="1399"/>
      <c r="G13" s="1397">
        <f>Aout!$E$77</f>
        <v>0</v>
      </c>
      <c r="H13" s="1406">
        <f t="shared" si="3"/>
        <v>0</v>
      </c>
      <c r="I13" s="1393">
        <f t="shared" si="0"/>
        <v>0</v>
      </c>
      <c r="J13" s="134">
        <f t="shared" si="1"/>
        <v>0</v>
      </c>
      <c r="L13" s="134">
        <f>+Aout!Q78*-1</f>
        <v>0</v>
      </c>
      <c r="O13" s="135">
        <f>+Aout!AL69</f>
        <v>0</v>
      </c>
      <c r="P13" s="1143">
        <f t="shared" si="4"/>
        <v>0</v>
      </c>
      <c r="Q13" s="1144">
        <f t="shared" si="6"/>
        <v>0</v>
      </c>
      <c r="R13" s="134">
        <f t="shared" si="5"/>
        <v>0</v>
      </c>
      <c r="T13" s="134">
        <f t="shared" si="2"/>
        <v>12.02</v>
      </c>
    </row>
    <row r="14" spans="1:20" ht="21" customHeight="1" x14ac:dyDescent="0.2">
      <c r="A14" s="1392">
        <f>DATE(YEAR(A6),MONTH(A6)+8,DAY(A6))</f>
        <v>46266</v>
      </c>
      <c r="B14" s="1405">
        <f>Septembre!$E$74</f>
        <v>0</v>
      </c>
      <c r="C14" s="1397">
        <f>Septembre!$E$75</f>
        <v>0</v>
      </c>
      <c r="D14" s="1398">
        <f>Septembre!$AL$70</f>
        <v>0</v>
      </c>
      <c r="E14" s="1398">
        <f>Septembre!$AL$71</f>
        <v>0</v>
      </c>
      <c r="F14" s="1399"/>
      <c r="G14" s="1397">
        <f>Septembre!$E$77</f>
        <v>0</v>
      </c>
      <c r="H14" s="1406">
        <f t="shared" si="3"/>
        <v>0</v>
      </c>
      <c r="I14" s="1393">
        <f t="shared" si="0"/>
        <v>0</v>
      </c>
      <c r="J14" s="134">
        <f t="shared" si="1"/>
        <v>0</v>
      </c>
      <c r="L14" s="134">
        <f>+Septembre!Q78*-1</f>
        <v>0</v>
      </c>
      <c r="O14" s="135">
        <f>+Septembre!AL69</f>
        <v>0</v>
      </c>
      <c r="P14" s="1143">
        <f t="shared" si="4"/>
        <v>0</v>
      </c>
      <c r="Q14" s="1144">
        <f t="shared" si="6"/>
        <v>0</v>
      </c>
      <c r="R14" s="134">
        <f t="shared" si="5"/>
        <v>0</v>
      </c>
      <c r="T14" s="134">
        <f t="shared" si="2"/>
        <v>12.02</v>
      </c>
    </row>
    <row r="15" spans="1:20" ht="21" customHeight="1" x14ac:dyDescent="0.2">
      <c r="A15" s="1392">
        <f>DATE(YEAR(A6),MONTH(A6)+9,DAY(A6))</f>
        <v>46296</v>
      </c>
      <c r="B15" s="1405">
        <f>Octobre!$E$74</f>
        <v>0</v>
      </c>
      <c r="C15" s="1397">
        <f>Octobre!$E$75</f>
        <v>0</v>
      </c>
      <c r="D15" s="1398">
        <f>Octobre!$AL$70</f>
        <v>0</v>
      </c>
      <c r="E15" s="1398">
        <f>Octobre!$AL$71</f>
        <v>0</v>
      </c>
      <c r="F15" s="1399"/>
      <c r="G15" s="1397">
        <f>Octobre!$E$77</f>
        <v>0</v>
      </c>
      <c r="H15" s="1406">
        <f t="shared" si="3"/>
        <v>0</v>
      </c>
      <c r="I15" s="1393">
        <f t="shared" si="0"/>
        <v>0</v>
      </c>
      <c r="J15" s="134">
        <f t="shared" si="1"/>
        <v>0</v>
      </c>
      <c r="L15" s="134">
        <f>+Octobre!Q78*-1</f>
        <v>0</v>
      </c>
      <c r="O15" s="135">
        <f>+Octobre!AL69</f>
        <v>0</v>
      </c>
      <c r="P15" s="1143">
        <f t="shared" si="4"/>
        <v>0</v>
      </c>
      <c r="Q15" s="1144">
        <f t="shared" si="6"/>
        <v>0</v>
      </c>
      <c r="R15" s="134">
        <f t="shared" si="5"/>
        <v>0</v>
      </c>
      <c r="T15" s="134">
        <f t="shared" si="2"/>
        <v>12.02</v>
      </c>
    </row>
    <row r="16" spans="1:20" ht="21" customHeight="1" x14ac:dyDescent="0.2">
      <c r="A16" s="1392">
        <f>DATE(YEAR(A6),MONTH(A6)+10,DAY(A6))</f>
        <v>46327</v>
      </c>
      <c r="B16" s="1405">
        <f>Novembre!$E$74</f>
        <v>0</v>
      </c>
      <c r="C16" s="1397">
        <f>Novembre!$E$75</f>
        <v>0</v>
      </c>
      <c r="D16" s="1398">
        <f>Novembre!$AL$70</f>
        <v>0</v>
      </c>
      <c r="E16" s="1398">
        <f>Novembre!$AL$71</f>
        <v>0</v>
      </c>
      <c r="F16" s="1399"/>
      <c r="G16" s="1397">
        <f>Novembre!$E$77</f>
        <v>0</v>
      </c>
      <c r="H16" s="1406">
        <f t="shared" si="3"/>
        <v>0</v>
      </c>
      <c r="I16" s="1393">
        <f t="shared" si="0"/>
        <v>0</v>
      </c>
      <c r="J16" s="134">
        <f t="shared" si="1"/>
        <v>0</v>
      </c>
      <c r="L16" s="134">
        <f>+Novembre!Q78*-1</f>
        <v>0</v>
      </c>
      <c r="O16" s="135">
        <f>+Novembre!AL69</f>
        <v>0</v>
      </c>
      <c r="P16" s="1143">
        <f t="shared" si="4"/>
        <v>0</v>
      </c>
      <c r="Q16" s="1144">
        <f t="shared" si="6"/>
        <v>0</v>
      </c>
      <c r="R16" s="134">
        <f t="shared" si="5"/>
        <v>0</v>
      </c>
      <c r="T16" s="134">
        <f t="shared" si="2"/>
        <v>12.02</v>
      </c>
    </row>
    <row r="17" spans="1:20" ht="21" customHeight="1" thickBot="1" x14ac:dyDescent="0.25">
      <c r="A17" s="1392">
        <f>DATE(YEAR(A6),MONTH(A6)+11,DAY(A6))</f>
        <v>46357</v>
      </c>
      <c r="B17" s="1407">
        <f>Décembre!$E$74</f>
        <v>0</v>
      </c>
      <c r="C17" s="1408">
        <f>Décembre!$E$75</f>
        <v>0</v>
      </c>
      <c r="D17" s="1409">
        <f>Décembre!$AL$70</f>
        <v>0</v>
      </c>
      <c r="E17" s="1409">
        <f>Décembre!$AL$71</f>
        <v>0</v>
      </c>
      <c r="F17" s="1410"/>
      <c r="G17" s="1408">
        <f>Décembre!$E$77</f>
        <v>0</v>
      </c>
      <c r="H17" s="1411">
        <f t="shared" si="3"/>
        <v>0</v>
      </c>
      <c r="I17" s="1393">
        <f t="shared" si="0"/>
        <v>0</v>
      </c>
      <c r="J17" s="134">
        <f t="shared" si="1"/>
        <v>0</v>
      </c>
      <c r="L17" s="134">
        <f>+Décembre!Q78*-1</f>
        <v>0</v>
      </c>
      <c r="O17" s="135">
        <f>+Décembre!AL69</f>
        <v>0</v>
      </c>
      <c r="P17" s="1143">
        <f t="shared" si="4"/>
        <v>0</v>
      </c>
      <c r="Q17" s="1144">
        <f t="shared" si="6"/>
        <v>0</v>
      </c>
      <c r="R17" s="134">
        <f t="shared" si="5"/>
        <v>0</v>
      </c>
      <c r="T17" s="134">
        <f t="shared" si="2"/>
        <v>12.02</v>
      </c>
    </row>
    <row r="18" spans="1:20" ht="21" customHeight="1" thickTop="1" x14ac:dyDescent="0.2">
      <c r="A18" s="136" t="s">
        <v>88</v>
      </c>
      <c r="B18" s="1394">
        <f t="shared" ref="B18:G18" ca="1" si="7">SUM(B6:B17)</f>
        <v>0</v>
      </c>
      <c r="C18" s="1394">
        <f t="shared" si="7"/>
        <v>0</v>
      </c>
      <c r="D18" s="1395">
        <f t="shared" si="7"/>
        <v>0</v>
      </c>
      <c r="E18" s="1395">
        <f t="shared" si="7"/>
        <v>0</v>
      </c>
      <c r="F18" s="1395">
        <f t="shared" si="7"/>
        <v>0</v>
      </c>
      <c r="G18" s="1396">
        <f t="shared" ca="1" si="7"/>
        <v>0</v>
      </c>
      <c r="H18" s="1396">
        <f t="shared" ref="H18" si="8">SUM(H6:H17)</f>
        <v>0</v>
      </c>
      <c r="I18" s="137">
        <f>SUM(I6:I17)</f>
        <v>0</v>
      </c>
      <c r="J18" s="137">
        <f ca="1">SUM(J6:J17)</f>
        <v>0</v>
      </c>
      <c r="L18" s="137">
        <f ca="1">ROUND(SUM(L6:L17),2)</f>
        <v>0</v>
      </c>
      <c r="O18" s="138"/>
      <c r="P18" s="138"/>
      <c r="Q18" s="137"/>
      <c r="R18" s="137">
        <f>ROUND(SUM(R6:R17),2)</f>
        <v>0</v>
      </c>
    </row>
  </sheetData>
  <sheetProtection algorithmName="SHA-512" hashValue="j1gVtzlSSc6DiR7YfRbOKDLiwKQ9AwNG7XmmS2YloP3IWykAA47tB++R4gddvqPHEojK7TFbhH9fxxxNwDVKaQ==" saltValue="zK3DMtbrVNO+LU2kUZtowQ==" spinCount="100000" sheet="1" objects="1" scenarios="1" formatCells="0" formatColumns="0" formatRows="0" insertColumns="0" insertRows="0" insertHyperlinks="0" sort="0" autoFilter="0" pivotTables="0"/>
  <mergeCells count="3">
    <mergeCell ref="A1:E1"/>
    <mergeCell ref="F1:L1"/>
    <mergeCell ref="O3:R3"/>
  </mergeCells>
  <conditionalFormatting sqref="C6:C17">
    <cfRule type="cellIs" dxfId="3943" priority="3" stopIfTrue="1" operator="equal">
      <formula>0</formula>
    </cfRule>
    <cfRule type="cellIs" dxfId="3942" priority="4" stopIfTrue="1" operator="greaterThan">
      <formula>0</formula>
    </cfRule>
  </conditionalFormatting>
  <conditionalFormatting sqref="F6:F17">
    <cfRule type="cellIs" dxfId="3941" priority="2" operator="greaterThan">
      <formula>0</formula>
    </cfRule>
  </conditionalFormatting>
  <conditionalFormatting sqref="P6:Q17">
    <cfRule type="cellIs" dxfId="3940" priority="1" operator="greaterThan">
      <formula>0</formula>
    </cfRule>
  </conditionalFormatting>
  <dataValidations count="1">
    <dataValidation type="list" allowBlank="1" showInputMessage="1" showErrorMessage="1" sqref="H3" xr:uid="{00000000-0002-0000-2500-000000000000}">
      <formula1>"NON,OUI"</formula1>
    </dataValidation>
  </dataValidations>
  <pageMargins left="0.70833333333333337" right="0.70833333333333337" top="0.74791666666666667" bottom="0.74791666666666667" header="0.51180555555555551" footer="0.51180555555555551"/>
  <pageSetup paperSize="9" scale="65" firstPageNumber="0" orientation="landscape"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1:CK101"/>
  <sheetViews>
    <sheetView showGridLines="0" topLeftCell="A29" zoomScale="70" zoomScaleNormal="70" workbookViewId="0">
      <pane xSplit="3" topLeftCell="D1" activePane="topRight" state="frozenSplit"/>
      <selection activeCell="A3" sqref="A3"/>
      <selection pane="topRight" activeCell="E98" sqref="E98"/>
    </sheetView>
  </sheetViews>
  <sheetFormatPr baseColWidth="10" defaultRowHeight="12.75" x14ac:dyDescent="0.2"/>
  <cols>
    <col min="1" max="1" width="13.7109375" style="16" customWidth="1"/>
    <col min="2" max="2" width="11.42578125" style="16"/>
    <col min="3" max="3" width="11" style="16" customWidth="1"/>
    <col min="4" max="5" width="6.28515625" style="16" customWidth="1"/>
    <col min="6" max="6" width="12.140625" style="16" customWidth="1"/>
    <col min="7" max="8" width="6.28515625" style="16" customWidth="1"/>
    <col min="9" max="9" width="12.140625" style="16" customWidth="1"/>
    <col min="10" max="11" width="6.28515625" style="16" customWidth="1"/>
    <col min="12" max="12" width="12.140625" style="16" customWidth="1"/>
    <col min="13" max="14" width="6.28515625" style="16" customWidth="1"/>
    <col min="15" max="15" width="12.140625" style="16" customWidth="1"/>
    <col min="16" max="17" width="6.28515625" style="16" customWidth="1"/>
    <col min="18" max="18" width="12.140625" style="16" customWidth="1"/>
    <col min="19" max="20" width="6.28515625" style="16" customWidth="1"/>
    <col min="21" max="21" width="12.140625" style="16" customWidth="1"/>
    <col min="22" max="23" width="6.28515625" style="16" customWidth="1"/>
    <col min="24" max="24" width="12.140625" style="16" customWidth="1"/>
    <col min="25" max="26" width="6.28515625" style="16" customWidth="1"/>
    <col min="27" max="27" width="12.140625" style="16" customWidth="1"/>
    <col min="28" max="29" width="6.28515625" style="16" customWidth="1"/>
    <col min="30" max="30" width="12.140625" style="16" customWidth="1"/>
    <col min="31" max="32" width="6.28515625" style="16" customWidth="1"/>
    <col min="33" max="33" width="12.140625" style="16" customWidth="1"/>
    <col min="34" max="35" width="6.28515625" style="16" customWidth="1"/>
    <col min="36" max="36" width="12.140625" style="16" customWidth="1"/>
    <col min="37" max="38" width="6.28515625" style="16" customWidth="1"/>
    <col min="39" max="39" width="12.140625" style="16" customWidth="1"/>
    <col min="40" max="42" width="5.28515625" style="16" hidden="1" customWidth="1"/>
    <col min="43" max="44" width="5.28515625" style="16" customWidth="1"/>
    <col min="45" max="258" width="11.42578125" style="16"/>
    <col min="259" max="259" width="11" style="16" customWidth="1"/>
    <col min="260" max="261" width="6.28515625" style="16" customWidth="1"/>
    <col min="262" max="262" width="10.28515625" style="16" customWidth="1"/>
    <col min="263" max="264" width="6.28515625" style="16" customWidth="1"/>
    <col min="265" max="265" width="10.28515625" style="16" customWidth="1"/>
    <col min="266" max="267" width="6.28515625" style="16" customWidth="1"/>
    <col min="268" max="268" width="10.28515625" style="16" customWidth="1"/>
    <col min="269" max="270" width="6.28515625" style="16" customWidth="1"/>
    <col min="271" max="271" width="10.28515625" style="16" customWidth="1"/>
    <col min="272" max="273" width="6.28515625" style="16" customWidth="1"/>
    <col min="274" max="274" width="10.28515625" style="16" customWidth="1"/>
    <col min="275" max="276" width="6.28515625" style="16" customWidth="1"/>
    <col min="277" max="277" width="10.28515625" style="16" customWidth="1"/>
    <col min="278" max="279" width="6.28515625" style="16" customWidth="1"/>
    <col min="280" max="280" width="10.28515625" style="16" customWidth="1"/>
    <col min="281" max="282" width="6.28515625" style="16" customWidth="1"/>
    <col min="283" max="283" width="10.28515625" style="16" customWidth="1"/>
    <col min="284" max="285" width="6.28515625" style="16" customWidth="1"/>
    <col min="286" max="286" width="10.28515625" style="16" customWidth="1"/>
    <col min="287" max="288" width="6.28515625" style="16" customWidth="1"/>
    <col min="289" max="289" width="10.28515625" style="16" customWidth="1"/>
    <col min="290" max="291" width="6.28515625" style="16" customWidth="1"/>
    <col min="292" max="292" width="10.28515625" style="16" customWidth="1"/>
    <col min="293" max="294" width="6.28515625" style="16" customWidth="1"/>
    <col min="295" max="295" width="10.28515625" style="16" customWidth="1"/>
    <col min="296" max="298" width="0" style="16" hidden="1" customWidth="1"/>
    <col min="299" max="300" width="5.28515625" style="16" customWidth="1"/>
    <col min="301" max="514" width="11.42578125" style="16"/>
    <col min="515" max="515" width="11" style="16" customWidth="1"/>
    <col min="516" max="517" width="6.28515625" style="16" customWidth="1"/>
    <col min="518" max="518" width="10.28515625" style="16" customWidth="1"/>
    <col min="519" max="520" width="6.28515625" style="16" customWidth="1"/>
    <col min="521" max="521" width="10.28515625" style="16" customWidth="1"/>
    <col min="522" max="523" width="6.28515625" style="16" customWidth="1"/>
    <col min="524" max="524" width="10.28515625" style="16" customWidth="1"/>
    <col min="525" max="526" width="6.28515625" style="16" customWidth="1"/>
    <col min="527" max="527" width="10.28515625" style="16" customWidth="1"/>
    <col min="528" max="529" width="6.28515625" style="16" customWidth="1"/>
    <col min="530" max="530" width="10.28515625" style="16" customWidth="1"/>
    <col min="531" max="532" width="6.28515625" style="16" customWidth="1"/>
    <col min="533" max="533" width="10.28515625" style="16" customWidth="1"/>
    <col min="534" max="535" width="6.28515625" style="16" customWidth="1"/>
    <col min="536" max="536" width="10.28515625" style="16" customWidth="1"/>
    <col min="537" max="538" width="6.28515625" style="16" customWidth="1"/>
    <col min="539" max="539" width="10.28515625" style="16" customWidth="1"/>
    <col min="540" max="541" width="6.28515625" style="16" customWidth="1"/>
    <col min="542" max="542" width="10.28515625" style="16" customWidth="1"/>
    <col min="543" max="544" width="6.28515625" style="16" customWidth="1"/>
    <col min="545" max="545" width="10.28515625" style="16" customWidth="1"/>
    <col min="546" max="547" width="6.28515625" style="16" customWidth="1"/>
    <col min="548" max="548" width="10.28515625" style="16" customWidth="1"/>
    <col min="549" max="550" width="6.28515625" style="16" customWidth="1"/>
    <col min="551" max="551" width="10.28515625" style="16" customWidth="1"/>
    <col min="552" max="554" width="0" style="16" hidden="1" customWidth="1"/>
    <col min="555" max="556" width="5.28515625" style="16" customWidth="1"/>
    <col min="557" max="770" width="11.42578125" style="16"/>
    <col min="771" max="771" width="11" style="16" customWidth="1"/>
    <col min="772" max="773" width="6.28515625" style="16" customWidth="1"/>
    <col min="774" max="774" width="10.28515625" style="16" customWidth="1"/>
    <col min="775" max="776" width="6.28515625" style="16" customWidth="1"/>
    <col min="777" max="777" width="10.28515625" style="16" customWidth="1"/>
    <col min="778" max="779" width="6.28515625" style="16" customWidth="1"/>
    <col min="780" max="780" width="10.28515625" style="16" customWidth="1"/>
    <col min="781" max="782" width="6.28515625" style="16" customWidth="1"/>
    <col min="783" max="783" width="10.28515625" style="16" customWidth="1"/>
    <col min="784" max="785" width="6.28515625" style="16" customWidth="1"/>
    <col min="786" max="786" width="10.28515625" style="16" customWidth="1"/>
    <col min="787" max="788" width="6.28515625" style="16" customWidth="1"/>
    <col min="789" max="789" width="10.28515625" style="16" customWidth="1"/>
    <col min="790" max="791" width="6.28515625" style="16" customWidth="1"/>
    <col min="792" max="792" width="10.28515625" style="16" customWidth="1"/>
    <col min="793" max="794" width="6.28515625" style="16" customWidth="1"/>
    <col min="795" max="795" width="10.28515625" style="16" customWidth="1"/>
    <col min="796" max="797" width="6.28515625" style="16" customWidth="1"/>
    <col min="798" max="798" width="10.28515625" style="16" customWidth="1"/>
    <col min="799" max="800" width="6.28515625" style="16" customWidth="1"/>
    <col min="801" max="801" width="10.28515625" style="16" customWidth="1"/>
    <col min="802" max="803" width="6.28515625" style="16" customWidth="1"/>
    <col min="804" max="804" width="10.28515625" style="16" customWidth="1"/>
    <col min="805" max="806" width="6.28515625" style="16" customWidth="1"/>
    <col min="807" max="807" width="10.28515625" style="16" customWidth="1"/>
    <col min="808" max="810" width="0" style="16" hidden="1" customWidth="1"/>
    <col min="811" max="812" width="5.28515625" style="16" customWidth="1"/>
    <col min="813" max="1026" width="11.42578125" style="16"/>
    <col min="1027" max="1027" width="11" style="16" customWidth="1"/>
    <col min="1028" max="1029" width="6.28515625" style="16" customWidth="1"/>
    <col min="1030" max="1030" width="10.28515625" style="16" customWidth="1"/>
    <col min="1031" max="1032" width="6.28515625" style="16" customWidth="1"/>
    <col min="1033" max="1033" width="10.28515625" style="16" customWidth="1"/>
    <col min="1034" max="1035" width="6.28515625" style="16" customWidth="1"/>
    <col min="1036" max="1036" width="10.28515625" style="16" customWidth="1"/>
    <col min="1037" max="1038" width="6.28515625" style="16" customWidth="1"/>
    <col min="1039" max="1039" width="10.28515625" style="16" customWidth="1"/>
    <col min="1040" max="1041" width="6.28515625" style="16" customWidth="1"/>
    <col min="1042" max="1042" width="10.28515625" style="16" customWidth="1"/>
    <col min="1043" max="1044" width="6.28515625" style="16" customWidth="1"/>
    <col min="1045" max="1045" width="10.28515625" style="16" customWidth="1"/>
    <col min="1046" max="1047" width="6.28515625" style="16" customWidth="1"/>
    <col min="1048" max="1048" width="10.28515625" style="16" customWidth="1"/>
    <col min="1049" max="1050" width="6.28515625" style="16" customWidth="1"/>
    <col min="1051" max="1051" width="10.28515625" style="16" customWidth="1"/>
    <col min="1052" max="1053" width="6.28515625" style="16" customWidth="1"/>
    <col min="1054" max="1054" width="10.28515625" style="16" customWidth="1"/>
    <col min="1055" max="1056" width="6.28515625" style="16" customWidth="1"/>
    <col min="1057" max="1057" width="10.28515625" style="16" customWidth="1"/>
    <col min="1058" max="1059" width="6.28515625" style="16" customWidth="1"/>
    <col min="1060" max="1060" width="10.28515625" style="16" customWidth="1"/>
    <col min="1061" max="1062" width="6.28515625" style="16" customWidth="1"/>
    <col min="1063" max="1063" width="10.28515625" style="16" customWidth="1"/>
    <col min="1064" max="1066" width="0" style="16" hidden="1" customWidth="1"/>
    <col min="1067" max="1068" width="5.28515625" style="16" customWidth="1"/>
    <col min="1069" max="1282" width="11.42578125" style="16"/>
    <col min="1283" max="1283" width="11" style="16" customWidth="1"/>
    <col min="1284" max="1285" width="6.28515625" style="16" customWidth="1"/>
    <col min="1286" max="1286" width="10.28515625" style="16" customWidth="1"/>
    <col min="1287" max="1288" width="6.28515625" style="16" customWidth="1"/>
    <col min="1289" max="1289" width="10.28515625" style="16" customWidth="1"/>
    <col min="1290" max="1291" width="6.28515625" style="16" customWidth="1"/>
    <col min="1292" max="1292" width="10.28515625" style="16" customWidth="1"/>
    <col min="1293" max="1294" width="6.28515625" style="16" customWidth="1"/>
    <col min="1295" max="1295" width="10.28515625" style="16" customWidth="1"/>
    <col min="1296" max="1297" width="6.28515625" style="16" customWidth="1"/>
    <col min="1298" max="1298" width="10.28515625" style="16" customWidth="1"/>
    <col min="1299" max="1300" width="6.28515625" style="16" customWidth="1"/>
    <col min="1301" max="1301" width="10.28515625" style="16" customWidth="1"/>
    <col min="1302" max="1303" width="6.28515625" style="16" customWidth="1"/>
    <col min="1304" max="1304" width="10.28515625" style="16" customWidth="1"/>
    <col min="1305" max="1306" width="6.28515625" style="16" customWidth="1"/>
    <col min="1307" max="1307" width="10.28515625" style="16" customWidth="1"/>
    <col min="1308" max="1309" width="6.28515625" style="16" customWidth="1"/>
    <col min="1310" max="1310" width="10.28515625" style="16" customWidth="1"/>
    <col min="1311" max="1312" width="6.28515625" style="16" customWidth="1"/>
    <col min="1313" max="1313" width="10.28515625" style="16" customWidth="1"/>
    <col min="1314" max="1315" width="6.28515625" style="16" customWidth="1"/>
    <col min="1316" max="1316" width="10.28515625" style="16" customWidth="1"/>
    <col min="1317" max="1318" width="6.28515625" style="16" customWidth="1"/>
    <col min="1319" max="1319" width="10.28515625" style="16" customWidth="1"/>
    <col min="1320" max="1322" width="0" style="16" hidden="1" customWidth="1"/>
    <col min="1323" max="1324" width="5.28515625" style="16" customWidth="1"/>
    <col min="1325" max="1538" width="11.42578125" style="16"/>
    <col min="1539" max="1539" width="11" style="16" customWidth="1"/>
    <col min="1540" max="1541" width="6.28515625" style="16" customWidth="1"/>
    <col min="1542" max="1542" width="10.28515625" style="16" customWidth="1"/>
    <col min="1543" max="1544" width="6.28515625" style="16" customWidth="1"/>
    <col min="1545" max="1545" width="10.28515625" style="16" customWidth="1"/>
    <col min="1546" max="1547" width="6.28515625" style="16" customWidth="1"/>
    <col min="1548" max="1548" width="10.28515625" style="16" customWidth="1"/>
    <col min="1549" max="1550" width="6.28515625" style="16" customWidth="1"/>
    <col min="1551" max="1551" width="10.28515625" style="16" customWidth="1"/>
    <col min="1552" max="1553" width="6.28515625" style="16" customWidth="1"/>
    <col min="1554" max="1554" width="10.28515625" style="16" customWidth="1"/>
    <col min="1555" max="1556" width="6.28515625" style="16" customWidth="1"/>
    <col min="1557" max="1557" width="10.28515625" style="16" customWidth="1"/>
    <col min="1558" max="1559" width="6.28515625" style="16" customWidth="1"/>
    <col min="1560" max="1560" width="10.28515625" style="16" customWidth="1"/>
    <col min="1561" max="1562" width="6.28515625" style="16" customWidth="1"/>
    <col min="1563" max="1563" width="10.28515625" style="16" customWidth="1"/>
    <col min="1564" max="1565" width="6.28515625" style="16" customWidth="1"/>
    <col min="1566" max="1566" width="10.28515625" style="16" customWidth="1"/>
    <col min="1567" max="1568" width="6.28515625" style="16" customWidth="1"/>
    <col min="1569" max="1569" width="10.28515625" style="16" customWidth="1"/>
    <col min="1570" max="1571" width="6.28515625" style="16" customWidth="1"/>
    <col min="1572" max="1572" width="10.28515625" style="16" customWidth="1"/>
    <col min="1573" max="1574" width="6.28515625" style="16" customWidth="1"/>
    <col min="1575" max="1575" width="10.28515625" style="16" customWidth="1"/>
    <col min="1576" max="1578" width="0" style="16" hidden="1" customWidth="1"/>
    <col min="1579" max="1580" width="5.28515625" style="16" customWidth="1"/>
    <col min="1581" max="1794" width="11.42578125" style="16"/>
    <col min="1795" max="1795" width="11" style="16" customWidth="1"/>
    <col min="1796" max="1797" width="6.28515625" style="16" customWidth="1"/>
    <col min="1798" max="1798" width="10.28515625" style="16" customWidth="1"/>
    <col min="1799" max="1800" width="6.28515625" style="16" customWidth="1"/>
    <col min="1801" max="1801" width="10.28515625" style="16" customWidth="1"/>
    <col min="1802" max="1803" width="6.28515625" style="16" customWidth="1"/>
    <col min="1804" max="1804" width="10.28515625" style="16" customWidth="1"/>
    <col min="1805" max="1806" width="6.28515625" style="16" customWidth="1"/>
    <col min="1807" max="1807" width="10.28515625" style="16" customWidth="1"/>
    <col min="1808" max="1809" width="6.28515625" style="16" customWidth="1"/>
    <col min="1810" max="1810" width="10.28515625" style="16" customWidth="1"/>
    <col min="1811" max="1812" width="6.28515625" style="16" customWidth="1"/>
    <col min="1813" max="1813" width="10.28515625" style="16" customWidth="1"/>
    <col min="1814" max="1815" width="6.28515625" style="16" customWidth="1"/>
    <col min="1816" max="1816" width="10.28515625" style="16" customWidth="1"/>
    <col min="1817" max="1818" width="6.28515625" style="16" customWidth="1"/>
    <col min="1819" max="1819" width="10.28515625" style="16" customWidth="1"/>
    <col min="1820" max="1821" width="6.28515625" style="16" customWidth="1"/>
    <col min="1822" max="1822" width="10.28515625" style="16" customWidth="1"/>
    <col min="1823" max="1824" width="6.28515625" style="16" customWidth="1"/>
    <col min="1825" max="1825" width="10.28515625" style="16" customWidth="1"/>
    <col min="1826" max="1827" width="6.28515625" style="16" customWidth="1"/>
    <col min="1828" max="1828" width="10.28515625" style="16" customWidth="1"/>
    <col min="1829" max="1830" width="6.28515625" style="16" customWidth="1"/>
    <col min="1831" max="1831" width="10.28515625" style="16" customWidth="1"/>
    <col min="1832" max="1834" width="0" style="16" hidden="1" customWidth="1"/>
    <col min="1835" max="1836" width="5.28515625" style="16" customWidth="1"/>
    <col min="1837" max="2050" width="11.42578125" style="16"/>
    <col min="2051" max="2051" width="11" style="16" customWidth="1"/>
    <col min="2052" max="2053" width="6.28515625" style="16" customWidth="1"/>
    <col min="2054" max="2054" width="10.28515625" style="16" customWidth="1"/>
    <col min="2055" max="2056" width="6.28515625" style="16" customWidth="1"/>
    <col min="2057" max="2057" width="10.28515625" style="16" customWidth="1"/>
    <col min="2058" max="2059" width="6.28515625" style="16" customWidth="1"/>
    <col min="2060" max="2060" width="10.28515625" style="16" customWidth="1"/>
    <col min="2061" max="2062" width="6.28515625" style="16" customWidth="1"/>
    <col min="2063" max="2063" width="10.28515625" style="16" customWidth="1"/>
    <col min="2064" max="2065" width="6.28515625" style="16" customWidth="1"/>
    <col min="2066" max="2066" width="10.28515625" style="16" customWidth="1"/>
    <col min="2067" max="2068" width="6.28515625" style="16" customWidth="1"/>
    <col min="2069" max="2069" width="10.28515625" style="16" customWidth="1"/>
    <col min="2070" max="2071" width="6.28515625" style="16" customWidth="1"/>
    <col min="2072" max="2072" width="10.28515625" style="16" customWidth="1"/>
    <col min="2073" max="2074" width="6.28515625" style="16" customWidth="1"/>
    <col min="2075" max="2075" width="10.28515625" style="16" customWidth="1"/>
    <col min="2076" max="2077" width="6.28515625" style="16" customWidth="1"/>
    <col min="2078" max="2078" width="10.28515625" style="16" customWidth="1"/>
    <col min="2079" max="2080" width="6.28515625" style="16" customWidth="1"/>
    <col min="2081" max="2081" width="10.28515625" style="16" customWidth="1"/>
    <col min="2082" max="2083" width="6.28515625" style="16" customWidth="1"/>
    <col min="2084" max="2084" width="10.28515625" style="16" customWidth="1"/>
    <col min="2085" max="2086" width="6.28515625" style="16" customWidth="1"/>
    <col min="2087" max="2087" width="10.28515625" style="16" customWidth="1"/>
    <col min="2088" max="2090" width="0" style="16" hidden="1" customWidth="1"/>
    <col min="2091" max="2092" width="5.28515625" style="16" customWidth="1"/>
    <col min="2093" max="2306" width="11.42578125" style="16"/>
    <col min="2307" max="2307" width="11" style="16" customWidth="1"/>
    <col min="2308" max="2309" width="6.28515625" style="16" customWidth="1"/>
    <col min="2310" max="2310" width="10.28515625" style="16" customWidth="1"/>
    <col min="2311" max="2312" width="6.28515625" style="16" customWidth="1"/>
    <col min="2313" max="2313" width="10.28515625" style="16" customWidth="1"/>
    <col min="2314" max="2315" width="6.28515625" style="16" customWidth="1"/>
    <col min="2316" max="2316" width="10.28515625" style="16" customWidth="1"/>
    <col min="2317" max="2318" width="6.28515625" style="16" customWidth="1"/>
    <col min="2319" max="2319" width="10.28515625" style="16" customWidth="1"/>
    <col min="2320" max="2321" width="6.28515625" style="16" customWidth="1"/>
    <col min="2322" max="2322" width="10.28515625" style="16" customWidth="1"/>
    <col min="2323" max="2324" width="6.28515625" style="16" customWidth="1"/>
    <col min="2325" max="2325" width="10.28515625" style="16" customWidth="1"/>
    <col min="2326" max="2327" width="6.28515625" style="16" customWidth="1"/>
    <col min="2328" max="2328" width="10.28515625" style="16" customWidth="1"/>
    <col min="2329" max="2330" width="6.28515625" style="16" customWidth="1"/>
    <col min="2331" max="2331" width="10.28515625" style="16" customWidth="1"/>
    <col min="2332" max="2333" width="6.28515625" style="16" customWidth="1"/>
    <col min="2334" max="2334" width="10.28515625" style="16" customWidth="1"/>
    <col min="2335" max="2336" width="6.28515625" style="16" customWidth="1"/>
    <col min="2337" max="2337" width="10.28515625" style="16" customWidth="1"/>
    <col min="2338" max="2339" width="6.28515625" style="16" customWidth="1"/>
    <col min="2340" max="2340" width="10.28515625" style="16" customWidth="1"/>
    <col min="2341" max="2342" width="6.28515625" style="16" customWidth="1"/>
    <col min="2343" max="2343" width="10.28515625" style="16" customWidth="1"/>
    <col min="2344" max="2346" width="0" style="16" hidden="1" customWidth="1"/>
    <col min="2347" max="2348" width="5.28515625" style="16" customWidth="1"/>
    <col min="2349" max="2562" width="11.42578125" style="16"/>
    <col min="2563" max="2563" width="11" style="16" customWidth="1"/>
    <col min="2564" max="2565" width="6.28515625" style="16" customWidth="1"/>
    <col min="2566" max="2566" width="10.28515625" style="16" customWidth="1"/>
    <col min="2567" max="2568" width="6.28515625" style="16" customWidth="1"/>
    <col min="2569" max="2569" width="10.28515625" style="16" customWidth="1"/>
    <col min="2570" max="2571" width="6.28515625" style="16" customWidth="1"/>
    <col min="2572" max="2572" width="10.28515625" style="16" customWidth="1"/>
    <col min="2573" max="2574" width="6.28515625" style="16" customWidth="1"/>
    <col min="2575" max="2575" width="10.28515625" style="16" customWidth="1"/>
    <col min="2576" max="2577" width="6.28515625" style="16" customWidth="1"/>
    <col min="2578" max="2578" width="10.28515625" style="16" customWidth="1"/>
    <col min="2579" max="2580" width="6.28515625" style="16" customWidth="1"/>
    <col min="2581" max="2581" width="10.28515625" style="16" customWidth="1"/>
    <col min="2582" max="2583" width="6.28515625" style="16" customWidth="1"/>
    <col min="2584" max="2584" width="10.28515625" style="16" customWidth="1"/>
    <col min="2585" max="2586" width="6.28515625" style="16" customWidth="1"/>
    <col min="2587" max="2587" width="10.28515625" style="16" customWidth="1"/>
    <col min="2588" max="2589" width="6.28515625" style="16" customWidth="1"/>
    <col min="2590" max="2590" width="10.28515625" style="16" customWidth="1"/>
    <col min="2591" max="2592" width="6.28515625" style="16" customWidth="1"/>
    <col min="2593" max="2593" width="10.28515625" style="16" customWidth="1"/>
    <col min="2594" max="2595" width="6.28515625" style="16" customWidth="1"/>
    <col min="2596" max="2596" width="10.28515625" style="16" customWidth="1"/>
    <col min="2597" max="2598" width="6.28515625" style="16" customWidth="1"/>
    <col min="2599" max="2599" width="10.28515625" style="16" customWidth="1"/>
    <col min="2600" max="2602" width="0" style="16" hidden="1" customWidth="1"/>
    <col min="2603" max="2604" width="5.28515625" style="16" customWidth="1"/>
    <col min="2605" max="2818" width="11.42578125" style="16"/>
    <col min="2819" max="2819" width="11" style="16" customWidth="1"/>
    <col min="2820" max="2821" width="6.28515625" style="16" customWidth="1"/>
    <col min="2822" max="2822" width="10.28515625" style="16" customWidth="1"/>
    <col min="2823" max="2824" width="6.28515625" style="16" customWidth="1"/>
    <col min="2825" max="2825" width="10.28515625" style="16" customWidth="1"/>
    <col min="2826" max="2827" width="6.28515625" style="16" customWidth="1"/>
    <col min="2828" max="2828" width="10.28515625" style="16" customWidth="1"/>
    <col min="2829" max="2830" width="6.28515625" style="16" customWidth="1"/>
    <col min="2831" max="2831" width="10.28515625" style="16" customWidth="1"/>
    <col min="2832" max="2833" width="6.28515625" style="16" customWidth="1"/>
    <col min="2834" max="2834" width="10.28515625" style="16" customWidth="1"/>
    <col min="2835" max="2836" width="6.28515625" style="16" customWidth="1"/>
    <col min="2837" max="2837" width="10.28515625" style="16" customWidth="1"/>
    <col min="2838" max="2839" width="6.28515625" style="16" customWidth="1"/>
    <col min="2840" max="2840" width="10.28515625" style="16" customWidth="1"/>
    <col min="2841" max="2842" width="6.28515625" style="16" customWidth="1"/>
    <col min="2843" max="2843" width="10.28515625" style="16" customWidth="1"/>
    <col min="2844" max="2845" width="6.28515625" style="16" customWidth="1"/>
    <col min="2846" max="2846" width="10.28515625" style="16" customWidth="1"/>
    <col min="2847" max="2848" width="6.28515625" style="16" customWidth="1"/>
    <col min="2849" max="2849" width="10.28515625" style="16" customWidth="1"/>
    <col min="2850" max="2851" width="6.28515625" style="16" customWidth="1"/>
    <col min="2852" max="2852" width="10.28515625" style="16" customWidth="1"/>
    <col min="2853" max="2854" width="6.28515625" style="16" customWidth="1"/>
    <col min="2855" max="2855" width="10.28515625" style="16" customWidth="1"/>
    <col min="2856" max="2858" width="0" style="16" hidden="1" customWidth="1"/>
    <col min="2859" max="2860" width="5.28515625" style="16" customWidth="1"/>
    <col min="2861" max="3074" width="11.42578125" style="16"/>
    <col min="3075" max="3075" width="11" style="16" customWidth="1"/>
    <col min="3076" max="3077" width="6.28515625" style="16" customWidth="1"/>
    <col min="3078" max="3078" width="10.28515625" style="16" customWidth="1"/>
    <col min="3079" max="3080" width="6.28515625" style="16" customWidth="1"/>
    <col min="3081" max="3081" width="10.28515625" style="16" customWidth="1"/>
    <col min="3082" max="3083" width="6.28515625" style="16" customWidth="1"/>
    <col min="3084" max="3084" width="10.28515625" style="16" customWidth="1"/>
    <col min="3085" max="3086" width="6.28515625" style="16" customWidth="1"/>
    <col min="3087" max="3087" width="10.28515625" style="16" customWidth="1"/>
    <col min="3088" max="3089" width="6.28515625" style="16" customWidth="1"/>
    <col min="3090" max="3090" width="10.28515625" style="16" customWidth="1"/>
    <col min="3091" max="3092" width="6.28515625" style="16" customWidth="1"/>
    <col min="3093" max="3093" width="10.28515625" style="16" customWidth="1"/>
    <col min="3094" max="3095" width="6.28515625" style="16" customWidth="1"/>
    <col min="3096" max="3096" width="10.28515625" style="16" customWidth="1"/>
    <col min="3097" max="3098" width="6.28515625" style="16" customWidth="1"/>
    <col min="3099" max="3099" width="10.28515625" style="16" customWidth="1"/>
    <col min="3100" max="3101" width="6.28515625" style="16" customWidth="1"/>
    <col min="3102" max="3102" width="10.28515625" style="16" customWidth="1"/>
    <col min="3103" max="3104" width="6.28515625" style="16" customWidth="1"/>
    <col min="3105" max="3105" width="10.28515625" style="16" customWidth="1"/>
    <col min="3106" max="3107" width="6.28515625" style="16" customWidth="1"/>
    <col min="3108" max="3108" width="10.28515625" style="16" customWidth="1"/>
    <col min="3109" max="3110" width="6.28515625" style="16" customWidth="1"/>
    <col min="3111" max="3111" width="10.28515625" style="16" customWidth="1"/>
    <col min="3112" max="3114" width="0" style="16" hidden="1" customWidth="1"/>
    <col min="3115" max="3116" width="5.28515625" style="16" customWidth="1"/>
    <col min="3117" max="3330" width="11.42578125" style="16"/>
    <col min="3331" max="3331" width="11" style="16" customWidth="1"/>
    <col min="3332" max="3333" width="6.28515625" style="16" customWidth="1"/>
    <col min="3334" max="3334" width="10.28515625" style="16" customWidth="1"/>
    <col min="3335" max="3336" width="6.28515625" style="16" customWidth="1"/>
    <col min="3337" max="3337" width="10.28515625" style="16" customWidth="1"/>
    <col min="3338" max="3339" width="6.28515625" style="16" customWidth="1"/>
    <col min="3340" max="3340" width="10.28515625" style="16" customWidth="1"/>
    <col min="3341" max="3342" width="6.28515625" style="16" customWidth="1"/>
    <col min="3343" max="3343" width="10.28515625" style="16" customWidth="1"/>
    <col min="3344" max="3345" width="6.28515625" style="16" customWidth="1"/>
    <col min="3346" max="3346" width="10.28515625" style="16" customWidth="1"/>
    <col min="3347" max="3348" width="6.28515625" style="16" customWidth="1"/>
    <col min="3349" max="3349" width="10.28515625" style="16" customWidth="1"/>
    <col min="3350" max="3351" width="6.28515625" style="16" customWidth="1"/>
    <col min="3352" max="3352" width="10.28515625" style="16" customWidth="1"/>
    <col min="3353" max="3354" width="6.28515625" style="16" customWidth="1"/>
    <col min="3355" max="3355" width="10.28515625" style="16" customWidth="1"/>
    <col min="3356" max="3357" width="6.28515625" style="16" customWidth="1"/>
    <col min="3358" max="3358" width="10.28515625" style="16" customWidth="1"/>
    <col min="3359" max="3360" width="6.28515625" style="16" customWidth="1"/>
    <col min="3361" max="3361" width="10.28515625" style="16" customWidth="1"/>
    <col min="3362" max="3363" width="6.28515625" style="16" customWidth="1"/>
    <col min="3364" max="3364" width="10.28515625" style="16" customWidth="1"/>
    <col min="3365" max="3366" width="6.28515625" style="16" customWidth="1"/>
    <col min="3367" max="3367" width="10.28515625" style="16" customWidth="1"/>
    <col min="3368" max="3370" width="0" style="16" hidden="1" customWidth="1"/>
    <col min="3371" max="3372" width="5.28515625" style="16" customWidth="1"/>
    <col min="3373" max="3586" width="11.42578125" style="16"/>
    <col min="3587" max="3587" width="11" style="16" customWidth="1"/>
    <col min="3588" max="3589" width="6.28515625" style="16" customWidth="1"/>
    <col min="3590" max="3590" width="10.28515625" style="16" customWidth="1"/>
    <col min="3591" max="3592" width="6.28515625" style="16" customWidth="1"/>
    <col min="3593" max="3593" width="10.28515625" style="16" customWidth="1"/>
    <col min="3594" max="3595" width="6.28515625" style="16" customWidth="1"/>
    <col min="3596" max="3596" width="10.28515625" style="16" customWidth="1"/>
    <col min="3597" max="3598" width="6.28515625" style="16" customWidth="1"/>
    <col min="3599" max="3599" width="10.28515625" style="16" customWidth="1"/>
    <col min="3600" max="3601" width="6.28515625" style="16" customWidth="1"/>
    <col min="3602" max="3602" width="10.28515625" style="16" customWidth="1"/>
    <col min="3603" max="3604" width="6.28515625" style="16" customWidth="1"/>
    <col min="3605" max="3605" width="10.28515625" style="16" customWidth="1"/>
    <col min="3606" max="3607" width="6.28515625" style="16" customWidth="1"/>
    <col min="3608" max="3608" width="10.28515625" style="16" customWidth="1"/>
    <col min="3609" max="3610" width="6.28515625" style="16" customWidth="1"/>
    <col min="3611" max="3611" width="10.28515625" style="16" customWidth="1"/>
    <col min="3612" max="3613" width="6.28515625" style="16" customWidth="1"/>
    <col min="3614" max="3614" width="10.28515625" style="16" customWidth="1"/>
    <col min="3615" max="3616" width="6.28515625" style="16" customWidth="1"/>
    <col min="3617" max="3617" width="10.28515625" style="16" customWidth="1"/>
    <col min="3618" max="3619" width="6.28515625" style="16" customWidth="1"/>
    <col min="3620" max="3620" width="10.28515625" style="16" customWidth="1"/>
    <col min="3621" max="3622" width="6.28515625" style="16" customWidth="1"/>
    <col min="3623" max="3623" width="10.28515625" style="16" customWidth="1"/>
    <col min="3624" max="3626" width="0" style="16" hidden="1" customWidth="1"/>
    <col min="3627" max="3628" width="5.28515625" style="16" customWidth="1"/>
    <col min="3629" max="3842" width="11.42578125" style="16"/>
    <col min="3843" max="3843" width="11" style="16" customWidth="1"/>
    <col min="3844" max="3845" width="6.28515625" style="16" customWidth="1"/>
    <col min="3846" max="3846" width="10.28515625" style="16" customWidth="1"/>
    <col min="3847" max="3848" width="6.28515625" style="16" customWidth="1"/>
    <col min="3849" max="3849" width="10.28515625" style="16" customWidth="1"/>
    <col min="3850" max="3851" width="6.28515625" style="16" customWidth="1"/>
    <col min="3852" max="3852" width="10.28515625" style="16" customWidth="1"/>
    <col min="3853" max="3854" width="6.28515625" style="16" customWidth="1"/>
    <col min="3855" max="3855" width="10.28515625" style="16" customWidth="1"/>
    <col min="3856" max="3857" width="6.28515625" style="16" customWidth="1"/>
    <col min="3858" max="3858" width="10.28515625" style="16" customWidth="1"/>
    <col min="3859" max="3860" width="6.28515625" style="16" customWidth="1"/>
    <col min="3861" max="3861" width="10.28515625" style="16" customWidth="1"/>
    <col min="3862" max="3863" width="6.28515625" style="16" customWidth="1"/>
    <col min="3864" max="3864" width="10.28515625" style="16" customWidth="1"/>
    <col min="3865" max="3866" width="6.28515625" style="16" customWidth="1"/>
    <col min="3867" max="3867" width="10.28515625" style="16" customWidth="1"/>
    <col min="3868" max="3869" width="6.28515625" style="16" customWidth="1"/>
    <col min="3870" max="3870" width="10.28515625" style="16" customWidth="1"/>
    <col min="3871" max="3872" width="6.28515625" style="16" customWidth="1"/>
    <col min="3873" max="3873" width="10.28515625" style="16" customWidth="1"/>
    <col min="3874" max="3875" width="6.28515625" style="16" customWidth="1"/>
    <col min="3876" max="3876" width="10.28515625" style="16" customWidth="1"/>
    <col min="3877" max="3878" width="6.28515625" style="16" customWidth="1"/>
    <col min="3879" max="3879" width="10.28515625" style="16" customWidth="1"/>
    <col min="3880" max="3882" width="0" style="16" hidden="1" customWidth="1"/>
    <col min="3883" max="3884" width="5.28515625" style="16" customWidth="1"/>
    <col min="3885" max="4098" width="11.42578125" style="16"/>
    <col min="4099" max="4099" width="11" style="16" customWidth="1"/>
    <col min="4100" max="4101" width="6.28515625" style="16" customWidth="1"/>
    <col min="4102" max="4102" width="10.28515625" style="16" customWidth="1"/>
    <col min="4103" max="4104" width="6.28515625" style="16" customWidth="1"/>
    <col min="4105" max="4105" width="10.28515625" style="16" customWidth="1"/>
    <col min="4106" max="4107" width="6.28515625" style="16" customWidth="1"/>
    <col min="4108" max="4108" width="10.28515625" style="16" customWidth="1"/>
    <col min="4109" max="4110" width="6.28515625" style="16" customWidth="1"/>
    <col min="4111" max="4111" width="10.28515625" style="16" customWidth="1"/>
    <col min="4112" max="4113" width="6.28515625" style="16" customWidth="1"/>
    <col min="4114" max="4114" width="10.28515625" style="16" customWidth="1"/>
    <col min="4115" max="4116" width="6.28515625" style="16" customWidth="1"/>
    <col min="4117" max="4117" width="10.28515625" style="16" customWidth="1"/>
    <col min="4118" max="4119" width="6.28515625" style="16" customWidth="1"/>
    <col min="4120" max="4120" width="10.28515625" style="16" customWidth="1"/>
    <col min="4121" max="4122" width="6.28515625" style="16" customWidth="1"/>
    <col min="4123" max="4123" width="10.28515625" style="16" customWidth="1"/>
    <col min="4124" max="4125" width="6.28515625" style="16" customWidth="1"/>
    <col min="4126" max="4126" width="10.28515625" style="16" customWidth="1"/>
    <col min="4127" max="4128" width="6.28515625" style="16" customWidth="1"/>
    <col min="4129" max="4129" width="10.28515625" style="16" customWidth="1"/>
    <col min="4130" max="4131" width="6.28515625" style="16" customWidth="1"/>
    <col min="4132" max="4132" width="10.28515625" style="16" customWidth="1"/>
    <col min="4133" max="4134" width="6.28515625" style="16" customWidth="1"/>
    <col min="4135" max="4135" width="10.28515625" style="16" customWidth="1"/>
    <col min="4136" max="4138" width="0" style="16" hidden="1" customWidth="1"/>
    <col min="4139" max="4140" width="5.28515625" style="16" customWidth="1"/>
    <col min="4141" max="4354" width="11.42578125" style="16"/>
    <col min="4355" max="4355" width="11" style="16" customWidth="1"/>
    <col min="4356" max="4357" width="6.28515625" style="16" customWidth="1"/>
    <col min="4358" max="4358" width="10.28515625" style="16" customWidth="1"/>
    <col min="4359" max="4360" width="6.28515625" style="16" customWidth="1"/>
    <col min="4361" max="4361" width="10.28515625" style="16" customWidth="1"/>
    <col min="4362" max="4363" width="6.28515625" style="16" customWidth="1"/>
    <col min="4364" max="4364" width="10.28515625" style="16" customWidth="1"/>
    <col min="4365" max="4366" width="6.28515625" style="16" customWidth="1"/>
    <col min="4367" max="4367" width="10.28515625" style="16" customWidth="1"/>
    <col min="4368" max="4369" width="6.28515625" style="16" customWidth="1"/>
    <col min="4370" max="4370" width="10.28515625" style="16" customWidth="1"/>
    <col min="4371" max="4372" width="6.28515625" style="16" customWidth="1"/>
    <col min="4373" max="4373" width="10.28515625" style="16" customWidth="1"/>
    <col min="4374" max="4375" width="6.28515625" style="16" customWidth="1"/>
    <col min="4376" max="4376" width="10.28515625" style="16" customWidth="1"/>
    <col min="4377" max="4378" width="6.28515625" style="16" customWidth="1"/>
    <col min="4379" max="4379" width="10.28515625" style="16" customWidth="1"/>
    <col min="4380" max="4381" width="6.28515625" style="16" customWidth="1"/>
    <col min="4382" max="4382" width="10.28515625" style="16" customWidth="1"/>
    <col min="4383" max="4384" width="6.28515625" style="16" customWidth="1"/>
    <col min="4385" max="4385" width="10.28515625" style="16" customWidth="1"/>
    <col min="4386" max="4387" width="6.28515625" style="16" customWidth="1"/>
    <col min="4388" max="4388" width="10.28515625" style="16" customWidth="1"/>
    <col min="4389" max="4390" width="6.28515625" style="16" customWidth="1"/>
    <col min="4391" max="4391" width="10.28515625" style="16" customWidth="1"/>
    <col min="4392" max="4394" width="0" style="16" hidden="1" customWidth="1"/>
    <col min="4395" max="4396" width="5.28515625" style="16" customWidth="1"/>
    <col min="4397" max="4610" width="11.42578125" style="16"/>
    <col min="4611" max="4611" width="11" style="16" customWidth="1"/>
    <col min="4612" max="4613" width="6.28515625" style="16" customWidth="1"/>
    <col min="4614" max="4614" width="10.28515625" style="16" customWidth="1"/>
    <col min="4615" max="4616" width="6.28515625" style="16" customWidth="1"/>
    <col min="4617" max="4617" width="10.28515625" style="16" customWidth="1"/>
    <col min="4618" max="4619" width="6.28515625" style="16" customWidth="1"/>
    <col min="4620" max="4620" width="10.28515625" style="16" customWidth="1"/>
    <col min="4621" max="4622" width="6.28515625" style="16" customWidth="1"/>
    <col min="4623" max="4623" width="10.28515625" style="16" customWidth="1"/>
    <col min="4624" max="4625" width="6.28515625" style="16" customWidth="1"/>
    <col min="4626" max="4626" width="10.28515625" style="16" customWidth="1"/>
    <col min="4627" max="4628" width="6.28515625" style="16" customWidth="1"/>
    <col min="4629" max="4629" width="10.28515625" style="16" customWidth="1"/>
    <col min="4630" max="4631" width="6.28515625" style="16" customWidth="1"/>
    <col min="4632" max="4632" width="10.28515625" style="16" customWidth="1"/>
    <col min="4633" max="4634" width="6.28515625" style="16" customWidth="1"/>
    <col min="4635" max="4635" width="10.28515625" style="16" customWidth="1"/>
    <col min="4636" max="4637" width="6.28515625" style="16" customWidth="1"/>
    <col min="4638" max="4638" width="10.28515625" style="16" customWidth="1"/>
    <col min="4639" max="4640" width="6.28515625" style="16" customWidth="1"/>
    <col min="4641" max="4641" width="10.28515625" style="16" customWidth="1"/>
    <col min="4642" max="4643" width="6.28515625" style="16" customWidth="1"/>
    <col min="4644" max="4644" width="10.28515625" style="16" customWidth="1"/>
    <col min="4645" max="4646" width="6.28515625" style="16" customWidth="1"/>
    <col min="4647" max="4647" width="10.28515625" style="16" customWidth="1"/>
    <col min="4648" max="4650" width="0" style="16" hidden="1" customWidth="1"/>
    <col min="4651" max="4652" width="5.28515625" style="16" customWidth="1"/>
    <col min="4653" max="4866" width="11.42578125" style="16"/>
    <col min="4867" max="4867" width="11" style="16" customWidth="1"/>
    <col min="4868" max="4869" width="6.28515625" style="16" customWidth="1"/>
    <col min="4870" max="4870" width="10.28515625" style="16" customWidth="1"/>
    <col min="4871" max="4872" width="6.28515625" style="16" customWidth="1"/>
    <col min="4873" max="4873" width="10.28515625" style="16" customWidth="1"/>
    <col min="4874" max="4875" width="6.28515625" style="16" customWidth="1"/>
    <col min="4876" max="4876" width="10.28515625" style="16" customWidth="1"/>
    <col min="4877" max="4878" width="6.28515625" style="16" customWidth="1"/>
    <col min="4879" max="4879" width="10.28515625" style="16" customWidth="1"/>
    <col min="4880" max="4881" width="6.28515625" style="16" customWidth="1"/>
    <col min="4882" max="4882" width="10.28515625" style="16" customWidth="1"/>
    <col min="4883" max="4884" width="6.28515625" style="16" customWidth="1"/>
    <col min="4885" max="4885" width="10.28515625" style="16" customWidth="1"/>
    <col min="4886" max="4887" width="6.28515625" style="16" customWidth="1"/>
    <col min="4888" max="4888" width="10.28515625" style="16" customWidth="1"/>
    <col min="4889" max="4890" width="6.28515625" style="16" customWidth="1"/>
    <col min="4891" max="4891" width="10.28515625" style="16" customWidth="1"/>
    <col min="4892" max="4893" width="6.28515625" style="16" customWidth="1"/>
    <col min="4894" max="4894" width="10.28515625" style="16" customWidth="1"/>
    <col min="4895" max="4896" width="6.28515625" style="16" customWidth="1"/>
    <col min="4897" max="4897" width="10.28515625" style="16" customWidth="1"/>
    <col min="4898" max="4899" width="6.28515625" style="16" customWidth="1"/>
    <col min="4900" max="4900" width="10.28515625" style="16" customWidth="1"/>
    <col min="4901" max="4902" width="6.28515625" style="16" customWidth="1"/>
    <col min="4903" max="4903" width="10.28515625" style="16" customWidth="1"/>
    <col min="4904" max="4906" width="0" style="16" hidden="1" customWidth="1"/>
    <col min="4907" max="4908" width="5.28515625" style="16" customWidth="1"/>
    <col min="4909" max="5122" width="11.42578125" style="16"/>
    <col min="5123" max="5123" width="11" style="16" customWidth="1"/>
    <col min="5124" max="5125" width="6.28515625" style="16" customWidth="1"/>
    <col min="5126" max="5126" width="10.28515625" style="16" customWidth="1"/>
    <col min="5127" max="5128" width="6.28515625" style="16" customWidth="1"/>
    <col min="5129" max="5129" width="10.28515625" style="16" customWidth="1"/>
    <col min="5130" max="5131" width="6.28515625" style="16" customWidth="1"/>
    <col min="5132" max="5132" width="10.28515625" style="16" customWidth="1"/>
    <col min="5133" max="5134" width="6.28515625" style="16" customWidth="1"/>
    <col min="5135" max="5135" width="10.28515625" style="16" customWidth="1"/>
    <col min="5136" max="5137" width="6.28515625" style="16" customWidth="1"/>
    <col min="5138" max="5138" width="10.28515625" style="16" customWidth="1"/>
    <col min="5139" max="5140" width="6.28515625" style="16" customWidth="1"/>
    <col min="5141" max="5141" width="10.28515625" style="16" customWidth="1"/>
    <col min="5142" max="5143" width="6.28515625" style="16" customWidth="1"/>
    <col min="5144" max="5144" width="10.28515625" style="16" customWidth="1"/>
    <col min="5145" max="5146" width="6.28515625" style="16" customWidth="1"/>
    <col min="5147" max="5147" width="10.28515625" style="16" customWidth="1"/>
    <col min="5148" max="5149" width="6.28515625" style="16" customWidth="1"/>
    <col min="5150" max="5150" width="10.28515625" style="16" customWidth="1"/>
    <col min="5151" max="5152" width="6.28515625" style="16" customWidth="1"/>
    <col min="5153" max="5153" width="10.28515625" style="16" customWidth="1"/>
    <col min="5154" max="5155" width="6.28515625" style="16" customWidth="1"/>
    <col min="5156" max="5156" width="10.28515625" style="16" customWidth="1"/>
    <col min="5157" max="5158" width="6.28515625" style="16" customWidth="1"/>
    <col min="5159" max="5159" width="10.28515625" style="16" customWidth="1"/>
    <col min="5160" max="5162" width="0" style="16" hidden="1" customWidth="1"/>
    <col min="5163" max="5164" width="5.28515625" style="16" customWidth="1"/>
    <col min="5165" max="5378" width="11.42578125" style="16"/>
    <col min="5379" max="5379" width="11" style="16" customWidth="1"/>
    <col min="5380" max="5381" width="6.28515625" style="16" customWidth="1"/>
    <col min="5382" max="5382" width="10.28515625" style="16" customWidth="1"/>
    <col min="5383" max="5384" width="6.28515625" style="16" customWidth="1"/>
    <col min="5385" max="5385" width="10.28515625" style="16" customWidth="1"/>
    <col min="5386" max="5387" width="6.28515625" style="16" customWidth="1"/>
    <col min="5388" max="5388" width="10.28515625" style="16" customWidth="1"/>
    <col min="5389" max="5390" width="6.28515625" style="16" customWidth="1"/>
    <col min="5391" max="5391" width="10.28515625" style="16" customWidth="1"/>
    <col min="5392" max="5393" width="6.28515625" style="16" customWidth="1"/>
    <col min="5394" max="5394" width="10.28515625" style="16" customWidth="1"/>
    <col min="5395" max="5396" width="6.28515625" style="16" customWidth="1"/>
    <col min="5397" max="5397" width="10.28515625" style="16" customWidth="1"/>
    <col min="5398" max="5399" width="6.28515625" style="16" customWidth="1"/>
    <col min="5400" max="5400" width="10.28515625" style="16" customWidth="1"/>
    <col min="5401" max="5402" width="6.28515625" style="16" customWidth="1"/>
    <col min="5403" max="5403" width="10.28515625" style="16" customWidth="1"/>
    <col min="5404" max="5405" width="6.28515625" style="16" customWidth="1"/>
    <col min="5406" max="5406" width="10.28515625" style="16" customWidth="1"/>
    <col min="5407" max="5408" width="6.28515625" style="16" customWidth="1"/>
    <col min="5409" max="5409" width="10.28515625" style="16" customWidth="1"/>
    <col min="5410" max="5411" width="6.28515625" style="16" customWidth="1"/>
    <col min="5412" max="5412" width="10.28515625" style="16" customWidth="1"/>
    <col min="5413" max="5414" width="6.28515625" style="16" customWidth="1"/>
    <col min="5415" max="5415" width="10.28515625" style="16" customWidth="1"/>
    <col min="5416" max="5418" width="0" style="16" hidden="1" customWidth="1"/>
    <col min="5419" max="5420" width="5.28515625" style="16" customWidth="1"/>
    <col min="5421" max="5634" width="11.42578125" style="16"/>
    <col min="5635" max="5635" width="11" style="16" customWidth="1"/>
    <col min="5636" max="5637" width="6.28515625" style="16" customWidth="1"/>
    <col min="5638" max="5638" width="10.28515625" style="16" customWidth="1"/>
    <col min="5639" max="5640" width="6.28515625" style="16" customWidth="1"/>
    <col min="5641" max="5641" width="10.28515625" style="16" customWidth="1"/>
    <col min="5642" max="5643" width="6.28515625" style="16" customWidth="1"/>
    <col min="5644" max="5644" width="10.28515625" style="16" customWidth="1"/>
    <col min="5645" max="5646" width="6.28515625" style="16" customWidth="1"/>
    <col min="5647" max="5647" width="10.28515625" style="16" customWidth="1"/>
    <col min="5648" max="5649" width="6.28515625" style="16" customWidth="1"/>
    <col min="5650" max="5650" width="10.28515625" style="16" customWidth="1"/>
    <col min="5651" max="5652" width="6.28515625" style="16" customWidth="1"/>
    <col min="5653" max="5653" width="10.28515625" style="16" customWidth="1"/>
    <col min="5654" max="5655" width="6.28515625" style="16" customWidth="1"/>
    <col min="5656" max="5656" width="10.28515625" style="16" customWidth="1"/>
    <col min="5657" max="5658" width="6.28515625" style="16" customWidth="1"/>
    <col min="5659" max="5659" width="10.28515625" style="16" customWidth="1"/>
    <col min="5660" max="5661" width="6.28515625" style="16" customWidth="1"/>
    <col min="5662" max="5662" width="10.28515625" style="16" customWidth="1"/>
    <col min="5663" max="5664" width="6.28515625" style="16" customWidth="1"/>
    <col min="5665" max="5665" width="10.28515625" style="16" customWidth="1"/>
    <col min="5666" max="5667" width="6.28515625" style="16" customWidth="1"/>
    <col min="5668" max="5668" width="10.28515625" style="16" customWidth="1"/>
    <col min="5669" max="5670" width="6.28515625" style="16" customWidth="1"/>
    <col min="5671" max="5671" width="10.28515625" style="16" customWidth="1"/>
    <col min="5672" max="5674" width="0" style="16" hidden="1" customWidth="1"/>
    <col min="5675" max="5676" width="5.28515625" style="16" customWidth="1"/>
    <col min="5677" max="5890" width="11.42578125" style="16"/>
    <col min="5891" max="5891" width="11" style="16" customWidth="1"/>
    <col min="5892" max="5893" width="6.28515625" style="16" customWidth="1"/>
    <col min="5894" max="5894" width="10.28515625" style="16" customWidth="1"/>
    <col min="5895" max="5896" width="6.28515625" style="16" customWidth="1"/>
    <col min="5897" max="5897" width="10.28515625" style="16" customWidth="1"/>
    <col min="5898" max="5899" width="6.28515625" style="16" customWidth="1"/>
    <col min="5900" max="5900" width="10.28515625" style="16" customWidth="1"/>
    <col min="5901" max="5902" width="6.28515625" style="16" customWidth="1"/>
    <col min="5903" max="5903" width="10.28515625" style="16" customWidth="1"/>
    <col min="5904" max="5905" width="6.28515625" style="16" customWidth="1"/>
    <col min="5906" max="5906" width="10.28515625" style="16" customWidth="1"/>
    <col min="5907" max="5908" width="6.28515625" style="16" customWidth="1"/>
    <col min="5909" max="5909" width="10.28515625" style="16" customWidth="1"/>
    <col min="5910" max="5911" width="6.28515625" style="16" customWidth="1"/>
    <col min="5912" max="5912" width="10.28515625" style="16" customWidth="1"/>
    <col min="5913" max="5914" width="6.28515625" style="16" customWidth="1"/>
    <col min="5915" max="5915" width="10.28515625" style="16" customWidth="1"/>
    <col min="5916" max="5917" width="6.28515625" style="16" customWidth="1"/>
    <col min="5918" max="5918" width="10.28515625" style="16" customWidth="1"/>
    <col min="5919" max="5920" width="6.28515625" style="16" customWidth="1"/>
    <col min="5921" max="5921" width="10.28515625" style="16" customWidth="1"/>
    <col min="5922" max="5923" width="6.28515625" style="16" customWidth="1"/>
    <col min="5924" max="5924" width="10.28515625" style="16" customWidth="1"/>
    <col min="5925" max="5926" width="6.28515625" style="16" customWidth="1"/>
    <col min="5927" max="5927" width="10.28515625" style="16" customWidth="1"/>
    <col min="5928" max="5930" width="0" style="16" hidden="1" customWidth="1"/>
    <col min="5931" max="5932" width="5.28515625" style="16" customWidth="1"/>
    <col min="5933" max="6146" width="11.42578125" style="16"/>
    <col min="6147" max="6147" width="11" style="16" customWidth="1"/>
    <col min="6148" max="6149" width="6.28515625" style="16" customWidth="1"/>
    <col min="6150" max="6150" width="10.28515625" style="16" customWidth="1"/>
    <col min="6151" max="6152" width="6.28515625" style="16" customWidth="1"/>
    <col min="6153" max="6153" width="10.28515625" style="16" customWidth="1"/>
    <col min="6154" max="6155" width="6.28515625" style="16" customWidth="1"/>
    <col min="6156" max="6156" width="10.28515625" style="16" customWidth="1"/>
    <col min="6157" max="6158" width="6.28515625" style="16" customWidth="1"/>
    <col min="6159" max="6159" width="10.28515625" style="16" customWidth="1"/>
    <col min="6160" max="6161" width="6.28515625" style="16" customWidth="1"/>
    <col min="6162" max="6162" width="10.28515625" style="16" customWidth="1"/>
    <col min="6163" max="6164" width="6.28515625" style="16" customWidth="1"/>
    <col min="6165" max="6165" width="10.28515625" style="16" customWidth="1"/>
    <col min="6166" max="6167" width="6.28515625" style="16" customWidth="1"/>
    <col min="6168" max="6168" width="10.28515625" style="16" customWidth="1"/>
    <col min="6169" max="6170" width="6.28515625" style="16" customWidth="1"/>
    <col min="6171" max="6171" width="10.28515625" style="16" customWidth="1"/>
    <col min="6172" max="6173" width="6.28515625" style="16" customWidth="1"/>
    <col min="6174" max="6174" width="10.28515625" style="16" customWidth="1"/>
    <col min="6175" max="6176" width="6.28515625" style="16" customWidth="1"/>
    <col min="6177" max="6177" width="10.28515625" style="16" customWidth="1"/>
    <col min="6178" max="6179" width="6.28515625" style="16" customWidth="1"/>
    <col min="6180" max="6180" width="10.28515625" style="16" customWidth="1"/>
    <col min="6181" max="6182" width="6.28515625" style="16" customWidth="1"/>
    <col min="6183" max="6183" width="10.28515625" style="16" customWidth="1"/>
    <col min="6184" max="6186" width="0" style="16" hidden="1" customWidth="1"/>
    <col min="6187" max="6188" width="5.28515625" style="16" customWidth="1"/>
    <col min="6189" max="6402" width="11.42578125" style="16"/>
    <col min="6403" max="6403" width="11" style="16" customWidth="1"/>
    <col min="6404" max="6405" width="6.28515625" style="16" customWidth="1"/>
    <col min="6406" max="6406" width="10.28515625" style="16" customWidth="1"/>
    <col min="6407" max="6408" width="6.28515625" style="16" customWidth="1"/>
    <col min="6409" max="6409" width="10.28515625" style="16" customWidth="1"/>
    <col min="6410" max="6411" width="6.28515625" style="16" customWidth="1"/>
    <col min="6412" max="6412" width="10.28515625" style="16" customWidth="1"/>
    <col min="6413" max="6414" width="6.28515625" style="16" customWidth="1"/>
    <col min="6415" max="6415" width="10.28515625" style="16" customWidth="1"/>
    <col min="6416" max="6417" width="6.28515625" style="16" customWidth="1"/>
    <col min="6418" max="6418" width="10.28515625" style="16" customWidth="1"/>
    <col min="6419" max="6420" width="6.28515625" style="16" customWidth="1"/>
    <col min="6421" max="6421" width="10.28515625" style="16" customWidth="1"/>
    <col min="6422" max="6423" width="6.28515625" style="16" customWidth="1"/>
    <col min="6424" max="6424" width="10.28515625" style="16" customWidth="1"/>
    <col min="6425" max="6426" width="6.28515625" style="16" customWidth="1"/>
    <col min="6427" max="6427" width="10.28515625" style="16" customWidth="1"/>
    <col min="6428" max="6429" width="6.28515625" style="16" customWidth="1"/>
    <col min="6430" max="6430" width="10.28515625" style="16" customWidth="1"/>
    <col min="6431" max="6432" width="6.28515625" style="16" customWidth="1"/>
    <col min="6433" max="6433" width="10.28515625" style="16" customWidth="1"/>
    <col min="6434" max="6435" width="6.28515625" style="16" customWidth="1"/>
    <col min="6436" max="6436" width="10.28515625" style="16" customWidth="1"/>
    <col min="6437" max="6438" width="6.28515625" style="16" customWidth="1"/>
    <col min="6439" max="6439" width="10.28515625" style="16" customWidth="1"/>
    <col min="6440" max="6442" width="0" style="16" hidden="1" customWidth="1"/>
    <col min="6443" max="6444" width="5.28515625" style="16" customWidth="1"/>
    <col min="6445" max="6658" width="11.42578125" style="16"/>
    <col min="6659" max="6659" width="11" style="16" customWidth="1"/>
    <col min="6660" max="6661" width="6.28515625" style="16" customWidth="1"/>
    <col min="6662" max="6662" width="10.28515625" style="16" customWidth="1"/>
    <col min="6663" max="6664" width="6.28515625" style="16" customWidth="1"/>
    <col min="6665" max="6665" width="10.28515625" style="16" customWidth="1"/>
    <col min="6666" max="6667" width="6.28515625" style="16" customWidth="1"/>
    <col min="6668" max="6668" width="10.28515625" style="16" customWidth="1"/>
    <col min="6669" max="6670" width="6.28515625" style="16" customWidth="1"/>
    <col min="6671" max="6671" width="10.28515625" style="16" customWidth="1"/>
    <col min="6672" max="6673" width="6.28515625" style="16" customWidth="1"/>
    <col min="6674" max="6674" width="10.28515625" style="16" customWidth="1"/>
    <col min="6675" max="6676" width="6.28515625" style="16" customWidth="1"/>
    <col min="6677" max="6677" width="10.28515625" style="16" customWidth="1"/>
    <col min="6678" max="6679" width="6.28515625" style="16" customWidth="1"/>
    <col min="6680" max="6680" width="10.28515625" style="16" customWidth="1"/>
    <col min="6681" max="6682" width="6.28515625" style="16" customWidth="1"/>
    <col min="6683" max="6683" width="10.28515625" style="16" customWidth="1"/>
    <col min="6684" max="6685" width="6.28515625" style="16" customWidth="1"/>
    <col min="6686" max="6686" width="10.28515625" style="16" customWidth="1"/>
    <col min="6687" max="6688" width="6.28515625" style="16" customWidth="1"/>
    <col min="6689" max="6689" width="10.28515625" style="16" customWidth="1"/>
    <col min="6690" max="6691" width="6.28515625" style="16" customWidth="1"/>
    <col min="6692" max="6692" width="10.28515625" style="16" customWidth="1"/>
    <col min="6693" max="6694" width="6.28515625" style="16" customWidth="1"/>
    <col min="6695" max="6695" width="10.28515625" style="16" customWidth="1"/>
    <col min="6696" max="6698" width="0" style="16" hidden="1" customWidth="1"/>
    <col min="6699" max="6700" width="5.28515625" style="16" customWidth="1"/>
    <col min="6701" max="6914" width="11.42578125" style="16"/>
    <col min="6915" max="6915" width="11" style="16" customWidth="1"/>
    <col min="6916" max="6917" width="6.28515625" style="16" customWidth="1"/>
    <col min="6918" max="6918" width="10.28515625" style="16" customWidth="1"/>
    <col min="6919" max="6920" width="6.28515625" style="16" customWidth="1"/>
    <col min="6921" max="6921" width="10.28515625" style="16" customWidth="1"/>
    <col min="6922" max="6923" width="6.28515625" style="16" customWidth="1"/>
    <col min="6924" max="6924" width="10.28515625" style="16" customWidth="1"/>
    <col min="6925" max="6926" width="6.28515625" style="16" customWidth="1"/>
    <col min="6927" max="6927" width="10.28515625" style="16" customWidth="1"/>
    <col min="6928" max="6929" width="6.28515625" style="16" customWidth="1"/>
    <col min="6930" max="6930" width="10.28515625" style="16" customWidth="1"/>
    <col min="6931" max="6932" width="6.28515625" style="16" customWidth="1"/>
    <col min="6933" max="6933" width="10.28515625" style="16" customWidth="1"/>
    <col min="6934" max="6935" width="6.28515625" style="16" customWidth="1"/>
    <col min="6936" max="6936" width="10.28515625" style="16" customWidth="1"/>
    <col min="6937" max="6938" width="6.28515625" style="16" customWidth="1"/>
    <col min="6939" max="6939" width="10.28515625" style="16" customWidth="1"/>
    <col min="6940" max="6941" width="6.28515625" style="16" customWidth="1"/>
    <col min="6942" max="6942" width="10.28515625" style="16" customWidth="1"/>
    <col min="6943" max="6944" width="6.28515625" style="16" customWidth="1"/>
    <col min="6945" max="6945" width="10.28515625" style="16" customWidth="1"/>
    <col min="6946" max="6947" width="6.28515625" style="16" customWidth="1"/>
    <col min="6948" max="6948" width="10.28515625" style="16" customWidth="1"/>
    <col min="6949" max="6950" width="6.28515625" style="16" customWidth="1"/>
    <col min="6951" max="6951" width="10.28515625" style="16" customWidth="1"/>
    <col min="6952" max="6954" width="0" style="16" hidden="1" customWidth="1"/>
    <col min="6955" max="6956" width="5.28515625" style="16" customWidth="1"/>
    <col min="6957" max="7170" width="11.42578125" style="16"/>
    <col min="7171" max="7171" width="11" style="16" customWidth="1"/>
    <col min="7172" max="7173" width="6.28515625" style="16" customWidth="1"/>
    <col min="7174" max="7174" width="10.28515625" style="16" customWidth="1"/>
    <col min="7175" max="7176" width="6.28515625" style="16" customWidth="1"/>
    <col min="7177" max="7177" width="10.28515625" style="16" customWidth="1"/>
    <col min="7178" max="7179" width="6.28515625" style="16" customWidth="1"/>
    <col min="7180" max="7180" width="10.28515625" style="16" customWidth="1"/>
    <col min="7181" max="7182" width="6.28515625" style="16" customWidth="1"/>
    <col min="7183" max="7183" width="10.28515625" style="16" customWidth="1"/>
    <col min="7184" max="7185" width="6.28515625" style="16" customWidth="1"/>
    <col min="7186" max="7186" width="10.28515625" style="16" customWidth="1"/>
    <col min="7187" max="7188" width="6.28515625" style="16" customWidth="1"/>
    <col min="7189" max="7189" width="10.28515625" style="16" customWidth="1"/>
    <col min="7190" max="7191" width="6.28515625" style="16" customWidth="1"/>
    <col min="7192" max="7192" width="10.28515625" style="16" customWidth="1"/>
    <col min="7193" max="7194" width="6.28515625" style="16" customWidth="1"/>
    <col min="7195" max="7195" width="10.28515625" style="16" customWidth="1"/>
    <col min="7196" max="7197" width="6.28515625" style="16" customWidth="1"/>
    <col min="7198" max="7198" width="10.28515625" style="16" customWidth="1"/>
    <col min="7199" max="7200" width="6.28515625" style="16" customWidth="1"/>
    <col min="7201" max="7201" width="10.28515625" style="16" customWidth="1"/>
    <col min="7202" max="7203" width="6.28515625" style="16" customWidth="1"/>
    <col min="7204" max="7204" width="10.28515625" style="16" customWidth="1"/>
    <col min="7205" max="7206" width="6.28515625" style="16" customWidth="1"/>
    <col min="7207" max="7207" width="10.28515625" style="16" customWidth="1"/>
    <col min="7208" max="7210" width="0" style="16" hidden="1" customWidth="1"/>
    <col min="7211" max="7212" width="5.28515625" style="16" customWidth="1"/>
    <col min="7213" max="7426" width="11.42578125" style="16"/>
    <col min="7427" max="7427" width="11" style="16" customWidth="1"/>
    <col min="7428" max="7429" width="6.28515625" style="16" customWidth="1"/>
    <col min="7430" max="7430" width="10.28515625" style="16" customWidth="1"/>
    <col min="7431" max="7432" width="6.28515625" style="16" customWidth="1"/>
    <col min="7433" max="7433" width="10.28515625" style="16" customWidth="1"/>
    <col min="7434" max="7435" width="6.28515625" style="16" customWidth="1"/>
    <col min="7436" max="7436" width="10.28515625" style="16" customWidth="1"/>
    <col min="7437" max="7438" width="6.28515625" style="16" customWidth="1"/>
    <col min="7439" max="7439" width="10.28515625" style="16" customWidth="1"/>
    <col min="7440" max="7441" width="6.28515625" style="16" customWidth="1"/>
    <col min="7442" max="7442" width="10.28515625" style="16" customWidth="1"/>
    <col min="7443" max="7444" width="6.28515625" style="16" customWidth="1"/>
    <col min="7445" max="7445" width="10.28515625" style="16" customWidth="1"/>
    <col min="7446" max="7447" width="6.28515625" style="16" customWidth="1"/>
    <col min="7448" max="7448" width="10.28515625" style="16" customWidth="1"/>
    <col min="7449" max="7450" width="6.28515625" style="16" customWidth="1"/>
    <col min="7451" max="7451" width="10.28515625" style="16" customWidth="1"/>
    <col min="7452" max="7453" width="6.28515625" style="16" customWidth="1"/>
    <col min="7454" max="7454" width="10.28515625" style="16" customWidth="1"/>
    <col min="7455" max="7456" width="6.28515625" style="16" customWidth="1"/>
    <col min="7457" max="7457" width="10.28515625" style="16" customWidth="1"/>
    <col min="7458" max="7459" width="6.28515625" style="16" customWidth="1"/>
    <col min="7460" max="7460" width="10.28515625" style="16" customWidth="1"/>
    <col min="7461" max="7462" width="6.28515625" style="16" customWidth="1"/>
    <col min="7463" max="7463" width="10.28515625" style="16" customWidth="1"/>
    <col min="7464" max="7466" width="0" style="16" hidden="1" customWidth="1"/>
    <col min="7467" max="7468" width="5.28515625" style="16" customWidth="1"/>
    <col min="7469" max="7682" width="11.42578125" style="16"/>
    <col min="7683" max="7683" width="11" style="16" customWidth="1"/>
    <col min="7684" max="7685" width="6.28515625" style="16" customWidth="1"/>
    <col min="7686" max="7686" width="10.28515625" style="16" customWidth="1"/>
    <col min="7687" max="7688" width="6.28515625" style="16" customWidth="1"/>
    <col min="7689" max="7689" width="10.28515625" style="16" customWidth="1"/>
    <col min="7690" max="7691" width="6.28515625" style="16" customWidth="1"/>
    <col min="7692" max="7692" width="10.28515625" style="16" customWidth="1"/>
    <col min="7693" max="7694" width="6.28515625" style="16" customWidth="1"/>
    <col min="7695" max="7695" width="10.28515625" style="16" customWidth="1"/>
    <col min="7696" max="7697" width="6.28515625" style="16" customWidth="1"/>
    <col min="7698" max="7698" width="10.28515625" style="16" customWidth="1"/>
    <col min="7699" max="7700" width="6.28515625" style="16" customWidth="1"/>
    <col min="7701" max="7701" width="10.28515625" style="16" customWidth="1"/>
    <col min="7702" max="7703" width="6.28515625" style="16" customWidth="1"/>
    <col min="7704" max="7704" width="10.28515625" style="16" customWidth="1"/>
    <col min="7705" max="7706" width="6.28515625" style="16" customWidth="1"/>
    <col min="7707" max="7707" width="10.28515625" style="16" customWidth="1"/>
    <col min="7708" max="7709" width="6.28515625" style="16" customWidth="1"/>
    <col min="7710" max="7710" width="10.28515625" style="16" customWidth="1"/>
    <col min="7711" max="7712" width="6.28515625" style="16" customWidth="1"/>
    <col min="7713" max="7713" width="10.28515625" style="16" customWidth="1"/>
    <col min="7714" max="7715" width="6.28515625" style="16" customWidth="1"/>
    <col min="7716" max="7716" width="10.28515625" style="16" customWidth="1"/>
    <col min="7717" max="7718" width="6.28515625" style="16" customWidth="1"/>
    <col min="7719" max="7719" width="10.28515625" style="16" customWidth="1"/>
    <col min="7720" max="7722" width="0" style="16" hidden="1" customWidth="1"/>
    <col min="7723" max="7724" width="5.28515625" style="16" customWidth="1"/>
    <col min="7725" max="7938" width="11.42578125" style="16"/>
    <col min="7939" max="7939" width="11" style="16" customWidth="1"/>
    <col min="7940" max="7941" width="6.28515625" style="16" customWidth="1"/>
    <col min="7942" max="7942" width="10.28515625" style="16" customWidth="1"/>
    <col min="7943" max="7944" width="6.28515625" style="16" customWidth="1"/>
    <col min="7945" max="7945" width="10.28515625" style="16" customWidth="1"/>
    <col min="7946" max="7947" width="6.28515625" style="16" customWidth="1"/>
    <col min="7948" max="7948" width="10.28515625" style="16" customWidth="1"/>
    <col min="7949" max="7950" width="6.28515625" style="16" customWidth="1"/>
    <col min="7951" max="7951" width="10.28515625" style="16" customWidth="1"/>
    <col min="7952" max="7953" width="6.28515625" style="16" customWidth="1"/>
    <col min="7954" max="7954" width="10.28515625" style="16" customWidth="1"/>
    <col min="7955" max="7956" width="6.28515625" style="16" customWidth="1"/>
    <col min="7957" max="7957" width="10.28515625" style="16" customWidth="1"/>
    <col min="7958" max="7959" width="6.28515625" style="16" customWidth="1"/>
    <col min="7960" max="7960" width="10.28515625" style="16" customWidth="1"/>
    <col min="7961" max="7962" width="6.28515625" style="16" customWidth="1"/>
    <col min="7963" max="7963" width="10.28515625" style="16" customWidth="1"/>
    <col min="7964" max="7965" width="6.28515625" style="16" customWidth="1"/>
    <col min="7966" max="7966" width="10.28515625" style="16" customWidth="1"/>
    <col min="7967" max="7968" width="6.28515625" style="16" customWidth="1"/>
    <col min="7969" max="7969" width="10.28515625" style="16" customWidth="1"/>
    <col min="7970" max="7971" width="6.28515625" style="16" customWidth="1"/>
    <col min="7972" max="7972" width="10.28515625" style="16" customWidth="1"/>
    <col min="7973" max="7974" width="6.28515625" style="16" customWidth="1"/>
    <col min="7975" max="7975" width="10.28515625" style="16" customWidth="1"/>
    <col min="7976" max="7978" width="0" style="16" hidden="1" customWidth="1"/>
    <col min="7979" max="7980" width="5.28515625" style="16" customWidth="1"/>
    <col min="7981" max="8194" width="11.42578125" style="16"/>
    <col min="8195" max="8195" width="11" style="16" customWidth="1"/>
    <col min="8196" max="8197" width="6.28515625" style="16" customWidth="1"/>
    <col min="8198" max="8198" width="10.28515625" style="16" customWidth="1"/>
    <col min="8199" max="8200" width="6.28515625" style="16" customWidth="1"/>
    <col min="8201" max="8201" width="10.28515625" style="16" customWidth="1"/>
    <col min="8202" max="8203" width="6.28515625" style="16" customWidth="1"/>
    <col min="8204" max="8204" width="10.28515625" style="16" customWidth="1"/>
    <col min="8205" max="8206" width="6.28515625" style="16" customWidth="1"/>
    <col min="8207" max="8207" width="10.28515625" style="16" customWidth="1"/>
    <col min="8208" max="8209" width="6.28515625" style="16" customWidth="1"/>
    <col min="8210" max="8210" width="10.28515625" style="16" customWidth="1"/>
    <col min="8211" max="8212" width="6.28515625" style="16" customWidth="1"/>
    <col min="8213" max="8213" width="10.28515625" style="16" customWidth="1"/>
    <col min="8214" max="8215" width="6.28515625" style="16" customWidth="1"/>
    <col min="8216" max="8216" width="10.28515625" style="16" customWidth="1"/>
    <col min="8217" max="8218" width="6.28515625" style="16" customWidth="1"/>
    <col min="8219" max="8219" width="10.28515625" style="16" customWidth="1"/>
    <col min="8220" max="8221" width="6.28515625" style="16" customWidth="1"/>
    <col min="8222" max="8222" width="10.28515625" style="16" customWidth="1"/>
    <col min="8223" max="8224" width="6.28515625" style="16" customWidth="1"/>
    <col min="8225" max="8225" width="10.28515625" style="16" customWidth="1"/>
    <col min="8226" max="8227" width="6.28515625" style="16" customWidth="1"/>
    <col min="8228" max="8228" width="10.28515625" style="16" customWidth="1"/>
    <col min="8229" max="8230" width="6.28515625" style="16" customWidth="1"/>
    <col min="8231" max="8231" width="10.28515625" style="16" customWidth="1"/>
    <col min="8232" max="8234" width="0" style="16" hidden="1" customWidth="1"/>
    <col min="8235" max="8236" width="5.28515625" style="16" customWidth="1"/>
    <col min="8237" max="8450" width="11.42578125" style="16"/>
    <col min="8451" max="8451" width="11" style="16" customWidth="1"/>
    <col min="8452" max="8453" width="6.28515625" style="16" customWidth="1"/>
    <col min="8454" max="8454" width="10.28515625" style="16" customWidth="1"/>
    <col min="8455" max="8456" width="6.28515625" style="16" customWidth="1"/>
    <col min="8457" max="8457" width="10.28515625" style="16" customWidth="1"/>
    <col min="8458" max="8459" width="6.28515625" style="16" customWidth="1"/>
    <col min="8460" max="8460" width="10.28515625" style="16" customWidth="1"/>
    <col min="8461" max="8462" width="6.28515625" style="16" customWidth="1"/>
    <col min="8463" max="8463" width="10.28515625" style="16" customWidth="1"/>
    <col min="8464" max="8465" width="6.28515625" style="16" customWidth="1"/>
    <col min="8466" max="8466" width="10.28515625" style="16" customWidth="1"/>
    <col min="8467" max="8468" width="6.28515625" style="16" customWidth="1"/>
    <col min="8469" max="8469" width="10.28515625" style="16" customWidth="1"/>
    <col min="8470" max="8471" width="6.28515625" style="16" customWidth="1"/>
    <col min="8472" max="8472" width="10.28515625" style="16" customWidth="1"/>
    <col min="8473" max="8474" width="6.28515625" style="16" customWidth="1"/>
    <col min="8475" max="8475" width="10.28515625" style="16" customWidth="1"/>
    <col min="8476" max="8477" width="6.28515625" style="16" customWidth="1"/>
    <col min="8478" max="8478" width="10.28515625" style="16" customWidth="1"/>
    <col min="8479" max="8480" width="6.28515625" style="16" customWidth="1"/>
    <col min="8481" max="8481" width="10.28515625" style="16" customWidth="1"/>
    <col min="8482" max="8483" width="6.28515625" style="16" customWidth="1"/>
    <col min="8484" max="8484" width="10.28515625" style="16" customWidth="1"/>
    <col min="8485" max="8486" width="6.28515625" style="16" customWidth="1"/>
    <col min="8487" max="8487" width="10.28515625" style="16" customWidth="1"/>
    <col min="8488" max="8490" width="0" style="16" hidden="1" customWidth="1"/>
    <col min="8491" max="8492" width="5.28515625" style="16" customWidth="1"/>
    <col min="8493" max="8706" width="11.42578125" style="16"/>
    <col min="8707" max="8707" width="11" style="16" customWidth="1"/>
    <col min="8708" max="8709" width="6.28515625" style="16" customWidth="1"/>
    <col min="8710" max="8710" width="10.28515625" style="16" customWidth="1"/>
    <col min="8711" max="8712" width="6.28515625" style="16" customWidth="1"/>
    <col min="8713" max="8713" width="10.28515625" style="16" customWidth="1"/>
    <col min="8714" max="8715" width="6.28515625" style="16" customWidth="1"/>
    <col min="8716" max="8716" width="10.28515625" style="16" customWidth="1"/>
    <col min="8717" max="8718" width="6.28515625" style="16" customWidth="1"/>
    <col min="8719" max="8719" width="10.28515625" style="16" customWidth="1"/>
    <col min="8720" max="8721" width="6.28515625" style="16" customWidth="1"/>
    <col min="8722" max="8722" width="10.28515625" style="16" customWidth="1"/>
    <col min="8723" max="8724" width="6.28515625" style="16" customWidth="1"/>
    <col min="8725" max="8725" width="10.28515625" style="16" customWidth="1"/>
    <col min="8726" max="8727" width="6.28515625" style="16" customWidth="1"/>
    <col min="8728" max="8728" width="10.28515625" style="16" customWidth="1"/>
    <col min="8729" max="8730" width="6.28515625" style="16" customWidth="1"/>
    <col min="8731" max="8731" width="10.28515625" style="16" customWidth="1"/>
    <col min="8732" max="8733" width="6.28515625" style="16" customWidth="1"/>
    <col min="8734" max="8734" width="10.28515625" style="16" customWidth="1"/>
    <col min="8735" max="8736" width="6.28515625" style="16" customWidth="1"/>
    <col min="8737" max="8737" width="10.28515625" style="16" customWidth="1"/>
    <col min="8738" max="8739" width="6.28515625" style="16" customWidth="1"/>
    <col min="8740" max="8740" width="10.28515625" style="16" customWidth="1"/>
    <col min="8741" max="8742" width="6.28515625" style="16" customWidth="1"/>
    <col min="8743" max="8743" width="10.28515625" style="16" customWidth="1"/>
    <col min="8744" max="8746" width="0" style="16" hidden="1" customWidth="1"/>
    <col min="8747" max="8748" width="5.28515625" style="16" customWidth="1"/>
    <col min="8749" max="8962" width="11.42578125" style="16"/>
    <col min="8963" max="8963" width="11" style="16" customWidth="1"/>
    <col min="8964" max="8965" width="6.28515625" style="16" customWidth="1"/>
    <col min="8966" max="8966" width="10.28515625" style="16" customWidth="1"/>
    <col min="8967" max="8968" width="6.28515625" style="16" customWidth="1"/>
    <col min="8969" max="8969" width="10.28515625" style="16" customWidth="1"/>
    <col min="8970" max="8971" width="6.28515625" style="16" customWidth="1"/>
    <col min="8972" max="8972" width="10.28515625" style="16" customWidth="1"/>
    <col min="8973" max="8974" width="6.28515625" style="16" customWidth="1"/>
    <col min="8975" max="8975" width="10.28515625" style="16" customWidth="1"/>
    <col min="8976" max="8977" width="6.28515625" style="16" customWidth="1"/>
    <col min="8978" max="8978" width="10.28515625" style="16" customWidth="1"/>
    <col min="8979" max="8980" width="6.28515625" style="16" customWidth="1"/>
    <col min="8981" max="8981" width="10.28515625" style="16" customWidth="1"/>
    <col min="8982" max="8983" width="6.28515625" style="16" customWidth="1"/>
    <col min="8984" max="8984" width="10.28515625" style="16" customWidth="1"/>
    <col min="8985" max="8986" width="6.28515625" style="16" customWidth="1"/>
    <col min="8987" max="8987" width="10.28515625" style="16" customWidth="1"/>
    <col min="8988" max="8989" width="6.28515625" style="16" customWidth="1"/>
    <col min="8990" max="8990" width="10.28515625" style="16" customWidth="1"/>
    <col min="8991" max="8992" width="6.28515625" style="16" customWidth="1"/>
    <col min="8993" max="8993" width="10.28515625" style="16" customWidth="1"/>
    <col min="8994" max="8995" width="6.28515625" style="16" customWidth="1"/>
    <col min="8996" max="8996" width="10.28515625" style="16" customWidth="1"/>
    <col min="8997" max="8998" width="6.28515625" style="16" customWidth="1"/>
    <col min="8999" max="8999" width="10.28515625" style="16" customWidth="1"/>
    <col min="9000" max="9002" width="0" style="16" hidden="1" customWidth="1"/>
    <col min="9003" max="9004" width="5.28515625" style="16" customWidth="1"/>
    <col min="9005" max="9218" width="11.42578125" style="16"/>
    <col min="9219" max="9219" width="11" style="16" customWidth="1"/>
    <col min="9220" max="9221" width="6.28515625" style="16" customWidth="1"/>
    <col min="9222" max="9222" width="10.28515625" style="16" customWidth="1"/>
    <col min="9223" max="9224" width="6.28515625" style="16" customWidth="1"/>
    <col min="9225" max="9225" width="10.28515625" style="16" customWidth="1"/>
    <col min="9226" max="9227" width="6.28515625" style="16" customWidth="1"/>
    <col min="9228" max="9228" width="10.28515625" style="16" customWidth="1"/>
    <col min="9229" max="9230" width="6.28515625" style="16" customWidth="1"/>
    <col min="9231" max="9231" width="10.28515625" style="16" customWidth="1"/>
    <col min="9232" max="9233" width="6.28515625" style="16" customWidth="1"/>
    <col min="9234" max="9234" width="10.28515625" style="16" customWidth="1"/>
    <col min="9235" max="9236" width="6.28515625" style="16" customWidth="1"/>
    <col min="9237" max="9237" width="10.28515625" style="16" customWidth="1"/>
    <col min="9238" max="9239" width="6.28515625" style="16" customWidth="1"/>
    <col min="9240" max="9240" width="10.28515625" style="16" customWidth="1"/>
    <col min="9241" max="9242" width="6.28515625" style="16" customWidth="1"/>
    <col min="9243" max="9243" width="10.28515625" style="16" customWidth="1"/>
    <col min="9244" max="9245" width="6.28515625" style="16" customWidth="1"/>
    <col min="9246" max="9246" width="10.28515625" style="16" customWidth="1"/>
    <col min="9247" max="9248" width="6.28515625" style="16" customWidth="1"/>
    <col min="9249" max="9249" width="10.28515625" style="16" customWidth="1"/>
    <col min="9250" max="9251" width="6.28515625" style="16" customWidth="1"/>
    <col min="9252" max="9252" width="10.28515625" style="16" customWidth="1"/>
    <col min="9253" max="9254" width="6.28515625" style="16" customWidth="1"/>
    <col min="9255" max="9255" width="10.28515625" style="16" customWidth="1"/>
    <col min="9256" max="9258" width="0" style="16" hidden="1" customWidth="1"/>
    <col min="9259" max="9260" width="5.28515625" style="16" customWidth="1"/>
    <col min="9261" max="9474" width="11.42578125" style="16"/>
    <col min="9475" max="9475" width="11" style="16" customWidth="1"/>
    <col min="9476" max="9477" width="6.28515625" style="16" customWidth="1"/>
    <col min="9478" max="9478" width="10.28515625" style="16" customWidth="1"/>
    <col min="9479" max="9480" width="6.28515625" style="16" customWidth="1"/>
    <col min="9481" max="9481" width="10.28515625" style="16" customWidth="1"/>
    <col min="9482" max="9483" width="6.28515625" style="16" customWidth="1"/>
    <col min="9484" max="9484" width="10.28515625" style="16" customWidth="1"/>
    <col min="9485" max="9486" width="6.28515625" style="16" customWidth="1"/>
    <col min="9487" max="9487" width="10.28515625" style="16" customWidth="1"/>
    <col min="9488" max="9489" width="6.28515625" style="16" customWidth="1"/>
    <col min="9490" max="9490" width="10.28515625" style="16" customWidth="1"/>
    <col min="9491" max="9492" width="6.28515625" style="16" customWidth="1"/>
    <col min="9493" max="9493" width="10.28515625" style="16" customWidth="1"/>
    <col min="9494" max="9495" width="6.28515625" style="16" customWidth="1"/>
    <col min="9496" max="9496" width="10.28515625" style="16" customWidth="1"/>
    <col min="9497" max="9498" width="6.28515625" style="16" customWidth="1"/>
    <col min="9499" max="9499" width="10.28515625" style="16" customWidth="1"/>
    <col min="9500" max="9501" width="6.28515625" style="16" customWidth="1"/>
    <col min="9502" max="9502" width="10.28515625" style="16" customWidth="1"/>
    <col min="9503" max="9504" width="6.28515625" style="16" customWidth="1"/>
    <col min="9505" max="9505" width="10.28515625" style="16" customWidth="1"/>
    <col min="9506" max="9507" width="6.28515625" style="16" customWidth="1"/>
    <col min="9508" max="9508" width="10.28515625" style="16" customWidth="1"/>
    <col min="9509" max="9510" width="6.28515625" style="16" customWidth="1"/>
    <col min="9511" max="9511" width="10.28515625" style="16" customWidth="1"/>
    <col min="9512" max="9514" width="0" style="16" hidden="1" customWidth="1"/>
    <col min="9515" max="9516" width="5.28515625" style="16" customWidth="1"/>
    <col min="9517" max="9730" width="11.42578125" style="16"/>
    <col min="9731" max="9731" width="11" style="16" customWidth="1"/>
    <col min="9732" max="9733" width="6.28515625" style="16" customWidth="1"/>
    <col min="9734" max="9734" width="10.28515625" style="16" customWidth="1"/>
    <col min="9735" max="9736" width="6.28515625" style="16" customWidth="1"/>
    <col min="9737" max="9737" width="10.28515625" style="16" customWidth="1"/>
    <col min="9738" max="9739" width="6.28515625" style="16" customWidth="1"/>
    <col min="9740" max="9740" width="10.28515625" style="16" customWidth="1"/>
    <col min="9741" max="9742" width="6.28515625" style="16" customWidth="1"/>
    <col min="9743" max="9743" width="10.28515625" style="16" customWidth="1"/>
    <col min="9744" max="9745" width="6.28515625" style="16" customWidth="1"/>
    <col min="9746" max="9746" width="10.28515625" style="16" customWidth="1"/>
    <col min="9747" max="9748" width="6.28515625" style="16" customWidth="1"/>
    <col min="9749" max="9749" width="10.28515625" style="16" customWidth="1"/>
    <col min="9750" max="9751" width="6.28515625" style="16" customWidth="1"/>
    <col min="9752" max="9752" width="10.28515625" style="16" customWidth="1"/>
    <col min="9753" max="9754" width="6.28515625" style="16" customWidth="1"/>
    <col min="9755" max="9755" width="10.28515625" style="16" customWidth="1"/>
    <col min="9756" max="9757" width="6.28515625" style="16" customWidth="1"/>
    <col min="9758" max="9758" width="10.28515625" style="16" customWidth="1"/>
    <col min="9759" max="9760" width="6.28515625" style="16" customWidth="1"/>
    <col min="9761" max="9761" width="10.28515625" style="16" customWidth="1"/>
    <col min="9762" max="9763" width="6.28515625" style="16" customWidth="1"/>
    <col min="9764" max="9764" width="10.28515625" style="16" customWidth="1"/>
    <col min="9765" max="9766" width="6.28515625" style="16" customWidth="1"/>
    <col min="9767" max="9767" width="10.28515625" style="16" customWidth="1"/>
    <col min="9768" max="9770" width="0" style="16" hidden="1" customWidth="1"/>
    <col min="9771" max="9772" width="5.28515625" style="16" customWidth="1"/>
    <col min="9773" max="9986" width="11.42578125" style="16"/>
    <col min="9987" max="9987" width="11" style="16" customWidth="1"/>
    <col min="9988" max="9989" width="6.28515625" style="16" customWidth="1"/>
    <col min="9990" max="9990" width="10.28515625" style="16" customWidth="1"/>
    <col min="9991" max="9992" width="6.28515625" style="16" customWidth="1"/>
    <col min="9993" max="9993" width="10.28515625" style="16" customWidth="1"/>
    <col min="9994" max="9995" width="6.28515625" style="16" customWidth="1"/>
    <col min="9996" max="9996" width="10.28515625" style="16" customWidth="1"/>
    <col min="9997" max="9998" width="6.28515625" style="16" customWidth="1"/>
    <col min="9999" max="9999" width="10.28515625" style="16" customWidth="1"/>
    <col min="10000" max="10001" width="6.28515625" style="16" customWidth="1"/>
    <col min="10002" max="10002" width="10.28515625" style="16" customWidth="1"/>
    <col min="10003" max="10004" width="6.28515625" style="16" customWidth="1"/>
    <col min="10005" max="10005" width="10.28515625" style="16" customWidth="1"/>
    <col min="10006" max="10007" width="6.28515625" style="16" customWidth="1"/>
    <col min="10008" max="10008" width="10.28515625" style="16" customWidth="1"/>
    <col min="10009" max="10010" width="6.28515625" style="16" customWidth="1"/>
    <col min="10011" max="10011" width="10.28515625" style="16" customWidth="1"/>
    <col min="10012" max="10013" width="6.28515625" style="16" customWidth="1"/>
    <col min="10014" max="10014" width="10.28515625" style="16" customWidth="1"/>
    <col min="10015" max="10016" width="6.28515625" style="16" customWidth="1"/>
    <col min="10017" max="10017" width="10.28515625" style="16" customWidth="1"/>
    <col min="10018" max="10019" width="6.28515625" style="16" customWidth="1"/>
    <col min="10020" max="10020" width="10.28515625" style="16" customWidth="1"/>
    <col min="10021" max="10022" width="6.28515625" style="16" customWidth="1"/>
    <col min="10023" max="10023" width="10.28515625" style="16" customWidth="1"/>
    <col min="10024" max="10026" width="0" style="16" hidden="1" customWidth="1"/>
    <col min="10027" max="10028" width="5.28515625" style="16" customWidth="1"/>
    <col min="10029" max="10242" width="11.42578125" style="16"/>
    <col min="10243" max="10243" width="11" style="16" customWidth="1"/>
    <col min="10244" max="10245" width="6.28515625" style="16" customWidth="1"/>
    <col min="10246" max="10246" width="10.28515625" style="16" customWidth="1"/>
    <col min="10247" max="10248" width="6.28515625" style="16" customWidth="1"/>
    <col min="10249" max="10249" width="10.28515625" style="16" customWidth="1"/>
    <col min="10250" max="10251" width="6.28515625" style="16" customWidth="1"/>
    <col min="10252" max="10252" width="10.28515625" style="16" customWidth="1"/>
    <col min="10253" max="10254" width="6.28515625" style="16" customWidth="1"/>
    <col min="10255" max="10255" width="10.28515625" style="16" customWidth="1"/>
    <col min="10256" max="10257" width="6.28515625" style="16" customWidth="1"/>
    <col min="10258" max="10258" width="10.28515625" style="16" customWidth="1"/>
    <col min="10259" max="10260" width="6.28515625" style="16" customWidth="1"/>
    <col min="10261" max="10261" width="10.28515625" style="16" customWidth="1"/>
    <col min="10262" max="10263" width="6.28515625" style="16" customWidth="1"/>
    <col min="10264" max="10264" width="10.28515625" style="16" customWidth="1"/>
    <col min="10265" max="10266" width="6.28515625" style="16" customWidth="1"/>
    <col min="10267" max="10267" width="10.28515625" style="16" customWidth="1"/>
    <col min="10268" max="10269" width="6.28515625" style="16" customWidth="1"/>
    <col min="10270" max="10270" width="10.28515625" style="16" customWidth="1"/>
    <col min="10271" max="10272" width="6.28515625" style="16" customWidth="1"/>
    <col min="10273" max="10273" width="10.28515625" style="16" customWidth="1"/>
    <col min="10274" max="10275" width="6.28515625" style="16" customWidth="1"/>
    <col min="10276" max="10276" width="10.28515625" style="16" customWidth="1"/>
    <col min="10277" max="10278" width="6.28515625" style="16" customWidth="1"/>
    <col min="10279" max="10279" width="10.28515625" style="16" customWidth="1"/>
    <col min="10280" max="10282" width="0" style="16" hidden="1" customWidth="1"/>
    <col min="10283" max="10284" width="5.28515625" style="16" customWidth="1"/>
    <col min="10285" max="10498" width="11.42578125" style="16"/>
    <col min="10499" max="10499" width="11" style="16" customWidth="1"/>
    <col min="10500" max="10501" width="6.28515625" style="16" customWidth="1"/>
    <col min="10502" max="10502" width="10.28515625" style="16" customWidth="1"/>
    <col min="10503" max="10504" width="6.28515625" style="16" customWidth="1"/>
    <col min="10505" max="10505" width="10.28515625" style="16" customWidth="1"/>
    <col min="10506" max="10507" width="6.28515625" style="16" customWidth="1"/>
    <col min="10508" max="10508" width="10.28515625" style="16" customWidth="1"/>
    <col min="10509" max="10510" width="6.28515625" style="16" customWidth="1"/>
    <col min="10511" max="10511" width="10.28515625" style="16" customWidth="1"/>
    <col min="10512" max="10513" width="6.28515625" style="16" customWidth="1"/>
    <col min="10514" max="10514" width="10.28515625" style="16" customWidth="1"/>
    <col min="10515" max="10516" width="6.28515625" style="16" customWidth="1"/>
    <col min="10517" max="10517" width="10.28515625" style="16" customWidth="1"/>
    <col min="10518" max="10519" width="6.28515625" style="16" customWidth="1"/>
    <col min="10520" max="10520" width="10.28515625" style="16" customWidth="1"/>
    <col min="10521" max="10522" width="6.28515625" style="16" customWidth="1"/>
    <col min="10523" max="10523" width="10.28515625" style="16" customWidth="1"/>
    <col min="10524" max="10525" width="6.28515625" style="16" customWidth="1"/>
    <col min="10526" max="10526" width="10.28515625" style="16" customWidth="1"/>
    <col min="10527" max="10528" width="6.28515625" style="16" customWidth="1"/>
    <col min="10529" max="10529" width="10.28515625" style="16" customWidth="1"/>
    <col min="10530" max="10531" width="6.28515625" style="16" customWidth="1"/>
    <col min="10532" max="10532" width="10.28515625" style="16" customWidth="1"/>
    <col min="10533" max="10534" width="6.28515625" style="16" customWidth="1"/>
    <col min="10535" max="10535" width="10.28515625" style="16" customWidth="1"/>
    <col min="10536" max="10538" width="0" style="16" hidden="1" customWidth="1"/>
    <col min="10539" max="10540" width="5.28515625" style="16" customWidth="1"/>
    <col min="10541" max="10754" width="11.42578125" style="16"/>
    <col min="10755" max="10755" width="11" style="16" customWidth="1"/>
    <col min="10756" max="10757" width="6.28515625" style="16" customWidth="1"/>
    <col min="10758" max="10758" width="10.28515625" style="16" customWidth="1"/>
    <col min="10759" max="10760" width="6.28515625" style="16" customWidth="1"/>
    <col min="10761" max="10761" width="10.28515625" style="16" customWidth="1"/>
    <col min="10762" max="10763" width="6.28515625" style="16" customWidth="1"/>
    <col min="10764" max="10764" width="10.28515625" style="16" customWidth="1"/>
    <col min="10765" max="10766" width="6.28515625" style="16" customWidth="1"/>
    <col min="10767" max="10767" width="10.28515625" style="16" customWidth="1"/>
    <col min="10768" max="10769" width="6.28515625" style="16" customWidth="1"/>
    <col min="10770" max="10770" width="10.28515625" style="16" customWidth="1"/>
    <col min="10771" max="10772" width="6.28515625" style="16" customWidth="1"/>
    <col min="10773" max="10773" width="10.28515625" style="16" customWidth="1"/>
    <col min="10774" max="10775" width="6.28515625" style="16" customWidth="1"/>
    <col min="10776" max="10776" width="10.28515625" style="16" customWidth="1"/>
    <col min="10777" max="10778" width="6.28515625" style="16" customWidth="1"/>
    <col min="10779" max="10779" width="10.28515625" style="16" customWidth="1"/>
    <col min="10780" max="10781" width="6.28515625" style="16" customWidth="1"/>
    <col min="10782" max="10782" width="10.28515625" style="16" customWidth="1"/>
    <col min="10783" max="10784" width="6.28515625" style="16" customWidth="1"/>
    <col min="10785" max="10785" width="10.28515625" style="16" customWidth="1"/>
    <col min="10786" max="10787" width="6.28515625" style="16" customWidth="1"/>
    <col min="10788" max="10788" width="10.28515625" style="16" customWidth="1"/>
    <col min="10789" max="10790" width="6.28515625" style="16" customWidth="1"/>
    <col min="10791" max="10791" width="10.28515625" style="16" customWidth="1"/>
    <col min="10792" max="10794" width="0" style="16" hidden="1" customWidth="1"/>
    <col min="10795" max="10796" width="5.28515625" style="16" customWidth="1"/>
    <col min="10797" max="11010" width="11.42578125" style="16"/>
    <col min="11011" max="11011" width="11" style="16" customWidth="1"/>
    <col min="11012" max="11013" width="6.28515625" style="16" customWidth="1"/>
    <col min="11014" max="11014" width="10.28515625" style="16" customWidth="1"/>
    <col min="11015" max="11016" width="6.28515625" style="16" customWidth="1"/>
    <col min="11017" max="11017" width="10.28515625" style="16" customWidth="1"/>
    <col min="11018" max="11019" width="6.28515625" style="16" customWidth="1"/>
    <col min="11020" max="11020" width="10.28515625" style="16" customWidth="1"/>
    <col min="11021" max="11022" width="6.28515625" style="16" customWidth="1"/>
    <col min="11023" max="11023" width="10.28515625" style="16" customWidth="1"/>
    <col min="11024" max="11025" width="6.28515625" style="16" customWidth="1"/>
    <col min="11026" max="11026" width="10.28515625" style="16" customWidth="1"/>
    <col min="11027" max="11028" width="6.28515625" style="16" customWidth="1"/>
    <col min="11029" max="11029" width="10.28515625" style="16" customWidth="1"/>
    <col min="11030" max="11031" width="6.28515625" style="16" customWidth="1"/>
    <col min="11032" max="11032" width="10.28515625" style="16" customWidth="1"/>
    <col min="11033" max="11034" width="6.28515625" style="16" customWidth="1"/>
    <col min="11035" max="11035" width="10.28515625" style="16" customWidth="1"/>
    <col min="11036" max="11037" width="6.28515625" style="16" customWidth="1"/>
    <col min="11038" max="11038" width="10.28515625" style="16" customWidth="1"/>
    <col min="11039" max="11040" width="6.28515625" style="16" customWidth="1"/>
    <col min="11041" max="11041" width="10.28515625" style="16" customWidth="1"/>
    <col min="11042" max="11043" width="6.28515625" style="16" customWidth="1"/>
    <col min="11044" max="11044" width="10.28515625" style="16" customWidth="1"/>
    <col min="11045" max="11046" width="6.28515625" style="16" customWidth="1"/>
    <col min="11047" max="11047" width="10.28515625" style="16" customWidth="1"/>
    <col min="11048" max="11050" width="0" style="16" hidden="1" customWidth="1"/>
    <col min="11051" max="11052" width="5.28515625" style="16" customWidth="1"/>
    <col min="11053" max="11266" width="11.42578125" style="16"/>
    <col min="11267" max="11267" width="11" style="16" customWidth="1"/>
    <col min="11268" max="11269" width="6.28515625" style="16" customWidth="1"/>
    <col min="11270" max="11270" width="10.28515625" style="16" customWidth="1"/>
    <col min="11271" max="11272" width="6.28515625" style="16" customWidth="1"/>
    <col min="11273" max="11273" width="10.28515625" style="16" customWidth="1"/>
    <col min="11274" max="11275" width="6.28515625" style="16" customWidth="1"/>
    <col min="11276" max="11276" width="10.28515625" style="16" customWidth="1"/>
    <col min="11277" max="11278" width="6.28515625" style="16" customWidth="1"/>
    <col min="11279" max="11279" width="10.28515625" style="16" customWidth="1"/>
    <col min="11280" max="11281" width="6.28515625" style="16" customWidth="1"/>
    <col min="11282" max="11282" width="10.28515625" style="16" customWidth="1"/>
    <col min="11283" max="11284" width="6.28515625" style="16" customWidth="1"/>
    <col min="11285" max="11285" width="10.28515625" style="16" customWidth="1"/>
    <col min="11286" max="11287" width="6.28515625" style="16" customWidth="1"/>
    <col min="11288" max="11288" width="10.28515625" style="16" customWidth="1"/>
    <col min="11289" max="11290" width="6.28515625" style="16" customWidth="1"/>
    <col min="11291" max="11291" width="10.28515625" style="16" customWidth="1"/>
    <col min="11292" max="11293" width="6.28515625" style="16" customWidth="1"/>
    <col min="11294" max="11294" width="10.28515625" style="16" customWidth="1"/>
    <col min="11295" max="11296" width="6.28515625" style="16" customWidth="1"/>
    <col min="11297" max="11297" width="10.28515625" style="16" customWidth="1"/>
    <col min="11298" max="11299" width="6.28515625" style="16" customWidth="1"/>
    <col min="11300" max="11300" width="10.28515625" style="16" customWidth="1"/>
    <col min="11301" max="11302" width="6.28515625" style="16" customWidth="1"/>
    <col min="11303" max="11303" width="10.28515625" style="16" customWidth="1"/>
    <col min="11304" max="11306" width="0" style="16" hidden="1" customWidth="1"/>
    <col min="11307" max="11308" width="5.28515625" style="16" customWidth="1"/>
    <col min="11309" max="11522" width="11.42578125" style="16"/>
    <col min="11523" max="11523" width="11" style="16" customWidth="1"/>
    <col min="11524" max="11525" width="6.28515625" style="16" customWidth="1"/>
    <col min="11526" max="11526" width="10.28515625" style="16" customWidth="1"/>
    <col min="11527" max="11528" width="6.28515625" style="16" customWidth="1"/>
    <col min="11529" max="11529" width="10.28515625" style="16" customWidth="1"/>
    <col min="11530" max="11531" width="6.28515625" style="16" customWidth="1"/>
    <col min="11532" max="11532" width="10.28515625" style="16" customWidth="1"/>
    <col min="11533" max="11534" width="6.28515625" style="16" customWidth="1"/>
    <col min="11535" max="11535" width="10.28515625" style="16" customWidth="1"/>
    <col min="11536" max="11537" width="6.28515625" style="16" customWidth="1"/>
    <col min="11538" max="11538" width="10.28515625" style="16" customWidth="1"/>
    <col min="11539" max="11540" width="6.28515625" style="16" customWidth="1"/>
    <col min="11541" max="11541" width="10.28515625" style="16" customWidth="1"/>
    <col min="11542" max="11543" width="6.28515625" style="16" customWidth="1"/>
    <col min="11544" max="11544" width="10.28515625" style="16" customWidth="1"/>
    <col min="11545" max="11546" width="6.28515625" style="16" customWidth="1"/>
    <col min="11547" max="11547" width="10.28515625" style="16" customWidth="1"/>
    <col min="11548" max="11549" width="6.28515625" style="16" customWidth="1"/>
    <col min="11550" max="11550" width="10.28515625" style="16" customWidth="1"/>
    <col min="11551" max="11552" width="6.28515625" style="16" customWidth="1"/>
    <col min="11553" max="11553" width="10.28515625" style="16" customWidth="1"/>
    <col min="11554" max="11555" width="6.28515625" style="16" customWidth="1"/>
    <col min="11556" max="11556" width="10.28515625" style="16" customWidth="1"/>
    <col min="11557" max="11558" width="6.28515625" style="16" customWidth="1"/>
    <col min="11559" max="11559" width="10.28515625" style="16" customWidth="1"/>
    <col min="11560" max="11562" width="0" style="16" hidden="1" customWidth="1"/>
    <col min="11563" max="11564" width="5.28515625" style="16" customWidth="1"/>
    <col min="11565" max="11778" width="11.42578125" style="16"/>
    <col min="11779" max="11779" width="11" style="16" customWidth="1"/>
    <col min="11780" max="11781" width="6.28515625" style="16" customWidth="1"/>
    <col min="11782" max="11782" width="10.28515625" style="16" customWidth="1"/>
    <col min="11783" max="11784" width="6.28515625" style="16" customWidth="1"/>
    <col min="11785" max="11785" width="10.28515625" style="16" customWidth="1"/>
    <col min="11786" max="11787" width="6.28515625" style="16" customWidth="1"/>
    <col min="11788" max="11788" width="10.28515625" style="16" customWidth="1"/>
    <col min="11789" max="11790" width="6.28515625" style="16" customWidth="1"/>
    <col min="11791" max="11791" width="10.28515625" style="16" customWidth="1"/>
    <col min="11792" max="11793" width="6.28515625" style="16" customWidth="1"/>
    <col min="11794" max="11794" width="10.28515625" style="16" customWidth="1"/>
    <col min="11795" max="11796" width="6.28515625" style="16" customWidth="1"/>
    <col min="11797" max="11797" width="10.28515625" style="16" customWidth="1"/>
    <col min="11798" max="11799" width="6.28515625" style="16" customWidth="1"/>
    <col min="11800" max="11800" width="10.28515625" style="16" customWidth="1"/>
    <col min="11801" max="11802" width="6.28515625" style="16" customWidth="1"/>
    <col min="11803" max="11803" width="10.28515625" style="16" customWidth="1"/>
    <col min="11804" max="11805" width="6.28515625" style="16" customWidth="1"/>
    <col min="11806" max="11806" width="10.28515625" style="16" customWidth="1"/>
    <col min="11807" max="11808" width="6.28515625" style="16" customWidth="1"/>
    <col min="11809" max="11809" width="10.28515625" style="16" customWidth="1"/>
    <col min="11810" max="11811" width="6.28515625" style="16" customWidth="1"/>
    <col min="11812" max="11812" width="10.28515625" style="16" customWidth="1"/>
    <col min="11813" max="11814" width="6.28515625" style="16" customWidth="1"/>
    <col min="11815" max="11815" width="10.28515625" style="16" customWidth="1"/>
    <col min="11816" max="11818" width="0" style="16" hidden="1" customWidth="1"/>
    <col min="11819" max="11820" width="5.28515625" style="16" customWidth="1"/>
    <col min="11821" max="12034" width="11.42578125" style="16"/>
    <col min="12035" max="12035" width="11" style="16" customWidth="1"/>
    <col min="12036" max="12037" width="6.28515625" style="16" customWidth="1"/>
    <col min="12038" max="12038" width="10.28515625" style="16" customWidth="1"/>
    <col min="12039" max="12040" width="6.28515625" style="16" customWidth="1"/>
    <col min="12041" max="12041" width="10.28515625" style="16" customWidth="1"/>
    <col min="12042" max="12043" width="6.28515625" style="16" customWidth="1"/>
    <col min="12044" max="12044" width="10.28515625" style="16" customWidth="1"/>
    <col min="12045" max="12046" width="6.28515625" style="16" customWidth="1"/>
    <col min="12047" max="12047" width="10.28515625" style="16" customWidth="1"/>
    <col min="12048" max="12049" width="6.28515625" style="16" customWidth="1"/>
    <col min="12050" max="12050" width="10.28515625" style="16" customWidth="1"/>
    <col min="12051" max="12052" width="6.28515625" style="16" customWidth="1"/>
    <col min="12053" max="12053" width="10.28515625" style="16" customWidth="1"/>
    <col min="12054" max="12055" width="6.28515625" style="16" customWidth="1"/>
    <col min="12056" max="12056" width="10.28515625" style="16" customWidth="1"/>
    <col min="12057" max="12058" width="6.28515625" style="16" customWidth="1"/>
    <col min="12059" max="12059" width="10.28515625" style="16" customWidth="1"/>
    <col min="12060" max="12061" width="6.28515625" style="16" customWidth="1"/>
    <col min="12062" max="12062" width="10.28515625" style="16" customWidth="1"/>
    <col min="12063" max="12064" width="6.28515625" style="16" customWidth="1"/>
    <col min="12065" max="12065" width="10.28515625" style="16" customWidth="1"/>
    <col min="12066" max="12067" width="6.28515625" style="16" customWidth="1"/>
    <col min="12068" max="12068" width="10.28515625" style="16" customWidth="1"/>
    <col min="12069" max="12070" width="6.28515625" style="16" customWidth="1"/>
    <col min="12071" max="12071" width="10.28515625" style="16" customWidth="1"/>
    <col min="12072" max="12074" width="0" style="16" hidden="1" customWidth="1"/>
    <col min="12075" max="12076" width="5.28515625" style="16" customWidth="1"/>
    <col min="12077" max="12290" width="11.42578125" style="16"/>
    <col min="12291" max="12291" width="11" style="16" customWidth="1"/>
    <col min="12292" max="12293" width="6.28515625" style="16" customWidth="1"/>
    <col min="12294" max="12294" width="10.28515625" style="16" customWidth="1"/>
    <col min="12295" max="12296" width="6.28515625" style="16" customWidth="1"/>
    <col min="12297" max="12297" width="10.28515625" style="16" customWidth="1"/>
    <col min="12298" max="12299" width="6.28515625" style="16" customWidth="1"/>
    <col min="12300" max="12300" width="10.28515625" style="16" customWidth="1"/>
    <col min="12301" max="12302" width="6.28515625" style="16" customWidth="1"/>
    <col min="12303" max="12303" width="10.28515625" style="16" customWidth="1"/>
    <col min="12304" max="12305" width="6.28515625" style="16" customWidth="1"/>
    <col min="12306" max="12306" width="10.28515625" style="16" customWidth="1"/>
    <col min="12307" max="12308" width="6.28515625" style="16" customWidth="1"/>
    <col min="12309" max="12309" width="10.28515625" style="16" customWidth="1"/>
    <col min="12310" max="12311" width="6.28515625" style="16" customWidth="1"/>
    <col min="12312" max="12312" width="10.28515625" style="16" customWidth="1"/>
    <col min="12313" max="12314" width="6.28515625" style="16" customWidth="1"/>
    <col min="12315" max="12315" width="10.28515625" style="16" customWidth="1"/>
    <col min="12316" max="12317" width="6.28515625" style="16" customWidth="1"/>
    <col min="12318" max="12318" width="10.28515625" style="16" customWidth="1"/>
    <col min="12319" max="12320" width="6.28515625" style="16" customWidth="1"/>
    <col min="12321" max="12321" width="10.28515625" style="16" customWidth="1"/>
    <col min="12322" max="12323" width="6.28515625" style="16" customWidth="1"/>
    <col min="12324" max="12324" width="10.28515625" style="16" customWidth="1"/>
    <col min="12325" max="12326" width="6.28515625" style="16" customWidth="1"/>
    <col min="12327" max="12327" width="10.28515625" style="16" customWidth="1"/>
    <col min="12328" max="12330" width="0" style="16" hidden="1" customWidth="1"/>
    <col min="12331" max="12332" width="5.28515625" style="16" customWidth="1"/>
    <col min="12333" max="12546" width="11.42578125" style="16"/>
    <col min="12547" max="12547" width="11" style="16" customWidth="1"/>
    <col min="12548" max="12549" width="6.28515625" style="16" customWidth="1"/>
    <col min="12550" max="12550" width="10.28515625" style="16" customWidth="1"/>
    <col min="12551" max="12552" width="6.28515625" style="16" customWidth="1"/>
    <col min="12553" max="12553" width="10.28515625" style="16" customWidth="1"/>
    <col min="12554" max="12555" width="6.28515625" style="16" customWidth="1"/>
    <col min="12556" max="12556" width="10.28515625" style="16" customWidth="1"/>
    <col min="12557" max="12558" width="6.28515625" style="16" customWidth="1"/>
    <col min="12559" max="12559" width="10.28515625" style="16" customWidth="1"/>
    <col min="12560" max="12561" width="6.28515625" style="16" customWidth="1"/>
    <col min="12562" max="12562" width="10.28515625" style="16" customWidth="1"/>
    <col min="12563" max="12564" width="6.28515625" style="16" customWidth="1"/>
    <col min="12565" max="12565" width="10.28515625" style="16" customWidth="1"/>
    <col min="12566" max="12567" width="6.28515625" style="16" customWidth="1"/>
    <col min="12568" max="12568" width="10.28515625" style="16" customWidth="1"/>
    <col min="12569" max="12570" width="6.28515625" style="16" customWidth="1"/>
    <col min="12571" max="12571" width="10.28515625" style="16" customWidth="1"/>
    <col min="12572" max="12573" width="6.28515625" style="16" customWidth="1"/>
    <col min="12574" max="12574" width="10.28515625" style="16" customWidth="1"/>
    <col min="12575" max="12576" width="6.28515625" style="16" customWidth="1"/>
    <col min="12577" max="12577" width="10.28515625" style="16" customWidth="1"/>
    <col min="12578" max="12579" width="6.28515625" style="16" customWidth="1"/>
    <col min="12580" max="12580" width="10.28515625" style="16" customWidth="1"/>
    <col min="12581" max="12582" width="6.28515625" style="16" customWidth="1"/>
    <col min="12583" max="12583" width="10.28515625" style="16" customWidth="1"/>
    <col min="12584" max="12586" width="0" style="16" hidden="1" customWidth="1"/>
    <col min="12587" max="12588" width="5.28515625" style="16" customWidth="1"/>
    <col min="12589" max="12802" width="11.42578125" style="16"/>
    <col min="12803" max="12803" width="11" style="16" customWidth="1"/>
    <col min="12804" max="12805" width="6.28515625" style="16" customWidth="1"/>
    <col min="12806" max="12806" width="10.28515625" style="16" customWidth="1"/>
    <col min="12807" max="12808" width="6.28515625" style="16" customWidth="1"/>
    <col min="12809" max="12809" width="10.28515625" style="16" customWidth="1"/>
    <col min="12810" max="12811" width="6.28515625" style="16" customWidth="1"/>
    <col min="12812" max="12812" width="10.28515625" style="16" customWidth="1"/>
    <col min="12813" max="12814" width="6.28515625" style="16" customWidth="1"/>
    <col min="12815" max="12815" width="10.28515625" style="16" customWidth="1"/>
    <col min="12816" max="12817" width="6.28515625" style="16" customWidth="1"/>
    <col min="12818" max="12818" width="10.28515625" style="16" customWidth="1"/>
    <col min="12819" max="12820" width="6.28515625" style="16" customWidth="1"/>
    <col min="12821" max="12821" width="10.28515625" style="16" customWidth="1"/>
    <col min="12822" max="12823" width="6.28515625" style="16" customWidth="1"/>
    <col min="12824" max="12824" width="10.28515625" style="16" customWidth="1"/>
    <col min="12825" max="12826" width="6.28515625" style="16" customWidth="1"/>
    <col min="12827" max="12827" width="10.28515625" style="16" customWidth="1"/>
    <col min="12828" max="12829" width="6.28515625" style="16" customWidth="1"/>
    <col min="12830" max="12830" width="10.28515625" style="16" customWidth="1"/>
    <col min="12831" max="12832" width="6.28515625" style="16" customWidth="1"/>
    <col min="12833" max="12833" width="10.28515625" style="16" customWidth="1"/>
    <col min="12834" max="12835" width="6.28515625" style="16" customWidth="1"/>
    <col min="12836" max="12836" width="10.28515625" style="16" customWidth="1"/>
    <col min="12837" max="12838" width="6.28515625" style="16" customWidth="1"/>
    <col min="12839" max="12839" width="10.28515625" style="16" customWidth="1"/>
    <col min="12840" max="12842" width="0" style="16" hidden="1" customWidth="1"/>
    <col min="12843" max="12844" width="5.28515625" style="16" customWidth="1"/>
    <col min="12845" max="13058" width="11.42578125" style="16"/>
    <col min="13059" max="13059" width="11" style="16" customWidth="1"/>
    <col min="13060" max="13061" width="6.28515625" style="16" customWidth="1"/>
    <col min="13062" max="13062" width="10.28515625" style="16" customWidth="1"/>
    <col min="13063" max="13064" width="6.28515625" style="16" customWidth="1"/>
    <col min="13065" max="13065" width="10.28515625" style="16" customWidth="1"/>
    <col min="13066" max="13067" width="6.28515625" style="16" customWidth="1"/>
    <col min="13068" max="13068" width="10.28515625" style="16" customWidth="1"/>
    <col min="13069" max="13070" width="6.28515625" style="16" customWidth="1"/>
    <col min="13071" max="13071" width="10.28515625" style="16" customWidth="1"/>
    <col min="13072" max="13073" width="6.28515625" style="16" customWidth="1"/>
    <col min="13074" max="13074" width="10.28515625" style="16" customWidth="1"/>
    <col min="13075" max="13076" width="6.28515625" style="16" customWidth="1"/>
    <col min="13077" max="13077" width="10.28515625" style="16" customWidth="1"/>
    <col min="13078" max="13079" width="6.28515625" style="16" customWidth="1"/>
    <col min="13080" max="13080" width="10.28515625" style="16" customWidth="1"/>
    <col min="13081" max="13082" width="6.28515625" style="16" customWidth="1"/>
    <col min="13083" max="13083" width="10.28515625" style="16" customWidth="1"/>
    <col min="13084" max="13085" width="6.28515625" style="16" customWidth="1"/>
    <col min="13086" max="13086" width="10.28515625" style="16" customWidth="1"/>
    <col min="13087" max="13088" width="6.28515625" style="16" customWidth="1"/>
    <col min="13089" max="13089" width="10.28515625" style="16" customWidth="1"/>
    <col min="13090" max="13091" width="6.28515625" style="16" customWidth="1"/>
    <col min="13092" max="13092" width="10.28515625" style="16" customWidth="1"/>
    <col min="13093" max="13094" width="6.28515625" style="16" customWidth="1"/>
    <col min="13095" max="13095" width="10.28515625" style="16" customWidth="1"/>
    <col min="13096" max="13098" width="0" style="16" hidden="1" customWidth="1"/>
    <col min="13099" max="13100" width="5.28515625" style="16" customWidth="1"/>
    <col min="13101" max="13314" width="11.42578125" style="16"/>
    <col min="13315" max="13315" width="11" style="16" customWidth="1"/>
    <col min="13316" max="13317" width="6.28515625" style="16" customWidth="1"/>
    <col min="13318" max="13318" width="10.28515625" style="16" customWidth="1"/>
    <col min="13319" max="13320" width="6.28515625" style="16" customWidth="1"/>
    <col min="13321" max="13321" width="10.28515625" style="16" customWidth="1"/>
    <col min="13322" max="13323" width="6.28515625" style="16" customWidth="1"/>
    <col min="13324" max="13324" width="10.28515625" style="16" customWidth="1"/>
    <col min="13325" max="13326" width="6.28515625" style="16" customWidth="1"/>
    <col min="13327" max="13327" width="10.28515625" style="16" customWidth="1"/>
    <col min="13328" max="13329" width="6.28515625" style="16" customWidth="1"/>
    <col min="13330" max="13330" width="10.28515625" style="16" customWidth="1"/>
    <col min="13331" max="13332" width="6.28515625" style="16" customWidth="1"/>
    <col min="13333" max="13333" width="10.28515625" style="16" customWidth="1"/>
    <col min="13334" max="13335" width="6.28515625" style="16" customWidth="1"/>
    <col min="13336" max="13336" width="10.28515625" style="16" customWidth="1"/>
    <col min="13337" max="13338" width="6.28515625" style="16" customWidth="1"/>
    <col min="13339" max="13339" width="10.28515625" style="16" customWidth="1"/>
    <col min="13340" max="13341" width="6.28515625" style="16" customWidth="1"/>
    <col min="13342" max="13342" width="10.28515625" style="16" customWidth="1"/>
    <col min="13343" max="13344" width="6.28515625" style="16" customWidth="1"/>
    <col min="13345" max="13345" width="10.28515625" style="16" customWidth="1"/>
    <col min="13346" max="13347" width="6.28515625" style="16" customWidth="1"/>
    <col min="13348" max="13348" width="10.28515625" style="16" customWidth="1"/>
    <col min="13349" max="13350" width="6.28515625" style="16" customWidth="1"/>
    <col min="13351" max="13351" width="10.28515625" style="16" customWidth="1"/>
    <col min="13352" max="13354" width="0" style="16" hidden="1" customWidth="1"/>
    <col min="13355" max="13356" width="5.28515625" style="16" customWidth="1"/>
    <col min="13357" max="13570" width="11.42578125" style="16"/>
    <col min="13571" max="13571" width="11" style="16" customWidth="1"/>
    <col min="13572" max="13573" width="6.28515625" style="16" customWidth="1"/>
    <col min="13574" max="13574" width="10.28515625" style="16" customWidth="1"/>
    <col min="13575" max="13576" width="6.28515625" style="16" customWidth="1"/>
    <col min="13577" max="13577" width="10.28515625" style="16" customWidth="1"/>
    <col min="13578" max="13579" width="6.28515625" style="16" customWidth="1"/>
    <col min="13580" max="13580" width="10.28515625" style="16" customWidth="1"/>
    <col min="13581" max="13582" width="6.28515625" style="16" customWidth="1"/>
    <col min="13583" max="13583" width="10.28515625" style="16" customWidth="1"/>
    <col min="13584" max="13585" width="6.28515625" style="16" customWidth="1"/>
    <col min="13586" max="13586" width="10.28515625" style="16" customWidth="1"/>
    <col min="13587" max="13588" width="6.28515625" style="16" customWidth="1"/>
    <col min="13589" max="13589" width="10.28515625" style="16" customWidth="1"/>
    <col min="13590" max="13591" width="6.28515625" style="16" customWidth="1"/>
    <col min="13592" max="13592" width="10.28515625" style="16" customWidth="1"/>
    <col min="13593" max="13594" width="6.28515625" style="16" customWidth="1"/>
    <col min="13595" max="13595" width="10.28515625" style="16" customWidth="1"/>
    <col min="13596" max="13597" width="6.28515625" style="16" customWidth="1"/>
    <col min="13598" max="13598" width="10.28515625" style="16" customWidth="1"/>
    <col min="13599" max="13600" width="6.28515625" style="16" customWidth="1"/>
    <col min="13601" max="13601" width="10.28515625" style="16" customWidth="1"/>
    <col min="13602" max="13603" width="6.28515625" style="16" customWidth="1"/>
    <col min="13604" max="13604" width="10.28515625" style="16" customWidth="1"/>
    <col min="13605" max="13606" width="6.28515625" style="16" customWidth="1"/>
    <col min="13607" max="13607" width="10.28515625" style="16" customWidth="1"/>
    <col min="13608" max="13610" width="0" style="16" hidden="1" customWidth="1"/>
    <col min="13611" max="13612" width="5.28515625" style="16" customWidth="1"/>
    <col min="13613" max="13826" width="11.42578125" style="16"/>
    <col min="13827" max="13827" width="11" style="16" customWidth="1"/>
    <col min="13828" max="13829" width="6.28515625" style="16" customWidth="1"/>
    <col min="13830" max="13830" width="10.28515625" style="16" customWidth="1"/>
    <col min="13831" max="13832" width="6.28515625" style="16" customWidth="1"/>
    <col min="13833" max="13833" width="10.28515625" style="16" customWidth="1"/>
    <col min="13834" max="13835" width="6.28515625" style="16" customWidth="1"/>
    <col min="13836" max="13836" width="10.28515625" style="16" customWidth="1"/>
    <col min="13837" max="13838" width="6.28515625" style="16" customWidth="1"/>
    <col min="13839" max="13839" width="10.28515625" style="16" customWidth="1"/>
    <col min="13840" max="13841" width="6.28515625" style="16" customWidth="1"/>
    <col min="13842" max="13842" width="10.28515625" style="16" customWidth="1"/>
    <col min="13843" max="13844" width="6.28515625" style="16" customWidth="1"/>
    <col min="13845" max="13845" width="10.28515625" style="16" customWidth="1"/>
    <col min="13846" max="13847" width="6.28515625" style="16" customWidth="1"/>
    <col min="13848" max="13848" width="10.28515625" style="16" customWidth="1"/>
    <col min="13849" max="13850" width="6.28515625" style="16" customWidth="1"/>
    <col min="13851" max="13851" width="10.28515625" style="16" customWidth="1"/>
    <col min="13852" max="13853" width="6.28515625" style="16" customWidth="1"/>
    <col min="13854" max="13854" width="10.28515625" style="16" customWidth="1"/>
    <col min="13855" max="13856" width="6.28515625" style="16" customWidth="1"/>
    <col min="13857" max="13857" width="10.28515625" style="16" customWidth="1"/>
    <col min="13858" max="13859" width="6.28515625" style="16" customWidth="1"/>
    <col min="13860" max="13860" width="10.28515625" style="16" customWidth="1"/>
    <col min="13861" max="13862" width="6.28515625" style="16" customWidth="1"/>
    <col min="13863" max="13863" width="10.28515625" style="16" customWidth="1"/>
    <col min="13864" max="13866" width="0" style="16" hidden="1" customWidth="1"/>
    <col min="13867" max="13868" width="5.28515625" style="16" customWidth="1"/>
    <col min="13869" max="14082" width="11.42578125" style="16"/>
    <col min="14083" max="14083" width="11" style="16" customWidth="1"/>
    <col min="14084" max="14085" width="6.28515625" style="16" customWidth="1"/>
    <col min="14086" max="14086" width="10.28515625" style="16" customWidth="1"/>
    <col min="14087" max="14088" width="6.28515625" style="16" customWidth="1"/>
    <col min="14089" max="14089" width="10.28515625" style="16" customWidth="1"/>
    <col min="14090" max="14091" width="6.28515625" style="16" customWidth="1"/>
    <col min="14092" max="14092" width="10.28515625" style="16" customWidth="1"/>
    <col min="14093" max="14094" width="6.28515625" style="16" customWidth="1"/>
    <col min="14095" max="14095" width="10.28515625" style="16" customWidth="1"/>
    <col min="14096" max="14097" width="6.28515625" style="16" customWidth="1"/>
    <col min="14098" max="14098" width="10.28515625" style="16" customWidth="1"/>
    <col min="14099" max="14100" width="6.28515625" style="16" customWidth="1"/>
    <col min="14101" max="14101" width="10.28515625" style="16" customWidth="1"/>
    <col min="14102" max="14103" width="6.28515625" style="16" customWidth="1"/>
    <col min="14104" max="14104" width="10.28515625" style="16" customWidth="1"/>
    <col min="14105" max="14106" width="6.28515625" style="16" customWidth="1"/>
    <col min="14107" max="14107" width="10.28515625" style="16" customWidth="1"/>
    <col min="14108" max="14109" width="6.28515625" style="16" customWidth="1"/>
    <col min="14110" max="14110" width="10.28515625" style="16" customWidth="1"/>
    <col min="14111" max="14112" width="6.28515625" style="16" customWidth="1"/>
    <col min="14113" max="14113" width="10.28515625" style="16" customWidth="1"/>
    <col min="14114" max="14115" width="6.28515625" style="16" customWidth="1"/>
    <col min="14116" max="14116" width="10.28515625" style="16" customWidth="1"/>
    <col min="14117" max="14118" width="6.28515625" style="16" customWidth="1"/>
    <col min="14119" max="14119" width="10.28515625" style="16" customWidth="1"/>
    <col min="14120" max="14122" width="0" style="16" hidden="1" customWidth="1"/>
    <col min="14123" max="14124" width="5.28515625" style="16" customWidth="1"/>
    <col min="14125" max="14338" width="11.42578125" style="16"/>
    <col min="14339" max="14339" width="11" style="16" customWidth="1"/>
    <col min="14340" max="14341" width="6.28515625" style="16" customWidth="1"/>
    <col min="14342" max="14342" width="10.28515625" style="16" customWidth="1"/>
    <col min="14343" max="14344" width="6.28515625" style="16" customWidth="1"/>
    <col min="14345" max="14345" width="10.28515625" style="16" customWidth="1"/>
    <col min="14346" max="14347" width="6.28515625" style="16" customWidth="1"/>
    <col min="14348" max="14348" width="10.28515625" style="16" customWidth="1"/>
    <col min="14349" max="14350" width="6.28515625" style="16" customWidth="1"/>
    <col min="14351" max="14351" width="10.28515625" style="16" customWidth="1"/>
    <col min="14352" max="14353" width="6.28515625" style="16" customWidth="1"/>
    <col min="14354" max="14354" width="10.28515625" style="16" customWidth="1"/>
    <col min="14355" max="14356" width="6.28515625" style="16" customWidth="1"/>
    <col min="14357" max="14357" width="10.28515625" style="16" customWidth="1"/>
    <col min="14358" max="14359" width="6.28515625" style="16" customWidth="1"/>
    <col min="14360" max="14360" width="10.28515625" style="16" customWidth="1"/>
    <col min="14361" max="14362" width="6.28515625" style="16" customWidth="1"/>
    <col min="14363" max="14363" width="10.28515625" style="16" customWidth="1"/>
    <col min="14364" max="14365" width="6.28515625" style="16" customWidth="1"/>
    <col min="14366" max="14366" width="10.28515625" style="16" customWidth="1"/>
    <col min="14367" max="14368" width="6.28515625" style="16" customWidth="1"/>
    <col min="14369" max="14369" width="10.28515625" style="16" customWidth="1"/>
    <col min="14370" max="14371" width="6.28515625" style="16" customWidth="1"/>
    <col min="14372" max="14372" width="10.28515625" style="16" customWidth="1"/>
    <col min="14373" max="14374" width="6.28515625" style="16" customWidth="1"/>
    <col min="14375" max="14375" width="10.28515625" style="16" customWidth="1"/>
    <col min="14376" max="14378" width="0" style="16" hidden="1" customWidth="1"/>
    <col min="14379" max="14380" width="5.28515625" style="16" customWidth="1"/>
    <col min="14381" max="14594" width="11.42578125" style="16"/>
    <col min="14595" max="14595" width="11" style="16" customWidth="1"/>
    <col min="14596" max="14597" width="6.28515625" style="16" customWidth="1"/>
    <col min="14598" max="14598" width="10.28515625" style="16" customWidth="1"/>
    <col min="14599" max="14600" width="6.28515625" style="16" customWidth="1"/>
    <col min="14601" max="14601" width="10.28515625" style="16" customWidth="1"/>
    <col min="14602" max="14603" width="6.28515625" style="16" customWidth="1"/>
    <col min="14604" max="14604" width="10.28515625" style="16" customWidth="1"/>
    <col min="14605" max="14606" width="6.28515625" style="16" customWidth="1"/>
    <col min="14607" max="14607" width="10.28515625" style="16" customWidth="1"/>
    <col min="14608" max="14609" width="6.28515625" style="16" customWidth="1"/>
    <col min="14610" max="14610" width="10.28515625" style="16" customWidth="1"/>
    <col min="14611" max="14612" width="6.28515625" style="16" customWidth="1"/>
    <col min="14613" max="14613" width="10.28515625" style="16" customWidth="1"/>
    <col min="14614" max="14615" width="6.28515625" style="16" customWidth="1"/>
    <col min="14616" max="14616" width="10.28515625" style="16" customWidth="1"/>
    <col min="14617" max="14618" width="6.28515625" style="16" customWidth="1"/>
    <col min="14619" max="14619" width="10.28515625" style="16" customWidth="1"/>
    <col min="14620" max="14621" width="6.28515625" style="16" customWidth="1"/>
    <col min="14622" max="14622" width="10.28515625" style="16" customWidth="1"/>
    <col min="14623" max="14624" width="6.28515625" style="16" customWidth="1"/>
    <col min="14625" max="14625" width="10.28515625" style="16" customWidth="1"/>
    <col min="14626" max="14627" width="6.28515625" style="16" customWidth="1"/>
    <col min="14628" max="14628" width="10.28515625" style="16" customWidth="1"/>
    <col min="14629" max="14630" width="6.28515625" style="16" customWidth="1"/>
    <col min="14631" max="14631" width="10.28515625" style="16" customWidth="1"/>
    <col min="14632" max="14634" width="0" style="16" hidden="1" customWidth="1"/>
    <col min="14635" max="14636" width="5.28515625" style="16" customWidth="1"/>
    <col min="14637" max="14850" width="11.42578125" style="16"/>
    <col min="14851" max="14851" width="11" style="16" customWidth="1"/>
    <col min="14852" max="14853" width="6.28515625" style="16" customWidth="1"/>
    <col min="14854" max="14854" width="10.28515625" style="16" customWidth="1"/>
    <col min="14855" max="14856" width="6.28515625" style="16" customWidth="1"/>
    <col min="14857" max="14857" width="10.28515625" style="16" customWidth="1"/>
    <col min="14858" max="14859" width="6.28515625" style="16" customWidth="1"/>
    <col min="14860" max="14860" width="10.28515625" style="16" customWidth="1"/>
    <col min="14861" max="14862" width="6.28515625" style="16" customWidth="1"/>
    <col min="14863" max="14863" width="10.28515625" style="16" customWidth="1"/>
    <col min="14864" max="14865" width="6.28515625" style="16" customWidth="1"/>
    <col min="14866" max="14866" width="10.28515625" style="16" customWidth="1"/>
    <col min="14867" max="14868" width="6.28515625" style="16" customWidth="1"/>
    <col min="14869" max="14869" width="10.28515625" style="16" customWidth="1"/>
    <col min="14870" max="14871" width="6.28515625" style="16" customWidth="1"/>
    <col min="14872" max="14872" width="10.28515625" style="16" customWidth="1"/>
    <col min="14873" max="14874" width="6.28515625" style="16" customWidth="1"/>
    <col min="14875" max="14875" width="10.28515625" style="16" customWidth="1"/>
    <col min="14876" max="14877" width="6.28515625" style="16" customWidth="1"/>
    <col min="14878" max="14878" width="10.28515625" style="16" customWidth="1"/>
    <col min="14879" max="14880" width="6.28515625" style="16" customWidth="1"/>
    <col min="14881" max="14881" width="10.28515625" style="16" customWidth="1"/>
    <col min="14882" max="14883" width="6.28515625" style="16" customWidth="1"/>
    <col min="14884" max="14884" width="10.28515625" style="16" customWidth="1"/>
    <col min="14885" max="14886" width="6.28515625" style="16" customWidth="1"/>
    <col min="14887" max="14887" width="10.28515625" style="16" customWidth="1"/>
    <col min="14888" max="14890" width="0" style="16" hidden="1" customWidth="1"/>
    <col min="14891" max="14892" width="5.28515625" style="16" customWidth="1"/>
    <col min="14893" max="15106" width="11.42578125" style="16"/>
    <col min="15107" max="15107" width="11" style="16" customWidth="1"/>
    <col min="15108" max="15109" width="6.28515625" style="16" customWidth="1"/>
    <col min="15110" max="15110" width="10.28515625" style="16" customWidth="1"/>
    <col min="15111" max="15112" width="6.28515625" style="16" customWidth="1"/>
    <col min="15113" max="15113" width="10.28515625" style="16" customWidth="1"/>
    <col min="15114" max="15115" width="6.28515625" style="16" customWidth="1"/>
    <col min="15116" max="15116" width="10.28515625" style="16" customWidth="1"/>
    <col min="15117" max="15118" width="6.28515625" style="16" customWidth="1"/>
    <col min="15119" max="15119" width="10.28515625" style="16" customWidth="1"/>
    <col min="15120" max="15121" width="6.28515625" style="16" customWidth="1"/>
    <col min="15122" max="15122" width="10.28515625" style="16" customWidth="1"/>
    <col min="15123" max="15124" width="6.28515625" style="16" customWidth="1"/>
    <col min="15125" max="15125" width="10.28515625" style="16" customWidth="1"/>
    <col min="15126" max="15127" width="6.28515625" style="16" customWidth="1"/>
    <col min="15128" max="15128" width="10.28515625" style="16" customWidth="1"/>
    <col min="15129" max="15130" width="6.28515625" style="16" customWidth="1"/>
    <col min="15131" max="15131" width="10.28515625" style="16" customWidth="1"/>
    <col min="15132" max="15133" width="6.28515625" style="16" customWidth="1"/>
    <col min="15134" max="15134" width="10.28515625" style="16" customWidth="1"/>
    <col min="15135" max="15136" width="6.28515625" style="16" customWidth="1"/>
    <col min="15137" max="15137" width="10.28515625" style="16" customWidth="1"/>
    <col min="15138" max="15139" width="6.28515625" style="16" customWidth="1"/>
    <col min="15140" max="15140" width="10.28515625" style="16" customWidth="1"/>
    <col min="15141" max="15142" width="6.28515625" style="16" customWidth="1"/>
    <col min="15143" max="15143" width="10.28515625" style="16" customWidth="1"/>
    <col min="15144" max="15146" width="0" style="16" hidden="1" customWidth="1"/>
    <col min="15147" max="15148" width="5.28515625" style="16" customWidth="1"/>
    <col min="15149" max="15362" width="11.42578125" style="16"/>
    <col min="15363" max="15363" width="11" style="16" customWidth="1"/>
    <col min="15364" max="15365" width="6.28515625" style="16" customWidth="1"/>
    <col min="15366" max="15366" width="10.28515625" style="16" customWidth="1"/>
    <col min="15367" max="15368" width="6.28515625" style="16" customWidth="1"/>
    <col min="15369" max="15369" width="10.28515625" style="16" customWidth="1"/>
    <col min="15370" max="15371" width="6.28515625" style="16" customWidth="1"/>
    <col min="15372" max="15372" width="10.28515625" style="16" customWidth="1"/>
    <col min="15373" max="15374" width="6.28515625" style="16" customWidth="1"/>
    <col min="15375" max="15375" width="10.28515625" style="16" customWidth="1"/>
    <col min="15376" max="15377" width="6.28515625" style="16" customWidth="1"/>
    <col min="15378" max="15378" width="10.28515625" style="16" customWidth="1"/>
    <col min="15379" max="15380" width="6.28515625" style="16" customWidth="1"/>
    <col min="15381" max="15381" width="10.28515625" style="16" customWidth="1"/>
    <col min="15382" max="15383" width="6.28515625" style="16" customWidth="1"/>
    <col min="15384" max="15384" width="10.28515625" style="16" customWidth="1"/>
    <col min="15385" max="15386" width="6.28515625" style="16" customWidth="1"/>
    <col min="15387" max="15387" width="10.28515625" style="16" customWidth="1"/>
    <col min="15388" max="15389" width="6.28515625" style="16" customWidth="1"/>
    <col min="15390" max="15390" width="10.28515625" style="16" customWidth="1"/>
    <col min="15391" max="15392" width="6.28515625" style="16" customWidth="1"/>
    <col min="15393" max="15393" width="10.28515625" style="16" customWidth="1"/>
    <col min="15394" max="15395" width="6.28515625" style="16" customWidth="1"/>
    <col min="15396" max="15396" width="10.28515625" style="16" customWidth="1"/>
    <col min="15397" max="15398" width="6.28515625" style="16" customWidth="1"/>
    <col min="15399" max="15399" width="10.28515625" style="16" customWidth="1"/>
    <col min="15400" max="15402" width="0" style="16" hidden="1" customWidth="1"/>
    <col min="15403" max="15404" width="5.28515625" style="16" customWidth="1"/>
    <col min="15405" max="15618" width="11.42578125" style="16"/>
    <col min="15619" max="15619" width="11" style="16" customWidth="1"/>
    <col min="15620" max="15621" width="6.28515625" style="16" customWidth="1"/>
    <col min="15622" max="15622" width="10.28515625" style="16" customWidth="1"/>
    <col min="15623" max="15624" width="6.28515625" style="16" customWidth="1"/>
    <col min="15625" max="15625" width="10.28515625" style="16" customWidth="1"/>
    <col min="15626" max="15627" width="6.28515625" style="16" customWidth="1"/>
    <col min="15628" max="15628" width="10.28515625" style="16" customWidth="1"/>
    <col min="15629" max="15630" width="6.28515625" style="16" customWidth="1"/>
    <col min="15631" max="15631" width="10.28515625" style="16" customWidth="1"/>
    <col min="15632" max="15633" width="6.28515625" style="16" customWidth="1"/>
    <col min="15634" max="15634" width="10.28515625" style="16" customWidth="1"/>
    <col min="15635" max="15636" width="6.28515625" style="16" customWidth="1"/>
    <col min="15637" max="15637" width="10.28515625" style="16" customWidth="1"/>
    <col min="15638" max="15639" width="6.28515625" style="16" customWidth="1"/>
    <col min="15640" max="15640" width="10.28515625" style="16" customWidth="1"/>
    <col min="15641" max="15642" width="6.28515625" style="16" customWidth="1"/>
    <col min="15643" max="15643" width="10.28515625" style="16" customWidth="1"/>
    <col min="15644" max="15645" width="6.28515625" style="16" customWidth="1"/>
    <col min="15646" max="15646" width="10.28515625" style="16" customWidth="1"/>
    <col min="15647" max="15648" width="6.28515625" style="16" customWidth="1"/>
    <col min="15649" max="15649" width="10.28515625" style="16" customWidth="1"/>
    <col min="15650" max="15651" width="6.28515625" style="16" customWidth="1"/>
    <col min="15652" max="15652" width="10.28515625" style="16" customWidth="1"/>
    <col min="15653" max="15654" width="6.28515625" style="16" customWidth="1"/>
    <col min="15655" max="15655" width="10.28515625" style="16" customWidth="1"/>
    <col min="15656" max="15658" width="0" style="16" hidden="1" customWidth="1"/>
    <col min="15659" max="15660" width="5.28515625" style="16" customWidth="1"/>
    <col min="15661" max="15874" width="11.42578125" style="16"/>
    <col min="15875" max="15875" width="11" style="16" customWidth="1"/>
    <col min="15876" max="15877" width="6.28515625" style="16" customWidth="1"/>
    <col min="15878" max="15878" width="10.28515625" style="16" customWidth="1"/>
    <col min="15879" max="15880" width="6.28515625" style="16" customWidth="1"/>
    <col min="15881" max="15881" width="10.28515625" style="16" customWidth="1"/>
    <col min="15882" max="15883" width="6.28515625" style="16" customWidth="1"/>
    <col min="15884" max="15884" width="10.28515625" style="16" customWidth="1"/>
    <col min="15885" max="15886" width="6.28515625" style="16" customWidth="1"/>
    <col min="15887" max="15887" width="10.28515625" style="16" customWidth="1"/>
    <col min="15888" max="15889" width="6.28515625" style="16" customWidth="1"/>
    <col min="15890" max="15890" width="10.28515625" style="16" customWidth="1"/>
    <col min="15891" max="15892" width="6.28515625" style="16" customWidth="1"/>
    <col min="15893" max="15893" width="10.28515625" style="16" customWidth="1"/>
    <col min="15894" max="15895" width="6.28515625" style="16" customWidth="1"/>
    <col min="15896" max="15896" width="10.28515625" style="16" customWidth="1"/>
    <col min="15897" max="15898" width="6.28515625" style="16" customWidth="1"/>
    <col min="15899" max="15899" width="10.28515625" style="16" customWidth="1"/>
    <col min="15900" max="15901" width="6.28515625" style="16" customWidth="1"/>
    <col min="15902" max="15902" width="10.28515625" style="16" customWidth="1"/>
    <col min="15903" max="15904" width="6.28515625" style="16" customWidth="1"/>
    <col min="15905" max="15905" width="10.28515625" style="16" customWidth="1"/>
    <col min="15906" max="15907" width="6.28515625" style="16" customWidth="1"/>
    <col min="15908" max="15908" width="10.28515625" style="16" customWidth="1"/>
    <col min="15909" max="15910" width="6.28515625" style="16" customWidth="1"/>
    <col min="15911" max="15911" width="10.28515625" style="16" customWidth="1"/>
    <col min="15912" max="15914" width="0" style="16" hidden="1" customWidth="1"/>
    <col min="15915" max="15916" width="5.28515625" style="16" customWidth="1"/>
    <col min="15917" max="16130" width="11.42578125" style="16"/>
    <col min="16131" max="16131" width="11" style="16" customWidth="1"/>
    <col min="16132" max="16133" width="6.28515625" style="16" customWidth="1"/>
    <col min="16134" max="16134" width="10.28515625" style="16" customWidth="1"/>
    <col min="16135" max="16136" width="6.28515625" style="16" customWidth="1"/>
    <col min="16137" max="16137" width="10.28515625" style="16" customWidth="1"/>
    <col min="16138" max="16139" width="6.28515625" style="16" customWidth="1"/>
    <col min="16140" max="16140" width="10.28515625" style="16" customWidth="1"/>
    <col min="16141" max="16142" width="6.28515625" style="16" customWidth="1"/>
    <col min="16143" max="16143" width="10.28515625" style="16" customWidth="1"/>
    <col min="16144" max="16145" width="6.28515625" style="16" customWidth="1"/>
    <col min="16146" max="16146" width="10.28515625" style="16" customWidth="1"/>
    <col min="16147" max="16148" width="6.28515625" style="16" customWidth="1"/>
    <col min="16149" max="16149" width="10.28515625" style="16" customWidth="1"/>
    <col min="16150" max="16151" width="6.28515625" style="16" customWidth="1"/>
    <col min="16152" max="16152" width="10.28515625" style="16" customWidth="1"/>
    <col min="16153" max="16154" width="6.28515625" style="16" customWidth="1"/>
    <col min="16155" max="16155" width="10.28515625" style="16" customWidth="1"/>
    <col min="16156" max="16157" width="6.28515625" style="16" customWidth="1"/>
    <col min="16158" max="16158" width="10.28515625" style="16" customWidth="1"/>
    <col min="16159" max="16160" width="6.28515625" style="16" customWidth="1"/>
    <col min="16161" max="16161" width="10.28515625" style="16" customWidth="1"/>
    <col min="16162" max="16163" width="6.28515625" style="16" customWidth="1"/>
    <col min="16164" max="16164" width="10.28515625" style="16" customWidth="1"/>
    <col min="16165" max="16166" width="6.28515625" style="16" customWidth="1"/>
    <col min="16167" max="16167" width="10.28515625" style="16" customWidth="1"/>
    <col min="16168" max="16170" width="0" style="16" hidden="1" customWidth="1"/>
    <col min="16171" max="16172" width="5.28515625" style="16" customWidth="1"/>
    <col min="16173" max="16384" width="11.42578125" style="16"/>
  </cols>
  <sheetData>
    <row r="1" spans="4:89" ht="18" x14ac:dyDescent="0.25">
      <c r="D1" s="1652" t="s">
        <v>130</v>
      </c>
      <c r="E1" s="1652"/>
      <c r="F1" s="1652"/>
      <c r="G1" s="1652"/>
      <c r="H1" s="1652"/>
      <c r="I1" s="1652"/>
      <c r="J1" s="1652"/>
      <c r="K1" s="1652"/>
      <c r="L1" s="1652"/>
      <c r="M1" s="1652"/>
      <c r="N1" s="1652"/>
      <c r="O1" s="1652"/>
      <c r="P1" s="1652"/>
      <c r="Q1" s="1652"/>
      <c r="R1" s="1652"/>
      <c r="S1" s="1652"/>
      <c r="T1" s="1652"/>
      <c r="U1" s="1652"/>
      <c r="V1" s="1652"/>
      <c r="W1" s="1652"/>
      <c r="X1" s="1652"/>
      <c r="Y1" s="1652"/>
      <c r="Z1" s="1652"/>
      <c r="AA1" s="1652"/>
      <c r="AB1" s="1652"/>
      <c r="AC1" s="1652"/>
      <c r="AD1" s="1652"/>
      <c r="AE1" s="1652"/>
      <c r="AF1" s="1652"/>
      <c r="AG1" s="1652"/>
      <c r="AH1" s="1652"/>
      <c r="AI1" s="1652"/>
      <c r="AJ1" s="1652"/>
      <c r="AK1" s="1652"/>
      <c r="AL1" s="1652"/>
      <c r="AM1" s="1652"/>
      <c r="CA1" s="16" t="s">
        <v>1073</v>
      </c>
    </row>
    <row r="2" spans="4:89" x14ac:dyDescent="0.2">
      <c r="CA2" s="16" t="s">
        <v>869</v>
      </c>
      <c r="CB2" s="16" t="s">
        <v>870</v>
      </c>
      <c r="CC2" s="16" t="s">
        <v>871</v>
      </c>
      <c r="CD2" s="16" t="s">
        <v>872</v>
      </c>
      <c r="CE2" s="16" t="s">
        <v>873</v>
      </c>
      <c r="CF2" s="16" t="s">
        <v>874</v>
      </c>
      <c r="CG2" s="16" t="s">
        <v>875</v>
      </c>
      <c r="CH2" s="16" t="s">
        <v>876</v>
      </c>
      <c r="CI2" s="16" t="s">
        <v>877</v>
      </c>
      <c r="CJ2" s="16" t="s">
        <v>878</v>
      </c>
      <c r="CK2" s="16" t="s">
        <v>879</v>
      </c>
    </row>
    <row r="3" spans="4:89" x14ac:dyDescent="0.2">
      <c r="I3" s="95"/>
      <c r="J3" s="96"/>
      <c r="K3" s="96"/>
      <c r="L3" s="96"/>
      <c r="O3" s="29" t="s">
        <v>25</v>
      </c>
      <c r="P3" s="1713">
        <f>+Identification!B25</f>
        <v>0</v>
      </c>
      <c r="Q3" s="1713"/>
      <c r="R3" s="1713"/>
      <c r="CA3" s="16" t="str">
        <f>+Janvier!$BY$8</f>
        <v>NON</v>
      </c>
      <c r="CB3" s="16" t="str">
        <f>+Février!$BY$8</f>
        <v>NON</v>
      </c>
      <c r="CC3" s="16" t="str">
        <f>+Mars!$BY$8</f>
        <v>NON</v>
      </c>
      <c r="CD3" s="16" t="str">
        <f>+Avril!$BY$8</f>
        <v>NON</v>
      </c>
      <c r="CE3" s="16" t="str">
        <f>+Mai!$BY$8</f>
        <v>NON</v>
      </c>
      <c r="CF3" s="16" t="str">
        <f>+Juin!$BY$8</f>
        <v>NON</v>
      </c>
      <c r="CG3" s="16" t="str">
        <f>+Juillet!$BY$8</f>
        <v>NON</v>
      </c>
      <c r="CH3" s="16" t="str">
        <f>+Aout!$BY$8</f>
        <v>NON</v>
      </c>
      <c r="CI3" s="16" t="str">
        <f>+Septembre!$BY$8</f>
        <v>NON</v>
      </c>
      <c r="CJ3" s="16" t="str">
        <f>+Octobre!$BY$8</f>
        <v>NON</v>
      </c>
      <c r="CK3" s="16" t="str">
        <f>+Novembre!$BY$8</f>
        <v>NON</v>
      </c>
    </row>
    <row r="5" spans="4:89" ht="20.25" x14ac:dyDescent="0.3">
      <c r="I5" s="29" t="s">
        <v>197</v>
      </c>
      <c r="J5" s="2443">
        <f>Identification!B61</f>
        <v>46023</v>
      </c>
      <c r="K5" s="2443"/>
      <c r="L5" s="2443"/>
      <c r="M5" s="97"/>
      <c r="N5" s="97"/>
      <c r="O5" s="97"/>
      <c r="P5" s="98" t="s">
        <v>1708</v>
      </c>
      <c r="Q5" s="99"/>
      <c r="R5" s="99"/>
      <c r="S5" s="99"/>
      <c r="T5" s="99"/>
      <c r="U5" s="100"/>
      <c r="V5" s="100"/>
      <c r="W5" s="99"/>
      <c r="X5" s="99"/>
      <c r="Y5" s="99"/>
      <c r="Z5" s="99"/>
      <c r="AA5" s="97"/>
      <c r="AB5" s="97"/>
      <c r="AC5" s="97"/>
      <c r="AD5" s="97"/>
      <c r="AE5" s="97"/>
      <c r="AF5" s="97"/>
      <c r="AG5" s="97"/>
      <c r="AH5" s="97"/>
      <c r="AI5" s="97"/>
      <c r="AJ5" s="97"/>
      <c r="AK5" s="97"/>
      <c r="AL5" s="97"/>
      <c r="AM5" s="97"/>
      <c r="AO5" s="101"/>
    </row>
    <row r="6" spans="4:89" ht="13.5" thickBot="1" x14ac:dyDescent="0.25">
      <c r="F6" s="102"/>
      <c r="I6" s="103"/>
      <c r="L6" s="103"/>
    </row>
    <row r="7" spans="4:89" x14ac:dyDescent="0.2">
      <c r="D7" s="2440">
        <f>+$J$5</f>
        <v>46023</v>
      </c>
      <c r="E7" s="2441"/>
      <c r="F7" s="2442"/>
      <c r="G7" s="2440">
        <f>DATE(YEAR($J$5),MONTH($J$5)+1,DAY($J$5))</f>
        <v>46054</v>
      </c>
      <c r="H7" s="2441"/>
      <c r="I7" s="2442"/>
      <c r="J7" s="2440">
        <f>DATE(YEAR($J$5),MONTH($J$5)+2,DAY($J$5))</f>
        <v>46082</v>
      </c>
      <c r="K7" s="2441"/>
      <c r="L7" s="2442"/>
      <c r="M7" s="2440">
        <f>DATE(YEAR($J$5),MONTH($J$5)+3,DAY($J$5))</f>
        <v>46113</v>
      </c>
      <c r="N7" s="2441"/>
      <c r="O7" s="2442"/>
      <c r="P7" s="2440">
        <f>DATE(YEAR($J$5),MONTH($J$5)+4,DAY($J$5))</f>
        <v>46143</v>
      </c>
      <c r="Q7" s="2441"/>
      <c r="R7" s="2442"/>
      <c r="S7" s="2440">
        <f>DATE(YEAR($J$5),MONTH($J$5)+5,DAY($J$5))</f>
        <v>46174</v>
      </c>
      <c r="T7" s="2441"/>
      <c r="U7" s="2442"/>
      <c r="V7" s="2440">
        <f>DATE(YEAR($J$5),MONTH($J$5)+6,DAY($J$5))</f>
        <v>46204</v>
      </c>
      <c r="W7" s="2441"/>
      <c r="X7" s="2442"/>
      <c r="Y7" s="2440">
        <f>DATE(YEAR($J$5),MONTH($J$5)+7,DAY($J$5))</f>
        <v>46235</v>
      </c>
      <c r="Z7" s="2441"/>
      <c r="AA7" s="2442"/>
      <c r="AB7" s="2440">
        <f>DATE(YEAR($J$5),MONTH($J$5)+8,DAY($J$5))</f>
        <v>46266</v>
      </c>
      <c r="AC7" s="2441"/>
      <c r="AD7" s="2442"/>
      <c r="AE7" s="2440">
        <f>DATE(YEAR($J$5),MONTH($J$5)+9,DAY($J$5))</f>
        <v>46296</v>
      </c>
      <c r="AF7" s="2441"/>
      <c r="AG7" s="2442"/>
      <c r="AH7" s="2440">
        <f>DATE(YEAR($J$5),MONTH($J$5)+10,DAY($J$5))</f>
        <v>46327</v>
      </c>
      <c r="AI7" s="2441"/>
      <c r="AJ7" s="2442"/>
      <c r="AK7" s="2440">
        <f>DATE(YEAR($J$5),MONTH($J$5)+11,DAY($J$5))</f>
        <v>46357</v>
      </c>
      <c r="AL7" s="2441"/>
      <c r="AM7" s="2442"/>
      <c r="AN7" s="2438">
        <f>DATE(YEAR($J$5),MONTH($J$5)+12,DAY($J$5))</f>
        <v>46388</v>
      </c>
      <c r="AO7" s="2439"/>
      <c r="AP7" s="2439"/>
    </row>
    <row r="8" spans="4:89" x14ac:dyDescent="0.2">
      <c r="D8" s="104">
        <f>+J5</f>
        <v>46023</v>
      </c>
      <c r="E8" s="105">
        <f>+$J$5</f>
        <v>46023</v>
      </c>
      <c r="F8" s="106" t="str">
        <f>Janvier!AM20</f>
        <v/>
      </c>
      <c r="G8" s="104">
        <f>G7</f>
        <v>46054</v>
      </c>
      <c r="H8" s="105">
        <f>G7</f>
        <v>46054</v>
      </c>
      <c r="I8" s="106" t="str">
        <f>Février!AM20</f>
        <v/>
      </c>
      <c r="J8" s="104">
        <f>J7</f>
        <v>46082</v>
      </c>
      <c r="K8" s="105">
        <f>J7</f>
        <v>46082</v>
      </c>
      <c r="L8" s="106" t="str">
        <f>Mars!AM20</f>
        <v/>
      </c>
      <c r="M8" s="104">
        <f>M7</f>
        <v>46113</v>
      </c>
      <c r="N8" s="105">
        <f>M7</f>
        <v>46113</v>
      </c>
      <c r="O8" s="106" t="str">
        <f>Avril!AM20</f>
        <v/>
      </c>
      <c r="P8" s="104">
        <f>P7</f>
        <v>46143</v>
      </c>
      <c r="Q8" s="105">
        <f>P7</f>
        <v>46143</v>
      </c>
      <c r="R8" s="106" t="str">
        <f>Mai!AM20</f>
        <v/>
      </c>
      <c r="S8" s="104">
        <f>S7</f>
        <v>46174</v>
      </c>
      <c r="T8" s="105">
        <f>S7</f>
        <v>46174</v>
      </c>
      <c r="U8" s="106" t="str">
        <f>Juin!AM20</f>
        <v/>
      </c>
      <c r="V8" s="104">
        <f>V7</f>
        <v>46204</v>
      </c>
      <c r="W8" s="105">
        <f>V7</f>
        <v>46204</v>
      </c>
      <c r="X8" s="106" t="str">
        <f>Juillet!AM20</f>
        <v/>
      </c>
      <c r="Y8" s="104">
        <f>Y7</f>
        <v>46235</v>
      </c>
      <c r="Z8" s="105">
        <f>Y7</f>
        <v>46235</v>
      </c>
      <c r="AA8" s="106" t="str">
        <f>Aout!AM20</f>
        <v/>
      </c>
      <c r="AB8" s="104">
        <f>AB7</f>
        <v>46266</v>
      </c>
      <c r="AC8" s="105">
        <f>AB7</f>
        <v>46266</v>
      </c>
      <c r="AD8" s="106" t="str">
        <f>Septembre!AM20</f>
        <v/>
      </c>
      <c r="AE8" s="104">
        <f>AE7</f>
        <v>46296</v>
      </c>
      <c r="AF8" s="105">
        <f>AE7</f>
        <v>46296</v>
      </c>
      <c r="AG8" s="106" t="str">
        <f>Octobre!AM20</f>
        <v/>
      </c>
      <c r="AH8" s="104">
        <f>AH7</f>
        <v>46327</v>
      </c>
      <c r="AI8" s="105">
        <f>AH7</f>
        <v>46327</v>
      </c>
      <c r="AJ8" s="106" t="str">
        <f>Novembre!AM20</f>
        <v/>
      </c>
      <c r="AK8" s="104">
        <f>AK7</f>
        <v>46357</v>
      </c>
      <c r="AL8" s="105">
        <f>AK7</f>
        <v>46357</v>
      </c>
      <c r="AM8" s="106" t="str">
        <f>Décembre!AM20</f>
        <v/>
      </c>
      <c r="AO8" s="105">
        <f>AN7</f>
        <v>46388</v>
      </c>
    </row>
    <row r="9" spans="4:89" x14ac:dyDescent="0.2">
      <c r="D9" s="107">
        <f>E9</f>
        <v>46024</v>
      </c>
      <c r="E9" s="108">
        <f>+$J$5+1</f>
        <v>46024</v>
      </c>
      <c r="F9" s="109" t="str">
        <f>Janvier!AM21</f>
        <v/>
      </c>
      <c r="G9" s="107">
        <f>H9</f>
        <v>46055</v>
      </c>
      <c r="H9" s="108">
        <f>H8+1</f>
        <v>46055</v>
      </c>
      <c r="I9" s="109" t="str">
        <f>Février!AM21</f>
        <v/>
      </c>
      <c r="J9" s="107">
        <f>K9</f>
        <v>46083</v>
      </c>
      <c r="K9" s="108">
        <f>K8+1</f>
        <v>46083</v>
      </c>
      <c r="L9" s="109" t="str">
        <f>Mars!AM21</f>
        <v/>
      </c>
      <c r="M9" s="107">
        <f>N9</f>
        <v>46114</v>
      </c>
      <c r="N9" s="108">
        <f>N8+1</f>
        <v>46114</v>
      </c>
      <c r="O9" s="109" t="str">
        <f>Avril!AM21</f>
        <v/>
      </c>
      <c r="P9" s="107">
        <f>Q9</f>
        <v>46144</v>
      </c>
      <c r="Q9" s="108">
        <f>Q8+1</f>
        <v>46144</v>
      </c>
      <c r="R9" s="109" t="str">
        <f>Mai!AM21</f>
        <v/>
      </c>
      <c r="S9" s="107">
        <f>T9</f>
        <v>46175</v>
      </c>
      <c r="T9" s="108">
        <f>T8+1</f>
        <v>46175</v>
      </c>
      <c r="U9" s="109" t="str">
        <f>Juin!AM21</f>
        <v/>
      </c>
      <c r="V9" s="107">
        <f>W9</f>
        <v>46205</v>
      </c>
      <c r="W9" s="108">
        <f>W8+1</f>
        <v>46205</v>
      </c>
      <c r="X9" s="109" t="str">
        <f>Juillet!AM21</f>
        <v/>
      </c>
      <c r="Y9" s="107">
        <f>Z9</f>
        <v>46236</v>
      </c>
      <c r="Z9" s="108">
        <f>Z8+1</f>
        <v>46236</v>
      </c>
      <c r="AA9" s="109" t="str">
        <f>Aout!AM21</f>
        <v/>
      </c>
      <c r="AB9" s="107">
        <f>AC9</f>
        <v>46267</v>
      </c>
      <c r="AC9" s="108">
        <f>AC8+1</f>
        <v>46267</v>
      </c>
      <c r="AD9" s="109" t="str">
        <f>Septembre!AM21</f>
        <v/>
      </c>
      <c r="AE9" s="107">
        <f>AF9</f>
        <v>46297</v>
      </c>
      <c r="AF9" s="108">
        <f>AF8+1</f>
        <v>46297</v>
      </c>
      <c r="AG9" s="109" t="str">
        <f>Octobre!AM21</f>
        <v/>
      </c>
      <c r="AH9" s="107">
        <f>AI9</f>
        <v>46328</v>
      </c>
      <c r="AI9" s="108">
        <f>AI8+1</f>
        <v>46328</v>
      </c>
      <c r="AJ9" s="109" t="str">
        <f>Novembre!AM21</f>
        <v/>
      </c>
      <c r="AK9" s="107">
        <f>AL9</f>
        <v>46358</v>
      </c>
      <c r="AL9" s="108">
        <f>AL8+1</f>
        <v>46358</v>
      </c>
      <c r="AM9" s="109" t="str">
        <f>Décembre!AM21</f>
        <v/>
      </c>
    </row>
    <row r="10" spans="4:89" x14ac:dyDescent="0.2">
      <c r="D10" s="107">
        <f t="shared" ref="D10:D38" si="0">E10</f>
        <v>46025</v>
      </c>
      <c r="E10" s="108">
        <f>+$J$5+2</f>
        <v>46025</v>
      </c>
      <c r="F10" s="109" t="str">
        <f>Janvier!AM22</f>
        <v/>
      </c>
      <c r="G10" s="107">
        <f t="shared" ref="G10:G36" si="1">H10</f>
        <v>46056</v>
      </c>
      <c r="H10" s="108">
        <f>+H8+2</f>
        <v>46056</v>
      </c>
      <c r="I10" s="109" t="str">
        <f>Février!AM22</f>
        <v/>
      </c>
      <c r="J10" s="107">
        <f t="shared" ref="J10:J38" si="2">K10</f>
        <v>46084</v>
      </c>
      <c r="K10" s="108">
        <f>+K8+2</f>
        <v>46084</v>
      </c>
      <c r="L10" s="109" t="str">
        <f>Mars!AM22</f>
        <v/>
      </c>
      <c r="M10" s="107">
        <f t="shared" ref="M10:M37" si="3">N10</f>
        <v>46115</v>
      </c>
      <c r="N10" s="108">
        <f>+N8+2</f>
        <v>46115</v>
      </c>
      <c r="O10" s="109" t="str">
        <f>Avril!AM22</f>
        <v/>
      </c>
      <c r="P10" s="107">
        <f t="shared" ref="P10:P38" si="4">Q10</f>
        <v>46145</v>
      </c>
      <c r="Q10" s="108">
        <f>+Q8+2</f>
        <v>46145</v>
      </c>
      <c r="R10" s="109" t="str">
        <f>Mai!AM22</f>
        <v/>
      </c>
      <c r="S10" s="107">
        <f t="shared" ref="S10:S38" si="5">T10</f>
        <v>46176</v>
      </c>
      <c r="T10" s="108">
        <f>+T8+2</f>
        <v>46176</v>
      </c>
      <c r="U10" s="109" t="str">
        <f>Juin!AM22</f>
        <v/>
      </c>
      <c r="V10" s="107">
        <f t="shared" ref="V10:V38" si="6">W10</f>
        <v>46206</v>
      </c>
      <c r="W10" s="108">
        <f>+W8+2</f>
        <v>46206</v>
      </c>
      <c r="X10" s="109" t="str">
        <f>Juillet!AM22</f>
        <v/>
      </c>
      <c r="Y10" s="107">
        <f t="shared" ref="Y10:Y38" si="7">Z10</f>
        <v>46237</v>
      </c>
      <c r="Z10" s="108">
        <f>+Z8+2</f>
        <v>46237</v>
      </c>
      <c r="AA10" s="109" t="str">
        <f>Aout!AM22</f>
        <v/>
      </c>
      <c r="AB10" s="107">
        <f t="shared" ref="AB10:AB38" si="8">AC10</f>
        <v>46268</v>
      </c>
      <c r="AC10" s="108">
        <f>+AC8+2</f>
        <v>46268</v>
      </c>
      <c r="AD10" s="109" t="str">
        <f>Septembre!AM22</f>
        <v/>
      </c>
      <c r="AE10" s="107">
        <f t="shared" ref="AE10:AE38" si="9">AF10</f>
        <v>46298</v>
      </c>
      <c r="AF10" s="108">
        <f>+AF8+2</f>
        <v>46298</v>
      </c>
      <c r="AG10" s="109" t="str">
        <f>Octobre!AM22</f>
        <v/>
      </c>
      <c r="AH10" s="107">
        <f t="shared" ref="AH10:AH38" si="10">AI10</f>
        <v>46329</v>
      </c>
      <c r="AI10" s="108">
        <f>+AI8+2</f>
        <v>46329</v>
      </c>
      <c r="AJ10" s="109" t="str">
        <f>Novembre!AM22</f>
        <v/>
      </c>
      <c r="AK10" s="107">
        <f t="shared" ref="AK10:AK38" si="11">AL10</f>
        <v>46359</v>
      </c>
      <c r="AL10" s="108">
        <f>+AL8+2</f>
        <v>46359</v>
      </c>
      <c r="AM10" s="109" t="str">
        <f>Décembre!AM22</f>
        <v/>
      </c>
    </row>
    <row r="11" spans="4:89" x14ac:dyDescent="0.2">
      <c r="D11" s="107">
        <f t="shared" si="0"/>
        <v>46026</v>
      </c>
      <c r="E11" s="108">
        <f>+$J$5+3</f>
        <v>46026</v>
      </c>
      <c r="F11" s="109" t="str">
        <f>Janvier!AM23</f>
        <v/>
      </c>
      <c r="G11" s="107">
        <f t="shared" si="1"/>
        <v>46057</v>
      </c>
      <c r="H11" s="108">
        <f>+H8+3</f>
        <v>46057</v>
      </c>
      <c r="I11" s="109" t="str">
        <f>Février!AM23</f>
        <v/>
      </c>
      <c r="J11" s="107">
        <f t="shared" si="2"/>
        <v>46085</v>
      </c>
      <c r="K11" s="108">
        <f>+K8+3</f>
        <v>46085</v>
      </c>
      <c r="L11" s="109" t="str">
        <f>Mars!AM23</f>
        <v/>
      </c>
      <c r="M11" s="107">
        <f t="shared" si="3"/>
        <v>46116</v>
      </c>
      <c r="N11" s="108">
        <f>+N8+3</f>
        <v>46116</v>
      </c>
      <c r="O11" s="109" t="str">
        <f>Avril!AM23</f>
        <v/>
      </c>
      <c r="P11" s="107">
        <f t="shared" si="4"/>
        <v>46146</v>
      </c>
      <c r="Q11" s="108">
        <f>+Q8+3</f>
        <v>46146</v>
      </c>
      <c r="R11" s="109" t="str">
        <f>Mai!AM23</f>
        <v/>
      </c>
      <c r="S11" s="107">
        <f t="shared" si="5"/>
        <v>46177</v>
      </c>
      <c r="T11" s="108">
        <f>+T8+3</f>
        <v>46177</v>
      </c>
      <c r="U11" s="109" t="str">
        <f>Juin!AM23</f>
        <v/>
      </c>
      <c r="V11" s="107">
        <f t="shared" si="6"/>
        <v>46207</v>
      </c>
      <c r="W11" s="108">
        <f>+W8+3</f>
        <v>46207</v>
      </c>
      <c r="X11" s="109" t="str">
        <f>Juillet!AM23</f>
        <v/>
      </c>
      <c r="Y11" s="107">
        <f t="shared" si="7"/>
        <v>46238</v>
      </c>
      <c r="Z11" s="108">
        <f>+Z8+3</f>
        <v>46238</v>
      </c>
      <c r="AA11" s="109" t="str">
        <f>Aout!AM23</f>
        <v/>
      </c>
      <c r="AB11" s="107">
        <f t="shared" si="8"/>
        <v>46269</v>
      </c>
      <c r="AC11" s="108">
        <f>+AC8+3</f>
        <v>46269</v>
      </c>
      <c r="AD11" s="109" t="str">
        <f>Septembre!AM23</f>
        <v/>
      </c>
      <c r="AE11" s="107">
        <f t="shared" si="9"/>
        <v>46299</v>
      </c>
      <c r="AF11" s="108">
        <f>+AF8+3</f>
        <v>46299</v>
      </c>
      <c r="AG11" s="109" t="str">
        <f>Octobre!AM23</f>
        <v/>
      </c>
      <c r="AH11" s="107">
        <f t="shared" si="10"/>
        <v>46330</v>
      </c>
      <c r="AI11" s="108">
        <f>+AI8+3</f>
        <v>46330</v>
      </c>
      <c r="AJ11" s="109" t="str">
        <f>Novembre!AM23</f>
        <v/>
      </c>
      <c r="AK11" s="107">
        <f t="shared" si="11"/>
        <v>46360</v>
      </c>
      <c r="AL11" s="108">
        <f>+AL8+3</f>
        <v>46360</v>
      </c>
      <c r="AM11" s="109" t="str">
        <f>Décembre!AM23</f>
        <v/>
      </c>
    </row>
    <row r="12" spans="4:89" x14ac:dyDescent="0.2">
      <c r="D12" s="107">
        <f t="shared" si="0"/>
        <v>46027</v>
      </c>
      <c r="E12" s="108">
        <f>+$J$5+4</f>
        <v>46027</v>
      </c>
      <c r="F12" s="109" t="str">
        <f>Janvier!AM24</f>
        <v/>
      </c>
      <c r="G12" s="107">
        <f t="shared" si="1"/>
        <v>46058</v>
      </c>
      <c r="H12" s="108">
        <f>+H8+4</f>
        <v>46058</v>
      </c>
      <c r="I12" s="109" t="str">
        <f>Février!AM24</f>
        <v/>
      </c>
      <c r="J12" s="107">
        <f t="shared" si="2"/>
        <v>46086</v>
      </c>
      <c r="K12" s="108">
        <f>+K8+4</f>
        <v>46086</v>
      </c>
      <c r="L12" s="109" t="str">
        <f>Mars!AM24</f>
        <v/>
      </c>
      <c r="M12" s="107">
        <f t="shared" si="3"/>
        <v>46117</v>
      </c>
      <c r="N12" s="108">
        <f>+N8+4</f>
        <v>46117</v>
      </c>
      <c r="O12" s="109" t="str">
        <f>Avril!AM24</f>
        <v/>
      </c>
      <c r="P12" s="107">
        <f t="shared" si="4"/>
        <v>46147</v>
      </c>
      <c r="Q12" s="108">
        <f>+Q8+4</f>
        <v>46147</v>
      </c>
      <c r="R12" s="109" t="str">
        <f>Mai!AM24</f>
        <v/>
      </c>
      <c r="S12" s="107">
        <f t="shared" si="5"/>
        <v>46178</v>
      </c>
      <c r="T12" s="108">
        <f>+T8+4</f>
        <v>46178</v>
      </c>
      <c r="U12" s="109" t="str">
        <f>Juin!AM24</f>
        <v/>
      </c>
      <c r="V12" s="107">
        <f t="shared" si="6"/>
        <v>46208</v>
      </c>
      <c r="W12" s="108">
        <f>+W8+4</f>
        <v>46208</v>
      </c>
      <c r="X12" s="109" t="str">
        <f>Juillet!AM24</f>
        <v/>
      </c>
      <c r="Y12" s="107">
        <f t="shared" si="7"/>
        <v>46239</v>
      </c>
      <c r="Z12" s="108">
        <f>+Z8+4</f>
        <v>46239</v>
      </c>
      <c r="AA12" s="109" t="str">
        <f>Aout!AM24</f>
        <v/>
      </c>
      <c r="AB12" s="107">
        <f t="shared" si="8"/>
        <v>46270</v>
      </c>
      <c r="AC12" s="108">
        <f>+AC8+4</f>
        <v>46270</v>
      </c>
      <c r="AD12" s="109" t="str">
        <f>Septembre!AM24</f>
        <v/>
      </c>
      <c r="AE12" s="107">
        <f t="shared" si="9"/>
        <v>46300</v>
      </c>
      <c r="AF12" s="108">
        <f>+AF8+4</f>
        <v>46300</v>
      </c>
      <c r="AG12" s="109" t="str">
        <f>Octobre!AM24</f>
        <v/>
      </c>
      <c r="AH12" s="107">
        <f t="shared" si="10"/>
        <v>46331</v>
      </c>
      <c r="AI12" s="108">
        <f>+AI8+4</f>
        <v>46331</v>
      </c>
      <c r="AJ12" s="109" t="str">
        <f>Novembre!AM24</f>
        <v/>
      </c>
      <c r="AK12" s="107">
        <f t="shared" si="11"/>
        <v>46361</v>
      </c>
      <c r="AL12" s="108">
        <f>+AL8+4</f>
        <v>46361</v>
      </c>
      <c r="AM12" s="109" t="str">
        <f>Décembre!AM24</f>
        <v/>
      </c>
    </row>
    <row r="13" spans="4:89" x14ac:dyDescent="0.2">
      <c r="D13" s="107">
        <f t="shared" si="0"/>
        <v>46028</v>
      </c>
      <c r="E13" s="108">
        <f>+$J$5+5</f>
        <v>46028</v>
      </c>
      <c r="F13" s="109" t="str">
        <f>Janvier!AM25</f>
        <v/>
      </c>
      <c r="G13" s="107">
        <f t="shared" si="1"/>
        <v>46059</v>
      </c>
      <c r="H13" s="108">
        <f>+H8+5</f>
        <v>46059</v>
      </c>
      <c r="I13" s="109" t="str">
        <f>Février!AM25</f>
        <v/>
      </c>
      <c r="J13" s="107">
        <f t="shared" si="2"/>
        <v>46087</v>
      </c>
      <c r="K13" s="108">
        <f>+K8+5</f>
        <v>46087</v>
      </c>
      <c r="L13" s="109" t="str">
        <f>Mars!AM25</f>
        <v/>
      </c>
      <c r="M13" s="107">
        <f t="shared" si="3"/>
        <v>46118</v>
      </c>
      <c r="N13" s="108">
        <f>+N8+5</f>
        <v>46118</v>
      </c>
      <c r="O13" s="109" t="str">
        <f>Avril!AM25</f>
        <v/>
      </c>
      <c r="P13" s="107">
        <f t="shared" si="4"/>
        <v>46148</v>
      </c>
      <c r="Q13" s="108">
        <f>+Q8+5</f>
        <v>46148</v>
      </c>
      <c r="R13" s="109" t="str">
        <f>Mai!AM25</f>
        <v/>
      </c>
      <c r="S13" s="107">
        <f t="shared" si="5"/>
        <v>46179</v>
      </c>
      <c r="T13" s="108">
        <f>+T8+5</f>
        <v>46179</v>
      </c>
      <c r="U13" s="109" t="str">
        <f>Juin!AM25</f>
        <v/>
      </c>
      <c r="V13" s="107">
        <f t="shared" si="6"/>
        <v>46209</v>
      </c>
      <c r="W13" s="108">
        <f>+W8+5</f>
        <v>46209</v>
      </c>
      <c r="X13" s="109" t="str">
        <f>Juillet!AM25</f>
        <v/>
      </c>
      <c r="Y13" s="107">
        <f t="shared" si="7"/>
        <v>46240</v>
      </c>
      <c r="Z13" s="108">
        <f>+Z8+5</f>
        <v>46240</v>
      </c>
      <c r="AA13" s="109" t="str">
        <f>Aout!AM25</f>
        <v/>
      </c>
      <c r="AB13" s="107">
        <f t="shared" si="8"/>
        <v>46271</v>
      </c>
      <c r="AC13" s="108">
        <f>+AC8+5</f>
        <v>46271</v>
      </c>
      <c r="AD13" s="109" t="str">
        <f>Septembre!AM25</f>
        <v/>
      </c>
      <c r="AE13" s="107">
        <f t="shared" si="9"/>
        <v>46301</v>
      </c>
      <c r="AF13" s="108">
        <f>+AF8+5</f>
        <v>46301</v>
      </c>
      <c r="AG13" s="109" t="str">
        <f>Octobre!AM25</f>
        <v/>
      </c>
      <c r="AH13" s="107">
        <f t="shared" si="10"/>
        <v>46332</v>
      </c>
      <c r="AI13" s="108">
        <f>+AI8+5</f>
        <v>46332</v>
      </c>
      <c r="AJ13" s="109" t="str">
        <f>Novembre!AM25</f>
        <v/>
      </c>
      <c r="AK13" s="107">
        <f t="shared" si="11"/>
        <v>46362</v>
      </c>
      <c r="AL13" s="108">
        <f>+AL8+5</f>
        <v>46362</v>
      </c>
      <c r="AM13" s="109" t="str">
        <f>Décembre!AM25</f>
        <v/>
      </c>
    </row>
    <row r="14" spans="4:89" x14ac:dyDescent="0.2">
      <c r="D14" s="107">
        <f t="shared" si="0"/>
        <v>46029</v>
      </c>
      <c r="E14" s="108">
        <f>+$J$5+6</f>
        <v>46029</v>
      </c>
      <c r="F14" s="109" t="str">
        <f>Janvier!AM26</f>
        <v/>
      </c>
      <c r="G14" s="107">
        <f t="shared" si="1"/>
        <v>46060</v>
      </c>
      <c r="H14" s="108">
        <f>+H8+6</f>
        <v>46060</v>
      </c>
      <c r="I14" s="109" t="str">
        <f>Février!AM26</f>
        <v/>
      </c>
      <c r="J14" s="107">
        <f t="shared" si="2"/>
        <v>46088</v>
      </c>
      <c r="K14" s="108">
        <f>+K8+6</f>
        <v>46088</v>
      </c>
      <c r="L14" s="109" t="str">
        <f>Mars!AM26</f>
        <v/>
      </c>
      <c r="M14" s="107">
        <f t="shared" si="3"/>
        <v>46119</v>
      </c>
      <c r="N14" s="108">
        <f>+N8+6</f>
        <v>46119</v>
      </c>
      <c r="O14" s="109" t="str">
        <f>Avril!AM26</f>
        <v/>
      </c>
      <c r="P14" s="107">
        <f t="shared" si="4"/>
        <v>46149</v>
      </c>
      <c r="Q14" s="108">
        <f>+Q8+6</f>
        <v>46149</v>
      </c>
      <c r="R14" s="109" t="str">
        <f>Mai!AM26</f>
        <v/>
      </c>
      <c r="S14" s="107">
        <f t="shared" si="5"/>
        <v>46180</v>
      </c>
      <c r="T14" s="108">
        <f>+T8+6</f>
        <v>46180</v>
      </c>
      <c r="U14" s="109" t="str">
        <f>Juin!AM26</f>
        <v/>
      </c>
      <c r="V14" s="107">
        <f t="shared" si="6"/>
        <v>46210</v>
      </c>
      <c r="W14" s="108">
        <f>+W8+6</f>
        <v>46210</v>
      </c>
      <c r="X14" s="109" t="str">
        <f>Juillet!AM26</f>
        <v/>
      </c>
      <c r="Y14" s="107">
        <f t="shared" si="7"/>
        <v>46241</v>
      </c>
      <c r="Z14" s="108">
        <f>+Z8+6</f>
        <v>46241</v>
      </c>
      <c r="AA14" s="109" t="str">
        <f>Aout!AM26</f>
        <v/>
      </c>
      <c r="AB14" s="107">
        <f t="shared" si="8"/>
        <v>46272</v>
      </c>
      <c r="AC14" s="108">
        <f>+AC8+6</f>
        <v>46272</v>
      </c>
      <c r="AD14" s="109" t="str">
        <f>Septembre!AM26</f>
        <v/>
      </c>
      <c r="AE14" s="107">
        <f t="shared" si="9"/>
        <v>46302</v>
      </c>
      <c r="AF14" s="108">
        <f>+AF8+6</f>
        <v>46302</v>
      </c>
      <c r="AG14" s="109" t="str">
        <f>Octobre!AM26</f>
        <v/>
      </c>
      <c r="AH14" s="107">
        <f t="shared" si="10"/>
        <v>46333</v>
      </c>
      <c r="AI14" s="108">
        <f>+AI8+6</f>
        <v>46333</v>
      </c>
      <c r="AJ14" s="109" t="str">
        <f>Novembre!AM26</f>
        <v/>
      </c>
      <c r="AK14" s="107">
        <f t="shared" si="11"/>
        <v>46363</v>
      </c>
      <c r="AL14" s="108">
        <f>+AL8+6</f>
        <v>46363</v>
      </c>
      <c r="AM14" s="109" t="str">
        <f>Décembre!AM26</f>
        <v/>
      </c>
    </row>
    <row r="15" spans="4:89" x14ac:dyDescent="0.2">
      <c r="D15" s="107">
        <f t="shared" si="0"/>
        <v>46030</v>
      </c>
      <c r="E15" s="108">
        <f>+$J$5+7</f>
        <v>46030</v>
      </c>
      <c r="F15" s="109" t="str">
        <f>Janvier!AM27</f>
        <v/>
      </c>
      <c r="G15" s="107">
        <f t="shared" si="1"/>
        <v>46061</v>
      </c>
      <c r="H15" s="108">
        <f>+H8+7</f>
        <v>46061</v>
      </c>
      <c r="I15" s="109" t="str">
        <f>Février!AM27</f>
        <v/>
      </c>
      <c r="J15" s="107">
        <f t="shared" si="2"/>
        <v>46089</v>
      </c>
      <c r="K15" s="108">
        <f>+K8+7</f>
        <v>46089</v>
      </c>
      <c r="L15" s="109" t="str">
        <f>Mars!AM27</f>
        <v/>
      </c>
      <c r="M15" s="107">
        <f t="shared" si="3"/>
        <v>46120</v>
      </c>
      <c r="N15" s="108">
        <f>+N8+7</f>
        <v>46120</v>
      </c>
      <c r="O15" s="109" t="str">
        <f>Avril!AM27</f>
        <v/>
      </c>
      <c r="P15" s="107">
        <f t="shared" si="4"/>
        <v>46150</v>
      </c>
      <c r="Q15" s="108">
        <f>+Q8+7</f>
        <v>46150</v>
      </c>
      <c r="R15" s="109" t="str">
        <f>Mai!AM27</f>
        <v/>
      </c>
      <c r="S15" s="107">
        <f t="shared" si="5"/>
        <v>46181</v>
      </c>
      <c r="T15" s="108">
        <f>+T8+7</f>
        <v>46181</v>
      </c>
      <c r="U15" s="109" t="str">
        <f>Juin!AM27</f>
        <v/>
      </c>
      <c r="V15" s="107">
        <f t="shared" si="6"/>
        <v>46211</v>
      </c>
      <c r="W15" s="108">
        <f>+W8+7</f>
        <v>46211</v>
      </c>
      <c r="X15" s="109" t="str">
        <f>Juillet!AM27</f>
        <v/>
      </c>
      <c r="Y15" s="107">
        <f t="shared" si="7"/>
        <v>46242</v>
      </c>
      <c r="Z15" s="108">
        <f>+Z8+7</f>
        <v>46242</v>
      </c>
      <c r="AA15" s="109" t="str">
        <f>Aout!AM27</f>
        <v/>
      </c>
      <c r="AB15" s="107">
        <f t="shared" si="8"/>
        <v>46273</v>
      </c>
      <c r="AC15" s="108">
        <f>+AC8+7</f>
        <v>46273</v>
      </c>
      <c r="AD15" s="109" t="str">
        <f>Septembre!AM27</f>
        <v/>
      </c>
      <c r="AE15" s="107">
        <f t="shared" si="9"/>
        <v>46303</v>
      </c>
      <c r="AF15" s="108">
        <f>+AF8+7</f>
        <v>46303</v>
      </c>
      <c r="AG15" s="109" t="str">
        <f>Octobre!AM27</f>
        <v/>
      </c>
      <c r="AH15" s="107">
        <f t="shared" si="10"/>
        <v>46334</v>
      </c>
      <c r="AI15" s="108">
        <f>+AI8+7</f>
        <v>46334</v>
      </c>
      <c r="AJ15" s="109" t="str">
        <f>Novembre!AM27</f>
        <v/>
      </c>
      <c r="AK15" s="107">
        <f t="shared" si="11"/>
        <v>46364</v>
      </c>
      <c r="AL15" s="108">
        <f>+AL8+7</f>
        <v>46364</v>
      </c>
      <c r="AM15" s="109" t="str">
        <f>Décembre!AM27</f>
        <v/>
      </c>
    </row>
    <row r="16" spans="4:89" x14ac:dyDescent="0.2">
      <c r="D16" s="107">
        <f t="shared" si="0"/>
        <v>46031</v>
      </c>
      <c r="E16" s="108">
        <f>+$J$5+8</f>
        <v>46031</v>
      </c>
      <c r="F16" s="109" t="str">
        <f>Janvier!AM28</f>
        <v/>
      </c>
      <c r="G16" s="107">
        <f t="shared" si="1"/>
        <v>46062</v>
      </c>
      <c r="H16" s="108">
        <f>+H8+8</f>
        <v>46062</v>
      </c>
      <c r="I16" s="109" t="str">
        <f>Février!AM28</f>
        <v/>
      </c>
      <c r="J16" s="107">
        <f t="shared" si="2"/>
        <v>46090</v>
      </c>
      <c r="K16" s="108">
        <f>+K8+8</f>
        <v>46090</v>
      </c>
      <c r="L16" s="109" t="str">
        <f>Mars!AM28</f>
        <v/>
      </c>
      <c r="M16" s="107">
        <f t="shared" si="3"/>
        <v>46121</v>
      </c>
      <c r="N16" s="108">
        <f>+N8+8</f>
        <v>46121</v>
      </c>
      <c r="O16" s="109" t="str">
        <f>Avril!AM28</f>
        <v/>
      </c>
      <c r="P16" s="107">
        <f t="shared" si="4"/>
        <v>46151</v>
      </c>
      <c r="Q16" s="108">
        <f>+Q8+8</f>
        <v>46151</v>
      </c>
      <c r="R16" s="109" t="str">
        <f>Mai!AM28</f>
        <v/>
      </c>
      <c r="S16" s="107">
        <f t="shared" si="5"/>
        <v>46182</v>
      </c>
      <c r="T16" s="108">
        <f>+T8+8</f>
        <v>46182</v>
      </c>
      <c r="U16" s="109" t="str">
        <f>Juin!AM28</f>
        <v/>
      </c>
      <c r="V16" s="107">
        <f t="shared" si="6"/>
        <v>46212</v>
      </c>
      <c r="W16" s="108">
        <f>+W8+8</f>
        <v>46212</v>
      </c>
      <c r="X16" s="109" t="str">
        <f>Juillet!AM28</f>
        <v/>
      </c>
      <c r="Y16" s="107">
        <f t="shared" si="7"/>
        <v>46243</v>
      </c>
      <c r="Z16" s="108">
        <f>+Z8+8</f>
        <v>46243</v>
      </c>
      <c r="AA16" s="109" t="str">
        <f>Aout!AM28</f>
        <v/>
      </c>
      <c r="AB16" s="107">
        <f t="shared" si="8"/>
        <v>46274</v>
      </c>
      <c r="AC16" s="108">
        <f>+AC8+8</f>
        <v>46274</v>
      </c>
      <c r="AD16" s="109" t="str">
        <f>Septembre!AM28</f>
        <v/>
      </c>
      <c r="AE16" s="107">
        <f t="shared" si="9"/>
        <v>46304</v>
      </c>
      <c r="AF16" s="108">
        <f>+AF8+8</f>
        <v>46304</v>
      </c>
      <c r="AG16" s="109" t="str">
        <f>Octobre!AM28</f>
        <v/>
      </c>
      <c r="AH16" s="107">
        <f t="shared" si="10"/>
        <v>46335</v>
      </c>
      <c r="AI16" s="108">
        <f>+AI8+8</f>
        <v>46335</v>
      </c>
      <c r="AJ16" s="109" t="str">
        <f>Novembre!AM28</f>
        <v/>
      </c>
      <c r="AK16" s="107">
        <f t="shared" si="11"/>
        <v>46365</v>
      </c>
      <c r="AL16" s="108">
        <f>+AL8+8</f>
        <v>46365</v>
      </c>
      <c r="AM16" s="109" t="str">
        <f>Décembre!AM28</f>
        <v/>
      </c>
    </row>
    <row r="17" spans="4:39" x14ac:dyDescent="0.2">
      <c r="D17" s="107">
        <f t="shared" si="0"/>
        <v>46032</v>
      </c>
      <c r="E17" s="108">
        <f>+$J$5+9</f>
        <v>46032</v>
      </c>
      <c r="F17" s="109" t="str">
        <f>Janvier!AM29</f>
        <v/>
      </c>
      <c r="G17" s="107">
        <f t="shared" si="1"/>
        <v>46063</v>
      </c>
      <c r="H17" s="108">
        <f>+H8+9</f>
        <v>46063</v>
      </c>
      <c r="I17" s="109" t="str">
        <f>Février!AM29</f>
        <v/>
      </c>
      <c r="J17" s="107">
        <f t="shared" si="2"/>
        <v>46091</v>
      </c>
      <c r="K17" s="108">
        <f>+K8+9</f>
        <v>46091</v>
      </c>
      <c r="L17" s="109" t="str">
        <f>Mars!AM29</f>
        <v/>
      </c>
      <c r="M17" s="107">
        <f t="shared" si="3"/>
        <v>46122</v>
      </c>
      <c r="N17" s="108">
        <f>+N8+9</f>
        <v>46122</v>
      </c>
      <c r="O17" s="109" t="str">
        <f>Avril!AM29</f>
        <v/>
      </c>
      <c r="P17" s="107">
        <f t="shared" si="4"/>
        <v>46152</v>
      </c>
      <c r="Q17" s="108">
        <f>+Q8+9</f>
        <v>46152</v>
      </c>
      <c r="R17" s="109" t="str">
        <f>Mai!AM29</f>
        <v/>
      </c>
      <c r="S17" s="107">
        <f t="shared" si="5"/>
        <v>46183</v>
      </c>
      <c r="T17" s="108">
        <f>+T8+9</f>
        <v>46183</v>
      </c>
      <c r="U17" s="109" t="str">
        <f>Juin!AM29</f>
        <v/>
      </c>
      <c r="V17" s="107">
        <f t="shared" si="6"/>
        <v>46213</v>
      </c>
      <c r="W17" s="108">
        <f>+W8+9</f>
        <v>46213</v>
      </c>
      <c r="X17" s="109" t="str">
        <f>Juillet!AM29</f>
        <v/>
      </c>
      <c r="Y17" s="107">
        <f t="shared" si="7"/>
        <v>46244</v>
      </c>
      <c r="Z17" s="108">
        <f>+Z8+9</f>
        <v>46244</v>
      </c>
      <c r="AA17" s="109" t="str">
        <f>Aout!AM29</f>
        <v/>
      </c>
      <c r="AB17" s="107">
        <f t="shared" si="8"/>
        <v>46275</v>
      </c>
      <c r="AC17" s="108">
        <f>+AC8+9</f>
        <v>46275</v>
      </c>
      <c r="AD17" s="109" t="str">
        <f>Septembre!AM29</f>
        <v/>
      </c>
      <c r="AE17" s="107">
        <f t="shared" si="9"/>
        <v>46305</v>
      </c>
      <c r="AF17" s="108">
        <f>+AF8+9</f>
        <v>46305</v>
      </c>
      <c r="AG17" s="109" t="str">
        <f>Octobre!AM29</f>
        <v/>
      </c>
      <c r="AH17" s="107">
        <f t="shared" si="10"/>
        <v>46336</v>
      </c>
      <c r="AI17" s="108">
        <f>+AI8+9</f>
        <v>46336</v>
      </c>
      <c r="AJ17" s="109" t="str">
        <f>Novembre!AM29</f>
        <v/>
      </c>
      <c r="AK17" s="107">
        <f t="shared" si="11"/>
        <v>46366</v>
      </c>
      <c r="AL17" s="108">
        <f>+AL8+9</f>
        <v>46366</v>
      </c>
      <c r="AM17" s="109" t="str">
        <f>Décembre!AM29</f>
        <v/>
      </c>
    </row>
    <row r="18" spans="4:39" x14ac:dyDescent="0.2">
      <c r="D18" s="107">
        <f t="shared" si="0"/>
        <v>46033</v>
      </c>
      <c r="E18" s="108">
        <f>+$J$5+10</f>
        <v>46033</v>
      </c>
      <c r="F18" s="109" t="str">
        <f>Janvier!AM30</f>
        <v/>
      </c>
      <c r="G18" s="107">
        <f t="shared" si="1"/>
        <v>46064</v>
      </c>
      <c r="H18" s="108">
        <f>+H8+10</f>
        <v>46064</v>
      </c>
      <c r="I18" s="109" t="str">
        <f>Février!AM30</f>
        <v/>
      </c>
      <c r="J18" s="107">
        <f t="shared" si="2"/>
        <v>46092</v>
      </c>
      <c r="K18" s="108">
        <f>+K8+10</f>
        <v>46092</v>
      </c>
      <c r="L18" s="109" t="str">
        <f>Mars!AM30</f>
        <v/>
      </c>
      <c r="M18" s="107">
        <f t="shared" si="3"/>
        <v>46123</v>
      </c>
      <c r="N18" s="108">
        <f>+N8+10</f>
        <v>46123</v>
      </c>
      <c r="O18" s="109" t="str">
        <f>Avril!AM30</f>
        <v/>
      </c>
      <c r="P18" s="107">
        <f t="shared" si="4"/>
        <v>46153</v>
      </c>
      <c r="Q18" s="108">
        <f>+Q8+10</f>
        <v>46153</v>
      </c>
      <c r="R18" s="109" t="str">
        <f>Mai!AM30</f>
        <v/>
      </c>
      <c r="S18" s="107">
        <f t="shared" si="5"/>
        <v>46184</v>
      </c>
      <c r="T18" s="108">
        <f>+T8+10</f>
        <v>46184</v>
      </c>
      <c r="U18" s="109" t="str">
        <f>Juin!AM30</f>
        <v/>
      </c>
      <c r="V18" s="107">
        <f t="shared" si="6"/>
        <v>46214</v>
      </c>
      <c r="W18" s="108">
        <f>+W8+10</f>
        <v>46214</v>
      </c>
      <c r="X18" s="109" t="str">
        <f>Juillet!AM30</f>
        <v/>
      </c>
      <c r="Y18" s="107">
        <f t="shared" si="7"/>
        <v>46245</v>
      </c>
      <c r="Z18" s="108">
        <f>+Z8+10</f>
        <v>46245</v>
      </c>
      <c r="AA18" s="109" t="str">
        <f>Aout!AM30</f>
        <v/>
      </c>
      <c r="AB18" s="107">
        <f t="shared" si="8"/>
        <v>46276</v>
      </c>
      <c r="AC18" s="108">
        <f>+AC8+10</f>
        <v>46276</v>
      </c>
      <c r="AD18" s="109" t="str">
        <f>Septembre!AM30</f>
        <v/>
      </c>
      <c r="AE18" s="107">
        <f t="shared" si="9"/>
        <v>46306</v>
      </c>
      <c r="AF18" s="108">
        <f>+AF8+10</f>
        <v>46306</v>
      </c>
      <c r="AG18" s="109" t="str">
        <f>Octobre!AM30</f>
        <v/>
      </c>
      <c r="AH18" s="107">
        <f t="shared" si="10"/>
        <v>46337</v>
      </c>
      <c r="AI18" s="108">
        <f>+AI8+10</f>
        <v>46337</v>
      </c>
      <c r="AJ18" s="109" t="str">
        <f>Novembre!AM30</f>
        <v/>
      </c>
      <c r="AK18" s="107">
        <f t="shared" si="11"/>
        <v>46367</v>
      </c>
      <c r="AL18" s="108">
        <f>+AL8+10</f>
        <v>46367</v>
      </c>
      <c r="AM18" s="109" t="str">
        <f>Décembre!AM30</f>
        <v/>
      </c>
    </row>
    <row r="19" spans="4:39" x14ac:dyDescent="0.2">
      <c r="D19" s="107">
        <f t="shared" si="0"/>
        <v>46034</v>
      </c>
      <c r="E19" s="108">
        <f>+$J$5+11</f>
        <v>46034</v>
      </c>
      <c r="F19" s="109" t="str">
        <f>Janvier!AM31</f>
        <v/>
      </c>
      <c r="G19" s="107">
        <f t="shared" si="1"/>
        <v>46065</v>
      </c>
      <c r="H19" s="108">
        <f>+H8+11</f>
        <v>46065</v>
      </c>
      <c r="I19" s="109" t="str">
        <f>Février!AM31</f>
        <v/>
      </c>
      <c r="J19" s="107">
        <f t="shared" si="2"/>
        <v>46093</v>
      </c>
      <c r="K19" s="108">
        <f>+K8+11</f>
        <v>46093</v>
      </c>
      <c r="L19" s="109" t="str">
        <f>Mars!AM31</f>
        <v/>
      </c>
      <c r="M19" s="107">
        <f t="shared" si="3"/>
        <v>46124</v>
      </c>
      <c r="N19" s="108">
        <f>+N8+11</f>
        <v>46124</v>
      </c>
      <c r="O19" s="109" t="str">
        <f>Avril!AM31</f>
        <v/>
      </c>
      <c r="P19" s="107">
        <f t="shared" si="4"/>
        <v>46154</v>
      </c>
      <c r="Q19" s="108">
        <f>+Q8+11</f>
        <v>46154</v>
      </c>
      <c r="R19" s="109" t="str">
        <f>Mai!AM31</f>
        <v/>
      </c>
      <c r="S19" s="107">
        <f t="shared" si="5"/>
        <v>46185</v>
      </c>
      <c r="T19" s="108">
        <f>+T8+11</f>
        <v>46185</v>
      </c>
      <c r="U19" s="109" t="str">
        <f>Juin!AM31</f>
        <v/>
      </c>
      <c r="V19" s="107">
        <f t="shared" si="6"/>
        <v>46215</v>
      </c>
      <c r="W19" s="108">
        <f>+W8+11</f>
        <v>46215</v>
      </c>
      <c r="X19" s="109" t="str">
        <f>Juillet!AM31</f>
        <v/>
      </c>
      <c r="Y19" s="107">
        <f t="shared" si="7"/>
        <v>46246</v>
      </c>
      <c r="Z19" s="108">
        <f>+Z8+11</f>
        <v>46246</v>
      </c>
      <c r="AA19" s="109" t="str">
        <f>Aout!AM31</f>
        <v/>
      </c>
      <c r="AB19" s="107">
        <f t="shared" si="8"/>
        <v>46277</v>
      </c>
      <c r="AC19" s="108">
        <f>+AC8+11</f>
        <v>46277</v>
      </c>
      <c r="AD19" s="109" t="str">
        <f>Septembre!AM31</f>
        <v/>
      </c>
      <c r="AE19" s="107">
        <f t="shared" si="9"/>
        <v>46307</v>
      </c>
      <c r="AF19" s="108">
        <f>+AF8+11</f>
        <v>46307</v>
      </c>
      <c r="AG19" s="109" t="str">
        <f>Octobre!AM31</f>
        <v/>
      </c>
      <c r="AH19" s="107">
        <f t="shared" si="10"/>
        <v>46338</v>
      </c>
      <c r="AI19" s="108">
        <f>+AI8+11</f>
        <v>46338</v>
      </c>
      <c r="AJ19" s="109" t="str">
        <f>Novembre!AM31</f>
        <v/>
      </c>
      <c r="AK19" s="107">
        <f t="shared" si="11"/>
        <v>46368</v>
      </c>
      <c r="AL19" s="108">
        <f>+AL8+11</f>
        <v>46368</v>
      </c>
      <c r="AM19" s="109" t="str">
        <f>Décembre!AM31</f>
        <v/>
      </c>
    </row>
    <row r="20" spans="4:39" x14ac:dyDescent="0.2">
      <c r="D20" s="107">
        <f t="shared" si="0"/>
        <v>46035</v>
      </c>
      <c r="E20" s="108">
        <f>+$J$5+12</f>
        <v>46035</v>
      </c>
      <c r="F20" s="109" t="str">
        <f>Janvier!AM32</f>
        <v/>
      </c>
      <c r="G20" s="107">
        <f t="shared" si="1"/>
        <v>46066</v>
      </c>
      <c r="H20" s="108">
        <f>+H8+12</f>
        <v>46066</v>
      </c>
      <c r="I20" s="109" t="str">
        <f>Février!AM32</f>
        <v/>
      </c>
      <c r="J20" s="107">
        <f t="shared" si="2"/>
        <v>46094</v>
      </c>
      <c r="K20" s="108">
        <f>+K8+12</f>
        <v>46094</v>
      </c>
      <c r="L20" s="109" t="str">
        <f>Mars!AM32</f>
        <v/>
      </c>
      <c r="M20" s="107">
        <f t="shared" si="3"/>
        <v>46125</v>
      </c>
      <c r="N20" s="108">
        <f>+N8+12</f>
        <v>46125</v>
      </c>
      <c r="O20" s="109" t="str">
        <f>Avril!AM32</f>
        <v/>
      </c>
      <c r="P20" s="107">
        <f t="shared" si="4"/>
        <v>46155</v>
      </c>
      <c r="Q20" s="108">
        <f>+Q8+12</f>
        <v>46155</v>
      </c>
      <c r="R20" s="109" t="str">
        <f>Mai!AM32</f>
        <v/>
      </c>
      <c r="S20" s="107">
        <f t="shared" si="5"/>
        <v>46186</v>
      </c>
      <c r="T20" s="108">
        <f>+T8+12</f>
        <v>46186</v>
      </c>
      <c r="U20" s="109" t="str">
        <f>Juin!AM32</f>
        <v/>
      </c>
      <c r="V20" s="107">
        <f t="shared" si="6"/>
        <v>46216</v>
      </c>
      <c r="W20" s="108">
        <f>+W8+12</f>
        <v>46216</v>
      </c>
      <c r="X20" s="109" t="str">
        <f>Juillet!AM32</f>
        <v/>
      </c>
      <c r="Y20" s="107">
        <f t="shared" si="7"/>
        <v>46247</v>
      </c>
      <c r="Z20" s="108">
        <f>+Z8+12</f>
        <v>46247</v>
      </c>
      <c r="AA20" s="109" t="str">
        <f>Aout!AM32</f>
        <v/>
      </c>
      <c r="AB20" s="107">
        <f t="shared" si="8"/>
        <v>46278</v>
      </c>
      <c r="AC20" s="108">
        <f>+AC8+12</f>
        <v>46278</v>
      </c>
      <c r="AD20" s="109" t="str">
        <f>Septembre!AM32</f>
        <v/>
      </c>
      <c r="AE20" s="107">
        <f t="shared" si="9"/>
        <v>46308</v>
      </c>
      <c r="AF20" s="108">
        <f>+AF8+12</f>
        <v>46308</v>
      </c>
      <c r="AG20" s="109" t="str">
        <f>Octobre!AM32</f>
        <v/>
      </c>
      <c r="AH20" s="107">
        <f t="shared" si="10"/>
        <v>46339</v>
      </c>
      <c r="AI20" s="108">
        <f>+AI8+12</f>
        <v>46339</v>
      </c>
      <c r="AJ20" s="109" t="str">
        <f>Novembre!AM32</f>
        <v/>
      </c>
      <c r="AK20" s="107">
        <f t="shared" si="11"/>
        <v>46369</v>
      </c>
      <c r="AL20" s="108">
        <f>+AL8+12</f>
        <v>46369</v>
      </c>
      <c r="AM20" s="109" t="str">
        <f>Décembre!AM32</f>
        <v/>
      </c>
    </row>
    <row r="21" spans="4:39" x14ac:dyDescent="0.2">
      <c r="D21" s="107">
        <f t="shared" si="0"/>
        <v>46036</v>
      </c>
      <c r="E21" s="108">
        <f>+$J$5+13</f>
        <v>46036</v>
      </c>
      <c r="F21" s="109" t="str">
        <f>Janvier!AM33</f>
        <v/>
      </c>
      <c r="G21" s="107">
        <f t="shared" si="1"/>
        <v>46067</v>
      </c>
      <c r="H21" s="108">
        <f>+H8+13</f>
        <v>46067</v>
      </c>
      <c r="I21" s="109" t="str">
        <f>Février!AM33</f>
        <v/>
      </c>
      <c r="J21" s="107">
        <f t="shared" si="2"/>
        <v>46095</v>
      </c>
      <c r="K21" s="108">
        <f>+K8+13</f>
        <v>46095</v>
      </c>
      <c r="L21" s="109" t="str">
        <f>Mars!AM33</f>
        <v/>
      </c>
      <c r="M21" s="107">
        <f t="shared" si="3"/>
        <v>46126</v>
      </c>
      <c r="N21" s="108">
        <f>+N8+13</f>
        <v>46126</v>
      </c>
      <c r="O21" s="109" t="str">
        <f>Avril!AM33</f>
        <v/>
      </c>
      <c r="P21" s="107">
        <f t="shared" si="4"/>
        <v>46156</v>
      </c>
      <c r="Q21" s="108">
        <f>+Q8+13</f>
        <v>46156</v>
      </c>
      <c r="R21" s="109" t="str">
        <f>Mai!AM33</f>
        <v/>
      </c>
      <c r="S21" s="107">
        <f t="shared" si="5"/>
        <v>46187</v>
      </c>
      <c r="T21" s="108">
        <f>+T8+13</f>
        <v>46187</v>
      </c>
      <c r="U21" s="109" t="str">
        <f>Juin!AM33</f>
        <v/>
      </c>
      <c r="V21" s="107">
        <f t="shared" si="6"/>
        <v>46217</v>
      </c>
      <c r="W21" s="108">
        <f>+W8+13</f>
        <v>46217</v>
      </c>
      <c r="X21" s="109" t="str">
        <f>Juillet!AM33</f>
        <v/>
      </c>
      <c r="Y21" s="107">
        <f t="shared" si="7"/>
        <v>46248</v>
      </c>
      <c r="Z21" s="108">
        <f>+Z8+13</f>
        <v>46248</v>
      </c>
      <c r="AA21" s="109" t="str">
        <f>Aout!AM33</f>
        <v/>
      </c>
      <c r="AB21" s="107">
        <f t="shared" si="8"/>
        <v>46279</v>
      </c>
      <c r="AC21" s="108">
        <f>+AC8+13</f>
        <v>46279</v>
      </c>
      <c r="AD21" s="109" t="str">
        <f>Septembre!AM33</f>
        <v/>
      </c>
      <c r="AE21" s="107">
        <f t="shared" si="9"/>
        <v>46309</v>
      </c>
      <c r="AF21" s="108">
        <f>+AF8+13</f>
        <v>46309</v>
      </c>
      <c r="AG21" s="109" t="str">
        <f>Octobre!AM33</f>
        <v/>
      </c>
      <c r="AH21" s="107">
        <f t="shared" si="10"/>
        <v>46340</v>
      </c>
      <c r="AI21" s="108">
        <f>+AI8+13</f>
        <v>46340</v>
      </c>
      <c r="AJ21" s="109" t="str">
        <f>Novembre!AM33</f>
        <v/>
      </c>
      <c r="AK21" s="107">
        <f t="shared" si="11"/>
        <v>46370</v>
      </c>
      <c r="AL21" s="108">
        <f>+AL8+13</f>
        <v>46370</v>
      </c>
      <c r="AM21" s="109" t="str">
        <f>Décembre!AM33</f>
        <v/>
      </c>
    </row>
    <row r="22" spans="4:39" x14ac:dyDescent="0.2">
      <c r="D22" s="107">
        <f t="shared" si="0"/>
        <v>46037</v>
      </c>
      <c r="E22" s="108">
        <f>+$J$5+14</f>
        <v>46037</v>
      </c>
      <c r="F22" s="109" t="str">
        <f>Janvier!AM34</f>
        <v/>
      </c>
      <c r="G22" s="107">
        <f t="shared" si="1"/>
        <v>46068</v>
      </c>
      <c r="H22" s="108">
        <f>+H8+14</f>
        <v>46068</v>
      </c>
      <c r="I22" s="109" t="str">
        <f>Février!AM34</f>
        <v/>
      </c>
      <c r="J22" s="107">
        <f t="shared" si="2"/>
        <v>46096</v>
      </c>
      <c r="K22" s="108">
        <f>+K8+14</f>
        <v>46096</v>
      </c>
      <c r="L22" s="109" t="str">
        <f>Mars!AM34</f>
        <v/>
      </c>
      <c r="M22" s="107">
        <f t="shared" si="3"/>
        <v>46127</v>
      </c>
      <c r="N22" s="108">
        <f>+N8+14</f>
        <v>46127</v>
      </c>
      <c r="O22" s="109" t="str">
        <f>Avril!AM34</f>
        <v/>
      </c>
      <c r="P22" s="107">
        <f t="shared" si="4"/>
        <v>46157</v>
      </c>
      <c r="Q22" s="108">
        <f>+Q8+14</f>
        <v>46157</v>
      </c>
      <c r="R22" s="109" t="str">
        <f>Mai!AM34</f>
        <v/>
      </c>
      <c r="S22" s="107">
        <f t="shared" si="5"/>
        <v>46188</v>
      </c>
      <c r="T22" s="108">
        <f>+T8+14</f>
        <v>46188</v>
      </c>
      <c r="U22" s="109" t="str">
        <f>Juin!AM34</f>
        <v/>
      </c>
      <c r="V22" s="107">
        <f t="shared" si="6"/>
        <v>46218</v>
      </c>
      <c r="W22" s="108">
        <f>+W8+14</f>
        <v>46218</v>
      </c>
      <c r="X22" s="109" t="str">
        <f>Juillet!AM34</f>
        <v/>
      </c>
      <c r="Y22" s="107">
        <f t="shared" si="7"/>
        <v>46249</v>
      </c>
      <c r="Z22" s="108">
        <f>+Z8+14</f>
        <v>46249</v>
      </c>
      <c r="AA22" s="109" t="str">
        <f>Aout!AM34</f>
        <v/>
      </c>
      <c r="AB22" s="107">
        <f t="shared" si="8"/>
        <v>46280</v>
      </c>
      <c r="AC22" s="108">
        <f>+AC8+14</f>
        <v>46280</v>
      </c>
      <c r="AD22" s="109" t="str">
        <f>Septembre!AM34</f>
        <v/>
      </c>
      <c r="AE22" s="107">
        <f t="shared" si="9"/>
        <v>46310</v>
      </c>
      <c r="AF22" s="108">
        <f>+AF8+14</f>
        <v>46310</v>
      </c>
      <c r="AG22" s="109" t="str">
        <f>Octobre!AM34</f>
        <v/>
      </c>
      <c r="AH22" s="107">
        <f t="shared" si="10"/>
        <v>46341</v>
      </c>
      <c r="AI22" s="108">
        <f>+AI8+14</f>
        <v>46341</v>
      </c>
      <c r="AJ22" s="109" t="str">
        <f>Novembre!AM34</f>
        <v/>
      </c>
      <c r="AK22" s="107">
        <f t="shared" si="11"/>
        <v>46371</v>
      </c>
      <c r="AL22" s="108">
        <f>+AL8+14</f>
        <v>46371</v>
      </c>
      <c r="AM22" s="109" t="str">
        <f>Décembre!AM34</f>
        <v/>
      </c>
    </row>
    <row r="23" spans="4:39" x14ac:dyDescent="0.2">
      <c r="D23" s="107">
        <f t="shared" si="0"/>
        <v>46038</v>
      </c>
      <c r="E23" s="108">
        <f>+$J$5+15</f>
        <v>46038</v>
      </c>
      <c r="F23" s="109" t="str">
        <f>Janvier!AM35</f>
        <v/>
      </c>
      <c r="G23" s="107">
        <f t="shared" si="1"/>
        <v>46069</v>
      </c>
      <c r="H23" s="108">
        <f>+H8+15</f>
        <v>46069</v>
      </c>
      <c r="I23" s="109" t="str">
        <f>Février!AM35</f>
        <v/>
      </c>
      <c r="J23" s="107">
        <f t="shared" si="2"/>
        <v>46097</v>
      </c>
      <c r="K23" s="108">
        <f>+K8+15</f>
        <v>46097</v>
      </c>
      <c r="L23" s="109" t="str">
        <f>Mars!AM35</f>
        <v/>
      </c>
      <c r="M23" s="107">
        <f t="shared" si="3"/>
        <v>46128</v>
      </c>
      <c r="N23" s="108">
        <f>+N8+15</f>
        <v>46128</v>
      </c>
      <c r="O23" s="109" t="str">
        <f>Avril!AM35</f>
        <v/>
      </c>
      <c r="P23" s="107">
        <f t="shared" si="4"/>
        <v>46158</v>
      </c>
      <c r="Q23" s="108">
        <f>+Q8+15</f>
        <v>46158</v>
      </c>
      <c r="R23" s="109" t="str">
        <f>Mai!AM35</f>
        <v/>
      </c>
      <c r="S23" s="107">
        <f t="shared" si="5"/>
        <v>46189</v>
      </c>
      <c r="T23" s="108">
        <f>+T8+15</f>
        <v>46189</v>
      </c>
      <c r="U23" s="109" t="str">
        <f>Juin!AM35</f>
        <v/>
      </c>
      <c r="V23" s="107">
        <f t="shared" si="6"/>
        <v>46219</v>
      </c>
      <c r="W23" s="108">
        <f>+W8+15</f>
        <v>46219</v>
      </c>
      <c r="X23" s="109" t="str">
        <f>Juillet!AM35</f>
        <v/>
      </c>
      <c r="Y23" s="107">
        <f t="shared" si="7"/>
        <v>46250</v>
      </c>
      <c r="Z23" s="108">
        <f>+Z8+15</f>
        <v>46250</v>
      </c>
      <c r="AA23" s="109" t="str">
        <f>Aout!AM35</f>
        <v/>
      </c>
      <c r="AB23" s="107">
        <f t="shared" si="8"/>
        <v>46281</v>
      </c>
      <c r="AC23" s="108">
        <f>+AC8+15</f>
        <v>46281</v>
      </c>
      <c r="AD23" s="109" t="str">
        <f>Septembre!AM35</f>
        <v/>
      </c>
      <c r="AE23" s="107">
        <f t="shared" si="9"/>
        <v>46311</v>
      </c>
      <c r="AF23" s="108">
        <f>+AF8+15</f>
        <v>46311</v>
      </c>
      <c r="AG23" s="109" t="str">
        <f>Octobre!AM35</f>
        <v/>
      </c>
      <c r="AH23" s="107">
        <f t="shared" si="10"/>
        <v>46342</v>
      </c>
      <c r="AI23" s="108">
        <f>+AI8+15</f>
        <v>46342</v>
      </c>
      <c r="AJ23" s="109" t="str">
        <f>Novembre!AM35</f>
        <v/>
      </c>
      <c r="AK23" s="107">
        <f t="shared" si="11"/>
        <v>46372</v>
      </c>
      <c r="AL23" s="108">
        <f>+AL8+15</f>
        <v>46372</v>
      </c>
      <c r="AM23" s="109" t="str">
        <f>Décembre!AM35</f>
        <v/>
      </c>
    </row>
    <row r="24" spans="4:39" x14ac:dyDescent="0.2">
      <c r="D24" s="107">
        <f t="shared" si="0"/>
        <v>46039</v>
      </c>
      <c r="E24" s="108">
        <f>+$J$5+16</f>
        <v>46039</v>
      </c>
      <c r="F24" s="109" t="str">
        <f>Janvier!AM36</f>
        <v/>
      </c>
      <c r="G24" s="107">
        <f t="shared" si="1"/>
        <v>46070</v>
      </c>
      <c r="H24" s="108">
        <f>+H8+16</f>
        <v>46070</v>
      </c>
      <c r="I24" s="109" t="str">
        <f>Février!AM36</f>
        <v/>
      </c>
      <c r="J24" s="107">
        <f t="shared" si="2"/>
        <v>46098</v>
      </c>
      <c r="K24" s="108">
        <f>+K8+16</f>
        <v>46098</v>
      </c>
      <c r="L24" s="109" t="str">
        <f>Mars!AM36</f>
        <v/>
      </c>
      <c r="M24" s="107">
        <f t="shared" si="3"/>
        <v>46129</v>
      </c>
      <c r="N24" s="108">
        <f>+N8+16</f>
        <v>46129</v>
      </c>
      <c r="O24" s="109" t="str">
        <f>Avril!AM36</f>
        <v/>
      </c>
      <c r="P24" s="107">
        <f t="shared" si="4"/>
        <v>46159</v>
      </c>
      <c r="Q24" s="108">
        <f>+Q8+16</f>
        <v>46159</v>
      </c>
      <c r="R24" s="109" t="str">
        <f>Mai!AM36</f>
        <v/>
      </c>
      <c r="S24" s="107">
        <f t="shared" si="5"/>
        <v>46190</v>
      </c>
      <c r="T24" s="108">
        <f>+T8+16</f>
        <v>46190</v>
      </c>
      <c r="U24" s="109" t="str">
        <f>Juin!AM36</f>
        <v/>
      </c>
      <c r="V24" s="107">
        <f t="shared" si="6"/>
        <v>46220</v>
      </c>
      <c r="W24" s="108">
        <f>+W8+16</f>
        <v>46220</v>
      </c>
      <c r="X24" s="109" t="str">
        <f>Juillet!AM36</f>
        <v/>
      </c>
      <c r="Y24" s="107">
        <f t="shared" si="7"/>
        <v>46251</v>
      </c>
      <c r="Z24" s="108">
        <f>+Z8+16</f>
        <v>46251</v>
      </c>
      <c r="AA24" s="109" t="str">
        <f>Aout!AM36</f>
        <v/>
      </c>
      <c r="AB24" s="107">
        <f t="shared" si="8"/>
        <v>46282</v>
      </c>
      <c r="AC24" s="108">
        <f>+AC8+16</f>
        <v>46282</v>
      </c>
      <c r="AD24" s="109" t="str">
        <f>Septembre!AM36</f>
        <v/>
      </c>
      <c r="AE24" s="107">
        <f t="shared" si="9"/>
        <v>46312</v>
      </c>
      <c r="AF24" s="108">
        <f>+AF8+16</f>
        <v>46312</v>
      </c>
      <c r="AG24" s="109" t="str">
        <f>Octobre!AM36</f>
        <v/>
      </c>
      <c r="AH24" s="107">
        <f t="shared" si="10"/>
        <v>46343</v>
      </c>
      <c r="AI24" s="108">
        <f>+AI8+16</f>
        <v>46343</v>
      </c>
      <c r="AJ24" s="109" t="str">
        <f>Novembre!AM36</f>
        <v/>
      </c>
      <c r="AK24" s="107">
        <f t="shared" si="11"/>
        <v>46373</v>
      </c>
      <c r="AL24" s="108">
        <f>+AL8+16</f>
        <v>46373</v>
      </c>
      <c r="AM24" s="109" t="str">
        <f>Décembre!AM36</f>
        <v/>
      </c>
    </row>
    <row r="25" spans="4:39" x14ac:dyDescent="0.2">
      <c r="D25" s="107">
        <f t="shared" si="0"/>
        <v>46040</v>
      </c>
      <c r="E25" s="108">
        <f>+$J$5+17</f>
        <v>46040</v>
      </c>
      <c r="F25" s="109" t="str">
        <f>Janvier!AM37</f>
        <v/>
      </c>
      <c r="G25" s="107">
        <f t="shared" si="1"/>
        <v>46071</v>
      </c>
      <c r="H25" s="108">
        <f>+H8+17</f>
        <v>46071</v>
      </c>
      <c r="I25" s="109" t="str">
        <f>Février!AM37</f>
        <v/>
      </c>
      <c r="J25" s="107">
        <f t="shared" si="2"/>
        <v>46099</v>
      </c>
      <c r="K25" s="108">
        <f>+K8+17</f>
        <v>46099</v>
      </c>
      <c r="L25" s="109" t="str">
        <f>Mars!AM37</f>
        <v/>
      </c>
      <c r="M25" s="107">
        <f t="shared" si="3"/>
        <v>46130</v>
      </c>
      <c r="N25" s="108">
        <f>+N8+17</f>
        <v>46130</v>
      </c>
      <c r="O25" s="109" t="str">
        <f>Avril!AM37</f>
        <v/>
      </c>
      <c r="P25" s="107">
        <f t="shared" si="4"/>
        <v>46160</v>
      </c>
      <c r="Q25" s="108">
        <f>+Q8+17</f>
        <v>46160</v>
      </c>
      <c r="R25" s="109" t="str">
        <f>Mai!AM37</f>
        <v/>
      </c>
      <c r="S25" s="107">
        <f t="shared" si="5"/>
        <v>46191</v>
      </c>
      <c r="T25" s="108">
        <f>+T8+17</f>
        <v>46191</v>
      </c>
      <c r="U25" s="109" t="str">
        <f>Juin!AM37</f>
        <v/>
      </c>
      <c r="V25" s="107">
        <f t="shared" si="6"/>
        <v>46221</v>
      </c>
      <c r="W25" s="108">
        <f>+W8+17</f>
        <v>46221</v>
      </c>
      <c r="X25" s="109" t="str">
        <f>Juillet!AM37</f>
        <v/>
      </c>
      <c r="Y25" s="107">
        <f t="shared" si="7"/>
        <v>46252</v>
      </c>
      <c r="Z25" s="108">
        <f>+Z8+17</f>
        <v>46252</v>
      </c>
      <c r="AA25" s="109" t="str">
        <f>Aout!AM37</f>
        <v/>
      </c>
      <c r="AB25" s="107">
        <f t="shared" si="8"/>
        <v>46283</v>
      </c>
      <c r="AC25" s="108">
        <f>+AC8+17</f>
        <v>46283</v>
      </c>
      <c r="AD25" s="109" t="str">
        <f>Septembre!AM37</f>
        <v/>
      </c>
      <c r="AE25" s="107">
        <f t="shared" si="9"/>
        <v>46313</v>
      </c>
      <c r="AF25" s="108">
        <f>+AF8+17</f>
        <v>46313</v>
      </c>
      <c r="AG25" s="109" t="str">
        <f>Octobre!AM37</f>
        <v/>
      </c>
      <c r="AH25" s="107">
        <f t="shared" si="10"/>
        <v>46344</v>
      </c>
      <c r="AI25" s="108">
        <f>+AI8+17</f>
        <v>46344</v>
      </c>
      <c r="AJ25" s="109" t="str">
        <f>Novembre!AM37</f>
        <v/>
      </c>
      <c r="AK25" s="107">
        <f t="shared" si="11"/>
        <v>46374</v>
      </c>
      <c r="AL25" s="108">
        <f>+AL8+17</f>
        <v>46374</v>
      </c>
      <c r="AM25" s="109" t="str">
        <f>Décembre!AM37</f>
        <v/>
      </c>
    </row>
    <row r="26" spans="4:39" x14ac:dyDescent="0.2">
      <c r="D26" s="107">
        <f t="shared" si="0"/>
        <v>46041</v>
      </c>
      <c r="E26" s="108">
        <f>+$J$5+18</f>
        <v>46041</v>
      </c>
      <c r="F26" s="109" t="str">
        <f>Janvier!AM38</f>
        <v/>
      </c>
      <c r="G26" s="107">
        <f t="shared" si="1"/>
        <v>46072</v>
      </c>
      <c r="H26" s="108">
        <f>+H8+18</f>
        <v>46072</v>
      </c>
      <c r="I26" s="109" t="str">
        <f>Février!AM38</f>
        <v/>
      </c>
      <c r="J26" s="107">
        <f t="shared" si="2"/>
        <v>46100</v>
      </c>
      <c r="K26" s="108">
        <f>+K8+18</f>
        <v>46100</v>
      </c>
      <c r="L26" s="109" t="str">
        <f>Mars!AM38</f>
        <v/>
      </c>
      <c r="M26" s="107">
        <f t="shared" si="3"/>
        <v>46131</v>
      </c>
      <c r="N26" s="108">
        <f>+N8+18</f>
        <v>46131</v>
      </c>
      <c r="O26" s="109" t="str">
        <f>Avril!AM38</f>
        <v/>
      </c>
      <c r="P26" s="107">
        <f t="shared" si="4"/>
        <v>46161</v>
      </c>
      <c r="Q26" s="108">
        <f>+Q8+18</f>
        <v>46161</v>
      </c>
      <c r="R26" s="109" t="str">
        <f>Mai!AM38</f>
        <v/>
      </c>
      <c r="S26" s="107">
        <f t="shared" si="5"/>
        <v>46192</v>
      </c>
      <c r="T26" s="108">
        <f>+T8+18</f>
        <v>46192</v>
      </c>
      <c r="U26" s="109" t="str">
        <f>Juin!AM38</f>
        <v/>
      </c>
      <c r="V26" s="107">
        <f t="shared" si="6"/>
        <v>46222</v>
      </c>
      <c r="W26" s="108">
        <f>+W8+18</f>
        <v>46222</v>
      </c>
      <c r="X26" s="109" t="str">
        <f>Juillet!AM38</f>
        <v/>
      </c>
      <c r="Y26" s="107">
        <f t="shared" si="7"/>
        <v>46253</v>
      </c>
      <c r="Z26" s="108">
        <f>+Z8+18</f>
        <v>46253</v>
      </c>
      <c r="AA26" s="109" t="str">
        <f>Aout!AM38</f>
        <v/>
      </c>
      <c r="AB26" s="107">
        <f t="shared" si="8"/>
        <v>46284</v>
      </c>
      <c r="AC26" s="108">
        <f>+AC8+18</f>
        <v>46284</v>
      </c>
      <c r="AD26" s="109" t="str">
        <f>Septembre!AM38</f>
        <v/>
      </c>
      <c r="AE26" s="107">
        <f t="shared" si="9"/>
        <v>46314</v>
      </c>
      <c r="AF26" s="108">
        <f>+AF8+18</f>
        <v>46314</v>
      </c>
      <c r="AG26" s="109" t="str">
        <f>Octobre!AM38</f>
        <v/>
      </c>
      <c r="AH26" s="107">
        <f t="shared" si="10"/>
        <v>46345</v>
      </c>
      <c r="AI26" s="108">
        <f>+AI8+18</f>
        <v>46345</v>
      </c>
      <c r="AJ26" s="109" t="str">
        <f>Novembre!AM38</f>
        <v/>
      </c>
      <c r="AK26" s="107">
        <f t="shared" si="11"/>
        <v>46375</v>
      </c>
      <c r="AL26" s="108">
        <f>+AL8+18</f>
        <v>46375</v>
      </c>
      <c r="AM26" s="109" t="str">
        <f>Décembre!AM38</f>
        <v/>
      </c>
    </row>
    <row r="27" spans="4:39" x14ac:dyDescent="0.2">
      <c r="D27" s="107">
        <f t="shared" si="0"/>
        <v>46042</v>
      </c>
      <c r="E27" s="108">
        <f>+$J$5+19</f>
        <v>46042</v>
      </c>
      <c r="F27" s="109" t="str">
        <f>Janvier!AM39</f>
        <v/>
      </c>
      <c r="G27" s="107">
        <f t="shared" si="1"/>
        <v>46073</v>
      </c>
      <c r="H27" s="108">
        <f>+H8+19</f>
        <v>46073</v>
      </c>
      <c r="I27" s="109" t="str">
        <f>Février!AM39</f>
        <v/>
      </c>
      <c r="J27" s="107">
        <f t="shared" si="2"/>
        <v>46101</v>
      </c>
      <c r="K27" s="108">
        <f>+K8+19</f>
        <v>46101</v>
      </c>
      <c r="L27" s="109" t="str">
        <f>Mars!AM39</f>
        <v/>
      </c>
      <c r="M27" s="107">
        <f t="shared" si="3"/>
        <v>46132</v>
      </c>
      <c r="N27" s="108">
        <f>+N8+19</f>
        <v>46132</v>
      </c>
      <c r="O27" s="109" t="str">
        <f>Avril!AM39</f>
        <v/>
      </c>
      <c r="P27" s="107">
        <f t="shared" si="4"/>
        <v>46162</v>
      </c>
      <c r="Q27" s="108">
        <f>+Q8+19</f>
        <v>46162</v>
      </c>
      <c r="R27" s="109" t="str">
        <f>Mai!AM39</f>
        <v/>
      </c>
      <c r="S27" s="107">
        <f t="shared" si="5"/>
        <v>46193</v>
      </c>
      <c r="T27" s="108">
        <f>+T8+19</f>
        <v>46193</v>
      </c>
      <c r="U27" s="109" t="str">
        <f>Juin!AM39</f>
        <v/>
      </c>
      <c r="V27" s="107">
        <f t="shared" si="6"/>
        <v>46223</v>
      </c>
      <c r="W27" s="108">
        <f>+W8+19</f>
        <v>46223</v>
      </c>
      <c r="X27" s="109" t="str">
        <f>Juillet!AM39</f>
        <v/>
      </c>
      <c r="Y27" s="107">
        <f t="shared" si="7"/>
        <v>46254</v>
      </c>
      <c r="Z27" s="108">
        <f>+Z8+19</f>
        <v>46254</v>
      </c>
      <c r="AA27" s="109" t="str">
        <f>Aout!AM39</f>
        <v/>
      </c>
      <c r="AB27" s="107">
        <f t="shared" si="8"/>
        <v>46285</v>
      </c>
      <c r="AC27" s="108">
        <f>+AC8+19</f>
        <v>46285</v>
      </c>
      <c r="AD27" s="109" t="str">
        <f>Septembre!AM39</f>
        <v/>
      </c>
      <c r="AE27" s="107">
        <f t="shared" si="9"/>
        <v>46315</v>
      </c>
      <c r="AF27" s="108">
        <f>+AF8+19</f>
        <v>46315</v>
      </c>
      <c r="AG27" s="109" t="str">
        <f>Octobre!AM39</f>
        <v/>
      </c>
      <c r="AH27" s="107">
        <f t="shared" si="10"/>
        <v>46346</v>
      </c>
      <c r="AI27" s="108">
        <f>+AI8+19</f>
        <v>46346</v>
      </c>
      <c r="AJ27" s="109" t="str">
        <f>Novembre!AM39</f>
        <v/>
      </c>
      <c r="AK27" s="107">
        <f t="shared" si="11"/>
        <v>46376</v>
      </c>
      <c r="AL27" s="108">
        <f>+AL8+19</f>
        <v>46376</v>
      </c>
      <c r="AM27" s="109" t="str">
        <f>Décembre!AM39</f>
        <v/>
      </c>
    </row>
    <row r="28" spans="4:39" x14ac:dyDescent="0.2">
      <c r="D28" s="107">
        <f t="shared" si="0"/>
        <v>46043</v>
      </c>
      <c r="E28" s="108">
        <f>+$J$5+20</f>
        <v>46043</v>
      </c>
      <c r="F28" s="109" t="str">
        <f>Janvier!AM40</f>
        <v/>
      </c>
      <c r="G28" s="107">
        <f t="shared" si="1"/>
        <v>46074</v>
      </c>
      <c r="H28" s="108">
        <f>+H8+20</f>
        <v>46074</v>
      </c>
      <c r="I28" s="109" t="str">
        <f>Février!AM40</f>
        <v/>
      </c>
      <c r="J28" s="107">
        <f t="shared" si="2"/>
        <v>46102</v>
      </c>
      <c r="K28" s="108">
        <f>+K8+20</f>
        <v>46102</v>
      </c>
      <c r="L28" s="109" t="str">
        <f>Mars!AM40</f>
        <v/>
      </c>
      <c r="M28" s="107">
        <f t="shared" si="3"/>
        <v>46133</v>
      </c>
      <c r="N28" s="108">
        <f>+N8+20</f>
        <v>46133</v>
      </c>
      <c r="O28" s="109" t="str">
        <f>Avril!AM40</f>
        <v/>
      </c>
      <c r="P28" s="107">
        <f t="shared" si="4"/>
        <v>46163</v>
      </c>
      <c r="Q28" s="108">
        <f>+Q8+20</f>
        <v>46163</v>
      </c>
      <c r="R28" s="109" t="str">
        <f>Mai!AM40</f>
        <v/>
      </c>
      <c r="S28" s="107">
        <f t="shared" si="5"/>
        <v>46194</v>
      </c>
      <c r="T28" s="108">
        <f>+T8+20</f>
        <v>46194</v>
      </c>
      <c r="U28" s="109" t="str">
        <f>Juin!AM40</f>
        <v/>
      </c>
      <c r="V28" s="107">
        <f t="shared" si="6"/>
        <v>46224</v>
      </c>
      <c r="W28" s="108">
        <f>+W8+20</f>
        <v>46224</v>
      </c>
      <c r="X28" s="109" t="str">
        <f>Juillet!AM40</f>
        <v/>
      </c>
      <c r="Y28" s="107">
        <f t="shared" si="7"/>
        <v>46255</v>
      </c>
      <c r="Z28" s="108">
        <f>+Z8+20</f>
        <v>46255</v>
      </c>
      <c r="AA28" s="109" t="str">
        <f>Aout!AM40</f>
        <v/>
      </c>
      <c r="AB28" s="107">
        <f t="shared" si="8"/>
        <v>46286</v>
      </c>
      <c r="AC28" s="108">
        <f>+AC8+20</f>
        <v>46286</v>
      </c>
      <c r="AD28" s="109" t="str">
        <f>Septembre!AM40</f>
        <v/>
      </c>
      <c r="AE28" s="107">
        <f t="shared" si="9"/>
        <v>46316</v>
      </c>
      <c r="AF28" s="108">
        <f>+AF8+20</f>
        <v>46316</v>
      </c>
      <c r="AG28" s="109" t="str">
        <f>Octobre!AM40</f>
        <v/>
      </c>
      <c r="AH28" s="107">
        <f t="shared" si="10"/>
        <v>46347</v>
      </c>
      <c r="AI28" s="108">
        <f>+AI8+20</f>
        <v>46347</v>
      </c>
      <c r="AJ28" s="109" t="str">
        <f>Novembre!AM40</f>
        <v/>
      </c>
      <c r="AK28" s="107">
        <f t="shared" si="11"/>
        <v>46377</v>
      </c>
      <c r="AL28" s="108">
        <f>+AL8+20</f>
        <v>46377</v>
      </c>
      <c r="AM28" s="109" t="str">
        <f>Décembre!AM40</f>
        <v/>
      </c>
    </row>
    <row r="29" spans="4:39" x14ac:dyDescent="0.2">
      <c r="D29" s="107">
        <f t="shared" si="0"/>
        <v>46044</v>
      </c>
      <c r="E29" s="108">
        <f>+$J$5+21</f>
        <v>46044</v>
      </c>
      <c r="F29" s="109" t="str">
        <f>Janvier!AM41</f>
        <v/>
      </c>
      <c r="G29" s="107">
        <f t="shared" si="1"/>
        <v>46075</v>
      </c>
      <c r="H29" s="108">
        <f>+H8+21</f>
        <v>46075</v>
      </c>
      <c r="I29" s="109" t="str">
        <f>Février!AM41</f>
        <v/>
      </c>
      <c r="J29" s="107">
        <f t="shared" si="2"/>
        <v>46103</v>
      </c>
      <c r="K29" s="108">
        <f>+K8+21</f>
        <v>46103</v>
      </c>
      <c r="L29" s="109" t="str">
        <f>Mars!AM41</f>
        <v/>
      </c>
      <c r="M29" s="107">
        <f t="shared" si="3"/>
        <v>46134</v>
      </c>
      <c r="N29" s="108">
        <f>+N8+21</f>
        <v>46134</v>
      </c>
      <c r="O29" s="109" t="str">
        <f>Avril!AM41</f>
        <v/>
      </c>
      <c r="P29" s="107">
        <f t="shared" si="4"/>
        <v>46164</v>
      </c>
      <c r="Q29" s="108">
        <f>+Q8+21</f>
        <v>46164</v>
      </c>
      <c r="R29" s="109" t="str">
        <f>Mai!AM41</f>
        <v/>
      </c>
      <c r="S29" s="107">
        <f t="shared" si="5"/>
        <v>46195</v>
      </c>
      <c r="T29" s="108">
        <f>+T8+21</f>
        <v>46195</v>
      </c>
      <c r="U29" s="109" t="str">
        <f>Juin!AM41</f>
        <v/>
      </c>
      <c r="V29" s="107">
        <f t="shared" si="6"/>
        <v>46225</v>
      </c>
      <c r="W29" s="108">
        <f>+W8+21</f>
        <v>46225</v>
      </c>
      <c r="X29" s="109" t="str">
        <f>Juillet!AM41</f>
        <v/>
      </c>
      <c r="Y29" s="107">
        <f t="shared" si="7"/>
        <v>46256</v>
      </c>
      <c r="Z29" s="108">
        <f>+Z8+21</f>
        <v>46256</v>
      </c>
      <c r="AA29" s="109" t="str">
        <f>Aout!AM41</f>
        <v/>
      </c>
      <c r="AB29" s="107">
        <f t="shared" si="8"/>
        <v>46287</v>
      </c>
      <c r="AC29" s="108">
        <f>+AC8+21</f>
        <v>46287</v>
      </c>
      <c r="AD29" s="109" t="str">
        <f>Septembre!AM41</f>
        <v/>
      </c>
      <c r="AE29" s="107">
        <f t="shared" si="9"/>
        <v>46317</v>
      </c>
      <c r="AF29" s="108">
        <f>+AF8+21</f>
        <v>46317</v>
      </c>
      <c r="AG29" s="109" t="str">
        <f>Octobre!AM41</f>
        <v/>
      </c>
      <c r="AH29" s="107">
        <f t="shared" si="10"/>
        <v>46348</v>
      </c>
      <c r="AI29" s="108">
        <f>+AI8+21</f>
        <v>46348</v>
      </c>
      <c r="AJ29" s="109" t="str">
        <f>Novembre!AM41</f>
        <v/>
      </c>
      <c r="AK29" s="107">
        <f t="shared" si="11"/>
        <v>46378</v>
      </c>
      <c r="AL29" s="108">
        <f>+AL8+21</f>
        <v>46378</v>
      </c>
      <c r="AM29" s="109" t="str">
        <f>Décembre!AM41</f>
        <v/>
      </c>
    </row>
    <row r="30" spans="4:39" x14ac:dyDescent="0.2">
      <c r="D30" s="107">
        <f t="shared" si="0"/>
        <v>46045</v>
      </c>
      <c r="E30" s="108">
        <f>+$J$5+22</f>
        <v>46045</v>
      </c>
      <c r="F30" s="109" t="str">
        <f>Janvier!AM42</f>
        <v/>
      </c>
      <c r="G30" s="107">
        <f t="shared" si="1"/>
        <v>46076</v>
      </c>
      <c r="H30" s="108">
        <f>+H8+22</f>
        <v>46076</v>
      </c>
      <c r="I30" s="109" t="str">
        <f>Février!AM42</f>
        <v/>
      </c>
      <c r="J30" s="107">
        <f t="shared" si="2"/>
        <v>46104</v>
      </c>
      <c r="K30" s="108">
        <f>+K8+22</f>
        <v>46104</v>
      </c>
      <c r="L30" s="109" t="str">
        <f>Mars!AM42</f>
        <v/>
      </c>
      <c r="M30" s="107">
        <f t="shared" si="3"/>
        <v>46135</v>
      </c>
      <c r="N30" s="108">
        <f>+N8+22</f>
        <v>46135</v>
      </c>
      <c r="O30" s="109" t="str">
        <f>Avril!AM42</f>
        <v/>
      </c>
      <c r="P30" s="107">
        <f t="shared" si="4"/>
        <v>46165</v>
      </c>
      <c r="Q30" s="108">
        <f>+Q8+22</f>
        <v>46165</v>
      </c>
      <c r="R30" s="109" t="str">
        <f>Mai!AM42</f>
        <v/>
      </c>
      <c r="S30" s="107">
        <f t="shared" si="5"/>
        <v>46196</v>
      </c>
      <c r="T30" s="108">
        <f>+T8+22</f>
        <v>46196</v>
      </c>
      <c r="U30" s="109" t="str">
        <f>Juin!AM42</f>
        <v/>
      </c>
      <c r="V30" s="107">
        <f t="shared" si="6"/>
        <v>46226</v>
      </c>
      <c r="W30" s="108">
        <f>+W8+22</f>
        <v>46226</v>
      </c>
      <c r="X30" s="109" t="str">
        <f>Juillet!AM42</f>
        <v/>
      </c>
      <c r="Y30" s="107">
        <f t="shared" si="7"/>
        <v>46257</v>
      </c>
      <c r="Z30" s="108">
        <f>+Z8+22</f>
        <v>46257</v>
      </c>
      <c r="AA30" s="109" t="str">
        <f>Aout!AM42</f>
        <v/>
      </c>
      <c r="AB30" s="107">
        <f t="shared" si="8"/>
        <v>46288</v>
      </c>
      <c r="AC30" s="108">
        <f>+AC8+22</f>
        <v>46288</v>
      </c>
      <c r="AD30" s="109" t="str">
        <f>Septembre!AM42</f>
        <v/>
      </c>
      <c r="AE30" s="107">
        <f t="shared" si="9"/>
        <v>46318</v>
      </c>
      <c r="AF30" s="108">
        <f>+AF8+22</f>
        <v>46318</v>
      </c>
      <c r="AG30" s="109" t="str">
        <f>Octobre!AM42</f>
        <v/>
      </c>
      <c r="AH30" s="107">
        <f t="shared" si="10"/>
        <v>46349</v>
      </c>
      <c r="AI30" s="108">
        <f>+AI8+22</f>
        <v>46349</v>
      </c>
      <c r="AJ30" s="109" t="str">
        <f>Novembre!AM42</f>
        <v/>
      </c>
      <c r="AK30" s="107">
        <f t="shared" si="11"/>
        <v>46379</v>
      </c>
      <c r="AL30" s="108">
        <f>+AL8+22</f>
        <v>46379</v>
      </c>
      <c r="AM30" s="109" t="str">
        <f>Décembre!AM42</f>
        <v/>
      </c>
    </row>
    <row r="31" spans="4:39" x14ac:dyDescent="0.2">
      <c r="D31" s="107">
        <f t="shared" si="0"/>
        <v>46046</v>
      </c>
      <c r="E31" s="108">
        <f>+$J$5+23</f>
        <v>46046</v>
      </c>
      <c r="F31" s="109" t="str">
        <f>Janvier!AM43</f>
        <v/>
      </c>
      <c r="G31" s="107">
        <f t="shared" si="1"/>
        <v>46077</v>
      </c>
      <c r="H31" s="108">
        <f>+H8+23</f>
        <v>46077</v>
      </c>
      <c r="I31" s="109" t="str">
        <f>Février!AM43</f>
        <v/>
      </c>
      <c r="J31" s="107">
        <f t="shared" si="2"/>
        <v>46105</v>
      </c>
      <c r="K31" s="108">
        <f>+K8+23</f>
        <v>46105</v>
      </c>
      <c r="L31" s="109" t="str">
        <f>Mars!AM43</f>
        <v/>
      </c>
      <c r="M31" s="107">
        <f t="shared" si="3"/>
        <v>46136</v>
      </c>
      <c r="N31" s="108">
        <f>+N8+23</f>
        <v>46136</v>
      </c>
      <c r="O31" s="109" t="str">
        <f>Avril!AM43</f>
        <v/>
      </c>
      <c r="P31" s="107">
        <f t="shared" si="4"/>
        <v>46166</v>
      </c>
      <c r="Q31" s="108">
        <f>+Q8+23</f>
        <v>46166</v>
      </c>
      <c r="R31" s="109" t="str">
        <f>Mai!AM43</f>
        <v/>
      </c>
      <c r="S31" s="107">
        <f t="shared" si="5"/>
        <v>46197</v>
      </c>
      <c r="T31" s="108">
        <f>+T8+23</f>
        <v>46197</v>
      </c>
      <c r="U31" s="109" t="str">
        <f>Juin!AM43</f>
        <v/>
      </c>
      <c r="V31" s="107">
        <f t="shared" si="6"/>
        <v>46227</v>
      </c>
      <c r="W31" s="108">
        <f>+W8+23</f>
        <v>46227</v>
      </c>
      <c r="X31" s="109" t="str">
        <f>Juillet!AM43</f>
        <v/>
      </c>
      <c r="Y31" s="107">
        <f t="shared" si="7"/>
        <v>46258</v>
      </c>
      <c r="Z31" s="108">
        <f>+Z8+23</f>
        <v>46258</v>
      </c>
      <c r="AA31" s="109" t="str">
        <f>Aout!AM43</f>
        <v/>
      </c>
      <c r="AB31" s="107">
        <f t="shared" si="8"/>
        <v>46289</v>
      </c>
      <c r="AC31" s="108">
        <f>+AC8+23</f>
        <v>46289</v>
      </c>
      <c r="AD31" s="109" t="str">
        <f>Septembre!AM43</f>
        <v/>
      </c>
      <c r="AE31" s="107">
        <f t="shared" si="9"/>
        <v>46319</v>
      </c>
      <c r="AF31" s="108">
        <f>+AF8+23</f>
        <v>46319</v>
      </c>
      <c r="AG31" s="109" t="str">
        <f>Octobre!AM43</f>
        <v/>
      </c>
      <c r="AH31" s="107">
        <f t="shared" si="10"/>
        <v>46350</v>
      </c>
      <c r="AI31" s="108">
        <f>+AI8+23</f>
        <v>46350</v>
      </c>
      <c r="AJ31" s="109" t="str">
        <f>Novembre!AM43</f>
        <v/>
      </c>
      <c r="AK31" s="107">
        <f t="shared" si="11"/>
        <v>46380</v>
      </c>
      <c r="AL31" s="108">
        <f>+AL8+23</f>
        <v>46380</v>
      </c>
      <c r="AM31" s="109" t="str">
        <f>Décembre!AM43</f>
        <v/>
      </c>
    </row>
    <row r="32" spans="4:39" x14ac:dyDescent="0.2">
      <c r="D32" s="107">
        <f t="shared" si="0"/>
        <v>46047</v>
      </c>
      <c r="E32" s="108">
        <f>+$J$5+24</f>
        <v>46047</v>
      </c>
      <c r="F32" s="109" t="str">
        <f>Janvier!AM44</f>
        <v/>
      </c>
      <c r="G32" s="107">
        <f t="shared" si="1"/>
        <v>46078</v>
      </c>
      <c r="H32" s="108">
        <f>+H8+24</f>
        <v>46078</v>
      </c>
      <c r="I32" s="109" t="str">
        <f>Février!AM44</f>
        <v/>
      </c>
      <c r="J32" s="107">
        <f t="shared" si="2"/>
        <v>46106</v>
      </c>
      <c r="K32" s="108">
        <f>+K8+24</f>
        <v>46106</v>
      </c>
      <c r="L32" s="109" t="str">
        <f>Mars!AM44</f>
        <v/>
      </c>
      <c r="M32" s="107">
        <f t="shared" si="3"/>
        <v>46137</v>
      </c>
      <c r="N32" s="108">
        <f>+N8+24</f>
        <v>46137</v>
      </c>
      <c r="O32" s="109" t="str">
        <f>Avril!AM44</f>
        <v/>
      </c>
      <c r="P32" s="107">
        <f t="shared" si="4"/>
        <v>46167</v>
      </c>
      <c r="Q32" s="108">
        <f>+Q8+24</f>
        <v>46167</v>
      </c>
      <c r="R32" s="109" t="str">
        <f>Mai!AM44</f>
        <v/>
      </c>
      <c r="S32" s="107">
        <f t="shared" si="5"/>
        <v>46198</v>
      </c>
      <c r="T32" s="108">
        <f>+T8+24</f>
        <v>46198</v>
      </c>
      <c r="U32" s="109" t="str">
        <f>Juin!AM44</f>
        <v/>
      </c>
      <c r="V32" s="107">
        <f t="shared" si="6"/>
        <v>46228</v>
      </c>
      <c r="W32" s="108">
        <f>+W8+24</f>
        <v>46228</v>
      </c>
      <c r="X32" s="109" t="str">
        <f>Juillet!AM44</f>
        <v/>
      </c>
      <c r="Y32" s="107">
        <f t="shared" si="7"/>
        <v>46259</v>
      </c>
      <c r="Z32" s="108">
        <f>+Z8+24</f>
        <v>46259</v>
      </c>
      <c r="AA32" s="109" t="str">
        <f>Aout!AM44</f>
        <v/>
      </c>
      <c r="AB32" s="107">
        <f t="shared" si="8"/>
        <v>46290</v>
      </c>
      <c r="AC32" s="108">
        <f>+AC8+24</f>
        <v>46290</v>
      </c>
      <c r="AD32" s="109" t="str">
        <f>Septembre!AM44</f>
        <v/>
      </c>
      <c r="AE32" s="107">
        <f t="shared" si="9"/>
        <v>46320</v>
      </c>
      <c r="AF32" s="108">
        <f>+AF8+24</f>
        <v>46320</v>
      </c>
      <c r="AG32" s="109" t="str">
        <f>Octobre!AM44</f>
        <v/>
      </c>
      <c r="AH32" s="107">
        <f t="shared" si="10"/>
        <v>46351</v>
      </c>
      <c r="AI32" s="108">
        <f>+AI8+24</f>
        <v>46351</v>
      </c>
      <c r="AJ32" s="109" t="str">
        <f>Novembre!AM44</f>
        <v/>
      </c>
      <c r="AK32" s="107">
        <f t="shared" si="11"/>
        <v>46381</v>
      </c>
      <c r="AL32" s="108">
        <f>+AL8+24</f>
        <v>46381</v>
      </c>
      <c r="AM32" s="109" t="str">
        <f>Décembre!AM44</f>
        <v/>
      </c>
    </row>
    <row r="33" spans="1:39" x14ac:dyDescent="0.2">
      <c r="D33" s="107">
        <f t="shared" si="0"/>
        <v>46048</v>
      </c>
      <c r="E33" s="108">
        <f>+$J$5+25</f>
        <v>46048</v>
      </c>
      <c r="F33" s="109" t="str">
        <f>Janvier!AM45</f>
        <v/>
      </c>
      <c r="G33" s="107">
        <f t="shared" si="1"/>
        <v>46079</v>
      </c>
      <c r="H33" s="108">
        <f>+H8+25</f>
        <v>46079</v>
      </c>
      <c r="I33" s="109" t="str">
        <f>Février!AM45</f>
        <v/>
      </c>
      <c r="J33" s="107">
        <f t="shared" si="2"/>
        <v>46107</v>
      </c>
      <c r="K33" s="108">
        <f>+K8+25</f>
        <v>46107</v>
      </c>
      <c r="L33" s="109" t="str">
        <f>Mars!AM45</f>
        <v/>
      </c>
      <c r="M33" s="107">
        <f t="shared" si="3"/>
        <v>46138</v>
      </c>
      <c r="N33" s="108">
        <f>+N8+25</f>
        <v>46138</v>
      </c>
      <c r="O33" s="109" t="str">
        <f>Avril!AM45</f>
        <v/>
      </c>
      <c r="P33" s="107">
        <f t="shared" si="4"/>
        <v>46168</v>
      </c>
      <c r="Q33" s="108">
        <f>+Q8+25</f>
        <v>46168</v>
      </c>
      <c r="R33" s="109" t="str">
        <f>Mai!AM45</f>
        <v/>
      </c>
      <c r="S33" s="107">
        <f t="shared" si="5"/>
        <v>46199</v>
      </c>
      <c r="T33" s="108">
        <f>+T8+25</f>
        <v>46199</v>
      </c>
      <c r="U33" s="109" t="str">
        <f>Juin!AM45</f>
        <v/>
      </c>
      <c r="V33" s="107">
        <f t="shared" si="6"/>
        <v>46229</v>
      </c>
      <c r="W33" s="108">
        <f>+W8+25</f>
        <v>46229</v>
      </c>
      <c r="X33" s="109" t="str">
        <f>Juillet!AM45</f>
        <v/>
      </c>
      <c r="Y33" s="107">
        <f t="shared" si="7"/>
        <v>46260</v>
      </c>
      <c r="Z33" s="108">
        <f>+Z8+25</f>
        <v>46260</v>
      </c>
      <c r="AA33" s="109" t="str">
        <f>Aout!AM45</f>
        <v/>
      </c>
      <c r="AB33" s="107">
        <f t="shared" si="8"/>
        <v>46291</v>
      </c>
      <c r="AC33" s="108">
        <f>+AC8+25</f>
        <v>46291</v>
      </c>
      <c r="AD33" s="109" t="str">
        <f>Septembre!AM45</f>
        <v/>
      </c>
      <c r="AE33" s="107">
        <f t="shared" si="9"/>
        <v>46321</v>
      </c>
      <c r="AF33" s="108">
        <f>+AF8+25</f>
        <v>46321</v>
      </c>
      <c r="AG33" s="109" t="str">
        <f>Octobre!AM45</f>
        <v/>
      </c>
      <c r="AH33" s="107">
        <f t="shared" si="10"/>
        <v>46352</v>
      </c>
      <c r="AI33" s="108">
        <f>+AI8+25</f>
        <v>46352</v>
      </c>
      <c r="AJ33" s="109" t="str">
        <f>Novembre!AM45</f>
        <v/>
      </c>
      <c r="AK33" s="107">
        <f t="shared" si="11"/>
        <v>46382</v>
      </c>
      <c r="AL33" s="108">
        <f>+AL8+25</f>
        <v>46382</v>
      </c>
      <c r="AM33" s="109" t="str">
        <f>Décembre!AM45</f>
        <v/>
      </c>
    </row>
    <row r="34" spans="1:39" x14ac:dyDescent="0.2">
      <c r="D34" s="107">
        <f t="shared" si="0"/>
        <v>46049</v>
      </c>
      <c r="E34" s="108">
        <f>+$J$5+26</f>
        <v>46049</v>
      </c>
      <c r="F34" s="109" t="str">
        <f>Janvier!AM46</f>
        <v/>
      </c>
      <c r="G34" s="107">
        <f t="shared" si="1"/>
        <v>46080</v>
      </c>
      <c r="H34" s="108">
        <f>+H8+26</f>
        <v>46080</v>
      </c>
      <c r="I34" s="109" t="str">
        <f>Février!AM46</f>
        <v/>
      </c>
      <c r="J34" s="107">
        <f t="shared" si="2"/>
        <v>46108</v>
      </c>
      <c r="K34" s="108">
        <f>+K8+26</f>
        <v>46108</v>
      </c>
      <c r="L34" s="109" t="str">
        <f>Mars!AM46</f>
        <v/>
      </c>
      <c r="M34" s="107">
        <f t="shared" si="3"/>
        <v>46139</v>
      </c>
      <c r="N34" s="108">
        <f>+N8+26</f>
        <v>46139</v>
      </c>
      <c r="O34" s="109" t="str">
        <f>Avril!AM46</f>
        <v/>
      </c>
      <c r="P34" s="107">
        <f t="shared" si="4"/>
        <v>46169</v>
      </c>
      <c r="Q34" s="108">
        <f>+Q8+26</f>
        <v>46169</v>
      </c>
      <c r="R34" s="109" t="str">
        <f>Mai!AM46</f>
        <v/>
      </c>
      <c r="S34" s="107">
        <f t="shared" si="5"/>
        <v>46200</v>
      </c>
      <c r="T34" s="108">
        <f>+T8+26</f>
        <v>46200</v>
      </c>
      <c r="U34" s="109" t="str">
        <f>Juin!AM46</f>
        <v/>
      </c>
      <c r="V34" s="107">
        <f t="shared" si="6"/>
        <v>46230</v>
      </c>
      <c r="W34" s="108">
        <f>+W8+26</f>
        <v>46230</v>
      </c>
      <c r="X34" s="109" t="str">
        <f>Juillet!AM46</f>
        <v/>
      </c>
      <c r="Y34" s="107">
        <f t="shared" si="7"/>
        <v>46261</v>
      </c>
      <c r="Z34" s="108">
        <f>+Z8+26</f>
        <v>46261</v>
      </c>
      <c r="AA34" s="109" t="str">
        <f>Aout!AM46</f>
        <v/>
      </c>
      <c r="AB34" s="107">
        <f t="shared" si="8"/>
        <v>46292</v>
      </c>
      <c r="AC34" s="108">
        <f>+AC8+26</f>
        <v>46292</v>
      </c>
      <c r="AD34" s="109" t="str">
        <f>Septembre!AM46</f>
        <v/>
      </c>
      <c r="AE34" s="107">
        <f t="shared" si="9"/>
        <v>46322</v>
      </c>
      <c r="AF34" s="108">
        <f>+AF8+26</f>
        <v>46322</v>
      </c>
      <c r="AG34" s="109" t="str">
        <f>Octobre!AM46</f>
        <v/>
      </c>
      <c r="AH34" s="107">
        <f t="shared" si="10"/>
        <v>46353</v>
      </c>
      <c r="AI34" s="108">
        <f>+AI8+26</f>
        <v>46353</v>
      </c>
      <c r="AJ34" s="109" t="str">
        <f>Novembre!AM46</f>
        <v/>
      </c>
      <c r="AK34" s="107">
        <f t="shared" si="11"/>
        <v>46383</v>
      </c>
      <c r="AL34" s="108">
        <f>+AL8+26</f>
        <v>46383</v>
      </c>
      <c r="AM34" s="109" t="str">
        <f>Décembre!AM46</f>
        <v/>
      </c>
    </row>
    <row r="35" spans="1:39" x14ac:dyDescent="0.2">
      <c r="D35" s="107">
        <f t="shared" si="0"/>
        <v>46050</v>
      </c>
      <c r="E35" s="108">
        <f>IF(E$8+27&lt;DATE(YEAR(H$8),MONTH(H$8),DAY(H$8)),E$8+27,"")</f>
        <v>46050</v>
      </c>
      <c r="F35" s="109" t="str">
        <f>Janvier!AM47</f>
        <v/>
      </c>
      <c r="G35" s="107">
        <f t="shared" si="1"/>
        <v>46081</v>
      </c>
      <c r="H35" s="108">
        <f>IF(H$8+27&lt;DATE(YEAR(K$8),MONTH(K$8),DAY(K$8)),H$8+27,"")</f>
        <v>46081</v>
      </c>
      <c r="I35" s="109" t="str">
        <f>Février!AM47</f>
        <v/>
      </c>
      <c r="J35" s="107">
        <f t="shared" si="2"/>
        <v>46109</v>
      </c>
      <c r="K35" s="108">
        <f>IF(K$8+27&lt;DATE(YEAR(N$8),MONTH(N$8),DAY(N$8)),K$8+27,"")</f>
        <v>46109</v>
      </c>
      <c r="L35" s="109" t="str">
        <f>Mars!AM47</f>
        <v/>
      </c>
      <c r="M35" s="107">
        <f t="shared" si="3"/>
        <v>46140</v>
      </c>
      <c r="N35" s="108">
        <f>IF(N$8+27&lt;DATE(YEAR(Q$8),MONTH(Q$8),DAY(Q$8)),N$8+27,"")</f>
        <v>46140</v>
      </c>
      <c r="O35" s="109" t="str">
        <f>Avril!AM47</f>
        <v/>
      </c>
      <c r="P35" s="107">
        <f t="shared" si="4"/>
        <v>46170</v>
      </c>
      <c r="Q35" s="108">
        <f>IF(Q$8+27&lt;DATE(YEAR(T$8),MONTH(T$8),DAY(T$8)),Q$8+27,"")</f>
        <v>46170</v>
      </c>
      <c r="R35" s="109" t="str">
        <f>Mai!AM47</f>
        <v/>
      </c>
      <c r="S35" s="107">
        <f t="shared" si="5"/>
        <v>46201</v>
      </c>
      <c r="T35" s="108">
        <f>IF(T$8+27&lt;DATE(YEAR(W$8),MONTH(W$8),DAY(W$8)),T$8+27,"")</f>
        <v>46201</v>
      </c>
      <c r="U35" s="109" t="str">
        <f>Juin!AM47</f>
        <v/>
      </c>
      <c r="V35" s="107">
        <f t="shared" si="6"/>
        <v>46231</v>
      </c>
      <c r="W35" s="108">
        <f>IF(W$8+27&lt;DATE(YEAR(Z$8),MONTH(Z$8),DAY(Z$8)),W$8+27,"")</f>
        <v>46231</v>
      </c>
      <c r="X35" s="109" t="str">
        <f>Juillet!AM47</f>
        <v/>
      </c>
      <c r="Y35" s="107">
        <f t="shared" si="7"/>
        <v>46262</v>
      </c>
      <c r="Z35" s="108">
        <f>IF(Z$8+27&lt;DATE(YEAR(AC$8),MONTH(AC$8),DAY(AC$8)),Z$8+27,"")</f>
        <v>46262</v>
      </c>
      <c r="AA35" s="109" t="str">
        <f>Aout!AM47</f>
        <v/>
      </c>
      <c r="AB35" s="107">
        <f t="shared" si="8"/>
        <v>46293</v>
      </c>
      <c r="AC35" s="108">
        <f>IF(AC$8+27&lt;DATE(YEAR(AF$8),MONTH(AF$8),DAY(AF$8)),AC$8+27,"")</f>
        <v>46293</v>
      </c>
      <c r="AD35" s="109" t="str">
        <f>Septembre!AM47</f>
        <v/>
      </c>
      <c r="AE35" s="107">
        <f t="shared" si="9"/>
        <v>46323</v>
      </c>
      <c r="AF35" s="108">
        <f>IF(AF$8+27&lt;DATE(YEAR(AI$8),MONTH(AI$8),DAY(AI$8)),AF$8+27,"")</f>
        <v>46323</v>
      </c>
      <c r="AG35" s="109" t="str">
        <f>Octobre!AM47</f>
        <v/>
      </c>
      <c r="AH35" s="107">
        <f t="shared" si="10"/>
        <v>46354</v>
      </c>
      <c r="AI35" s="108">
        <f>IF(AI$8+27&lt;DATE(YEAR(AL$8),MONTH(AL$8),DAY(AL$8)),AI$8+27,"")</f>
        <v>46354</v>
      </c>
      <c r="AJ35" s="109" t="str">
        <f>Novembre!AM47</f>
        <v/>
      </c>
      <c r="AK35" s="107">
        <f t="shared" si="11"/>
        <v>46384</v>
      </c>
      <c r="AL35" s="108">
        <f>IF(AL$8+27&lt;DATE(YEAR(AO$8),MONTH(AO$8),DAY(AO$8)),AL$8+27,"")</f>
        <v>46384</v>
      </c>
      <c r="AM35" s="109" t="str">
        <f>Décembre!AM47</f>
        <v/>
      </c>
    </row>
    <row r="36" spans="1:39" x14ac:dyDescent="0.2">
      <c r="D36" s="107">
        <f t="shared" si="0"/>
        <v>46051</v>
      </c>
      <c r="E36" s="108">
        <f>IF(E$8+28&lt;DATE(YEAR(H$8),MONTH(H$8),DAY(H$8)),E$8+28,"")</f>
        <v>46051</v>
      </c>
      <c r="F36" s="109" t="str">
        <f>Janvier!AM48</f>
        <v/>
      </c>
      <c r="G36" s="107" t="str">
        <f t="shared" si="1"/>
        <v/>
      </c>
      <c r="H36" s="108" t="str">
        <f>IF(H$8+28&lt;DATE(YEAR(K$8),MONTH(K$8),DAY(K$8)),H$8+28,"")</f>
        <v/>
      </c>
      <c r="I36" s="109" t="str">
        <f>Février!AM48</f>
        <v/>
      </c>
      <c r="J36" s="107">
        <f t="shared" si="2"/>
        <v>46110</v>
      </c>
      <c r="K36" s="108">
        <f>IF(K$8+28&lt;DATE(YEAR(N$8),MONTH(N$8),DAY(N$8)),K$8+28,"")</f>
        <v>46110</v>
      </c>
      <c r="L36" s="109" t="str">
        <f>Mars!AM48</f>
        <v/>
      </c>
      <c r="M36" s="107">
        <f t="shared" si="3"/>
        <v>46141</v>
      </c>
      <c r="N36" s="108">
        <f>IF(N$8+28&lt;DATE(YEAR(Q$8),MONTH(Q$8),DAY(Q$8)),N$8+28,"")</f>
        <v>46141</v>
      </c>
      <c r="O36" s="109" t="str">
        <f>Avril!AM48</f>
        <v/>
      </c>
      <c r="P36" s="107">
        <f t="shared" si="4"/>
        <v>46171</v>
      </c>
      <c r="Q36" s="108">
        <f>IF(Q$8+28&lt;DATE(YEAR(T$8),MONTH(T$8),DAY(T$8)),Q$8+28,"")</f>
        <v>46171</v>
      </c>
      <c r="R36" s="109" t="str">
        <f>Mai!AM48</f>
        <v/>
      </c>
      <c r="S36" s="107">
        <f t="shared" si="5"/>
        <v>46202</v>
      </c>
      <c r="T36" s="108">
        <f>IF(T$8+28&lt;DATE(YEAR(W$8),MONTH(W$8),DAY(W$8)),T$8+28,"")</f>
        <v>46202</v>
      </c>
      <c r="U36" s="109" t="str">
        <f>Juin!AM48</f>
        <v/>
      </c>
      <c r="V36" s="107">
        <f t="shared" si="6"/>
        <v>46232</v>
      </c>
      <c r="W36" s="108">
        <f>IF(W$8+28&lt;DATE(YEAR(Z$8),MONTH(Z$8),DAY(Z$8)),W$8+28,"")</f>
        <v>46232</v>
      </c>
      <c r="X36" s="109" t="str">
        <f>Juillet!AM48</f>
        <v/>
      </c>
      <c r="Y36" s="107">
        <f t="shared" si="7"/>
        <v>46263</v>
      </c>
      <c r="Z36" s="108">
        <f>IF(Z$8+28&lt;DATE(YEAR(AC$8),MONTH(AC$8),DAY(AC$8)),Z$8+28,"")</f>
        <v>46263</v>
      </c>
      <c r="AA36" s="109" t="str">
        <f>Aout!AM48</f>
        <v/>
      </c>
      <c r="AB36" s="107">
        <f t="shared" si="8"/>
        <v>46294</v>
      </c>
      <c r="AC36" s="108">
        <f>IF(AC$8+28&lt;DATE(YEAR(AF$8),MONTH(AF$8),DAY(AF$8)),AC$8+28,"")</f>
        <v>46294</v>
      </c>
      <c r="AD36" s="109" t="str">
        <f>Septembre!AM48</f>
        <v/>
      </c>
      <c r="AE36" s="107">
        <f t="shared" si="9"/>
        <v>46324</v>
      </c>
      <c r="AF36" s="108">
        <f>IF(AF$8+28&lt;DATE(YEAR(AI$8),MONTH(AI$8),DAY(AI$8)),AF$8+28,"")</f>
        <v>46324</v>
      </c>
      <c r="AG36" s="109" t="str">
        <f>Octobre!AM48</f>
        <v/>
      </c>
      <c r="AH36" s="107">
        <f t="shared" si="10"/>
        <v>46355</v>
      </c>
      <c r="AI36" s="108">
        <f>IF(AI$8+28&lt;DATE(YEAR(AL$8),MONTH(AL$8),DAY(AL$8)),AI$8+28,"")</f>
        <v>46355</v>
      </c>
      <c r="AJ36" s="109" t="str">
        <f>Novembre!AM48</f>
        <v/>
      </c>
      <c r="AK36" s="107">
        <f t="shared" si="11"/>
        <v>46385</v>
      </c>
      <c r="AL36" s="108">
        <f>IF(AL$8+28&lt;DATE(YEAR(AO$8),MONTH(AO$8),DAY(AO$8)),AL$8+28,"")</f>
        <v>46385</v>
      </c>
      <c r="AM36" s="109" t="str">
        <f>Décembre!AM48</f>
        <v/>
      </c>
    </row>
    <row r="37" spans="1:39" x14ac:dyDescent="0.2">
      <c r="D37" s="107">
        <f t="shared" si="0"/>
        <v>46052</v>
      </c>
      <c r="E37" s="108">
        <f>IF(E$8+29&lt;DATE(YEAR(H$8),MONTH(H$8),DAY(H$8)),E$8+29,"")</f>
        <v>46052</v>
      </c>
      <c r="F37" s="109" t="str">
        <f>Janvier!AM49</f>
        <v/>
      </c>
      <c r="G37" s="107"/>
      <c r="H37" s="108" t="str">
        <f>IF(H$8+29&lt;DATE(YEAR(K$8),MONTH(K$8),DAY(K$8)),H$8+29,"")</f>
        <v/>
      </c>
      <c r="I37" s="109"/>
      <c r="J37" s="107">
        <f t="shared" si="2"/>
        <v>46111</v>
      </c>
      <c r="K37" s="108">
        <f>IF(K$8+29&lt;DATE(YEAR(N$8),MONTH(N$8),DAY(N$8)),K$8+29,"")</f>
        <v>46111</v>
      </c>
      <c r="L37" s="109" t="str">
        <f>Mars!AM49</f>
        <v/>
      </c>
      <c r="M37" s="107">
        <f t="shared" si="3"/>
        <v>46142</v>
      </c>
      <c r="N37" s="108">
        <f>IF(N$8+29&lt;DATE(YEAR(Q$8),MONTH(Q$8),DAY(Q$8)),N$8+29,"")</f>
        <v>46142</v>
      </c>
      <c r="O37" s="109" t="str">
        <f>Avril!AM49</f>
        <v/>
      </c>
      <c r="P37" s="107">
        <f t="shared" si="4"/>
        <v>46172</v>
      </c>
      <c r="Q37" s="108">
        <f>IF(Q$8+29&lt;DATE(YEAR(T$8),MONTH(T$8),DAY(T$8)),Q$8+29,"")</f>
        <v>46172</v>
      </c>
      <c r="R37" s="109" t="str">
        <f>Mai!AM49</f>
        <v/>
      </c>
      <c r="S37" s="107">
        <f t="shared" si="5"/>
        <v>46203</v>
      </c>
      <c r="T37" s="108">
        <f>IF(T$8+29&lt;DATE(YEAR(W$8),MONTH(W$8),DAY(W$8)),T$8+29,"")</f>
        <v>46203</v>
      </c>
      <c r="U37" s="109" t="str">
        <f>Juin!AM49</f>
        <v/>
      </c>
      <c r="V37" s="107">
        <f t="shared" si="6"/>
        <v>46233</v>
      </c>
      <c r="W37" s="108">
        <f>IF(W$8+29&lt;DATE(YEAR(Z$8),MONTH(Z$8),DAY(Z$8)),W$8+29,"")</f>
        <v>46233</v>
      </c>
      <c r="X37" s="109" t="str">
        <f>Juillet!AM49</f>
        <v/>
      </c>
      <c r="Y37" s="107">
        <f t="shared" si="7"/>
        <v>46264</v>
      </c>
      <c r="Z37" s="108">
        <f>IF(Z$8+29&lt;DATE(YEAR(AC$8),MONTH(AC$8),DAY(AC$8)),Z$8+29,"")</f>
        <v>46264</v>
      </c>
      <c r="AA37" s="109" t="str">
        <f>Aout!AM49</f>
        <v/>
      </c>
      <c r="AB37" s="107">
        <f t="shared" si="8"/>
        <v>46295</v>
      </c>
      <c r="AC37" s="108">
        <f>IF(AC$8+29&lt;DATE(YEAR(AF$8),MONTH(AF$8),DAY(AF$8)),AC$8+29,"")</f>
        <v>46295</v>
      </c>
      <c r="AD37" s="109" t="str">
        <f>Septembre!AM49</f>
        <v/>
      </c>
      <c r="AE37" s="107">
        <f t="shared" si="9"/>
        <v>46325</v>
      </c>
      <c r="AF37" s="108">
        <f>IF(AF$8+29&lt;DATE(YEAR(AI$8),MONTH(AI$8),DAY(AI$8)),AF$8+29,"")</f>
        <v>46325</v>
      </c>
      <c r="AG37" s="109" t="str">
        <f>Octobre!AM49</f>
        <v/>
      </c>
      <c r="AH37" s="107">
        <f t="shared" si="10"/>
        <v>46356</v>
      </c>
      <c r="AI37" s="108">
        <f>IF(AI$8+29&lt;DATE(YEAR(AL$8),MONTH(AL$8),DAY(AL$8)),AI$8+29,"")</f>
        <v>46356</v>
      </c>
      <c r="AJ37" s="109" t="str">
        <f>Novembre!AM49</f>
        <v/>
      </c>
      <c r="AK37" s="107">
        <f t="shared" si="11"/>
        <v>46386</v>
      </c>
      <c r="AL37" s="108">
        <f>IF(AL$8+29&lt;DATE(YEAR(AO$8),MONTH(AO$8),DAY(AO$8)),AL$8+29,"")</f>
        <v>46386</v>
      </c>
      <c r="AM37" s="109" t="str">
        <f>Décembre!AM49</f>
        <v/>
      </c>
    </row>
    <row r="38" spans="1:39" ht="13.5" thickBot="1" x14ac:dyDescent="0.25">
      <c r="D38" s="110">
        <f t="shared" si="0"/>
        <v>46053</v>
      </c>
      <c r="E38" s="111">
        <f>IF(E$8+30&lt;DATE(YEAR(H$8),MONTH(H$8),DAY(H$8)),E$8+30,"")</f>
        <v>46053</v>
      </c>
      <c r="F38" s="112" t="str">
        <f>Janvier!AM50</f>
        <v/>
      </c>
      <c r="G38" s="110"/>
      <c r="H38" s="111" t="str">
        <f>IF(H$8+30&lt;DATE(YEAR(K$8),MONTH(K$8),DAY(K$8)),H$8+30,"")</f>
        <v/>
      </c>
      <c r="I38" s="112"/>
      <c r="J38" s="110">
        <f t="shared" si="2"/>
        <v>46112</v>
      </c>
      <c r="K38" s="111">
        <f>IF(K$8+30&lt;DATE(YEAR(N$8),MONTH(N$8),DAY(N$8)),K$8+30,"")</f>
        <v>46112</v>
      </c>
      <c r="L38" s="112" t="str">
        <f>Mars!AM50</f>
        <v/>
      </c>
      <c r="M38" s="110"/>
      <c r="N38" s="111" t="str">
        <f>IF(N$8+30&lt;DATE(YEAR(Q$8),MONTH(Q$8),DAY(Q$8)),N$8+30,"")</f>
        <v/>
      </c>
      <c r="O38" s="112"/>
      <c r="P38" s="110">
        <f t="shared" si="4"/>
        <v>46173</v>
      </c>
      <c r="Q38" s="111">
        <f>IF(Q$8+30&lt;DATE(YEAR(T$8),MONTH(T$8),DAY(T$8)),Q$8+30,"")</f>
        <v>46173</v>
      </c>
      <c r="R38" s="112" t="str">
        <f>Mai!AM50</f>
        <v/>
      </c>
      <c r="S38" s="110" t="str">
        <f t="shared" si="5"/>
        <v/>
      </c>
      <c r="T38" s="111" t="str">
        <f>IF(T$8+30&lt;DATE(YEAR(W$8),MONTH(W$8),DAY(W$8)),T$8+30,"")</f>
        <v/>
      </c>
      <c r="U38" s="112"/>
      <c r="V38" s="110">
        <f t="shared" si="6"/>
        <v>46234</v>
      </c>
      <c r="W38" s="111">
        <f>IF(W$8+30&lt;DATE(YEAR(Z$8),MONTH(Z$8),DAY(Z$8)),W$8+30,"")</f>
        <v>46234</v>
      </c>
      <c r="X38" s="112" t="str">
        <f>Juillet!AM50</f>
        <v/>
      </c>
      <c r="Y38" s="110">
        <f t="shared" si="7"/>
        <v>46265</v>
      </c>
      <c r="Z38" s="111">
        <f>IF(Z$8+30&lt;DATE(YEAR(AC$8),MONTH(AC$8),DAY(AC$8)),Z$8+30,"")</f>
        <v>46265</v>
      </c>
      <c r="AA38" s="112" t="str">
        <f>Aout!AM50</f>
        <v/>
      </c>
      <c r="AB38" s="110" t="str">
        <f t="shared" si="8"/>
        <v/>
      </c>
      <c r="AC38" s="111" t="str">
        <f>IF(AC$8+30&lt;DATE(YEAR(AF$8),MONTH(AF$8),DAY(AF$8)),AC$8+30,"")</f>
        <v/>
      </c>
      <c r="AD38" s="112"/>
      <c r="AE38" s="110">
        <f t="shared" si="9"/>
        <v>46326</v>
      </c>
      <c r="AF38" s="111">
        <f>IF(AF$8+30&lt;DATE(YEAR(AI$8),MONTH(AI$8),DAY(AI$8)),AF$8+30,"")</f>
        <v>46326</v>
      </c>
      <c r="AG38" s="112" t="str">
        <f>Octobre!AM50</f>
        <v/>
      </c>
      <c r="AH38" s="110" t="str">
        <f t="shared" si="10"/>
        <v/>
      </c>
      <c r="AI38" s="111" t="str">
        <f>IF(AI$8+30&lt;DATE(YEAR(AL$8),MONTH(AL$8),DAY(AL$8)),AI$8+30,"")</f>
        <v/>
      </c>
      <c r="AJ38" s="112"/>
      <c r="AK38" s="110">
        <f t="shared" si="11"/>
        <v>46387</v>
      </c>
      <c r="AL38" s="111">
        <f>IF(AL$8+30&lt;DATE(YEAR(AO$8),MONTH(AO$8),DAY(AO$8)),AL$8+30,"")</f>
        <v>46387</v>
      </c>
      <c r="AM38" s="112" t="str">
        <f>Décembre!AM50</f>
        <v/>
      </c>
    </row>
    <row r="39" spans="1:39" ht="13.5" thickBot="1" x14ac:dyDescent="0.25"/>
    <row r="40" spans="1:39" ht="13.5" thickBot="1" x14ac:dyDescent="0.25">
      <c r="D40" s="72"/>
      <c r="E40" s="113" t="s">
        <v>124</v>
      </c>
      <c r="F40" s="114">
        <f>SUM(F8:F38)</f>
        <v>0</v>
      </c>
      <c r="G40" s="72"/>
      <c r="H40" s="113" t="s">
        <v>124</v>
      </c>
      <c r="I40" s="114">
        <f>SUM(I8:I38)</f>
        <v>0</v>
      </c>
      <c r="J40" s="72"/>
      <c r="K40" s="113" t="s">
        <v>124</v>
      </c>
      <c r="L40" s="114">
        <f>SUM(L8:L38)</f>
        <v>0</v>
      </c>
      <c r="M40" s="72"/>
      <c r="N40" s="113" t="s">
        <v>124</v>
      </c>
      <c r="O40" s="114">
        <f>SUM(O8:O38)</f>
        <v>0</v>
      </c>
      <c r="P40" s="72"/>
      <c r="Q40" s="113" t="s">
        <v>124</v>
      </c>
      <c r="R40" s="114">
        <f>SUM(R8:R38)</f>
        <v>0</v>
      </c>
      <c r="S40" s="72"/>
      <c r="T40" s="113" t="s">
        <v>124</v>
      </c>
      <c r="U40" s="114">
        <f>SUM(U8:U38)</f>
        <v>0</v>
      </c>
      <c r="V40" s="72"/>
      <c r="W40" s="113" t="s">
        <v>124</v>
      </c>
      <c r="X40" s="114">
        <f>SUM(X8:X38)</f>
        <v>0</v>
      </c>
      <c r="Y40" s="72"/>
      <c r="Z40" s="113" t="s">
        <v>124</v>
      </c>
      <c r="AA40" s="114">
        <f>SUM(AA8:AA38)</f>
        <v>0</v>
      </c>
      <c r="AB40" s="72"/>
      <c r="AC40" s="113" t="s">
        <v>124</v>
      </c>
      <c r="AD40" s="114">
        <f>SUM(AD8:AD38)</f>
        <v>0</v>
      </c>
      <c r="AE40" s="72"/>
      <c r="AF40" s="113" t="s">
        <v>124</v>
      </c>
      <c r="AG40" s="114">
        <f>SUM(AG8:AG38)</f>
        <v>0</v>
      </c>
      <c r="AH40" s="72"/>
      <c r="AI40" s="113" t="s">
        <v>124</v>
      </c>
      <c r="AJ40" s="114">
        <f>SUM(AJ8:AJ38)</f>
        <v>0</v>
      </c>
      <c r="AK40" s="72"/>
      <c r="AL40" s="113" t="s">
        <v>124</v>
      </c>
      <c r="AM40" s="114">
        <f>SUM(AM8:AM38)</f>
        <v>0</v>
      </c>
    </row>
    <row r="41" spans="1:39" x14ac:dyDescent="0.2">
      <c r="E41" s="95"/>
      <c r="F41" s="34"/>
      <c r="H41" s="95"/>
      <c r="I41" s="34"/>
      <c r="K41" s="95"/>
      <c r="L41" s="34"/>
      <c r="N41" s="95"/>
      <c r="O41" s="34"/>
      <c r="Q41" s="95"/>
      <c r="R41" s="34"/>
      <c r="T41" s="95"/>
      <c r="U41" s="34"/>
      <c r="W41" s="95"/>
      <c r="X41" s="34"/>
      <c r="Z41" s="95"/>
      <c r="AA41" s="34"/>
      <c r="AC41" s="95"/>
      <c r="AD41" s="34"/>
      <c r="AF41" s="95"/>
      <c r="AG41" s="34"/>
      <c r="AI41" s="95"/>
      <c r="AJ41" s="34"/>
      <c r="AL41" s="95"/>
      <c r="AM41" s="34"/>
    </row>
    <row r="42" spans="1:39" hidden="1" x14ac:dyDescent="0.2">
      <c r="A42" s="2404" t="s">
        <v>841</v>
      </c>
      <c r="B42" s="2404"/>
      <c r="C42" s="2404"/>
      <c r="F42" s="16">
        <f>IF(Identification!B3=S.CAL!AY3,0,+Janvier!DP18)</f>
        <v>0</v>
      </c>
      <c r="I42" s="16">
        <f>IF(Identification!B3=S.CAL!AY3,0,+Février!DP18)</f>
        <v>0</v>
      </c>
      <c r="L42" s="16">
        <f>IF(Identification!B3=S.CAL!AY3,0,Mars!DP18)</f>
        <v>0</v>
      </c>
      <c r="O42" s="16">
        <f>IF(Identification!B3=S.CAL!AY3,0,Avril!DP18)</f>
        <v>0</v>
      </c>
      <c r="R42" s="16">
        <f>IF(Identification!B3=S.CAL!AY3,0,+Mai!DP18)</f>
        <v>0</v>
      </c>
      <c r="U42" s="16">
        <f>IF(Identification!B3=S.CAL!AY3,0,+Juin!DP18)</f>
        <v>0</v>
      </c>
      <c r="X42" s="16">
        <f>IF(Identification!B3=S.CAL!AY3,0,Juillet!DP18)</f>
        <v>0</v>
      </c>
      <c r="AA42" s="16">
        <f>IF(Identification!B3=S.CAL!AY3,0,+Aout!DP18)</f>
        <v>0</v>
      </c>
      <c r="AD42" s="16">
        <f>IF(Identification!B3=S.CAL!AY3,0,Septembre!DP18)</f>
        <v>0</v>
      </c>
      <c r="AG42" s="16">
        <f>IF(Identification!B3=S.CAL!AY3,0,+Octobre!DP18)</f>
        <v>0</v>
      </c>
      <c r="AJ42" s="16">
        <f>IF(Identification!B3=S.CAL!AY3,0,+Novembre!DP18)</f>
        <v>0</v>
      </c>
      <c r="AM42" s="16">
        <f>IF(Identification!B3=S.CAL!AY3,0,+Décembre!DP18)</f>
        <v>0</v>
      </c>
    </row>
    <row r="43" spans="1:39" hidden="1" x14ac:dyDescent="0.2">
      <c r="C43" s="29"/>
    </row>
    <row r="44" spans="1:39" s="619" customFormat="1" hidden="1" x14ac:dyDescent="0.2">
      <c r="A44" s="2430" t="s">
        <v>1460</v>
      </c>
      <c r="B44" s="2430"/>
      <c r="C44" s="2430"/>
      <c r="F44" s="625">
        <f ca="1">IF(Identification!B3=S.CAL!AY3,'Retenue Janv'!CR54,+F40-F45)</f>
        <v>0</v>
      </c>
      <c r="I44" s="625">
        <f>IF(Identification!B3=S.CAL!AY3,'Retenue Fev'!CR54,+I40-I45)</f>
        <v>0</v>
      </c>
      <c r="L44" s="625">
        <f>IF(Identification!B3=S.CAL!AY3,'Retenue Mars'!CR54,+L40-L45)</f>
        <v>0</v>
      </c>
      <c r="O44" s="625">
        <f>IF(Identification!B3=S.CAL!AY3,'Retenue Avril'!CR54,+O40-O45)</f>
        <v>0</v>
      </c>
      <c r="R44" s="625">
        <f>IF(Identification!B3=S.CAL!AY3,'Retenue Mai'!CR54,+R40-R45)</f>
        <v>0</v>
      </c>
      <c r="U44" s="625">
        <f>IF(Identification!B3=S.CAL!AY3,'Retenue Juin'!CR54,+U40-U45)</f>
        <v>0</v>
      </c>
      <c r="X44" s="625">
        <f>IF(Identification!B3=S.CAL!AY3,'Retenue Juil'!CR54,+X40-X45)</f>
        <v>0</v>
      </c>
      <c r="AA44" s="625">
        <f>IF(Identification!B3=S.CAL!AY3,'Retenue Aout'!CR54,+AA40-AA45)</f>
        <v>0</v>
      </c>
      <c r="AD44" s="625">
        <f>IF(Identification!B3=S.CAL!AY3,'Retenue Sept'!CR54,+AD40-AD45)</f>
        <v>0</v>
      </c>
      <c r="AG44" s="625">
        <f>IF(Identification!B3=S.CAL!AY3,'Retenue Oct'!CR54,+AG40-AG45)</f>
        <v>0</v>
      </c>
      <c r="AJ44" s="625">
        <f>IF(Identification!B3=S.CAL!AY3,'Retenue Nov'!CR54,+AJ40-AJ45)</f>
        <v>0</v>
      </c>
      <c r="AM44" s="625">
        <f>IF(Identification!B3=S.CAL!AY3,'Retenue Déc'!CR54,+AM40-AM45)</f>
        <v>0</v>
      </c>
    </row>
    <row r="45" spans="1:39" s="619" customFormat="1" hidden="1" x14ac:dyDescent="0.2">
      <c r="A45" s="2430" t="s">
        <v>848</v>
      </c>
      <c r="B45" s="2430"/>
      <c r="C45" s="2430"/>
      <c r="F45" s="625">
        <f ca="1">IF(Identification!B3=S.CAL!AY3,'Retenue Janv'!CN54,+F40*F42)</f>
        <v>0</v>
      </c>
      <c r="I45" s="625">
        <f>IF(Identification!B3=S.CAL!AY3,'Retenue Fev'!CN54,+I40*I42)</f>
        <v>0</v>
      </c>
      <c r="L45" s="625">
        <f>IF(Identification!B3=S.CAL!AY3,'Retenue Mars'!CN54,+L40*L42)</f>
        <v>0</v>
      </c>
      <c r="O45" s="625">
        <f>IF(Identification!B3=S.CAL!AY3,'Retenue Avril'!CN54,+O40*O42)</f>
        <v>0</v>
      </c>
      <c r="R45" s="625">
        <f>IF(Identification!B3=S.CAL!AY3,'Retenue Mai'!CN54,+R40*R42)</f>
        <v>0</v>
      </c>
      <c r="U45" s="625">
        <f>IF(Identification!B3=S.CAL!AY3,'Retenue Juin'!CN54,+U40*U42)</f>
        <v>0</v>
      </c>
      <c r="X45" s="625">
        <f>IF(Identification!B3=S.CAL!AY3,'Retenue Juil'!CN54,+X40*X42)</f>
        <v>0</v>
      </c>
      <c r="AA45" s="625">
        <f>IF(Identification!B3=S.CAL!AY3,'Retenue Aout'!CN54,+AA40*AA42)</f>
        <v>0</v>
      </c>
      <c r="AD45" s="625">
        <f>IF(Identification!B3=S.CAL!AY3,'Retenue Sept'!CN54,+AD40*AD42)</f>
        <v>0</v>
      </c>
      <c r="AG45" s="625">
        <f>IF(Identification!B3=S.CAL!AY3,'Retenue Oct'!CN54,+AG40*AG42)</f>
        <v>0</v>
      </c>
      <c r="AJ45" s="625">
        <f>IF(Identification!B3=S.CAL!AY3,'Retenue Nov'!CN54,+AJ40*AJ42)</f>
        <v>0</v>
      </c>
      <c r="AM45" s="625">
        <f>IF(Identification!B3=S.CAL!AY3,'Retenue Déc'!CN54,+AM40*AM42)</f>
        <v>0</v>
      </c>
    </row>
    <row r="46" spans="1:39" hidden="1" x14ac:dyDescent="0.2"/>
    <row r="47" spans="1:39" ht="15.75" hidden="1" x14ac:dyDescent="0.25">
      <c r="P47" s="98" t="s">
        <v>131</v>
      </c>
      <c r="Q47" s="99"/>
      <c r="R47" s="99"/>
      <c r="S47" s="99"/>
      <c r="T47" s="99"/>
      <c r="U47" s="100"/>
    </row>
    <row r="48" spans="1:39" ht="13.5" hidden="1" thickBot="1" x14ac:dyDescent="0.25"/>
    <row r="49" spans="1:42" hidden="1" x14ac:dyDescent="0.2">
      <c r="D49" s="2440">
        <f>+$J$5</f>
        <v>46023</v>
      </c>
      <c r="E49" s="2441"/>
      <c r="F49" s="2442"/>
      <c r="G49" s="2440">
        <f>DATE(YEAR($J$5),MONTH($J$5)+1,DAY($J$5))</f>
        <v>46054</v>
      </c>
      <c r="H49" s="2441"/>
      <c r="I49" s="2442"/>
      <c r="J49" s="2440">
        <f>DATE(YEAR($J$5),MONTH($J$5)+2,DAY($J$5))</f>
        <v>46082</v>
      </c>
      <c r="K49" s="2441"/>
      <c r="L49" s="2442"/>
      <c r="M49" s="2440">
        <f>DATE(YEAR($J$5),MONTH($J$5)+3,DAY($J$5))</f>
        <v>46113</v>
      </c>
      <c r="N49" s="2441"/>
      <c r="O49" s="2442"/>
      <c r="P49" s="2440">
        <f>DATE(YEAR($J$5),MONTH($J$5)+4,DAY($J$5))</f>
        <v>46143</v>
      </c>
      <c r="Q49" s="2441"/>
      <c r="R49" s="2442"/>
      <c r="S49" s="2440">
        <f>DATE(YEAR($J$5),MONTH($J$5)+5,DAY($J$5))</f>
        <v>46174</v>
      </c>
      <c r="T49" s="2441"/>
      <c r="U49" s="2442"/>
      <c r="V49" s="2440">
        <f>DATE(YEAR($J$5),MONTH($J$5)+6,DAY($J$5))</f>
        <v>46204</v>
      </c>
      <c r="W49" s="2441"/>
      <c r="X49" s="2442"/>
      <c r="Y49" s="2440">
        <f>DATE(YEAR($J$5),MONTH($J$5)+7,DAY($J$5))</f>
        <v>46235</v>
      </c>
      <c r="Z49" s="2441"/>
      <c r="AA49" s="2442"/>
      <c r="AB49" s="2440">
        <f>DATE(YEAR($J$5),MONTH($J$5)+8,DAY($J$5))</f>
        <v>46266</v>
      </c>
      <c r="AC49" s="2441"/>
      <c r="AD49" s="2442"/>
      <c r="AE49" s="2440">
        <f>DATE(YEAR($J$5),MONTH($J$5)+9,DAY($J$5))</f>
        <v>46296</v>
      </c>
      <c r="AF49" s="2441"/>
      <c r="AG49" s="2442"/>
      <c r="AH49" s="2440">
        <f>DATE(YEAR($J$5),MONTH($J$5)+10,DAY($J$5))</f>
        <v>46327</v>
      </c>
      <c r="AI49" s="2441"/>
      <c r="AJ49" s="2442"/>
      <c r="AK49" s="2440">
        <f>DATE(YEAR($J$5),MONTH($J$5)+11,DAY($J$5))</f>
        <v>46357</v>
      </c>
      <c r="AL49" s="2441"/>
      <c r="AM49" s="2442"/>
      <c r="AN49" s="2438">
        <f>DATE(YEAR($J$5),MONTH($J$5)+12,DAY($J$5))</f>
        <v>46388</v>
      </c>
      <c r="AO49" s="2439"/>
      <c r="AP49" s="2439"/>
    </row>
    <row r="50" spans="1:42" hidden="1" x14ac:dyDescent="0.2">
      <c r="A50" s="2431" t="s">
        <v>132</v>
      </c>
      <c r="B50" s="2431"/>
      <c r="C50" s="2431"/>
      <c r="F50" s="34">
        <f>Janvier!AL74</f>
        <v>0</v>
      </c>
      <c r="G50" s="34"/>
      <c r="H50" s="34"/>
      <c r="I50" s="34">
        <f>Février!AL74</f>
        <v>0</v>
      </c>
      <c r="J50" s="34"/>
      <c r="K50" s="34"/>
      <c r="L50" s="34">
        <f>Mars!AL74</f>
        <v>0</v>
      </c>
      <c r="M50" s="34"/>
      <c r="N50" s="34"/>
      <c r="O50" s="34">
        <f>Avril!AL74</f>
        <v>0</v>
      </c>
      <c r="P50" s="34"/>
      <c r="Q50" s="34"/>
      <c r="R50" s="34">
        <f>Mai!AL74</f>
        <v>0</v>
      </c>
      <c r="S50" s="34"/>
      <c r="T50" s="34"/>
      <c r="U50" s="34">
        <f>Juin!AL74</f>
        <v>0</v>
      </c>
      <c r="V50" s="34"/>
      <c r="W50" s="34"/>
      <c r="X50" s="34">
        <f>Juillet!AL74</f>
        <v>0</v>
      </c>
      <c r="Y50" s="34"/>
      <c r="Z50" s="34"/>
      <c r="AA50" s="34">
        <f>Aout!AL74</f>
        <v>0</v>
      </c>
      <c r="AB50" s="34"/>
      <c r="AC50" s="34"/>
      <c r="AD50" s="34">
        <f>Septembre!AL74</f>
        <v>0</v>
      </c>
      <c r="AE50" s="34"/>
      <c r="AF50" s="34"/>
      <c r="AG50" s="34">
        <f>Octobre!AL74</f>
        <v>0</v>
      </c>
      <c r="AH50" s="34"/>
      <c r="AI50" s="34"/>
      <c r="AJ50" s="34">
        <f>Novembre!AL74</f>
        <v>0</v>
      </c>
      <c r="AK50" s="34"/>
      <c r="AL50" s="34"/>
      <c r="AM50" s="34">
        <f>Décembre!AL74</f>
        <v>0</v>
      </c>
    </row>
    <row r="51" spans="1:42" hidden="1" x14ac:dyDescent="0.2">
      <c r="A51" s="2431" t="s">
        <v>133</v>
      </c>
      <c r="B51" s="2431"/>
      <c r="C51" s="2431"/>
      <c r="F51" s="34" t="e">
        <f>Janvier!EG7</f>
        <v>#DIV/0!</v>
      </c>
      <c r="G51" s="34"/>
      <c r="H51" s="34"/>
      <c r="I51" s="34" t="e">
        <f>Février!EG7</f>
        <v>#DIV/0!</v>
      </c>
      <c r="J51" s="34"/>
      <c r="K51" s="34"/>
      <c r="L51" s="34" t="e">
        <f>Mars!EG7</f>
        <v>#DIV/0!</v>
      </c>
      <c r="M51" s="34"/>
      <c r="N51" s="34"/>
      <c r="O51" s="34" t="e">
        <f>Avril!EG7</f>
        <v>#DIV/0!</v>
      </c>
      <c r="P51" s="34"/>
      <c r="Q51" s="34"/>
      <c r="R51" s="34" t="e">
        <f>Mai!EG7</f>
        <v>#DIV/0!</v>
      </c>
      <c r="S51" s="34"/>
      <c r="T51" s="34"/>
      <c r="U51" s="34" t="e">
        <f>Juin!EG7</f>
        <v>#DIV/0!</v>
      </c>
      <c r="V51" s="34"/>
      <c r="W51" s="34"/>
      <c r="X51" s="34" t="e">
        <f>Juillet!EG7</f>
        <v>#DIV/0!</v>
      </c>
      <c r="Y51" s="34"/>
      <c r="Z51" s="34"/>
      <c r="AA51" s="34" t="e">
        <f>Aout!EG7</f>
        <v>#DIV/0!</v>
      </c>
      <c r="AB51" s="34"/>
      <c r="AC51" s="34"/>
      <c r="AD51" s="34" t="e">
        <f>Septembre!EG7</f>
        <v>#DIV/0!</v>
      </c>
      <c r="AE51" s="34"/>
      <c r="AF51" s="34"/>
      <c r="AG51" s="34" t="e">
        <f>Octobre!EG7</f>
        <v>#DIV/0!</v>
      </c>
      <c r="AH51" s="34"/>
      <c r="AI51" s="34"/>
      <c r="AJ51" s="34" t="e">
        <f>Novembre!EG7</f>
        <v>#DIV/0!</v>
      </c>
      <c r="AK51" s="34"/>
      <c r="AL51" s="34"/>
      <c r="AM51" s="34" t="e">
        <f>Décembre!EG7</f>
        <v>#DIV/0!</v>
      </c>
    </row>
    <row r="52" spans="1:42" hidden="1" x14ac:dyDescent="0.2">
      <c r="A52" s="2404" t="s">
        <v>134</v>
      </c>
      <c r="B52" s="2404"/>
      <c r="C52" s="2404"/>
      <c r="F52" s="34" t="e">
        <f>F50-F51</f>
        <v>#DIV/0!</v>
      </c>
      <c r="G52" s="34"/>
      <c r="H52" s="34"/>
      <c r="I52" s="34" t="e">
        <f>I50-I51</f>
        <v>#DIV/0!</v>
      </c>
      <c r="J52" s="34"/>
      <c r="K52" s="34"/>
      <c r="L52" s="34" t="e">
        <f>L50-L51</f>
        <v>#DIV/0!</v>
      </c>
      <c r="M52" s="34"/>
      <c r="N52" s="34"/>
      <c r="O52" s="34" t="e">
        <f>O50-O51</f>
        <v>#DIV/0!</v>
      </c>
      <c r="P52" s="34"/>
      <c r="Q52" s="34"/>
      <c r="R52" s="34" t="e">
        <f>R50-R51</f>
        <v>#DIV/0!</v>
      </c>
      <c r="S52" s="34"/>
      <c r="T52" s="34"/>
      <c r="U52" s="34" t="e">
        <f>U50-U51</f>
        <v>#DIV/0!</v>
      </c>
      <c r="V52" s="34"/>
      <c r="W52" s="34"/>
      <c r="X52" s="34" t="e">
        <f>X50-X51</f>
        <v>#DIV/0!</v>
      </c>
      <c r="Y52" s="34"/>
      <c r="Z52" s="34"/>
      <c r="AA52" s="34" t="e">
        <f>AA50-AA51</f>
        <v>#DIV/0!</v>
      </c>
      <c r="AB52" s="34"/>
      <c r="AC52" s="34"/>
      <c r="AD52" s="34" t="e">
        <f>AD50-AD51</f>
        <v>#DIV/0!</v>
      </c>
      <c r="AE52" s="34"/>
      <c r="AF52" s="34"/>
      <c r="AG52" s="34" t="e">
        <f>AG50-AG51</f>
        <v>#DIV/0!</v>
      </c>
      <c r="AH52" s="34"/>
      <c r="AI52" s="34"/>
      <c r="AJ52" s="34" t="e">
        <f>AJ50-AJ51</f>
        <v>#DIV/0!</v>
      </c>
      <c r="AK52" s="34"/>
      <c r="AL52" s="34"/>
      <c r="AM52" s="34" t="e">
        <f>AM50-AM51</f>
        <v>#DIV/0!</v>
      </c>
    </row>
    <row r="53" spans="1:42" hidden="1" x14ac:dyDescent="0.2">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row>
    <row r="54" spans="1:42" s="622" customFormat="1" hidden="1" x14ac:dyDescent="0.2">
      <c r="A54" s="2432" t="s">
        <v>849</v>
      </c>
      <c r="B54" s="2432"/>
      <c r="C54" s="2432"/>
      <c r="F54" s="624" t="e">
        <f>+F52-F55</f>
        <v>#DIV/0!</v>
      </c>
      <c r="G54" s="624"/>
      <c r="H54" s="624"/>
      <c r="I54" s="624" t="e">
        <f>+I52-I55</f>
        <v>#DIV/0!</v>
      </c>
      <c r="J54" s="624"/>
      <c r="K54" s="624"/>
      <c r="L54" s="624" t="e">
        <f>+L52-L55</f>
        <v>#DIV/0!</v>
      </c>
      <c r="M54" s="624"/>
      <c r="N54" s="624"/>
      <c r="O54" s="624" t="e">
        <f>+O52-O55</f>
        <v>#DIV/0!</v>
      </c>
      <c r="P54" s="624"/>
      <c r="Q54" s="624"/>
      <c r="R54" s="624" t="e">
        <f>+R52-R55</f>
        <v>#DIV/0!</v>
      </c>
      <c r="S54" s="624"/>
      <c r="T54" s="624"/>
      <c r="U54" s="624" t="e">
        <f>+U52-U55</f>
        <v>#DIV/0!</v>
      </c>
      <c r="V54" s="624"/>
      <c r="W54" s="624"/>
      <c r="X54" s="624" t="e">
        <f>+X52-X55</f>
        <v>#DIV/0!</v>
      </c>
      <c r="Y54" s="624"/>
      <c r="Z54" s="624"/>
      <c r="AA54" s="624" t="e">
        <f>+AA52-AA55</f>
        <v>#DIV/0!</v>
      </c>
      <c r="AB54" s="624"/>
      <c r="AC54" s="624"/>
      <c r="AD54" s="624" t="e">
        <f>+AD52-AD55</f>
        <v>#DIV/0!</v>
      </c>
      <c r="AE54" s="624"/>
      <c r="AF54" s="624"/>
      <c r="AG54" s="624" t="e">
        <f>+AG52-AG55</f>
        <v>#DIV/0!</v>
      </c>
      <c r="AH54" s="624"/>
      <c r="AI54" s="624"/>
      <c r="AJ54" s="624" t="e">
        <f>+AJ52-AJ55</f>
        <v>#DIV/0!</v>
      </c>
      <c r="AK54" s="624"/>
      <c r="AL54" s="624"/>
      <c r="AM54" s="624" t="e">
        <f>+AM52-AM55</f>
        <v>#DIV/0!</v>
      </c>
    </row>
    <row r="55" spans="1:42" s="622" customFormat="1" hidden="1" x14ac:dyDescent="0.2">
      <c r="A55" s="2432" t="s">
        <v>850</v>
      </c>
      <c r="B55" s="2432"/>
      <c r="C55" s="2432"/>
      <c r="F55" s="624" t="e">
        <f>+F52*F42</f>
        <v>#DIV/0!</v>
      </c>
      <c r="G55" s="624"/>
      <c r="H55" s="624"/>
      <c r="I55" s="624" t="e">
        <f>+I52*I42</f>
        <v>#DIV/0!</v>
      </c>
      <c r="J55" s="624"/>
      <c r="K55" s="624"/>
      <c r="L55" s="624" t="e">
        <f>+L52*L42</f>
        <v>#DIV/0!</v>
      </c>
      <c r="M55" s="624"/>
      <c r="N55" s="624"/>
      <c r="O55" s="624" t="e">
        <f>+O52*O42</f>
        <v>#DIV/0!</v>
      </c>
      <c r="P55" s="624"/>
      <c r="Q55" s="624"/>
      <c r="R55" s="624" t="e">
        <f>+R52*R42</f>
        <v>#DIV/0!</v>
      </c>
      <c r="S55" s="624"/>
      <c r="T55" s="624"/>
      <c r="U55" s="624" t="e">
        <f>+U52*U42</f>
        <v>#DIV/0!</v>
      </c>
      <c r="V55" s="624"/>
      <c r="W55" s="624"/>
      <c r="X55" s="624" t="e">
        <f>+X52*X42</f>
        <v>#DIV/0!</v>
      </c>
      <c r="Y55" s="624"/>
      <c r="Z55" s="624"/>
      <c r="AA55" s="624" t="e">
        <f>+AA52*AA42</f>
        <v>#DIV/0!</v>
      </c>
      <c r="AB55" s="624"/>
      <c r="AC55" s="624"/>
      <c r="AD55" s="624" t="e">
        <f>+AD52*AD42</f>
        <v>#DIV/0!</v>
      </c>
      <c r="AE55" s="624"/>
      <c r="AF55" s="624"/>
      <c r="AG55" s="624" t="e">
        <f>+AG52*AG42</f>
        <v>#DIV/0!</v>
      </c>
      <c r="AH55" s="624"/>
      <c r="AI55" s="624"/>
      <c r="AJ55" s="624" t="e">
        <f>+AJ52*AJ42</f>
        <v>#DIV/0!</v>
      </c>
      <c r="AK55" s="624"/>
      <c r="AL55" s="624"/>
      <c r="AM55" s="624" t="e">
        <f>+AM52*AM42</f>
        <v>#DIV/0!</v>
      </c>
    </row>
    <row r="56" spans="1:42" hidden="1" x14ac:dyDescent="0.2">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c r="AL56" s="34"/>
      <c r="AM56" s="34"/>
    </row>
    <row r="57" spans="1:42" hidden="1" x14ac:dyDescent="0.2">
      <c r="A57" s="2404" t="s">
        <v>135</v>
      </c>
      <c r="B57" s="2404"/>
      <c r="C57" s="2404"/>
      <c r="F57" s="34" t="e">
        <f>F40-F52</f>
        <v>#DIV/0!</v>
      </c>
      <c r="G57" s="34"/>
      <c r="H57" s="34"/>
      <c r="I57" s="34" t="e">
        <f>I40-I52</f>
        <v>#DIV/0!</v>
      </c>
      <c r="J57" s="34"/>
      <c r="K57" s="34"/>
      <c r="L57" s="34" t="e">
        <f>L40-L52</f>
        <v>#DIV/0!</v>
      </c>
      <c r="M57" s="34"/>
      <c r="N57" s="34"/>
      <c r="O57" s="34" t="e">
        <f>O40-O52</f>
        <v>#DIV/0!</v>
      </c>
      <c r="P57" s="34"/>
      <c r="Q57" s="34"/>
      <c r="R57" s="34" t="e">
        <f>R40-R52</f>
        <v>#DIV/0!</v>
      </c>
      <c r="S57" s="34"/>
      <c r="T57" s="34"/>
      <c r="U57" s="34" t="e">
        <f>U40-U52</f>
        <v>#DIV/0!</v>
      </c>
      <c r="V57" s="34"/>
      <c r="W57" s="34"/>
      <c r="X57" s="34" t="e">
        <f>X40-X52</f>
        <v>#DIV/0!</v>
      </c>
      <c r="Y57" s="34"/>
      <c r="Z57" s="34"/>
      <c r="AA57" s="34" t="e">
        <f>AA40-AA52</f>
        <v>#DIV/0!</v>
      </c>
      <c r="AB57" s="34"/>
      <c r="AC57" s="34"/>
      <c r="AD57" s="34" t="e">
        <f>AD40-AD52</f>
        <v>#DIV/0!</v>
      </c>
      <c r="AE57" s="34"/>
      <c r="AF57" s="34"/>
      <c r="AG57" s="34" t="e">
        <f>AG40-AG52</f>
        <v>#DIV/0!</v>
      </c>
      <c r="AH57" s="34"/>
      <c r="AI57" s="34"/>
      <c r="AJ57" s="34" t="e">
        <f>AJ40-AJ52</f>
        <v>#DIV/0!</v>
      </c>
      <c r="AK57" s="34"/>
      <c r="AL57" s="34"/>
      <c r="AM57" s="34" t="e">
        <f>AM40-AM52</f>
        <v>#DIV/0!</v>
      </c>
    </row>
    <row r="58" spans="1:42" hidden="1" x14ac:dyDescent="0.2">
      <c r="C58" s="29"/>
      <c r="F58" s="34"/>
      <c r="I58" s="34"/>
      <c r="L58" s="34"/>
      <c r="O58" s="34"/>
      <c r="R58" s="34"/>
      <c r="U58" s="34"/>
      <c r="X58" s="34"/>
      <c r="AA58" s="34"/>
      <c r="AD58" s="34"/>
      <c r="AG58" s="34"/>
      <c r="AJ58" s="34"/>
      <c r="AM58" s="34"/>
    </row>
    <row r="59" spans="1:42" hidden="1" x14ac:dyDescent="0.2">
      <c r="A59" s="2404" t="s">
        <v>844</v>
      </c>
      <c r="B59" s="2404"/>
      <c r="C59" s="2404"/>
      <c r="F59" s="149" t="e">
        <f>+F57-F60</f>
        <v>#DIV/0!</v>
      </c>
      <c r="I59" s="149" t="e">
        <f>+I57-I60</f>
        <v>#DIV/0!</v>
      </c>
      <c r="L59" s="149" t="e">
        <f>+L57-L60</f>
        <v>#DIV/0!</v>
      </c>
      <c r="O59" s="149" t="e">
        <f>+O57-O60</f>
        <v>#DIV/0!</v>
      </c>
      <c r="R59" s="149" t="e">
        <f>+R57-R60</f>
        <v>#DIV/0!</v>
      </c>
      <c r="U59" s="149" t="e">
        <f>+U57-U60</f>
        <v>#DIV/0!</v>
      </c>
      <c r="X59" s="149" t="e">
        <f>+X57-X60</f>
        <v>#DIV/0!</v>
      </c>
      <c r="AA59" s="149" t="e">
        <f>+AA57-AA60</f>
        <v>#DIV/0!</v>
      </c>
      <c r="AD59" s="149" t="e">
        <f>+AD57-AD60</f>
        <v>#DIV/0!</v>
      </c>
      <c r="AG59" s="149" t="e">
        <f>+AG57-AG60</f>
        <v>#DIV/0!</v>
      </c>
      <c r="AJ59" s="149" t="e">
        <f>+AJ57-AJ60</f>
        <v>#DIV/0!</v>
      </c>
      <c r="AM59" s="149" t="e">
        <f>+AM57-AM60</f>
        <v>#DIV/0!</v>
      </c>
    </row>
    <row r="60" spans="1:42" hidden="1" x14ac:dyDescent="0.2">
      <c r="A60" s="2404" t="s">
        <v>845</v>
      </c>
      <c r="B60" s="2404"/>
      <c r="C60" s="2404"/>
      <c r="F60" s="149" t="e">
        <f>+F57*F42</f>
        <v>#DIV/0!</v>
      </c>
      <c r="I60" s="149" t="e">
        <f>+I57*I42</f>
        <v>#DIV/0!</v>
      </c>
      <c r="L60" s="149" t="e">
        <f>+L57*L42</f>
        <v>#DIV/0!</v>
      </c>
      <c r="O60" s="149" t="e">
        <f>+O57*O42</f>
        <v>#DIV/0!</v>
      </c>
      <c r="R60" s="149" t="e">
        <f>+R57*R42</f>
        <v>#DIV/0!</v>
      </c>
      <c r="U60" s="149" t="e">
        <f>+U57*U42</f>
        <v>#DIV/0!</v>
      </c>
      <c r="X60" s="149" t="e">
        <f>+X57*X42</f>
        <v>#DIV/0!</v>
      </c>
      <c r="AA60" s="149" t="e">
        <f>+AA57*AA42</f>
        <v>#DIV/0!</v>
      </c>
      <c r="AD60" s="149" t="e">
        <f>+AD57*AD42</f>
        <v>#DIV/0!</v>
      </c>
      <c r="AG60" s="149" t="e">
        <f>+AG57*AG42</f>
        <v>#DIV/0!</v>
      </c>
      <c r="AJ60" s="149" t="e">
        <f>+AJ57*AJ42</f>
        <v>#DIV/0!</v>
      </c>
      <c r="AM60" s="149" t="e">
        <f>+AM57*AM42</f>
        <v>#DIV/0!</v>
      </c>
    </row>
    <row r="61" spans="1:42" hidden="1" x14ac:dyDescent="0.2"/>
    <row r="63" spans="1:42" ht="15.75" x14ac:dyDescent="0.25">
      <c r="P63" s="98" t="s">
        <v>851</v>
      </c>
    </row>
    <row r="64" spans="1:42" ht="15.75" x14ac:dyDescent="0.25">
      <c r="P64" s="98"/>
    </row>
    <row r="65" spans="1:39" x14ac:dyDescent="0.2">
      <c r="O65" s="29" t="s">
        <v>25</v>
      </c>
      <c r="P65" s="1713">
        <f>+Identification!B25</f>
        <v>0</v>
      </c>
      <c r="Q65" s="1713"/>
      <c r="R65" s="1713"/>
    </row>
    <row r="66" spans="1:39" ht="16.5" thickBot="1" x14ac:dyDescent="0.3">
      <c r="P66" s="98"/>
    </row>
    <row r="67" spans="1:39" x14ac:dyDescent="0.2">
      <c r="D67" s="2440">
        <f>+$J$5</f>
        <v>46023</v>
      </c>
      <c r="E67" s="2441"/>
      <c r="F67" s="2442"/>
      <c r="G67" s="2440">
        <f>DATE(YEAR($J$5),MONTH($J$5)+1,DAY($J$5))</f>
        <v>46054</v>
      </c>
      <c r="H67" s="2441"/>
      <c r="I67" s="2442"/>
      <c r="J67" s="2440">
        <f>DATE(YEAR($J$5),MONTH($J$5)+2,DAY($J$5))</f>
        <v>46082</v>
      </c>
      <c r="K67" s="2441"/>
      <c r="L67" s="2442"/>
      <c r="M67" s="2440">
        <f>DATE(YEAR($J$5),MONTH($J$5)+3,DAY($J$5))</f>
        <v>46113</v>
      </c>
      <c r="N67" s="2441"/>
      <c r="O67" s="2442"/>
      <c r="P67" s="2440">
        <f>DATE(YEAR($J$5),MONTH($J$5)+4,DAY($J$5))</f>
        <v>46143</v>
      </c>
      <c r="Q67" s="2441"/>
      <c r="R67" s="2442"/>
      <c r="S67" s="2440">
        <f>DATE(YEAR($J$5),MONTH($J$5)+5,DAY($J$5))</f>
        <v>46174</v>
      </c>
      <c r="T67" s="2441"/>
      <c r="U67" s="2442"/>
      <c r="V67" s="2440">
        <f>DATE(YEAR($J$5),MONTH($J$5)+6,DAY($J$5))</f>
        <v>46204</v>
      </c>
      <c r="W67" s="2441"/>
      <c r="X67" s="2442"/>
      <c r="Y67" s="2440">
        <f>DATE(YEAR($J$5),MONTH($J$5)+7,DAY($J$5))</f>
        <v>46235</v>
      </c>
      <c r="Z67" s="2441"/>
      <c r="AA67" s="2442"/>
      <c r="AB67" s="2440">
        <f>DATE(YEAR($J$5),MONTH($J$5)+8,DAY($J$5))</f>
        <v>46266</v>
      </c>
      <c r="AC67" s="2441"/>
      <c r="AD67" s="2442"/>
      <c r="AE67" s="2440">
        <f>DATE(YEAR($J$5),MONTH($J$5)+9,DAY($J$5))</f>
        <v>46296</v>
      </c>
      <c r="AF67" s="2441"/>
      <c r="AG67" s="2442"/>
      <c r="AH67" s="2440">
        <f>DATE(YEAR($J$5),MONTH($J$5)+10,DAY($J$5))</f>
        <v>46327</v>
      </c>
      <c r="AI67" s="2441"/>
      <c r="AJ67" s="2442"/>
      <c r="AK67" s="2440">
        <f>DATE(YEAR($J$5),MONTH($J$5)+11,DAY($J$5))</f>
        <v>46357</v>
      </c>
      <c r="AL67" s="2441"/>
      <c r="AM67" s="2442"/>
    </row>
    <row r="68" spans="1:39" s="619" customFormat="1" hidden="1" x14ac:dyDescent="0.2">
      <c r="A68" s="2429" t="s">
        <v>852</v>
      </c>
      <c r="B68" s="2429"/>
      <c r="C68" s="2429"/>
    </row>
    <row r="69" spans="1:39" s="619" customFormat="1" hidden="1" x14ac:dyDescent="0.2">
      <c r="A69" s="2430" t="s">
        <v>1461</v>
      </c>
      <c r="B69" s="2430"/>
      <c r="C69" s="2430"/>
      <c r="F69" s="620">
        <f ca="1">+F44*F91</f>
        <v>0</v>
      </c>
      <c r="I69" s="620">
        <f>+I44*I91</f>
        <v>0</v>
      </c>
      <c r="L69" s="620">
        <f>+L44*L91</f>
        <v>0</v>
      </c>
      <c r="O69" s="620">
        <f>+O44*O91</f>
        <v>0</v>
      </c>
      <c r="R69" s="620">
        <f>+R44*R91</f>
        <v>0</v>
      </c>
      <c r="U69" s="620">
        <f>+U44*U91</f>
        <v>0</v>
      </c>
      <c r="X69" s="620">
        <f>+X44*X91</f>
        <v>0</v>
      </c>
      <c r="AA69" s="620">
        <f>+AA44*AA91</f>
        <v>0</v>
      </c>
      <c r="AD69" s="620">
        <f>+AD44*AD91</f>
        <v>0</v>
      </c>
      <c r="AG69" s="620">
        <f>+AG44*AG91</f>
        <v>0</v>
      </c>
      <c r="AJ69" s="620">
        <f>+AJ44*AJ91</f>
        <v>0</v>
      </c>
      <c r="AM69" s="620">
        <f>+AM44*AM91</f>
        <v>0</v>
      </c>
    </row>
    <row r="70" spans="1:39" s="619" customFormat="1" hidden="1" x14ac:dyDescent="0.2">
      <c r="A70" s="2430" t="s">
        <v>853</v>
      </c>
      <c r="B70" s="2430"/>
      <c r="C70" s="2430"/>
      <c r="F70" s="620">
        <f ca="1">IF(Identification!B3=S.CAL!AY3,F45*F91,+F45*F93)</f>
        <v>0</v>
      </c>
      <c r="I70" s="620">
        <f>IF(Identification!B3=S.CAL!AY3,I45*I91,+I45*I93)</f>
        <v>0</v>
      </c>
      <c r="L70" s="620">
        <f>IF(Identification!B3=S.CAL!AY3,L45*L91,+L45*L93)</f>
        <v>0</v>
      </c>
      <c r="O70" s="620">
        <f>IF(Identification!B3=S.CAL!AY3,O45*O91,+O45*O93)</f>
        <v>0</v>
      </c>
      <c r="R70" s="620">
        <f>IF(Identification!B3=S.CAL!AY3,R45*R91,+R45*R93)</f>
        <v>0</v>
      </c>
      <c r="U70" s="620">
        <f>IF(Identification!B3=S.CAL!AY3,+U45*U91,+U45*U93)</f>
        <v>0</v>
      </c>
      <c r="X70" s="620">
        <f>IF(Identification!B3=S.CAL!AY3,+X45*X91,+X45*X93)</f>
        <v>0</v>
      </c>
      <c r="AA70" s="620">
        <f>IF(Identification!B3=S.CAL!AY3,+AA45*AA91,+AA45*AA93)</f>
        <v>0</v>
      </c>
      <c r="AD70" s="620">
        <f>IF(Identification!B3=S.CAL!AY3,+AD45*AD91,+AD45*AD93)</f>
        <v>0</v>
      </c>
      <c r="AG70" s="620">
        <f>IF(Identification!B3=S.CAL!AY3,+AG45*AG91,+AG45*AG93)</f>
        <v>0</v>
      </c>
      <c r="AJ70" s="620">
        <f>IF(Identification!B3=S.CAL!AY3,AJ45*AJ91,+AJ45*AJ93)</f>
        <v>0</v>
      </c>
      <c r="AM70" s="620">
        <f>IF(Identification!B3=S.CAL!AY3,+AM45*AM91,+AM45*AM93)</f>
        <v>0</v>
      </c>
    </row>
    <row r="71" spans="1:39" s="619" customFormat="1" x14ac:dyDescent="0.2">
      <c r="A71" s="2430" t="str">
        <f>+A68</f>
        <v>Salaires à percevoir :</v>
      </c>
      <c r="B71" s="2430"/>
      <c r="C71" s="2430"/>
      <c r="F71" s="621">
        <f ca="1">SUM(F69:F70)</f>
        <v>0</v>
      </c>
      <c r="I71" s="621">
        <f>SUM(I69:I70)</f>
        <v>0</v>
      </c>
      <c r="L71" s="621">
        <f>SUM(L69:L70)</f>
        <v>0</v>
      </c>
      <c r="O71" s="621">
        <f>SUM(O69:O70)</f>
        <v>0</v>
      </c>
      <c r="R71" s="621">
        <f>SUM(R69:R70)</f>
        <v>0</v>
      </c>
      <c r="U71" s="621">
        <f>SUM(U69:U70)</f>
        <v>0</v>
      </c>
      <c r="X71" s="621">
        <f>SUM(X69:X70)</f>
        <v>0</v>
      </c>
      <c r="AA71" s="621">
        <f>SUM(AA69:AA70)</f>
        <v>0</v>
      </c>
      <c r="AD71" s="621">
        <f>SUM(AD69:AD70)</f>
        <v>0</v>
      </c>
      <c r="AG71" s="621">
        <f>SUM(AG69:AG70)</f>
        <v>0</v>
      </c>
      <c r="AJ71" s="621">
        <f>SUM(AJ69:AJ70)</f>
        <v>0</v>
      </c>
      <c r="AM71" s="621">
        <f>SUM(AM69:AM70)</f>
        <v>0</v>
      </c>
    </row>
    <row r="73" spans="1:39" s="622" customFormat="1" hidden="1" x14ac:dyDescent="0.2">
      <c r="A73" s="2433" t="s">
        <v>854</v>
      </c>
      <c r="B73" s="2433"/>
      <c r="C73" s="2433"/>
    </row>
    <row r="74" spans="1:39" s="622" customFormat="1" hidden="1" x14ac:dyDescent="0.2">
      <c r="A74" s="2432" t="s">
        <v>1461</v>
      </c>
      <c r="B74" s="2432"/>
      <c r="C74" s="2432"/>
      <c r="F74" s="623">
        <f>+Janvier!DP21</f>
        <v>0</v>
      </c>
      <c r="I74" s="623">
        <f>+Février!DP21</f>
        <v>0</v>
      </c>
      <c r="L74" s="623">
        <f>+Mars!DP21</f>
        <v>0</v>
      </c>
      <c r="O74" s="623">
        <f>+Avril!DP21</f>
        <v>0</v>
      </c>
      <c r="R74" s="623">
        <f>+Mai!DP21</f>
        <v>0</v>
      </c>
      <c r="U74" s="623">
        <f>+Juin!DP21</f>
        <v>0</v>
      </c>
      <c r="X74" s="623">
        <f>+Juillet!DP21</f>
        <v>0</v>
      </c>
      <c r="AA74" s="623">
        <f>+Aout!DP21</f>
        <v>0</v>
      </c>
      <c r="AD74" s="623">
        <f>+Septembre!DP21</f>
        <v>0</v>
      </c>
      <c r="AG74" s="623">
        <f>+Octobre!DP21</f>
        <v>0</v>
      </c>
      <c r="AJ74" s="623">
        <f>+Novembre!DP21</f>
        <v>0</v>
      </c>
      <c r="AM74" s="623">
        <f>+Décembre!DP21</f>
        <v>0</v>
      </c>
    </row>
    <row r="75" spans="1:39" s="622" customFormat="1" hidden="1" x14ac:dyDescent="0.2">
      <c r="A75" s="2432" t="s">
        <v>853</v>
      </c>
      <c r="B75" s="2432"/>
      <c r="C75" s="2432"/>
      <c r="F75" s="623">
        <f>IF(Identification!B3=S.CAL!AY3,+Janvier!DP24,+Janvier!DP22)</f>
        <v>0</v>
      </c>
      <c r="I75" s="1012">
        <f>IF(Identification!B3=S.CAL!AY3,Février!DP24,+Février!DP22)</f>
        <v>0</v>
      </c>
      <c r="L75" s="1012">
        <f>IF(Identification!B3=S.CAL!AY3,+Mars!DP24,+Mars!DP22)</f>
        <v>0</v>
      </c>
      <c r="O75" s="1012">
        <f>IF(Identification!B3=S.CAL!AY3,+Avril!DP24,+Avril!DP22)</f>
        <v>0</v>
      </c>
      <c r="R75" s="1012">
        <f>IF(Identification!B3=S.CAL!AY3,+Mai!DP24,+Mai!DP22)</f>
        <v>0</v>
      </c>
      <c r="U75" s="1012">
        <f>IF(Identification!B3=S.CAL!AY3,+Juin!DP24,+Juin!DP22)</f>
        <v>0</v>
      </c>
      <c r="X75" s="1012">
        <f>IF(Identification!B3=S.CAL!AY3,+Juillet!DP24,+Juillet!DP22)</f>
        <v>0</v>
      </c>
      <c r="AA75" s="1012">
        <f>IF(Identification!B3=S.CAL!AY3,+Aout!DP24,+Aout!DP22)</f>
        <v>0</v>
      </c>
      <c r="AD75" s="1012">
        <f>IF(Identification!B3=S.CAL!AY3,+Septembre!DP24,+Septembre!DP22)</f>
        <v>0</v>
      </c>
      <c r="AG75" s="1012">
        <f>IF(Identification!B3=S.CAL!AY3,+Octobre!DP24,+Octobre!DP22)</f>
        <v>0</v>
      </c>
      <c r="AJ75" s="1012">
        <f>IF(Identification!B3=S.CAL!AY3,+Novembre!DP24,+Novembre!DP22)</f>
        <v>0</v>
      </c>
      <c r="AM75" s="1012">
        <f>IF(Identification!B3=S.CAL!AY3,+Décembre!DP24,+Décembre!DP22)</f>
        <v>0</v>
      </c>
    </row>
    <row r="76" spans="1:39" s="622" customFormat="1" x14ac:dyDescent="0.2">
      <c r="A76" s="2432" t="str">
        <f>+A73</f>
        <v>Salaires perçus :</v>
      </c>
      <c r="B76" s="2432"/>
      <c r="C76" s="2432"/>
      <c r="F76" s="623">
        <f>SUM(F74:F75)</f>
        <v>0</v>
      </c>
      <c r="I76" s="623">
        <f>SUM(I74:I75)</f>
        <v>0</v>
      </c>
      <c r="L76" s="623">
        <f>SUM(L74:L75)</f>
        <v>0</v>
      </c>
      <c r="O76" s="623">
        <f>SUM(O74:O75)</f>
        <v>0</v>
      </c>
      <c r="R76" s="623">
        <f>SUM(R74:R75)</f>
        <v>0</v>
      </c>
      <c r="U76" s="623">
        <f>SUM(U74:U75)</f>
        <v>0</v>
      </c>
      <c r="X76" s="623">
        <f>SUM(X74:X75)</f>
        <v>0</v>
      </c>
      <c r="AA76" s="623">
        <f>SUM(AA74:AA75)</f>
        <v>0</v>
      </c>
      <c r="AD76" s="623">
        <f>SUM(AD74:AD75)</f>
        <v>0</v>
      </c>
      <c r="AG76" s="623">
        <f>SUM(AG74:AG75)</f>
        <v>0</v>
      </c>
      <c r="AJ76" s="623">
        <f>SUM(AJ74:AJ75)</f>
        <v>0</v>
      </c>
      <c r="AM76" s="623">
        <f>SUM(AM74:AM75)</f>
        <v>0</v>
      </c>
    </row>
    <row r="77" spans="1:39" x14ac:dyDescent="0.2">
      <c r="F77" s="337"/>
      <c r="I77" s="337"/>
      <c r="L77" s="337"/>
      <c r="O77" s="337"/>
      <c r="R77" s="337"/>
      <c r="U77" s="337"/>
      <c r="X77" s="337"/>
      <c r="AA77" s="337"/>
      <c r="AD77" s="337"/>
      <c r="AG77" s="337"/>
      <c r="AJ77" s="337"/>
      <c r="AM77" s="337"/>
    </row>
    <row r="78" spans="1:39" s="19" customFormat="1" x14ac:dyDescent="0.2">
      <c r="A78" s="2394" t="s">
        <v>765</v>
      </c>
      <c r="B78" s="2394"/>
      <c r="C78" s="2394"/>
      <c r="F78" s="413">
        <f ca="1">ROUND(F71-F76,2)</f>
        <v>0</v>
      </c>
      <c r="G78" s="64"/>
      <c r="H78" s="64"/>
      <c r="I78" s="413">
        <f>ROUND(I71-I76,2)</f>
        <v>0</v>
      </c>
      <c r="J78" s="64"/>
      <c r="K78" s="64"/>
      <c r="L78" s="413">
        <f>ROUND(L71-L76,2)</f>
        <v>0</v>
      </c>
      <c r="M78" s="64"/>
      <c r="N78" s="64"/>
      <c r="O78" s="413">
        <f>ROUND(O71-O76,2)</f>
        <v>0</v>
      </c>
      <c r="P78" s="64"/>
      <c r="Q78" s="64"/>
      <c r="R78" s="413">
        <f>ROUND(R71-R76,2)</f>
        <v>0</v>
      </c>
      <c r="S78" s="64"/>
      <c r="T78" s="64"/>
      <c r="U78" s="413">
        <f>ROUND(U71-U76,2)</f>
        <v>0</v>
      </c>
      <c r="V78" s="64"/>
      <c r="W78" s="64"/>
      <c r="X78" s="413">
        <f>ROUND(X71-X76,2)</f>
        <v>0</v>
      </c>
      <c r="Y78" s="64"/>
      <c r="Z78" s="64"/>
      <c r="AA78" s="413">
        <f>ROUND(AA71-AA76,2)</f>
        <v>0</v>
      </c>
      <c r="AB78" s="64"/>
      <c r="AC78" s="64"/>
      <c r="AD78" s="413">
        <f>ROUND(AD71-AD76,2)</f>
        <v>0</v>
      </c>
      <c r="AE78" s="64"/>
      <c r="AF78" s="64"/>
      <c r="AG78" s="413">
        <f>ROUND(AG71-AG76,2)</f>
        <v>0</v>
      </c>
      <c r="AH78" s="64"/>
      <c r="AI78" s="64"/>
      <c r="AJ78" s="413">
        <f>ROUND(AJ71-AJ76,2)</f>
        <v>0</v>
      </c>
      <c r="AK78" s="64"/>
      <c r="AL78" s="64"/>
      <c r="AM78" s="413">
        <f>ROUND(AM71-AM76,2)</f>
        <v>0</v>
      </c>
    </row>
    <row r="79" spans="1:39" ht="13.5" thickBot="1" x14ac:dyDescent="0.25">
      <c r="C79" s="29"/>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row>
    <row r="80" spans="1:39" x14ac:dyDescent="0.2">
      <c r="A80" s="2404" t="s">
        <v>766</v>
      </c>
      <c r="B80" s="2404"/>
      <c r="C80" s="2404"/>
      <c r="F80" s="483">
        <f>+IF(F81="",Report!D33,F81)</f>
        <v>0</v>
      </c>
      <c r="G80" s="58"/>
      <c r="H80" s="58"/>
      <c r="I80" s="58">
        <f ca="1">+F89</f>
        <v>0</v>
      </c>
      <c r="J80" s="58"/>
      <c r="K80" s="58"/>
      <c r="L80" s="58">
        <f ca="1">+I89</f>
        <v>0</v>
      </c>
      <c r="M80" s="58"/>
      <c r="N80" s="58"/>
      <c r="O80" s="58">
        <f ca="1">+L89</f>
        <v>0</v>
      </c>
      <c r="P80" s="58"/>
      <c r="Q80" s="58"/>
      <c r="R80" s="58">
        <f ca="1">+O89</f>
        <v>0</v>
      </c>
      <c r="S80" s="58"/>
      <c r="T80" s="58"/>
      <c r="U80" s="58">
        <f ca="1">+R89</f>
        <v>0</v>
      </c>
      <c r="V80" s="58"/>
      <c r="W80" s="58"/>
      <c r="X80" s="58">
        <f ca="1">+U89</f>
        <v>0</v>
      </c>
      <c r="Y80" s="58"/>
      <c r="Z80" s="58"/>
      <c r="AA80" s="58">
        <f ca="1">+X89</f>
        <v>0</v>
      </c>
      <c r="AB80" s="58"/>
      <c r="AC80" s="58"/>
      <c r="AD80" s="58">
        <f ca="1">+AA89</f>
        <v>0</v>
      </c>
      <c r="AE80" s="58"/>
      <c r="AF80" s="58"/>
      <c r="AG80" s="58">
        <f ca="1">+AD89</f>
        <v>0</v>
      </c>
      <c r="AH80" s="58"/>
      <c r="AI80" s="58"/>
      <c r="AJ80" s="58">
        <f ca="1">+AG89</f>
        <v>0</v>
      </c>
      <c r="AK80" s="58"/>
      <c r="AL80" s="58"/>
      <c r="AM80" s="58">
        <f ca="1">+AJ89</f>
        <v>0</v>
      </c>
    </row>
    <row r="81" spans="1:39" ht="13.5" thickBot="1" x14ac:dyDescent="0.25">
      <c r="A81" s="2404" t="s">
        <v>847</v>
      </c>
      <c r="B81" s="2404"/>
      <c r="C81" s="2404"/>
      <c r="F81" s="1291"/>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row>
    <row r="82" spans="1:39" x14ac:dyDescent="0.2">
      <c r="A82" s="2404" t="s">
        <v>767</v>
      </c>
      <c r="B82" s="2404"/>
      <c r="C82" s="2404"/>
      <c r="F82" s="58">
        <f ca="1">ROUND(+F78+F80,2)</f>
        <v>0</v>
      </c>
      <c r="G82" s="58"/>
      <c r="H82" s="58"/>
      <c r="I82" s="58">
        <f ca="1">ROUND(+I78+I80,2)</f>
        <v>0</v>
      </c>
      <c r="J82" s="58"/>
      <c r="K82" s="58"/>
      <c r="L82" s="58">
        <f ca="1">ROUND(+L78+L80,2)</f>
        <v>0</v>
      </c>
      <c r="M82" s="58"/>
      <c r="N82" s="58"/>
      <c r="O82" s="58">
        <f ca="1">ROUND(+O78+O80,2)</f>
        <v>0</v>
      </c>
      <c r="P82" s="58"/>
      <c r="Q82" s="58"/>
      <c r="R82" s="58">
        <f ca="1">ROUND(+R78+R80,2)</f>
        <v>0</v>
      </c>
      <c r="S82" s="58"/>
      <c r="T82" s="58"/>
      <c r="U82" s="58">
        <f ca="1">ROUND(+U78+U80,2)</f>
        <v>0</v>
      </c>
      <c r="V82" s="58"/>
      <c r="W82" s="58"/>
      <c r="X82" s="58">
        <f ca="1">ROUND(+X78+X80,2)</f>
        <v>0</v>
      </c>
      <c r="Y82" s="58"/>
      <c r="Z82" s="58"/>
      <c r="AA82" s="58">
        <f ca="1">ROUND(+AA78+AA80,2)</f>
        <v>0</v>
      </c>
      <c r="AB82" s="58"/>
      <c r="AC82" s="58"/>
      <c r="AD82" s="58">
        <f ca="1">ROUND(+AD78+AD80,2)</f>
        <v>0</v>
      </c>
      <c r="AE82" s="58"/>
      <c r="AF82" s="58"/>
      <c r="AG82" s="58">
        <f ca="1">ROUND(+AG78+AG80,2)</f>
        <v>0</v>
      </c>
      <c r="AH82" s="58"/>
      <c r="AI82" s="58"/>
      <c r="AJ82" s="58">
        <f ca="1">ROUND(+AJ78+AJ80,2)</f>
        <v>0</v>
      </c>
      <c r="AK82" s="58"/>
      <c r="AL82" s="58"/>
      <c r="AM82" s="58">
        <f ca="1">ROUND(+AM78+AM80,2)</f>
        <v>0</v>
      </c>
    </row>
    <row r="84" spans="1:39" x14ac:dyDescent="0.2">
      <c r="A84" s="2404" t="s">
        <v>136</v>
      </c>
      <c r="B84" s="2404"/>
      <c r="C84" s="2404"/>
      <c r="F84" s="1590" t="str">
        <f>+Janvier!AD135</f>
        <v>NON</v>
      </c>
      <c r="I84" s="1590" t="str">
        <f>+Février!AD135</f>
        <v>NON</v>
      </c>
      <c r="L84" s="1590" t="str">
        <f>+Mars!AD135</f>
        <v>NON</v>
      </c>
      <c r="O84" s="1590" t="str">
        <f>+Avril!AD135</f>
        <v>NON</v>
      </c>
      <c r="R84" s="1590" t="str">
        <f>+Mai!AD135</f>
        <v>NON</v>
      </c>
      <c r="U84" s="1590" t="str">
        <f>+Juin!AD135</f>
        <v>NON</v>
      </c>
      <c r="X84" s="1590" t="str">
        <f>+Juillet!AD135</f>
        <v>NON</v>
      </c>
      <c r="AA84" s="1590" t="str">
        <f>+Aout!AD135</f>
        <v>NON</v>
      </c>
      <c r="AD84" s="1590" t="str">
        <f>+Septembre!AD135</f>
        <v>NON</v>
      </c>
      <c r="AG84" s="1590" t="str">
        <f>+Octobre!AD135</f>
        <v>NON</v>
      </c>
      <c r="AJ84" s="1590" t="str">
        <f>+Novembre!AD135</f>
        <v>NON</v>
      </c>
      <c r="AM84" s="1590" t="str">
        <f>+Décembre!AD135</f>
        <v>NON</v>
      </c>
    </row>
    <row r="85" spans="1:39" x14ac:dyDescent="0.2">
      <c r="A85" s="2404"/>
      <c r="B85" s="2404"/>
      <c r="C85" s="2404"/>
      <c r="F85" s="27"/>
      <c r="I85" s="27"/>
      <c r="L85" s="27"/>
      <c r="O85" s="27"/>
      <c r="R85" s="27"/>
      <c r="U85" s="27"/>
      <c r="X85" s="27"/>
      <c r="AA85" s="27"/>
      <c r="AD85" s="27"/>
      <c r="AG85" s="27"/>
      <c r="AJ85" s="27"/>
      <c r="AM85" s="27"/>
    </row>
    <row r="87" spans="1:39" s="1290" customFormat="1" x14ac:dyDescent="0.2">
      <c r="A87" s="2435" t="s">
        <v>1698</v>
      </c>
      <c r="B87" s="2435"/>
      <c r="C87" s="2435"/>
      <c r="F87" s="1290">
        <f>IF(Janvier!L31&lt;&gt;"",Janvier!L31,IF(AND(F84="OUI",OR(Janvier!L31="",Janvier!L31="")),F82,0))</f>
        <v>0</v>
      </c>
      <c r="I87" s="1290">
        <f>IF(Février!L31&lt;&gt;"",Février!L31,IF(AND(I84="OUI",OR(Février!L31="",Février!L31="")),I82,0))</f>
        <v>0</v>
      </c>
      <c r="L87" s="1290">
        <f>IF(Mars!L31&lt;&gt;"",Mars!L31,IF(AND(L84="OUI",OR(Mars!L31="",Mars!L31="")),L82,0))</f>
        <v>0</v>
      </c>
      <c r="O87" s="1290">
        <f>IF(Avril!L31&lt;&gt;"",Avril!L31,IF(AND(O84="OUI",OR(Avril!L31="",Avril!L31="")),O82,0))</f>
        <v>0</v>
      </c>
      <c r="R87" s="1290">
        <f>IF(Mai!L31&lt;&gt;"",Mai!L31,IF(AND(R84="OUI",OR(Mai!L31="",Mai!L31="")),R82,0))</f>
        <v>0</v>
      </c>
      <c r="U87" s="1290">
        <f>IF(Juin!L31&lt;&gt;"",Juin!L31,IF(AND(U84="OUI",OR(Juin!L31="",Juin!L31="")),U82,0))</f>
        <v>0</v>
      </c>
      <c r="X87" s="1290">
        <f>IF(Juillet!L31&lt;&gt;"",Juillet!L31,IF(AND(X84="OUI",OR(Juillet!L31="",Juillet!L31="")),X82,0))</f>
        <v>0</v>
      </c>
      <c r="AA87" s="1290">
        <f>IF(Aout!L31&lt;&gt;"",Aout!L31,IF(AND(AA84="OUI",OR(Aout!L31="",Aout!L31="")),AA82,0))</f>
        <v>0</v>
      </c>
      <c r="AD87" s="1290">
        <f>IF(Septembre!L31&lt;&gt;"",Septembre!L31,IF(AND(AD84="OUI",OR(Septembre!L31="",Septembre!L31="")),AD82,0))</f>
        <v>0</v>
      </c>
      <c r="AG87" s="1290">
        <f>IF(Octobre!L31&lt;&gt;"",Octobre!L31,IF(AND(AG84="OUI",OR(Octobre!L31="",Octobre!L31="")),AG82,0))</f>
        <v>0</v>
      </c>
      <c r="AJ87" s="1290">
        <f>IF(Novembre!L31&lt;&gt;"",Novembre!L31,IF(AND(AJ84="OUI",OR(Novembre!L31="",Novembre!L31="")),AJ82,0))</f>
        <v>0</v>
      </c>
      <c r="AM87" s="1290">
        <f>IF(Décembre!L31&lt;&gt;"",Décembre!L31,IF(AND(AM84="OUI",OR(Décembre!L31="",Décembre!L31="")),AM82,0))</f>
        <v>0</v>
      </c>
    </row>
    <row r="89" spans="1:39" s="64" customFormat="1" x14ac:dyDescent="0.2">
      <c r="A89" s="2434" t="s">
        <v>768</v>
      </c>
      <c r="B89" s="2434"/>
      <c r="C89" s="2434"/>
      <c r="F89" s="856">
        <f ca="1">ROUND(+F82-F87,2)</f>
        <v>0</v>
      </c>
      <c r="I89" s="856">
        <f ca="1">ROUND(+I82-I87,2)</f>
        <v>0</v>
      </c>
      <c r="L89" s="856">
        <f ca="1">ROUND(+L82-L87,2)</f>
        <v>0</v>
      </c>
      <c r="O89" s="856">
        <f ca="1">ROUND(+O82-O87,2)</f>
        <v>0</v>
      </c>
      <c r="R89" s="856">
        <f ca="1">ROUND(+R82-R87,2)</f>
        <v>0</v>
      </c>
      <c r="U89" s="856">
        <f ca="1">ROUND(+U82-U87,2)</f>
        <v>0</v>
      </c>
      <c r="X89" s="856">
        <f ca="1">ROUND(+X82-X87,2)</f>
        <v>0</v>
      </c>
      <c r="AA89" s="856">
        <f ca="1">ROUND(+AA82-AA87,2)</f>
        <v>0</v>
      </c>
      <c r="AD89" s="856">
        <f ca="1">ROUND(+AD82-AD87,2)</f>
        <v>0</v>
      </c>
      <c r="AG89" s="856">
        <f ca="1">ROUND(+AG82-AG87,2)</f>
        <v>0</v>
      </c>
      <c r="AJ89" s="856">
        <f ca="1">ROUND(+AJ82-AJ87,2)</f>
        <v>0</v>
      </c>
      <c r="AM89" s="424">
        <f ca="1">ROUND(+AM82-AM87,2)</f>
        <v>0</v>
      </c>
    </row>
    <row r="91" spans="1:39" x14ac:dyDescent="0.2">
      <c r="A91" s="2404" t="s">
        <v>1374</v>
      </c>
      <c r="B91" s="2404"/>
      <c r="C91" s="2404"/>
      <c r="F91" s="96">
        <f>+Janvier!AL14</f>
        <v>0</v>
      </c>
      <c r="I91" s="96">
        <f>+Février!AL14</f>
        <v>0</v>
      </c>
      <c r="L91" s="96">
        <f>+Mars!AL14</f>
        <v>0</v>
      </c>
      <c r="O91" s="96">
        <f>+Avril!AL14</f>
        <v>0</v>
      </c>
      <c r="R91" s="96">
        <f>+Mai!AL14</f>
        <v>0</v>
      </c>
      <c r="U91" s="96">
        <f>+Juin!AL14</f>
        <v>0</v>
      </c>
      <c r="X91" s="96">
        <f>+Juillet!AL14</f>
        <v>0</v>
      </c>
      <c r="AA91" s="96">
        <f>+Aout!AL14</f>
        <v>0</v>
      </c>
      <c r="AD91" s="96">
        <f>+Septembre!AL14</f>
        <v>0</v>
      </c>
      <c r="AG91" s="96">
        <f>+Octobre!AL14</f>
        <v>0</v>
      </c>
      <c r="AJ91" s="96">
        <f>+Novembre!AL14</f>
        <v>0</v>
      </c>
      <c r="AM91" s="96">
        <f>+Décembre!AL14</f>
        <v>0</v>
      </c>
    </row>
    <row r="92" spans="1:39" hidden="1" x14ac:dyDescent="0.2">
      <c r="A92" s="2404" t="s">
        <v>843</v>
      </c>
      <c r="B92" s="2404"/>
      <c r="C92" s="2404"/>
      <c r="F92" s="449">
        <f>IF($I$101="OUI",+Janvier!DP12,0)</f>
        <v>0.1</v>
      </c>
      <c r="G92" s="449"/>
      <c r="H92" s="449"/>
      <c r="I92" s="449">
        <f>IF($I$101="OUI",+Février!DP12,0)</f>
        <v>0.1</v>
      </c>
      <c r="J92" s="449"/>
      <c r="K92" s="449"/>
      <c r="L92" s="449">
        <f>IF($I$101="OUI",+Mars!DP12,0)</f>
        <v>0.1</v>
      </c>
      <c r="M92" s="449"/>
      <c r="N92" s="449"/>
      <c r="O92" s="449">
        <f>IF($I$101="OUI",+Avril!DP12,0)</f>
        <v>0.1</v>
      </c>
      <c r="P92" s="449"/>
      <c r="Q92" s="449"/>
      <c r="R92" s="449">
        <f>IF($I$101="OUI",+Mai!DP12,0)</f>
        <v>0.1</v>
      </c>
      <c r="S92" s="449"/>
      <c r="T92" s="449"/>
      <c r="U92" s="449">
        <f>IF($I$101="OUI",+Juin!DP12,0)</f>
        <v>0.1</v>
      </c>
      <c r="V92" s="449"/>
      <c r="W92" s="449"/>
      <c r="X92" s="449">
        <f>IF($I$101="OUI",+Juillet!DP12,0)</f>
        <v>0.1</v>
      </c>
      <c r="Y92" s="449"/>
      <c r="Z92" s="449"/>
      <c r="AA92" s="449">
        <f>IF($I$101="OUI",+Aout!DP12,0)</f>
        <v>0.1</v>
      </c>
      <c r="AB92" s="449"/>
      <c r="AC92" s="449"/>
      <c r="AD92" s="449">
        <f>IF($I$101="OUI",+Septembre!DP12,0)</f>
        <v>0.1</v>
      </c>
      <c r="AE92" s="449"/>
      <c r="AF92" s="449"/>
      <c r="AG92" s="449">
        <f>IF($I$101="OUI",+Octobre!DP12,0)</f>
        <v>0.1</v>
      </c>
      <c r="AH92" s="449"/>
      <c r="AI92" s="449"/>
      <c r="AJ92" s="449">
        <f>IF($I$101="OUI",+Novembre!DP12,0)</f>
        <v>0.1</v>
      </c>
      <c r="AK92" s="449"/>
      <c r="AL92" s="449"/>
      <c r="AM92" s="449">
        <f>IF($I$101="OUI",+Décembre!DP12,0)</f>
        <v>0.1</v>
      </c>
    </row>
    <row r="93" spans="1:39" hidden="1" x14ac:dyDescent="0.2">
      <c r="A93" s="2404" t="s">
        <v>842</v>
      </c>
      <c r="B93" s="2404"/>
      <c r="C93" s="2404"/>
      <c r="F93" s="96">
        <f>+F91*(1+F92)</f>
        <v>0</v>
      </c>
      <c r="I93" s="96">
        <f>+I91*(1+I92)</f>
        <v>0</v>
      </c>
      <c r="L93" s="96">
        <f>+L91*(1+L92)</f>
        <v>0</v>
      </c>
      <c r="O93" s="96">
        <f>+O91*(1+O92)</f>
        <v>0</v>
      </c>
      <c r="R93" s="96">
        <f>+R91*(1+R92)</f>
        <v>0</v>
      </c>
      <c r="U93" s="96">
        <f>+U91*(1+U92)</f>
        <v>0</v>
      </c>
      <c r="X93" s="96">
        <f>+X91*(1+X92)</f>
        <v>0</v>
      </c>
      <c r="AA93" s="96">
        <f>+AA91*(1+AA92)</f>
        <v>0</v>
      </c>
      <c r="AD93" s="96">
        <f>+AD91*(1+AD92)</f>
        <v>0</v>
      </c>
      <c r="AG93" s="96">
        <f>+AG91*(1+AG92)</f>
        <v>0</v>
      </c>
      <c r="AJ93" s="96">
        <f>+AJ91*(1+AJ92)</f>
        <v>0</v>
      </c>
      <c r="AM93" s="96">
        <f>+AM91*(1+AM92)</f>
        <v>0</v>
      </c>
    </row>
    <row r="95" spans="1:39" x14ac:dyDescent="0.2">
      <c r="A95" s="2437" t="s">
        <v>138</v>
      </c>
      <c r="B95" s="2437"/>
      <c r="C95" s="2437"/>
      <c r="F95" s="116">
        <f>+F87</f>
        <v>0</v>
      </c>
      <c r="G95" s="115"/>
      <c r="H95" s="115"/>
      <c r="I95" s="116">
        <f>+I87</f>
        <v>0</v>
      </c>
      <c r="J95" s="115"/>
      <c r="K95" s="115"/>
      <c r="L95" s="116">
        <f>+L87</f>
        <v>0</v>
      </c>
      <c r="M95" s="115"/>
      <c r="N95" s="115"/>
      <c r="O95" s="116">
        <f>+O87</f>
        <v>0</v>
      </c>
      <c r="P95" s="115"/>
      <c r="Q95" s="115"/>
      <c r="R95" s="116">
        <f>+R87</f>
        <v>0</v>
      </c>
      <c r="S95" s="115"/>
      <c r="T95" s="115"/>
      <c r="U95" s="116">
        <f>+U87</f>
        <v>0</v>
      </c>
      <c r="V95" s="115"/>
      <c r="W95" s="115"/>
      <c r="X95" s="116">
        <f>+X87</f>
        <v>0</v>
      </c>
      <c r="Y95" s="115"/>
      <c r="Z95" s="115"/>
      <c r="AA95" s="116">
        <f>+AA87</f>
        <v>0</v>
      </c>
      <c r="AB95" s="115"/>
      <c r="AC95" s="115"/>
      <c r="AD95" s="116">
        <f>+AD87</f>
        <v>0</v>
      </c>
      <c r="AE95" s="115"/>
      <c r="AF95" s="115"/>
      <c r="AG95" s="116">
        <f>+AG87</f>
        <v>0</v>
      </c>
      <c r="AH95" s="115"/>
      <c r="AI95" s="115"/>
      <c r="AJ95" s="116">
        <f>+AJ87</f>
        <v>0</v>
      </c>
      <c r="AK95" s="115"/>
      <c r="AL95" s="115"/>
      <c r="AM95" s="116">
        <f>+AM87</f>
        <v>0</v>
      </c>
    </row>
    <row r="96" spans="1:39" ht="27" customHeight="1" x14ac:dyDescent="0.2">
      <c r="A96" s="2436" t="s">
        <v>1699</v>
      </c>
      <c r="B96" s="2436"/>
      <c r="C96" s="2436"/>
      <c r="D96" s="1486"/>
      <c r="E96" s="1486"/>
      <c r="F96" s="1591">
        <f>+IF(F95&gt;0,F95,0)</f>
        <v>0</v>
      </c>
      <c r="G96" s="1592"/>
      <c r="H96" s="1592"/>
      <c r="I96" s="1591">
        <f>+IF(I95&gt;0,I95,0)</f>
        <v>0</v>
      </c>
      <c r="J96" s="1592"/>
      <c r="K96" s="1592"/>
      <c r="L96" s="1591">
        <f>+IF(L95&gt;0,L95,0)</f>
        <v>0</v>
      </c>
      <c r="M96" s="1592"/>
      <c r="N96" s="1592"/>
      <c r="O96" s="1591">
        <f>+IF(O95&gt;0,O95,0)</f>
        <v>0</v>
      </c>
      <c r="P96" s="1592"/>
      <c r="Q96" s="1592"/>
      <c r="R96" s="1591">
        <f>+IF(R95&gt;0,R95,0)</f>
        <v>0</v>
      </c>
      <c r="S96" s="1592"/>
      <c r="T96" s="1592"/>
      <c r="U96" s="1591">
        <f>+IF(U95&gt;0,U95,0)</f>
        <v>0</v>
      </c>
      <c r="V96" s="1592"/>
      <c r="W96" s="1592"/>
      <c r="X96" s="1591">
        <f>+IF(X95&gt;0,X95,0)</f>
        <v>0</v>
      </c>
      <c r="Y96" s="1592"/>
      <c r="Z96" s="1592"/>
      <c r="AA96" s="1591">
        <f>+IF(AA95&gt;0,AA95,0)</f>
        <v>0</v>
      </c>
      <c r="AB96" s="1592"/>
      <c r="AC96" s="1592"/>
      <c r="AD96" s="1591">
        <f>+IF(AD95&gt;0,AD95,0)</f>
        <v>0</v>
      </c>
      <c r="AE96" s="1592"/>
      <c r="AF96" s="1592"/>
      <c r="AG96" s="1591">
        <f>+IF(AG95&gt;0,AG95,0)</f>
        <v>0</v>
      </c>
      <c r="AH96" s="1592"/>
      <c r="AI96" s="1592"/>
      <c r="AJ96" s="1591">
        <f>+IF(AJ95&gt;0,AJ95,0)</f>
        <v>0</v>
      </c>
      <c r="AK96" s="1592"/>
      <c r="AL96" s="1592"/>
      <c r="AM96" s="1591">
        <f>+IF(AM95&gt;0,AM95,0)</f>
        <v>0</v>
      </c>
    </row>
    <row r="100" spans="5:9" x14ac:dyDescent="0.2">
      <c r="E100" s="24"/>
      <c r="F100" s="24"/>
      <c r="G100" s="24"/>
      <c r="H100" s="24"/>
      <c r="I100" s="24"/>
    </row>
    <row r="101" spans="5:9" x14ac:dyDescent="0.2">
      <c r="E101" s="24"/>
      <c r="F101" s="24"/>
      <c r="G101" s="24"/>
      <c r="H101" s="181" t="s">
        <v>855</v>
      </c>
      <c r="I101" s="964" t="s">
        <v>429</v>
      </c>
    </row>
  </sheetData>
  <sheetProtection algorithmName="SHA-512" hashValue="5tPy2veyP9YcdH0Kcrpz8bgxtGZltZ2r31j0sioengvjRGHrFrOC8lXDeR1tUvqgXpDQX98Go2gCStZHdKihRg==" saltValue="5ONV61dJkTodYkddcb+pJg==" spinCount="100000" sheet="1" objects="1" scenarios="1" formatCells="0" formatColumns="0" formatRows="0" insertColumns="0" insertRows="0" insertHyperlinks="0" sort="0" autoFilter="0" pivotTables="0"/>
  <mergeCells count="74">
    <mergeCell ref="AH67:AJ67"/>
    <mergeCell ref="AK67:AM67"/>
    <mergeCell ref="P65:R65"/>
    <mergeCell ref="S67:U67"/>
    <mergeCell ref="V67:X67"/>
    <mergeCell ref="Y67:AA67"/>
    <mergeCell ref="AB67:AD67"/>
    <mergeCell ref="AE67:AG67"/>
    <mergeCell ref="D67:F67"/>
    <mergeCell ref="G67:I67"/>
    <mergeCell ref="J67:L67"/>
    <mergeCell ref="M67:O67"/>
    <mergeCell ref="P67:R67"/>
    <mergeCell ref="AK7:AM7"/>
    <mergeCell ref="AN7:AP7"/>
    <mergeCell ref="D1:AM1"/>
    <mergeCell ref="P3:R3"/>
    <mergeCell ref="J5:L5"/>
    <mergeCell ref="D7:F7"/>
    <mergeCell ref="G7:I7"/>
    <mergeCell ref="J7:L7"/>
    <mergeCell ref="M7:O7"/>
    <mergeCell ref="P7:R7"/>
    <mergeCell ref="S7:U7"/>
    <mergeCell ref="V7:X7"/>
    <mergeCell ref="S49:U49"/>
    <mergeCell ref="Y7:AA7"/>
    <mergeCell ref="AB7:AD7"/>
    <mergeCell ref="AE7:AG7"/>
    <mergeCell ref="AH7:AJ7"/>
    <mergeCell ref="D49:F49"/>
    <mergeCell ref="G49:I49"/>
    <mergeCell ref="J49:L49"/>
    <mergeCell ref="M49:O49"/>
    <mergeCell ref="P49:R49"/>
    <mergeCell ref="AN49:AP49"/>
    <mergeCell ref="V49:X49"/>
    <mergeCell ref="Y49:AA49"/>
    <mergeCell ref="AB49:AD49"/>
    <mergeCell ref="AE49:AG49"/>
    <mergeCell ref="AH49:AJ49"/>
    <mergeCell ref="AK49:AM49"/>
    <mergeCell ref="A96:C96"/>
    <mergeCell ref="A95:C95"/>
    <mergeCell ref="A93:C93"/>
    <mergeCell ref="A92:C92"/>
    <mergeCell ref="A91:C91"/>
    <mergeCell ref="A89:C89"/>
    <mergeCell ref="A87:C87"/>
    <mergeCell ref="A85:C85"/>
    <mergeCell ref="A84:C84"/>
    <mergeCell ref="A82:C82"/>
    <mergeCell ref="A81:C81"/>
    <mergeCell ref="A80:C80"/>
    <mergeCell ref="A78:C78"/>
    <mergeCell ref="A75:C75"/>
    <mergeCell ref="A76:C76"/>
    <mergeCell ref="A74:C74"/>
    <mergeCell ref="A73:C73"/>
    <mergeCell ref="A71:C71"/>
    <mergeCell ref="A70:C70"/>
    <mergeCell ref="A69:C69"/>
    <mergeCell ref="A68:C68"/>
    <mergeCell ref="A42:C42"/>
    <mergeCell ref="A44:C44"/>
    <mergeCell ref="A45:C45"/>
    <mergeCell ref="A50:C50"/>
    <mergeCell ref="A51:C51"/>
    <mergeCell ref="A52:C52"/>
    <mergeCell ref="A54:C54"/>
    <mergeCell ref="A55:C55"/>
    <mergeCell ref="A57:C57"/>
    <mergeCell ref="A59:C59"/>
    <mergeCell ref="A60:C60"/>
  </mergeCells>
  <conditionalFormatting sqref="F81">
    <cfRule type="notContainsBlanks" dxfId="3939" priority="1">
      <formula>LEN(TRIM(F81))&gt;0</formula>
    </cfRule>
  </conditionalFormatting>
  <conditionalFormatting sqref="F87">
    <cfRule type="expression" dxfId="3938" priority="2">
      <formula>$CA$3="OUI"</formula>
    </cfRule>
    <cfRule type="cellIs" dxfId="3937" priority="3" operator="greaterThan">
      <formula>0</formula>
    </cfRule>
    <cfRule type="cellIs" dxfId="3936" priority="4" operator="equal">
      <formula>0</formula>
    </cfRule>
  </conditionalFormatting>
  <conditionalFormatting sqref="G7:I96">
    <cfRule type="expression" dxfId="3935" priority="5">
      <formula>$CA$3="OUI"</formula>
    </cfRule>
  </conditionalFormatting>
  <conditionalFormatting sqref="I87">
    <cfRule type="cellIs" dxfId="3934" priority="6" operator="greaterThan">
      <formula>0</formula>
    </cfRule>
    <cfRule type="cellIs" dxfId="3933" priority="7" operator="equal">
      <formula>0</formula>
    </cfRule>
  </conditionalFormatting>
  <conditionalFormatting sqref="J87:K87">
    <cfRule type="expression" dxfId="3932" priority="39">
      <formula>$CB$3="OUI"</formula>
    </cfRule>
  </conditionalFormatting>
  <conditionalFormatting sqref="J7:L86 J88:L96">
    <cfRule type="expression" dxfId="3931" priority="72">
      <formula>$CB$3="OUI"</formula>
    </cfRule>
  </conditionalFormatting>
  <conditionalFormatting sqref="L87">
    <cfRule type="expression" dxfId="3930" priority="8">
      <formula>$CA$3="OUI"</formula>
    </cfRule>
    <cfRule type="cellIs" dxfId="3929" priority="9" operator="greaterThan">
      <formula>0</formula>
    </cfRule>
    <cfRule type="cellIs" dxfId="3928" priority="10" operator="equal">
      <formula>0</formula>
    </cfRule>
  </conditionalFormatting>
  <conditionalFormatting sqref="M87:N87">
    <cfRule type="expression" dxfId="3927" priority="40">
      <formula>$CC$3="OUI"</formula>
    </cfRule>
  </conditionalFormatting>
  <conditionalFormatting sqref="M7:O60 M67:O86 M88:O96">
    <cfRule type="expression" dxfId="3926" priority="73">
      <formula>$CC$3="OUI"</formula>
    </cfRule>
  </conditionalFormatting>
  <conditionalFormatting sqref="O87">
    <cfRule type="expression" dxfId="3925" priority="11">
      <formula>$CA$3="OUI"</formula>
    </cfRule>
    <cfRule type="cellIs" dxfId="3924" priority="12" operator="greaterThan">
      <formula>0</formula>
    </cfRule>
    <cfRule type="cellIs" dxfId="3923" priority="13" operator="equal">
      <formula>0</formula>
    </cfRule>
  </conditionalFormatting>
  <conditionalFormatting sqref="P87:Q87">
    <cfRule type="expression" dxfId="3922" priority="41">
      <formula>$CD$3="OUI"</formula>
    </cfRule>
  </conditionalFormatting>
  <conditionalFormatting sqref="P7:R60 P67:R86 P88:R96">
    <cfRule type="expression" dxfId="3921" priority="74">
      <formula>$CD$3="OUI"</formula>
    </cfRule>
  </conditionalFormatting>
  <conditionalFormatting sqref="R87">
    <cfRule type="expression" dxfId="3920" priority="14">
      <formula>$CA$3="OUI"</formula>
    </cfRule>
    <cfRule type="cellIs" dxfId="3919" priority="15" operator="greaterThan">
      <formula>0</formula>
    </cfRule>
    <cfRule type="cellIs" dxfId="3918" priority="16" operator="equal">
      <formula>0</formula>
    </cfRule>
  </conditionalFormatting>
  <conditionalFormatting sqref="S87:T87">
    <cfRule type="expression" dxfId="3917" priority="42">
      <formula>$CE$3="OUI"</formula>
    </cfRule>
  </conditionalFormatting>
  <conditionalFormatting sqref="S7:U86 S88:U96">
    <cfRule type="expression" dxfId="3916" priority="75">
      <formula>$CE$3="OUI"</formula>
    </cfRule>
  </conditionalFormatting>
  <conditionalFormatting sqref="U87">
    <cfRule type="expression" dxfId="3915" priority="17">
      <formula>$CA$3="OUI"</formula>
    </cfRule>
    <cfRule type="cellIs" dxfId="3914" priority="18" operator="greaterThan">
      <formula>0</formula>
    </cfRule>
    <cfRule type="cellIs" dxfId="3913" priority="19" operator="equal">
      <formula>0</formula>
    </cfRule>
  </conditionalFormatting>
  <conditionalFormatting sqref="V87:W87">
    <cfRule type="expression" dxfId="3912" priority="43">
      <formula>$CF$3="OUI"</formula>
    </cfRule>
  </conditionalFormatting>
  <conditionalFormatting sqref="V7:X86 V88:X96">
    <cfRule type="expression" dxfId="3911" priority="76">
      <formula>$CF$3="OUI"</formula>
    </cfRule>
  </conditionalFormatting>
  <conditionalFormatting sqref="X87">
    <cfRule type="expression" dxfId="3910" priority="20">
      <formula>$CA$3="OUI"</formula>
    </cfRule>
    <cfRule type="cellIs" dxfId="3909" priority="21" operator="greaterThan">
      <formula>0</formula>
    </cfRule>
    <cfRule type="cellIs" dxfId="3908" priority="22" operator="equal">
      <formula>0</formula>
    </cfRule>
  </conditionalFormatting>
  <conditionalFormatting sqref="Y87:Z87">
    <cfRule type="expression" dxfId="3907" priority="44">
      <formula>$CG$3="OUI"</formula>
    </cfRule>
  </conditionalFormatting>
  <conditionalFormatting sqref="Y7:AA86 Y88:AA96">
    <cfRule type="expression" dxfId="3906" priority="77">
      <formula>$CG$3="OUI"</formula>
    </cfRule>
  </conditionalFormatting>
  <conditionalFormatting sqref="AA87">
    <cfRule type="expression" dxfId="3905" priority="35">
      <formula>$CA$3="OUI"</formula>
    </cfRule>
    <cfRule type="cellIs" dxfId="3904" priority="37" operator="equal">
      <formula>0</formula>
    </cfRule>
    <cfRule type="cellIs" dxfId="3903" priority="36" operator="greaterThan">
      <formula>0</formula>
    </cfRule>
  </conditionalFormatting>
  <conditionalFormatting sqref="AB87:AC87">
    <cfRule type="expression" dxfId="3902" priority="45">
      <formula>$CH$3="OUI"</formula>
    </cfRule>
  </conditionalFormatting>
  <conditionalFormatting sqref="AB7:AD86 AB88:AD96">
    <cfRule type="expression" dxfId="3901" priority="78">
      <formula>$CH$3="OUI"</formula>
    </cfRule>
  </conditionalFormatting>
  <conditionalFormatting sqref="AD87">
    <cfRule type="cellIs" dxfId="3900" priority="34" operator="equal">
      <formula>0</formula>
    </cfRule>
    <cfRule type="expression" dxfId="3899" priority="32">
      <formula>$CA$3="OUI"</formula>
    </cfRule>
    <cfRule type="cellIs" dxfId="3898" priority="33" operator="greaterThan">
      <formula>0</formula>
    </cfRule>
  </conditionalFormatting>
  <conditionalFormatting sqref="AE87:AF87">
    <cfRule type="expression" dxfId="3897" priority="46">
      <formula>$CI$3="OUI"</formula>
    </cfRule>
  </conditionalFormatting>
  <conditionalFormatting sqref="AE7:AG86 AE88:AG96">
    <cfRule type="expression" dxfId="3896" priority="79">
      <formula>$CI$3="OUI"</formula>
    </cfRule>
  </conditionalFormatting>
  <conditionalFormatting sqref="AG87">
    <cfRule type="expression" dxfId="3895" priority="29">
      <formula>$CA$3="OUI"</formula>
    </cfRule>
    <cfRule type="cellIs" dxfId="3894" priority="30" operator="greaterThan">
      <formula>0</formula>
    </cfRule>
    <cfRule type="cellIs" dxfId="3893" priority="31" operator="equal">
      <formula>0</formula>
    </cfRule>
  </conditionalFormatting>
  <conditionalFormatting sqref="AH87:AI87">
    <cfRule type="expression" dxfId="3892" priority="47">
      <formula>$CJ$3="OUI"</formula>
    </cfRule>
  </conditionalFormatting>
  <conditionalFormatting sqref="AH7:AJ86 AH88:AJ96">
    <cfRule type="expression" dxfId="3891" priority="80">
      <formula>$CJ$3="OUI"</formula>
    </cfRule>
  </conditionalFormatting>
  <conditionalFormatting sqref="AJ87">
    <cfRule type="cellIs" dxfId="3890" priority="28" operator="equal">
      <formula>0</formula>
    </cfRule>
    <cfRule type="cellIs" dxfId="3889" priority="27" operator="greaterThan">
      <formula>0</formula>
    </cfRule>
    <cfRule type="expression" dxfId="3888" priority="26">
      <formula>$CA$3="OUI"</formula>
    </cfRule>
  </conditionalFormatting>
  <conditionalFormatting sqref="AK87:AL87">
    <cfRule type="expression" dxfId="3887" priority="48">
      <formula>$CK$3="OUI"</formula>
    </cfRule>
  </conditionalFormatting>
  <conditionalFormatting sqref="AK7:AM86 AK88:AM96">
    <cfRule type="expression" dxfId="3886" priority="81">
      <formula>$CK$3="OUI"</formula>
    </cfRule>
  </conditionalFormatting>
  <conditionalFormatting sqref="AM87">
    <cfRule type="cellIs" dxfId="3885" priority="25" operator="equal">
      <formula>0</formula>
    </cfRule>
    <cfRule type="cellIs" dxfId="3884" priority="24" operator="greaterThan">
      <formula>0</formula>
    </cfRule>
    <cfRule type="expression" dxfId="3883" priority="23">
      <formula>$CA$3="OUI"</formula>
    </cfRule>
  </conditionalFormatting>
  <dataValidations count="3">
    <dataValidation showInputMessage="1" showErrorMessage="1" sqref="F84:AM84" xr:uid="{00000000-0002-0000-2600-000000000000}"/>
    <dataValidation type="list" showInputMessage="1" showErrorMessage="1" sqref="L85 O85 R85 U85 X85 AA85 AD85 AG85 AJ85 AM85 F85 I85" xr:uid="{00000000-0002-0000-2600-000001000000}">
      <formula1>"NON,OUI"</formula1>
    </dataValidation>
    <dataValidation type="list" allowBlank="1" showInputMessage="1" showErrorMessage="1" sqref="I101" xr:uid="{00000000-0002-0000-2600-000002000000}">
      <formula1>"OUI,NON"</formula1>
    </dataValidation>
  </dataValidations>
  <pageMargins left="0.23622047244094491" right="0.23622047244094491" top="0.74803149606299213" bottom="0.74803149606299213" header="0.31496062992125984" footer="0.31496062992125984"/>
  <pageSetup paperSize="9" scale="43" orientation="landscape" horizontalDpi="1200" verticalDpi="1200" r:id="rId1"/>
  <rowBreaks count="1" manualBreakCount="1">
    <brk id="61" max="16383"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sheetPr>
  <dimension ref="A1:M29"/>
  <sheetViews>
    <sheetView showGridLines="0" zoomScale="90" zoomScaleNormal="90" workbookViewId="0">
      <selection activeCell="F5" sqref="F5"/>
    </sheetView>
  </sheetViews>
  <sheetFormatPr baseColWidth="10" defaultColWidth="11.42578125" defaultRowHeight="18" x14ac:dyDescent="0.25"/>
  <cols>
    <col min="1" max="1" width="5.140625" style="140" customWidth="1"/>
    <col min="2" max="2" width="18.5703125" style="140" customWidth="1"/>
    <col min="3" max="3" width="17.5703125" style="140" customWidth="1"/>
    <col min="4" max="4" width="19.85546875" style="140" customWidth="1"/>
    <col min="5" max="5" width="3.140625" style="140" customWidth="1"/>
    <col min="6" max="7" width="11.42578125" style="140"/>
    <col min="8" max="8" width="3.85546875" style="140" customWidth="1"/>
    <col min="9" max="11" width="18.140625" style="140" customWidth="1"/>
    <col min="12" max="12" width="4.28515625" style="140" customWidth="1"/>
    <col min="13" max="16384" width="11.42578125" style="140"/>
  </cols>
  <sheetData>
    <row r="1" spans="1:13" ht="24" customHeight="1" x14ac:dyDescent="0.25">
      <c r="C1" s="1035" t="str">
        <f>+'Mode d''utilisation'!E2</f>
        <v>Syndicat National FO des Emplois de la Famille         www.emploisdelafamille-fo.fr</v>
      </c>
    </row>
    <row r="2" spans="1:13" ht="18.75" thickBot="1" x14ac:dyDescent="0.3"/>
    <row r="3" spans="1:13" ht="18.75" thickTop="1" x14ac:dyDescent="0.25">
      <c r="A3" s="1645" t="s">
        <v>1119</v>
      </c>
      <c r="B3" s="1646"/>
      <c r="C3" s="1646"/>
      <c r="D3" s="1646"/>
      <c r="E3" s="1647"/>
      <c r="H3" s="1648" t="s">
        <v>1123</v>
      </c>
      <c r="I3" s="1649"/>
      <c r="J3" s="1649"/>
      <c r="K3" s="1649"/>
      <c r="L3" s="1650"/>
      <c r="M3" s="340"/>
    </row>
    <row r="4" spans="1:13" x14ac:dyDescent="0.25">
      <c r="A4" s="680"/>
      <c r="E4" s="681"/>
      <c r="H4" s="685"/>
      <c r="L4" s="686"/>
    </row>
    <row r="5" spans="1:13" x14ac:dyDescent="0.25">
      <c r="A5" s="680"/>
      <c r="B5" s="525" t="s">
        <v>1120</v>
      </c>
      <c r="C5" s="525"/>
      <c r="D5" s="525" t="s">
        <v>1118</v>
      </c>
      <c r="E5" s="681"/>
      <c r="H5" s="685"/>
      <c r="I5" s="525" t="s">
        <v>1124</v>
      </c>
      <c r="J5" s="525"/>
      <c r="K5" s="525" t="s">
        <v>1125</v>
      </c>
      <c r="L5" s="686"/>
    </row>
    <row r="6" spans="1:13" ht="18.75" thickBot="1" x14ac:dyDescent="0.3">
      <c r="A6" s="680"/>
      <c r="E6" s="681"/>
      <c r="H6" s="685"/>
      <c r="L6" s="686"/>
    </row>
    <row r="7" spans="1:13" ht="18.75" thickBot="1" x14ac:dyDescent="0.3">
      <c r="A7" s="680"/>
      <c r="B7" s="1049"/>
      <c r="C7" s="679" t="s">
        <v>1121</v>
      </c>
      <c r="D7" s="677">
        <f>+B7*100/60</f>
        <v>0</v>
      </c>
      <c r="E7" s="681"/>
      <c r="H7" s="685"/>
      <c r="I7" s="1051"/>
      <c r="J7" s="679" t="s">
        <v>1121</v>
      </c>
      <c r="K7" s="691">
        <f>+I7*J12</f>
        <v>0</v>
      </c>
      <c r="L7" s="686"/>
    </row>
    <row r="8" spans="1:13" ht="18.75" thickBot="1" x14ac:dyDescent="0.3">
      <c r="A8" s="680"/>
      <c r="E8" s="681"/>
      <c r="H8" s="685"/>
      <c r="L8" s="686"/>
    </row>
    <row r="9" spans="1:13" ht="18.75" thickBot="1" x14ac:dyDescent="0.3">
      <c r="A9" s="680"/>
      <c r="B9" s="678">
        <f>+D9*0.6</f>
        <v>0</v>
      </c>
      <c r="C9" s="679" t="s">
        <v>1122</v>
      </c>
      <c r="D9" s="1050"/>
      <c r="E9" s="681"/>
      <c r="H9" s="685"/>
      <c r="I9" s="691">
        <f>+K9/J12</f>
        <v>0</v>
      </c>
      <c r="J9" s="679" t="s">
        <v>1122</v>
      </c>
      <c r="K9" s="1051"/>
      <c r="L9" s="686"/>
    </row>
    <row r="10" spans="1:13" ht="18.75" thickBot="1" x14ac:dyDescent="0.3">
      <c r="A10" s="682"/>
      <c r="B10" s="683"/>
      <c r="C10" s="683"/>
      <c r="D10" s="683"/>
      <c r="E10" s="684"/>
      <c r="H10" s="685"/>
      <c r="L10" s="686"/>
    </row>
    <row r="11" spans="1:13" ht="18.75" thickTop="1" x14ac:dyDescent="0.25">
      <c r="H11" s="685"/>
      <c r="L11" s="686"/>
    </row>
    <row r="12" spans="1:13" x14ac:dyDescent="0.25">
      <c r="H12" s="685"/>
      <c r="I12" s="29" t="s">
        <v>1131</v>
      </c>
      <c r="J12" s="949">
        <f>IF(J13="NON",+Identification!$B$71,VLOOKUP(K13,Identification!A78:B81,2,FALSE))</f>
        <v>0.88200000000000001</v>
      </c>
      <c r="K12" s="27" t="s">
        <v>1496</v>
      </c>
      <c r="L12" s="686"/>
    </row>
    <row r="13" spans="1:13" x14ac:dyDescent="0.25">
      <c r="A13" s="1652"/>
      <c r="B13" s="1652"/>
      <c r="C13" s="1652"/>
      <c r="D13" s="1652"/>
      <c r="E13" s="1652"/>
      <c r="H13" s="685"/>
      <c r="I13" s="29" t="s">
        <v>1126</v>
      </c>
      <c r="J13" s="690" t="s">
        <v>137</v>
      </c>
      <c r="K13" s="1289">
        <v>44927</v>
      </c>
      <c r="L13" s="686"/>
    </row>
    <row r="14" spans="1:13" ht="18.75" thickBot="1" x14ac:dyDescent="0.3">
      <c r="A14" s="340"/>
      <c r="B14" s="340"/>
      <c r="C14" s="340"/>
      <c r="D14" s="340"/>
      <c r="E14" s="340"/>
      <c r="H14" s="687"/>
      <c r="I14" s="688"/>
      <c r="J14" s="688"/>
      <c r="K14" s="688"/>
      <c r="L14" s="689"/>
    </row>
    <row r="15" spans="1:13" ht="19.5" thickTop="1" thickBot="1" x14ac:dyDescent="0.3">
      <c r="A15" s="1652"/>
      <c r="B15" s="1652"/>
      <c r="C15" s="1652"/>
      <c r="D15" s="1652"/>
      <c r="E15" s="1652"/>
    </row>
    <row r="16" spans="1:13" ht="18.75" thickTop="1" x14ac:dyDescent="0.25">
      <c r="C16" s="1632"/>
      <c r="H16" s="1648" t="s">
        <v>1123</v>
      </c>
      <c r="I16" s="1649"/>
      <c r="J16" s="1649"/>
      <c r="K16" s="1649"/>
      <c r="L16" s="1650"/>
    </row>
    <row r="17" spans="1:12" x14ac:dyDescent="0.25">
      <c r="D17" s="692"/>
      <c r="H17" s="1651" t="s">
        <v>1127</v>
      </c>
      <c r="I17" s="1652"/>
      <c r="J17" s="1652"/>
      <c r="K17" s="1652"/>
      <c r="L17" s="1653"/>
    </row>
    <row r="18" spans="1:12" x14ac:dyDescent="0.25">
      <c r="C18" s="1633"/>
      <c r="D18" s="1634"/>
      <c r="H18" s="685"/>
      <c r="J18" s="1604">
        <v>0.25</v>
      </c>
      <c r="L18" s="686"/>
    </row>
    <row r="19" spans="1:12" x14ac:dyDescent="0.25">
      <c r="H19" s="685"/>
      <c r="K19" s="692" t="s">
        <v>1130</v>
      </c>
      <c r="L19" s="686"/>
    </row>
    <row r="20" spans="1:12" x14ac:dyDescent="0.25">
      <c r="B20" s="525"/>
      <c r="C20" s="525"/>
      <c r="D20" s="525"/>
      <c r="H20" s="685"/>
      <c r="I20" s="140" t="s">
        <v>910</v>
      </c>
      <c r="J20" s="1052">
        <v>0</v>
      </c>
      <c r="K20" s="1053" t="s">
        <v>1129</v>
      </c>
      <c r="L20" s="686"/>
    </row>
    <row r="21" spans="1:12" x14ac:dyDescent="0.25">
      <c r="C21" s="525"/>
      <c r="H21" s="685"/>
      <c r="L21" s="686"/>
    </row>
    <row r="22" spans="1:12" x14ac:dyDescent="0.25">
      <c r="B22" s="1635"/>
      <c r="C22" s="679"/>
      <c r="D22" s="1635"/>
      <c r="H22" s="685"/>
      <c r="I22" s="525" t="s">
        <v>1124</v>
      </c>
      <c r="J22" s="525"/>
      <c r="K22" s="525" t="s">
        <v>1125</v>
      </c>
      <c r="L22" s="686"/>
    </row>
    <row r="23" spans="1:12" ht="18.75" thickBot="1" x14ac:dyDescent="0.3">
      <c r="H23" s="685"/>
      <c r="J23" s="525" t="s">
        <v>1128</v>
      </c>
      <c r="L23" s="686"/>
    </row>
    <row r="24" spans="1:12" ht="18.75" thickBot="1" x14ac:dyDescent="0.3">
      <c r="B24" s="29"/>
      <c r="C24" s="525"/>
      <c r="D24" s="27"/>
      <c r="H24" s="685"/>
      <c r="I24" s="691">
        <f>IF(K20="Brut",J20*(1+J18),IF(K20="Net",J20/J26*(1+J18),0))</f>
        <v>0</v>
      </c>
      <c r="J24" s="679"/>
      <c r="K24" s="691">
        <f>I24*J26</f>
        <v>0</v>
      </c>
      <c r="L24" s="686"/>
    </row>
    <row r="25" spans="1:12" x14ac:dyDescent="0.25">
      <c r="B25" s="29"/>
      <c r="C25" s="1636"/>
      <c r="D25" s="1637"/>
      <c r="H25" s="685"/>
      <c r="L25" s="686"/>
    </row>
    <row r="26" spans="1:12" x14ac:dyDescent="0.25">
      <c r="A26" s="1644"/>
      <c r="B26" s="1644"/>
      <c r="C26" s="1644"/>
      <c r="D26" s="1644"/>
      <c r="E26" s="1644"/>
      <c r="H26" s="685"/>
      <c r="I26" s="29" t="s">
        <v>1131</v>
      </c>
      <c r="J26" s="949">
        <f>IF(J27="NON",+Identification!$B$71,VLOOKUP(K27,Identification!A78:B81,2,FALSE))</f>
        <v>0.88200000000000001</v>
      </c>
      <c r="K26" s="27" t="s">
        <v>1496</v>
      </c>
      <c r="L26" s="686"/>
    </row>
    <row r="27" spans="1:12" x14ac:dyDescent="0.25">
      <c r="H27" s="685"/>
      <c r="I27" s="29" t="s">
        <v>1126</v>
      </c>
      <c r="J27" s="690" t="s">
        <v>137</v>
      </c>
      <c r="K27" s="1289">
        <v>44927</v>
      </c>
      <c r="L27" s="686"/>
    </row>
    <row r="28" spans="1:12" ht="18.75" thickBot="1" x14ac:dyDescent="0.3">
      <c r="H28" s="687"/>
      <c r="I28" s="688"/>
      <c r="J28" s="688"/>
      <c r="K28" s="688"/>
      <c r="L28" s="689"/>
    </row>
    <row r="29" spans="1:12" ht="18.75" thickTop="1" x14ac:dyDescent="0.25"/>
  </sheetData>
  <sheetProtection algorithmName="SHA-512" hashValue="slUk/rJhwGPLdyKnk8KGOY3RbQm1914gJaNsWnJfpGX4CrDlhQYGbhKFzmcJEVnTXY1rHg9cdbNpidA3Pv2aVA==" saltValue="feTZDHX//rfQvyInxE8YmQ==" spinCount="100000" sheet="1" objects="1" scenarios="1" formatCells="0" formatColumns="0" formatRows="0" insertColumns="0" insertRows="0" insertHyperlinks="0" sort="0" autoFilter="0" pivotTables="0"/>
  <mergeCells count="7">
    <mergeCell ref="A26:E26"/>
    <mergeCell ref="A3:E3"/>
    <mergeCell ref="H3:L3"/>
    <mergeCell ref="H16:L16"/>
    <mergeCell ref="H17:L17"/>
    <mergeCell ref="A13:E13"/>
    <mergeCell ref="A15:E15"/>
  </mergeCells>
  <conditionalFormatting sqref="B7">
    <cfRule type="cellIs" dxfId="3444" priority="8" operator="greaterThan">
      <formula>0</formula>
    </cfRule>
  </conditionalFormatting>
  <conditionalFormatting sqref="B20:B22">
    <cfRule type="expression" dxfId="3443" priority="33">
      <formula>$D$18="Brut"</formula>
    </cfRule>
  </conditionalFormatting>
  <conditionalFormatting sqref="C16">
    <cfRule type="cellIs" dxfId="3442" priority="4" operator="greaterThan">
      <formula>0</formula>
    </cfRule>
  </conditionalFormatting>
  <conditionalFormatting sqref="C18">
    <cfRule type="cellIs" dxfId="3441" priority="3" operator="greaterThan">
      <formula>0</formula>
    </cfRule>
  </conditionalFormatting>
  <conditionalFormatting sqref="D9">
    <cfRule type="cellIs" dxfId="3440" priority="7" operator="greaterThan">
      <formula>0</formula>
    </cfRule>
  </conditionalFormatting>
  <conditionalFormatting sqref="D20:D22">
    <cfRule type="expression" dxfId="3439" priority="32">
      <formula>$D$18="NET"</formula>
    </cfRule>
  </conditionalFormatting>
  <conditionalFormatting sqref="D24:D25">
    <cfRule type="expression" dxfId="3438" priority="28">
      <formula>$C$25="NON"</formula>
    </cfRule>
  </conditionalFormatting>
  <conditionalFormatting sqref="I7">
    <cfRule type="cellIs" dxfId="3437" priority="6" operator="greaterThan">
      <formula>0</formula>
    </cfRule>
  </conditionalFormatting>
  <conditionalFormatting sqref="I22:I24">
    <cfRule type="expression" dxfId="3436" priority="35">
      <formula>$K$20="Brut"</formula>
    </cfRule>
  </conditionalFormatting>
  <conditionalFormatting sqref="J18">
    <cfRule type="cellIs" dxfId="3435" priority="2" operator="greaterThan">
      <formula>0</formula>
    </cfRule>
  </conditionalFormatting>
  <conditionalFormatting sqref="J20">
    <cfRule type="cellIs" dxfId="3434" priority="1" operator="greaterThan">
      <formula>0</formula>
    </cfRule>
  </conditionalFormatting>
  <conditionalFormatting sqref="K9">
    <cfRule type="cellIs" dxfId="3433" priority="5" operator="greaterThan">
      <formula>0</formula>
    </cfRule>
  </conditionalFormatting>
  <conditionalFormatting sqref="K12:K13">
    <cfRule type="expression" dxfId="3432" priority="26">
      <formula>$J$13="NON"</formula>
    </cfRule>
  </conditionalFormatting>
  <conditionalFormatting sqref="K22:K24">
    <cfRule type="expression" dxfId="3431" priority="34">
      <formula>$K$20="NET"</formula>
    </cfRule>
  </conditionalFormatting>
  <conditionalFormatting sqref="K26:K27">
    <cfRule type="expression" dxfId="3430" priority="27">
      <formula>$J$27="NON"</formula>
    </cfRule>
  </conditionalFormatting>
  <dataValidations count="2">
    <dataValidation type="list" allowBlank="1" showInputMessage="1" sqref="J13 J27 C25" xr:uid="{00000000-0002-0000-0300-000000000000}">
      <formula1>"OUI,NON"</formula1>
    </dataValidation>
    <dataValidation type="list" allowBlank="1" showInputMessage="1" showErrorMessage="1" sqref="K20 D18" xr:uid="{00000000-0002-0000-0300-000001000000}">
      <formula1>"Brut,Net"</formula1>
    </dataValidation>
  </dataValidations>
  <pageMargins left="0.7" right="0.7" top="0.75" bottom="0.75" header="0.3" footer="0.3"/>
  <pageSetup paperSize="9" scale="59"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showInputMessage="1" showErrorMessage="1" xr:uid="{999101E4-7181-4320-9596-B10D1243032B}">
          <x14:formula1>
            <xm:f>Identification!$A$84:$A$87</xm:f>
          </x14:formula1>
          <xm:sqref>D25 K27 K13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7" tint="0.39997558519241921"/>
    <pageSetUpPr fitToPage="1"/>
  </sheetPr>
  <dimension ref="A1:K116"/>
  <sheetViews>
    <sheetView showGridLines="0" zoomScale="90" zoomScaleNormal="90" workbookViewId="0">
      <selection activeCell="D3" sqref="D3"/>
    </sheetView>
  </sheetViews>
  <sheetFormatPr baseColWidth="10" defaultColWidth="11.42578125" defaultRowHeight="12.75" x14ac:dyDescent="0.2"/>
  <cols>
    <col min="1" max="1" width="21" style="16" customWidth="1"/>
    <col min="2" max="2" width="17.42578125" style="16" customWidth="1"/>
    <col min="3" max="3" width="14.85546875" style="16" customWidth="1"/>
    <col min="4" max="4" width="15.85546875" style="16" customWidth="1"/>
    <col min="5" max="11" width="14.85546875" style="16" customWidth="1"/>
    <col min="12" max="12" width="17.5703125" style="16" customWidth="1"/>
    <col min="13" max="16384" width="11.42578125" style="16"/>
  </cols>
  <sheetData>
    <row r="1" spans="1:11" ht="20.25" x14ac:dyDescent="0.3">
      <c r="A1" s="2448" t="s">
        <v>861</v>
      </c>
      <c r="B1" s="2448"/>
      <c r="C1" s="2448"/>
      <c r="D1" s="2448"/>
      <c r="E1" s="2448"/>
      <c r="F1" s="2448"/>
      <c r="G1" s="2448"/>
      <c r="H1" s="2448"/>
      <c r="I1" s="2448"/>
      <c r="J1" s="2448"/>
      <c r="K1" s="2448"/>
    </row>
    <row r="2" spans="1:11" x14ac:dyDescent="0.2">
      <c r="D2" s="2379" t="str">
        <f>+'Mode d''utilisation'!E2</f>
        <v>Syndicat National FO des Emplois de la Famille         www.emploisdelafamille-fo.fr</v>
      </c>
      <c r="E2" s="2379"/>
      <c r="F2" s="2379"/>
      <c r="G2" s="2379"/>
      <c r="H2" s="2379"/>
    </row>
    <row r="4" spans="1:11" x14ac:dyDescent="0.2">
      <c r="C4" s="29" t="s">
        <v>119</v>
      </c>
      <c r="D4" s="1713">
        <f>+Identification!B25</f>
        <v>0</v>
      </c>
      <c r="E4" s="1713"/>
      <c r="F4" s="1713"/>
    </row>
    <row r="6" spans="1:11" x14ac:dyDescent="0.2">
      <c r="B6" s="2450" t="s">
        <v>864</v>
      </c>
      <c r="C6" s="2451"/>
      <c r="D6" s="891" t="s">
        <v>865</v>
      </c>
      <c r="F6" s="450" t="s">
        <v>897</v>
      </c>
      <c r="G6" s="2449" t="s">
        <v>1390</v>
      </c>
      <c r="H6" s="2449"/>
      <c r="I6" s="2449"/>
    </row>
    <row r="7" spans="1:11" x14ac:dyDescent="0.2">
      <c r="A7" s="2454" t="s">
        <v>862</v>
      </c>
      <c r="B7" s="2452" t="str">
        <f>+IF(B8="",VLOOKUP(E7,S.CAL!EM2:EN13,2,FALSE),B8)</f>
        <v>Janvier</v>
      </c>
      <c r="C7" s="2453"/>
      <c r="D7" s="890">
        <f>IF(D8="",+F7,D8)</f>
        <v>1900</v>
      </c>
      <c r="E7" s="24">
        <f>+MONTH(Identification!B28)</f>
        <v>1</v>
      </c>
      <c r="F7" s="24">
        <f>+YEAR(Identification!B28)</f>
        <v>1900</v>
      </c>
      <c r="G7" s="892"/>
      <c r="H7" s="892"/>
    </row>
    <row r="8" spans="1:11" x14ac:dyDescent="0.2">
      <c r="A8" s="2454"/>
      <c r="B8" s="2446"/>
      <c r="C8" s="2447"/>
      <c r="D8" s="1145"/>
    </row>
    <row r="9" spans="1:11" x14ac:dyDescent="0.2">
      <c r="A9" s="39"/>
      <c r="B9" s="24">
        <f>+VLOOKUP(B7,Liste_mois_recherche,2,FALSE)</f>
        <v>1</v>
      </c>
      <c r="C9" s="28">
        <f>+DATE(D7,B9,1)</f>
        <v>1</v>
      </c>
    </row>
    <row r="10" spans="1:11" x14ac:dyDescent="0.2">
      <c r="G10" s="39" t="str">
        <f>+IF(AND(G6="Fin de contrat (Relevé final)",G17&gt;0),"Montant que doit verser l'employeur à l'Assistant(e) Maternel(le) :","")</f>
        <v/>
      </c>
      <c r="H10" s="458" t="str">
        <f>+IF(AND(G6="Fin de contrat (Relevé final)",G17&gt;0),G17,"")</f>
        <v/>
      </c>
    </row>
    <row r="11" spans="1:11" ht="32.25" customHeight="1" x14ac:dyDescent="0.2">
      <c r="B11" s="2444" t="s">
        <v>864</v>
      </c>
      <c r="C11" s="2445"/>
      <c r="D11" s="1417" t="s">
        <v>865</v>
      </c>
      <c r="E11" s="2455" t="str">
        <f>+IF(AND(G6="Fin de contrat (Relevé final)",G17&lt;0),"La régularisation est négative l'employeur ne doit rien à l'assistant(e) maternel(le) et l'assistant(e) maternel(e) ne rembourse rien.","")</f>
        <v/>
      </c>
      <c r="F11" s="2456"/>
      <c r="G11" s="2456"/>
      <c r="H11" s="2456"/>
      <c r="I11" s="2456"/>
    </row>
    <row r="12" spans="1:11" x14ac:dyDescent="0.2">
      <c r="A12" s="2454" t="s">
        <v>863</v>
      </c>
      <c r="B12" s="2452" t="str">
        <f>+IF(B13="",VLOOKUP(E12,S.CAL!EM2:EN13,2,FALSE),B13)</f>
        <v>Décembre</v>
      </c>
      <c r="C12" s="2453"/>
      <c r="D12" s="890">
        <f>IF(D13="",+F12,D13)</f>
        <v>2026</v>
      </c>
      <c r="E12" s="24">
        <f>IF(YEAR(Identification!B95)&lt;YEAR(Identification!B61),12,+MONTH(Identification!B95))</f>
        <v>12</v>
      </c>
      <c r="F12" s="24">
        <f>+IF(YEAR(Identification!B95)&lt;YEAR(Identification!B61),YEAR(Identification!B61),YEAR(Identification!B95))</f>
        <v>2026</v>
      </c>
      <c r="H12" s="459"/>
    </row>
    <row r="13" spans="1:11" x14ac:dyDescent="0.2">
      <c r="A13" s="2454"/>
      <c r="B13" s="2446"/>
      <c r="C13" s="2447"/>
      <c r="D13" s="1145"/>
    </row>
    <row r="14" spans="1:11" x14ac:dyDescent="0.2">
      <c r="C14" s="24">
        <f>+VLOOKUP(B12,Liste_mois_recherche,2,FALSE)</f>
        <v>12</v>
      </c>
      <c r="D14" s="28">
        <f>+DATE(D12,C14,1)</f>
        <v>46357</v>
      </c>
    </row>
    <row r="15" spans="1:11" x14ac:dyDescent="0.2">
      <c r="C15" s="39" t="s">
        <v>894</v>
      </c>
      <c r="D15" s="413">
        <f>SUM(D21:D116)</f>
        <v>0</v>
      </c>
      <c r="F15" s="39" t="s">
        <v>895</v>
      </c>
      <c r="G15" s="413">
        <f>SUM(E21:E116)</f>
        <v>0</v>
      </c>
    </row>
    <row r="16" spans="1:11" x14ac:dyDescent="0.2">
      <c r="B16" s="19"/>
    </row>
    <row r="17" spans="1:8" x14ac:dyDescent="0.2">
      <c r="C17" s="29" t="s">
        <v>1701</v>
      </c>
      <c r="D17" s="1607"/>
      <c r="F17" s="39" t="s">
        <v>896</v>
      </c>
      <c r="G17" s="458">
        <f>SUM(F21:F116)-(SUM(G21:G116))+D17</f>
        <v>0</v>
      </c>
    </row>
    <row r="18" spans="1:8" x14ac:dyDescent="0.2">
      <c r="C18" s="29"/>
      <c r="E18" s="24"/>
      <c r="G18" s="39"/>
      <c r="H18" s="458"/>
    </row>
    <row r="19" spans="1:8" ht="13.5" thickBot="1" x14ac:dyDescent="0.25"/>
    <row r="20" spans="1:8" ht="80.25" customHeight="1" thickBot="1" x14ac:dyDescent="0.25">
      <c r="A20" s="454" t="s">
        <v>880</v>
      </c>
      <c r="B20" s="455" t="s">
        <v>1477</v>
      </c>
      <c r="C20" s="455" t="s">
        <v>1478</v>
      </c>
      <c r="D20" s="455" t="s">
        <v>887</v>
      </c>
      <c r="E20" s="456" t="s">
        <v>1375</v>
      </c>
      <c r="F20" s="457" t="s">
        <v>893</v>
      </c>
      <c r="G20" s="1571" t="s">
        <v>1671</v>
      </c>
      <c r="H20" s="1020" t="s">
        <v>1417</v>
      </c>
    </row>
    <row r="21" spans="1:8" x14ac:dyDescent="0.2">
      <c r="A21" s="460">
        <f>+IFERROR(INDEX(BDDregul!$A$3:$Q$422,MATCH(ROW(A1),BDDregul!$Q$3:$Q$422,0),1),"")</f>
        <v>42005</v>
      </c>
      <c r="B21" s="1183">
        <f>+IFERROR(INDEX(BDDregul!$A$3:$Q$422,MATCH(ROW(A1),BDDregul!$Q$3:$Q$422,0),3)+INDEX(BDDregul!$A$3:$Q$422,MATCH(ROW(A1),BDDregul!$Q$3:$Q$422,0),4),"")</f>
        <v>0</v>
      </c>
      <c r="C21" s="413">
        <f>+IFERROR(INDEX(BDDregul!$A$3:$Q$422,MATCH(ROW(A1),BDDregul!$Q$3:$Q$422,0),14),"")</f>
        <v>0</v>
      </c>
      <c r="D21" s="461">
        <f>+IFERROR(INDEX(BDDregul!$A$3:$Q$422,MATCH(ROW(A1),BDDregul!$Q$3:$Q$422,0),9),"")</f>
        <v>0</v>
      </c>
      <c r="E21" s="461">
        <f>+IFERROR(INDEX(BDDregul!$A$3:$Q$422,MATCH(ROW(A1),BDDregul!$Q$3:$Q$422,0),12),"")</f>
        <v>0</v>
      </c>
      <c r="F21" s="461">
        <f>+IFERROR(INDEX(BDDregul!$A$3:$Q$422,MATCH(ROW(A1),BDDregul!$Q$3:$Q$422,0),13),"")</f>
        <v>0</v>
      </c>
      <c r="G21" s="461">
        <f>+IFERROR(IF(A21=DATE($F$12,$E$12,1),0,INDEX(BDDregul!$A$3:$Q$422,MATCH(ROW(A1),BDDregul!$Q$3:$Q$422,0),15)),"")</f>
        <v>0</v>
      </c>
      <c r="H21" s="461">
        <f>+IF(F21=0,0,F21+D17-G21)</f>
        <v>0</v>
      </c>
    </row>
    <row r="22" spans="1:8" x14ac:dyDescent="0.2">
      <c r="A22" s="460">
        <f>+IFERROR(INDEX(BDDregul!$A$3:$Q$422,MATCH(ROW(A2),BDDregul!$Q$3:$Q$422,0),1),"")</f>
        <v>42036</v>
      </c>
      <c r="B22" s="1184">
        <f>+IFERROR(INDEX(BDDregul!$A$3:$Q$422,MATCH(ROW(A2),BDDregul!$Q$3:$Q$422,0),3)+INDEX(BDDregul!$A$3:$Q$422,MATCH(ROW(A2),BDDregul!$Q$3:$Q$422,0),4),"")</f>
        <v>0</v>
      </c>
      <c r="C22" s="413">
        <f>+IFERROR(INDEX(BDDregul!$A$3:$Q$422,MATCH(ROW(A2),BDDregul!$Q$3:$Q$422,0),14),"")</f>
        <v>0</v>
      </c>
      <c r="D22" s="461">
        <f>+IFERROR(INDEX(BDDregul!$A$3:$Q$422,MATCH(ROW(A2),BDDregul!$Q$3:$Q$422,0),9),"")</f>
        <v>0</v>
      </c>
      <c r="E22" s="461">
        <f>+IFERROR(INDEX(BDDregul!$A$3:$Q$422,MATCH(ROW(A2),BDDregul!$Q$3:$Q$422,0),12),"")</f>
        <v>0</v>
      </c>
      <c r="F22" s="461">
        <f>+IFERROR(INDEX(BDDregul!$A$3:$Q$422,MATCH(ROW(A2),BDDregul!$Q$3:$Q$422,0),13),"")</f>
        <v>0</v>
      </c>
      <c r="G22" s="461">
        <f>+IFERROR(IF(A22=DATE($F$12,$E$12,1),0,INDEX(BDDregul!$A$3:$Q$422,MATCH(ROW(A2),BDDregul!$Q$3:$Q$422,0),15)),"")</f>
        <v>0</v>
      </c>
      <c r="H22" s="461">
        <f>IFERROR(+IF(OR(AND(F22=0,H21&lt;&gt;0),AND(F22&lt;&gt;0,H21&lt;&gt;0)),F22+H21-G22,IF(AND(F22&lt;&gt;0,H21=0),F22+$D$17-G22,0)),"")</f>
        <v>0</v>
      </c>
    </row>
    <row r="23" spans="1:8" x14ac:dyDescent="0.2">
      <c r="A23" s="460">
        <f>+IFERROR(INDEX(BDDregul!$A$3:$Q$422,MATCH(ROW(A3),BDDregul!$Q$3:$Q$422,0),1),"")</f>
        <v>42064</v>
      </c>
      <c r="B23" s="1184">
        <f>+IFERROR(INDEX(BDDregul!$A$3:$Q$422,MATCH(ROW(A3),BDDregul!$Q$3:$Q$422,0),3)+INDEX(BDDregul!$A$3:$Q$422,MATCH(ROW(A3),BDDregul!$Q$3:$Q$422,0),4),"")</f>
        <v>0</v>
      </c>
      <c r="C23" s="413">
        <f>+IFERROR(INDEX(BDDregul!$A$3:$Q$422,MATCH(ROW(A3),BDDregul!$Q$3:$Q$422,0),14),"")</f>
        <v>0</v>
      </c>
      <c r="D23" s="461">
        <f>+IFERROR(INDEX(BDDregul!$A$3:$Q$422,MATCH(ROW(A3),BDDregul!$Q$3:$Q$422,0),9),"")</f>
        <v>0</v>
      </c>
      <c r="E23" s="461">
        <f>+IFERROR(INDEX(BDDregul!$A$3:$Q$422,MATCH(ROW(A3),BDDregul!$Q$3:$Q$422,0),12),"")</f>
        <v>0</v>
      </c>
      <c r="F23" s="461">
        <f>+IFERROR(INDEX(BDDregul!$A$3:$Q$422,MATCH(ROW(A3),BDDregul!$Q$3:$Q$422,0),13),"")</f>
        <v>0</v>
      </c>
      <c r="G23" s="461">
        <f>+IFERROR(IF(A23=DATE($F$12,$E$12,1),0,INDEX(BDDregul!$A$3:$Q$422,MATCH(ROW(A3),BDDregul!$Q$3:$Q$422,0),15)),"")</f>
        <v>0</v>
      </c>
      <c r="H23" s="461">
        <f t="shared" ref="H23:H86" si="0">IFERROR(+IF(OR(AND(F23=0,H22&lt;&gt;0),AND(F23&lt;&gt;0,H22&lt;&gt;0)),F23+H22-G23,IF(AND(F23&lt;&gt;0,H22=0),F23+$D$17-G23,0)),"")</f>
        <v>0</v>
      </c>
    </row>
    <row r="24" spans="1:8" x14ac:dyDescent="0.2">
      <c r="A24" s="460">
        <f>+IFERROR(INDEX(BDDregul!$A$3:$Q$422,MATCH(ROW(A4),BDDregul!$Q$3:$Q$422,0),1),"")</f>
        <v>42095</v>
      </c>
      <c r="B24" s="1184">
        <f>+IFERROR(INDEX(BDDregul!$A$3:$Q$422,MATCH(ROW(A4),BDDregul!$Q$3:$Q$422,0),3)+INDEX(BDDregul!$A$3:$Q$422,MATCH(ROW(A4),BDDregul!$Q$3:$Q$422,0),4),"")</f>
        <v>0</v>
      </c>
      <c r="C24" s="413">
        <f>+IFERROR(INDEX(BDDregul!$A$3:$Q$422,MATCH(ROW(A4),BDDregul!$Q$3:$Q$422,0),14),"")</f>
        <v>0</v>
      </c>
      <c r="D24" s="461">
        <f>+IFERROR(INDEX(BDDregul!$A$3:$Q$422,MATCH(ROW(A4),BDDregul!$Q$3:$Q$422,0),9),"")</f>
        <v>0</v>
      </c>
      <c r="E24" s="461">
        <f>+IFERROR(INDEX(BDDregul!$A$3:$Q$422,MATCH(ROW(A4),BDDregul!$Q$3:$Q$422,0),12),"")</f>
        <v>0</v>
      </c>
      <c r="F24" s="461">
        <f>+IFERROR(INDEX(BDDregul!$A$3:$Q$422,MATCH(ROW(A4),BDDregul!$Q$3:$Q$422,0),13),"")</f>
        <v>0</v>
      </c>
      <c r="G24" s="461">
        <f>+IFERROR(IF(A24=DATE($F$12,$E$12,1),0,INDEX(BDDregul!$A$3:$Q$422,MATCH(ROW(A4),BDDregul!$Q$3:$Q$422,0),15)),"")</f>
        <v>0</v>
      </c>
      <c r="H24" s="461">
        <f t="shared" si="0"/>
        <v>0</v>
      </c>
    </row>
    <row r="25" spans="1:8" x14ac:dyDescent="0.2">
      <c r="A25" s="460">
        <f>+IFERROR(INDEX(BDDregul!$A$3:$Q$422,MATCH(ROW(A5),BDDregul!$Q$3:$Q$422,0),1),"")</f>
        <v>42125</v>
      </c>
      <c r="B25" s="1184">
        <f>+IFERROR(INDEX(BDDregul!$A$3:$Q$422,MATCH(ROW(A5),BDDregul!$Q$3:$Q$422,0),3)+INDEX(BDDregul!$A$3:$Q$422,MATCH(ROW(A5),BDDregul!$Q$3:$Q$422,0),4),"")</f>
        <v>0</v>
      </c>
      <c r="C25" s="413">
        <f>+IFERROR(INDEX(BDDregul!$A$3:$Q$422,MATCH(ROW(A5),BDDregul!$Q$3:$Q$422,0),14),"")</f>
        <v>0</v>
      </c>
      <c r="D25" s="461">
        <f>+IFERROR(INDEX(BDDregul!$A$3:$Q$422,MATCH(ROW(A5),BDDregul!$Q$3:$Q$422,0),9),"")</f>
        <v>0</v>
      </c>
      <c r="E25" s="461">
        <f>+IFERROR(INDEX(BDDregul!$A$3:$Q$422,MATCH(ROW(A5),BDDregul!$Q$3:$Q$422,0),12),"")</f>
        <v>0</v>
      </c>
      <c r="F25" s="461">
        <f>+IFERROR(INDEX(BDDregul!$A$3:$Q$422,MATCH(ROW(A5),BDDregul!$Q$3:$Q$422,0),13),"")</f>
        <v>0</v>
      </c>
      <c r="G25" s="461">
        <f>+IFERROR(IF(A25=DATE($F$12,$E$12,1),0,INDEX(BDDregul!$A$3:$Q$422,MATCH(ROW(A5),BDDregul!$Q$3:$Q$422,0),15)),"")</f>
        <v>0</v>
      </c>
      <c r="H25" s="461">
        <f t="shared" si="0"/>
        <v>0</v>
      </c>
    </row>
    <row r="26" spans="1:8" x14ac:dyDescent="0.2">
      <c r="A26" s="460">
        <f>+IFERROR(INDEX(BDDregul!$A$3:$Q$422,MATCH(ROW(A6),BDDregul!$Q$3:$Q$422,0),1),"")</f>
        <v>42156</v>
      </c>
      <c r="B26" s="1184">
        <f>+IFERROR(INDEX(BDDregul!$A$3:$Q$422,MATCH(ROW(A6),BDDregul!$Q$3:$Q$422,0),3)+INDEX(BDDregul!$A$3:$Q$422,MATCH(ROW(A6),BDDregul!$Q$3:$Q$422,0),4),"")</f>
        <v>0</v>
      </c>
      <c r="C26" s="413">
        <f>+IFERROR(INDEX(BDDregul!$A$3:$Q$422,MATCH(ROW(A6),BDDregul!$Q$3:$Q$422,0),14),"")</f>
        <v>0</v>
      </c>
      <c r="D26" s="461">
        <f>+IFERROR(INDEX(BDDregul!$A$3:$Q$422,MATCH(ROW(A6),BDDregul!$Q$3:$Q$422,0),9),"")</f>
        <v>0</v>
      </c>
      <c r="E26" s="461">
        <f>+IFERROR(INDEX(BDDregul!$A$3:$Q$422,MATCH(ROW(A6),BDDregul!$Q$3:$Q$422,0),12),"")</f>
        <v>0</v>
      </c>
      <c r="F26" s="461">
        <f>+IFERROR(INDEX(BDDregul!$A$3:$Q$422,MATCH(ROW(A6),BDDregul!$Q$3:$Q$422,0),13),"")</f>
        <v>0</v>
      </c>
      <c r="G26" s="461">
        <f>+IFERROR(IF(A26=DATE($F$12,$E$12,1),0,INDEX(BDDregul!$A$3:$Q$422,MATCH(ROW(A6),BDDregul!$Q$3:$Q$422,0),15)),"")</f>
        <v>0</v>
      </c>
      <c r="H26" s="461">
        <f t="shared" si="0"/>
        <v>0</v>
      </c>
    </row>
    <row r="27" spans="1:8" x14ac:dyDescent="0.2">
      <c r="A27" s="460">
        <f>+IFERROR(INDEX(BDDregul!$A$3:$Q$422,MATCH(ROW(A7),BDDregul!$Q$3:$Q$422,0),1),"")</f>
        <v>42186</v>
      </c>
      <c r="B27" s="1184">
        <f>+IFERROR(INDEX(BDDregul!$A$3:$Q$422,MATCH(ROW(A7),BDDregul!$Q$3:$Q$422,0),3)+INDEX(BDDregul!$A$3:$Q$422,MATCH(ROW(A7),BDDregul!$Q$3:$Q$422,0),4),"")</f>
        <v>0</v>
      </c>
      <c r="C27" s="413">
        <f>+IFERROR(INDEX(BDDregul!$A$3:$Q$422,MATCH(ROW(A7),BDDregul!$Q$3:$Q$422,0),14),"")</f>
        <v>0</v>
      </c>
      <c r="D27" s="461">
        <f>+IFERROR(INDEX(BDDregul!$A$3:$Q$422,MATCH(ROW(A7),BDDregul!$Q$3:$Q$422,0),9),"")</f>
        <v>0</v>
      </c>
      <c r="E27" s="461">
        <f>+IFERROR(INDEX(BDDregul!$A$3:$Q$422,MATCH(ROW(A7),BDDregul!$Q$3:$Q$422,0),12),"")</f>
        <v>0</v>
      </c>
      <c r="F27" s="461">
        <f>+IFERROR(INDEX(BDDregul!$A$3:$Q$422,MATCH(ROW(A7),BDDregul!$Q$3:$Q$422,0),13),"")</f>
        <v>0</v>
      </c>
      <c r="G27" s="461">
        <f>+IFERROR(IF(A27=DATE($F$12,$E$12,1),0,INDEX(BDDregul!$A$3:$Q$422,MATCH(ROW(A7),BDDregul!$Q$3:$Q$422,0),15)),"")</f>
        <v>0</v>
      </c>
      <c r="H27" s="461">
        <f t="shared" si="0"/>
        <v>0</v>
      </c>
    </row>
    <row r="28" spans="1:8" x14ac:dyDescent="0.2">
      <c r="A28" s="460">
        <f>+IFERROR(INDEX(BDDregul!$A$3:$Q$422,MATCH(ROW(A8),BDDregul!$Q$3:$Q$422,0),1),"")</f>
        <v>42217</v>
      </c>
      <c r="B28" s="1184">
        <f>+IFERROR(INDEX(BDDregul!$A$3:$Q$422,MATCH(ROW(A8),BDDregul!$Q$3:$Q$422,0),3)+INDEX(BDDregul!$A$3:$Q$422,MATCH(ROW(A8),BDDregul!$Q$3:$Q$422,0),4),"")</f>
        <v>0</v>
      </c>
      <c r="C28" s="413">
        <f>+IFERROR(INDEX(BDDregul!$A$3:$Q$422,MATCH(ROW(A8),BDDregul!$Q$3:$Q$422,0),14),"")</f>
        <v>0</v>
      </c>
      <c r="D28" s="461">
        <f>+IFERROR(INDEX(BDDregul!$A$3:$Q$422,MATCH(ROW(A8),BDDregul!$Q$3:$Q$422,0),9),"")</f>
        <v>0</v>
      </c>
      <c r="E28" s="461">
        <f>+IFERROR(INDEX(BDDregul!$A$3:$Q$422,MATCH(ROW(A8),BDDregul!$Q$3:$Q$422,0),12),"")</f>
        <v>0</v>
      </c>
      <c r="F28" s="461">
        <f>+IFERROR(INDEX(BDDregul!$A$3:$Q$422,MATCH(ROW(A8),BDDregul!$Q$3:$Q$422,0),13),"")</f>
        <v>0</v>
      </c>
      <c r="G28" s="461">
        <f>+IFERROR(IF(A28=DATE($F$12,$E$12,1),0,INDEX(BDDregul!$A$3:$Q$422,MATCH(ROW(A8),BDDregul!$Q$3:$Q$422,0),15)),"")</f>
        <v>0</v>
      </c>
      <c r="H28" s="461">
        <f t="shared" si="0"/>
        <v>0</v>
      </c>
    </row>
    <row r="29" spans="1:8" x14ac:dyDescent="0.2">
      <c r="A29" s="460">
        <f>+IFERROR(INDEX(BDDregul!$A$3:$Q$422,MATCH(ROW(A9),BDDregul!$Q$3:$Q$422,0),1),"")</f>
        <v>42248</v>
      </c>
      <c r="B29" s="1184">
        <f>+IFERROR(INDEX(BDDregul!$A$3:$Q$422,MATCH(ROW(A9),BDDregul!$Q$3:$Q$422,0),3)+INDEX(BDDregul!$A$3:$Q$422,MATCH(ROW(A9),BDDregul!$Q$3:$Q$422,0),4),"")</f>
        <v>0</v>
      </c>
      <c r="C29" s="413">
        <f>+IFERROR(INDEX(BDDregul!$A$3:$Q$422,MATCH(ROW(A9),BDDregul!$Q$3:$Q$422,0),14),"")</f>
        <v>0</v>
      </c>
      <c r="D29" s="461">
        <f>+IFERROR(INDEX(BDDregul!$A$3:$Q$422,MATCH(ROW(A9),BDDregul!$Q$3:$Q$422,0),9),"")</f>
        <v>0</v>
      </c>
      <c r="E29" s="461">
        <f>+IFERROR(INDEX(BDDregul!$A$3:$Q$422,MATCH(ROW(A9),BDDregul!$Q$3:$Q$422,0),12),"")</f>
        <v>0</v>
      </c>
      <c r="F29" s="461">
        <f>+IFERROR(INDEX(BDDregul!$A$3:$Q$422,MATCH(ROW(A9),BDDregul!$Q$3:$Q$422,0),13),"")</f>
        <v>0</v>
      </c>
      <c r="G29" s="461">
        <f>+IFERROR(IF(A29=DATE($F$12,$E$12,1),0,INDEX(BDDregul!$A$3:$Q$422,MATCH(ROW(A9),BDDregul!$Q$3:$Q$422,0),15)),"")</f>
        <v>0</v>
      </c>
      <c r="H29" s="461">
        <f t="shared" si="0"/>
        <v>0</v>
      </c>
    </row>
    <row r="30" spans="1:8" x14ac:dyDescent="0.2">
      <c r="A30" s="460">
        <f>+IFERROR(INDEX(BDDregul!$A$3:$Q$422,MATCH(ROW(A10),BDDregul!$Q$3:$Q$422,0),1),"")</f>
        <v>42278</v>
      </c>
      <c r="B30" s="1184">
        <f>+IFERROR(INDEX(BDDregul!$A$3:$Q$422,MATCH(ROW(A10),BDDregul!$Q$3:$Q$422,0),3)+INDEX(BDDregul!$A$3:$Q$422,MATCH(ROW(A10),BDDregul!$Q$3:$Q$422,0),4),"")</f>
        <v>0</v>
      </c>
      <c r="C30" s="413">
        <f>+IFERROR(INDEX(BDDregul!$A$3:$Q$422,MATCH(ROW(A10),BDDregul!$Q$3:$Q$422,0),14),"")</f>
        <v>0</v>
      </c>
      <c r="D30" s="461">
        <f>+IFERROR(INDEX(BDDregul!$A$3:$Q$422,MATCH(ROW(A10),BDDregul!$Q$3:$Q$422,0),9),"")</f>
        <v>0</v>
      </c>
      <c r="E30" s="461">
        <f>+IFERROR(INDEX(BDDregul!$A$3:$Q$422,MATCH(ROW(A10),BDDregul!$Q$3:$Q$422,0),12),"")</f>
        <v>0</v>
      </c>
      <c r="F30" s="461">
        <f>+IFERROR(INDEX(BDDregul!$A$3:$Q$422,MATCH(ROW(A10),BDDregul!$Q$3:$Q$422,0),13),"")</f>
        <v>0</v>
      </c>
      <c r="G30" s="461">
        <f>+IFERROR(IF(A30=DATE($F$12,$E$12,1),0,INDEX(BDDregul!$A$3:$Q$422,MATCH(ROW(A10),BDDregul!$Q$3:$Q$422,0),15)),"")</f>
        <v>0</v>
      </c>
      <c r="H30" s="461">
        <f t="shared" si="0"/>
        <v>0</v>
      </c>
    </row>
    <row r="31" spans="1:8" x14ac:dyDescent="0.2">
      <c r="A31" s="460">
        <f>+IFERROR(INDEX(BDDregul!$A$3:$Q$422,MATCH(ROW(A11),BDDregul!$Q$3:$Q$422,0),1),"")</f>
        <v>42309</v>
      </c>
      <c r="B31" s="1184">
        <f>+IFERROR(INDEX(BDDregul!$A$3:$Q$422,MATCH(ROW(A11),BDDregul!$Q$3:$Q$422,0),3)+INDEX(BDDregul!$A$3:$Q$422,MATCH(ROW(A11),BDDregul!$Q$3:$Q$422,0),4),"")</f>
        <v>0</v>
      </c>
      <c r="C31" s="413">
        <f>+IFERROR(INDEX(BDDregul!$A$3:$Q$422,MATCH(ROW(A11),BDDregul!$Q$3:$Q$422,0),14),"")</f>
        <v>0</v>
      </c>
      <c r="D31" s="461">
        <f>+IFERROR(INDEX(BDDregul!$A$3:$Q$422,MATCH(ROW(A11),BDDregul!$Q$3:$Q$422,0),9),"")</f>
        <v>0</v>
      </c>
      <c r="E31" s="461">
        <f>+IFERROR(INDEX(BDDregul!$A$3:$Q$422,MATCH(ROW(A11),BDDregul!$Q$3:$Q$422,0),12),"")</f>
        <v>0</v>
      </c>
      <c r="F31" s="461">
        <f>+IFERROR(INDEX(BDDregul!$A$3:$Q$422,MATCH(ROW(A11),BDDregul!$Q$3:$Q$422,0),13),"")</f>
        <v>0</v>
      </c>
      <c r="G31" s="461">
        <f>+IFERROR(IF(A31=DATE($F$12,$E$12,1),0,INDEX(BDDregul!$A$3:$Q$422,MATCH(ROW(A11),BDDregul!$Q$3:$Q$422,0),15)),"")</f>
        <v>0</v>
      </c>
      <c r="H31" s="461">
        <f t="shared" si="0"/>
        <v>0</v>
      </c>
    </row>
    <row r="32" spans="1:8" x14ac:dyDescent="0.2">
      <c r="A32" s="460">
        <f>+IFERROR(INDEX(BDDregul!$A$3:$Q$422,MATCH(ROW(A12),BDDregul!$Q$3:$Q$422,0),1),"")</f>
        <v>42339</v>
      </c>
      <c r="B32" s="1184">
        <f>+IFERROR(INDEX(BDDregul!$A$3:$Q$422,MATCH(ROW(A12),BDDregul!$Q$3:$Q$422,0),3)+INDEX(BDDregul!$A$3:$Q$422,MATCH(ROW(A12),BDDregul!$Q$3:$Q$422,0),4),"")</f>
        <v>0</v>
      </c>
      <c r="C32" s="413">
        <f>+IFERROR(INDEX(BDDregul!$A$3:$Q$422,MATCH(ROW(A12),BDDregul!$Q$3:$Q$422,0),14),"")</f>
        <v>0</v>
      </c>
      <c r="D32" s="461">
        <f>+IFERROR(INDEX(BDDregul!$A$3:$Q$422,MATCH(ROW(A12),BDDregul!$Q$3:$Q$422,0),9),"")</f>
        <v>0</v>
      </c>
      <c r="E32" s="461">
        <f>+IFERROR(INDEX(BDDregul!$A$3:$Q$422,MATCH(ROW(A12),BDDregul!$Q$3:$Q$422,0),12),"")</f>
        <v>0</v>
      </c>
      <c r="F32" s="461">
        <f>+IFERROR(INDEX(BDDregul!$A$3:$Q$422,MATCH(ROW(A12),BDDregul!$Q$3:$Q$422,0),13),"")</f>
        <v>0</v>
      </c>
      <c r="G32" s="461">
        <f>+IFERROR(IF(A32=DATE($F$12,$E$12,1),0,INDEX(BDDregul!$A$3:$Q$422,MATCH(ROW(A12),BDDregul!$Q$3:$Q$422,0),15)),"")</f>
        <v>0</v>
      </c>
      <c r="H32" s="461">
        <f t="shared" si="0"/>
        <v>0</v>
      </c>
    </row>
    <row r="33" spans="1:8" x14ac:dyDescent="0.2">
      <c r="A33" s="460">
        <f>+IFERROR(INDEX(BDDregul!$A$3:$Q$422,MATCH(ROW(A13),BDDregul!$Q$3:$Q$422,0),1),"")</f>
        <v>42370</v>
      </c>
      <c r="B33" s="1184">
        <f>+IFERROR(INDEX(BDDregul!$A$3:$Q$422,MATCH(ROW(A13),BDDregul!$Q$3:$Q$422,0),3)+INDEX(BDDregul!$A$3:$Q$422,MATCH(ROW(A13),BDDregul!$Q$3:$Q$422,0),4),"")</f>
        <v>0</v>
      </c>
      <c r="C33" s="413">
        <f>+IFERROR(INDEX(BDDregul!$A$3:$Q$422,MATCH(ROW(A13),BDDregul!$Q$3:$Q$422,0),14),"")</f>
        <v>0</v>
      </c>
      <c r="D33" s="461">
        <f>+IFERROR(INDEX(BDDregul!$A$3:$Q$422,MATCH(ROW(A13),BDDregul!$Q$3:$Q$422,0),9),"")</f>
        <v>0</v>
      </c>
      <c r="E33" s="461">
        <f>+IFERROR(INDEX(BDDregul!$A$3:$Q$422,MATCH(ROW(A13),BDDregul!$Q$3:$Q$422,0),12),"")</f>
        <v>0</v>
      </c>
      <c r="F33" s="461">
        <f>+IFERROR(INDEX(BDDregul!$A$3:$Q$422,MATCH(ROW(A13),BDDregul!$Q$3:$Q$422,0),13),"")</f>
        <v>0</v>
      </c>
      <c r="G33" s="461">
        <f>+IFERROR(IF(A33=DATE($F$12,$E$12,1),0,INDEX(BDDregul!$A$3:$Q$422,MATCH(ROW(A13),BDDregul!$Q$3:$Q$422,0),15)),"")</f>
        <v>0</v>
      </c>
      <c r="H33" s="461">
        <f t="shared" si="0"/>
        <v>0</v>
      </c>
    </row>
    <row r="34" spans="1:8" x14ac:dyDescent="0.2">
      <c r="A34" s="460">
        <f>+IFERROR(INDEX(BDDregul!$A$3:$Q$422,MATCH(ROW(A14),BDDregul!$Q$3:$Q$422,0),1),"")</f>
        <v>42401</v>
      </c>
      <c r="B34" s="1184">
        <f>+IFERROR(INDEX(BDDregul!$A$3:$Q$422,MATCH(ROW(A14),BDDregul!$Q$3:$Q$422,0),3)+INDEX(BDDregul!$A$3:$Q$422,MATCH(ROW(A14),BDDregul!$Q$3:$Q$422,0),4),"")</f>
        <v>0</v>
      </c>
      <c r="C34" s="413">
        <f>+IFERROR(INDEX(BDDregul!$A$3:$Q$422,MATCH(ROW(A14),BDDregul!$Q$3:$Q$422,0),14),"")</f>
        <v>0</v>
      </c>
      <c r="D34" s="461">
        <f>+IFERROR(INDEX(BDDregul!$A$3:$Q$422,MATCH(ROW(A14),BDDregul!$Q$3:$Q$422,0),9),"")</f>
        <v>0</v>
      </c>
      <c r="E34" s="461">
        <f>+IFERROR(INDEX(BDDregul!$A$3:$Q$422,MATCH(ROW(A14),BDDregul!$Q$3:$Q$422,0),12),"")</f>
        <v>0</v>
      </c>
      <c r="F34" s="461">
        <f>+IFERROR(INDEX(BDDregul!$A$3:$Q$422,MATCH(ROW(A14),BDDregul!$Q$3:$Q$422,0),13),"")</f>
        <v>0</v>
      </c>
      <c r="G34" s="461">
        <f>+IFERROR(IF(A34=DATE($F$12,$E$12,1),0,INDEX(BDDregul!$A$3:$Q$422,MATCH(ROW(A14),BDDregul!$Q$3:$Q$422,0),15)),"")</f>
        <v>0</v>
      </c>
      <c r="H34" s="461">
        <f t="shared" si="0"/>
        <v>0</v>
      </c>
    </row>
    <row r="35" spans="1:8" x14ac:dyDescent="0.2">
      <c r="A35" s="460">
        <f>+IFERROR(INDEX(BDDregul!$A$3:$Q$422,MATCH(ROW(A15),BDDregul!$Q$3:$Q$422,0),1),"")</f>
        <v>42430</v>
      </c>
      <c r="B35" s="1184">
        <f>+IFERROR(INDEX(BDDregul!$A$3:$Q$422,MATCH(ROW(A15),BDDregul!$Q$3:$Q$422,0),3)+INDEX(BDDregul!$A$3:$Q$422,MATCH(ROW(A15),BDDregul!$Q$3:$Q$422,0),4),"")</f>
        <v>0</v>
      </c>
      <c r="C35" s="413">
        <f>+IFERROR(INDEX(BDDregul!$A$3:$Q$422,MATCH(ROW(A15),BDDregul!$Q$3:$Q$422,0),14),"")</f>
        <v>0</v>
      </c>
      <c r="D35" s="461">
        <f>+IFERROR(INDEX(BDDregul!$A$3:$Q$422,MATCH(ROW(A15),BDDregul!$Q$3:$Q$422,0),9),"")</f>
        <v>0</v>
      </c>
      <c r="E35" s="461">
        <f>+IFERROR(INDEX(BDDregul!$A$3:$Q$422,MATCH(ROW(A15),BDDregul!$Q$3:$Q$422,0),12),"")</f>
        <v>0</v>
      </c>
      <c r="F35" s="461">
        <f>+IFERROR(INDEX(BDDregul!$A$3:$Q$422,MATCH(ROW(A15),BDDregul!$Q$3:$Q$422,0),13),"")</f>
        <v>0</v>
      </c>
      <c r="G35" s="461">
        <f>+IFERROR(IF(A35=DATE($F$12,$E$12,1),0,INDEX(BDDregul!$A$3:$Q$422,MATCH(ROW(A15),BDDregul!$Q$3:$Q$422,0),15)),"")</f>
        <v>0</v>
      </c>
      <c r="H35" s="461">
        <f t="shared" si="0"/>
        <v>0</v>
      </c>
    </row>
    <row r="36" spans="1:8" x14ac:dyDescent="0.2">
      <c r="A36" s="460">
        <f>+IFERROR(INDEX(BDDregul!$A$3:$Q$422,MATCH(ROW(A16),BDDregul!$Q$3:$Q$422,0),1),"")</f>
        <v>42461</v>
      </c>
      <c r="B36" s="1184">
        <f>+IFERROR(INDEX(BDDregul!$A$3:$Q$422,MATCH(ROW(A16),BDDregul!$Q$3:$Q$422,0),3)+INDEX(BDDregul!$A$3:$Q$422,MATCH(ROW(A16),BDDregul!$Q$3:$Q$422,0),4),"")</f>
        <v>0</v>
      </c>
      <c r="C36" s="413">
        <f>+IFERROR(INDEX(BDDregul!$A$3:$Q$422,MATCH(ROW(A16),BDDregul!$Q$3:$Q$422,0),14),"")</f>
        <v>0</v>
      </c>
      <c r="D36" s="461">
        <f>+IFERROR(INDEX(BDDregul!$A$3:$Q$422,MATCH(ROW(A16),BDDregul!$Q$3:$Q$422,0),9),"")</f>
        <v>0</v>
      </c>
      <c r="E36" s="461">
        <f>+IFERROR(INDEX(BDDregul!$A$3:$Q$422,MATCH(ROW(A16),BDDregul!$Q$3:$Q$422,0),12),"")</f>
        <v>0</v>
      </c>
      <c r="F36" s="461">
        <f>+IFERROR(INDEX(BDDregul!$A$3:$Q$422,MATCH(ROW(A16),BDDregul!$Q$3:$Q$422,0),13),"")</f>
        <v>0</v>
      </c>
      <c r="G36" s="461">
        <f>+IFERROR(IF(A36=DATE($F$12,$E$12,1),0,INDEX(BDDregul!$A$3:$Q$422,MATCH(ROW(A16),BDDregul!$Q$3:$Q$422,0),15)),"")</f>
        <v>0</v>
      </c>
      <c r="H36" s="461">
        <f t="shared" si="0"/>
        <v>0</v>
      </c>
    </row>
    <row r="37" spans="1:8" x14ac:dyDescent="0.2">
      <c r="A37" s="460">
        <f>+IFERROR(INDEX(BDDregul!$A$3:$Q$422,MATCH(ROW(A17),BDDregul!$Q$3:$Q$422,0),1),"")</f>
        <v>42491</v>
      </c>
      <c r="B37" s="1184">
        <f>+IFERROR(INDEX(BDDregul!$A$3:$Q$422,MATCH(ROW(A17),BDDregul!$Q$3:$Q$422,0),3)+INDEX(BDDregul!$A$3:$Q$422,MATCH(ROW(A17),BDDregul!$Q$3:$Q$422,0),4),"")</f>
        <v>0</v>
      </c>
      <c r="C37" s="413">
        <f>+IFERROR(INDEX(BDDregul!$A$3:$Q$422,MATCH(ROW(A17),BDDregul!$Q$3:$Q$422,0),14),"")</f>
        <v>0</v>
      </c>
      <c r="D37" s="461">
        <f>+IFERROR(INDEX(BDDregul!$A$3:$Q$422,MATCH(ROW(A17),BDDregul!$Q$3:$Q$422,0),9),"")</f>
        <v>0</v>
      </c>
      <c r="E37" s="461">
        <f>+IFERROR(INDEX(BDDregul!$A$3:$Q$422,MATCH(ROW(A17),BDDregul!$Q$3:$Q$422,0),12),"")</f>
        <v>0</v>
      </c>
      <c r="F37" s="461">
        <f>+IFERROR(INDEX(BDDregul!$A$3:$Q$422,MATCH(ROW(A17),BDDregul!$Q$3:$Q$422,0),13),"")</f>
        <v>0</v>
      </c>
      <c r="G37" s="461">
        <f>+IFERROR(IF(A37=DATE($F$12,$E$12,1),0,INDEX(BDDregul!$A$3:$Q$422,MATCH(ROW(A17),BDDregul!$Q$3:$Q$422,0),15)),"")</f>
        <v>0</v>
      </c>
      <c r="H37" s="461">
        <f t="shared" si="0"/>
        <v>0</v>
      </c>
    </row>
    <row r="38" spans="1:8" x14ac:dyDescent="0.2">
      <c r="A38" s="460">
        <f>+IFERROR(INDEX(BDDregul!$A$3:$Q$422,MATCH(ROW(A18),BDDregul!$Q$3:$Q$422,0),1),"")</f>
        <v>42522</v>
      </c>
      <c r="B38" s="1184">
        <f>+IFERROR(INDEX(BDDregul!$A$3:$Q$422,MATCH(ROW(A18),BDDregul!$Q$3:$Q$422,0),3)+INDEX(BDDregul!$A$3:$Q$422,MATCH(ROW(A18),BDDregul!$Q$3:$Q$422,0),4),"")</f>
        <v>0</v>
      </c>
      <c r="C38" s="413">
        <f>+IFERROR(INDEX(BDDregul!$A$3:$Q$422,MATCH(ROW(A18),BDDregul!$Q$3:$Q$422,0),14),"")</f>
        <v>0</v>
      </c>
      <c r="D38" s="461">
        <f>+IFERROR(INDEX(BDDregul!$A$3:$Q$422,MATCH(ROW(A18),BDDregul!$Q$3:$Q$422,0),9),"")</f>
        <v>0</v>
      </c>
      <c r="E38" s="461">
        <f>+IFERROR(INDEX(BDDregul!$A$3:$Q$422,MATCH(ROW(A18),BDDregul!$Q$3:$Q$422,0),12),"")</f>
        <v>0</v>
      </c>
      <c r="F38" s="461">
        <f>+IFERROR(INDEX(BDDregul!$A$3:$Q$422,MATCH(ROW(A18),BDDregul!$Q$3:$Q$422,0),13),"")</f>
        <v>0</v>
      </c>
      <c r="G38" s="461">
        <f>+IFERROR(IF(A38=DATE($F$12,$E$12,1),0,INDEX(BDDregul!$A$3:$Q$422,MATCH(ROW(A18),BDDregul!$Q$3:$Q$422,0),15)),"")</f>
        <v>0</v>
      </c>
      <c r="H38" s="461">
        <f t="shared" si="0"/>
        <v>0</v>
      </c>
    </row>
    <row r="39" spans="1:8" x14ac:dyDescent="0.2">
      <c r="A39" s="460">
        <f>+IFERROR(INDEX(BDDregul!$A$3:$Q$422,MATCH(ROW(A19),BDDregul!$Q$3:$Q$422,0),1),"")</f>
        <v>42552</v>
      </c>
      <c r="B39" s="1184">
        <f>+IFERROR(INDEX(BDDregul!$A$3:$Q$422,MATCH(ROW(A19),BDDregul!$Q$3:$Q$422,0),3)+INDEX(BDDregul!$A$3:$Q$422,MATCH(ROW(A19),BDDregul!$Q$3:$Q$422,0),4),"")</f>
        <v>0</v>
      </c>
      <c r="C39" s="413">
        <f>+IFERROR(INDEX(BDDregul!$A$3:$Q$422,MATCH(ROW(A19),BDDregul!$Q$3:$Q$422,0),14),"")</f>
        <v>0</v>
      </c>
      <c r="D39" s="461">
        <f>+IFERROR(INDEX(BDDregul!$A$3:$Q$422,MATCH(ROW(A19),BDDregul!$Q$3:$Q$422,0),9),"")</f>
        <v>0</v>
      </c>
      <c r="E39" s="461">
        <f>+IFERROR(INDEX(BDDregul!$A$3:$Q$422,MATCH(ROW(A19),BDDregul!$Q$3:$Q$422,0),12),"")</f>
        <v>0</v>
      </c>
      <c r="F39" s="461">
        <f>+IFERROR(INDEX(BDDregul!$A$3:$Q$422,MATCH(ROW(A19),BDDregul!$Q$3:$Q$422,0),13),"")</f>
        <v>0</v>
      </c>
      <c r="G39" s="461">
        <f>+IFERROR(IF(A39=DATE($F$12,$E$12,1),0,INDEX(BDDregul!$A$3:$Q$422,MATCH(ROW(A19),BDDregul!$Q$3:$Q$422,0),15)),"")</f>
        <v>0</v>
      </c>
      <c r="H39" s="461">
        <f t="shared" si="0"/>
        <v>0</v>
      </c>
    </row>
    <row r="40" spans="1:8" x14ac:dyDescent="0.2">
      <c r="A40" s="460">
        <f>+IFERROR(INDEX(BDDregul!$A$3:$Q$422,MATCH(ROW(A20),BDDregul!$Q$3:$Q$422,0),1),"")</f>
        <v>42583</v>
      </c>
      <c r="B40" s="1184">
        <f>+IFERROR(INDEX(BDDregul!$A$3:$Q$422,MATCH(ROW(A20),BDDregul!$Q$3:$Q$422,0),3)+INDEX(BDDregul!$A$3:$Q$422,MATCH(ROW(A20),BDDregul!$Q$3:$Q$422,0),4),"")</f>
        <v>0</v>
      </c>
      <c r="C40" s="413">
        <f>+IFERROR(INDEX(BDDregul!$A$3:$Q$422,MATCH(ROW(A20),BDDregul!$Q$3:$Q$422,0),14),"")</f>
        <v>0</v>
      </c>
      <c r="D40" s="461">
        <f>+IFERROR(INDEX(BDDregul!$A$3:$Q$422,MATCH(ROW(A20),BDDregul!$Q$3:$Q$422,0),9),"")</f>
        <v>0</v>
      </c>
      <c r="E40" s="461">
        <f>+IFERROR(INDEX(BDDregul!$A$3:$Q$422,MATCH(ROW(A20),BDDregul!$Q$3:$Q$422,0),12),"")</f>
        <v>0</v>
      </c>
      <c r="F40" s="461">
        <f>+IFERROR(INDEX(BDDregul!$A$3:$Q$422,MATCH(ROW(A20),BDDregul!$Q$3:$Q$422,0),13),"")</f>
        <v>0</v>
      </c>
      <c r="G40" s="461">
        <f>+IFERROR(IF(A40=DATE($F$12,$E$12,1),0,INDEX(BDDregul!$A$3:$Q$422,MATCH(ROW(A20),BDDregul!$Q$3:$Q$422,0),15)),"")</f>
        <v>0</v>
      </c>
      <c r="H40" s="461">
        <f t="shared" si="0"/>
        <v>0</v>
      </c>
    </row>
    <row r="41" spans="1:8" x14ac:dyDescent="0.2">
      <c r="A41" s="460">
        <f>+IFERROR(INDEX(BDDregul!$A$3:$Q$422,MATCH(ROW(A21),BDDregul!$Q$3:$Q$422,0),1),"")</f>
        <v>42614</v>
      </c>
      <c r="B41" s="1184">
        <f>+IFERROR(INDEX(BDDregul!$A$3:$Q$422,MATCH(ROW(A21),BDDregul!$Q$3:$Q$422,0),3)+INDEX(BDDregul!$A$3:$Q$422,MATCH(ROW(A21),BDDregul!$Q$3:$Q$422,0),4),"")</f>
        <v>0</v>
      </c>
      <c r="C41" s="413">
        <f>+IFERROR(INDEX(BDDregul!$A$3:$Q$422,MATCH(ROW(A21),BDDregul!$Q$3:$Q$422,0),14),"")</f>
        <v>0</v>
      </c>
      <c r="D41" s="461">
        <f>+IFERROR(INDEX(BDDregul!$A$3:$Q$422,MATCH(ROW(A21),BDDregul!$Q$3:$Q$422,0),9),"")</f>
        <v>0</v>
      </c>
      <c r="E41" s="461">
        <f>+IFERROR(INDEX(BDDregul!$A$3:$Q$422,MATCH(ROW(A21),BDDregul!$Q$3:$Q$422,0),12),"")</f>
        <v>0</v>
      </c>
      <c r="F41" s="461">
        <f>+IFERROR(INDEX(BDDregul!$A$3:$Q$422,MATCH(ROW(A21),BDDregul!$Q$3:$Q$422,0),13),"")</f>
        <v>0</v>
      </c>
      <c r="G41" s="461">
        <f>+IFERROR(IF(A41=DATE($F$12,$E$12,1),0,INDEX(BDDregul!$A$3:$Q$422,MATCH(ROW(A21),BDDregul!$Q$3:$Q$422,0),15)),"")</f>
        <v>0</v>
      </c>
      <c r="H41" s="461">
        <f t="shared" si="0"/>
        <v>0</v>
      </c>
    </row>
    <row r="42" spans="1:8" x14ac:dyDescent="0.2">
      <c r="A42" s="460">
        <f>+IFERROR(INDEX(BDDregul!$A$3:$Q$422,MATCH(ROW(A22),BDDregul!$Q$3:$Q$422,0),1),"")</f>
        <v>42644</v>
      </c>
      <c r="B42" s="1184">
        <f>+IFERROR(INDEX(BDDregul!$A$3:$Q$422,MATCH(ROW(A22),BDDregul!$Q$3:$Q$422,0),3)+INDEX(BDDregul!$A$3:$Q$422,MATCH(ROW(A22),BDDregul!$Q$3:$Q$422,0),4),"")</f>
        <v>0</v>
      </c>
      <c r="C42" s="413">
        <f>+IFERROR(INDEX(BDDregul!$A$3:$Q$422,MATCH(ROW(A22),BDDregul!$Q$3:$Q$422,0),14),"")</f>
        <v>0</v>
      </c>
      <c r="D42" s="461">
        <f>+IFERROR(INDEX(BDDregul!$A$3:$Q$422,MATCH(ROW(A22),BDDregul!$Q$3:$Q$422,0),9),"")</f>
        <v>0</v>
      </c>
      <c r="E42" s="461">
        <f>+IFERROR(INDEX(BDDregul!$A$3:$Q$422,MATCH(ROW(A22),BDDregul!$Q$3:$Q$422,0),12),"")</f>
        <v>0</v>
      </c>
      <c r="F42" s="461">
        <f>+IFERROR(INDEX(BDDregul!$A$3:$Q$422,MATCH(ROW(A22),BDDregul!$Q$3:$Q$422,0),13),"")</f>
        <v>0</v>
      </c>
      <c r="G42" s="461">
        <f>+IFERROR(IF(A42=DATE($F$12,$E$12,1),0,INDEX(BDDregul!$A$3:$Q$422,MATCH(ROW(A22),BDDregul!$Q$3:$Q$422,0),15)),"")</f>
        <v>0</v>
      </c>
      <c r="H42" s="461">
        <f t="shared" si="0"/>
        <v>0</v>
      </c>
    </row>
    <row r="43" spans="1:8" x14ac:dyDescent="0.2">
      <c r="A43" s="460">
        <f>+IFERROR(INDEX(BDDregul!$A$3:$Q$422,MATCH(ROW(A23),BDDregul!$Q$3:$Q$422,0),1),"")</f>
        <v>42675</v>
      </c>
      <c r="B43" s="1184">
        <f>+IFERROR(INDEX(BDDregul!$A$3:$Q$422,MATCH(ROW(A23),BDDregul!$Q$3:$Q$422,0),3)+INDEX(BDDregul!$A$3:$Q$422,MATCH(ROW(A23),BDDregul!$Q$3:$Q$422,0),4),"")</f>
        <v>0</v>
      </c>
      <c r="C43" s="413">
        <f>+IFERROR(INDEX(BDDregul!$A$3:$Q$422,MATCH(ROW(A23),BDDregul!$Q$3:$Q$422,0),14),"")</f>
        <v>0</v>
      </c>
      <c r="D43" s="461">
        <f>+IFERROR(INDEX(BDDregul!$A$3:$Q$422,MATCH(ROW(A23),BDDregul!$Q$3:$Q$422,0),9),"")</f>
        <v>0</v>
      </c>
      <c r="E43" s="461">
        <f>+IFERROR(INDEX(BDDregul!$A$3:$Q$422,MATCH(ROW(A23),BDDregul!$Q$3:$Q$422,0),12),"")</f>
        <v>0</v>
      </c>
      <c r="F43" s="461">
        <f>+IFERROR(INDEX(BDDregul!$A$3:$Q$422,MATCH(ROW(A23),BDDregul!$Q$3:$Q$422,0),13),"")</f>
        <v>0</v>
      </c>
      <c r="G43" s="461">
        <f>+IFERROR(IF(A43=DATE($F$12,$E$12,1),0,INDEX(BDDregul!$A$3:$Q$422,MATCH(ROW(A23),BDDregul!$Q$3:$Q$422,0),15)),"")</f>
        <v>0</v>
      </c>
      <c r="H43" s="461">
        <f t="shared" si="0"/>
        <v>0</v>
      </c>
    </row>
    <row r="44" spans="1:8" x14ac:dyDescent="0.2">
      <c r="A44" s="460">
        <f>+IFERROR(INDEX(BDDregul!$A$3:$Q$422,MATCH(ROW(A24),BDDregul!$Q$3:$Q$422,0),1),"")</f>
        <v>42705</v>
      </c>
      <c r="B44" s="1184">
        <f>+IFERROR(INDEX(BDDregul!$A$3:$Q$422,MATCH(ROW(A24),BDDregul!$Q$3:$Q$422,0),3)+INDEX(BDDregul!$A$3:$Q$422,MATCH(ROW(A24),BDDregul!$Q$3:$Q$422,0),4),"")</f>
        <v>0</v>
      </c>
      <c r="C44" s="413">
        <f>+IFERROR(INDEX(BDDregul!$A$3:$Q$422,MATCH(ROW(A24),BDDregul!$Q$3:$Q$422,0),14),"")</f>
        <v>0</v>
      </c>
      <c r="D44" s="461">
        <f>+IFERROR(INDEX(BDDregul!$A$3:$Q$422,MATCH(ROW(A24),BDDregul!$Q$3:$Q$422,0),9),"")</f>
        <v>0</v>
      </c>
      <c r="E44" s="461">
        <f>+IFERROR(INDEX(BDDregul!$A$3:$Q$422,MATCH(ROW(A24),BDDregul!$Q$3:$Q$422,0),12),"")</f>
        <v>0</v>
      </c>
      <c r="F44" s="461">
        <f>+IFERROR(INDEX(BDDregul!$A$3:$Q$422,MATCH(ROW(A24),BDDregul!$Q$3:$Q$422,0),13),"")</f>
        <v>0</v>
      </c>
      <c r="G44" s="461">
        <f>+IFERROR(IF(A44=DATE($F$12,$E$12,1),0,INDEX(BDDregul!$A$3:$Q$422,MATCH(ROW(A24),BDDregul!$Q$3:$Q$422,0),15)),"")</f>
        <v>0</v>
      </c>
      <c r="H44" s="461">
        <f t="shared" si="0"/>
        <v>0</v>
      </c>
    </row>
    <row r="45" spans="1:8" x14ac:dyDescent="0.2">
      <c r="A45" s="460">
        <f>+IFERROR(INDEX(BDDregul!$A$3:$Q$422,MATCH(ROW(A25),BDDregul!$Q$3:$Q$422,0),1),"")</f>
        <v>42736</v>
      </c>
      <c r="B45" s="1184">
        <f>+IFERROR(INDEX(BDDregul!$A$3:$Q$422,MATCH(ROW(A25),BDDregul!$Q$3:$Q$422,0),3)+INDEX(BDDregul!$A$3:$Q$422,MATCH(ROW(A25),BDDregul!$Q$3:$Q$422,0),4),"")</f>
        <v>0</v>
      </c>
      <c r="C45" s="413">
        <f>+IFERROR(INDEX(BDDregul!$A$3:$Q$422,MATCH(ROW(A25),BDDregul!$Q$3:$Q$422,0),14),"")</f>
        <v>0</v>
      </c>
      <c r="D45" s="461">
        <f>+IFERROR(INDEX(BDDregul!$A$3:$Q$422,MATCH(ROW(A25),BDDregul!$Q$3:$Q$422,0),9),"")</f>
        <v>0</v>
      </c>
      <c r="E45" s="461">
        <f>+IFERROR(INDEX(BDDregul!$A$3:$Q$422,MATCH(ROW(A25),BDDregul!$Q$3:$Q$422,0),12),"")</f>
        <v>0</v>
      </c>
      <c r="F45" s="461">
        <f>+IFERROR(INDEX(BDDregul!$A$3:$Q$422,MATCH(ROW(A25),BDDregul!$Q$3:$Q$422,0),13),"")</f>
        <v>0</v>
      </c>
      <c r="G45" s="461">
        <f>+IFERROR(IF(A45=DATE($F$12,$E$12,1),0,INDEX(BDDregul!$A$3:$Q$422,MATCH(ROW(A25),BDDregul!$Q$3:$Q$422,0),15)),"")</f>
        <v>0</v>
      </c>
      <c r="H45" s="461">
        <f t="shared" si="0"/>
        <v>0</v>
      </c>
    </row>
    <row r="46" spans="1:8" x14ac:dyDescent="0.2">
      <c r="A46" s="460">
        <f>+IFERROR(INDEX(BDDregul!$A$3:$Q$422,MATCH(ROW(A26),BDDregul!$Q$3:$Q$422,0),1),"")</f>
        <v>42767</v>
      </c>
      <c r="B46" s="1184">
        <f>+IFERROR(INDEX(BDDregul!$A$3:$Q$422,MATCH(ROW(A26),BDDregul!$Q$3:$Q$422,0),3)+INDEX(BDDregul!$A$3:$Q$422,MATCH(ROW(A26),BDDregul!$Q$3:$Q$422,0),4),"")</f>
        <v>0</v>
      </c>
      <c r="C46" s="413">
        <f>+IFERROR(INDEX(BDDregul!$A$3:$Q$422,MATCH(ROW(A26),BDDregul!$Q$3:$Q$422,0),14),"")</f>
        <v>0</v>
      </c>
      <c r="D46" s="461">
        <f>+IFERROR(INDEX(BDDregul!$A$3:$Q$422,MATCH(ROW(A26),BDDregul!$Q$3:$Q$422,0),9),"")</f>
        <v>0</v>
      </c>
      <c r="E46" s="461">
        <f>+IFERROR(INDEX(BDDregul!$A$3:$Q$422,MATCH(ROW(A26),BDDregul!$Q$3:$Q$422,0),12),"")</f>
        <v>0</v>
      </c>
      <c r="F46" s="461">
        <f>+IFERROR(INDEX(BDDregul!$A$3:$Q$422,MATCH(ROW(A26),BDDregul!$Q$3:$Q$422,0),13),"")</f>
        <v>0</v>
      </c>
      <c r="G46" s="461">
        <f>+IFERROR(IF(A46=DATE($F$12,$E$12,1),0,INDEX(BDDregul!$A$3:$Q$422,MATCH(ROW(A26),BDDregul!$Q$3:$Q$422,0),15)),"")</f>
        <v>0</v>
      </c>
      <c r="H46" s="461">
        <f t="shared" si="0"/>
        <v>0</v>
      </c>
    </row>
    <row r="47" spans="1:8" x14ac:dyDescent="0.2">
      <c r="A47" s="460">
        <f>+IFERROR(INDEX(BDDregul!$A$3:$Q$422,MATCH(ROW(A27),BDDregul!$Q$3:$Q$422,0),1),"")</f>
        <v>42795</v>
      </c>
      <c r="B47" s="1184">
        <f>+IFERROR(INDEX(BDDregul!$A$3:$Q$422,MATCH(ROW(A27),BDDregul!$Q$3:$Q$422,0),3)+INDEX(BDDregul!$A$3:$Q$422,MATCH(ROW(A27),BDDregul!$Q$3:$Q$422,0),4),"")</f>
        <v>0</v>
      </c>
      <c r="C47" s="413">
        <f>+IFERROR(INDEX(BDDregul!$A$3:$Q$422,MATCH(ROW(A27),BDDregul!$Q$3:$Q$422,0),14),"")</f>
        <v>0</v>
      </c>
      <c r="D47" s="461">
        <f>+IFERROR(INDEX(BDDregul!$A$3:$Q$422,MATCH(ROW(A27),BDDregul!$Q$3:$Q$422,0),9),"")</f>
        <v>0</v>
      </c>
      <c r="E47" s="461">
        <f>+IFERROR(INDEX(BDDregul!$A$3:$Q$422,MATCH(ROW(A27),BDDregul!$Q$3:$Q$422,0),12),"")</f>
        <v>0</v>
      </c>
      <c r="F47" s="461">
        <f>+IFERROR(INDEX(BDDregul!$A$3:$Q$422,MATCH(ROW(A27),BDDregul!$Q$3:$Q$422,0),13),"")</f>
        <v>0</v>
      </c>
      <c r="G47" s="461">
        <f>+IFERROR(IF(A47=DATE($F$12,$E$12,1),0,INDEX(BDDregul!$A$3:$Q$422,MATCH(ROW(A27),BDDregul!$Q$3:$Q$422,0),15)),"")</f>
        <v>0</v>
      </c>
      <c r="H47" s="461">
        <f t="shared" si="0"/>
        <v>0</v>
      </c>
    </row>
    <row r="48" spans="1:8" x14ac:dyDescent="0.2">
      <c r="A48" s="460">
        <f>+IFERROR(INDEX(BDDregul!$A$3:$Q$422,MATCH(ROW(A28),BDDregul!$Q$3:$Q$422,0),1),"")</f>
        <v>42826</v>
      </c>
      <c r="B48" s="1184">
        <f>+IFERROR(INDEX(BDDregul!$A$3:$Q$422,MATCH(ROW(A28),BDDregul!$Q$3:$Q$422,0),3)+INDEX(BDDregul!$A$3:$Q$422,MATCH(ROW(A28),BDDregul!$Q$3:$Q$422,0),4),"")</f>
        <v>0</v>
      </c>
      <c r="C48" s="413">
        <f>+IFERROR(INDEX(BDDregul!$A$3:$Q$422,MATCH(ROW(A28),BDDregul!$Q$3:$Q$422,0),14),"")</f>
        <v>0</v>
      </c>
      <c r="D48" s="461">
        <f>+IFERROR(INDEX(BDDregul!$A$3:$Q$422,MATCH(ROW(A28),BDDregul!$Q$3:$Q$422,0),9),"")</f>
        <v>0</v>
      </c>
      <c r="E48" s="461">
        <f>+IFERROR(INDEX(BDDregul!$A$3:$Q$422,MATCH(ROW(A28),BDDregul!$Q$3:$Q$422,0),12),"")</f>
        <v>0</v>
      </c>
      <c r="F48" s="461">
        <f>+IFERROR(INDEX(BDDregul!$A$3:$Q$422,MATCH(ROW(A28),BDDregul!$Q$3:$Q$422,0),13),"")</f>
        <v>0</v>
      </c>
      <c r="G48" s="461">
        <f>+IFERROR(IF(A48=DATE($F$12,$E$12,1),0,INDEX(BDDregul!$A$3:$Q$422,MATCH(ROW(A28),BDDregul!$Q$3:$Q$422,0),15)),"")</f>
        <v>0</v>
      </c>
      <c r="H48" s="461">
        <f t="shared" si="0"/>
        <v>0</v>
      </c>
    </row>
    <row r="49" spans="1:8" x14ac:dyDescent="0.2">
      <c r="A49" s="460">
        <f>+IFERROR(INDEX(BDDregul!$A$3:$Q$422,MATCH(ROW(A29),BDDregul!$Q$3:$Q$422,0),1),"")</f>
        <v>42856</v>
      </c>
      <c r="B49" s="1184">
        <f>+IFERROR(INDEX(BDDregul!$A$3:$Q$422,MATCH(ROW(A29),BDDregul!$Q$3:$Q$422,0),3)+INDEX(BDDregul!$A$3:$Q$422,MATCH(ROW(A29),BDDregul!$Q$3:$Q$422,0),4),"")</f>
        <v>0</v>
      </c>
      <c r="C49" s="413">
        <f>+IFERROR(INDEX(BDDregul!$A$3:$Q$422,MATCH(ROW(A29),BDDregul!$Q$3:$Q$422,0),14),"")</f>
        <v>0</v>
      </c>
      <c r="D49" s="461">
        <f>+IFERROR(INDEX(BDDregul!$A$3:$Q$422,MATCH(ROW(A29),BDDregul!$Q$3:$Q$422,0),9),"")</f>
        <v>0</v>
      </c>
      <c r="E49" s="461">
        <f>+IFERROR(INDEX(BDDregul!$A$3:$Q$422,MATCH(ROW(A29),BDDregul!$Q$3:$Q$422,0),12),"")</f>
        <v>0</v>
      </c>
      <c r="F49" s="461">
        <f>+IFERROR(INDEX(BDDregul!$A$3:$Q$422,MATCH(ROW(A29),BDDregul!$Q$3:$Q$422,0),13),"")</f>
        <v>0</v>
      </c>
      <c r="G49" s="461">
        <f>+IFERROR(IF(A49=DATE($F$12,$E$12,1),0,INDEX(BDDregul!$A$3:$Q$422,MATCH(ROW(A29),BDDregul!$Q$3:$Q$422,0),15)),"")</f>
        <v>0</v>
      </c>
      <c r="H49" s="461">
        <f t="shared" si="0"/>
        <v>0</v>
      </c>
    </row>
    <row r="50" spans="1:8" x14ac:dyDescent="0.2">
      <c r="A50" s="460">
        <f>+IFERROR(INDEX(BDDregul!$A$3:$Q$422,MATCH(ROW(A30),BDDregul!$Q$3:$Q$422,0),1),"")</f>
        <v>42887</v>
      </c>
      <c r="B50" s="1184">
        <f>+IFERROR(INDEX(BDDregul!$A$3:$Q$422,MATCH(ROW(A30),BDDregul!$Q$3:$Q$422,0),3)+INDEX(BDDregul!$A$3:$Q$422,MATCH(ROW(A30),BDDregul!$Q$3:$Q$422,0),4),"")</f>
        <v>0</v>
      </c>
      <c r="C50" s="413">
        <f>+IFERROR(INDEX(BDDregul!$A$3:$Q$422,MATCH(ROW(A30),BDDregul!$Q$3:$Q$422,0),14),"")</f>
        <v>0</v>
      </c>
      <c r="D50" s="461">
        <f>+IFERROR(INDEX(BDDregul!$A$3:$Q$422,MATCH(ROW(A30),BDDregul!$Q$3:$Q$422,0),9),"")</f>
        <v>0</v>
      </c>
      <c r="E50" s="461">
        <f>+IFERROR(INDEX(BDDregul!$A$3:$Q$422,MATCH(ROW(A30),BDDregul!$Q$3:$Q$422,0),12),"")</f>
        <v>0</v>
      </c>
      <c r="F50" s="461">
        <f>+IFERROR(INDEX(BDDregul!$A$3:$Q$422,MATCH(ROW(A30),BDDregul!$Q$3:$Q$422,0),13),"")</f>
        <v>0</v>
      </c>
      <c r="G50" s="461">
        <f>+IFERROR(IF(A50=DATE($F$12,$E$12,1),0,INDEX(BDDregul!$A$3:$Q$422,MATCH(ROW(A30),BDDregul!$Q$3:$Q$422,0),15)),"")</f>
        <v>0</v>
      </c>
      <c r="H50" s="461">
        <f t="shared" si="0"/>
        <v>0</v>
      </c>
    </row>
    <row r="51" spans="1:8" x14ac:dyDescent="0.2">
      <c r="A51" s="460">
        <f>+IFERROR(INDEX(BDDregul!$A$3:$Q$422,MATCH(ROW(A31),BDDregul!$Q$3:$Q$422,0),1),"")</f>
        <v>42917</v>
      </c>
      <c r="B51" s="1184">
        <f>+IFERROR(INDEX(BDDregul!$A$3:$Q$422,MATCH(ROW(A31),BDDregul!$Q$3:$Q$422,0),3)+INDEX(BDDregul!$A$3:$Q$422,MATCH(ROW(A31),BDDregul!$Q$3:$Q$422,0),4),"")</f>
        <v>0</v>
      </c>
      <c r="C51" s="413">
        <f>+IFERROR(INDEX(BDDregul!$A$3:$Q$422,MATCH(ROW(A31),BDDregul!$Q$3:$Q$422,0),14),"")</f>
        <v>0</v>
      </c>
      <c r="D51" s="461">
        <f>+IFERROR(INDEX(BDDregul!$A$3:$Q$422,MATCH(ROW(A31),BDDregul!$Q$3:$Q$422,0),9),"")</f>
        <v>0</v>
      </c>
      <c r="E51" s="461">
        <f>+IFERROR(INDEX(BDDregul!$A$3:$Q$422,MATCH(ROW(A31),BDDregul!$Q$3:$Q$422,0),12),"")</f>
        <v>0</v>
      </c>
      <c r="F51" s="461">
        <f>+IFERROR(INDEX(BDDregul!$A$3:$Q$422,MATCH(ROW(A31),BDDregul!$Q$3:$Q$422,0),13),"")</f>
        <v>0</v>
      </c>
      <c r="G51" s="461">
        <f>+IFERROR(IF(A51=DATE($F$12,$E$12,1),0,INDEX(BDDregul!$A$3:$Q$422,MATCH(ROW(A31),BDDregul!$Q$3:$Q$422,0),15)),"")</f>
        <v>0</v>
      </c>
      <c r="H51" s="461">
        <f t="shared" si="0"/>
        <v>0</v>
      </c>
    </row>
    <row r="52" spans="1:8" x14ac:dyDescent="0.2">
      <c r="A52" s="460">
        <f>+IFERROR(INDEX(BDDregul!$A$3:$Q$422,MATCH(ROW(A32),BDDregul!$Q$3:$Q$422,0),1),"")</f>
        <v>42948</v>
      </c>
      <c r="B52" s="1184">
        <f>+IFERROR(INDEX(BDDregul!$A$3:$Q$422,MATCH(ROW(A32),BDDregul!$Q$3:$Q$422,0),3)+INDEX(BDDregul!$A$3:$Q$422,MATCH(ROW(A32),BDDregul!$Q$3:$Q$422,0),4),"")</f>
        <v>0</v>
      </c>
      <c r="C52" s="413">
        <f>+IFERROR(INDEX(BDDregul!$A$3:$Q$422,MATCH(ROW(A32),BDDregul!$Q$3:$Q$422,0),14),"")</f>
        <v>0</v>
      </c>
      <c r="D52" s="461">
        <f>+IFERROR(INDEX(BDDregul!$A$3:$Q$422,MATCH(ROW(A32),BDDregul!$Q$3:$Q$422,0),9),"")</f>
        <v>0</v>
      </c>
      <c r="E52" s="461">
        <f>+IFERROR(INDEX(BDDregul!$A$3:$Q$422,MATCH(ROW(A32),BDDregul!$Q$3:$Q$422,0),12),"")</f>
        <v>0</v>
      </c>
      <c r="F52" s="461">
        <f>+IFERROR(INDEX(BDDregul!$A$3:$Q$422,MATCH(ROW(A32),BDDregul!$Q$3:$Q$422,0),13),"")</f>
        <v>0</v>
      </c>
      <c r="G52" s="461">
        <f>+IFERROR(IF(A52=DATE($F$12,$E$12,1),0,INDEX(BDDregul!$A$3:$Q$422,MATCH(ROW(A32),BDDregul!$Q$3:$Q$422,0),15)),"")</f>
        <v>0</v>
      </c>
      <c r="H52" s="461">
        <f t="shared" si="0"/>
        <v>0</v>
      </c>
    </row>
    <row r="53" spans="1:8" x14ac:dyDescent="0.2">
      <c r="A53" s="460">
        <f>+IFERROR(INDEX(BDDregul!$A$3:$Q$422,MATCH(ROW(A33),BDDregul!$Q$3:$Q$422,0),1),"")</f>
        <v>42979</v>
      </c>
      <c r="B53" s="1184">
        <f>+IFERROR(INDEX(BDDregul!$A$3:$Q$422,MATCH(ROW(A33),BDDregul!$Q$3:$Q$422,0),3)+INDEX(BDDregul!$A$3:$Q$422,MATCH(ROW(A33),BDDregul!$Q$3:$Q$422,0),4),"")</f>
        <v>0</v>
      </c>
      <c r="C53" s="413">
        <f>+IFERROR(INDEX(BDDregul!$A$3:$Q$422,MATCH(ROW(A33),BDDregul!$Q$3:$Q$422,0),14),"")</f>
        <v>0</v>
      </c>
      <c r="D53" s="461">
        <f>+IFERROR(INDEX(BDDregul!$A$3:$Q$422,MATCH(ROW(A33),BDDregul!$Q$3:$Q$422,0),9),"")</f>
        <v>0</v>
      </c>
      <c r="E53" s="461">
        <f>+IFERROR(INDEX(BDDregul!$A$3:$Q$422,MATCH(ROW(A33),BDDregul!$Q$3:$Q$422,0),12),"")</f>
        <v>0</v>
      </c>
      <c r="F53" s="461">
        <f>+IFERROR(INDEX(BDDregul!$A$3:$Q$422,MATCH(ROW(A33),BDDregul!$Q$3:$Q$422,0),13),"")</f>
        <v>0</v>
      </c>
      <c r="G53" s="461">
        <f>+IFERROR(IF(A53=DATE($F$12,$E$12,1),0,INDEX(BDDregul!$A$3:$Q$422,MATCH(ROW(A33),BDDregul!$Q$3:$Q$422,0),15)),"")</f>
        <v>0</v>
      </c>
      <c r="H53" s="461">
        <f t="shared" si="0"/>
        <v>0</v>
      </c>
    </row>
    <row r="54" spans="1:8" x14ac:dyDescent="0.2">
      <c r="A54" s="460">
        <f>+IFERROR(INDEX(BDDregul!$A$3:$Q$422,MATCH(ROW(A34),BDDregul!$Q$3:$Q$422,0),1),"")</f>
        <v>43009</v>
      </c>
      <c r="B54" s="1184">
        <f>+IFERROR(INDEX(BDDregul!$A$3:$Q$422,MATCH(ROW(A34),BDDregul!$Q$3:$Q$422,0),3)+INDEX(BDDregul!$A$3:$Q$422,MATCH(ROW(A34),BDDregul!$Q$3:$Q$422,0),4),"")</f>
        <v>0</v>
      </c>
      <c r="C54" s="413">
        <f>+IFERROR(INDEX(BDDregul!$A$3:$Q$422,MATCH(ROW(A34),BDDregul!$Q$3:$Q$422,0),14),"")</f>
        <v>0</v>
      </c>
      <c r="D54" s="461">
        <f>+IFERROR(INDEX(BDDregul!$A$3:$Q$422,MATCH(ROW(A34),BDDregul!$Q$3:$Q$422,0),9),"")</f>
        <v>0</v>
      </c>
      <c r="E54" s="461">
        <f>+IFERROR(INDEX(BDDregul!$A$3:$Q$422,MATCH(ROW(A34),BDDregul!$Q$3:$Q$422,0),12),"")</f>
        <v>0</v>
      </c>
      <c r="F54" s="461">
        <f>+IFERROR(INDEX(BDDregul!$A$3:$Q$422,MATCH(ROW(A34),BDDregul!$Q$3:$Q$422,0),13),"")</f>
        <v>0</v>
      </c>
      <c r="G54" s="461">
        <f>+IFERROR(IF(A54=DATE($F$12,$E$12,1),0,INDEX(BDDregul!$A$3:$Q$422,MATCH(ROW(A34),BDDregul!$Q$3:$Q$422,0),15)),"")</f>
        <v>0</v>
      </c>
      <c r="H54" s="461">
        <f t="shared" si="0"/>
        <v>0</v>
      </c>
    </row>
    <row r="55" spans="1:8" x14ac:dyDescent="0.2">
      <c r="A55" s="460">
        <f>+IFERROR(INDEX(BDDregul!$A$3:$Q$422,MATCH(ROW(A35),BDDregul!$Q$3:$Q$422,0),1),"")</f>
        <v>43040</v>
      </c>
      <c r="B55" s="1184">
        <f>+IFERROR(INDEX(BDDregul!$A$3:$Q$422,MATCH(ROW(A35),BDDregul!$Q$3:$Q$422,0),3)+INDEX(BDDregul!$A$3:$Q$422,MATCH(ROW(A35),BDDregul!$Q$3:$Q$422,0),4),"")</f>
        <v>0</v>
      </c>
      <c r="C55" s="413">
        <f>+IFERROR(INDEX(BDDregul!$A$3:$Q$422,MATCH(ROW(A35),BDDregul!$Q$3:$Q$422,0),14),"")</f>
        <v>0</v>
      </c>
      <c r="D55" s="461">
        <f>+IFERROR(INDEX(BDDregul!$A$3:$Q$422,MATCH(ROW(A35),BDDregul!$Q$3:$Q$422,0),9),"")</f>
        <v>0</v>
      </c>
      <c r="E55" s="461">
        <f>+IFERROR(INDEX(BDDregul!$A$3:$Q$422,MATCH(ROW(A35),BDDregul!$Q$3:$Q$422,0),12),"")</f>
        <v>0</v>
      </c>
      <c r="F55" s="461">
        <f>+IFERROR(INDEX(BDDregul!$A$3:$Q$422,MATCH(ROW(A35),BDDregul!$Q$3:$Q$422,0),13),"")</f>
        <v>0</v>
      </c>
      <c r="G55" s="461">
        <f>+IFERROR(IF(A55=DATE($F$12,$E$12,1),0,INDEX(BDDregul!$A$3:$Q$422,MATCH(ROW(A35),BDDregul!$Q$3:$Q$422,0),15)),"")</f>
        <v>0</v>
      </c>
      <c r="H55" s="461">
        <f t="shared" si="0"/>
        <v>0</v>
      </c>
    </row>
    <row r="56" spans="1:8" x14ac:dyDescent="0.2">
      <c r="A56" s="460">
        <f>+IFERROR(INDEX(BDDregul!$A$3:$Q$422,MATCH(ROW(A36),BDDregul!$Q$3:$Q$422,0),1),"")</f>
        <v>43070</v>
      </c>
      <c r="B56" s="1184">
        <f>+IFERROR(INDEX(BDDregul!$A$3:$Q$422,MATCH(ROW(A36),BDDregul!$Q$3:$Q$422,0),3)+INDEX(BDDregul!$A$3:$Q$422,MATCH(ROW(A36),BDDregul!$Q$3:$Q$422,0),4),"")</f>
        <v>0</v>
      </c>
      <c r="C56" s="413">
        <f>+IFERROR(INDEX(BDDregul!$A$3:$Q$422,MATCH(ROW(A36),BDDregul!$Q$3:$Q$422,0),14),"")</f>
        <v>0</v>
      </c>
      <c r="D56" s="461">
        <f>+IFERROR(INDEX(BDDregul!$A$3:$Q$422,MATCH(ROW(A36),BDDregul!$Q$3:$Q$422,0),9),"")</f>
        <v>0</v>
      </c>
      <c r="E56" s="461">
        <f>+IFERROR(INDEX(BDDregul!$A$3:$Q$422,MATCH(ROW(A36),BDDregul!$Q$3:$Q$422,0),12),"")</f>
        <v>0</v>
      </c>
      <c r="F56" s="461">
        <f>+IFERROR(INDEX(BDDregul!$A$3:$Q$422,MATCH(ROW(A36),BDDregul!$Q$3:$Q$422,0),13),"")</f>
        <v>0</v>
      </c>
      <c r="G56" s="461">
        <f>+IFERROR(IF(A56=DATE($F$12,$E$12,1),0,INDEX(BDDregul!$A$3:$Q$422,MATCH(ROW(A36),BDDregul!$Q$3:$Q$422,0),15)),"")</f>
        <v>0</v>
      </c>
      <c r="H56" s="461">
        <f t="shared" si="0"/>
        <v>0</v>
      </c>
    </row>
    <row r="57" spans="1:8" x14ac:dyDescent="0.2">
      <c r="A57" s="460">
        <f>+IFERROR(INDEX(BDDregul!$A$3:$Q$422,MATCH(ROW(A37),BDDregul!$Q$3:$Q$422,0),1),"")</f>
        <v>43101</v>
      </c>
      <c r="B57" s="1184">
        <f>+IFERROR(INDEX(BDDregul!$A$3:$Q$422,MATCH(ROW(A37),BDDregul!$Q$3:$Q$422,0),3)+INDEX(BDDregul!$A$3:$Q$422,MATCH(ROW(A37),BDDregul!$Q$3:$Q$422,0),4),"")</f>
        <v>0</v>
      </c>
      <c r="C57" s="413">
        <f>+IFERROR(INDEX(BDDregul!$A$3:$Q$422,MATCH(ROW(A37),BDDregul!$Q$3:$Q$422,0),14),"")</f>
        <v>0</v>
      </c>
      <c r="D57" s="461">
        <f>+IFERROR(INDEX(BDDregul!$A$3:$Q$422,MATCH(ROW(A37),BDDregul!$Q$3:$Q$422,0),9),"")</f>
        <v>0</v>
      </c>
      <c r="E57" s="461">
        <f>+IFERROR(INDEX(BDDregul!$A$3:$Q$422,MATCH(ROW(A37),BDDregul!$Q$3:$Q$422,0),12),"")</f>
        <v>0</v>
      </c>
      <c r="F57" s="461">
        <f>+IFERROR(INDEX(BDDregul!$A$3:$Q$422,MATCH(ROW(A37),BDDregul!$Q$3:$Q$422,0),13),"")</f>
        <v>0</v>
      </c>
      <c r="G57" s="461">
        <f>+IFERROR(IF(A57=DATE($F$12,$E$12,1),0,INDEX(BDDregul!$A$3:$Q$422,MATCH(ROW(A37),BDDregul!$Q$3:$Q$422,0),15)),"")</f>
        <v>0</v>
      </c>
      <c r="H57" s="461">
        <f t="shared" si="0"/>
        <v>0</v>
      </c>
    </row>
    <row r="58" spans="1:8" x14ac:dyDescent="0.2">
      <c r="A58" s="460">
        <f>+IFERROR(INDEX(BDDregul!$A$3:$Q$422,MATCH(ROW(A38),BDDregul!$Q$3:$Q$422,0),1),"")</f>
        <v>43132</v>
      </c>
      <c r="B58" s="1184">
        <f>+IFERROR(INDEX(BDDregul!$A$3:$Q$422,MATCH(ROW(A38),BDDregul!$Q$3:$Q$422,0),3)+INDEX(BDDregul!$A$3:$Q$422,MATCH(ROW(A38),BDDregul!$Q$3:$Q$422,0),4),"")</f>
        <v>0</v>
      </c>
      <c r="C58" s="413">
        <f>+IFERROR(INDEX(BDDregul!$A$3:$Q$422,MATCH(ROW(A38),BDDregul!$Q$3:$Q$422,0),14),"")</f>
        <v>0</v>
      </c>
      <c r="D58" s="461">
        <f>+IFERROR(INDEX(BDDregul!$A$3:$Q$422,MATCH(ROW(A38),BDDregul!$Q$3:$Q$422,0),9),"")</f>
        <v>0</v>
      </c>
      <c r="E58" s="461">
        <f>+IFERROR(INDEX(BDDregul!$A$3:$Q$422,MATCH(ROW(A38),BDDregul!$Q$3:$Q$422,0),12),"")</f>
        <v>0</v>
      </c>
      <c r="F58" s="461">
        <f>+IFERROR(INDEX(BDDregul!$A$3:$Q$422,MATCH(ROW(A38),BDDregul!$Q$3:$Q$422,0),13),"")</f>
        <v>0</v>
      </c>
      <c r="G58" s="461">
        <f>+IFERROR(IF(A58=DATE($F$12,$E$12,1),0,INDEX(BDDregul!$A$3:$Q$422,MATCH(ROW(A38),BDDregul!$Q$3:$Q$422,0),15)),"")</f>
        <v>0</v>
      </c>
      <c r="H58" s="461">
        <f t="shared" si="0"/>
        <v>0</v>
      </c>
    </row>
    <row r="59" spans="1:8" x14ac:dyDescent="0.2">
      <c r="A59" s="460">
        <f>+IFERROR(INDEX(BDDregul!$A$3:$Q$422,MATCH(ROW(A39),BDDregul!$Q$3:$Q$422,0),1),"")</f>
        <v>43160</v>
      </c>
      <c r="B59" s="1184">
        <f>+IFERROR(INDEX(BDDregul!$A$3:$Q$422,MATCH(ROW(A39),BDDregul!$Q$3:$Q$422,0),3)+INDEX(BDDregul!$A$3:$Q$422,MATCH(ROW(A39),BDDregul!$Q$3:$Q$422,0),4),"")</f>
        <v>0</v>
      </c>
      <c r="C59" s="413">
        <f>+IFERROR(INDEX(BDDregul!$A$3:$Q$422,MATCH(ROW(A39),BDDregul!$Q$3:$Q$422,0),14),"")</f>
        <v>0</v>
      </c>
      <c r="D59" s="461">
        <f>+IFERROR(INDEX(BDDregul!$A$3:$Q$422,MATCH(ROW(A39),BDDregul!$Q$3:$Q$422,0),9),"")</f>
        <v>0</v>
      </c>
      <c r="E59" s="461">
        <f>+IFERROR(INDEX(BDDregul!$A$3:$Q$422,MATCH(ROW(A39),BDDregul!$Q$3:$Q$422,0),12),"")</f>
        <v>0</v>
      </c>
      <c r="F59" s="461">
        <f>+IFERROR(INDEX(BDDregul!$A$3:$Q$422,MATCH(ROW(A39),BDDregul!$Q$3:$Q$422,0),13),"")</f>
        <v>0</v>
      </c>
      <c r="G59" s="461">
        <f>+IFERROR(IF(A59=DATE($F$12,$E$12,1),0,INDEX(BDDregul!$A$3:$Q$422,MATCH(ROW(A39),BDDregul!$Q$3:$Q$422,0),15)),"")</f>
        <v>0</v>
      </c>
      <c r="H59" s="461">
        <f t="shared" si="0"/>
        <v>0</v>
      </c>
    </row>
    <row r="60" spans="1:8" x14ac:dyDescent="0.2">
      <c r="A60" s="460">
        <f>+IFERROR(INDEX(BDDregul!$A$3:$Q$422,MATCH(ROW(A40),BDDregul!$Q$3:$Q$422,0),1),"")</f>
        <v>43191</v>
      </c>
      <c r="B60" s="1184">
        <f>+IFERROR(INDEX(BDDregul!$A$3:$Q$422,MATCH(ROW(A40),BDDregul!$Q$3:$Q$422,0),3)+INDEX(BDDregul!$A$3:$Q$422,MATCH(ROW(A40),BDDregul!$Q$3:$Q$422,0),4),"")</f>
        <v>0</v>
      </c>
      <c r="C60" s="413">
        <f>+IFERROR(INDEX(BDDregul!$A$3:$Q$422,MATCH(ROW(A40),BDDregul!$Q$3:$Q$422,0),14),"")</f>
        <v>0</v>
      </c>
      <c r="D60" s="461">
        <f>+IFERROR(INDEX(BDDregul!$A$3:$Q$422,MATCH(ROW(A40),BDDregul!$Q$3:$Q$422,0),9),"")</f>
        <v>0</v>
      </c>
      <c r="E60" s="461">
        <f>+IFERROR(INDEX(BDDregul!$A$3:$Q$422,MATCH(ROW(A40),BDDregul!$Q$3:$Q$422,0),12),"")</f>
        <v>0</v>
      </c>
      <c r="F60" s="461">
        <f>+IFERROR(INDEX(BDDregul!$A$3:$Q$422,MATCH(ROW(A40),BDDregul!$Q$3:$Q$422,0),13),"")</f>
        <v>0</v>
      </c>
      <c r="G60" s="461">
        <f>+IFERROR(IF(A60=DATE($F$12,$E$12,1),0,INDEX(BDDregul!$A$3:$Q$422,MATCH(ROW(A40),BDDregul!$Q$3:$Q$422,0),15)),"")</f>
        <v>0</v>
      </c>
      <c r="H60" s="461">
        <f t="shared" si="0"/>
        <v>0</v>
      </c>
    </row>
    <row r="61" spans="1:8" x14ac:dyDescent="0.2">
      <c r="A61" s="460">
        <f>+IFERROR(INDEX(BDDregul!$A$3:$Q$422,MATCH(ROW(A41),BDDregul!$Q$3:$Q$422,0),1),"")</f>
        <v>43221</v>
      </c>
      <c r="B61" s="1184">
        <f>+IFERROR(INDEX(BDDregul!$A$3:$Q$422,MATCH(ROW(A41),BDDregul!$Q$3:$Q$422,0),3)+INDEX(BDDregul!$A$3:$Q$422,MATCH(ROW(A41),BDDregul!$Q$3:$Q$422,0),4),"")</f>
        <v>0</v>
      </c>
      <c r="C61" s="413">
        <f>+IFERROR(INDEX(BDDregul!$A$3:$Q$422,MATCH(ROW(A41),BDDregul!$Q$3:$Q$422,0),14),"")</f>
        <v>0</v>
      </c>
      <c r="D61" s="461">
        <f>+IFERROR(INDEX(BDDregul!$A$3:$Q$422,MATCH(ROW(A41),BDDregul!$Q$3:$Q$422,0),9),"")</f>
        <v>0</v>
      </c>
      <c r="E61" s="461">
        <f>+IFERROR(INDEX(BDDregul!$A$3:$Q$422,MATCH(ROW(A41),BDDregul!$Q$3:$Q$422,0),12),"")</f>
        <v>0</v>
      </c>
      <c r="F61" s="461">
        <f>+IFERROR(INDEX(BDDregul!$A$3:$Q$422,MATCH(ROW(A41),BDDregul!$Q$3:$Q$422,0),13),"")</f>
        <v>0</v>
      </c>
      <c r="G61" s="461">
        <f>+IFERROR(IF(A61=DATE($F$12,$E$12,1),0,INDEX(BDDregul!$A$3:$Q$422,MATCH(ROW(A41),BDDregul!$Q$3:$Q$422,0),15)),"")</f>
        <v>0</v>
      </c>
      <c r="H61" s="461">
        <f t="shared" si="0"/>
        <v>0</v>
      </c>
    </row>
    <row r="62" spans="1:8" x14ac:dyDescent="0.2">
      <c r="A62" s="460">
        <f>+IFERROR(INDEX(BDDregul!$A$3:$Q$422,MATCH(ROW(A42),BDDregul!$Q$3:$Q$422,0),1),"")</f>
        <v>43252</v>
      </c>
      <c r="B62" s="1184">
        <f>+IFERROR(INDEX(BDDregul!$A$3:$Q$422,MATCH(ROW(A42),BDDregul!$Q$3:$Q$422,0),3)+INDEX(BDDregul!$A$3:$Q$422,MATCH(ROW(A42),BDDregul!$Q$3:$Q$422,0),4),"")</f>
        <v>0</v>
      </c>
      <c r="C62" s="413">
        <f>+IFERROR(INDEX(BDDregul!$A$3:$Q$422,MATCH(ROW(A42),BDDregul!$Q$3:$Q$422,0),14),"")</f>
        <v>0</v>
      </c>
      <c r="D62" s="461">
        <f>+IFERROR(INDEX(BDDregul!$A$3:$Q$422,MATCH(ROW(A42),BDDregul!$Q$3:$Q$422,0),9),"")</f>
        <v>0</v>
      </c>
      <c r="E62" s="461">
        <f>+IFERROR(INDEX(BDDregul!$A$3:$Q$422,MATCH(ROW(A42),BDDregul!$Q$3:$Q$422,0),12),"")</f>
        <v>0</v>
      </c>
      <c r="F62" s="461">
        <f>+IFERROR(INDEX(BDDregul!$A$3:$Q$422,MATCH(ROW(A42),BDDregul!$Q$3:$Q$422,0),13),"")</f>
        <v>0</v>
      </c>
      <c r="G62" s="461">
        <f>+IFERROR(IF(A62=DATE($F$12,$E$12,1),0,INDEX(BDDregul!$A$3:$Q$422,MATCH(ROW(A42),BDDregul!$Q$3:$Q$422,0),15)),"")</f>
        <v>0</v>
      </c>
      <c r="H62" s="461">
        <f t="shared" si="0"/>
        <v>0</v>
      </c>
    </row>
    <row r="63" spans="1:8" x14ac:dyDescent="0.2">
      <c r="A63" s="460">
        <f>+IFERROR(INDEX(BDDregul!$A$3:$Q$422,MATCH(ROW(A43),BDDregul!$Q$3:$Q$422,0),1),"")</f>
        <v>43282</v>
      </c>
      <c r="B63" s="1184">
        <f>+IFERROR(INDEX(BDDregul!$A$3:$Q$422,MATCH(ROW(A43),BDDregul!$Q$3:$Q$422,0),3)+INDEX(BDDregul!$A$3:$Q$422,MATCH(ROW(A43),BDDregul!$Q$3:$Q$422,0),4),"")</f>
        <v>0</v>
      </c>
      <c r="C63" s="413">
        <f>+IFERROR(INDEX(BDDregul!$A$3:$Q$422,MATCH(ROW(A43),BDDregul!$Q$3:$Q$422,0),14),"")</f>
        <v>0</v>
      </c>
      <c r="D63" s="461">
        <f>+IFERROR(INDEX(BDDregul!$A$3:$Q$422,MATCH(ROW(A43),BDDregul!$Q$3:$Q$422,0),9),"")</f>
        <v>0</v>
      </c>
      <c r="E63" s="461">
        <f>+IFERROR(INDEX(BDDregul!$A$3:$Q$422,MATCH(ROW(A43),BDDregul!$Q$3:$Q$422,0),12),"")</f>
        <v>0</v>
      </c>
      <c r="F63" s="461">
        <f>+IFERROR(INDEX(BDDregul!$A$3:$Q$422,MATCH(ROW(A43),BDDregul!$Q$3:$Q$422,0),13),"")</f>
        <v>0</v>
      </c>
      <c r="G63" s="461">
        <f>+IFERROR(IF(A63=DATE($F$12,$E$12,1),0,INDEX(BDDregul!$A$3:$Q$422,MATCH(ROW(A43),BDDregul!$Q$3:$Q$422,0),15)),"")</f>
        <v>0</v>
      </c>
      <c r="H63" s="461">
        <f t="shared" si="0"/>
        <v>0</v>
      </c>
    </row>
    <row r="64" spans="1:8" x14ac:dyDescent="0.2">
      <c r="A64" s="460">
        <f>+IFERROR(INDEX(BDDregul!$A$3:$Q$422,MATCH(ROW(A44),BDDregul!$Q$3:$Q$422,0),1),"")</f>
        <v>43313</v>
      </c>
      <c r="B64" s="1184">
        <f>+IFERROR(INDEX(BDDregul!$A$3:$Q$422,MATCH(ROW(A44),BDDregul!$Q$3:$Q$422,0),3)+INDEX(BDDregul!$A$3:$Q$422,MATCH(ROW(A44),BDDregul!$Q$3:$Q$422,0),4),"")</f>
        <v>0</v>
      </c>
      <c r="C64" s="413">
        <f>+IFERROR(INDEX(BDDregul!$A$3:$Q$422,MATCH(ROW(A44),BDDregul!$Q$3:$Q$422,0),14),"")</f>
        <v>0</v>
      </c>
      <c r="D64" s="461">
        <f>+IFERROR(INDEX(BDDregul!$A$3:$Q$422,MATCH(ROW(A44),BDDregul!$Q$3:$Q$422,0),9),"")</f>
        <v>0</v>
      </c>
      <c r="E64" s="461">
        <f>+IFERROR(INDEX(BDDregul!$A$3:$Q$422,MATCH(ROW(A44),BDDregul!$Q$3:$Q$422,0),12),"")</f>
        <v>0</v>
      </c>
      <c r="F64" s="461">
        <f>+IFERROR(INDEX(BDDregul!$A$3:$Q$422,MATCH(ROW(A44),BDDregul!$Q$3:$Q$422,0),13),"")</f>
        <v>0</v>
      </c>
      <c r="G64" s="461">
        <f>+IFERROR(IF(A64=DATE($F$12,$E$12,1),0,INDEX(BDDregul!$A$3:$Q$422,MATCH(ROW(A44),BDDregul!$Q$3:$Q$422,0),15)),"")</f>
        <v>0</v>
      </c>
      <c r="H64" s="461">
        <f t="shared" si="0"/>
        <v>0</v>
      </c>
    </row>
    <row r="65" spans="1:8" x14ac:dyDescent="0.2">
      <c r="A65" s="460">
        <f>+IFERROR(INDEX(BDDregul!$A$3:$Q$422,MATCH(ROW(A45),BDDregul!$Q$3:$Q$422,0),1),"")</f>
        <v>43344</v>
      </c>
      <c r="B65" s="1184">
        <f>+IFERROR(INDEX(BDDregul!$A$3:$Q$422,MATCH(ROW(A45),BDDregul!$Q$3:$Q$422,0),3)+INDEX(BDDregul!$A$3:$Q$422,MATCH(ROW(A45),BDDregul!$Q$3:$Q$422,0),4),"")</f>
        <v>0</v>
      </c>
      <c r="C65" s="413">
        <f>+IFERROR(INDEX(BDDregul!$A$3:$Q$422,MATCH(ROW(A45),BDDregul!$Q$3:$Q$422,0),14),"")</f>
        <v>0</v>
      </c>
      <c r="D65" s="461">
        <f>+IFERROR(INDEX(BDDregul!$A$3:$Q$422,MATCH(ROW(A45),BDDregul!$Q$3:$Q$422,0),9),"")</f>
        <v>0</v>
      </c>
      <c r="E65" s="461">
        <f>+IFERROR(INDEX(BDDregul!$A$3:$Q$422,MATCH(ROW(A45),BDDregul!$Q$3:$Q$422,0),12),"")</f>
        <v>0</v>
      </c>
      <c r="F65" s="461">
        <f>+IFERROR(INDEX(BDDregul!$A$3:$Q$422,MATCH(ROW(A45),BDDregul!$Q$3:$Q$422,0),13),"")</f>
        <v>0</v>
      </c>
      <c r="G65" s="461">
        <f>+IFERROR(IF(A65=DATE($F$12,$E$12,1),0,INDEX(BDDregul!$A$3:$Q$422,MATCH(ROW(A45),BDDregul!$Q$3:$Q$422,0),15)),"")</f>
        <v>0</v>
      </c>
      <c r="H65" s="461">
        <f t="shared" si="0"/>
        <v>0</v>
      </c>
    </row>
    <row r="66" spans="1:8" x14ac:dyDescent="0.2">
      <c r="A66" s="460">
        <f>+IFERROR(INDEX(BDDregul!$A$3:$Q$422,MATCH(ROW(A46),BDDregul!$Q$3:$Q$422,0),1),"")</f>
        <v>43374</v>
      </c>
      <c r="B66" s="1184">
        <f>+IFERROR(INDEX(BDDregul!$A$3:$Q$422,MATCH(ROW(A46),BDDregul!$Q$3:$Q$422,0),3)+INDEX(BDDregul!$A$3:$Q$422,MATCH(ROW(A46),BDDregul!$Q$3:$Q$422,0),4),"")</f>
        <v>0</v>
      </c>
      <c r="C66" s="413">
        <f>+IFERROR(INDEX(BDDregul!$A$3:$Q$422,MATCH(ROW(A46),BDDregul!$Q$3:$Q$422,0),14),"")</f>
        <v>0</v>
      </c>
      <c r="D66" s="461">
        <f>+IFERROR(INDEX(BDDregul!$A$3:$Q$422,MATCH(ROW(A46),BDDregul!$Q$3:$Q$422,0),9),"")</f>
        <v>0</v>
      </c>
      <c r="E66" s="461">
        <f>+IFERROR(INDEX(BDDregul!$A$3:$Q$422,MATCH(ROW(A46),BDDregul!$Q$3:$Q$422,0),12),"")</f>
        <v>0</v>
      </c>
      <c r="F66" s="461">
        <f>+IFERROR(INDEX(BDDregul!$A$3:$Q$422,MATCH(ROW(A46),BDDregul!$Q$3:$Q$422,0),13),"")</f>
        <v>0</v>
      </c>
      <c r="G66" s="461">
        <f>+IFERROR(IF(A66=DATE($F$12,$E$12,1),0,INDEX(BDDregul!$A$3:$Q$422,MATCH(ROW(A46),BDDregul!$Q$3:$Q$422,0),15)),"")</f>
        <v>0</v>
      </c>
      <c r="H66" s="461">
        <f t="shared" si="0"/>
        <v>0</v>
      </c>
    </row>
    <row r="67" spans="1:8" x14ac:dyDescent="0.2">
      <c r="A67" s="460">
        <f>+IFERROR(INDEX(BDDregul!$A$3:$Q$422,MATCH(ROW(A47),BDDregul!$Q$3:$Q$422,0),1),"")</f>
        <v>43405</v>
      </c>
      <c r="B67" s="1184">
        <f>+IFERROR(INDEX(BDDregul!$A$3:$Q$422,MATCH(ROW(A47),BDDregul!$Q$3:$Q$422,0),3)+INDEX(BDDregul!$A$3:$Q$422,MATCH(ROW(A47),BDDregul!$Q$3:$Q$422,0),4),"")</f>
        <v>0</v>
      </c>
      <c r="C67" s="413">
        <f>+IFERROR(INDEX(BDDregul!$A$3:$Q$422,MATCH(ROW(A47),BDDregul!$Q$3:$Q$422,0),14),"")</f>
        <v>0</v>
      </c>
      <c r="D67" s="461">
        <f>+IFERROR(INDEX(BDDregul!$A$3:$Q$422,MATCH(ROW(A47),BDDregul!$Q$3:$Q$422,0),9),"")</f>
        <v>0</v>
      </c>
      <c r="E67" s="461">
        <f>+IFERROR(INDEX(BDDregul!$A$3:$Q$422,MATCH(ROW(A47),BDDregul!$Q$3:$Q$422,0),12),"")</f>
        <v>0</v>
      </c>
      <c r="F67" s="461">
        <f>+IFERROR(INDEX(BDDregul!$A$3:$Q$422,MATCH(ROW(A47),BDDregul!$Q$3:$Q$422,0),13),"")</f>
        <v>0</v>
      </c>
      <c r="G67" s="461">
        <f>+IFERROR(IF(A67=DATE($F$12,$E$12,1),0,INDEX(BDDregul!$A$3:$Q$422,MATCH(ROW(A47),BDDregul!$Q$3:$Q$422,0),15)),"")</f>
        <v>0</v>
      </c>
      <c r="H67" s="461">
        <f t="shared" si="0"/>
        <v>0</v>
      </c>
    </row>
    <row r="68" spans="1:8" x14ac:dyDescent="0.2">
      <c r="A68" s="460">
        <f>+IFERROR(INDEX(BDDregul!$A$3:$Q$422,MATCH(ROW(A48),BDDregul!$Q$3:$Q$422,0),1),"")</f>
        <v>43435</v>
      </c>
      <c r="B68" s="1184">
        <f>+IFERROR(INDEX(BDDregul!$A$3:$Q$422,MATCH(ROW(A48),BDDregul!$Q$3:$Q$422,0),3)+INDEX(BDDregul!$A$3:$Q$422,MATCH(ROW(A48),BDDregul!$Q$3:$Q$422,0),4),"")</f>
        <v>0</v>
      </c>
      <c r="C68" s="413">
        <f>+IFERROR(INDEX(BDDregul!$A$3:$Q$422,MATCH(ROW(A48),BDDregul!$Q$3:$Q$422,0),14),"")</f>
        <v>0</v>
      </c>
      <c r="D68" s="461">
        <f>+IFERROR(INDEX(BDDregul!$A$3:$Q$422,MATCH(ROW(A48),BDDregul!$Q$3:$Q$422,0),9),"")</f>
        <v>0</v>
      </c>
      <c r="E68" s="461">
        <f>+IFERROR(INDEX(BDDregul!$A$3:$Q$422,MATCH(ROW(A48),BDDregul!$Q$3:$Q$422,0),12),"")</f>
        <v>0</v>
      </c>
      <c r="F68" s="461">
        <f>+IFERROR(INDEX(BDDregul!$A$3:$Q$422,MATCH(ROW(A48),BDDregul!$Q$3:$Q$422,0),13),"")</f>
        <v>0</v>
      </c>
      <c r="G68" s="461">
        <f>+IFERROR(IF(A68=DATE($F$12,$E$12,1),0,INDEX(BDDregul!$A$3:$Q$422,MATCH(ROW(A48),BDDregul!$Q$3:$Q$422,0),15)),"")</f>
        <v>0</v>
      </c>
      <c r="H68" s="461">
        <f t="shared" si="0"/>
        <v>0</v>
      </c>
    </row>
    <row r="69" spans="1:8" x14ac:dyDescent="0.2">
      <c r="A69" s="460">
        <f>+IFERROR(INDEX(BDDregul!$A$3:$Q$422,MATCH(ROW(A49),BDDregul!$Q$3:$Q$422,0),1),"")</f>
        <v>43466</v>
      </c>
      <c r="B69" s="1184">
        <f>+IFERROR(INDEX(BDDregul!$A$3:$Q$422,MATCH(ROW(A49),BDDregul!$Q$3:$Q$422,0),3)+INDEX(BDDregul!$A$3:$Q$422,MATCH(ROW(A49),BDDregul!$Q$3:$Q$422,0),4),"")</f>
        <v>0</v>
      </c>
      <c r="C69" s="413">
        <f>+IFERROR(INDEX(BDDregul!$A$3:$Q$422,MATCH(ROW(A49),BDDregul!$Q$3:$Q$422,0),14),"")</f>
        <v>0</v>
      </c>
      <c r="D69" s="461">
        <f>+IFERROR(INDEX(BDDregul!$A$3:$Q$422,MATCH(ROW(A49),BDDregul!$Q$3:$Q$422,0),9),"")</f>
        <v>0</v>
      </c>
      <c r="E69" s="461">
        <f>+IFERROR(INDEX(BDDregul!$A$3:$Q$422,MATCH(ROW(A49),BDDregul!$Q$3:$Q$422,0),12),"")</f>
        <v>0</v>
      </c>
      <c r="F69" s="461">
        <f>+IFERROR(INDEX(BDDregul!$A$3:$Q$422,MATCH(ROW(A49),BDDregul!$Q$3:$Q$422,0),13),"")</f>
        <v>0</v>
      </c>
      <c r="G69" s="461">
        <f>+IFERROR(IF(A69=DATE($F$12,$E$12,1),0,INDEX(BDDregul!$A$3:$Q$422,MATCH(ROW(A49),BDDregul!$Q$3:$Q$422,0),15)),"")</f>
        <v>0</v>
      </c>
      <c r="H69" s="461">
        <f t="shared" si="0"/>
        <v>0</v>
      </c>
    </row>
    <row r="70" spans="1:8" x14ac:dyDescent="0.2">
      <c r="A70" s="460">
        <f>+IFERROR(INDEX(BDDregul!$A$3:$Q$422,MATCH(ROW(A50),BDDregul!$Q$3:$Q$422,0),1),"")</f>
        <v>43497</v>
      </c>
      <c r="B70" s="1184">
        <f>+IFERROR(INDEX(BDDregul!$A$3:$Q$422,MATCH(ROW(A50),BDDregul!$Q$3:$Q$422,0),3)+INDEX(BDDregul!$A$3:$Q$422,MATCH(ROW(A50),BDDregul!$Q$3:$Q$422,0),4),"")</f>
        <v>0</v>
      </c>
      <c r="C70" s="413">
        <f>+IFERROR(INDEX(BDDregul!$A$3:$Q$422,MATCH(ROW(A50),BDDregul!$Q$3:$Q$422,0),14),"")</f>
        <v>0</v>
      </c>
      <c r="D70" s="461">
        <f>+IFERROR(INDEX(BDDregul!$A$3:$Q$422,MATCH(ROW(A50),BDDregul!$Q$3:$Q$422,0),9),"")</f>
        <v>0</v>
      </c>
      <c r="E70" s="461">
        <f>+IFERROR(INDEX(BDDregul!$A$3:$Q$422,MATCH(ROW(A50),BDDregul!$Q$3:$Q$422,0),12),"")</f>
        <v>0</v>
      </c>
      <c r="F70" s="461">
        <f>+IFERROR(INDEX(BDDregul!$A$3:$Q$422,MATCH(ROW(A50),BDDregul!$Q$3:$Q$422,0),13),"")</f>
        <v>0</v>
      </c>
      <c r="G70" s="461">
        <f>+IFERROR(IF(A70=DATE($F$12,$E$12,1),0,INDEX(BDDregul!$A$3:$Q$422,MATCH(ROW(A50),BDDregul!$Q$3:$Q$422,0),15)),"")</f>
        <v>0</v>
      </c>
      <c r="H70" s="461">
        <f t="shared" si="0"/>
        <v>0</v>
      </c>
    </row>
    <row r="71" spans="1:8" x14ac:dyDescent="0.2">
      <c r="A71" s="460">
        <f>+IFERROR(INDEX(BDDregul!$A$3:$Q$422,MATCH(ROW(A51),BDDregul!$Q$3:$Q$422,0),1),"")</f>
        <v>43525</v>
      </c>
      <c r="B71" s="1184">
        <f>+IFERROR(INDEX(BDDregul!$A$3:$Q$422,MATCH(ROW(A51),BDDregul!$Q$3:$Q$422,0),3)+INDEX(BDDregul!$A$3:$Q$422,MATCH(ROW(A51),BDDregul!$Q$3:$Q$422,0),4),"")</f>
        <v>0</v>
      </c>
      <c r="C71" s="413">
        <f>+IFERROR(INDEX(BDDregul!$A$3:$Q$422,MATCH(ROW(A51),BDDregul!$Q$3:$Q$422,0),14),"")</f>
        <v>0</v>
      </c>
      <c r="D71" s="461">
        <f>+IFERROR(INDEX(BDDregul!$A$3:$Q$422,MATCH(ROW(A51),BDDregul!$Q$3:$Q$422,0),9),"")</f>
        <v>0</v>
      </c>
      <c r="E71" s="461">
        <f>+IFERROR(INDEX(BDDregul!$A$3:$Q$422,MATCH(ROW(A51),BDDregul!$Q$3:$Q$422,0),12),"")</f>
        <v>0</v>
      </c>
      <c r="F71" s="461">
        <f>+IFERROR(INDEX(BDDregul!$A$3:$Q$422,MATCH(ROW(A51),BDDregul!$Q$3:$Q$422,0),13),"")</f>
        <v>0</v>
      </c>
      <c r="G71" s="461">
        <f>+IFERROR(IF(A71=DATE($F$12,$E$12,1),0,INDEX(BDDregul!$A$3:$Q$422,MATCH(ROW(A51),BDDregul!$Q$3:$Q$422,0),15)),"")</f>
        <v>0</v>
      </c>
      <c r="H71" s="461">
        <f t="shared" si="0"/>
        <v>0</v>
      </c>
    </row>
    <row r="72" spans="1:8" x14ac:dyDescent="0.2">
      <c r="A72" s="460">
        <f>+IFERROR(INDEX(BDDregul!$A$3:$Q$422,MATCH(ROW(A52),BDDregul!$Q$3:$Q$422,0),1),"")</f>
        <v>43556</v>
      </c>
      <c r="B72" s="1184">
        <f>+IFERROR(INDEX(BDDregul!$A$3:$Q$422,MATCH(ROW(A52),BDDregul!$Q$3:$Q$422,0),3)+INDEX(BDDregul!$A$3:$Q$422,MATCH(ROW(A52),BDDregul!$Q$3:$Q$422,0),4),"")</f>
        <v>0</v>
      </c>
      <c r="C72" s="413">
        <f>+IFERROR(INDEX(BDDregul!$A$3:$Q$422,MATCH(ROW(A52),BDDregul!$Q$3:$Q$422,0),14),"")</f>
        <v>0</v>
      </c>
      <c r="D72" s="461">
        <f>+IFERROR(INDEX(BDDregul!$A$3:$Q$422,MATCH(ROW(A52),BDDregul!$Q$3:$Q$422,0),9),"")</f>
        <v>0</v>
      </c>
      <c r="E72" s="461">
        <f>+IFERROR(INDEX(BDDregul!$A$3:$Q$422,MATCH(ROW(A52),BDDregul!$Q$3:$Q$422,0),12),"")</f>
        <v>0</v>
      </c>
      <c r="F72" s="461">
        <f>+IFERROR(INDEX(BDDregul!$A$3:$Q$422,MATCH(ROW(A52),BDDregul!$Q$3:$Q$422,0),13),"")</f>
        <v>0</v>
      </c>
      <c r="G72" s="461">
        <f>+IFERROR(IF(A72=DATE($F$12,$E$12,1),0,INDEX(BDDregul!$A$3:$Q$422,MATCH(ROW(A52),BDDregul!$Q$3:$Q$422,0),15)),"")</f>
        <v>0</v>
      </c>
      <c r="H72" s="461">
        <f t="shared" si="0"/>
        <v>0</v>
      </c>
    </row>
    <row r="73" spans="1:8" x14ac:dyDescent="0.2">
      <c r="A73" s="460">
        <f>+IFERROR(INDEX(BDDregul!$A$3:$Q$422,MATCH(ROW(A53),BDDregul!$Q$3:$Q$422,0),1),"")</f>
        <v>43586</v>
      </c>
      <c r="B73" s="1184">
        <f>+IFERROR(INDEX(BDDregul!$A$3:$Q$422,MATCH(ROW(A53),BDDregul!$Q$3:$Q$422,0),3)+INDEX(BDDregul!$A$3:$Q$422,MATCH(ROW(A53),BDDregul!$Q$3:$Q$422,0),4),"")</f>
        <v>0</v>
      </c>
      <c r="C73" s="413">
        <f>+IFERROR(INDEX(BDDregul!$A$3:$Q$422,MATCH(ROW(A53),BDDregul!$Q$3:$Q$422,0),14),"")</f>
        <v>0</v>
      </c>
      <c r="D73" s="461">
        <f>+IFERROR(INDEX(BDDregul!$A$3:$Q$422,MATCH(ROW(A53),BDDregul!$Q$3:$Q$422,0),9),"")</f>
        <v>0</v>
      </c>
      <c r="E73" s="461">
        <f>+IFERROR(INDEX(BDDregul!$A$3:$Q$422,MATCH(ROW(A53),BDDregul!$Q$3:$Q$422,0),12),"")</f>
        <v>0</v>
      </c>
      <c r="F73" s="461">
        <f>+IFERROR(INDEX(BDDregul!$A$3:$Q$422,MATCH(ROW(A53),BDDregul!$Q$3:$Q$422,0),13),"")</f>
        <v>0</v>
      </c>
      <c r="G73" s="461">
        <f>+IFERROR(IF(A73=DATE($F$12,$E$12,1),0,INDEX(BDDregul!$A$3:$Q$422,MATCH(ROW(A53),BDDregul!$Q$3:$Q$422,0),15)),"")</f>
        <v>0</v>
      </c>
      <c r="H73" s="461">
        <f t="shared" si="0"/>
        <v>0</v>
      </c>
    </row>
    <row r="74" spans="1:8" x14ac:dyDescent="0.2">
      <c r="A74" s="460">
        <f>+IFERROR(INDEX(BDDregul!$A$3:$Q$422,MATCH(ROW(A54),BDDregul!$Q$3:$Q$422,0),1),"")</f>
        <v>43617</v>
      </c>
      <c r="B74" s="1184">
        <f>+IFERROR(INDEX(BDDregul!$A$3:$Q$422,MATCH(ROW(A54),BDDregul!$Q$3:$Q$422,0),3)+INDEX(BDDregul!$A$3:$Q$422,MATCH(ROW(A54),BDDregul!$Q$3:$Q$422,0),4),"")</f>
        <v>0</v>
      </c>
      <c r="C74" s="413">
        <f>+IFERROR(INDEX(BDDregul!$A$3:$Q$422,MATCH(ROW(A54),BDDregul!$Q$3:$Q$422,0),14),"")</f>
        <v>0</v>
      </c>
      <c r="D74" s="461">
        <f>+IFERROR(INDEX(BDDregul!$A$3:$Q$422,MATCH(ROW(A54),BDDregul!$Q$3:$Q$422,0),9),"")</f>
        <v>0</v>
      </c>
      <c r="E74" s="461">
        <f>+IFERROR(INDEX(BDDregul!$A$3:$Q$422,MATCH(ROW(A54),BDDregul!$Q$3:$Q$422,0),12),"")</f>
        <v>0</v>
      </c>
      <c r="F74" s="461">
        <f>+IFERROR(INDEX(BDDregul!$A$3:$Q$422,MATCH(ROW(A54),BDDregul!$Q$3:$Q$422,0),13),"")</f>
        <v>0</v>
      </c>
      <c r="G74" s="461">
        <f>+IFERROR(IF(A74=DATE($F$12,$E$12,1),0,INDEX(BDDregul!$A$3:$Q$422,MATCH(ROW(A54),BDDregul!$Q$3:$Q$422,0),15)),"")</f>
        <v>0</v>
      </c>
      <c r="H74" s="461">
        <f t="shared" si="0"/>
        <v>0</v>
      </c>
    </row>
    <row r="75" spans="1:8" x14ac:dyDescent="0.2">
      <c r="A75" s="460">
        <f>+IFERROR(INDEX(BDDregul!$A$3:$Q$422,MATCH(ROW(A55),BDDregul!$Q$3:$Q$422,0),1),"")</f>
        <v>43647</v>
      </c>
      <c r="B75" s="1184">
        <f>+IFERROR(INDEX(BDDregul!$A$3:$Q$422,MATCH(ROW(A55),BDDregul!$Q$3:$Q$422,0),3)+INDEX(BDDregul!$A$3:$Q$422,MATCH(ROW(A55),BDDregul!$Q$3:$Q$422,0),4),"")</f>
        <v>0</v>
      </c>
      <c r="C75" s="413">
        <f>+IFERROR(INDEX(BDDregul!$A$3:$Q$422,MATCH(ROW(A55),BDDregul!$Q$3:$Q$422,0),14),"")</f>
        <v>0</v>
      </c>
      <c r="D75" s="461">
        <f>+IFERROR(INDEX(BDDregul!$A$3:$Q$422,MATCH(ROW(A55),BDDregul!$Q$3:$Q$422,0),9),"")</f>
        <v>0</v>
      </c>
      <c r="E75" s="461">
        <f>+IFERROR(INDEX(BDDregul!$A$3:$Q$422,MATCH(ROW(A55),BDDregul!$Q$3:$Q$422,0),12),"")</f>
        <v>0</v>
      </c>
      <c r="F75" s="461">
        <f>+IFERROR(INDEX(BDDregul!$A$3:$Q$422,MATCH(ROW(A55),BDDregul!$Q$3:$Q$422,0),13),"")</f>
        <v>0</v>
      </c>
      <c r="G75" s="461">
        <f>+IFERROR(IF(A75=DATE($F$12,$E$12,1),0,INDEX(BDDregul!$A$3:$Q$422,MATCH(ROW(A55),BDDregul!$Q$3:$Q$422,0),15)),"")</f>
        <v>0</v>
      </c>
      <c r="H75" s="461">
        <f t="shared" si="0"/>
        <v>0</v>
      </c>
    </row>
    <row r="76" spans="1:8" x14ac:dyDescent="0.2">
      <c r="A76" s="460">
        <f>+IFERROR(INDEX(BDDregul!$A$3:$Q$422,MATCH(ROW(A56),BDDregul!$Q$3:$Q$422,0),1),"")</f>
        <v>43678</v>
      </c>
      <c r="B76" s="1184">
        <f>+IFERROR(INDEX(BDDregul!$A$3:$Q$422,MATCH(ROW(A56),BDDregul!$Q$3:$Q$422,0),3)+INDEX(BDDregul!$A$3:$Q$422,MATCH(ROW(A56),BDDregul!$Q$3:$Q$422,0),4),"")</f>
        <v>0</v>
      </c>
      <c r="C76" s="413">
        <f>+IFERROR(INDEX(BDDregul!$A$3:$Q$422,MATCH(ROW(A56),BDDregul!$Q$3:$Q$422,0),14),"")</f>
        <v>0</v>
      </c>
      <c r="D76" s="461">
        <f>+IFERROR(INDEX(BDDregul!$A$3:$Q$422,MATCH(ROW(A56),BDDregul!$Q$3:$Q$422,0),9),"")</f>
        <v>0</v>
      </c>
      <c r="E76" s="461">
        <f>+IFERROR(INDEX(BDDregul!$A$3:$Q$422,MATCH(ROW(A56),BDDregul!$Q$3:$Q$422,0),12),"")</f>
        <v>0</v>
      </c>
      <c r="F76" s="461">
        <f>+IFERROR(INDEX(BDDregul!$A$3:$Q$422,MATCH(ROW(A56),BDDregul!$Q$3:$Q$422,0),13),"")</f>
        <v>0</v>
      </c>
      <c r="G76" s="461">
        <f>+IFERROR(IF(A76=DATE($F$12,$E$12,1),0,INDEX(BDDregul!$A$3:$Q$422,MATCH(ROW(A56),BDDregul!$Q$3:$Q$422,0),15)),"")</f>
        <v>0</v>
      </c>
      <c r="H76" s="461">
        <f t="shared" si="0"/>
        <v>0</v>
      </c>
    </row>
    <row r="77" spans="1:8" x14ac:dyDescent="0.2">
      <c r="A77" s="460">
        <f>+IFERROR(INDEX(BDDregul!$A$3:$Q$422,MATCH(ROW(A57),BDDregul!$Q$3:$Q$422,0),1),"")</f>
        <v>43709</v>
      </c>
      <c r="B77" s="1184">
        <f>+IFERROR(INDEX(BDDregul!$A$3:$Q$422,MATCH(ROW(A57),BDDregul!$Q$3:$Q$422,0),3)+INDEX(BDDregul!$A$3:$Q$422,MATCH(ROW(A57),BDDregul!$Q$3:$Q$422,0),4),"")</f>
        <v>0</v>
      </c>
      <c r="C77" s="413">
        <f>+IFERROR(INDEX(BDDregul!$A$3:$Q$422,MATCH(ROW(A57),BDDregul!$Q$3:$Q$422,0),14),"")</f>
        <v>0</v>
      </c>
      <c r="D77" s="461">
        <f>+IFERROR(INDEX(BDDregul!$A$3:$Q$422,MATCH(ROW(A57),BDDregul!$Q$3:$Q$422,0),9),"")</f>
        <v>0</v>
      </c>
      <c r="E77" s="461">
        <f>+IFERROR(INDEX(BDDregul!$A$3:$Q$422,MATCH(ROW(A57),BDDregul!$Q$3:$Q$422,0),12),"")</f>
        <v>0</v>
      </c>
      <c r="F77" s="461">
        <f>+IFERROR(INDEX(BDDregul!$A$3:$Q$422,MATCH(ROW(A57),BDDregul!$Q$3:$Q$422,0),13),"")</f>
        <v>0</v>
      </c>
      <c r="G77" s="461">
        <f>+IFERROR(IF(A77=DATE($F$12,$E$12,1),0,INDEX(BDDregul!$A$3:$Q$422,MATCH(ROW(A57),BDDregul!$Q$3:$Q$422,0),15)),"")</f>
        <v>0</v>
      </c>
      <c r="H77" s="461">
        <f t="shared" si="0"/>
        <v>0</v>
      </c>
    </row>
    <row r="78" spans="1:8" x14ac:dyDescent="0.2">
      <c r="A78" s="460">
        <f>+IFERROR(INDEX(BDDregul!$A$3:$Q$422,MATCH(ROW(A58),BDDregul!$Q$3:$Q$422,0),1),"")</f>
        <v>43739</v>
      </c>
      <c r="B78" s="1184">
        <f>+IFERROR(INDEX(BDDregul!$A$3:$Q$422,MATCH(ROW(A58),BDDregul!$Q$3:$Q$422,0),3)+INDEX(BDDregul!$A$3:$Q$422,MATCH(ROW(A58),BDDregul!$Q$3:$Q$422,0),4),"")</f>
        <v>0</v>
      </c>
      <c r="C78" s="413">
        <f>+IFERROR(INDEX(BDDregul!$A$3:$Q$422,MATCH(ROW(A58),BDDregul!$Q$3:$Q$422,0),14),"")</f>
        <v>0</v>
      </c>
      <c r="D78" s="461">
        <f>+IFERROR(INDEX(BDDregul!$A$3:$Q$422,MATCH(ROW(A58),BDDregul!$Q$3:$Q$422,0),9),"")</f>
        <v>0</v>
      </c>
      <c r="E78" s="461">
        <f>+IFERROR(INDEX(BDDregul!$A$3:$Q$422,MATCH(ROW(A58),BDDregul!$Q$3:$Q$422,0),12),"")</f>
        <v>0</v>
      </c>
      <c r="F78" s="461">
        <f>+IFERROR(INDEX(BDDregul!$A$3:$Q$422,MATCH(ROW(A58),BDDregul!$Q$3:$Q$422,0),13),"")</f>
        <v>0</v>
      </c>
      <c r="G78" s="461">
        <f>+IFERROR(IF(A78=DATE($F$12,$E$12,1),0,INDEX(BDDregul!$A$3:$Q$422,MATCH(ROW(A58),BDDregul!$Q$3:$Q$422,0),15)),"")</f>
        <v>0</v>
      </c>
      <c r="H78" s="461">
        <f t="shared" si="0"/>
        <v>0</v>
      </c>
    </row>
    <row r="79" spans="1:8" x14ac:dyDescent="0.2">
      <c r="A79" s="460">
        <f>+IFERROR(INDEX(BDDregul!$A$3:$Q$422,MATCH(ROW(A59),BDDregul!$Q$3:$Q$422,0),1),"")</f>
        <v>43770</v>
      </c>
      <c r="B79" s="1184">
        <f>+IFERROR(INDEX(BDDregul!$A$3:$Q$422,MATCH(ROW(A59),BDDregul!$Q$3:$Q$422,0),3)+INDEX(BDDregul!$A$3:$Q$422,MATCH(ROW(A59),BDDregul!$Q$3:$Q$422,0),4),"")</f>
        <v>0</v>
      </c>
      <c r="C79" s="413">
        <f>+IFERROR(INDEX(BDDregul!$A$3:$Q$422,MATCH(ROW(A59),BDDregul!$Q$3:$Q$422,0),14),"")</f>
        <v>0</v>
      </c>
      <c r="D79" s="461">
        <f>+IFERROR(INDEX(BDDregul!$A$3:$Q$422,MATCH(ROW(A59),BDDregul!$Q$3:$Q$422,0),9),"")</f>
        <v>0</v>
      </c>
      <c r="E79" s="461">
        <f>+IFERROR(INDEX(BDDregul!$A$3:$Q$422,MATCH(ROW(A59),BDDregul!$Q$3:$Q$422,0),12),"")</f>
        <v>0</v>
      </c>
      <c r="F79" s="461">
        <f>+IFERROR(INDEX(BDDregul!$A$3:$Q$422,MATCH(ROW(A59),BDDregul!$Q$3:$Q$422,0),13),"")</f>
        <v>0</v>
      </c>
      <c r="G79" s="461">
        <f>+IFERROR(IF(A79=DATE($F$12,$E$12,1),0,INDEX(BDDregul!$A$3:$Q$422,MATCH(ROW(A59),BDDregul!$Q$3:$Q$422,0),15)),"")</f>
        <v>0</v>
      </c>
      <c r="H79" s="461">
        <f t="shared" si="0"/>
        <v>0</v>
      </c>
    </row>
    <row r="80" spans="1:8" x14ac:dyDescent="0.2">
      <c r="A80" s="460">
        <f>+IFERROR(INDEX(BDDregul!$A$3:$Q$422,MATCH(ROW(A60),BDDregul!$Q$3:$Q$422,0),1),"")</f>
        <v>43800</v>
      </c>
      <c r="B80" s="1184">
        <f>+IFERROR(INDEX(BDDregul!$A$3:$Q$422,MATCH(ROW(A60),BDDregul!$Q$3:$Q$422,0),3)+INDEX(BDDregul!$A$3:$Q$422,MATCH(ROW(A60),BDDregul!$Q$3:$Q$422,0),4),"")</f>
        <v>0</v>
      </c>
      <c r="C80" s="413">
        <f>+IFERROR(INDEX(BDDregul!$A$3:$Q$422,MATCH(ROW(A60),BDDregul!$Q$3:$Q$422,0),14),"")</f>
        <v>0</v>
      </c>
      <c r="D80" s="461">
        <f>+IFERROR(INDEX(BDDregul!$A$3:$Q$422,MATCH(ROW(A60),BDDregul!$Q$3:$Q$422,0),9),"")</f>
        <v>0</v>
      </c>
      <c r="E80" s="461">
        <f>+IFERROR(INDEX(BDDregul!$A$3:$Q$422,MATCH(ROW(A60),BDDregul!$Q$3:$Q$422,0),12),"")</f>
        <v>0</v>
      </c>
      <c r="F80" s="461">
        <f>+IFERROR(INDEX(BDDregul!$A$3:$Q$422,MATCH(ROW(A60),BDDregul!$Q$3:$Q$422,0),13),"")</f>
        <v>0</v>
      </c>
      <c r="G80" s="461">
        <f>+IFERROR(IF(A80=DATE($F$12,$E$12,1),0,INDEX(BDDregul!$A$3:$Q$422,MATCH(ROW(A60),BDDregul!$Q$3:$Q$422,0),15)),"")</f>
        <v>0</v>
      </c>
      <c r="H80" s="461">
        <f t="shared" si="0"/>
        <v>0</v>
      </c>
    </row>
    <row r="81" spans="1:8" x14ac:dyDescent="0.2">
      <c r="A81" s="460">
        <f>+IFERROR(INDEX(BDDregul!$A$3:$Q$422,MATCH(ROW(A61),BDDregul!$Q$3:$Q$422,0),1),"")</f>
        <v>43831</v>
      </c>
      <c r="B81" s="1184">
        <f>+IFERROR(INDEX(BDDregul!$A$3:$Q$422,MATCH(ROW(A61),BDDregul!$Q$3:$Q$422,0),3)+INDEX(BDDregul!$A$3:$Q$422,MATCH(ROW(A61),BDDregul!$Q$3:$Q$422,0),4),"")</f>
        <v>0</v>
      </c>
      <c r="C81" s="413">
        <f>+IFERROR(INDEX(BDDregul!$A$3:$Q$422,MATCH(ROW(A61),BDDregul!$Q$3:$Q$422,0),14),"")</f>
        <v>0</v>
      </c>
      <c r="D81" s="461">
        <f>+IFERROR(INDEX(BDDregul!$A$3:$Q$422,MATCH(ROW(A61),BDDregul!$Q$3:$Q$422,0),9),"")</f>
        <v>0</v>
      </c>
      <c r="E81" s="461">
        <f>+IFERROR(INDEX(BDDregul!$A$3:$Q$422,MATCH(ROW(A61),BDDregul!$Q$3:$Q$422,0),12),"")</f>
        <v>0</v>
      </c>
      <c r="F81" s="461">
        <f>+IFERROR(INDEX(BDDregul!$A$3:$Q$422,MATCH(ROW(A61),BDDregul!$Q$3:$Q$422,0),13),"")</f>
        <v>0</v>
      </c>
      <c r="G81" s="461">
        <f>+IFERROR(IF(A81=DATE($F$12,$E$12,1),0,INDEX(BDDregul!$A$3:$Q$422,MATCH(ROW(A61),BDDregul!$Q$3:$Q$422,0),15)),"")</f>
        <v>0</v>
      </c>
      <c r="H81" s="461">
        <f t="shared" si="0"/>
        <v>0</v>
      </c>
    </row>
    <row r="82" spans="1:8" x14ac:dyDescent="0.2">
      <c r="A82" s="460">
        <f>+IFERROR(INDEX(BDDregul!$A$3:$Q$422,MATCH(ROW(A62),BDDregul!$Q$3:$Q$422,0),1),"")</f>
        <v>43862</v>
      </c>
      <c r="B82" s="1184">
        <f>+IFERROR(INDEX(BDDregul!$A$3:$Q$422,MATCH(ROW(A62),BDDregul!$Q$3:$Q$422,0),3)+INDEX(BDDregul!$A$3:$Q$422,MATCH(ROW(A62),BDDregul!$Q$3:$Q$422,0),4),"")</f>
        <v>0</v>
      </c>
      <c r="C82" s="413">
        <f>+IFERROR(INDEX(BDDregul!$A$3:$Q$422,MATCH(ROW(A62),BDDregul!$Q$3:$Q$422,0),14),"")</f>
        <v>0</v>
      </c>
      <c r="D82" s="461">
        <f>+IFERROR(INDEX(BDDregul!$A$3:$Q$422,MATCH(ROW(A62),BDDregul!$Q$3:$Q$422,0),9),"")</f>
        <v>0</v>
      </c>
      <c r="E82" s="461">
        <f>+IFERROR(INDEX(BDDregul!$A$3:$Q$422,MATCH(ROW(A62),BDDregul!$Q$3:$Q$422,0),12),"")</f>
        <v>0</v>
      </c>
      <c r="F82" s="461">
        <f>+IFERROR(INDEX(BDDregul!$A$3:$Q$422,MATCH(ROW(A62),BDDregul!$Q$3:$Q$422,0),13),"")</f>
        <v>0</v>
      </c>
      <c r="G82" s="461">
        <f>+IFERROR(IF(A82=DATE($F$12,$E$12,1),0,INDEX(BDDregul!$A$3:$Q$422,MATCH(ROW(A62),BDDregul!$Q$3:$Q$422,0),15)),"")</f>
        <v>0</v>
      </c>
      <c r="H82" s="461">
        <f t="shared" si="0"/>
        <v>0</v>
      </c>
    </row>
    <row r="83" spans="1:8" x14ac:dyDescent="0.2">
      <c r="A83" s="460">
        <f>+IFERROR(INDEX(BDDregul!$A$3:$Q$422,MATCH(ROW(A63),BDDregul!$Q$3:$Q$422,0),1),"")</f>
        <v>43891</v>
      </c>
      <c r="B83" s="1184">
        <f>+IFERROR(INDEX(BDDregul!$A$3:$Q$422,MATCH(ROW(A63),BDDregul!$Q$3:$Q$422,0),3)+INDEX(BDDregul!$A$3:$Q$422,MATCH(ROW(A63),BDDregul!$Q$3:$Q$422,0),4),"")</f>
        <v>0</v>
      </c>
      <c r="C83" s="413">
        <f>+IFERROR(INDEX(BDDregul!$A$3:$Q$422,MATCH(ROW(A63),BDDregul!$Q$3:$Q$422,0),14),"")</f>
        <v>0</v>
      </c>
      <c r="D83" s="461">
        <f>+IFERROR(INDEX(BDDregul!$A$3:$Q$422,MATCH(ROW(A63),BDDregul!$Q$3:$Q$422,0),9),"")</f>
        <v>0</v>
      </c>
      <c r="E83" s="461">
        <f>+IFERROR(INDEX(BDDregul!$A$3:$Q$422,MATCH(ROW(A63),BDDregul!$Q$3:$Q$422,0),12),"")</f>
        <v>0</v>
      </c>
      <c r="F83" s="461">
        <f>+IFERROR(INDEX(BDDregul!$A$3:$Q$422,MATCH(ROW(A63),BDDregul!$Q$3:$Q$422,0),13),"")</f>
        <v>0</v>
      </c>
      <c r="G83" s="461">
        <f>+IFERROR(IF(A83=DATE($F$12,$E$12,1),0,INDEX(BDDregul!$A$3:$Q$422,MATCH(ROW(A63),BDDregul!$Q$3:$Q$422,0),15)),"")</f>
        <v>0</v>
      </c>
      <c r="H83" s="461">
        <f t="shared" si="0"/>
        <v>0</v>
      </c>
    </row>
    <row r="84" spans="1:8" x14ac:dyDescent="0.2">
      <c r="A84" s="460">
        <f>+IFERROR(INDEX(BDDregul!$A$3:$Q$422,MATCH(ROW(A64),BDDregul!$Q$3:$Q$422,0),1),"")</f>
        <v>43922</v>
      </c>
      <c r="B84" s="1184">
        <f>+IFERROR(INDEX(BDDregul!$A$3:$Q$422,MATCH(ROW(A64),BDDregul!$Q$3:$Q$422,0),3)+INDEX(BDDregul!$A$3:$Q$422,MATCH(ROW(A64),BDDregul!$Q$3:$Q$422,0),4),"")</f>
        <v>0</v>
      </c>
      <c r="C84" s="413">
        <f>+IFERROR(INDEX(BDDregul!$A$3:$Q$422,MATCH(ROW(A64),BDDregul!$Q$3:$Q$422,0),14),"")</f>
        <v>0</v>
      </c>
      <c r="D84" s="461">
        <f>+IFERROR(INDEX(BDDregul!$A$3:$Q$422,MATCH(ROW(A64),BDDregul!$Q$3:$Q$422,0),9),"")</f>
        <v>0</v>
      </c>
      <c r="E84" s="461">
        <f>+IFERROR(INDEX(BDDregul!$A$3:$Q$422,MATCH(ROW(A64),BDDregul!$Q$3:$Q$422,0),12),"")</f>
        <v>0</v>
      </c>
      <c r="F84" s="461">
        <f>+IFERROR(INDEX(BDDregul!$A$3:$Q$422,MATCH(ROW(A64),BDDregul!$Q$3:$Q$422,0),13),"")</f>
        <v>0</v>
      </c>
      <c r="G84" s="461">
        <f>+IFERROR(IF(A84=DATE($F$12,$E$12,1),0,INDEX(BDDregul!$A$3:$Q$422,MATCH(ROW(A64),BDDregul!$Q$3:$Q$422,0),15)),"")</f>
        <v>0</v>
      </c>
      <c r="H84" s="461">
        <f t="shared" si="0"/>
        <v>0</v>
      </c>
    </row>
    <row r="85" spans="1:8" x14ac:dyDescent="0.2">
      <c r="A85" s="460">
        <f>+IFERROR(INDEX(BDDregul!$A$3:$Q$422,MATCH(ROW(A65),BDDregul!$Q$3:$Q$422,0),1),"")</f>
        <v>43952</v>
      </c>
      <c r="B85" s="1184">
        <f>+IFERROR(INDEX(BDDregul!$A$3:$Q$422,MATCH(ROW(A65),BDDregul!$Q$3:$Q$422,0),3)+INDEX(BDDregul!$A$3:$Q$422,MATCH(ROW(A65),BDDregul!$Q$3:$Q$422,0),4),"")</f>
        <v>0</v>
      </c>
      <c r="C85" s="413">
        <f>+IFERROR(INDEX(BDDregul!$A$3:$Q$422,MATCH(ROW(A65),BDDregul!$Q$3:$Q$422,0),14),"")</f>
        <v>0</v>
      </c>
      <c r="D85" s="461">
        <f>+IFERROR(INDEX(BDDregul!$A$3:$Q$422,MATCH(ROW(A65),BDDregul!$Q$3:$Q$422,0),9),"")</f>
        <v>0</v>
      </c>
      <c r="E85" s="461">
        <f>+IFERROR(INDEX(BDDregul!$A$3:$Q$422,MATCH(ROW(A65),BDDregul!$Q$3:$Q$422,0),12),"")</f>
        <v>0</v>
      </c>
      <c r="F85" s="461">
        <f>+IFERROR(INDEX(BDDregul!$A$3:$Q$422,MATCH(ROW(A65),BDDregul!$Q$3:$Q$422,0),13),"")</f>
        <v>0</v>
      </c>
      <c r="G85" s="461">
        <f>+IFERROR(IF(A85=DATE($F$12,$E$12,1),0,INDEX(BDDregul!$A$3:$Q$422,MATCH(ROW(A65),BDDregul!$Q$3:$Q$422,0),15)),"")</f>
        <v>0</v>
      </c>
      <c r="H85" s="461">
        <f t="shared" si="0"/>
        <v>0</v>
      </c>
    </row>
    <row r="86" spans="1:8" x14ac:dyDescent="0.2">
      <c r="A86" s="460">
        <f>+IFERROR(INDEX(BDDregul!$A$3:$Q$422,MATCH(ROW(A66),BDDregul!$Q$3:$Q$422,0),1),"")</f>
        <v>43983</v>
      </c>
      <c r="B86" s="1184">
        <f>+IFERROR(INDEX(BDDregul!$A$3:$Q$422,MATCH(ROW(A66),BDDregul!$Q$3:$Q$422,0),3)+INDEX(BDDregul!$A$3:$Q$422,MATCH(ROW(A66),BDDregul!$Q$3:$Q$422,0),4),"")</f>
        <v>0</v>
      </c>
      <c r="C86" s="413">
        <f>+IFERROR(INDEX(BDDregul!$A$3:$Q$422,MATCH(ROW(A66),BDDregul!$Q$3:$Q$422,0),14),"")</f>
        <v>0</v>
      </c>
      <c r="D86" s="461">
        <f>+IFERROR(INDEX(BDDregul!$A$3:$Q$422,MATCH(ROW(A66),BDDregul!$Q$3:$Q$422,0),9),"")</f>
        <v>0</v>
      </c>
      <c r="E86" s="461">
        <f>+IFERROR(INDEX(BDDregul!$A$3:$Q$422,MATCH(ROW(A66),BDDregul!$Q$3:$Q$422,0),12),"")</f>
        <v>0</v>
      </c>
      <c r="F86" s="461">
        <f>+IFERROR(INDEX(BDDregul!$A$3:$Q$422,MATCH(ROW(A66),BDDregul!$Q$3:$Q$422,0),13),"")</f>
        <v>0</v>
      </c>
      <c r="G86" s="461">
        <f>+IFERROR(IF(A86=DATE($F$12,$E$12,1),0,INDEX(BDDregul!$A$3:$Q$422,MATCH(ROW(A66),BDDregul!$Q$3:$Q$422,0),15)),"")</f>
        <v>0</v>
      </c>
      <c r="H86" s="461">
        <f t="shared" si="0"/>
        <v>0</v>
      </c>
    </row>
    <row r="87" spans="1:8" x14ac:dyDescent="0.2">
      <c r="A87" s="460">
        <f>+IFERROR(INDEX(BDDregul!$A$3:$Q$422,MATCH(ROW(A67),BDDregul!$Q$3:$Q$422,0),1),"")</f>
        <v>44013</v>
      </c>
      <c r="B87" s="1184">
        <f>+IFERROR(INDEX(BDDregul!$A$3:$Q$422,MATCH(ROW(A67),BDDregul!$Q$3:$Q$422,0),3)+INDEX(BDDregul!$A$3:$Q$422,MATCH(ROW(A67),BDDregul!$Q$3:$Q$422,0),4),"")</f>
        <v>0</v>
      </c>
      <c r="C87" s="413">
        <f>+IFERROR(INDEX(BDDregul!$A$3:$Q$422,MATCH(ROW(A67),BDDregul!$Q$3:$Q$422,0),14),"")</f>
        <v>0</v>
      </c>
      <c r="D87" s="461">
        <f>+IFERROR(INDEX(BDDregul!$A$3:$Q$422,MATCH(ROW(A67),BDDregul!$Q$3:$Q$422,0),9),"")</f>
        <v>0</v>
      </c>
      <c r="E87" s="461">
        <f>+IFERROR(INDEX(BDDregul!$A$3:$Q$422,MATCH(ROW(A67),BDDregul!$Q$3:$Q$422,0),12),"")</f>
        <v>0</v>
      </c>
      <c r="F87" s="461">
        <f>+IFERROR(INDEX(BDDregul!$A$3:$Q$422,MATCH(ROW(A67),BDDregul!$Q$3:$Q$422,0),13),"")</f>
        <v>0</v>
      </c>
      <c r="G87" s="461">
        <f>+IFERROR(IF(A87=DATE($F$12,$E$12,1),0,INDEX(BDDregul!$A$3:$Q$422,MATCH(ROW(A67),BDDregul!$Q$3:$Q$422,0),15)),"")</f>
        <v>0</v>
      </c>
      <c r="H87" s="461">
        <f t="shared" ref="H87:H116" si="1">IFERROR(+IF(OR(AND(F87=0,H86&lt;&gt;0),AND(F87&lt;&gt;0,H86&lt;&gt;0)),F87+H86-G87,IF(AND(F87&lt;&gt;0,H86=0),F87+$D$17-G87,0)),"")</f>
        <v>0</v>
      </c>
    </row>
    <row r="88" spans="1:8" x14ac:dyDescent="0.2">
      <c r="A88" s="460">
        <f>+IFERROR(INDEX(BDDregul!$A$3:$Q$422,MATCH(ROW(A68),BDDregul!$Q$3:$Q$422,0),1),"")</f>
        <v>44044</v>
      </c>
      <c r="B88" s="1184">
        <f>+IFERROR(INDEX(BDDregul!$A$3:$Q$422,MATCH(ROW(A68),BDDregul!$Q$3:$Q$422,0),3)+INDEX(BDDregul!$A$3:$Q$422,MATCH(ROW(A68),BDDregul!$Q$3:$Q$422,0),4),"")</f>
        <v>0</v>
      </c>
      <c r="C88" s="413">
        <f>+IFERROR(INDEX(BDDregul!$A$3:$Q$422,MATCH(ROW(A68),BDDregul!$Q$3:$Q$422,0),14),"")</f>
        <v>0</v>
      </c>
      <c r="D88" s="461">
        <f>+IFERROR(INDEX(BDDregul!$A$3:$Q$422,MATCH(ROW(A68),BDDregul!$Q$3:$Q$422,0),9),"")</f>
        <v>0</v>
      </c>
      <c r="E88" s="461">
        <f>+IFERROR(INDEX(BDDregul!$A$3:$Q$422,MATCH(ROW(A68),BDDregul!$Q$3:$Q$422,0),12),"")</f>
        <v>0</v>
      </c>
      <c r="F88" s="461">
        <f>+IFERROR(INDEX(BDDregul!$A$3:$Q$422,MATCH(ROW(A68),BDDregul!$Q$3:$Q$422,0),13),"")</f>
        <v>0</v>
      </c>
      <c r="G88" s="461">
        <f>+IFERROR(IF(A88=DATE($F$12,$E$12,1),0,INDEX(BDDregul!$A$3:$Q$422,MATCH(ROW(A68),BDDregul!$Q$3:$Q$422,0),15)),"")</f>
        <v>0</v>
      </c>
      <c r="H88" s="461">
        <f t="shared" si="1"/>
        <v>0</v>
      </c>
    </row>
    <row r="89" spans="1:8" x14ac:dyDescent="0.2">
      <c r="A89" s="460">
        <f>+IFERROR(INDEX(BDDregul!$A$3:$Q$422,MATCH(ROW(A69),BDDregul!$Q$3:$Q$422,0),1),"")</f>
        <v>44075</v>
      </c>
      <c r="B89" s="1184">
        <f>+IFERROR(INDEX(BDDregul!$A$3:$Q$422,MATCH(ROW(A69),BDDregul!$Q$3:$Q$422,0),3)+INDEX(BDDregul!$A$3:$Q$422,MATCH(ROW(A69),BDDregul!$Q$3:$Q$422,0),4),"")</f>
        <v>0</v>
      </c>
      <c r="C89" s="413">
        <f>+IFERROR(INDEX(BDDregul!$A$3:$Q$422,MATCH(ROW(A69),BDDregul!$Q$3:$Q$422,0),14),"")</f>
        <v>0</v>
      </c>
      <c r="D89" s="461">
        <f>+IFERROR(INDEX(BDDregul!$A$3:$Q$422,MATCH(ROW(A69),BDDregul!$Q$3:$Q$422,0),9),"")</f>
        <v>0</v>
      </c>
      <c r="E89" s="461">
        <f>+IFERROR(INDEX(BDDregul!$A$3:$Q$422,MATCH(ROW(A69),BDDregul!$Q$3:$Q$422,0),12),"")</f>
        <v>0</v>
      </c>
      <c r="F89" s="461">
        <f>+IFERROR(INDEX(BDDregul!$A$3:$Q$422,MATCH(ROW(A69),BDDregul!$Q$3:$Q$422,0),13),"")</f>
        <v>0</v>
      </c>
      <c r="G89" s="461">
        <f>+IFERROR(IF(A89=DATE($F$12,$E$12,1),0,INDEX(BDDregul!$A$3:$Q$422,MATCH(ROW(A69),BDDregul!$Q$3:$Q$422,0),15)),"")</f>
        <v>0</v>
      </c>
      <c r="H89" s="461">
        <f t="shared" si="1"/>
        <v>0</v>
      </c>
    </row>
    <row r="90" spans="1:8" x14ac:dyDescent="0.2">
      <c r="A90" s="460">
        <f>+IFERROR(INDEX(BDDregul!$A$3:$Q$422,MATCH(ROW(A70),BDDregul!$Q$3:$Q$422,0),1),"")</f>
        <v>44105</v>
      </c>
      <c r="B90" s="1184">
        <f>+IFERROR(INDEX(BDDregul!$A$3:$Q$422,MATCH(ROW(A70),BDDregul!$Q$3:$Q$422,0),3)+INDEX(BDDregul!$A$3:$Q$422,MATCH(ROW(A70),BDDregul!$Q$3:$Q$422,0),4),"")</f>
        <v>0</v>
      </c>
      <c r="C90" s="413">
        <f>+IFERROR(INDEX(BDDregul!$A$3:$Q$422,MATCH(ROW(A70),BDDregul!$Q$3:$Q$422,0),14),"")</f>
        <v>0</v>
      </c>
      <c r="D90" s="461">
        <f>+IFERROR(INDEX(BDDregul!$A$3:$Q$422,MATCH(ROW(A70),BDDregul!$Q$3:$Q$422,0),9),"")</f>
        <v>0</v>
      </c>
      <c r="E90" s="461">
        <f>+IFERROR(INDEX(BDDregul!$A$3:$Q$422,MATCH(ROW(A70),BDDregul!$Q$3:$Q$422,0),12),"")</f>
        <v>0</v>
      </c>
      <c r="F90" s="461">
        <f>+IFERROR(INDEX(BDDregul!$A$3:$Q$422,MATCH(ROW(A70),BDDregul!$Q$3:$Q$422,0),13),"")</f>
        <v>0</v>
      </c>
      <c r="G90" s="461">
        <f>+IFERROR(IF(A90=DATE($F$12,$E$12,1),0,INDEX(BDDregul!$A$3:$Q$422,MATCH(ROW(A70),BDDregul!$Q$3:$Q$422,0),15)),"")</f>
        <v>0</v>
      </c>
      <c r="H90" s="461">
        <f t="shared" si="1"/>
        <v>0</v>
      </c>
    </row>
    <row r="91" spans="1:8" x14ac:dyDescent="0.2">
      <c r="A91" s="460">
        <f>+IFERROR(INDEX(BDDregul!$A$3:$Q$422,MATCH(ROW(A71),BDDregul!$Q$3:$Q$422,0),1),"")</f>
        <v>44136</v>
      </c>
      <c r="B91" s="1184">
        <f>+IFERROR(INDEX(BDDregul!$A$3:$Q$422,MATCH(ROW(A71),BDDregul!$Q$3:$Q$422,0),3)+INDEX(BDDregul!$A$3:$Q$422,MATCH(ROW(A71),BDDregul!$Q$3:$Q$422,0),4),"")</f>
        <v>0</v>
      </c>
      <c r="C91" s="413">
        <f>+IFERROR(INDEX(BDDregul!$A$3:$Q$422,MATCH(ROW(A71),BDDregul!$Q$3:$Q$422,0),14),"")</f>
        <v>0</v>
      </c>
      <c r="D91" s="461">
        <f>+IFERROR(INDEX(BDDregul!$A$3:$Q$422,MATCH(ROW(A71),BDDregul!$Q$3:$Q$422,0),9),"")</f>
        <v>0</v>
      </c>
      <c r="E91" s="461">
        <f>+IFERROR(INDEX(BDDregul!$A$3:$Q$422,MATCH(ROW(A71),BDDregul!$Q$3:$Q$422,0),12),"")</f>
        <v>0</v>
      </c>
      <c r="F91" s="461">
        <f>+IFERROR(INDEX(BDDregul!$A$3:$Q$422,MATCH(ROW(A71),BDDregul!$Q$3:$Q$422,0),13),"")</f>
        <v>0</v>
      </c>
      <c r="G91" s="461">
        <f>+IFERROR(IF(A91=DATE($F$12,$E$12,1),0,INDEX(BDDregul!$A$3:$Q$422,MATCH(ROW(A71),BDDregul!$Q$3:$Q$422,0),15)),"")</f>
        <v>0</v>
      </c>
      <c r="H91" s="461">
        <f t="shared" si="1"/>
        <v>0</v>
      </c>
    </row>
    <row r="92" spans="1:8" x14ac:dyDescent="0.2">
      <c r="A92" s="460">
        <f>+IFERROR(INDEX(BDDregul!$A$3:$Q$422,MATCH(ROW(A72),BDDregul!$Q$3:$Q$422,0),1),"")</f>
        <v>44166</v>
      </c>
      <c r="B92" s="1184">
        <f>+IFERROR(INDEX(BDDregul!$A$3:$Q$422,MATCH(ROW(A72),BDDregul!$Q$3:$Q$422,0),3)+INDEX(BDDregul!$A$3:$Q$422,MATCH(ROW(A72),BDDregul!$Q$3:$Q$422,0),4),"")</f>
        <v>0</v>
      </c>
      <c r="C92" s="413">
        <f>+IFERROR(INDEX(BDDregul!$A$3:$Q$422,MATCH(ROW(A72),BDDregul!$Q$3:$Q$422,0),14),"")</f>
        <v>0</v>
      </c>
      <c r="D92" s="461">
        <f>+IFERROR(INDEX(BDDregul!$A$3:$Q$422,MATCH(ROW(A72),BDDregul!$Q$3:$Q$422,0),9),"")</f>
        <v>0</v>
      </c>
      <c r="E92" s="461">
        <f>+IFERROR(INDEX(BDDregul!$A$3:$Q$422,MATCH(ROW(A72),BDDregul!$Q$3:$Q$422,0),12),"")</f>
        <v>0</v>
      </c>
      <c r="F92" s="461">
        <f>+IFERROR(INDEX(BDDregul!$A$3:$Q$422,MATCH(ROW(A72),BDDregul!$Q$3:$Q$422,0),13),"")</f>
        <v>0</v>
      </c>
      <c r="G92" s="461">
        <f>+IFERROR(IF(A92=DATE($F$12,$E$12,1),0,INDEX(BDDregul!$A$3:$Q$422,MATCH(ROW(A72),BDDregul!$Q$3:$Q$422,0),15)),"")</f>
        <v>0</v>
      </c>
      <c r="H92" s="461">
        <f t="shared" si="1"/>
        <v>0</v>
      </c>
    </row>
    <row r="93" spans="1:8" x14ac:dyDescent="0.2">
      <c r="A93" s="460">
        <f>+IFERROR(INDEX(BDDregul!$A$3:$Q$422,MATCH(ROW(A73),BDDregul!$Q$3:$Q$422,0),1),"")</f>
        <v>44197</v>
      </c>
      <c r="B93" s="1184">
        <f>+IFERROR(INDEX(BDDregul!$A$3:$Q$422,MATCH(ROW(A73),BDDregul!$Q$3:$Q$422,0),3)+INDEX(BDDregul!$A$3:$Q$422,MATCH(ROW(A73),BDDregul!$Q$3:$Q$422,0),4),"")</f>
        <v>0</v>
      </c>
      <c r="C93" s="413">
        <f>+IFERROR(INDEX(BDDregul!$A$3:$Q$422,MATCH(ROW(A73),BDDregul!$Q$3:$Q$422,0),14),"")</f>
        <v>0</v>
      </c>
      <c r="D93" s="461">
        <f>+IFERROR(INDEX(BDDregul!$A$3:$Q$422,MATCH(ROW(A73),BDDregul!$Q$3:$Q$422,0),9),"")</f>
        <v>0</v>
      </c>
      <c r="E93" s="461">
        <f>+IFERROR(INDEX(BDDregul!$A$3:$Q$422,MATCH(ROW(A73),BDDregul!$Q$3:$Q$422,0),12),"")</f>
        <v>0</v>
      </c>
      <c r="F93" s="461">
        <f>+IFERROR(INDEX(BDDregul!$A$3:$Q$422,MATCH(ROW(A73),BDDregul!$Q$3:$Q$422,0),13),"")</f>
        <v>0</v>
      </c>
      <c r="G93" s="461">
        <f>+IFERROR(IF(A93=DATE($F$12,$E$12,1),0,INDEX(BDDregul!$A$3:$Q$422,MATCH(ROW(A73),BDDregul!$Q$3:$Q$422,0),15)),"")</f>
        <v>0</v>
      </c>
      <c r="H93" s="461">
        <f t="shared" si="1"/>
        <v>0</v>
      </c>
    </row>
    <row r="94" spans="1:8" x14ac:dyDescent="0.2">
      <c r="A94" s="460">
        <f>+IFERROR(INDEX(BDDregul!$A$3:$Q$422,MATCH(ROW(A74),BDDregul!$Q$3:$Q$422,0),1),"")</f>
        <v>44228</v>
      </c>
      <c r="B94" s="1184">
        <f>+IFERROR(INDEX(BDDregul!$A$3:$Q$422,MATCH(ROW(A74),BDDregul!$Q$3:$Q$422,0),3)+INDEX(BDDregul!$A$3:$Q$422,MATCH(ROW(A74),BDDregul!$Q$3:$Q$422,0),4),"")</f>
        <v>0</v>
      </c>
      <c r="C94" s="413">
        <f>+IFERROR(INDEX(BDDregul!$A$3:$Q$422,MATCH(ROW(A74),BDDregul!$Q$3:$Q$422,0),14),"")</f>
        <v>0</v>
      </c>
      <c r="D94" s="461">
        <f>+IFERROR(INDEX(BDDregul!$A$3:$Q$422,MATCH(ROW(A74),BDDregul!$Q$3:$Q$422,0),9),"")</f>
        <v>0</v>
      </c>
      <c r="E94" s="461">
        <f>+IFERROR(INDEX(BDDregul!$A$3:$Q$422,MATCH(ROW(A74),BDDregul!$Q$3:$Q$422,0),12),"")</f>
        <v>0</v>
      </c>
      <c r="F94" s="461">
        <f>+IFERROR(INDEX(BDDregul!$A$3:$Q$422,MATCH(ROW(A74),BDDregul!$Q$3:$Q$422,0),13),"")</f>
        <v>0</v>
      </c>
      <c r="G94" s="461">
        <f>+IFERROR(IF(A94=DATE($F$12,$E$12,1),0,INDEX(BDDregul!$A$3:$Q$422,MATCH(ROW(A74),BDDregul!$Q$3:$Q$422,0),15)),"")</f>
        <v>0</v>
      </c>
      <c r="H94" s="461">
        <f t="shared" si="1"/>
        <v>0</v>
      </c>
    </row>
    <row r="95" spans="1:8" x14ac:dyDescent="0.2">
      <c r="A95" s="460">
        <f>+IFERROR(INDEX(BDDregul!$A$3:$Q$422,MATCH(ROW(A75),BDDregul!$Q$3:$Q$422,0),1),"")</f>
        <v>44256</v>
      </c>
      <c r="B95" s="1184">
        <f>+IFERROR(INDEX(BDDregul!$A$3:$Q$422,MATCH(ROW(A75),BDDregul!$Q$3:$Q$422,0),3)+INDEX(BDDregul!$A$3:$Q$422,MATCH(ROW(A75),BDDregul!$Q$3:$Q$422,0),4),"")</f>
        <v>0</v>
      </c>
      <c r="C95" s="413">
        <f>+IFERROR(INDEX(BDDregul!$A$3:$Q$422,MATCH(ROW(A75),BDDregul!$Q$3:$Q$422,0),14),"")</f>
        <v>0</v>
      </c>
      <c r="D95" s="461">
        <f>+IFERROR(INDEX(BDDregul!$A$3:$Q$422,MATCH(ROW(A75),BDDregul!$Q$3:$Q$422,0),9),"")</f>
        <v>0</v>
      </c>
      <c r="E95" s="461">
        <f>+IFERROR(INDEX(BDDregul!$A$3:$Q$422,MATCH(ROW(A75),BDDregul!$Q$3:$Q$422,0),12),"")</f>
        <v>0</v>
      </c>
      <c r="F95" s="461">
        <f>+IFERROR(INDEX(BDDregul!$A$3:$Q$422,MATCH(ROW(A75),BDDregul!$Q$3:$Q$422,0),13),"")</f>
        <v>0</v>
      </c>
      <c r="G95" s="461">
        <f>+IFERROR(IF(A95=DATE($F$12,$E$12,1),0,INDEX(BDDregul!$A$3:$Q$422,MATCH(ROW(A75),BDDregul!$Q$3:$Q$422,0),15)),"")</f>
        <v>0</v>
      </c>
      <c r="H95" s="461">
        <f t="shared" si="1"/>
        <v>0</v>
      </c>
    </row>
    <row r="96" spans="1:8" x14ac:dyDescent="0.2">
      <c r="A96" s="460">
        <f>+IFERROR(INDEX(BDDregul!$A$3:$Q$422,MATCH(ROW(A76),BDDregul!$Q$3:$Q$422,0),1),"")</f>
        <v>44287</v>
      </c>
      <c r="B96" s="1184">
        <f>+IFERROR(INDEX(BDDregul!$A$3:$Q$422,MATCH(ROW(A76),BDDregul!$Q$3:$Q$422,0),3)+INDEX(BDDregul!$A$3:$Q$422,MATCH(ROW(A76),BDDregul!$Q$3:$Q$422,0),4),"")</f>
        <v>0</v>
      </c>
      <c r="C96" s="413">
        <f>+IFERROR(INDEX(BDDregul!$A$3:$Q$422,MATCH(ROW(A76),BDDregul!$Q$3:$Q$422,0),14),"")</f>
        <v>0</v>
      </c>
      <c r="D96" s="461">
        <f>+IFERROR(INDEX(BDDregul!$A$3:$Q$422,MATCH(ROW(A76),BDDregul!$Q$3:$Q$422,0),9),"")</f>
        <v>0</v>
      </c>
      <c r="E96" s="461">
        <f>+IFERROR(INDEX(BDDregul!$A$3:$Q$422,MATCH(ROW(A76),BDDregul!$Q$3:$Q$422,0),12),"")</f>
        <v>0</v>
      </c>
      <c r="F96" s="461">
        <f>+IFERROR(INDEX(BDDregul!$A$3:$Q$422,MATCH(ROW(A76),BDDregul!$Q$3:$Q$422,0),13),"")</f>
        <v>0</v>
      </c>
      <c r="G96" s="461">
        <f>+IFERROR(IF(A96=DATE($F$12,$E$12,1),0,INDEX(BDDregul!$A$3:$Q$422,MATCH(ROW(A76),BDDregul!$Q$3:$Q$422,0),15)),"")</f>
        <v>0</v>
      </c>
      <c r="H96" s="461">
        <f t="shared" si="1"/>
        <v>0</v>
      </c>
    </row>
    <row r="97" spans="1:8" x14ac:dyDescent="0.2">
      <c r="A97" s="460">
        <f>+IFERROR(INDEX(BDDregul!$A$3:$Q$422,MATCH(ROW(A77),BDDregul!$Q$3:$Q$422,0),1),"")</f>
        <v>44317</v>
      </c>
      <c r="B97" s="1184">
        <f>+IFERROR(INDEX(BDDregul!$A$3:$Q$422,MATCH(ROW(A77),BDDregul!$Q$3:$Q$422,0),3)+INDEX(BDDregul!$A$3:$Q$422,MATCH(ROW(A77),BDDregul!$Q$3:$Q$422,0),4),"")</f>
        <v>0</v>
      </c>
      <c r="C97" s="413">
        <f>+IFERROR(INDEX(BDDregul!$A$3:$Q$422,MATCH(ROW(A77),BDDregul!$Q$3:$Q$422,0),14),"")</f>
        <v>0</v>
      </c>
      <c r="D97" s="461">
        <f>+IFERROR(INDEX(BDDregul!$A$3:$Q$422,MATCH(ROW(A77),BDDregul!$Q$3:$Q$422,0),9),"")</f>
        <v>0</v>
      </c>
      <c r="E97" s="461">
        <f>+IFERROR(INDEX(BDDregul!$A$3:$Q$422,MATCH(ROW(A77),BDDregul!$Q$3:$Q$422,0),12),"")</f>
        <v>0</v>
      </c>
      <c r="F97" s="461">
        <f>+IFERROR(INDEX(BDDregul!$A$3:$Q$422,MATCH(ROW(A77),BDDregul!$Q$3:$Q$422,0),13),"")</f>
        <v>0</v>
      </c>
      <c r="G97" s="461">
        <f>+IFERROR(IF(A97=DATE($F$12,$E$12,1),0,INDEX(BDDregul!$A$3:$Q$422,MATCH(ROW(A77),BDDregul!$Q$3:$Q$422,0),15)),"")</f>
        <v>0</v>
      </c>
      <c r="H97" s="461">
        <f t="shared" si="1"/>
        <v>0</v>
      </c>
    </row>
    <row r="98" spans="1:8" x14ac:dyDescent="0.2">
      <c r="A98" s="460">
        <f>+IFERROR(INDEX(BDDregul!$A$3:$Q$422,MATCH(ROW(A78),BDDregul!$Q$3:$Q$422,0),1),"")</f>
        <v>44348</v>
      </c>
      <c r="B98" s="1184">
        <f>+IFERROR(INDEX(BDDregul!$A$3:$Q$422,MATCH(ROW(A78),BDDregul!$Q$3:$Q$422,0),3)+INDEX(BDDregul!$A$3:$Q$422,MATCH(ROW(A78),BDDregul!$Q$3:$Q$422,0),4),"")</f>
        <v>0</v>
      </c>
      <c r="C98" s="413">
        <f>+IFERROR(INDEX(BDDregul!$A$3:$Q$422,MATCH(ROW(A78),BDDregul!$Q$3:$Q$422,0),14),"")</f>
        <v>0</v>
      </c>
      <c r="D98" s="461">
        <f>+IFERROR(INDEX(BDDregul!$A$3:$Q$422,MATCH(ROW(A78),BDDregul!$Q$3:$Q$422,0),9),"")</f>
        <v>0</v>
      </c>
      <c r="E98" s="461">
        <f>+IFERROR(INDEX(BDDregul!$A$3:$Q$422,MATCH(ROW(A78),BDDregul!$Q$3:$Q$422,0),12),"")</f>
        <v>0</v>
      </c>
      <c r="F98" s="461">
        <f>+IFERROR(INDEX(BDDregul!$A$3:$Q$422,MATCH(ROW(A78),BDDregul!$Q$3:$Q$422,0),13),"")</f>
        <v>0</v>
      </c>
      <c r="G98" s="461">
        <f>+IFERROR(IF(A98=DATE($F$12,$E$12,1),0,INDEX(BDDregul!$A$3:$Q$422,MATCH(ROW(A78),BDDregul!$Q$3:$Q$422,0),15)),"")</f>
        <v>0</v>
      </c>
      <c r="H98" s="461">
        <f t="shared" si="1"/>
        <v>0</v>
      </c>
    </row>
    <row r="99" spans="1:8" x14ac:dyDescent="0.2">
      <c r="A99" s="460">
        <f>+IFERROR(INDEX(BDDregul!$A$3:$Q$422,MATCH(ROW(A79),BDDregul!$Q$3:$Q$422,0),1),"")</f>
        <v>44378</v>
      </c>
      <c r="B99" s="1184">
        <f>+IFERROR(INDEX(BDDregul!$A$3:$Q$422,MATCH(ROW(A79),BDDregul!$Q$3:$Q$422,0),3)+INDEX(BDDregul!$A$3:$Q$422,MATCH(ROW(A79),BDDregul!$Q$3:$Q$422,0),4),"")</f>
        <v>0</v>
      </c>
      <c r="C99" s="413">
        <f>+IFERROR(INDEX(BDDregul!$A$3:$Q$422,MATCH(ROW(A79),BDDregul!$Q$3:$Q$422,0),14),"")</f>
        <v>0</v>
      </c>
      <c r="D99" s="461">
        <f>+IFERROR(INDEX(BDDregul!$A$3:$Q$422,MATCH(ROW(A79),BDDregul!$Q$3:$Q$422,0),9),"")</f>
        <v>0</v>
      </c>
      <c r="E99" s="461">
        <f>+IFERROR(INDEX(BDDregul!$A$3:$Q$422,MATCH(ROW(A79),BDDregul!$Q$3:$Q$422,0),12),"")</f>
        <v>0</v>
      </c>
      <c r="F99" s="461">
        <f>+IFERROR(INDEX(BDDregul!$A$3:$Q$422,MATCH(ROW(A79),BDDregul!$Q$3:$Q$422,0),13),"")</f>
        <v>0</v>
      </c>
      <c r="G99" s="461">
        <f>+IFERROR(IF(A99=DATE($F$12,$E$12,1),0,INDEX(BDDregul!$A$3:$Q$422,MATCH(ROW(A79),BDDregul!$Q$3:$Q$422,0),15)),"")</f>
        <v>0</v>
      </c>
      <c r="H99" s="461">
        <f t="shared" si="1"/>
        <v>0</v>
      </c>
    </row>
    <row r="100" spans="1:8" x14ac:dyDescent="0.2">
      <c r="A100" s="460">
        <f>+IFERROR(INDEX(BDDregul!$A$3:$Q$422,MATCH(ROW(A80),BDDregul!$Q$3:$Q$422,0),1),"")</f>
        <v>44409</v>
      </c>
      <c r="B100" s="1184">
        <f>+IFERROR(INDEX(BDDregul!$A$3:$Q$422,MATCH(ROW(A80),BDDregul!$Q$3:$Q$422,0),3)+INDEX(BDDregul!$A$3:$Q$422,MATCH(ROW(A80),BDDregul!$Q$3:$Q$422,0),4),"")</f>
        <v>0</v>
      </c>
      <c r="C100" s="413">
        <f>+IFERROR(INDEX(BDDregul!$A$3:$Q$422,MATCH(ROW(A80),BDDregul!$Q$3:$Q$422,0),14),"")</f>
        <v>0</v>
      </c>
      <c r="D100" s="461">
        <f>+IFERROR(INDEX(BDDregul!$A$3:$Q$422,MATCH(ROW(A80),BDDregul!$Q$3:$Q$422,0),9),"")</f>
        <v>0</v>
      </c>
      <c r="E100" s="461">
        <f>+IFERROR(INDEX(BDDregul!$A$3:$Q$422,MATCH(ROW(A80),BDDregul!$Q$3:$Q$422,0),12),"")</f>
        <v>0</v>
      </c>
      <c r="F100" s="461">
        <f>+IFERROR(INDEX(BDDregul!$A$3:$Q$422,MATCH(ROW(A80),BDDregul!$Q$3:$Q$422,0),13),"")</f>
        <v>0</v>
      </c>
      <c r="G100" s="461">
        <f>+IFERROR(IF(A100=DATE($F$12,$E$12,1),0,INDEX(BDDregul!$A$3:$Q$422,MATCH(ROW(A80),BDDregul!$Q$3:$Q$422,0),15)),"")</f>
        <v>0</v>
      </c>
      <c r="H100" s="461">
        <f t="shared" si="1"/>
        <v>0</v>
      </c>
    </row>
    <row r="101" spans="1:8" x14ac:dyDescent="0.2">
      <c r="A101" s="460">
        <f>+IFERROR(INDEX(BDDregul!$A$3:$Q$422,MATCH(ROW(A81),BDDregul!$Q$3:$Q$422,0),1),"")</f>
        <v>44440</v>
      </c>
      <c r="B101" s="1184">
        <f>+IFERROR(INDEX(BDDregul!$A$3:$Q$422,MATCH(ROW(A81),BDDregul!$Q$3:$Q$422,0),3)+INDEX(BDDregul!$A$3:$Q$422,MATCH(ROW(A81),BDDregul!$Q$3:$Q$422,0),4),"")</f>
        <v>0</v>
      </c>
      <c r="C101" s="413">
        <f>+IFERROR(INDEX(BDDregul!$A$3:$Q$422,MATCH(ROW(A81),BDDregul!$Q$3:$Q$422,0),14),"")</f>
        <v>0</v>
      </c>
      <c r="D101" s="461">
        <f>+IFERROR(INDEX(BDDregul!$A$3:$Q$422,MATCH(ROW(A81),BDDregul!$Q$3:$Q$422,0),9),"")</f>
        <v>0</v>
      </c>
      <c r="E101" s="461">
        <f>+IFERROR(INDEX(BDDregul!$A$3:$Q$422,MATCH(ROW(A81),BDDregul!$Q$3:$Q$422,0),12),"")</f>
        <v>0</v>
      </c>
      <c r="F101" s="461">
        <f>+IFERROR(INDEX(BDDregul!$A$3:$Q$422,MATCH(ROW(A81),BDDregul!$Q$3:$Q$422,0),13),"")</f>
        <v>0</v>
      </c>
      <c r="G101" s="461">
        <f>+IFERROR(IF(A101=DATE($F$12,$E$12,1),0,INDEX(BDDregul!$A$3:$Q$422,MATCH(ROW(A81),BDDregul!$Q$3:$Q$422,0),15)),"")</f>
        <v>0</v>
      </c>
      <c r="H101" s="461">
        <f t="shared" si="1"/>
        <v>0</v>
      </c>
    </row>
    <row r="102" spans="1:8" x14ac:dyDescent="0.2">
      <c r="A102" s="460">
        <f>+IFERROR(INDEX(BDDregul!$A$3:$Q$422,MATCH(ROW(A82),BDDregul!$Q$3:$Q$422,0),1),"")</f>
        <v>44470</v>
      </c>
      <c r="B102" s="1184">
        <f>+IFERROR(INDEX(BDDregul!$A$3:$Q$422,MATCH(ROW(A82),BDDregul!$Q$3:$Q$422,0),3)+INDEX(BDDregul!$A$3:$Q$422,MATCH(ROW(A82),BDDregul!$Q$3:$Q$422,0),4),"")</f>
        <v>0</v>
      </c>
      <c r="C102" s="413">
        <f>+IFERROR(INDEX(BDDregul!$A$3:$Q$422,MATCH(ROW(A82),BDDregul!$Q$3:$Q$422,0),14),"")</f>
        <v>0</v>
      </c>
      <c r="D102" s="461">
        <f>+IFERROR(INDEX(BDDregul!$A$3:$Q$422,MATCH(ROW(A82),BDDregul!$Q$3:$Q$422,0),9),"")</f>
        <v>0</v>
      </c>
      <c r="E102" s="461">
        <f>+IFERROR(INDEX(BDDregul!$A$3:$Q$422,MATCH(ROW(A82),BDDregul!$Q$3:$Q$422,0),12),"")</f>
        <v>0</v>
      </c>
      <c r="F102" s="461">
        <f>+IFERROR(INDEX(BDDregul!$A$3:$Q$422,MATCH(ROW(A82),BDDregul!$Q$3:$Q$422,0),13),"")</f>
        <v>0</v>
      </c>
      <c r="G102" s="461">
        <f>+IFERROR(IF(A102=DATE($F$12,$E$12,1),0,INDEX(BDDregul!$A$3:$Q$422,MATCH(ROW(A82),BDDregul!$Q$3:$Q$422,0),15)),"")</f>
        <v>0</v>
      </c>
      <c r="H102" s="461">
        <f t="shared" si="1"/>
        <v>0</v>
      </c>
    </row>
    <row r="103" spans="1:8" x14ac:dyDescent="0.2">
      <c r="A103" s="460">
        <f>+IFERROR(INDEX(BDDregul!$A$3:$Q$422,MATCH(ROW(A83),BDDregul!$Q$3:$Q$422,0),1),"")</f>
        <v>44501</v>
      </c>
      <c r="B103" s="1184">
        <f>+IFERROR(INDEX(BDDregul!$A$3:$Q$422,MATCH(ROW(A83),BDDregul!$Q$3:$Q$422,0),3)+INDEX(BDDregul!$A$3:$Q$422,MATCH(ROW(A83),BDDregul!$Q$3:$Q$422,0),4),"")</f>
        <v>0</v>
      </c>
      <c r="C103" s="413">
        <f>+IFERROR(INDEX(BDDregul!$A$3:$Q$422,MATCH(ROW(A83),BDDregul!$Q$3:$Q$422,0),14),"")</f>
        <v>0</v>
      </c>
      <c r="D103" s="461">
        <f>+IFERROR(INDEX(BDDregul!$A$3:$Q$422,MATCH(ROW(A83),BDDregul!$Q$3:$Q$422,0),9),"")</f>
        <v>0</v>
      </c>
      <c r="E103" s="461">
        <f>+IFERROR(INDEX(BDDregul!$A$3:$Q$422,MATCH(ROW(A83),BDDregul!$Q$3:$Q$422,0),12),"")</f>
        <v>0</v>
      </c>
      <c r="F103" s="461">
        <f>+IFERROR(INDEX(BDDregul!$A$3:$Q$422,MATCH(ROW(A83),BDDregul!$Q$3:$Q$422,0),13),"")</f>
        <v>0</v>
      </c>
      <c r="G103" s="461">
        <f>+IFERROR(IF(A103=DATE($F$12,$E$12,1),0,INDEX(BDDregul!$A$3:$Q$422,MATCH(ROW(A83),BDDregul!$Q$3:$Q$422,0),15)),"")</f>
        <v>0</v>
      </c>
      <c r="H103" s="461">
        <f t="shared" si="1"/>
        <v>0</v>
      </c>
    </row>
    <row r="104" spans="1:8" x14ac:dyDescent="0.2">
      <c r="A104" s="460">
        <f>+IFERROR(INDEX(BDDregul!$A$3:$Q$422,MATCH(ROW(A84),BDDregul!$Q$3:$Q$422,0),1),"")</f>
        <v>44531</v>
      </c>
      <c r="B104" s="1184">
        <f>+IFERROR(INDEX(BDDregul!$A$3:$Q$422,MATCH(ROW(A84),BDDregul!$Q$3:$Q$422,0),3)+INDEX(BDDregul!$A$3:$Q$422,MATCH(ROW(A84),BDDregul!$Q$3:$Q$422,0),4),"")</f>
        <v>0</v>
      </c>
      <c r="C104" s="413">
        <f>+IFERROR(INDEX(BDDregul!$A$3:$Q$422,MATCH(ROW(A84),BDDregul!$Q$3:$Q$422,0),14),"")</f>
        <v>0</v>
      </c>
      <c r="D104" s="461">
        <f>+IFERROR(INDEX(BDDregul!$A$3:$Q$422,MATCH(ROW(A84),BDDregul!$Q$3:$Q$422,0),9),"")</f>
        <v>0</v>
      </c>
      <c r="E104" s="461">
        <f>+IFERROR(INDEX(BDDregul!$A$3:$Q$422,MATCH(ROW(A84),BDDregul!$Q$3:$Q$422,0),12),"")</f>
        <v>0</v>
      </c>
      <c r="F104" s="461">
        <f>+IFERROR(INDEX(BDDregul!$A$3:$Q$422,MATCH(ROW(A84),BDDregul!$Q$3:$Q$422,0),13),"")</f>
        <v>0</v>
      </c>
      <c r="G104" s="461">
        <f>+IFERROR(IF(A104=DATE($F$12,$E$12,1),0,INDEX(BDDregul!$A$3:$Q$422,MATCH(ROW(A84),BDDregul!$Q$3:$Q$422,0),15)),"")</f>
        <v>0</v>
      </c>
      <c r="H104" s="461">
        <f t="shared" si="1"/>
        <v>0</v>
      </c>
    </row>
    <row r="105" spans="1:8" x14ac:dyDescent="0.2">
      <c r="A105" s="460">
        <f>+IFERROR(INDEX(BDDregul!$A$3:$Q$422,MATCH(ROW(A85),BDDregul!$Q$3:$Q$422,0),1),"")</f>
        <v>44562</v>
      </c>
      <c r="B105" s="1184">
        <f>+IFERROR(INDEX(BDDregul!$A$3:$Q$422,MATCH(ROW(A85),BDDregul!$Q$3:$Q$422,0),3)+INDEX(BDDregul!$A$3:$Q$422,MATCH(ROW(A85),BDDregul!$Q$3:$Q$422,0),4),"")</f>
        <v>0</v>
      </c>
      <c r="C105" s="413">
        <f>+IFERROR(INDEX(BDDregul!$A$3:$Q$422,MATCH(ROW(A85),BDDregul!$Q$3:$Q$422,0),14),"")</f>
        <v>0</v>
      </c>
      <c r="D105" s="461">
        <f>+IFERROR(INDEX(BDDregul!$A$3:$Q$422,MATCH(ROW(A85),BDDregul!$Q$3:$Q$422,0),9),"")</f>
        <v>0</v>
      </c>
      <c r="E105" s="461">
        <f>+IFERROR(INDEX(BDDregul!$A$3:$Q$422,MATCH(ROW(A85),BDDregul!$Q$3:$Q$422,0),12),"")</f>
        <v>0</v>
      </c>
      <c r="F105" s="461">
        <f>+IFERROR(INDEX(BDDregul!$A$3:$Q$422,MATCH(ROW(A85),BDDregul!$Q$3:$Q$422,0),13),"")</f>
        <v>0</v>
      </c>
      <c r="G105" s="461">
        <f>+IFERROR(IF(A105=DATE($F$12,$E$12,1),0,INDEX(BDDregul!$A$3:$Q$422,MATCH(ROW(A85),BDDregul!$Q$3:$Q$422,0),15)),"")</f>
        <v>0</v>
      </c>
      <c r="H105" s="461">
        <f t="shared" si="1"/>
        <v>0</v>
      </c>
    </row>
    <row r="106" spans="1:8" x14ac:dyDescent="0.2">
      <c r="A106" s="460">
        <f>+IFERROR(INDEX(BDDregul!$A$3:$Q$422,MATCH(ROW(A86),BDDregul!$Q$3:$Q$422,0),1),"")</f>
        <v>44593</v>
      </c>
      <c r="B106" s="1184">
        <f>+IFERROR(INDEX(BDDregul!$A$3:$Q$422,MATCH(ROW(A86),BDDregul!$Q$3:$Q$422,0),3)+INDEX(BDDregul!$A$3:$Q$422,MATCH(ROW(A86),BDDregul!$Q$3:$Q$422,0),4),"")</f>
        <v>0</v>
      </c>
      <c r="C106" s="413">
        <f>+IFERROR(INDEX(BDDregul!$A$3:$Q$422,MATCH(ROW(A86),BDDregul!$Q$3:$Q$422,0),14),"")</f>
        <v>0</v>
      </c>
      <c r="D106" s="461">
        <f>+IFERROR(INDEX(BDDregul!$A$3:$Q$422,MATCH(ROW(A86),BDDregul!$Q$3:$Q$422,0),9),"")</f>
        <v>0</v>
      </c>
      <c r="E106" s="461">
        <f>+IFERROR(INDEX(BDDregul!$A$3:$Q$422,MATCH(ROW(A86),BDDregul!$Q$3:$Q$422,0),12),"")</f>
        <v>0</v>
      </c>
      <c r="F106" s="461">
        <f>+IFERROR(INDEX(BDDregul!$A$3:$Q$422,MATCH(ROW(A86),BDDregul!$Q$3:$Q$422,0),13),"")</f>
        <v>0</v>
      </c>
      <c r="G106" s="461">
        <f>+IFERROR(IF(A106=DATE($F$12,$E$12,1),0,INDEX(BDDregul!$A$3:$Q$422,MATCH(ROW(A86),BDDregul!$Q$3:$Q$422,0),15)),"")</f>
        <v>0</v>
      </c>
      <c r="H106" s="461">
        <f t="shared" si="1"/>
        <v>0</v>
      </c>
    </row>
    <row r="107" spans="1:8" x14ac:dyDescent="0.2">
      <c r="A107" s="460">
        <f>+IFERROR(INDEX(BDDregul!$A$3:$Q$422,MATCH(ROW(A87),BDDregul!$Q$3:$Q$422,0),1),"")</f>
        <v>44621</v>
      </c>
      <c r="B107" s="1184">
        <f>+IFERROR(INDEX(BDDregul!$A$3:$Q$422,MATCH(ROW(A87),BDDregul!$Q$3:$Q$422,0),3)+INDEX(BDDregul!$A$3:$Q$422,MATCH(ROW(A87),BDDregul!$Q$3:$Q$422,0),4),"")</f>
        <v>0</v>
      </c>
      <c r="C107" s="413">
        <f>+IFERROR(INDEX(BDDregul!$A$3:$Q$422,MATCH(ROW(A87),BDDregul!$Q$3:$Q$422,0),14),"")</f>
        <v>0</v>
      </c>
      <c r="D107" s="461">
        <f>+IFERROR(INDEX(BDDregul!$A$3:$Q$422,MATCH(ROW(A87),BDDregul!$Q$3:$Q$422,0),9),"")</f>
        <v>0</v>
      </c>
      <c r="E107" s="461">
        <f>+IFERROR(INDEX(BDDregul!$A$3:$Q$422,MATCH(ROW(A87),BDDregul!$Q$3:$Q$422,0),12),"")</f>
        <v>0</v>
      </c>
      <c r="F107" s="461">
        <f>+IFERROR(INDEX(BDDregul!$A$3:$Q$422,MATCH(ROW(A87),BDDregul!$Q$3:$Q$422,0),13),"")</f>
        <v>0</v>
      </c>
      <c r="G107" s="461">
        <f>+IFERROR(IF(A107=DATE($F$12,$E$12,1),0,INDEX(BDDregul!$A$3:$Q$422,MATCH(ROW(A87),BDDregul!$Q$3:$Q$422,0),15)),"")</f>
        <v>0</v>
      </c>
      <c r="H107" s="461">
        <f t="shared" si="1"/>
        <v>0</v>
      </c>
    </row>
    <row r="108" spans="1:8" x14ac:dyDescent="0.2">
      <c r="A108" s="460">
        <f>+IFERROR(INDEX(BDDregul!$A$3:$Q$422,MATCH(ROW(A88),BDDregul!$Q$3:$Q$422,0),1),"")</f>
        <v>44652</v>
      </c>
      <c r="B108" s="1184">
        <f>+IFERROR(INDEX(BDDregul!$A$3:$Q$422,MATCH(ROW(A88),BDDregul!$Q$3:$Q$422,0),3)+INDEX(BDDregul!$A$3:$Q$422,MATCH(ROW(A88),BDDregul!$Q$3:$Q$422,0),4),"")</f>
        <v>0</v>
      </c>
      <c r="C108" s="413">
        <f>+IFERROR(INDEX(BDDregul!$A$3:$Q$422,MATCH(ROW(A88),BDDregul!$Q$3:$Q$422,0),14),"")</f>
        <v>0</v>
      </c>
      <c r="D108" s="461">
        <f>+IFERROR(INDEX(BDDregul!$A$3:$Q$422,MATCH(ROW(A88),BDDregul!$Q$3:$Q$422,0),9),"")</f>
        <v>0</v>
      </c>
      <c r="E108" s="461">
        <f>+IFERROR(INDEX(BDDregul!$A$3:$Q$422,MATCH(ROW(A88),BDDregul!$Q$3:$Q$422,0),12),"")</f>
        <v>0</v>
      </c>
      <c r="F108" s="461">
        <f>+IFERROR(INDEX(BDDregul!$A$3:$Q$422,MATCH(ROW(A88),BDDregul!$Q$3:$Q$422,0),13),"")</f>
        <v>0</v>
      </c>
      <c r="G108" s="461">
        <f>+IFERROR(IF(A108=DATE($F$12,$E$12,1),0,INDEX(BDDregul!$A$3:$Q$422,MATCH(ROW(A88),BDDregul!$Q$3:$Q$422,0),15)),"")</f>
        <v>0</v>
      </c>
      <c r="H108" s="461">
        <f t="shared" si="1"/>
        <v>0</v>
      </c>
    </row>
    <row r="109" spans="1:8" x14ac:dyDescent="0.2">
      <c r="A109" s="460">
        <f>+IFERROR(INDEX(BDDregul!$A$3:$Q$422,MATCH(ROW(A89),BDDregul!$Q$3:$Q$422,0),1),"")</f>
        <v>44682</v>
      </c>
      <c r="B109" s="1184">
        <f>+IFERROR(INDEX(BDDregul!$A$3:$Q$422,MATCH(ROW(A89),BDDregul!$Q$3:$Q$422,0),3)+INDEX(BDDregul!$A$3:$Q$422,MATCH(ROW(A89),BDDregul!$Q$3:$Q$422,0),4),"")</f>
        <v>0</v>
      </c>
      <c r="C109" s="413">
        <f>+IFERROR(INDEX(BDDregul!$A$3:$Q$422,MATCH(ROW(A89),BDDregul!$Q$3:$Q$422,0),14),"")</f>
        <v>0</v>
      </c>
      <c r="D109" s="461">
        <f>+IFERROR(INDEX(BDDregul!$A$3:$Q$422,MATCH(ROW(A89),BDDregul!$Q$3:$Q$422,0),9),"")</f>
        <v>0</v>
      </c>
      <c r="E109" s="461">
        <f>+IFERROR(INDEX(BDDregul!$A$3:$Q$422,MATCH(ROW(A89),BDDregul!$Q$3:$Q$422,0),12),"")</f>
        <v>0</v>
      </c>
      <c r="F109" s="461">
        <f>+IFERROR(INDEX(BDDregul!$A$3:$Q$422,MATCH(ROW(A89),BDDregul!$Q$3:$Q$422,0),13),"")</f>
        <v>0</v>
      </c>
      <c r="G109" s="461">
        <f>+IFERROR(IF(A109=DATE($F$12,$E$12,1),0,INDEX(BDDregul!$A$3:$Q$422,MATCH(ROW(A89),BDDregul!$Q$3:$Q$422,0),15)),"")</f>
        <v>0</v>
      </c>
      <c r="H109" s="461">
        <f t="shared" si="1"/>
        <v>0</v>
      </c>
    </row>
    <row r="110" spans="1:8" x14ac:dyDescent="0.2">
      <c r="A110" s="460">
        <f>+IFERROR(INDEX(BDDregul!$A$3:$Q$422,MATCH(ROW(A90),BDDregul!$Q$3:$Q$422,0),1),"")</f>
        <v>44713</v>
      </c>
      <c r="B110" s="1184">
        <f>+IFERROR(INDEX(BDDregul!$A$3:$Q$422,MATCH(ROW(A90),BDDregul!$Q$3:$Q$422,0),3)+INDEX(BDDregul!$A$3:$Q$422,MATCH(ROW(A90),BDDregul!$Q$3:$Q$422,0),4),"")</f>
        <v>0</v>
      </c>
      <c r="C110" s="413">
        <f>+IFERROR(INDEX(BDDregul!$A$3:$Q$422,MATCH(ROW(A90),BDDregul!$Q$3:$Q$422,0),14),"")</f>
        <v>0</v>
      </c>
      <c r="D110" s="461">
        <f>+IFERROR(INDEX(BDDregul!$A$3:$Q$422,MATCH(ROW(A90),BDDregul!$Q$3:$Q$422,0),9),"")</f>
        <v>0</v>
      </c>
      <c r="E110" s="461">
        <f>+IFERROR(INDEX(BDDregul!$A$3:$Q$422,MATCH(ROW(A90),BDDregul!$Q$3:$Q$422,0),12),"")</f>
        <v>0</v>
      </c>
      <c r="F110" s="461">
        <f>+IFERROR(INDEX(BDDregul!$A$3:$Q$422,MATCH(ROW(A90),BDDregul!$Q$3:$Q$422,0),13),"")</f>
        <v>0</v>
      </c>
      <c r="G110" s="461">
        <f>+IFERROR(IF(A110=DATE($F$12,$E$12,1),0,INDEX(BDDregul!$A$3:$Q$422,MATCH(ROW(A90),BDDregul!$Q$3:$Q$422,0),15)),"")</f>
        <v>0</v>
      </c>
      <c r="H110" s="461">
        <f t="shared" si="1"/>
        <v>0</v>
      </c>
    </row>
    <row r="111" spans="1:8" x14ac:dyDescent="0.2">
      <c r="A111" s="460">
        <f>+IFERROR(INDEX(BDDregul!$A$3:$Q$422,MATCH(ROW(A91),BDDregul!$Q$3:$Q$422,0),1),"")</f>
        <v>44743</v>
      </c>
      <c r="B111" s="1184">
        <f>+IFERROR(INDEX(BDDregul!$A$3:$Q$422,MATCH(ROW(A91),BDDregul!$Q$3:$Q$422,0),3)+INDEX(BDDregul!$A$3:$Q$422,MATCH(ROW(A91),BDDregul!$Q$3:$Q$422,0),4),"")</f>
        <v>0</v>
      </c>
      <c r="C111" s="413">
        <f>+IFERROR(INDEX(BDDregul!$A$3:$Q$422,MATCH(ROW(A91),BDDregul!$Q$3:$Q$422,0),14),"")</f>
        <v>0</v>
      </c>
      <c r="D111" s="461">
        <f>+IFERROR(INDEX(BDDregul!$A$3:$Q$422,MATCH(ROW(A91),BDDregul!$Q$3:$Q$422,0),9),"")</f>
        <v>0</v>
      </c>
      <c r="E111" s="461">
        <f>+IFERROR(INDEX(BDDregul!$A$3:$Q$422,MATCH(ROW(A91),BDDregul!$Q$3:$Q$422,0),12),"")</f>
        <v>0</v>
      </c>
      <c r="F111" s="461">
        <f>+IFERROR(INDEX(BDDregul!$A$3:$Q$422,MATCH(ROW(A91),BDDregul!$Q$3:$Q$422,0),13),"")</f>
        <v>0</v>
      </c>
      <c r="G111" s="461">
        <f>+IFERROR(IF(A111=DATE($F$12,$E$12,1),0,INDEX(BDDregul!$A$3:$Q$422,MATCH(ROW(A91),BDDregul!$Q$3:$Q$422,0),15)),"")</f>
        <v>0</v>
      </c>
      <c r="H111" s="461">
        <f t="shared" si="1"/>
        <v>0</v>
      </c>
    </row>
    <row r="112" spans="1:8" x14ac:dyDescent="0.2">
      <c r="A112" s="460">
        <f>+IFERROR(INDEX(BDDregul!$A$3:$Q$422,MATCH(ROW(A92),BDDregul!$Q$3:$Q$422,0),1),"")</f>
        <v>44774</v>
      </c>
      <c r="B112" s="1184">
        <f>+IFERROR(INDEX(BDDregul!$A$3:$Q$422,MATCH(ROW(A92),BDDregul!$Q$3:$Q$422,0),3)+INDEX(BDDregul!$A$3:$Q$422,MATCH(ROW(A92),BDDregul!$Q$3:$Q$422,0),4),"")</f>
        <v>0</v>
      </c>
      <c r="C112" s="413">
        <f>+IFERROR(INDEX(BDDregul!$A$3:$Q$422,MATCH(ROW(A92),BDDregul!$Q$3:$Q$422,0),14),"")</f>
        <v>0</v>
      </c>
      <c r="D112" s="461">
        <f>+IFERROR(INDEX(BDDregul!$A$3:$Q$422,MATCH(ROW(A92),BDDregul!$Q$3:$Q$422,0),9),"")</f>
        <v>0</v>
      </c>
      <c r="E112" s="461">
        <f>+IFERROR(INDEX(BDDregul!$A$3:$Q$422,MATCH(ROW(A92),BDDregul!$Q$3:$Q$422,0),12),"")</f>
        <v>0</v>
      </c>
      <c r="F112" s="461">
        <f>+IFERROR(INDEX(BDDregul!$A$3:$Q$422,MATCH(ROW(A92),BDDregul!$Q$3:$Q$422,0),13),"")</f>
        <v>0</v>
      </c>
      <c r="G112" s="461">
        <f>+IFERROR(IF(A112=DATE($F$12,$E$12,1),0,INDEX(BDDregul!$A$3:$Q$422,MATCH(ROW(A92),BDDregul!$Q$3:$Q$422,0),15)),"")</f>
        <v>0</v>
      </c>
      <c r="H112" s="461">
        <f t="shared" si="1"/>
        <v>0</v>
      </c>
    </row>
    <row r="113" spans="1:8" x14ac:dyDescent="0.2">
      <c r="A113" s="460">
        <f>+IFERROR(INDEX(BDDregul!$A$3:$Q$422,MATCH(ROW(A93),BDDregul!$Q$3:$Q$422,0),1),"")</f>
        <v>44805</v>
      </c>
      <c r="B113" s="1184">
        <f>+IFERROR(INDEX(BDDregul!$A$3:$Q$422,MATCH(ROW(A93),BDDregul!$Q$3:$Q$422,0),3)+INDEX(BDDregul!$A$3:$Q$422,MATCH(ROW(A93),BDDregul!$Q$3:$Q$422,0),4),"")</f>
        <v>0</v>
      </c>
      <c r="C113" s="413">
        <f>+IFERROR(INDEX(BDDregul!$A$3:$Q$422,MATCH(ROW(A93),BDDregul!$Q$3:$Q$422,0),14),"")</f>
        <v>0</v>
      </c>
      <c r="D113" s="461">
        <f>+IFERROR(INDEX(BDDregul!$A$3:$Q$422,MATCH(ROW(A93),BDDregul!$Q$3:$Q$422,0),9),"")</f>
        <v>0</v>
      </c>
      <c r="E113" s="461">
        <f>+IFERROR(INDEX(BDDregul!$A$3:$Q$422,MATCH(ROW(A93),BDDregul!$Q$3:$Q$422,0),12),"")</f>
        <v>0</v>
      </c>
      <c r="F113" s="461">
        <f>+IFERROR(INDEX(BDDregul!$A$3:$Q$422,MATCH(ROW(A93),BDDregul!$Q$3:$Q$422,0),13),"")</f>
        <v>0</v>
      </c>
      <c r="G113" s="461">
        <f>+IFERROR(IF(A113=DATE($F$12,$E$12,1),0,INDEX(BDDregul!$A$3:$Q$422,MATCH(ROW(A93),BDDregul!$Q$3:$Q$422,0),15)),"")</f>
        <v>0</v>
      </c>
      <c r="H113" s="461">
        <f t="shared" si="1"/>
        <v>0</v>
      </c>
    </row>
    <row r="114" spans="1:8" x14ac:dyDescent="0.2">
      <c r="A114" s="460">
        <f>+IFERROR(INDEX(BDDregul!$A$3:$Q$422,MATCH(ROW(A94),BDDregul!$Q$3:$Q$422,0),1),"")</f>
        <v>44835</v>
      </c>
      <c r="B114" s="1184">
        <f>+IFERROR(INDEX(BDDregul!$A$3:$Q$422,MATCH(ROW(A94),BDDregul!$Q$3:$Q$422,0),3)+INDEX(BDDregul!$A$3:$Q$422,MATCH(ROW(A94),BDDregul!$Q$3:$Q$422,0),4),"")</f>
        <v>0</v>
      </c>
      <c r="C114" s="413">
        <f>+IFERROR(INDEX(BDDregul!$A$3:$Q$422,MATCH(ROW(A94),BDDregul!$Q$3:$Q$422,0),14),"")</f>
        <v>0</v>
      </c>
      <c r="D114" s="461">
        <f>+IFERROR(INDEX(BDDregul!$A$3:$Q$422,MATCH(ROW(A94),BDDregul!$Q$3:$Q$422,0),9),"")</f>
        <v>0</v>
      </c>
      <c r="E114" s="461">
        <f>+IFERROR(INDEX(BDDregul!$A$3:$Q$422,MATCH(ROW(A94),BDDregul!$Q$3:$Q$422,0),12),"")</f>
        <v>0</v>
      </c>
      <c r="F114" s="461">
        <f>+IFERROR(INDEX(BDDregul!$A$3:$Q$422,MATCH(ROW(A94),BDDregul!$Q$3:$Q$422,0),13),"")</f>
        <v>0</v>
      </c>
      <c r="G114" s="461">
        <f>+IFERROR(IF(A114=DATE($F$12,$E$12,1),0,INDEX(BDDregul!$A$3:$Q$422,MATCH(ROW(A94),BDDregul!$Q$3:$Q$422,0),15)),"")</f>
        <v>0</v>
      </c>
      <c r="H114" s="461">
        <f t="shared" si="1"/>
        <v>0</v>
      </c>
    </row>
    <row r="115" spans="1:8" x14ac:dyDescent="0.2">
      <c r="A115" s="460">
        <f>+IFERROR(INDEX(BDDregul!$A$3:$Q$422,MATCH(ROW(A95),BDDregul!$Q$3:$Q$422,0),1),"")</f>
        <v>44866</v>
      </c>
      <c r="B115" s="1184">
        <f>+IFERROR(INDEX(BDDregul!$A$3:$Q$422,MATCH(ROW(A95),BDDregul!$Q$3:$Q$422,0),3)+INDEX(BDDregul!$A$3:$Q$422,MATCH(ROW(A95),BDDregul!$Q$3:$Q$422,0),4),"")</f>
        <v>0</v>
      </c>
      <c r="C115" s="413">
        <f>+IFERROR(INDEX(BDDregul!$A$3:$Q$422,MATCH(ROW(A95),BDDregul!$Q$3:$Q$422,0),14),"")</f>
        <v>0</v>
      </c>
      <c r="D115" s="461">
        <f>+IFERROR(INDEX(BDDregul!$A$3:$Q$422,MATCH(ROW(A95),BDDregul!$Q$3:$Q$422,0),9),"")</f>
        <v>0</v>
      </c>
      <c r="E115" s="461">
        <f>+IFERROR(INDEX(BDDregul!$A$3:$Q$422,MATCH(ROW(A95),BDDregul!$Q$3:$Q$422,0),12),"")</f>
        <v>0</v>
      </c>
      <c r="F115" s="461">
        <f>+IFERROR(INDEX(BDDregul!$A$3:$Q$422,MATCH(ROW(A95),BDDregul!$Q$3:$Q$422,0),13),"")</f>
        <v>0</v>
      </c>
      <c r="G115" s="461">
        <f>+IFERROR(IF(A115=DATE($F$12,$E$12,1),0,INDEX(BDDregul!$A$3:$Q$422,MATCH(ROW(A95),BDDregul!$Q$3:$Q$422,0),15)),"")</f>
        <v>0</v>
      </c>
      <c r="H115" s="461">
        <f t="shared" si="1"/>
        <v>0</v>
      </c>
    </row>
    <row r="116" spans="1:8" x14ac:dyDescent="0.2">
      <c r="A116" s="460">
        <f>+IFERROR(INDEX(BDDregul!$A$3:$Q$422,MATCH(ROW(A96),BDDregul!$Q$3:$Q$422,0),1),"")</f>
        <v>44896</v>
      </c>
      <c r="B116" s="1184">
        <f>+IFERROR(INDEX(BDDregul!$A$3:$Q$422,MATCH(ROW(A96),BDDregul!$Q$3:$Q$422,0),3)+INDEX(BDDregul!$A$3:$Q$422,MATCH(ROW(A96),BDDregul!$Q$3:$Q$422,0),4),"")</f>
        <v>0</v>
      </c>
      <c r="C116" s="413">
        <f>+IFERROR(INDEX(BDDregul!$A$3:$Q$422,MATCH(ROW(A96),BDDregul!$Q$3:$Q$422,0),14),"")</f>
        <v>0</v>
      </c>
      <c r="D116" s="461">
        <f>+IFERROR(INDEX(BDDregul!$A$3:$Q$422,MATCH(ROW(A96),BDDregul!$Q$3:$Q$422,0),9),"")</f>
        <v>0</v>
      </c>
      <c r="E116" s="461">
        <f>+IFERROR(INDEX(BDDregul!$A$3:$Q$422,MATCH(ROW(A96),BDDregul!$Q$3:$Q$422,0),12),"")</f>
        <v>0</v>
      </c>
      <c r="F116" s="461">
        <f>+IFERROR(INDEX(BDDregul!$A$3:$Q$422,MATCH(ROW(A96),BDDregul!$Q$3:$Q$422,0),13),"")</f>
        <v>0</v>
      </c>
      <c r="G116" s="461">
        <f>+IFERROR(IF(A116=DATE($F$12,$E$12,1),0,INDEX(BDDregul!$A$3:$Q$422,MATCH(ROW(A96),BDDregul!$Q$3:$Q$422,0),15)),"")</f>
        <v>0</v>
      </c>
      <c r="H116" s="461">
        <f t="shared" si="1"/>
        <v>0</v>
      </c>
    </row>
  </sheetData>
  <sheetProtection algorithmName="SHA-512" hashValue="gbkmqU3qWSZkg22zDWvMp5ZBz/Mv/eAIUXFQQggpIoDpr0SOF+lxT/PXM7lK1diFBW9MPoFGITVnhK9pg7RJcw==" saltValue="aJuBud6qi3GXcZgMOrYg2A==" spinCount="100000" sheet="1" objects="1" scenarios="1" formatCells="0" formatColumns="0" formatRows="0" insertColumns="0" insertRows="0" insertHyperlinks="0" sort="0" autoFilter="0" pivotTables="0"/>
  <mergeCells count="13">
    <mergeCell ref="B11:C11"/>
    <mergeCell ref="B13:C13"/>
    <mergeCell ref="A1:K1"/>
    <mergeCell ref="G6:I6"/>
    <mergeCell ref="B6:C6"/>
    <mergeCell ref="B8:C8"/>
    <mergeCell ref="D4:F4"/>
    <mergeCell ref="B7:C7"/>
    <mergeCell ref="B12:C12"/>
    <mergeCell ref="A7:A8"/>
    <mergeCell ref="A12:A13"/>
    <mergeCell ref="D2:H2"/>
    <mergeCell ref="E11:I11"/>
  </mergeCells>
  <dataValidations count="3">
    <dataValidation type="list" allowBlank="1" showInputMessage="1" showErrorMessage="1" sqref="B8:C8 B13" xr:uid="{00000000-0002-0000-2700-000000000000}">
      <formula1>Liste_mois_deroulante</formula1>
    </dataValidation>
    <dataValidation type="list" allowBlank="1" showInputMessage="1" showErrorMessage="1" sqref="D8 D13" xr:uid="{00000000-0002-0000-2700-000001000000}">
      <formula1>Liste_Année_deroulante</formula1>
    </dataValidation>
    <dataValidation type="list" allowBlank="1" showInputMessage="1" showErrorMessage="1" sqref="G6" xr:uid="{00000000-0002-0000-2700-000002000000}">
      <formula1>"Contrat en cours (Relevé intermédiaire),Fin de contrat (Relevé final)"</formula1>
    </dataValidation>
  </dataValidations>
  <pageMargins left="0.25" right="0.25" top="0.75" bottom="0.75" header="0.3" footer="0.3"/>
  <pageSetup paperSize="9" scale="83" fitToHeight="0" orientation="landscape" horizontalDpi="1200" verticalDpi="1200"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9999"/>
  </sheetPr>
  <dimension ref="A1:BR126"/>
  <sheetViews>
    <sheetView showGridLines="0" zoomScale="90" zoomScaleNormal="90" workbookViewId="0">
      <selection activeCell="C3" sqref="C3"/>
    </sheetView>
  </sheetViews>
  <sheetFormatPr baseColWidth="10" defaultColWidth="11.42578125" defaultRowHeight="12.75" x14ac:dyDescent="0.2"/>
  <cols>
    <col min="1" max="1" width="22.7109375" style="16" customWidth="1"/>
    <col min="2" max="2" width="13.42578125" style="16" customWidth="1"/>
    <col min="3" max="3" width="14.42578125" style="16" customWidth="1"/>
    <col min="4" max="4" width="12.28515625" style="16" customWidth="1"/>
    <col min="5" max="5" width="12.5703125" style="16" customWidth="1"/>
    <col min="6" max="7" width="11.42578125" style="16"/>
    <col min="8" max="8" width="13.28515625" style="16" customWidth="1"/>
    <col min="9" max="9" width="16" style="16" customWidth="1"/>
    <col min="10" max="10" width="11.42578125" style="16"/>
    <col min="11" max="11" width="18.7109375" style="16" customWidth="1"/>
    <col min="12" max="18" width="11.42578125" style="16"/>
    <col min="19" max="20" width="11.42578125" style="24"/>
    <col min="21" max="26" width="11.42578125" style="16"/>
    <col min="27" max="49" width="11.42578125" style="16" customWidth="1"/>
    <col min="50" max="70" width="11.42578125" style="16" hidden="1" customWidth="1"/>
    <col min="71" max="82" width="0" style="16" hidden="1" customWidth="1"/>
    <col min="83" max="16384" width="11.42578125" style="16"/>
  </cols>
  <sheetData>
    <row r="1" spans="1:60" ht="23.25" x14ac:dyDescent="0.35">
      <c r="A1" s="23" t="e">
        <f>+IF(AND(BC9="OUI",BC10=52),"Ne pas utiliser cette feuille pour le CDD calculé sur la base d'une année complète",+IF(AND(BC9="OUI",BC10&lt;&gt;52),"Outils de calcul de l'indenmité compensatrice des congés payés, CDD calculé sur la base d'une année incomplète",IF(BC14="OUI","Ne pas utiliser cette feuille pour le Contrat Occasionnel","Outils de calcul de l'indemnité compensatrice des congés payés en Année Incomplète")))</f>
        <v>#N/A</v>
      </c>
      <c r="R1" s="24" t="s">
        <v>657</v>
      </c>
      <c r="S1" s="24" t="str">
        <f>+IF(I6&lt;I4,"ROUGE","NON")</f>
        <v>NON</v>
      </c>
      <c r="BD1" s="29"/>
    </row>
    <row r="2" spans="1:60" x14ac:dyDescent="0.2">
      <c r="C2" s="2379" t="str">
        <f>+'Mode d''utilisation'!E2</f>
        <v>Syndicat National FO des Emplois de la Famille         www.emploisdelafamille-fo.fr</v>
      </c>
      <c r="D2" s="2379"/>
      <c r="E2" s="2379"/>
      <c r="F2" s="2379"/>
      <c r="G2" s="2379"/>
      <c r="H2" s="2379"/>
      <c r="I2" s="2379"/>
      <c r="K2" s="25" t="s">
        <v>1376</v>
      </c>
      <c r="L2" s="25"/>
      <c r="M2" s="25"/>
      <c r="S2" s="24">
        <v>1</v>
      </c>
      <c r="T2" s="24" t="str">
        <f t="shared" ref="T2:T13" si="0">+IF(AND(A50&lt;&gt;"Hors période",B50=0),"JAUNE","NON")</f>
        <v>NON</v>
      </c>
      <c r="BA2" s="29" t="s">
        <v>1314</v>
      </c>
      <c r="BB2" s="30">
        <f>+DATE(YEAR(Identification!B61)-1,4,30)</f>
        <v>45777</v>
      </c>
      <c r="BC2" s="16">
        <f>+DATEDIF(Identification!B49,BB2,"Y")</f>
        <v>125</v>
      </c>
    </row>
    <row r="3" spans="1:60" x14ac:dyDescent="0.2">
      <c r="C3" s="26"/>
      <c r="D3" s="27"/>
      <c r="E3" s="27"/>
      <c r="F3" s="27"/>
      <c r="G3" s="27"/>
      <c r="H3" s="27"/>
      <c r="S3" s="24">
        <v>2</v>
      </c>
      <c r="T3" s="24" t="str">
        <f t="shared" si="0"/>
        <v>NON</v>
      </c>
      <c r="BA3" s="29" t="s">
        <v>1315</v>
      </c>
      <c r="BB3" s="16" t="str">
        <f>+IF(BC2&lt;21,"OUI","NON")</f>
        <v>NON</v>
      </c>
      <c r="BH3" s="30">
        <f>+DATE(YEAR(BH5),6,1)</f>
        <v>153</v>
      </c>
    </row>
    <row r="4" spans="1:60" x14ac:dyDescent="0.2">
      <c r="A4" s="16" t="s">
        <v>594</v>
      </c>
      <c r="B4" s="2380" t="str">
        <f>"Du "&amp;TEXT(BG5,"jj/mm/aaaa")&amp;" au "&amp;TEXT(BH5,"jj/mm/aaaa")</f>
        <v>Du 01/06/3799 au 00/01/1900</v>
      </c>
      <c r="C4" s="2380"/>
      <c r="D4" s="2380"/>
      <c r="H4" s="29" t="s">
        <v>8</v>
      </c>
      <c r="I4" s="30">
        <f>+Identification!B28</f>
        <v>0</v>
      </c>
      <c r="S4" s="24">
        <v>3</v>
      </c>
      <c r="T4" s="24" t="str">
        <f t="shared" si="0"/>
        <v>NON</v>
      </c>
      <c r="BF4" s="29" t="s">
        <v>595</v>
      </c>
      <c r="BG4" s="27" t="s">
        <v>597</v>
      </c>
      <c r="BH4" s="27" t="s">
        <v>596</v>
      </c>
    </row>
    <row r="5" spans="1:60" x14ac:dyDescent="0.2">
      <c r="A5" s="16" t="s">
        <v>25</v>
      </c>
      <c r="B5" s="2381">
        <f>+Identification!B25</f>
        <v>0</v>
      </c>
      <c r="C5" s="2381"/>
      <c r="D5" s="2381"/>
      <c r="S5" s="24">
        <v>4</v>
      </c>
      <c r="T5" s="24" t="str">
        <f t="shared" si="0"/>
        <v>NON</v>
      </c>
      <c r="BF5" s="16">
        <v>1</v>
      </c>
      <c r="BG5" s="30">
        <f>+IF(AND(BH5&lt;BH3,I4&lt;=DATE(YEAR(BH3)-1,6,1)),DATE(YEAR(BH3)-1,6,1),IF(AND(BH5&lt;BH3,I4&gt;=DATE(YEAR(BH3)-1,6,1)),I4,IF(I4&gt;BH3,I4,BH3)))</f>
        <v>693749</v>
      </c>
      <c r="BH5" s="30">
        <f>+I6</f>
        <v>0</v>
      </c>
    </row>
    <row r="6" spans="1:60" x14ac:dyDescent="0.2">
      <c r="E6" s="27" t="s">
        <v>602</v>
      </c>
      <c r="H6" s="29" t="s">
        <v>592</v>
      </c>
      <c r="I6" s="30">
        <f>+Identification!B95</f>
        <v>0</v>
      </c>
      <c r="S6" s="24">
        <v>5</v>
      </c>
      <c r="T6" s="24" t="str">
        <f t="shared" si="0"/>
        <v>NON</v>
      </c>
      <c r="BB6" s="29" t="s">
        <v>1622</v>
      </c>
      <c r="BC6" s="16" t="e">
        <f>+IF(OR(BC14="OUI",BC10=52),"OUI","NON")</f>
        <v>#N/A</v>
      </c>
      <c r="BG6" s="30">
        <f>+IF(AND(I4&gt;=DATE(YEAR(BG5)-1,6,1),BH6&lt;&gt;""),I4,IF(BH6="","",DATE(YEAR(BG5)-1,6,1)))</f>
        <v>693384</v>
      </c>
      <c r="BH6" s="30">
        <f>+IF(AND(I4&lt;DATE(YEAR(BG5),5,31),BG5&lt;&gt;I4),DATE(YEAR(BG5),5,31),"")</f>
        <v>693748</v>
      </c>
    </row>
    <row r="7" spans="1:60" x14ac:dyDescent="0.2">
      <c r="C7" s="29" t="s">
        <v>568</v>
      </c>
      <c r="D7" s="31">
        <f>IFERROR(IF(E7="",+VLOOKUP(BB19,BDD,21,FALSE),E7),0)</f>
        <v>0</v>
      </c>
      <c r="E7" s="1108"/>
      <c r="S7" s="24">
        <v>6</v>
      </c>
      <c r="T7" s="24" t="str">
        <f t="shared" si="0"/>
        <v>NON</v>
      </c>
      <c r="BB7" s="29" t="s">
        <v>1387</v>
      </c>
      <c r="BC7" s="16">
        <f>+IF(AND(BG6="",BH6=""),1,0)</f>
        <v>0</v>
      </c>
    </row>
    <row r="8" spans="1:60" x14ac:dyDescent="0.2">
      <c r="C8" s="29"/>
      <c r="H8" s="29"/>
      <c r="I8" s="30"/>
      <c r="S8" s="24">
        <v>7</v>
      </c>
      <c r="T8" s="24" t="str">
        <f t="shared" si="0"/>
        <v>NON</v>
      </c>
      <c r="BG8" s="29" t="s">
        <v>601</v>
      </c>
    </row>
    <row r="9" spans="1:60" ht="13.5" thickBot="1" x14ac:dyDescent="0.25">
      <c r="C9" s="29" t="s">
        <v>569</v>
      </c>
      <c r="D9" s="31">
        <f>IFERROR(IF(E9="",+VLOOKUP(BB19,BDD,22,FALSE),E9),0)</f>
        <v>0</v>
      </c>
      <c r="E9" s="968"/>
      <c r="S9" s="24">
        <v>8</v>
      </c>
      <c r="T9" s="24" t="str">
        <f t="shared" si="0"/>
        <v>NON</v>
      </c>
      <c r="BB9" s="16" t="s">
        <v>1615</v>
      </c>
      <c r="BC9" s="16" t="e">
        <f>+VLOOKUP(DATE(YEAR(I6),MONTH(I6),1),BDD,87,FALSE)</f>
        <v>#N/A</v>
      </c>
    </row>
    <row r="10" spans="1:60" ht="13.5" thickTop="1" x14ac:dyDescent="0.2">
      <c r="C10" s="29"/>
      <c r="H10" s="1218" t="s">
        <v>620</v>
      </c>
      <c r="I10" s="1219"/>
      <c r="J10" s="1219"/>
      <c r="K10" s="1219"/>
      <c r="L10" s="1219"/>
      <c r="M10" s="1220"/>
      <c r="S10" s="24">
        <v>9</v>
      </c>
      <c r="T10" s="24" t="str">
        <f t="shared" si="0"/>
        <v>NON</v>
      </c>
      <c r="BB10" s="29" t="s">
        <v>1616</v>
      </c>
      <c r="BC10" s="16" t="e">
        <f>+VLOOKUP(DATE(YEAR(I6),MONTH(I6),1),BDD,26,FALSE)</f>
        <v>#N/A</v>
      </c>
    </row>
    <row r="11" spans="1:60" x14ac:dyDescent="0.2">
      <c r="C11" s="29" t="s">
        <v>570</v>
      </c>
      <c r="D11" s="1564">
        <f>IFERROR(IF(E11="",+VLOOKUP(BB19,BDD,26,FALSE),E11),0)</f>
        <v>0</v>
      </c>
      <c r="E11" s="1109"/>
      <c r="H11" s="1221"/>
      <c r="M11" s="1222"/>
      <c r="S11" s="24">
        <v>10</v>
      </c>
      <c r="T11" s="24" t="str">
        <f t="shared" si="0"/>
        <v>NON</v>
      </c>
      <c r="BB11" s="29" t="s">
        <v>1617</v>
      </c>
      <c r="BC11" s="16" t="e">
        <f>+IF(AND(BC9="OUI",BC10=52),"OUI","NON")</f>
        <v>#N/A</v>
      </c>
    </row>
    <row r="12" spans="1:60" x14ac:dyDescent="0.2">
      <c r="H12" s="2392" t="str">
        <f>+B4</f>
        <v>Du 01/06/3799 au 00/01/1900</v>
      </c>
      <c r="I12" s="2381"/>
      <c r="K12" s="337" t="e">
        <f>+G72</f>
        <v>#N/A</v>
      </c>
      <c r="M12" s="1222"/>
      <c r="S12" s="24">
        <v>11</v>
      </c>
      <c r="T12" s="24" t="str">
        <f t="shared" si="0"/>
        <v>NON</v>
      </c>
      <c r="BB12" s="29" t="s">
        <v>1623</v>
      </c>
      <c r="BC12" s="16" t="e">
        <f>+VLOOKUP(DATE(YEAR(I6),MONTH(I6),1),BDD,95,FALSE)</f>
        <v>#N/A</v>
      </c>
    </row>
    <row r="13" spans="1:60" ht="13.5" thickBot="1" x14ac:dyDescent="0.25">
      <c r="C13" s="29" t="s">
        <v>658</v>
      </c>
      <c r="D13" s="31" t="e">
        <f>+IF(BC13="OUI",ROUND(+D7*12/52*BC12/D11,2),IF(BC14="OUI",0,IF(D11,ROUND(+D7*12/D11,2),0)))</f>
        <v>#N/A</v>
      </c>
      <c r="H13" s="2392" t="s">
        <v>968</v>
      </c>
      <c r="I13" s="2381"/>
      <c r="K13" s="412">
        <f>+D92</f>
        <v>0</v>
      </c>
      <c r="M13" s="1222"/>
      <c r="S13" s="24">
        <v>12</v>
      </c>
      <c r="T13" s="24" t="str">
        <f t="shared" si="0"/>
        <v>NON</v>
      </c>
      <c r="BB13" s="16" t="s">
        <v>1619</v>
      </c>
      <c r="BC13" s="16" t="e">
        <f>+VLOOKUP(DATE(YEAR(I6),MONTH(I6),1),BDD,96,FALSE)</f>
        <v>#N/A</v>
      </c>
    </row>
    <row r="14" spans="1:60" x14ac:dyDescent="0.2">
      <c r="H14" s="1256"/>
      <c r="I14" s="63"/>
      <c r="J14" s="39" t="s">
        <v>673</v>
      </c>
      <c r="K14" s="413" t="e">
        <f>+K12-K13</f>
        <v>#N/A</v>
      </c>
      <c r="M14" s="1222"/>
      <c r="BB14" s="29" t="s">
        <v>1620</v>
      </c>
      <c r="BC14" s="16" t="e">
        <f>+VLOOKUP(DATE(YEAR(I6),MONTH(I6),1),BDD,97,FALSE)</f>
        <v>#N/A</v>
      </c>
    </row>
    <row r="15" spans="1:60" x14ac:dyDescent="0.2">
      <c r="A15" s="2393" t="s">
        <v>1488</v>
      </c>
      <c r="B15" s="2393"/>
      <c r="C15" s="2393"/>
      <c r="D15" s="31">
        <f>IF(E15="",IF(I6&lt;=DATE(YEAR(I6),5,31),+'CP Année Incomplète au 31-05'!D15,'CP Année Incomplète au 31-05'!G70),E15)</f>
        <v>0</v>
      </c>
      <c r="E15" s="1108"/>
      <c r="H15" s="1256"/>
      <c r="I15" s="63"/>
      <c r="J15" s="39"/>
      <c r="K15" s="64"/>
      <c r="M15" s="1222"/>
      <c r="BB15" s="16" t="s">
        <v>1692</v>
      </c>
      <c r="BC15" s="16" t="e">
        <f>+VLOOKUP(DATE(YEAR(I6),MONTH(I6),1),BDD,102,FALSE)</f>
        <v>#N/A</v>
      </c>
    </row>
    <row r="16" spans="1:60" x14ac:dyDescent="0.2">
      <c r="A16" s="2393"/>
      <c r="B16" s="2393"/>
      <c r="C16" s="2393"/>
      <c r="D16" s="34"/>
      <c r="H16" s="2392" t="str">
        <f>+B100</f>
        <v>Du 01/06/3798 au 31/05/3799</v>
      </c>
      <c r="I16" s="2381"/>
      <c r="J16" s="29"/>
      <c r="K16" s="337">
        <f ca="1">+F103</f>
        <v>0</v>
      </c>
      <c r="M16" s="1222"/>
    </row>
    <row r="17" spans="1:55" ht="13.5" thickBot="1" x14ac:dyDescent="0.25">
      <c r="H17" s="2392" t="s">
        <v>674</v>
      </c>
      <c r="I17" s="2381"/>
      <c r="J17" s="29"/>
      <c r="K17" s="412">
        <f>+B123</f>
        <v>0</v>
      </c>
      <c r="M17" s="1222"/>
    </row>
    <row r="18" spans="1:55" x14ac:dyDescent="0.2">
      <c r="A18" s="2393" t="s">
        <v>1489</v>
      </c>
      <c r="B18" s="2393"/>
      <c r="C18" s="2393"/>
      <c r="D18" s="1565">
        <f>IF(E18="",IF(I6&lt;=DATE(YEAR(I6),5,31),'CP Année Incomplète au 31-05'!D18,'CP Année Incomplète au 31-05'!M12),E18)</f>
        <v>0</v>
      </c>
      <c r="E18" s="1109"/>
      <c r="H18" s="1256"/>
      <c r="I18" s="27"/>
      <c r="J18" s="39" t="s">
        <v>675</v>
      </c>
      <c r="K18" s="413">
        <f ca="1">+K16-K17</f>
        <v>0</v>
      </c>
      <c r="M18" s="1222"/>
    </row>
    <row r="19" spans="1:55" x14ac:dyDescent="0.2">
      <c r="A19" s="2393"/>
      <c r="B19" s="2393"/>
      <c r="C19" s="2393"/>
      <c r="H19" s="1256"/>
      <c r="I19" s="27"/>
      <c r="J19" s="39"/>
      <c r="K19" s="40"/>
      <c r="M19" s="1222"/>
      <c r="BB19" s="30">
        <f>DATE(YEAR(I6),MONTH(I6),1)</f>
        <v>1</v>
      </c>
      <c r="BC19" s="16" t="e">
        <f>+VLOOKUP(BB19,BDD,87,FALSE)</f>
        <v>#N/A</v>
      </c>
    </row>
    <row r="20" spans="1:55" x14ac:dyDescent="0.2">
      <c r="H20" s="1256"/>
      <c r="I20" s="27"/>
      <c r="J20" s="39" t="s">
        <v>676</v>
      </c>
      <c r="K20" s="413" t="e">
        <f ca="1">+K18+K14</f>
        <v>#N/A</v>
      </c>
      <c r="M20" s="1222"/>
      <c r="BB20" s="29" t="s">
        <v>1704</v>
      </c>
      <c r="BC20" s="16" t="str">
        <f>+IF(DATE(YEAR(I6),5,1)&gt;I4,"OUI","NON")</f>
        <v>OUI</v>
      </c>
    </row>
    <row r="21" spans="1:55" ht="13.5" thickBot="1" x14ac:dyDescent="0.25">
      <c r="H21" s="1253"/>
      <c r="I21" s="1237"/>
      <c r="J21" s="1254"/>
      <c r="K21" s="1255"/>
      <c r="L21" s="1237"/>
      <c r="M21" s="1247"/>
    </row>
    <row r="22" spans="1:55" ht="13.5" thickTop="1" x14ac:dyDescent="0.2">
      <c r="A22" s="627" t="s">
        <v>571</v>
      </c>
      <c r="B22" s="18"/>
    </row>
    <row r="24" spans="1:55" x14ac:dyDescent="0.2">
      <c r="E24" s="29" t="str">
        <f>IF(Identification!B132="Non","Nbre de semaines travaillées (l'année de référence) + Semaines CP acquis :","Nbre de semaines travaillées (l'année de référence) ")</f>
        <v>Nbre de semaines travaillées (l'année de référence) + Semaines CP acquis :</v>
      </c>
      <c r="F24" s="1564">
        <f>IFERROR(IF(AND(F25="",Identification!B132="Non"),+VLOOKUP(BB19,BDD,10,FALSE)+VLOOKUP(BB19,BDD,12,FALSE)+D18/6,IF(AND(F25="",Identification!B132="Oui"),+VLOOKUP(BB19,BDD,10,FALSE)+VLOOKUP(BB19,BDD,12,FALSE),F25)),0)</f>
        <v>0</v>
      </c>
    </row>
    <row r="25" spans="1:55" x14ac:dyDescent="0.2">
      <c r="E25" s="29" t="s">
        <v>492</v>
      </c>
      <c r="F25" s="1111"/>
    </row>
    <row r="26" spans="1:55" x14ac:dyDescent="0.2">
      <c r="E26" s="29"/>
      <c r="H26" s="46" t="s">
        <v>572</v>
      </c>
      <c r="I26" s="664"/>
    </row>
    <row r="27" spans="1:55" x14ac:dyDescent="0.2">
      <c r="E27" s="29" t="s">
        <v>1637</v>
      </c>
      <c r="F27" s="1565">
        <f>IFERROR(IF(F28="",+VLOOKUP(BB19,BDD,99,FALSE),F28),0)</f>
        <v>0</v>
      </c>
      <c r="H27" s="24">
        <f>ROUND((F24-(D18/6))/4,4)</f>
        <v>0</v>
      </c>
      <c r="I27" s="664"/>
    </row>
    <row r="28" spans="1:55" x14ac:dyDescent="0.2">
      <c r="E28" s="29" t="s">
        <v>492</v>
      </c>
      <c r="F28" s="1111"/>
      <c r="H28" s="1614" t="str">
        <f>IF(Identification!B132="Non","L'AM a travaillé "&amp;ROUND(F24-(D18/6),2)&amp;" semaines sur la période de référence (1er juin au 31 mai)","L'AM a travaillé "&amp;ROUND(F24,2)&amp;" semaines sur la période de référence (1er juin au 31 mai) en incluant les Congés payés acquis pris")</f>
        <v>L'AM a travaillé 0 semaines sur la période de référence (1er juin au 31 mai)</v>
      </c>
      <c r="I28" s="664"/>
    </row>
    <row r="29" spans="1:55" x14ac:dyDescent="0.2">
      <c r="E29" s="1189"/>
      <c r="F29" s="1295"/>
      <c r="H29" s="664" t="s">
        <v>1499</v>
      </c>
      <c r="I29" s="664"/>
    </row>
    <row r="30" spans="1:55" x14ac:dyDescent="0.2">
      <c r="E30" s="1189" t="s">
        <v>492</v>
      </c>
      <c r="F30" s="1296"/>
      <c r="H30" s="664" t="s">
        <v>1500</v>
      </c>
      <c r="I30" s="664"/>
    </row>
    <row r="31" spans="1:55" x14ac:dyDescent="0.2">
      <c r="C31" s="29" t="s">
        <v>492</v>
      </c>
      <c r="D31" s="1146"/>
      <c r="E31" s="377" t="str">
        <f>+IF(AND(D31&lt;&gt;0,BC20="NON"),"La date du contrat ne le permet pas","")</f>
        <v/>
      </c>
      <c r="I31" s="664"/>
    </row>
    <row r="32" spans="1:55" x14ac:dyDescent="0.2">
      <c r="C32" s="29" t="s">
        <v>667</v>
      </c>
      <c r="D32" s="1569">
        <f>IF(BC20="OUI",IF(D31="",IF(AND(I6&gt;=DATE(YEAR(Identification!B61),5,31),BG5&lt;DATE(YEAR(Identification!B61),5,31)),Identification!B55*2,0),D31),0)</f>
        <v>0</v>
      </c>
      <c r="E32" s="16" t="s">
        <v>662</v>
      </c>
      <c r="F32" s="1566">
        <f>+IF(IF(BB3="NON",ROUND(+(MIN(F41,30)-D39),0),F41-D39)&lt;0,0,IF(BB3="NON",ROUND(+(MIN(F41,30)-D39),0),F41-D39))</f>
        <v>0</v>
      </c>
      <c r="H32" s="664" t="str">
        <f>IF(Identification!B132="Non","On calcule donc un nombre de période avant la prise en compte des cp acquis soit "&amp;ROUND((F24-D18/6),2)&amp;" / 4 = "&amp;ROUND((F24-(D18/6))/4,4)&amp;" période(s)","")</f>
        <v>On calcule donc un nombre de période avant la prise en compte des cp acquis soit 0 / 4 = 0 période(s)</v>
      </c>
      <c r="I32" s="664"/>
    </row>
    <row r="33" spans="1:9" x14ac:dyDescent="0.2">
      <c r="C33" s="29" t="s">
        <v>666</v>
      </c>
      <c r="D33" s="1566">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3" s="664" t="str">
        <f>IF(Identification!B132="Non",+"Les semaines de cp acquis l'année précédente sont "&amp;D18&amp;" jrs ouvrables / 6 jours par semaine = "&amp;ROUND(D18/6,2)&amp;" semaine(s)",+"Soit le nombre de semaines travaillées "&amp;ROUND(F24,2)&amp;" sem / 4 = "&amp;F35&amp;" période(s)""")</f>
        <v>Les semaines de cp acquis l'année précédente sont 0 jrs ouvrables / 6 jours par semaine = 0 semaine(s)</v>
      </c>
      <c r="I33" s="664"/>
    </row>
    <row r="34" spans="1:9" x14ac:dyDescent="0.2">
      <c r="C34" s="29"/>
      <c r="I34" s="664"/>
    </row>
    <row r="35" spans="1:9" x14ac:dyDescent="0.2">
      <c r="C35" s="29" t="s">
        <v>1372</v>
      </c>
      <c r="D35" s="66">
        <f>ROUND(F24/4,4)</f>
        <v>0</v>
      </c>
      <c r="E35" s="51" t="s">
        <v>577</v>
      </c>
      <c r="F35" s="67">
        <f>+ROUND(D35,2)</f>
        <v>0</v>
      </c>
      <c r="H35" s="664" t="str">
        <f>IF(Identification!B132="Non",+"Si on prend en compte les semaines de cp acquis (soit "&amp;ROUND(D18/6,2)&amp;" semaines, soit "&amp;ROUND(D18/6/4,4)&amp;" période(s)) pour le calcul du nombre total de période on obtient :","")</f>
        <v>Si on prend en compte les semaines de cp acquis (soit 0 semaines, soit 0 période(s)) pour le calcul du nombre total de période on obtient :</v>
      </c>
      <c r="I35" s="664"/>
    </row>
    <row r="36" spans="1:9" x14ac:dyDescent="0.2">
      <c r="C36" s="29"/>
      <c r="D36" s="52"/>
      <c r="E36" s="27"/>
      <c r="F36" s="81"/>
      <c r="H36" s="664" t="str">
        <f>IF(Identification!B132="Non",+H27&amp;" période(s) + "&amp;ROUND(D18/6/4,4)&amp;" période(s) = "&amp;D35&amp;" arrondi à "&amp;F35&amp;" période(s)","")</f>
        <v>0 période(s) + 0 période(s) = 0 arrondi à 0 période(s)</v>
      </c>
      <c r="I36" s="664"/>
    </row>
    <row r="37" spans="1:9" x14ac:dyDescent="0.2">
      <c r="A37" s="24"/>
      <c r="B37" s="24"/>
      <c r="C37" s="181" t="s">
        <v>1373</v>
      </c>
      <c r="D37" s="990">
        <f>+F35</f>
        <v>0</v>
      </c>
      <c r="E37" s="27"/>
      <c r="F37" s="81"/>
      <c r="H37" s="664" t="s">
        <v>606</v>
      </c>
      <c r="I37" s="664"/>
    </row>
    <row r="38" spans="1:9" x14ac:dyDescent="0.2">
      <c r="H38" s="16" t="s">
        <v>1639</v>
      </c>
      <c r="I38" s="664"/>
    </row>
    <row r="39" spans="1:9" x14ac:dyDescent="0.2">
      <c r="C39" s="29" t="s">
        <v>607</v>
      </c>
      <c r="D39" s="1566">
        <f>ROUNDUP(F35*2.5+F27,0)</f>
        <v>0</v>
      </c>
      <c r="I39" s="664"/>
    </row>
    <row r="40" spans="1:9" x14ac:dyDescent="0.2">
      <c r="H40" s="664" t="str">
        <f>+F35&amp;" période(s) x 2,5 jours + "&amp;F32&amp;" jour(s) enfant(s) de moins de 15 ans +  jrs acquis sur arrêt de travail ("&amp;F27&amp;" jour(s))"&amp;" = "&amp;F41&amp;" jour(s) ouvrable(s) maximum"</f>
        <v>0 période(s) x 2,5 jours + 0 jour(s) enfant(s) de moins de 15 ans +  jrs acquis sur arrêt de travail (0 jour(s)) = 0 jour(s) ouvrable(s) maximum</v>
      </c>
      <c r="I40" s="664"/>
    </row>
    <row r="41" spans="1:9" x14ac:dyDescent="0.2">
      <c r="C41" s="29" t="s">
        <v>576</v>
      </c>
      <c r="D41" s="1566">
        <f>F35*2.5+D32+F27</f>
        <v>0</v>
      </c>
      <c r="E41" s="51" t="s">
        <v>1316</v>
      </c>
      <c r="F41" s="1568">
        <f>IF(BB3="NON",IF(D41&lt;30,ROUNDUP(D41,0),30),IF(AND(BB3="OUI",D39&lt;=5),ROUNDUP(D39+(D32/2),0),ROUNDUP(D41,0)))</f>
        <v>0</v>
      </c>
      <c r="H41" s="664"/>
      <c r="I41" s="664"/>
    </row>
    <row r="42" spans="1:9" x14ac:dyDescent="0.2">
      <c r="H42" s="664" t="s">
        <v>578</v>
      </c>
      <c r="I42" s="664"/>
    </row>
    <row r="43" spans="1:9" x14ac:dyDescent="0.2">
      <c r="A43" s="660" t="s">
        <v>582</v>
      </c>
      <c r="B43" s="661"/>
      <c r="C43" s="662"/>
      <c r="D43" s="414" t="e">
        <f>IF(OR(BC15="OUI",AND(BC9="OUI",BC10=52)),0,ROUND((D13/6)*(F41+D33),2))</f>
        <v>#N/A</v>
      </c>
      <c r="H43" s="664" t="e">
        <f>+"[Salaire hebdomadaire moyen ("&amp;ROUND(D13,2)&amp;" €) / 6 jours] x [ nombre de jours ouvrables de CP ("&amp;F41&amp;" jour(s)) + nombre de jours de fractionnement ("&amp;D33&amp;"  jour(s))]"</f>
        <v>#N/A</v>
      </c>
      <c r="I43" s="664"/>
    </row>
    <row r="44" spans="1:9" x14ac:dyDescent="0.2">
      <c r="A44" s="29"/>
      <c r="B44" s="29"/>
      <c r="C44" s="29"/>
      <c r="D44" s="68"/>
      <c r="H44" s="664" t="e">
        <f>+"soit un maintien de salaire de "&amp;D43&amp;" euros"</f>
        <v>#N/A</v>
      </c>
      <c r="I44" s="664"/>
    </row>
    <row r="45" spans="1:9" x14ac:dyDescent="0.2">
      <c r="H45" s="47"/>
    </row>
    <row r="46" spans="1:9" x14ac:dyDescent="0.2">
      <c r="A46" s="627" t="s">
        <v>583</v>
      </c>
    </row>
    <row r="48" spans="1:9" x14ac:dyDescent="0.2">
      <c r="A48" s="16" t="s">
        <v>584</v>
      </c>
    </row>
    <row r="49" spans="1:13" ht="38.25" x14ac:dyDescent="0.2">
      <c r="B49" s="628" t="s">
        <v>1660</v>
      </c>
      <c r="C49" s="54" t="s">
        <v>603</v>
      </c>
      <c r="D49" s="1279" t="s">
        <v>610</v>
      </c>
      <c r="E49" s="1275" t="s">
        <v>609</v>
      </c>
      <c r="F49" s="1276" t="s">
        <v>619</v>
      </c>
      <c r="G49" s="47"/>
      <c r="H49" s="46" t="s">
        <v>572</v>
      </c>
    </row>
    <row r="50" spans="1:13" x14ac:dyDescent="0.2">
      <c r="A50" s="629" t="str">
        <f>+IF(AND(DATE(YEAR($BG$5),6,30)&gt;=$BG$5,DATE(YEAR($BG$5),6,1)&lt;=$BH$5),DATE(YEAR($BG$5),6,1),"Hors période")</f>
        <v>Hors période</v>
      </c>
      <c r="B50" s="31">
        <f t="shared" ref="B50:B61" si="1">IF(C50="",IFERROR(+VLOOKUP(A50,BDD,2,FALSE)+VLOOKUP(A50,BDD,100,FALSE),0),C50)</f>
        <v>0</v>
      </c>
      <c r="C50" s="1108"/>
      <c r="D50" s="1280">
        <f>ROUND(+(+B50*10%),2)</f>
        <v>0</v>
      </c>
      <c r="E50" s="1284">
        <f t="shared" ref="E50:E61" si="2">IF(F50="",IFERROR(+VLOOKUP(A50,BDD,14,FALSE),0),F50)</f>
        <v>0</v>
      </c>
      <c r="F50" s="1285"/>
      <c r="G50" s="47"/>
      <c r="H50" s="47" t="s">
        <v>608</v>
      </c>
    </row>
    <row r="51" spans="1:13" x14ac:dyDescent="0.2">
      <c r="A51" s="629" t="str">
        <f>+IF(AND(DATE(YEAR($BG$5),7,31)&gt;=$BG$5,DATE(YEAR($BG$5),7,1)&lt;=$BH$5),DATE(YEAR($BG$5),7,1),"Hors période")</f>
        <v>Hors période</v>
      </c>
      <c r="B51" s="31">
        <f t="shared" si="1"/>
        <v>0</v>
      </c>
      <c r="C51" s="1108"/>
      <c r="D51" s="1280">
        <f t="shared" ref="D51:D61" si="3">ROUND(+(+B51*10%),2)</f>
        <v>0</v>
      </c>
      <c r="E51" s="1284">
        <f t="shared" si="2"/>
        <v>0</v>
      </c>
      <c r="F51" s="1285"/>
      <c r="G51" s="47"/>
    </row>
    <row r="52" spans="1:13" x14ac:dyDescent="0.2">
      <c r="A52" s="629" t="str">
        <f>+IF(AND(DATE(YEAR($BG$5),8,31)&gt;=$BG$5,DATE(YEAR($BG$5),8,1)&lt;=$BH$5),DATE(YEAR($BG$5),8,1),"Hors période")</f>
        <v>Hors période</v>
      </c>
      <c r="B52" s="31">
        <f t="shared" si="1"/>
        <v>0</v>
      </c>
      <c r="C52" s="1108"/>
      <c r="D52" s="1280">
        <f t="shared" si="3"/>
        <v>0</v>
      </c>
      <c r="E52" s="1284">
        <f t="shared" si="2"/>
        <v>0</v>
      </c>
      <c r="F52" s="1285"/>
      <c r="G52" s="47"/>
      <c r="H52" s="664" t="s">
        <v>1491</v>
      </c>
    </row>
    <row r="53" spans="1:13" x14ac:dyDescent="0.2">
      <c r="A53" s="629" t="str">
        <f>+IF(AND(DATE(YEAR($BG$5),9,30)&gt;=$BG$5,DATE(YEAR($BG$5),9,1)&lt;=$BH$5),DATE(YEAR($BG$5),9,1),"Hors période")</f>
        <v>Hors période</v>
      </c>
      <c r="B53" s="31">
        <f t="shared" si="1"/>
        <v>0</v>
      </c>
      <c r="C53" s="1108"/>
      <c r="D53" s="1280">
        <f t="shared" si="3"/>
        <v>0</v>
      </c>
      <c r="E53" s="1284">
        <f t="shared" si="2"/>
        <v>0</v>
      </c>
      <c r="F53" s="1285"/>
      <c r="G53" s="47"/>
      <c r="H53" s="47" t="str">
        <f>+"[Salaire du mois ("&amp;B58&amp;" euros) x 10%]"</f>
        <v>[Salaire du mois (0 euros) x 10%]</v>
      </c>
      <c r="I53" s="47"/>
      <c r="J53" s="47"/>
      <c r="K53" s="47"/>
      <c r="L53" s="47"/>
    </row>
    <row r="54" spans="1:13" x14ac:dyDescent="0.2">
      <c r="A54" s="629" t="str">
        <f>+IF(AND(DATE(YEAR($BG$5),10,31)&gt;=$BG$5,DATE(YEAR($BG$5),10,1)&lt;=$BH$5),DATE(YEAR($BG$5),10,1),"Hors période")</f>
        <v>Hors période</v>
      </c>
      <c r="B54" s="31">
        <f t="shared" si="1"/>
        <v>0</v>
      </c>
      <c r="C54" s="1108"/>
      <c r="D54" s="1280">
        <f t="shared" si="3"/>
        <v>0</v>
      </c>
      <c r="E54" s="1284">
        <f t="shared" si="2"/>
        <v>0</v>
      </c>
      <c r="F54" s="1285"/>
      <c r="H54" s="47" t="str">
        <f>+"Soit pour la ligne du mois de Février "&amp;D58&amp;" euros"</f>
        <v>Soit pour la ligne du mois de Février 0 euros</v>
      </c>
      <c r="I54" s="47"/>
      <c r="J54" s="47"/>
      <c r="K54" s="47"/>
      <c r="L54" s="47"/>
    </row>
    <row r="55" spans="1:13" x14ac:dyDescent="0.2">
      <c r="A55" s="629" t="str">
        <f>+IF(AND(DATE(YEAR($BG$5),11,30)&gt;=$BG$5,DATE(YEAR($BG$5),11,1)&lt;=$BH$5),DATE(YEAR($BG$5),11,1),"Hors période")</f>
        <v>Hors période</v>
      </c>
      <c r="B55" s="31">
        <f t="shared" si="1"/>
        <v>0</v>
      </c>
      <c r="C55" s="1108"/>
      <c r="D55" s="1280">
        <f t="shared" si="3"/>
        <v>0</v>
      </c>
      <c r="E55" s="1284">
        <f t="shared" si="2"/>
        <v>0</v>
      </c>
      <c r="F55" s="1285"/>
      <c r="I55" s="47"/>
      <c r="J55" s="47"/>
      <c r="K55" s="47"/>
      <c r="L55" s="47"/>
    </row>
    <row r="56" spans="1:13" x14ac:dyDescent="0.2">
      <c r="A56" s="629" t="str">
        <f>+IF(AND(DATE(YEAR($BG$5),12,31)&gt;=$BG$5,DATE(YEAR($BG$5),12,1)&lt;=$BH$5),DATE(YEAR($BG$5),12,1),"Hors période")</f>
        <v>Hors période</v>
      </c>
      <c r="B56" s="31">
        <f t="shared" si="1"/>
        <v>0</v>
      </c>
      <c r="C56" s="1108"/>
      <c r="D56" s="1280">
        <f t="shared" si="3"/>
        <v>0</v>
      </c>
      <c r="E56" s="1284">
        <f t="shared" si="2"/>
        <v>0</v>
      </c>
      <c r="F56" s="1285"/>
      <c r="H56" s="664" t="str">
        <f>+"10% sur les salaires de l'année de référence ("&amp;ROUND(D62,2)&amp;" euros)+ 10% de l'indemnité de CP de l'année précédente ("&amp;ROUND(D64,2)&amp;" euros) = "&amp;ROUND(D62+D64,2)&amp;" euros"</f>
        <v>10% sur les salaires de l'année de référence (0 euros)+ 10% de l'indemnité de CP de l'année précédente (0 euros) = 0 euros</v>
      </c>
      <c r="I56" s="47"/>
      <c r="J56" s="47"/>
      <c r="K56" s="47"/>
      <c r="L56" s="47"/>
    </row>
    <row r="57" spans="1:13" x14ac:dyDescent="0.2">
      <c r="A57" s="629" t="str">
        <f>+IF(AND(DATE(YEAR($BG$5)+1,1,31)&gt;=$BG$5,DATE(YEAR($BG$5)+1,1,1)&lt;=$BH$5),DATE(YEAR($BG$5)+1,1,1),+IF(AND(DATE(YEAR($BG$5),1,31)&gt;=$BG$5,DATE(YEAR($BG$5),1,1)&lt;=$BH$5),DATE(YEAR($BG$5),1,1),"Hors période"))</f>
        <v>Hors période</v>
      </c>
      <c r="B57" s="31">
        <f t="shared" si="1"/>
        <v>0</v>
      </c>
      <c r="C57" s="1108"/>
      <c r="D57" s="1280">
        <f t="shared" si="3"/>
        <v>0</v>
      </c>
      <c r="E57" s="1284">
        <f t="shared" si="2"/>
        <v>0</v>
      </c>
      <c r="F57" s="1285"/>
      <c r="I57" s="47"/>
      <c r="J57" s="47"/>
      <c r="K57" s="47"/>
      <c r="L57" s="47"/>
      <c r="M57" s="58"/>
    </row>
    <row r="58" spans="1:13" x14ac:dyDescent="0.2">
      <c r="A58" s="629" t="str">
        <f>+IF(AND(DATE(YEAR($BG$5)+1,2,29)&gt;=$BG$5,DATE(YEAR($BG$5)+1,2,1)&lt;=$BH$5),DATE(YEAR($BG$5)+1,2,1),IF(AND(DATE(YEAR($BG$5),2,29)&gt;=$BG$5,DATE(YEAR($BG$5),2,1)&lt;=$BH$5),DATE(YEAR($BG$5),2,1),"Hors période"))</f>
        <v>Hors période</v>
      </c>
      <c r="B58" s="31">
        <f t="shared" si="1"/>
        <v>0</v>
      </c>
      <c r="C58" s="1108"/>
      <c r="D58" s="1280">
        <f t="shared" si="3"/>
        <v>0</v>
      </c>
      <c r="E58" s="1284">
        <f t="shared" si="2"/>
        <v>0</v>
      </c>
      <c r="F58" s="1285"/>
      <c r="H58" s="664" t="s">
        <v>1512</v>
      </c>
    </row>
    <row r="59" spans="1:13" x14ac:dyDescent="0.2">
      <c r="A59" s="629" t="str">
        <f>+IF(AND(DATE(YEAR($BG$5)+1,3,31)&gt;=$BG$5,DATE(YEAR($BG$5)+1,3,1)&lt;=$BH$5),DATE(YEAR($BG$5)+1,3,1),IF(AND(DATE(YEAR($BG$5),3,31)&gt;=$BG$5,DATE(YEAR($BG$5),3,1)&lt;=$BH$5),DATE(YEAR($BG$5),3,1),"Hors période"))</f>
        <v>Hors période</v>
      </c>
      <c r="B59" s="31">
        <f t="shared" si="1"/>
        <v>0</v>
      </c>
      <c r="C59" s="1108"/>
      <c r="D59" s="1280">
        <f t="shared" si="3"/>
        <v>0</v>
      </c>
      <c r="E59" s="1284">
        <f t="shared" si="2"/>
        <v>0</v>
      </c>
      <c r="F59" s="1285"/>
      <c r="H59" s="47" t="s">
        <v>589</v>
      </c>
      <c r="I59" s="56" t="str">
        <f>+(D62+D64)&amp;" / "&amp;D39&amp;" X ("&amp;F32&amp;" + "&amp;D33&amp;" )"</f>
        <v>0 / 0 X (0 + 0 )</v>
      </c>
      <c r="J59" s="47" t="e">
        <f>"= "&amp;ROUND((D62+D64)/D39*(F32+D33),2)</f>
        <v>#DIV/0!</v>
      </c>
    </row>
    <row r="60" spans="1:13" x14ac:dyDescent="0.2">
      <c r="A60" s="629" t="str">
        <f>+IF(AND(DATE(YEAR($BG$5)+1,4,30)&gt;=$BG$5,DATE(YEAR($BG$5)+1,4,1)&lt;=$BH$5),DATE(YEAR($BG$5)+1,4,1),IF(AND(DATE(YEAR($BG$5),4,30)&gt;=$BG$5,DATE(YEAR($BG$5),4,1)&lt;=$BH$5),DATE(YEAR($BG$5),4,1),"Hors période"))</f>
        <v>Hors période</v>
      </c>
      <c r="B60" s="31">
        <f t="shared" si="1"/>
        <v>0</v>
      </c>
      <c r="C60" s="1108"/>
      <c r="D60" s="1280">
        <f t="shared" si="3"/>
        <v>0</v>
      </c>
      <c r="E60" s="1284">
        <f t="shared" si="2"/>
        <v>0</v>
      </c>
      <c r="F60" s="1285"/>
    </row>
    <row r="61" spans="1:13" x14ac:dyDescent="0.2">
      <c r="A61" s="629" t="str">
        <f>+IF(AND(DATE(YEAR($BG$5)+1,5,31)&gt;=$BG$5,DATE(YEAR($BG$5)+1,5,1)&lt;=$BH$5),DATE(YEAR($BG$5)+1,5,1),IF(AND(DATE(YEAR($BG$5),5,31)&gt;=$BG$5,DATE(YEAR($BG$5),5,1)&lt;=$BH$5),DATE(YEAR($BG$5),5,1),"Hors période"))</f>
        <v>Hors période</v>
      </c>
      <c r="B61" s="31">
        <f t="shared" si="1"/>
        <v>0</v>
      </c>
      <c r="C61" s="1108"/>
      <c r="D61" s="1280">
        <f t="shared" si="3"/>
        <v>0</v>
      </c>
      <c r="E61" s="1284">
        <f t="shared" si="2"/>
        <v>0</v>
      </c>
      <c r="F61" s="1285"/>
    </row>
    <row r="62" spans="1:13" x14ac:dyDescent="0.2">
      <c r="C62" s="38" t="s">
        <v>441</v>
      </c>
      <c r="D62" s="1281">
        <f>ROUND(SUM(D50:D61),2)</f>
        <v>0</v>
      </c>
      <c r="H62" s="47" t="str">
        <f>"Soit  un montant total de "&amp;(D65+D67)&amp;" euros"&amp;" + "&amp;ROUND(D71,2)&amp;" euros = "&amp;ROUND(D73,2)&amp;" euros"</f>
        <v>Soit  un montant total de 0 euros + 0 euros = 0 euros</v>
      </c>
    </row>
    <row r="64" spans="1:13" x14ac:dyDescent="0.2">
      <c r="A64" s="2381" t="s">
        <v>1490</v>
      </c>
      <c r="B64" s="2381"/>
      <c r="C64" s="2381"/>
      <c r="D64" s="1281">
        <f>+D15*0.1</f>
        <v>0</v>
      </c>
    </row>
    <row r="66" spans="1:9" hidden="1" x14ac:dyDescent="0.2">
      <c r="A66" s="2404" t="s">
        <v>612</v>
      </c>
      <c r="B66" s="2404"/>
      <c r="C66" s="2404"/>
      <c r="D66" s="2404"/>
      <c r="E66" s="2457"/>
      <c r="F66" s="418">
        <f>IF(F67="",+IFERROR(VLOOKUP(DATE(YEAR(BB19),6,1),BDD,23,FALSE),0),F67)</f>
        <v>0</v>
      </c>
    </row>
    <row r="67" spans="1:9" hidden="1" x14ac:dyDescent="0.2">
      <c r="E67" s="29" t="s">
        <v>492</v>
      </c>
      <c r="F67" s="1108"/>
    </row>
    <row r="68" spans="1:9" x14ac:dyDescent="0.2">
      <c r="C68" s="29" t="s">
        <v>665</v>
      </c>
      <c r="D68" s="59">
        <f>IF(D39,+(D62+D64)/D39*(F32+D33),0)</f>
        <v>0</v>
      </c>
      <c r="F68" s="59"/>
    </row>
    <row r="70" spans="1:9" x14ac:dyDescent="0.2">
      <c r="A70" s="2382" t="s">
        <v>590</v>
      </c>
      <c r="B70" s="2383"/>
      <c r="C70" s="2384"/>
      <c r="D70" s="414" t="e">
        <f>IF(OR(BC14="OUI",AND(BC9="OUI",BC10=52)),0,ROUND(SUM(D50:D61)+D68+D64,2))</f>
        <v>#N/A</v>
      </c>
    </row>
    <row r="71" spans="1:9" ht="13.5" thickBot="1" x14ac:dyDescent="0.25"/>
    <row r="72" spans="1:9" ht="13.5" thickBot="1" x14ac:dyDescent="0.25">
      <c r="A72" s="1266" t="s">
        <v>591</v>
      </c>
      <c r="B72" s="1267"/>
      <c r="C72" s="1267"/>
      <c r="D72" s="1267"/>
      <c r="E72" s="1267"/>
      <c r="F72" s="1268"/>
      <c r="G72" s="415" t="e">
        <f>+IF(D70&gt;D43,D70,D43)</f>
        <v>#N/A</v>
      </c>
      <c r="I72" s="24" t="e">
        <f>+"La valeur du jour ouvrable pour l'année suivante est "&amp;G72&amp;" / "&amp;F41&amp;" jours ouvrables acquis"</f>
        <v>#N/A</v>
      </c>
    </row>
    <row r="73" spans="1:9" ht="13.5" thickBot="1" x14ac:dyDescent="0.25">
      <c r="A73" s="1269" t="s">
        <v>614</v>
      </c>
      <c r="B73" s="1270"/>
      <c r="C73" s="1270"/>
      <c r="D73" s="1270"/>
      <c r="E73" s="1270"/>
      <c r="F73" s="1271"/>
      <c r="G73" s="1292">
        <f>IF(F41,+G72/F41,0)</f>
        <v>0</v>
      </c>
    </row>
    <row r="76" spans="1:9" x14ac:dyDescent="0.2">
      <c r="A76" s="19" t="s">
        <v>969</v>
      </c>
      <c r="B76" s="19"/>
    </row>
    <row r="77" spans="1:9" x14ac:dyDescent="0.2">
      <c r="A77" s="19"/>
      <c r="B77" s="19"/>
    </row>
    <row r="78" spans="1:9" x14ac:dyDescent="0.2">
      <c r="C78" s="69" t="s">
        <v>492</v>
      </c>
    </row>
    <row r="79" spans="1:9" x14ac:dyDescent="0.2">
      <c r="A79" s="55" t="str">
        <f>+IF(AND(DATE(YEAR($BG$5),6,30)&gt;=$BG$5,DATE(YEAR($BG$5),6,1)&lt;=$BH$5),DATE(YEAR($BG$5),6,1),"Hors période")</f>
        <v>Hors période</v>
      </c>
      <c r="B79" s="31">
        <f t="shared" ref="B79:B90" si="4">IF(C79="",IFERROR(+VLOOKUP(A79,BDD,3,FALSE),0),C79)</f>
        <v>0</v>
      </c>
      <c r="C79" s="50"/>
    </row>
    <row r="80" spans="1:9" x14ac:dyDescent="0.2">
      <c r="A80" s="55" t="str">
        <f>+IF(AND(DATE(YEAR($BG$5),7,31)&gt;=$BG$5,DATE(YEAR($BG$5),7,1)&lt;=$BH$5),DATE(YEAR($BG$5),7,1),"Hors période")</f>
        <v>Hors période</v>
      </c>
      <c r="B80" s="31">
        <f t="shared" si="4"/>
        <v>0</v>
      </c>
      <c r="C80" s="50"/>
    </row>
    <row r="81" spans="1:20" x14ac:dyDescent="0.2">
      <c r="A81" s="55" t="str">
        <f>+IF(AND(DATE(YEAR($BG$5),8,31)&gt;=$BG$5,DATE(YEAR($BG$5),8,1)&lt;=$BH$5),DATE(YEAR($BG$5),8,1),"Hors période")</f>
        <v>Hors période</v>
      </c>
      <c r="B81" s="31">
        <f t="shared" si="4"/>
        <v>0</v>
      </c>
      <c r="C81" s="50"/>
    </row>
    <row r="82" spans="1:20" x14ac:dyDescent="0.2">
      <c r="A82" s="55" t="str">
        <f>+IF(AND(DATE(YEAR($BG$5),9,30)&gt;=$BG$5,DATE(YEAR($BG$5),9,1)&lt;=$BH$5),DATE(YEAR($BG$5),9,1),"Hors période")</f>
        <v>Hors période</v>
      </c>
      <c r="B82" s="31">
        <f t="shared" si="4"/>
        <v>0</v>
      </c>
      <c r="C82" s="50"/>
    </row>
    <row r="83" spans="1:20" x14ac:dyDescent="0.2">
      <c r="A83" s="55" t="str">
        <f>+IF(AND(DATE(YEAR($BG$5),10,31)&gt;=$BG$5,DATE(YEAR($BG$5),10,1)&lt;=$BH$5),DATE(YEAR($BG$5),10,1),"Hors période")</f>
        <v>Hors période</v>
      </c>
      <c r="B83" s="31">
        <f t="shared" si="4"/>
        <v>0</v>
      </c>
      <c r="C83" s="50"/>
    </row>
    <row r="84" spans="1:20" x14ac:dyDescent="0.2">
      <c r="A84" s="55" t="str">
        <f>+IF(AND(DATE(YEAR($BG$5),11,30)&gt;=$BG$5,DATE(YEAR($BG$5),11,1)&lt;=$BH$5),DATE(YEAR($BG$5),11,1),"Hors période")</f>
        <v>Hors période</v>
      </c>
      <c r="B84" s="31">
        <f t="shared" si="4"/>
        <v>0</v>
      </c>
      <c r="C84" s="50"/>
    </row>
    <row r="85" spans="1:20" x14ac:dyDescent="0.2">
      <c r="A85" s="55" t="str">
        <f>+IF(AND(DATE(YEAR($BG$5),12,31)&gt;=$BG$5,DATE(YEAR($BG$5),12,1)&lt;=$BH$5),DATE(YEAR($BG$5),12,1),"Hors période")</f>
        <v>Hors période</v>
      </c>
      <c r="B85" s="31">
        <f t="shared" si="4"/>
        <v>0</v>
      </c>
      <c r="C85" s="50"/>
      <c r="E85" s="59"/>
    </row>
    <row r="86" spans="1:20" x14ac:dyDescent="0.2">
      <c r="A86" s="55" t="str">
        <f>+IF(AND(DATE(YEAR($BG$5)+1,1,31)&gt;=$BG$5,DATE(YEAR($BG$5)+1,1,1)&lt;=$BH$5),DATE(YEAR($BG$5)+1,1,1),IF(AND(DATE(YEAR($BG$5),1,31)&gt;=$BG$5,DATE(YEAR($BG$5),1,1)&lt;=$BH$5),DATE(YEAR($BG$5),1,1),"Hors période"))</f>
        <v>Hors période</v>
      </c>
      <c r="B86" s="31">
        <f t="shared" si="4"/>
        <v>0</v>
      </c>
      <c r="C86" s="50"/>
      <c r="E86" s="59"/>
    </row>
    <row r="87" spans="1:20" x14ac:dyDescent="0.2">
      <c r="A87" s="55" t="str">
        <f>+IF(AND(DATE(YEAR($BG$5)+1,2,29)&gt;=$BG$5,DATE(YEAR($BG$5)+1,2,1)&lt;=$BH$5),DATE(YEAR($BG$5)+1,2,1),IF(AND(DATE(YEAR($BG$5),2,29)&gt;=$BG$5,DATE(YEAR($BG$5),2,1)&lt;=$BH$5),DATE(YEAR($BG$5),2,1),"Hors période"))</f>
        <v>Hors période</v>
      </c>
      <c r="B87" s="31">
        <f t="shared" si="4"/>
        <v>0</v>
      </c>
      <c r="C87" s="50"/>
      <c r="E87" s="59"/>
    </row>
    <row r="88" spans="1:20" x14ac:dyDescent="0.2">
      <c r="A88" s="55" t="str">
        <f>+IF(AND(DATE(YEAR($BG$5)+1,3,31)&gt;=$BG$5,DATE(YEAR($BG$5)+1,3,1)&lt;=$BH$5),DATE(YEAR($BG$5)+1,3,1),IF(AND(DATE(YEAR($BG$5),3,31)&gt;=$BG$5,DATE(YEAR($BG$5),3,1)&lt;=$BH$5),DATE(YEAR($BG$5),3,1),"Hors période"))</f>
        <v>Hors période</v>
      </c>
      <c r="B88" s="31">
        <f t="shared" si="4"/>
        <v>0</v>
      </c>
      <c r="C88" s="50"/>
      <c r="E88" s="59"/>
    </row>
    <row r="89" spans="1:20" x14ac:dyDescent="0.2">
      <c r="A89" s="55" t="str">
        <f>+IF(AND(DATE(YEAR($BG$5)+1,4,30)&gt;=$BG$5,DATE(YEAR($BG$5)+1,4,1)&lt;=$BH$5),DATE(YEAR($BG$5)+1,4,1),IF(AND(DATE(YEAR($BG$5),4,30)&gt;=$BG$5,DATE(YEAR($BG$5),4,1)&lt;=$BH$5),DATE(YEAR($BG$5),4,1),"Hors période"))</f>
        <v>Hors période</v>
      </c>
      <c r="B89" s="31">
        <f t="shared" si="4"/>
        <v>0</v>
      </c>
      <c r="C89" s="50"/>
      <c r="E89" s="59"/>
    </row>
    <row r="90" spans="1:20" x14ac:dyDescent="0.2">
      <c r="A90" s="55" t="str">
        <f>+IF(AND(DATE(YEAR($BG$5)+1,5,31)&gt;=$BG$5,DATE(YEAR($BG$5)+1,5,1)&lt;=$BH$5),DATE(YEAR($BG$5)+1,5,1),IF(AND(DATE(YEAR($BG$5),5,31)&gt;=$BG$5,DATE(YEAR($BG$5),5,1)&lt;=$BH$5),DATE(YEAR($BG$5),5,1),"Hors période"))</f>
        <v>Hors période</v>
      </c>
      <c r="B90" s="31">
        <f t="shared" si="4"/>
        <v>0</v>
      </c>
      <c r="C90" s="50"/>
      <c r="E90" s="59"/>
    </row>
    <row r="91" spans="1:20" x14ac:dyDescent="0.2">
      <c r="H91" s="29"/>
    </row>
    <row r="92" spans="1:20" x14ac:dyDescent="0.2">
      <c r="C92" s="91" t="s">
        <v>615</v>
      </c>
      <c r="D92" s="416">
        <f>ROUND(SUM(B79:B90),2)</f>
        <v>0</v>
      </c>
      <c r="H92" s="29"/>
      <c r="S92" s="16"/>
      <c r="T92" s="16"/>
    </row>
    <row r="93" spans="1:20" x14ac:dyDescent="0.2">
      <c r="H93" s="29"/>
      <c r="S93" s="16"/>
      <c r="T93" s="16"/>
    </row>
    <row r="94" spans="1:20" x14ac:dyDescent="0.2">
      <c r="B94" s="70"/>
      <c r="C94" s="71" t="s">
        <v>616</v>
      </c>
      <c r="D94" s="416" t="e">
        <f>+G72</f>
        <v>#N/A</v>
      </c>
      <c r="S94" s="16"/>
      <c r="T94" s="16"/>
    </row>
    <row r="95" spans="1:20" ht="13.5" thickBot="1" x14ac:dyDescent="0.25">
      <c r="S95" s="16"/>
      <c r="T95" s="16"/>
    </row>
    <row r="96" spans="1:20" ht="13.5" thickBot="1" x14ac:dyDescent="0.25">
      <c r="B96" s="72"/>
      <c r="C96" s="73" t="s">
        <v>617</v>
      </c>
      <c r="D96" s="417" t="e">
        <f>ROUND(+D94-D92,2)</f>
        <v>#N/A</v>
      </c>
      <c r="S96" s="16"/>
      <c r="T96" s="16"/>
    </row>
    <row r="97" spans="1:20" x14ac:dyDescent="0.2">
      <c r="C97" s="29"/>
      <c r="D97" s="74"/>
      <c r="S97" s="16"/>
      <c r="T97" s="16"/>
    </row>
    <row r="98" spans="1:20" x14ac:dyDescent="0.2">
      <c r="C98" s="29"/>
      <c r="D98" s="74"/>
      <c r="S98" s="16"/>
      <c r="T98" s="16"/>
    </row>
    <row r="99" spans="1:20" ht="14.25" customHeight="1" x14ac:dyDescent="0.2">
      <c r="S99" s="16"/>
      <c r="T99" s="16"/>
    </row>
    <row r="100" spans="1:20" ht="14.25" customHeight="1" x14ac:dyDescent="0.2">
      <c r="A100" s="16" t="s">
        <v>594</v>
      </c>
      <c r="B100" s="2380" t="str">
        <f>+"Du "&amp;TEXT(BG6,"jj/mm/aaaa")&amp;" au "&amp;TEXT(BH6,"jj/mm/aaaa")</f>
        <v>Du 01/06/3798 au 31/05/3799</v>
      </c>
      <c r="C100" s="2380"/>
      <c r="D100" s="2380"/>
      <c r="S100" s="16"/>
      <c r="T100" s="16"/>
    </row>
    <row r="101" spans="1:20" x14ac:dyDescent="0.2">
      <c r="A101" s="16" t="s">
        <v>25</v>
      </c>
      <c r="B101" s="2381">
        <f>+Identification!B25</f>
        <v>0</v>
      </c>
      <c r="C101" s="2381"/>
      <c r="D101" s="2381"/>
      <c r="S101" s="16"/>
      <c r="T101" s="16"/>
    </row>
    <row r="102" spans="1:20" ht="17.25" customHeight="1" x14ac:dyDescent="0.2">
      <c r="S102" s="16"/>
      <c r="T102" s="16"/>
    </row>
    <row r="103" spans="1:20" ht="42" customHeight="1" x14ac:dyDescent="0.2">
      <c r="E103" s="29" t="str">
        <f>+"Montant l'indemnité de CP au "&amp;TEXT(BH6,"jj/mm/aaaa")&amp;" :"</f>
        <v>Montant l'indemnité de CP au 31/05/3799 :</v>
      </c>
      <c r="F103" s="418">
        <f ca="1">IF(F104="",IF(BH6&lt;DATE(YEAR(Identification!B61),5,31),Report!D41,+'CP Année Incomplète au 31-05'!G70),F104)</f>
        <v>0</v>
      </c>
      <c r="G103" s="29"/>
      <c r="S103" s="16"/>
      <c r="T103" s="16"/>
    </row>
    <row r="104" spans="1:20" ht="12.75" customHeight="1" x14ac:dyDescent="0.2">
      <c r="E104" s="29" t="s">
        <v>492</v>
      </c>
      <c r="F104" s="1108"/>
      <c r="G104" s="29"/>
      <c r="S104" s="16"/>
      <c r="T104" s="16"/>
    </row>
    <row r="105" spans="1:20" ht="12.75" customHeight="1" x14ac:dyDescent="0.2">
      <c r="E105" s="29"/>
      <c r="F105" s="29"/>
      <c r="G105" s="29"/>
      <c r="S105" s="16"/>
      <c r="T105" s="16"/>
    </row>
    <row r="106" spans="1:20" x14ac:dyDescent="0.2">
      <c r="E106" s="29"/>
      <c r="F106" s="75"/>
      <c r="S106" s="16"/>
      <c r="T106" s="16"/>
    </row>
    <row r="107" spans="1:20" x14ac:dyDescent="0.2">
      <c r="S107" s="16"/>
      <c r="T107" s="16"/>
    </row>
    <row r="108" spans="1:20" ht="38.25" x14ac:dyDescent="0.2">
      <c r="B108" s="151" t="s">
        <v>670</v>
      </c>
      <c r="C108" s="54" t="s">
        <v>671</v>
      </c>
      <c r="S108" s="16"/>
      <c r="T108" s="16"/>
    </row>
    <row r="109" spans="1:20" hidden="1" x14ac:dyDescent="0.2">
      <c r="A109" s="76" t="s">
        <v>677</v>
      </c>
      <c r="B109" s="2458">
        <f>IF(C109="",IF(BH6&lt;DATE(YEAR(Identification!B61),5,31),Report!D42,+'CP Année Incomplète au 31-05'!D90),C109)</f>
        <v>0</v>
      </c>
      <c r="C109" s="2460"/>
      <c r="S109" s="16"/>
      <c r="T109" s="16"/>
    </row>
    <row r="110" spans="1:20" hidden="1" x14ac:dyDescent="0.2">
      <c r="A110" s="77">
        <f>+BH6</f>
        <v>693748</v>
      </c>
      <c r="B110" s="2459"/>
      <c r="C110" s="2461"/>
      <c r="S110" s="16"/>
      <c r="T110" s="16"/>
    </row>
    <row r="111" spans="1:20" x14ac:dyDescent="0.2">
      <c r="A111" s="1031" t="str">
        <f>+IF(AND(DATE(YEAR($BG$5),6,30)&gt;=$BG$5,DATE(YEAR($BG$5),6,1)&lt;=$BH$5),DATE(YEAR($BG$5),6,1),"Hors période")</f>
        <v>Hors période</v>
      </c>
      <c r="B111" s="31">
        <f t="shared" ref="B111:B122" si="5">IF(C111="",IFERROR(+VLOOKUP(A111,BDD,4,FALSE),0),C111)</f>
        <v>0</v>
      </c>
      <c r="C111" s="1108"/>
      <c r="S111" s="16"/>
      <c r="T111" s="16"/>
    </row>
    <row r="112" spans="1:20" x14ac:dyDescent="0.2">
      <c r="A112" s="55" t="str">
        <f>+IF(AND(DATE(YEAR($BG$5),7,31)&gt;=$BG$5,DATE(YEAR($BG$5),7,1)&lt;=$BH$5),DATE(YEAR($BG$5),7,1),"Hors période")</f>
        <v>Hors période</v>
      </c>
      <c r="B112" s="31">
        <f t="shared" si="5"/>
        <v>0</v>
      </c>
      <c r="C112" s="1108"/>
      <c r="S112" s="16"/>
      <c r="T112" s="16"/>
    </row>
    <row r="113" spans="1:20" x14ac:dyDescent="0.2">
      <c r="A113" s="55" t="str">
        <f>+IF(AND(DATE(YEAR($BG$5),8,31)&gt;=$BG$5,DATE(YEAR($BG$5),8,1)&lt;=$BH$5),DATE(YEAR($BG$5),8,1),"Hors période")</f>
        <v>Hors période</v>
      </c>
      <c r="B113" s="31">
        <f t="shared" si="5"/>
        <v>0</v>
      </c>
      <c r="C113" s="1108"/>
      <c r="S113" s="16"/>
      <c r="T113" s="16"/>
    </row>
    <row r="114" spans="1:20" x14ac:dyDescent="0.2">
      <c r="A114" s="55" t="str">
        <f>+IF(AND(DATE(YEAR($BG$5),9,30)&gt;=$BG$5,DATE(YEAR($BG$5),9,1)&lt;=$BH$5),DATE(YEAR($BG$5),9,1),"Hors période")</f>
        <v>Hors période</v>
      </c>
      <c r="B114" s="31">
        <f t="shared" si="5"/>
        <v>0</v>
      </c>
      <c r="C114" s="1108"/>
      <c r="S114" s="16"/>
      <c r="T114" s="16"/>
    </row>
    <row r="115" spans="1:20" x14ac:dyDescent="0.2">
      <c r="A115" s="55" t="str">
        <f>+IF(AND(DATE(YEAR($BG$5),10,31)&gt;=$BG$5,DATE(YEAR($BG$5),10,1)&lt;=$BH$5),DATE(YEAR($BG$5),10,1),"Hors période")</f>
        <v>Hors période</v>
      </c>
      <c r="B115" s="31">
        <f t="shared" si="5"/>
        <v>0</v>
      </c>
      <c r="C115" s="1108"/>
      <c r="S115" s="16"/>
      <c r="T115" s="16"/>
    </row>
    <row r="116" spans="1:20" x14ac:dyDescent="0.2">
      <c r="A116" s="55" t="str">
        <f>+IF(AND(DATE(YEAR($BG$5),11,30)&gt;=$BG$5,DATE(YEAR($BG$5),11,1)&lt;=$BH$5),DATE(YEAR($BG$5),11,1),"Hors période")</f>
        <v>Hors période</v>
      </c>
      <c r="B116" s="31">
        <f t="shared" si="5"/>
        <v>0</v>
      </c>
      <c r="C116" s="1108"/>
      <c r="S116" s="16"/>
      <c r="T116" s="16"/>
    </row>
    <row r="117" spans="1:20" x14ac:dyDescent="0.2">
      <c r="A117" s="55" t="str">
        <f>+IF(AND(DATE(YEAR($BG$5),12,31)&gt;=$BG$5,DATE(YEAR($BG$5),12,1)&lt;=$BH$5),DATE(YEAR($BG$5),12,1),"Hors période")</f>
        <v>Hors période</v>
      </c>
      <c r="B117" s="31">
        <f t="shared" si="5"/>
        <v>0</v>
      </c>
      <c r="C117" s="1108"/>
      <c r="S117" s="16"/>
      <c r="T117" s="16"/>
    </row>
    <row r="118" spans="1:20" x14ac:dyDescent="0.2">
      <c r="A118" s="55" t="str">
        <f>+IF(AND(DATE(YEAR($BG$5)+1,1,31)&gt;=$BG$5,DATE(YEAR($BG$5)+1,1,1)&lt;=$BH$5),DATE(YEAR($BG$5)+1,1,1),"Hors période")</f>
        <v>Hors période</v>
      </c>
      <c r="B118" s="31">
        <f t="shared" si="5"/>
        <v>0</v>
      </c>
      <c r="C118" s="1108"/>
      <c r="S118" s="16"/>
      <c r="T118" s="16"/>
    </row>
    <row r="119" spans="1:20" x14ac:dyDescent="0.2">
      <c r="A119" s="55" t="str">
        <f>+IF(AND(DATE(YEAR($BG$5)+1,2,29)&gt;=$BG$5,DATE(YEAR($BG$5)+1,2,1)&lt;=$BH$5),DATE(YEAR($BG$5)+1,2,1),"Hors période")</f>
        <v>Hors période</v>
      </c>
      <c r="B119" s="31">
        <f t="shared" si="5"/>
        <v>0</v>
      </c>
      <c r="C119" s="1108"/>
      <c r="S119" s="16"/>
      <c r="T119" s="16"/>
    </row>
    <row r="120" spans="1:20" x14ac:dyDescent="0.2">
      <c r="A120" s="55" t="str">
        <f>+IF(AND(DATE(YEAR($BG$5)+1,3,31)&gt;=$BG$5,DATE(YEAR($BG$5)+1,3,1)&lt;=$BH$5),DATE(YEAR($BG$5)+1,3,1),"Hors période")</f>
        <v>Hors période</v>
      </c>
      <c r="B120" s="31">
        <f t="shared" si="5"/>
        <v>0</v>
      </c>
      <c r="C120" s="1108"/>
    </row>
    <row r="121" spans="1:20" x14ac:dyDescent="0.2">
      <c r="A121" s="55" t="str">
        <f>+IF(AND(DATE(YEAR($BG$5)+1,4,30)&gt;=$BG$5,DATE(YEAR($BG$5)+1,4,1)&lt;=$BH$5),DATE(YEAR($BG$5)+1,4,1),"Hors période")</f>
        <v>Hors période</v>
      </c>
      <c r="B121" s="31">
        <f t="shared" si="5"/>
        <v>0</v>
      </c>
      <c r="C121" s="1108"/>
    </row>
    <row r="122" spans="1:20" x14ac:dyDescent="0.2">
      <c r="A122" s="55" t="str">
        <f>+IF(AND(DATE(YEAR($BG$5)+1,5,31)&gt;=$BG$5,DATE(YEAR($BG$5)+1,5,1)&lt;=$BH$5),DATE(YEAR($BG$5)+1,5,1),"Hors période")</f>
        <v>Hors période</v>
      </c>
      <c r="B122" s="31">
        <f t="shared" si="5"/>
        <v>0</v>
      </c>
      <c r="C122" s="1108"/>
    </row>
    <row r="123" spans="1:20" x14ac:dyDescent="0.2">
      <c r="A123" s="91" t="s">
        <v>441</v>
      </c>
      <c r="B123" s="78">
        <f>SUM(B109:B122)</f>
        <v>0</v>
      </c>
    </row>
    <row r="126" spans="1:20" x14ac:dyDescent="0.2">
      <c r="E126" s="29" t="s">
        <v>672</v>
      </c>
      <c r="F126" s="418">
        <f ca="1">F103-B123</f>
        <v>0</v>
      </c>
    </row>
  </sheetData>
  <sheetProtection algorithmName="SHA-512" hashValue="BTaHpc67Q1UX8j5t34G2c/u6sqExaysiwvWaxO0gg0w/S4AzFiJsWmx4KyCrkLHH6Zw9AJ4P04+GaFu8sav05g==" saltValue="aGDH3m8mDp67bVhIwb+XgQ==" spinCount="100000" sheet="1" objects="1" scenarios="1" formatCells="0" formatColumns="0" formatRows="0" insertColumns="0" insertRows="0" insertHyperlinks="0" sort="0" autoFilter="0" pivotTables="0"/>
  <mergeCells count="16">
    <mergeCell ref="B109:B110"/>
    <mergeCell ref="C109:C110"/>
    <mergeCell ref="B4:D4"/>
    <mergeCell ref="B5:D5"/>
    <mergeCell ref="H12:I12"/>
    <mergeCell ref="H13:I13"/>
    <mergeCell ref="B100:D100"/>
    <mergeCell ref="B101:D101"/>
    <mergeCell ref="C2:I2"/>
    <mergeCell ref="A70:C70"/>
    <mergeCell ref="A64:C64"/>
    <mergeCell ref="H16:I16"/>
    <mergeCell ref="H17:I17"/>
    <mergeCell ref="A15:C16"/>
    <mergeCell ref="A18:C19"/>
    <mergeCell ref="A66:E66"/>
  </mergeCells>
  <conditionalFormatting sqref="A15">
    <cfRule type="expression" dxfId="3882" priority="8">
      <formula>$T$15="OUI"</formula>
    </cfRule>
  </conditionalFormatting>
  <conditionalFormatting sqref="A64 D64">
    <cfRule type="expression" dxfId="3881" priority="7">
      <formula>$T$15="OUI"</formula>
    </cfRule>
  </conditionalFormatting>
  <conditionalFormatting sqref="A76:D96">
    <cfRule type="expression" dxfId="3880" priority="18">
      <formula>$K$13=0</formula>
    </cfRule>
  </conditionalFormatting>
  <conditionalFormatting sqref="A2:R867">
    <cfRule type="expression" dxfId="3879" priority="5">
      <formula>$BC$6="OUI"</formula>
    </cfRule>
  </conditionalFormatting>
  <conditionalFormatting sqref="C50:C61">
    <cfRule type="expression" dxfId="3878" priority="34">
      <formula>T2="JAUNE"</formula>
    </cfRule>
  </conditionalFormatting>
  <conditionalFormatting sqref="C109">
    <cfRule type="expression" dxfId="3877" priority="21">
      <formula>T63="JAUNE"</formula>
    </cfRule>
  </conditionalFormatting>
  <conditionalFormatting sqref="C111:C122">
    <cfRule type="expression" dxfId="3876" priority="22">
      <formula>T66="JAUNE"</formula>
    </cfRule>
  </conditionalFormatting>
  <conditionalFormatting sqref="D15:E16">
    <cfRule type="expression" dxfId="3875" priority="11">
      <formula>$T$15="OUI"</formula>
    </cfRule>
  </conditionalFormatting>
  <conditionalFormatting sqref="E7 E9 E11 F25 F30 C50:C61 F50:F61 F67">
    <cfRule type="notContainsBlanks" dxfId="3874" priority="50">
      <formula>LEN(TRIM(C7))&gt;0</formula>
    </cfRule>
  </conditionalFormatting>
  <conditionalFormatting sqref="E15">
    <cfRule type="notContainsBlanks" dxfId="3873" priority="12">
      <formula>LEN(TRIM(E15))&gt;0</formula>
    </cfRule>
  </conditionalFormatting>
  <conditionalFormatting sqref="E18">
    <cfRule type="expression" dxfId="3872" priority="9">
      <formula>$T$15="OUI"</formula>
    </cfRule>
    <cfRule type="notContainsBlanks" dxfId="3871" priority="10">
      <formula>LEN(TRIM(E18))&gt;0</formula>
    </cfRule>
  </conditionalFormatting>
  <conditionalFormatting sqref="E27:F27 E28">
    <cfRule type="expression" dxfId="3870" priority="4">
      <formula>$T$15="OUI"</formula>
    </cfRule>
  </conditionalFormatting>
  <conditionalFormatting sqref="F28">
    <cfRule type="expression" dxfId="3869" priority="1">
      <formula>$BC$6="OUI"</formula>
    </cfRule>
    <cfRule type="notContainsBlanks" dxfId="3868" priority="2">
      <formula>LEN(TRIM(F28))&gt;0</formula>
    </cfRule>
  </conditionalFormatting>
  <conditionalFormatting sqref="H49:H50 H52:H54">
    <cfRule type="expression" dxfId="3867" priority="14">
      <formula>$T$15="OUI"</formula>
    </cfRule>
  </conditionalFormatting>
  <conditionalFormatting sqref="H56 H58:H62">
    <cfRule type="expression" dxfId="3866" priority="6">
      <formula>$T$15="OUI"</formula>
    </cfRule>
  </conditionalFormatting>
  <conditionalFormatting sqref="H94:H124 A99:G99 A100:B101 E100:G101 A102:G109 A110 D110:G110 A111:G129">
    <cfRule type="expression" dxfId="3865" priority="15">
      <formula>$BC$7=1</formula>
    </cfRule>
  </conditionalFormatting>
  <conditionalFormatting sqref="H13:I13">
    <cfRule type="expression" dxfId="3864" priority="19">
      <formula>$K$13=0</formula>
    </cfRule>
  </conditionalFormatting>
  <conditionalFormatting sqref="I6">
    <cfRule type="expression" dxfId="3863" priority="48">
      <formula>$S$1="ROUGE"</formula>
    </cfRule>
  </conditionalFormatting>
  <conditionalFormatting sqref="K13">
    <cfRule type="cellIs" dxfId="3862" priority="20" operator="equal">
      <formula>0</formula>
    </cfRule>
  </conditionalFormatting>
  <pageMargins left="0.25" right="0.25" top="0.75" bottom="0.75" header="0.3" footer="0.3"/>
  <pageSetup paperSize="9" scale="53" orientation="landscape" horizontalDpi="1200" verticalDpi="1200" r:id="rId1"/>
  <rowBreaks count="1" manualBreakCount="1">
    <brk id="6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815" id="{9CE2665A-86FE-428B-9E3E-C7D534CDC198}">
            <xm:f>AND(BH6&lt;DATE(YEAR(Identification!B61),5,31),F103=0)</xm:f>
            <x14:dxf>
              <fill>
                <patternFill>
                  <bgColor rgb="FFFFFF00"/>
                </patternFill>
              </fill>
            </x14:dxf>
          </x14:cfRule>
          <xm:sqref>F104</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66FF66"/>
  </sheetPr>
  <dimension ref="A1:BZ165"/>
  <sheetViews>
    <sheetView showGridLines="0" zoomScale="90" zoomScaleNormal="90" workbookViewId="0">
      <selection activeCell="C3" sqref="C3"/>
    </sheetView>
  </sheetViews>
  <sheetFormatPr baseColWidth="10" defaultColWidth="11.42578125" defaultRowHeight="12.75" x14ac:dyDescent="0.2"/>
  <cols>
    <col min="1" max="1" width="28.28515625" style="16" customWidth="1"/>
    <col min="2" max="2" width="13" style="16" customWidth="1"/>
    <col min="3" max="4" width="11.42578125" style="16"/>
    <col min="5" max="5" width="12.5703125" style="16" customWidth="1"/>
    <col min="6" max="8" width="11.42578125" style="16"/>
    <col min="9" max="9" width="14.42578125" style="16" customWidth="1"/>
    <col min="10" max="10" width="11.42578125" style="16"/>
    <col min="11" max="11" width="17.5703125" style="16" customWidth="1"/>
    <col min="12" max="17" width="11.42578125" style="16"/>
    <col min="18" max="20" width="11.42578125" style="16" customWidth="1"/>
    <col min="21" max="21" width="11.42578125" style="16" hidden="1" customWidth="1"/>
    <col min="22" max="27" width="11.42578125" style="377" hidden="1" customWidth="1"/>
    <col min="28" max="29" width="14.5703125" style="377" hidden="1" customWidth="1"/>
    <col min="30" max="30" width="15" style="377" hidden="1" customWidth="1"/>
    <col min="31" max="31" width="12.85546875" style="377" hidden="1" customWidth="1"/>
    <col min="32" max="57" width="11.42578125" style="377" hidden="1" customWidth="1"/>
    <col min="58" max="78" width="11.42578125" style="16" hidden="1" customWidth="1"/>
    <col min="79" max="81" width="11.42578125" style="16" customWidth="1"/>
    <col min="82" max="16384" width="11.42578125" style="16"/>
  </cols>
  <sheetData>
    <row r="1" spans="1:64" ht="23.25" x14ac:dyDescent="0.35">
      <c r="A1"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V1" s="377" t="s">
        <v>653</v>
      </c>
      <c r="AJ1" s="377" t="s">
        <v>353</v>
      </c>
      <c r="AK1" s="47" t="e">
        <f>+"[Salaire hebdomadaire moyen ("&amp;ROUND(D15,2)&amp;" €) / 6 jours] x [ nombre de jours ouvrables de CP ("&amp;F39&amp;" jour(s)) + nombre de jours de fractionnement ("&amp;D31&amp;"  jour(s))]"</f>
        <v>#N/A</v>
      </c>
    </row>
    <row r="2" spans="1:64" x14ac:dyDescent="0.2">
      <c r="C2" s="2379" t="str">
        <f>+'Mode d''utilisation'!E2</f>
        <v>Syndicat National FO des Emplois de la Famille         www.emploisdelafamille-fo.fr</v>
      </c>
      <c r="D2" s="2379"/>
      <c r="E2" s="2379"/>
      <c r="F2" s="2379"/>
      <c r="G2" s="2379"/>
      <c r="H2" s="2379"/>
      <c r="I2" s="2379"/>
      <c r="K2" s="25" t="s">
        <v>655</v>
      </c>
      <c r="L2" s="25"/>
      <c r="M2" s="25"/>
      <c r="V2" s="377">
        <v>1</v>
      </c>
      <c r="W2" s="377" t="str">
        <f t="shared" ref="W2:W13" si="0">+IF(AND(A58&lt;&gt;"Hors période",B58=0),"JAUNE","NON")</f>
        <v>NON</v>
      </c>
      <c r="AK2" s="47" t="e">
        <f>+"soit un maintien de salaire de "&amp;ROUND(D51,2)&amp;" euros"</f>
        <v>#N/A</v>
      </c>
      <c r="BD2" s="29" t="s">
        <v>1314</v>
      </c>
      <c r="BE2" s="30">
        <f>+DATE(YEAR(Identification!B61)-1,4,30)</f>
        <v>45777</v>
      </c>
      <c r="BF2" s="16">
        <f>+DATEDIF(Identification!B49,BE2,"Y")</f>
        <v>125</v>
      </c>
    </row>
    <row r="3" spans="1:64" x14ac:dyDescent="0.2">
      <c r="C3" s="26"/>
      <c r="D3" s="27"/>
      <c r="E3" s="27"/>
      <c r="F3" s="27"/>
      <c r="G3" s="27"/>
      <c r="H3" s="27"/>
      <c r="V3" s="377">
        <v>2</v>
      </c>
      <c r="W3" s="377" t="str">
        <f t="shared" si="0"/>
        <v>NON</v>
      </c>
      <c r="BD3" s="29" t="s">
        <v>1315</v>
      </c>
      <c r="BE3" s="16" t="str">
        <f>+IF(BF2&lt;21,"OUI","NON")</f>
        <v>NON</v>
      </c>
      <c r="BK3" s="30">
        <f>+DATE(YEAR(BK5),6,1)</f>
        <v>153</v>
      </c>
    </row>
    <row r="4" spans="1:64" x14ac:dyDescent="0.2">
      <c r="A4" s="16" t="s">
        <v>594</v>
      </c>
      <c r="B4" s="2380" t="str">
        <f>"Du "&amp;TEXT(BJ5,"jj/mm/aaaa")&amp;" au "&amp;TEXT(BK5,"jj/mm/aaaa")</f>
        <v>Du 01/06/3799 au 00/01/1900</v>
      </c>
      <c r="C4" s="2380"/>
      <c r="D4" s="2380"/>
      <c r="H4" s="29" t="s">
        <v>8</v>
      </c>
      <c r="I4" s="30">
        <f>+Identification!B28</f>
        <v>0</v>
      </c>
      <c r="V4" s="377">
        <v>3</v>
      </c>
      <c r="W4" s="377" t="str">
        <f t="shared" si="0"/>
        <v>NON</v>
      </c>
      <c r="Y4" s="400" t="s">
        <v>351</v>
      </c>
      <c r="Z4" s="16"/>
      <c r="AA4" s="16"/>
      <c r="AB4" s="29"/>
      <c r="AC4" s="149"/>
      <c r="BI4" s="16" t="s">
        <v>595</v>
      </c>
      <c r="BJ4" s="27" t="s">
        <v>597</v>
      </c>
      <c r="BK4" s="27" t="s">
        <v>596</v>
      </c>
      <c r="BL4" s="27"/>
    </row>
    <row r="5" spans="1:64" x14ac:dyDescent="0.2">
      <c r="A5" s="16" t="s">
        <v>25</v>
      </c>
      <c r="B5" s="2381">
        <f>+Identification!B25</f>
        <v>0</v>
      </c>
      <c r="C5" s="2381"/>
      <c r="D5" s="2381"/>
      <c r="V5" s="377">
        <v>4</v>
      </c>
      <c r="W5" s="377" t="str">
        <f t="shared" si="0"/>
        <v>NON</v>
      </c>
      <c r="Y5" s="16" t="s">
        <v>714</v>
      </c>
      <c r="AB5" s="29"/>
      <c r="AC5" s="399"/>
      <c r="BD5" s="29" t="s">
        <v>1410</v>
      </c>
      <c r="BE5" s="16" t="e">
        <f>+IF(AND(BF9="OUI",AND(BF10&lt;&gt;52,BF10&gt;0)),"OUI","NON")</f>
        <v>#N/A</v>
      </c>
      <c r="BI5" s="16">
        <v>1</v>
      </c>
      <c r="BJ5" s="30">
        <f>+IF(AND(BK5&lt;BK3,I4&lt;=DATE(YEAR(BK3)-1,6,1)),DATE(YEAR(BK3)-1,6,1),IF(AND(BK5&lt;BK3,I4&gt;=DATE(YEAR(BK3)-1,6,1)),I4,IF(I4&gt;BK3,I4,BK3)))</f>
        <v>693749</v>
      </c>
      <c r="BK5" s="30">
        <f>+I6</f>
        <v>0</v>
      </c>
    </row>
    <row r="6" spans="1:64" x14ac:dyDescent="0.2">
      <c r="E6" s="27" t="s">
        <v>602</v>
      </c>
      <c r="H6" s="29" t="s">
        <v>592</v>
      </c>
      <c r="I6" s="30">
        <f>+Identification!B95</f>
        <v>0</v>
      </c>
      <c r="V6" s="377">
        <v>5</v>
      </c>
      <c r="W6" s="377" t="str">
        <f t="shared" si="0"/>
        <v>NON</v>
      </c>
      <c r="AJ6" s="377" t="s">
        <v>443</v>
      </c>
      <c r="AK6" s="16" t="s">
        <v>737</v>
      </c>
      <c r="BD6" s="1002" t="s">
        <v>1388</v>
      </c>
      <c r="BE6" s="1002">
        <f>+IF(AND(BJ6="",BK6=""),1,0)</f>
        <v>0</v>
      </c>
      <c r="BI6" s="16">
        <v>2</v>
      </c>
      <c r="BJ6" s="30">
        <f>+IF(AND(I4&gt;=DATE(YEAR(BJ5)-1,6,1),BK6&lt;&gt;""),I4,IF(BK6="","",DATE(YEAR(BJ5)-1,6,1)))</f>
        <v>693384</v>
      </c>
      <c r="BK6" s="30">
        <f>+IF(AND(I4&lt;DATE(YEAR(BJ5),5,31),BJ5&lt;&gt;I4),DATE(YEAR(BJ5),5,31),"")</f>
        <v>693748</v>
      </c>
      <c r="BL6" s="30">
        <f>+DATE(YEAR(BK6),MONTH(BK6),1)</f>
        <v>693718</v>
      </c>
    </row>
    <row r="7" spans="1:64" x14ac:dyDescent="0.2">
      <c r="C7" s="29" t="s">
        <v>568</v>
      </c>
      <c r="D7" s="31">
        <f>IFERROR(IF(E7="",+VLOOKUP(BK8,BDD,21,FALSE),E7),0)</f>
        <v>0</v>
      </c>
      <c r="E7" s="1108"/>
      <c r="V7" s="377">
        <v>6</v>
      </c>
      <c r="W7" s="377" t="str">
        <f t="shared" si="0"/>
        <v>NON</v>
      </c>
    </row>
    <row r="8" spans="1:64" x14ac:dyDescent="0.2">
      <c r="C8" s="29"/>
      <c r="H8" s="29"/>
      <c r="I8" s="30"/>
      <c r="V8" s="377">
        <v>7</v>
      </c>
      <c r="W8" s="377" t="str">
        <f t="shared" si="0"/>
        <v>NON</v>
      </c>
      <c r="Y8" s="16"/>
      <c r="Z8" s="29"/>
      <c r="AA8" s="2464" t="s">
        <v>784</v>
      </c>
      <c r="AB8" s="2464" t="s">
        <v>326</v>
      </c>
      <c r="AC8" s="2464" t="s">
        <v>724</v>
      </c>
      <c r="AD8" s="2466" t="s">
        <v>328</v>
      </c>
      <c r="AE8" s="2464" t="s">
        <v>348</v>
      </c>
      <c r="AF8" s="2462" t="s">
        <v>349</v>
      </c>
      <c r="BJ8" s="29" t="s">
        <v>601</v>
      </c>
      <c r="BK8" s="30">
        <f>DATE(YEAR(I6),MONTH(I6),1)</f>
        <v>1</v>
      </c>
    </row>
    <row r="9" spans="1:64" ht="13.5" thickBot="1" x14ac:dyDescent="0.25">
      <c r="C9" s="29" t="s">
        <v>569</v>
      </c>
      <c r="D9" s="31">
        <f>IFERROR(IF(E9="",+VLOOKUP(BK8,BDD,22,FALSE),E9),0)</f>
        <v>0</v>
      </c>
      <c r="E9" s="969"/>
      <c r="V9" s="377">
        <v>8</v>
      </c>
      <c r="W9" s="377" t="str">
        <f t="shared" si="0"/>
        <v>NON</v>
      </c>
      <c r="Y9" s="16"/>
      <c r="Z9" s="16"/>
      <c r="AA9" s="2465"/>
      <c r="AB9" s="2465"/>
      <c r="AC9" s="2464"/>
      <c r="AD9" s="2467"/>
      <c r="AE9" s="2465"/>
      <c r="AF9" s="2463"/>
      <c r="BE9" s="29" t="s">
        <v>1615</v>
      </c>
      <c r="BF9" s="16" t="e">
        <f>+VLOOKUP(DATE(YEAR(I6),MONTH(I6),1),BDD,87,FALSE)</f>
        <v>#N/A</v>
      </c>
      <c r="BL9" s="16" t="e">
        <f>+VLOOKUP(DATE(YEAR(I6),MONTH(I6),1),BDD,94,FALSE)</f>
        <v>#N/A</v>
      </c>
    </row>
    <row r="10" spans="1:64" ht="13.5" thickTop="1" x14ac:dyDescent="0.2">
      <c r="C10" s="29"/>
      <c r="H10" s="1218" t="s">
        <v>604</v>
      </c>
      <c r="I10" s="1219"/>
      <c r="J10" s="1219"/>
      <c r="K10" s="1219"/>
      <c r="L10" s="1219"/>
      <c r="M10" s="1220"/>
      <c r="V10" s="377">
        <v>9</v>
      </c>
      <c r="W10" s="377" t="str">
        <f t="shared" si="0"/>
        <v>NON</v>
      </c>
      <c r="Y10" s="183"/>
      <c r="Z10" s="156" t="s">
        <v>312</v>
      </c>
      <c r="AA10" s="349" t="e">
        <f>+C46*AB10/6</f>
        <v>#N/A</v>
      </c>
      <c r="AB10" s="158" t="e">
        <f>+IF(AC10="",VLOOKUP($BK$8,BDD,30,FALSE),AC10)</f>
        <v>#N/A</v>
      </c>
      <c r="AC10" s="389"/>
      <c r="AD10" s="185" t="e">
        <f>+IF(AA10&gt;0,AA10*AB10/AB10,0)</f>
        <v>#N/A</v>
      </c>
      <c r="AE10" s="383" t="e">
        <f>+IF(AB10&gt;45,AD10*(1-((AB10-45)/AB10)),AD10)</f>
        <v>#N/A</v>
      </c>
      <c r="AF10" s="383" t="e">
        <f>+AD10-AE10</f>
        <v>#N/A</v>
      </c>
      <c r="BE10" s="29" t="s">
        <v>1616</v>
      </c>
      <c r="BF10" s="16" t="e">
        <f>+VLOOKUP(DATE(YEAR(I6),MONTH(I6),1),BDD,26,FALSE)</f>
        <v>#N/A</v>
      </c>
    </row>
    <row r="11" spans="1:64" x14ac:dyDescent="0.2">
      <c r="C11" s="29" t="s">
        <v>1377</v>
      </c>
      <c r="D11" s="31">
        <f>IFERROR(IF(E11="",+VLOOKUP(BK8,BDD,38,FALSE),E11),0)</f>
        <v>0</v>
      </c>
      <c r="E11" s="969"/>
      <c r="H11" s="1221"/>
      <c r="M11" s="1222"/>
      <c r="V11" s="377">
        <v>10</v>
      </c>
      <c r="W11" s="377" t="str">
        <f t="shared" si="0"/>
        <v>NON</v>
      </c>
      <c r="Y11" s="186"/>
      <c r="Z11" s="29" t="s">
        <v>313</v>
      </c>
      <c r="AA11" s="388" t="e">
        <f>+C47*AB11/6</f>
        <v>#N/A</v>
      </c>
      <c r="AB11" s="164" t="e">
        <f>+IF(AC11="",VLOOKUP($BK$8,BDD,31,FALSE),AC11)</f>
        <v>#N/A</v>
      </c>
      <c r="AC11" s="390"/>
      <c r="AD11" s="341" t="e">
        <f t="shared" ref="AD11:AD17" si="1">+IF(AA11&gt;0,AA11*AB11/AB11,0)</f>
        <v>#N/A</v>
      </c>
      <c r="AE11" s="384" t="e">
        <f>+IF(AB11&gt;45,AD11*(1-((AB11-45)/AB11)),AD11)</f>
        <v>#N/A</v>
      </c>
      <c r="AF11" s="384" t="e">
        <f>+AD11-AE11</f>
        <v>#N/A</v>
      </c>
      <c r="BE11" s="29" t="s">
        <v>1617</v>
      </c>
      <c r="BF11" s="16" t="e">
        <f>+IF(AND(BF9="OUI",BF10&lt;&gt;52),"OUI","NON")</f>
        <v>#N/A</v>
      </c>
    </row>
    <row r="12" spans="1:64" x14ac:dyDescent="0.2">
      <c r="H12" s="2392" t="str">
        <f>+B4</f>
        <v>Du 01/06/3799 au 00/01/1900</v>
      </c>
      <c r="I12" s="2381"/>
      <c r="K12" s="337" t="e">
        <f>+G80</f>
        <v>#N/A</v>
      </c>
      <c r="M12" s="1222"/>
      <c r="V12" s="377">
        <v>11</v>
      </c>
      <c r="W12" s="377" t="str">
        <f t="shared" si="0"/>
        <v>NON</v>
      </c>
      <c r="Y12" s="186"/>
      <c r="Z12" s="95" t="s">
        <v>314</v>
      </c>
      <c r="AA12" s="388" t="e">
        <f>+C48*AB12/6</f>
        <v>#N/A</v>
      </c>
      <c r="AB12" s="164" t="e">
        <f>+IF(AC12="",VLOOKUP($BK$8,BDD,32,FALSE),AC12)</f>
        <v>#N/A</v>
      </c>
      <c r="AC12" s="390"/>
      <c r="AD12" s="341" t="e">
        <f t="shared" si="1"/>
        <v>#N/A</v>
      </c>
      <c r="AE12" s="384" t="e">
        <f t="shared" ref="AE12:AE17" si="2">+IF(AB12&gt;45,AD12*(1-((AB12-45)/AB12)),AD12)</f>
        <v>#N/A</v>
      </c>
      <c r="AF12" s="384" t="e">
        <f t="shared" ref="AF12:AF17" si="3">+AD12-AE12</f>
        <v>#N/A</v>
      </c>
      <c r="BE12" s="29" t="s">
        <v>1620</v>
      </c>
      <c r="BF12" s="16" t="e">
        <f>+VLOOKUP(DATE(YEAR(I6),MONTH(I6),1),BDD,97,FALSE)</f>
        <v>#N/A</v>
      </c>
    </row>
    <row r="13" spans="1:64" ht="13.5" thickBot="1" x14ac:dyDescent="0.25">
      <c r="C13" s="29" t="s">
        <v>570</v>
      </c>
      <c r="D13" s="1564">
        <v>52</v>
      </c>
      <c r="H13" s="2392" t="str">
        <f>+B90</f>
        <v>Du 01/06/3798 au 31/05/3799</v>
      </c>
      <c r="I13" s="2381"/>
      <c r="K13" s="412" t="e">
        <f>+G164</f>
        <v>#N/A</v>
      </c>
      <c r="M13" s="1222"/>
      <c r="V13" s="377">
        <v>12</v>
      </c>
      <c r="W13" s="377" t="str">
        <f t="shared" si="0"/>
        <v>NON</v>
      </c>
      <c r="Y13" s="186"/>
      <c r="Z13" s="95" t="s">
        <v>315</v>
      </c>
      <c r="AA13" s="388" t="e">
        <f>+C49*AB13/6</f>
        <v>#N/A</v>
      </c>
      <c r="AB13" s="164" t="e">
        <f>+IF(AC13="",VLOOKUP($BK$8,BDD,33,FALSE),AC13)</f>
        <v>#N/A</v>
      </c>
      <c r="AC13" s="390"/>
      <c r="AD13" s="341" t="e">
        <f t="shared" si="1"/>
        <v>#N/A</v>
      </c>
      <c r="AE13" s="384" t="e">
        <f t="shared" si="2"/>
        <v>#N/A</v>
      </c>
      <c r="AF13" s="384" t="e">
        <f t="shared" si="3"/>
        <v>#N/A</v>
      </c>
      <c r="BE13" s="29" t="s">
        <v>1695</v>
      </c>
      <c r="BF13" s="16" t="e">
        <f>+VLOOKUP(DATE(YEAR(I6),MONTH(I6),1),BDD,102,FALSE)</f>
        <v>#N/A</v>
      </c>
    </row>
    <row r="14" spans="1:64" x14ac:dyDescent="0.2">
      <c r="H14" s="1221"/>
      <c r="J14" s="39" t="s">
        <v>605</v>
      </c>
      <c r="K14" s="413" t="e">
        <f>+K13+K12</f>
        <v>#N/A</v>
      </c>
      <c r="M14" s="1222"/>
      <c r="Y14" s="186"/>
      <c r="Z14" s="95" t="s">
        <v>316</v>
      </c>
      <c r="AA14" s="388" t="e">
        <f>+E46*AB14/6</f>
        <v>#N/A</v>
      </c>
      <c r="AB14" s="164" t="e">
        <f>+IF(AC14="",VLOOKUP($BK$8,BDD,34,FALSE),AC14)</f>
        <v>#N/A</v>
      </c>
      <c r="AC14" s="390"/>
      <c r="AD14" s="341" t="e">
        <f t="shared" si="1"/>
        <v>#N/A</v>
      </c>
      <c r="AE14" s="384" t="e">
        <f t="shared" si="2"/>
        <v>#N/A</v>
      </c>
      <c r="AF14" s="384" t="e">
        <f t="shared" si="3"/>
        <v>#N/A</v>
      </c>
      <c r="BE14" s="29" t="s">
        <v>1704</v>
      </c>
      <c r="BF14" s="16" t="str">
        <f>+IF(DATE(YEAR(I6),5,1)&gt;I4,"OUI","NON")</f>
        <v>OUI</v>
      </c>
    </row>
    <row r="15" spans="1:64" ht="13.5" thickBot="1" x14ac:dyDescent="0.25">
      <c r="C15" s="29" t="s">
        <v>658</v>
      </c>
      <c r="D15" s="41" t="e">
        <f>IF(BF12="OUI",0,ROUND(+D7*12/D13,2))</f>
        <v>#N/A</v>
      </c>
      <c r="H15" s="1253"/>
      <c r="I15" s="1237"/>
      <c r="J15" s="1237"/>
      <c r="K15" s="1237"/>
      <c r="L15" s="1237"/>
      <c r="M15" s="1247"/>
      <c r="Y15" s="186"/>
      <c r="Z15" s="95" t="s">
        <v>317</v>
      </c>
      <c r="AA15" s="388" t="e">
        <f>+E47*AB15/6</f>
        <v>#N/A</v>
      </c>
      <c r="AB15" s="164" t="e">
        <f>+IF(AC15="",VLOOKUP($BK$8,BDD,35,FALSE),AC15)</f>
        <v>#N/A</v>
      </c>
      <c r="AC15" s="390"/>
      <c r="AD15" s="341" t="e">
        <f t="shared" si="1"/>
        <v>#N/A</v>
      </c>
      <c r="AE15" s="384" t="e">
        <f t="shared" si="2"/>
        <v>#N/A</v>
      </c>
      <c r="AF15" s="384" t="e">
        <f t="shared" si="3"/>
        <v>#N/A</v>
      </c>
    </row>
    <row r="16" spans="1:64" ht="13.5" thickTop="1" x14ac:dyDescent="0.2">
      <c r="V16" s="377" t="s">
        <v>656</v>
      </c>
      <c r="W16" s="377" t="str">
        <f>+IF(BK6="","NON","OUI")</f>
        <v>OUI</v>
      </c>
      <c r="Y16" s="186"/>
      <c r="Z16" s="95" t="s">
        <v>318</v>
      </c>
      <c r="AA16" s="388" t="e">
        <f>+E48*AB16/6</f>
        <v>#N/A</v>
      </c>
      <c r="AB16" s="164" t="e">
        <f>+IF(AC16="",VLOOKUP($BK$8,BDD,36,FALSE),AC16)</f>
        <v>#N/A</v>
      </c>
      <c r="AC16" s="390"/>
      <c r="AD16" s="341" t="e">
        <f t="shared" si="1"/>
        <v>#N/A</v>
      </c>
      <c r="AE16" s="384" t="e">
        <f t="shared" si="2"/>
        <v>#N/A</v>
      </c>
      <c r="AF16" s="384" t="e">
        <f t="shared" si="3"/>
        <v>#N/A</v>
      </c>
    </row>
    <row r="17" spans="1:32" x14ac:dyDescent="0.2">
      <c r="A17" s="627" t="s">
        <v>571</v>
      </c>
      <c r="B17" s="18" t="e">
        <f>+IF(BF12="OUI","Contrat occasionnel, on utilise que la méthode des 10%","")</f>
        <v>#N/A</v>
      </c>
      <c r="H17" s="46" t="s">
        <v>572</v>
      </c>
      <c r="V17" s="377">
        <v>1</v>
      </c>
      <c r="W17" s="377" t="str">
        <f t="shared" ref="W17:W23" si="4">+IF(AND($W$16="OUI",A143&lt;&gt;"Hors période",B143=0),"JAUNE","NON")</f>
        <v>JAUNE</v>
      </c>
      <c r="Y17" s="187"/>
      <c r="Z17" s="173" t="s">
        <v>319</v>
      </c>
      <c r="AA17" s="350" t="e">
        <f>+E49*AB17/6</f>
        <v>#N/A</v>
      </c>
      <c r="AB17" s="174" t="e">
        <f>+IF(AC17="",VLOOKUP($BK$8,BDD,37,FALSE),AC17)</f>
        <v>#N/A</v>
      </c>
      <c r="AC17" s="391"/>
      <c r="AD17" s="188" t="e">
        <f t="shared" si="1"/>
        <v>#N/A</v>
      </c>
      <c r="AE17" s="385" t="e">
        <f t="shared" si="2"/>
        <v>#N/A</v>
      </c>
      <c r="AF17" s="385" t="e">
        <f t="shared" si="3"/>
        <v>#N/A</v>
      </c>
    </row>
    <row r="18" spans="1:32" x14ac:dyDescent="0.2">
      <c r="H18" s="47"/>
      <c r="V18" s="377">
        <v>2</v>
      </c>
      <c r="W18" s="377" t="str">
        <f t="shared" si="4"/>
        <v>JAUNE</v>
      </c>
      <c r="Y18" s="16"/>
      <c r="Z18" s="16"/>
      <c r="AA18" s="16"/>
      <c r="AB18" s="16"/>
      <c r="AC18" s="16"/>
      <c r="AD18" s="189"/>
      <c r="AE18" s="342"/>
    </row>
    <row r="19" spans="1:32" x14ac:dyDescent="0.2">
      <c r="E19" s="29" t="s">
        <v>573</v>
      </c>
      <c r="F19" s="41">
        <f>IFERROR(IF(F20="",+VLOOKUP(BK8,BDD,9,FALSE)+VLOOKUP(BK8,BDD,11,FALSE),F20),0)</f>
        <v>0</v>
      </c>
      <c r="H19" s="47" t="str">
        <f>+"L'AM a travaillé "&amp;F19&amp;" mois sur la période de référence (1er juin au 31 mai)"</f>
        <v>L'AM a travaillé 0 mois sur la période de référence (1er juin au 31 mai)</v>
      </c>
      <c r="V19" s="377">
        <v>3</v>
      </c>
      <c r="W19" s="377" t="str">
        <f t="shared" si="4"/>
        <v>JAUNE</v>
      </c>
      <c r="Y19" s="16"/>
      <c r="Z19" s="29"/>
      <c r="AA19" s="34"/>
      <c r="AB19" s="16"/>
      <c r="AC19" s="16"/>
      <c r="AD19" s="189"/>
      <c r="AE19" s="189"/>
    </row>
    <row r="20" spans="1:32" x14ac:dyDescent="0.2">
      <c r="E20" s="29" t="s">
        <v>492</v>
      </c>
      <c r="F20" s="1147"/>
      <c r="H20" s="47" t="str">
        <f>+"Elle a pris "&amp;D37&amp;" jour(s) ouvrable(s) de congés payés sur la période de référence."</f>
        <v>Elle a pris 0 jour(s) ouvrable(s) de congés payés sur la période de référence.</v>
      </c>
      <c r="V20" s="377">
        <v>4</v>
      </c>
      <c r="W20" s="377" t="str">
        <f t="shared" si="4"/>
        <v>JAUNE</v>
      </c>
      <c r="Y20" s="16"/>
      <c r="Z20" s="29"/>
      <c r="AA20" s="34"/>
      <c r="AB20" s="16"/>
      <c r="AC20" s="16"/>
      <c r="AD20" s="189"/>
      <c r="AE20" s="189"/>
    </row>
    <row r="21" spans="1:32" x14ac:dyDescent="0.2">
      <c r="E21" s="29"/>
      <c r="F21" s="49"/>
      <c r="H21" s="47"/>
      <c r="V21" s="377">
        <v>5</v>
      </c>
      <c r="W21" s="377" t="str">
        <f t="shared" si="4"/>
        <v>JAUNE</v>
      </c>
      <c r="Y21" s="19"/>
      <c r="Z21" s="39"/>
      <c r="AA21" s="193"/>
      <c r="AB21" s="16"/>
      <c r="AC21" s="16"/>
      <c r="AD21" s="29" t="s">
        <v>785</v>
      </c>
      <c r="AE21" s="194" t="e">
        <f>ROUND(SUM(AE10:AE17),2)</f>
        <v>#N/A</v>
      </c>
    </row>
    <row r="22" spans="1:32" x14ac:dyDescent="0.2">
      <c r="E22" s="29"/>
      <c r="F22" s="80"/>
      <c r="H22" s="664" t="s">
        <v>575</v>
      </c>
      <c r="V22" s="377">
        <v>6</v>
      </c>
      <c r="W22" s="377" t="str">
        <f t="shared" si="4"/>
        <v>JAUNE</v>
      </c>
      <c r="Y22" s="19"/>
      <c r="Z22" s="39"/>
      <c r="AA22" s="194"/>
      <c r="AB22" s="16"/>
      <c r="AC22" s="16"/>
      <c r="AD22" s="16"/>
      <c r="AE22" s="16"/>
    </row>
    <row r="23" spans="1:32" x14ac:dyDescent="0.2">
      <c r="E23" s="29" t="s">
        <v>1551</v>
      </c>
      <c r="F23" s="41">
        <f>MIN(12,F19)</f>
        <v>0</v>
      </c>
      <c r="H23" s="626"/>
      <c r="V23" s="377">
        <v>7</v>
      </c>
      <c r="W23" s="377" t="str">
        <f t="shared" si="4"/>
        <v>JAUNE</v>
      </c>
      <c r="Y23" s="16"/>
      <c r="Z23" s="16"/>
      <c r="AA23" s="16"/>
      <c r="AB23" s="16"/>
      <c r="AC23" s="16"/>
      <c r="AD23" s="29" t="s">
        <v>786</v>
      </c>
      <c r="AE23" s="194" t="e">
        <f>ROUND(SUM(AF10:AF17),2)</f>
        <v>#N/A</v>
      </c>
    </row>
    <row r="24" spans="1:32" x14ac:dyDescent="0.2">
      <c r="E24" s="29"/>
      <c r="F24" s="34"/>
      <c r="H24" s="47" t="s">
        <v>664</v>
      </c>
      <c r="Y24" s="16"/>
      <c r="Z24" s="16"/>
      <c r="AA24" s="16"/>
      <c r="AB24" s="16"/>
      <c r="AC24" s="16"/>
      <c r="AD24" s="29"/>
      <c r="AE24" s="194"/>
    </row>
    <row r="25" spans="1:32" x14ac:dyDescent="0.2">
      <c r="E25" s="29" t="s">
        <v>1637</v>
      </c>
      <c r="F25" s="1565">
        <f>IFERROR(IF(F26="",+VLOOKUP(BK8,BDD,99,FALSE),F26),0)</f>
        <v>0</v>
      </c>
      <c r="H25" s="1524" t="s">
        <v>1639</v>
      </c>
      <c r="Y25" s="16"/>
      <c r="Z25" s="16"/>
      <c r="AA25" s="16"/>
      <c r="AB25" s="16"/>
      <c r="AC25" s="16"/>
      <c r="AD25" s="29"/>
      <c r="AE25" s="194"/>
    </row>
    <row r="26" spans="1:32" x14ac:dyDescent="0.2">
      <c r="E26" s="29" t="s">
        <v>492</v>
      </c>
      <c r="F26" s="1147"/>
      <c r="V26" s="377">
        <v>8</v>
      </c>
      <c r="W26" s="377" t="str">
        <f t="shared" ref="W26:W28" si="5">+IF(AND($W$16="OUI",A150&lt;&gt;"Hors période",B150=0),"JAUNE","NON")</f>
        <v>JAUNE</v>
      </c>
      <c r="Y26" s="16"/>
      <c r="Z26" s="16"/>
      <c r="AA26" s="16"/>
      <c r="AB26" s="16"/>
      <c r="AC26" s="16"/>
      <c r="AD26" s="16"/>
      <c r="AE26" s="16"/>
    </row>
    <row r="27" spans="1:32" x14ac:dyDescent="0.2">
      <c r="C27" s="29"/>
      <c r="H27" s="47"/>
      <c r="V27" s="377">
        <v>9</v>
      </c>
      <c r="W27" s="377" t="str">
        <f t="shared" si="5"/>
        <v>JAUNE</v>
      </c>
      <c r="Y27" s="16"/>
      <c r="Z27" s="16"/>
      <c r="AA27" s="16"/>
      <c r="AB27" s="16"/>
      <c r="AC27" s="16"/>
      <c r="AD27" s="16"/>
      <c r="AE27" s="16"/>
    </row>
    <row r="28" spans="1:32" x14ac:dyDescent="0.2">
      <c r="H28" s="47" t="str">
        <f>+"Nombre de mois travaillés ou calendaires ("&amp;F23&amp;" mois) x 2,5 jours + Jours suppl enfant de moins de 15 ans ("&amp;F30&amp;" jour(s)) + jrs acquis sur arrêt de travail ("&amp;F25&amp;" jour(s))"</f>
        <v>Nombre de mois travaillés ou calendaires (0 mois) x 2,5 jours + Jours suppl enfant de moins de 15 ans (0 jour(s)) + jrs acquis sur arrêt de travail (0 jour(s))</v>
      </c>
      <c r="V28" s="377">
        <v>10</v>
      </c>
      <c r="W28" s="377" t="str">
        <f t="shared" si="5"/>
        <v>JAUNE</v>
      </c>
      <c r="Y28" s="16"/>
      <c r="Z28" s="16"/>
      <c r="AA28" s="16"/>
      <c r="AB28" s="16"/>
      <c r="AC28" s="16"/>
      <c r="AD28" s="16"/>
      <c r="AE28" s="16"/>
    </row>
    <row r="29" spans="1:32" x14ac:dyDescent="0.2">
      <c r="C29" s="29" t="s">
        <v>492</v>
      </c>
      <c r="D29" s="1146"/>
      <c r="E29" s="16" t="str">
        <f>+IF(AND(D29&lt;&gt;0,BF14="NON"),"La date du contrat ne le permet pas","")</f>
        <v/>
      </c>
      <c r="H29" s="47" t="str">
        <f>+"soit "&amp;F35&amp;" jour(s) ouvrable(s) maximum acquis."</f>
        <v>soit 0 jour(s) ouvrable(s) maximum acquis.</v>
      </c>
      <c r="Y29" s="16"/>
      <c r="Z29" s="16"/>
      <c r="AA29" s="16"/>
      <c r="AB29" s="16"/>
      <c r="AC29" s="16"/>
      <c r="AD29" s="16"/>
      <c r="AE29" s="16"/>
    </row>
    <row r="30" spans="1:32" x14ac:dyDescent="0.2">
      <c r="C30" s="29" t="s">
        <v>667</v>
      </c>
      <c r="D30" s="1569">
        <f>IF(BC20="OUI",IF(D29="",IF(AND(I6&gt;=DATE(YEAR(Identification!B61),5,31),BJ5&lt;DATE(YEAR(Identification!B61),5,31)),Identification!B55*2,0),D29),0)</f>
        <v>0</v>
      </c>
      <c r="E30" s="16" t="s">
        <v>662</v>
      </c>
      <c r="F30" s="1566">
        <f>IF(BE3="NON",ROUND(+(MIN(F35,30)-D33),0),F35-D33)</f>
        <v>0</v>
      </c>
      <c r="H30" s="47"/>
      <c r="V30" s="377">
        <v>11</v>
      </c>
      <c r="W30" s="377" t="str">
        <f>+IF(AND($W$16="OUI",A153&lt;&gt;"Hors période",B153=0),"JAUNE","NON")</f>
        <v>JAUNE</v>
      </c>
      <c r="Y30" s="16"/>
      <c r="Z30" s="16"/>
      <c r="AA30" s="16"/>
      <c r="AB30" s="16" t="s">
        <v>734</v>
      </c>
      <c r="AC30" s="16"/>
      <c r="AD30" s="16"/>
      <c r="AE30" s="16"/>
    </row>
    <row r="31" spans="1:32" x14ac:dyDescent="0.2">
      <c r="C31" s="29" t="s">
        <v>666</v>
      </c>
      <c r="D31" s="1566">
        <f>+IF(AND(I6&lt;=DATE(YEAR(Identification!B61),1,31),I6&gt;=DATE(YEAR(Identification!B61),1,1)),Janvier!AH93,IF(AND(I6&lt;=DATE(YEAR(Identification!B61),2,29),I6&gt;=DATE(YEAR(Identification!B61),2,1)),Février!AH93,IF(AND(I6&lt;=DATE(YEAR(Identification!B61),3,31),I6&gt;=DATE(YEAR(Identification!B61),3,1)),Mars!AH93,IF(AND(I6&lt;=DATE(YEAR(Identification!B61),4,30),I6&gt;=DATE(YEAR(Identification!B61),4,1)),Avril!AH93,IF(AND(I6&lt;=DATE(YEAR(Identification!B61),11,30),I6&gt;=DATE(YEAR(Identification!B61),10,31)),Novembre!AH93,IF(AND(I6&lt;=DATE(YEAR(Identification!B61),12,31),I6&gt;=DATE(YEAR(Identification!B61),12,1)),Décembre!AH93,0))))))</f>
        <v>0</v>
      </c>
      <c r="H31" s="16" t="str">
        <f>+"Il a pris "&amp;D37&amp;" jour(s) ouvrable(s)"</f>
        <v>Il a pris 0 jour(s) ouvrable(s)</v>
      </c>
      <c r="V31" s="377">
        <v>12</v>
      </c>
      <c r="W31" s="377" t="str">
        <f>+IF(AND($W$16="OUI",A154&lt;&gt;"Hors période",B154=0),"JAUNE","NON")</f>
        <v>JAUNE</v>
      </c>
      <c r="Y31" s="16"/>
      <c r="Z31" s="16"/>
      <c r="AA31" s="16"/>
      <c r="AB31" s="29" t="e">
        <f>+AE21&amp;" heure(s) X "&amp;D9&amp;" € ="</f>
        <v>#N/A</v>
      </c>
      <c r="AC31" s="339" t="e">
        <f>ROUND(+AE21*D9,2)</f>
        <v>#N/A</v>
      </c>
      <c r="AD31" s="16"/>
      <c r="AE31" s="16"/>
    </row>
    <row r="32" spans="1:32" x14ac:dyDescent="0.2">
      <c r="C32" s="29"/>
      <c r="D32" s="34"/>
      <c r="H32" s="16" t="str">
        <f>+"Il lui reste "&amp;F39&amp;" jour(s) et "&amp;D31&amp;" jour(s) de fractionnement"</f>
        <v>Il lui reste 0 jour(s) et 0 jour(s) de fractionnement</v>
      </c>
      <c r="V32" s="377" t="s">
        <v>657</v>
      </c>
      <c r="W32" s="377" t="str">
        <f>+IF(I6&lt;I4,"ROUGE","NON")</f>
        <v>NON</v>
      </c>
      <c r="Y32" s="16"/>
      <c r="Z32" s="16"/>
      <c r="AA32" s="16"/>
      <c r="AB32" s="16"/>
      <c r="AC32" s="16"/>
      <c r="AD32" s="16"/>
      <c r="AE32" s="16"/>
    </row>
    <row r="33" spans="2:31" x14ac:dyDescent="0.2">
      <c r="C33" s="29" t="s">
        <v>663</v>
      </c>
      <c r="D33" s="34">
        <f>ROUNDUP(IF(+F23*2.5+F25&lt;30,+F23*2.5+F25,30),0)</f>
        <v>0</v>
      </c>
      <c r="Y33" s="16"/>
      <c r="Z33" s="16"/>
      <c r="AA33" s="16"/>
      <c r="AB33" s="16" t="s">
        <v>733</v>
      </c>
      <c r="AC33" s="16"/>
      <c r="AD33" s="16"/>
      <c r="AE33" s="16"/>
    </row>
    <row r="34" spans="2:31" x14ac:dyDescent="0.2">
      <c r="C34" s="29"/>
      <c r="D34" s="29"/>
      <c r="H34" s="47" t="s">
        <v>578</v>
      </c>
      <c r="Y34" s="16"/>
      <c r="Z34" s="16"/>
      <c r="AA34" s="16"/>
      <c r="AB34" s="29" t="e">
        <f>+AE23&amp;" heure(s) X "&amp;D11&amp;" € ="</f>
        <v>#N/A</v>
      </c>
      <c r="AC34" s="339" t="e">
        <f>+ROUND(AE23*D11,2)</f>
        <v>#N/A</v>
      </c>
      <c r="AD34" s="16"/>
      <c r="AE34" s="16"/>
    </row>
    <row r="35" spans="2:31" x14ac:dyDescent="0.2">
      <c r="C35" s="29" t="s">
        <v>576</v>
      </c>
      <c r="D35" s="1566">
        <f>ROUND(+F23*2.5+D30+F25,2)</f>
        <v>0</v>
      </c>
      <c r="E35" s="51" t="s">
        <v>577</v>
      </c>
      <c r="F35" s="1568">
        <f>IF(BE3="NON",IF(D35&lt;30,ROUNDUP(D35,0),30),IF(AND(BE3="OUI",D33&lt;=5),ROUNDUP(D33+(D30/2),0),ROUNDUP(D35,0)))</f>
        <v>0</v>
      </c>
      <c r="Y35" s="16"/>
      <c r="Z35" s="16"/>
      <c r="AA35" s="16"/>
      <c r="AB35" s="16"/>
      <c r="AC35" s="16"/>
      <c r="AD35" s="16"/>
      <c r="AE35" s="16"/>
    </row>
    <row r="36" spans="2:31" x14ac:dyDescent="0.2">
      <c r="C36" s="29"/>
      <c r="D36" s="52"/>
      <c r="E36" s="27"/>
      <c r="F36" s="53"/>
      <c r="H36" s="16" t="e">
        <f>+IF(C41="Méthode 1",AK1,"")</f>
        <v>#N/A</v>
      </c>
      <c r="Y36" s="16"/>
      <c r="Z36" s="16"/>
      <c r="AA36" s="16"/>
      <c r="AB36" s="16"/>
      <c r="AC36" s="16"/>
      <c r="AD36" s="16"/>
      <c r="AE36" s="16"/>
    </row>
    <row r="37" spans="2:31" x14ac:dyDescent="0.2">
      <c r="C37" s="29" t="s">
        <v>579</v>
      </c>
      <c r="D37" s="1566">
        <f>IFERROR(IF(D38="",+VLOOKUP(BK8,BDD,16,FALSE)+VLOOKUP(BK8,BDD,15,FALSE),D38),0)</f>
        <v>0</v>
      </c>
      <c r="E37" s="16" t="s">
        <v>580</v>
      </c>
      <c r="H37" s="16" t="e">
        <f>+IF(C41="Méthode 1",AK2,"")</f>
        <v>#N/A</v>
      </c>
      <c r="Y37" s="16"/>
      <c r="Z37" s="16"/>
      <c r="AA37" s="16"/>
      <c r="AB37" s="16"/>
      <c r="AC37" s="16"/>
      <c r="AD37" s="16"/>
      <c r="AE37" s="16"/>
    </row>
    <row r="38" spans="2:31" x14ac:dyDescent="0.2">
      <c r="C38" s="29" t="s">
        <v>668</v>
      </c>
      <c r="D38" s="1148"/>
      <c r="H38" s="47"/>
      <c r="Y38" s="16"/>
      <c r="Z38" s="16"/>
      <c r="AA38" s="16"/>
      <c r="AB38" s="16"/>
      <c r="AC38" s="16"/>
      <c r="AD38" s="16"/>
      <c r="AE38" s="16"/>
    </row>
    <row r="39" spans="2:31" x14ac:dyDescent="0.2">
      <c r="C39" s="29" t="s">
        <v>581</v>
      </c>
      <c r="D39" s="1566">
        <f>F35-D37</f>
        <v>0</v>
      </c>
      <c r="E39" s="51" t="s">
        <v>577</v>
      </c>
      <c r="F39" s="1568">
        <f>IF(D39&lt;30,ROUNDUP(D39,0),30)</f>
        <v>0</v>
      </c>
      <c r="Y39" s="16"/>
      <c r="Z39" s="16"/>
      <c r="AA39" s="16"/>
      <c r="AB39" s="16"/>
      <c r="AC39" s="16"/>
      <c r="AD39" s="16"/>
      <c r="AE39" s="16"/>
    </row>
    <row r="40" spans="2:31" x14ac:dyDescent="0.2">
      <c r="C40" s="29"/>
      <c r="D40" s="34"/>
      <c r="E40" s="27"/>
      <c r="F40" s="53"/>
      <c r="H40" s="16" t="str">
        <f>+IF(C41="Méthode 2",AK6,"")</f>
        <v/>
      </c>
    </row>
    <row r="41" spans="2:31" x14ac:dyDescent="0.2">
      <c r="B41" s="29" t="s">
        <v>1378</v>
      </c>
      <c r="C41" s="69" t="str">
        <f>IFERROR(+IF(C42="",VLOOKUP(BK8,BDD,39,FALSE),C42),"")</f>
        <v>Méthode 1</v>
      </c>
      <c r="D41" s="34"/>
      <c r="E41" s="27"/>
      <c r="F41" s="53"/>
    </row>
    <row r="42" spans="2:31" hidden="1" x14ac:dyDescent="0.2">
      <c r="B42" s="29" t="s">
        <v>492</v>
      </c>
      <c r="C42" s="1069" t="s">
        <v>353</v>
      </c>
      <c r="D42" s="34"/>
      <c r="E42" s="27"/>
      <c r="F42" s="53"/>
      <c r="H42" s="47"/>
    </row>
    <row r="43" spans="2:31" x14ac:dyDescent="0.2">
      <c r="B43" s="29"/>
      <c r="C43" s="29"/>
      <c r="D43" s="34"/>
      <c r="E43" s="27"/>
      <c r="F43" s="53"/>
      <c r="H43" s="47"/>
    </row>
    <row r="44" spans="2:31" x14ac:dyDescent="0.2">
      <c r="C44" s="29" t="str">
        <f>+"Si méthode 2 : Pose des "&amp;F39&amp;" jours de CP ouvrables restant :"</f>
        <v>Si méthode 2 : Pose des 0 jours de CP ouvrables restant :</v>
      </c>
      <c r="D44" s="34"/>
      <c r="E44" s="27"/>
      <c r="F44" s="53"/>
    </row>
    <row r="45" spans="2:31" x14ac:dyDescent="0.2">
      <c r="D45" s="34"/>
      <c r="E45" s="27"/>
      <c r="F45" s="53"/>
    </row>
    <row r="46" spans="2:31" x14ac:dyDescent="0.2">
      <c r="B46" s="29" t="s">
        <v>725</v>
      </c>
      <c r="C46" s="1148"/>
      <c r="D46" s="29" t="s">
        <v>729</v>
      </c>
      <c r="E46" s="1148"/>
      <c r="F46" s="53"/>
    </row>
    <row r="47" spans="2:31" x14ac:dyDescent="0.2">
      <c r="B47" s="29" t="s">
        <v>726</v>
      </c>
      <c r="C47" s="1148"/>
      <c r="D47" s="29" t="s">
        <v>730</v>
      </c>
      <c r="E47" s="1148"/>
      <c r="F47" s="53"/>
    </row>
    <row r="48" spans="2:31" x14ac:dyDescent="0.2">
      <c r="B48" s="29" t="s">
        <v>727</v>
      </c>
      <c r="C48" s="1148"/>
      <c r="D48" s="29" t="s">
        <v>731</v>
      </c>
      <c r="E48" s="1148"/>
      <c r="F48" s="53"/>
    </row>
    <row r="49" spans="1:8" x14ac:dyDescent="0.2">
      <c r="B49" s="29" t="s">
        <v>728</v>
      </c>
      <c r="C49" s="1111"/>
      <c r="D49" s="29" t="s">
        <v>732</v>
      </c>
      <c r="E49" s="1111"/>
      <c r="F49" s="53"/>
    </row>
    <row r="51" spans="1:8" x14ac:dyDescent="0.2">
      <c r="A51" s="660" t="s">
        <v>582</v>
      </c>
      <c r="B51" s="661"/>
      <c r="C51" s="662"/>
      <c r="D51" s="414" t="e">
        <f>IF(OR(BF13="OUI",AND(BF9="OUI",BF10&lt;&gt;52)),0,IFERROR(ROUND(IF(C41="Méthode 1",+(D15/6)*(F39+D31),AC31+AC34),2),0))</f>
        <v>#N/A</v>
      </c>
    </row>
    <row r="52" spans="1:8" x14ac:dyDescent="0.2">
      <c r="A52" s="39"/>
      <c r="B52" s="39"/>
      <c r="C52" s="39"/>
      <c r="D52" s="663"/>
    </row>
    <row r="54" spans="1:8" x14ac:dyDescent="0.2">
      <c r="A54" s="627" t="s">
        <v>583</v>
      </c>
    </row>
    <row r="56" spans="1:8" x14ac:dyDescent="0.2">
      <c r="A56" s="16" t="s">
        <v>584</v>
      </c>
      <c r="H56" s="46" t="s">
        <v>572</v>
      </c>
    </row>
    <row r="57" spans="1:8" ht="38.25" x14ac:dyDescent="0.2">
      <c r="B57" s="476" t="s">
        <v>1660</v>
      </c>
      <c r="C57" s="54" t="s">
        <v>603</v>
      </c>
      <c r="D57" s="476" t="s">
        <v>585</v>
      </c>
      <c r="H57" s="47" t="s">
        <v>586</v>
      </c>
    </row>
    <row r="58" spans="1:8" x14ac:dyDescent="0.2">
      <c r="A58" s="629" t="str">
        <f>+IF(AND(DATE(YEAR($BJ$5),6,30)&gt;=$BJ$5,DATE(YEAR($BJ$5),6,1)&lt;=$BK$5),DATE(YEAR($BJ$5),6,1),"Hors période")</f>
        <v>Hors période</v>
      </c>
      <c r="B58" s="31">
        <f t="shared" ref="B58:B69" si="6">IF(C58="",IFERROR(+VLOOKUP(A58,BDD,2,FALSE)+VLOOKUP(A58,BDD,100,FALSE),0),C58)</f>
        <v>0</v>
      </c>
      <c r="C58" s="1108"/>
      <c r="D58" s="31">
        <f>+ROUND((+B58*10%),2)</f>
        <v>0</v>
      </c>
      <c r="H58" s="47"/>
    </row>
    <row r="59" spans="1:8" x14ac:dyDescent="0.2">
      <c r="A59" s="629" t="str">
        <f>+IF(AND(DATE(YEAR($BJ$5),7,31)&gt;=$BJ$5,DATE(YEAR($BJ$5),7,1)&lt;=$BK$5),DATE(YEAR($BJ$5),7,1),"Hors période")</f>
        <v>Hors période</v>
      </c>
      <c r="B59" s="31">
        <f t="shared" si="6"/>
        <v>0</v>
      </c>
      <c r="C59" s="1108"/>
      <c r="D59" s="31">
        <f t="shared" ref="D59:D69" si="7">+ROUND((+B59*10%),2)</f>
        <v>0</v>
      </c>
      <c r="H59" s="47" t="s">
        <v>587</v>
      </c>
    </row>
    <row r="60" spans="1:8" x14ac:dyDescent="0.2">
      <c r="A60" s="629" t="str">
        <f>+IF(AND(DATE(YEAR($BJ$5),8,31)&gt;=$BJ$5,DATE(YEAR($BJ$5),8,1)&lt;=$BK$5),DATE(YEAR($BJ$5),8,1),"Hors période")</f>
        <v>Hors période</v>
      </c>
      <c r="B60" s="31">
        <f t="shared" si="6"/>
        <v>0</v>
      </c>
      <c r="C60" s="1108"/>
      <c r="D60" s="31">
        <f t="shared" si="7"/>
        <v>0</v>
      </c>
      <c r="H60" s="47" t="str">
        <f>+"[Salaire du mois ("&amp;B69&amp;" euros) x 10%]"</f>
        <v>[Salaire du mois (0 euros) x 10%]</v>
      </c>
    </row>
    <row r="61" spans="1:8" x14ac:dyDescent="0.2">
      <c r="A61" s="629" t="str">
        <f>+IF(AND(DATE(YEAR($BJ$5),9,30)&gt;=$BJ$5,DATE(YEAR($BJ$5),9,1)&lt;=$BK$5),DATE(YEAR($BJ$5),9,1),"Hors période")</f>
        <v>Hors période</v>
      </c>
      <c r="B61" s="31">
        <f t="shared" si="6"/>
        <v>0</v>
      </c>
      <c r="C61" s="1108"/>
      <c r="D61" s="31">
        <f t="shared" si="7"/>
        <v>0</v>
      </c>
      <c r="H61" s="47" t="str">
        <f>+"Soit pour la ligne du mois de Mai "&amp;ROUND(D69,2)&amp;" euros"</f>
        <v>Soit pour la ligne du mois de Mai 0 euros</v>
      </c>
    </row>
    <row r="62" spans="1:8" x14ac:dyDescent="0.2">
      <c r="A62" s="629" t="str">
        <f>+IF(AND(DATE(YEAR($BJ$5),10,31)&gt;=$BJ$5,DATE(YEAR($BJ$5),10,1)&lt;=$BK$5),DATE(YEAR($BJ$5),10,1),"Hors période")</f>
        <v>Hors période</v>
      </c>
      <c r="B62" s="31">
        <f t="shared" si="6"/>
        <v>0</v>
      </c>
      <c r="C62" s="1108"/>
      <c r="D62" s="31">
        <f t="shared" si="7"/>
        <v>0</v>
      </c>
      <c r="H62" s="47"/>
    </row>
    <row r="63" spans="1:8" x14ac:dyDescent="0.2">
      <c r="A63" s="629" t="str">
        <f>+IF(AND(DATE(YEAR($BJ$5),11,30)&gt;=$BJ$5,DATE(YEAR($BJ$5),11,1)&lt;=$BK$5),DATE(YEAR($BJ$5),11,1),"Hors période")</f>
        <v>Hors période</v>
      </c>
      <c r="B63" s="31">
        <f t="shared" si="6"/>
        <v>0</v>
      </c>
      <c r="C63" s="1108"/>
      <c r="D63" s="31">
        <f t="shared" si="7"/>
        <v>0</v>
      </c>
      <c r="H63" s="47" t="str">
        <f>+"Soit pour tous les mois un montant total de "&amp;ROUND(D70,2)&amp;" euros"</f>
        <v>Soit pour tous les mois un montant total de 0 euros</v>
      </c>
    </row>
    <row r="64" spans="1:8" x14ac:dyDescent="0.2">
      <c r="A64" s="629" t="str">
        <f>+IF(AND(DATE(YEAR($BJ$5),12,31)&gt;=$BJ$5,DATE(YEAR($BJ$5),12,1)&lt;=$BK$5),DATE(YEAR($BJ$5),12,1),"Hors période")</f>
        <v>Hors période</v>
      </c>
      <c r="B64" s="31">
        <f t="shared" si="6"/>
        <v>0</v>
      </c>
      <c r="C64" s="1108"/>
      <c r="D64" s="31">
        <f t="shared" si="7"/>
        <v>0</v>
      </c>
      <c r="H64" s="47"/>
    </row>
    <row r="65" spans="1:10" x14ac:dyDescent="0.2">
      <c r="A65" s="629" t="str">
        <f>+IF(AND(DATE(YEAR($BJ$5)+1,1,31)&gt;=$BJ$5,DATE(YEAR($BJ$5)+1,1,1)&lt;=$BK$5),DATE(YEAR($BJ$5)+1,1,1),+IF(AND(DATE(YEAR($BJ$5),1,31)&gt;=$BJ$5,DATE(YEAR($BJ$5),1,1)&lt;=$BK$5),DATE(YEAR($BJ$5),1,1),"Hors période"))</f>
        <v>Hors période</v>
      </c>
      <c r="B65" s="31">
        <f t="shared" si="6"/>
        <v>0</v>
      </c>
      <c r="C65" s="1108"/>
      <c r="D65" s="31">
        <f t="shared" si="7"/>
        <v>0</v>
      </c>
      <c r="H65" s="1541" t="s">
        <v>588</v>
      </c>
      <c r="I65" s="47"/>
    </row>
    <row r="66" spans="1:10" x14ac:dyDescent="0.2">
      <c r="A66" s="629" t="str">
        <f>+IF(AND(DATE(YEAR($BJ$5)+1,2,29)&gt;=$BJ$5,DATE(YEAR($BJ$5)+1,2,1)&lt;=$BK$5),DATE(YEAR($BJ$5)+1,2,1),IF(AND(DATE(YEAR($BJ$5),2,29)&gt;=$BJ$5,DATE(YEAR($BJ$5),2,1)&lt;=$BK$5),DATE(YEAR($BJ$5),2,1),"Hors période"))</f>
        <v>Hors période</v>
      </c>
      <c r="B66" s="31">
        <f t="shared" si="6"/>
        <v>0</v>
      </c>
      <c r="C66" s="1108"/>
      <c r="D66" s="31">
        <f t="shared" si="7"/>
        <v>0</v>
      </c>
      <c r="H66" s="1541" t="s">
        <v>589</v>
      </c>
    </row>
    <row r="67" spans="1:10" x14ac:dyDescent="0.2">
      <c r="A67" s="629" t="str">
        <f>+IF(AND(DATE(YEAR($BJ$5)+1,3,31)&gt;=$BJ$5,DATE(YEAR($BJ$5)+1,3,1)&lt;=$BK$5),DATE(YEAR($BJ$5)+1,3,1),IF(AND(DATE(YEAR($BJ$5),3,31)&gt;=$BJ$5,DATE(YEAR($BJ$5),3,1)&lt;=$BK$5),DATE(YEAR($BJ$5),3,1),"Hors période"))</f>
        <v>Hors période</v>
      </c>
      <c r="B67" s="31">
        <f t="shared" si="6"/>
        <v>0</v>
      </c>
      <c r="C67" s="1108"/>
      <c r="D67" s="31">
        <f t="shared" si="7"/>
        <v>0</v>
      </c>
      <c r="I67" s="56" t="str">
        <f>+D70&amp;" / "&amp;D33&amp;" X "&amp;F30</f>
        <v>0 / 0 X 0</v>
      </c>
      <c r="J67" s="47" t="str">
        <f>"= "&amp;IFERROR(ROUND(D70/D33*(F30),2),0)</f>
        <v>= 0</v>
      </c>
    </row>
    <row r="68" spans="1:10" x14ac:dyDescent="0.2">
      <c r="A68" s="629" t="str">
        <f>+IF(AND(DATE(YEAR($BJ$5)+1,4,30)&gt;=$BJ$5,DATE(YEAR($BJ$5)+1,4,1)&lt;=$BK$5),DATE(YEAR($BJ$5)+1,4,1),IF(AND(DATE(YEAR($BJ$5),4,30)&gt;=$BJ$5,DATE(YEAR($BJ$5),4,1)&lt;=$BK$5),DATE(YEAR($BJ$5),4,1),"Hors période"))</f>
        <v>Hors période</v>
      </c>
      <c r="B68" s="31">
        <f t="shared" si="6"/>
        <v>0</v>
      </c>
      <c r="C68" s="1108"/>
      <c r="D68" s="31">
        <f t="shared" si="7"/>
        <v>0</v>
      </c>
      <c r="H68" s="47"/>
    </row>
    <row r="69" spans="1:10" x14ac:dyDescent="0.2">
      <c r="A69" s="629" t="str">
        <f>+IF(AND(DATE(YEAR($BJ$5)+1,5,31)&gt;=$BJ$5,DATE(YEAR($BJ$5)+1,5,1)&lt;=$BK$5),DATE(YEAR($BJ$5)+1,5,1),IF(AND(DATE(YEAR($BJ$5),5,31)&gt;=$BJ$5,DATE(YEAR($BJ$5),5,1)&lt;=$BK$5),DATE(YEAR($BJ$5),5,1),"Hors période"))</f>
        <v>Hors période</v>
      </c>
      <c r="B69" s="31">
        <f t="shared" si="6"/>
        <v>0</v>
      </c>
      <c r="C69" s="1108"/>
      <c r="D69" s="31">
        <f t="shared" si="7"/>
        <v>0</v>
      </c>
      <c r="H69" s="1541" t="s">
        <v>1662</v>
      </c>
      <c r="I69" s="47"/>
    </row>
    <row r="70" spans="1:10" x14ac:dyDescent="0.2">
      <c r="C70" s="38" t="s">
        <v>441</v>
      </c>
      <c r="D70" s="57">
        <f>ROUND(SUM(D58:D69),2)</f>
        <v>0</v>
      </c>
      <c r="H70" s="1541" t="s">
        <v>1663</v>
      </c>
    </row>
    <row r="71" spans="1:10" x14ac:dyDescent="0.2">
      <c r="D71" s="58"/>
      <c r="I71" s="56" t="str">
        <f>+D70&amp;" / "&amp;D33&amp;" X "&amp;D31</f>
        <v>0 / 0 X 0</v>
      </c>
      <c r="J71" s="47" t="str">
        <f>"= "&amp;IFERROR(ROUND(D70/D33*(D31),2),0)</f>
        <v>= 0</v>
      </c>
    </row>
    <row r="72" spans="1:10" x14ac:dyDescent="0.2">
      <c r="C72" s="29" t="s">
        <v>738</v>
      </c>
      <c r="D72" s="57">
        <f>ROUND(IF(D33,+D70/D33*(F30+D31),0),2)</f>
        <v>0</v>
      </c>
      <c r="H72" s="47"/>
    </row>
    <row r="73" spans="1:10" x14ac:dyDescent="0.2">
      <c r="C73" s="29" t="s">
        <v>1661</v>
      </c>
      <c r="D73" s="57">
        <f>ROUND(IF(D33,+D70/D33*(F30+D31),0),2)</f>
        <v>0</v>
      </c>
      <c r="H73" s="47" t="str">
        <f>+"L'AM a déjà pris "&amp;E75&amp;" jour(s) sur les "&amp;F35&amp;" jour(s) acquis. Il lui reste "&amp;F39&amp;" jour(s) à prendre."</f>
        <v>L'AM a déjà pris 0 jour(s) sur les 0 jour(s) acquis. Il lui reste 0 jour(s) à prendre.</v>
      </c>
    </row>
    <row r="74" spans="1:10" x14ac:dyDescent="0.2">
      <c r="H74" s="47"/>
    </row>
    <row r="75" spans="1:10" x14ac:dyDescent="0.2">
      <c r="D75" s="29" t="s">
        <v>579</v>
      </c>
      <c r="E75" s="1566">
        <f>+D37</f>
        <v>0</v>
      </c>
      <c r="F75" s="59"/>
      <c r="H75" s="47" t="e">
        <f>+"Il lui reste donc à percevoir pour la méthode des 10% : ["&amp;ROUND(D70+D72,2)&amp;" euros / "&amp;F35&amp;" jour(s) X "&amp;F39&amp;" jour(s)] + "&amp;D73&amp;" €  = "&amp;D78&amp;" euros."</f>
        <v>#N/A</v>
      </c>
    </row>
    <row r="76" spans="1:10" x14ac:dyDescent="0.2">
      <c r="D76" s="29"/>
      <c r="E76" s="58"/>
      <c r="F76" s="59"/>
    </row>
    <row r="78" spans="1:10" x14ac:dyDescent="0.2">
      <c r="A78" s="2410" t="s">
        <v>590</v>
      </c>
      <c r="B78" s="2410"/>
      <c r="C78" s="2410"/>
      <c r="D78" s="414" t="e">
        <f>IF(AND(BF9="OUI",BF10&lt;&gt;52),0,IF(F35,ROUND((SUM(D58:D69)+D72)/F35*F39,2),SUM(D58:D69)+D72))</f>
        <v>#N/A</v>
      </c>
    </row>
    <row r="79" spans="1:10" ht="13.5" thickBot="1" x14ac:dyDescent="0.25"/>
    <row r="80" spans="1:10" x14ac:dyDescent="0.2">
      <c r="A80" s="2468" t="s">
        <v>591</v>
      </c>
      <c r="B80" s="2469"/>
      <c r="C80" s="2469"/>
      <c r="D80" s="2469"/>
      <c r="E80" s="2469"/>
      <c r="F80" s="2470"/>
      <c r="G80" s="419" t="e">
        <f>+IF(D78&gt;D51,D78,D51)</f>
        <v>#N/A</v>
      </c>
    </row>
    <row r="81" spans="1:37" ht="13.5" thickBot="1" x14ac:dyDescent="0.25">
      <c r="A81" s="60"/>
      <c r="B81" s="61"/>
      <c r="C81" s="61"/>
      <c r="D81" s="61"/>
      <c r="E81" s="61"/>
      <c r="F81" s="61"/>
      <c r="G81" s="62"/>
    </row>
    <row r="86" spans="1:37" x14ac:dyDescent="0.2">
      <c r="AK86" s="47" t="e">
        <f>+"[Salaire hebdomadaire moyen ("&amp;ROUND(D101,2)&amp;" €) / 6 jours] x [ nombre de jours ouvrables de CP ("&amp;F125&amp;" jour(s))]"</f>
        <v>#N/A</v>
      </c>
    </row>
    <row r="87" spans="1:37" ht="23.25" x14ac:dyDescent="0.35">
      <c r="A87" s="23" t="e">
        <f>+IF(AND(BF9="OUI",BF10=52),"Outil de calcul de l'indemnité compensatrice des congés payés pour le CDD basé sur une année complète",IF(AND(BF9="OUI",BF10&lt;&gt;52),"Ne pas utiliser cette feuille, CDD basé sur une année complète",IF(BF12="OUI","Outils de calcul de l'indemnité conpensatrice de congés payés Contrat Occasionnel","Outil de calcul de l'indemnité compensatrice des congés payés en Année Complète")))</f>
        <v>#N/A</v>
      </c>
      <c r="AK87" s="47" t="e">
        <f>+"soit un maintien de salaire de "&amp;ROUND(D137,2)&amp;" euros"</f>
        <v>#N/A</v>
      </c>
    </row>
    <row r="88" spans="1:37" x14ac:dyDescent="0.2">
      <c r="C88" s="2379" t="s">
        <v>1430</v>
      </c>
      <c r="D88" s="2379"/>
      <c r="E88" s="2379"/>
      <c r="F88" s="2379"/>
      <c r="G88" s="2379"/>
      <c r="H88" s="2379"/>
      <c r="I88" s="2379"/>
    </row>
    <row r="89" spans="1:37" x14ac:dyDescent="0.2">
      <c r="C89" s="26"/>
      <c r="D89" s="27"/>
      <c r="E89" s="27"/>
      <c r="F89" s="27"/>
      <c r="G89" s="27"/>
      <c r="H89" s="27"/>
    </row>
    <row r="90" spans="1:37" x14ac:dyDescent="0.2">
      <c r="A90" s="16" t="s">
        <v>593</v>
      </c>
      <c r="B90" s="2380" t="str">
        <f>"Du "&amp;TEXT(BJ6,"jj/mm/aaaa")&amp;" au "&amp;TEXT(BK6,"jj/mm/aaaa")</f>
        <v>Du 01/06/3798 au 31/05/3799</v>
      </c>
      <c r="C90" s="2380"/>
      <c r="D90" s="2380"/>
    </row>
    <row r="91" spans="1:37" x14ac:dyDescent="0.2">
      <c r="A91" s="16" t="s">
        <v>25</v>
      </c>
      <c r="B91" s="2381">
        <f>+Identification!B25</f>
        <v>0</v>
      </c>
      <c r="C91" s="2381"/>
      <c r="D91" s="2381"/>
      <c r="H91" s="29"/>
      <c r="I91" s="30"/>
      <c r="AK91" s="16" t="s">
        <v>737</v>
      </c>
    </row>
    <row r="92" spans="1:37" x14ac:dyDescent="0.2">
      <c r="E92" s="16" t="s">
        <v>602</v>
      </c>
    </row>
    <row r="93" spans="1:37" x14ac:dyDescent="0.2">
      <c r="C93" s="29" t="s">
        <v>568</v>
      </c>
      <c r="D93" s="31">
        <f>IFERROR(IF(E93="",VLOOKUP(BK8,BDD,21,FALSE),E93),0)</f>
        <v>0</v>
      </c>
      <c r="E93" s="1108"/>
    </row>
    <row r="94" spans="1:37" x14ac:dyDescent="0.2">
      <c r="C94" s="29"/>
      <c r="Y94" s="400" t="s">
        <v>351</v>
      </c>
      <c r="Z94" s="16"/>
      <c r="AA94" s="16"/>
      <c r="AB94" s="29"/>
      <c r="AC94" s="149"/>
    </row>
    <row r="95" spans="1:37" x14ac:dyDescent="0.2">
      <c r="C95" s="29" t="s">
        <v>569</v>
      </c>
      <c r="D95" s="31">
        <f>IFERROR(+IF(E95="",VLOOKUP(BK8,BDD,22,FALSE),E95),0)</f>
        <v>0</v>
      </c>
      <c r="E95" s="1108"/>
      <c r="Y95" s="16" t="s">
        <v>714</v>
      </c>
      <c r="AB95" s="29"/>
      <c r="AC95" s="399"/>
    </row>
    <row r="96" spans="1:37" x14ac:dyDescent="0.2">
      <c r="C96" s="29"/>
    </row>
    <row r="97" spans="1:32" x14ac:dyDescent="0.2">
      <c r="C97" s="29"/>
      <c r="D97" s="34"/>
    </row>
    <row r="98" spans="1:32" x14ac:dyDescent="0.2">
      <c r="Y98" s="16"/>
      <c r="Z98" s="29"/>
      <c r="AA98" s="2464" t="s">
        <v>325</v>
      </c>
      <c r="AB98" s="2464" t="s">
        <v>326</v>
      </c>
      <c r="AC98" s="2464" t="s">
        <v>724</v>
      </c>
      <c r="AD98" s="2466" t="s">
        <v>328</v>
      </c>
      <c r="AE98" s="2464" t="s">
        <v>348</v>
      </c>
      <c r="AF98" s="2462" t="s">
        <v>349</v>
      </c>
    </row>
    <row r="99" spans="1:32" x14ac:dyDescent="0.2">
      <c r="C99" s="29" t="s">
        <v>570</v>
      </c>
      <c r="D99" s="38">
        <v>52</v>
      </c>
      <c r="Y99" s="16"/>
      <c r="Z99" s="16"/>
      <c r="AA99" s="2465"/>
      <c r="AB99" s="2465"/>
      <c r="AC99" s="2464"/>
      <c r="AD99" s="2467"/>
      <c r="AE99" s="2465"/>
      <c r="AF99" s="2463"/>
    </row>
    <row r="100" spans="1:32" x14ac:dyDescent="0.2">
      <c r="Y100" s="183"/>
      <c r="Z100" s="156" t="s">
        <v>312</v>
      </c>
      <c r="AA100" s="349" t="e">
        <f>+C132*AB100/6</f>
        <v>#N/A</v>
      </c>
      <c r="AB100" s="158" t="e">
        <f>+IF(AC100="",VLOOKUP($BK$8,BDD,30,FALSE),AC100)</f>
        <v>#N/A</v>
      </c>
      <c r="AC100" s="389"/>
      <c r="AD100" s="185" t="e">
        <f>+IF(AA100&gt;0,AA100*AB100/AB100,0)</f>
        <v>#N/A</v>
      </c>
      <c r="AE100" s="383" t="e">
        <f>+IF(AB100&gt;45,AD100*(1-((AB100-45)/AB100)),AD100)</f>
        <v>#N/A</v>
      </c>
      <c r="AF100" s="383" t="e">
        <f>+AD100-AE100</f>
        <v>#N/A</v>
      </c>
    </row>
    <row r="101" spans="1:32" x14ac:dyDescent="0.2">
      <c r="C101" s="29" t="s">
        <v>658</v>
      </c>
      <c r="D101" s="41" t="e">
        <f>IF(BF12="OUI",0,ROUND(+D93*12/D99,2))</f>
        <v>#N/A</v>
      </c>
      <c r="Y101" s="186"/>
      <c r="Z101" s="29" t="s">
        <v>313</v>
      </c>
      <c r="AA101" s="388" t="e">
        <f>+C133*AB101/6</f>
        <v>#N/A</v>
      </c>
      <c r="AB101" s="164" t="e">
        <f>+IF(AC101="",VLOOKUP($BK$8,BDD,31,FALSE),AC101)</f>
        <v>#N/A</v>
      </c>
      <c r="AC101" s="390"/>
      <c r="AD101" s="341" t="e">
        <f t="shared" ref="AD101:AD107" si="8">+IF(AA101&gt;0,AA101*AB101/AB101,0)</f>
        <v>#N/A</v>
      </c>
      <c r="AE101" s="384" t="e">
        <f>+IF(AB101&gt;45,AD101*(1-((AB101-45)/AB101)),AD101)</f>
        <v>#N/A</v>
      </c>
      <c r="AF101" s="384" t="e">
        <f>+AD101-AE101</f>
        <v>#N/A</v>
      </c>
    </row>
    <row r="102" spans="1:32" x14ac:dyDescent="0.2">
      <c r="Y102" s="186"/>
      <c r="Z102" s="95" t="s">
        <v>314</v>
      </c>
      <c r="AA102" s="388" t="e">
        <f>+C134*AB102/6</f>
        <v>#N/A</v>
      </c>
      <c r="AB102" s="164" t="e">
        <f>+IF(AC102="",VLOOKUP($BK$8,BDD,32,FALSE),AC102)</f>
        <v>#N/A</v>
      </c>
      <c r="AC102" s="390"/>
      <c r="AD102" s="341" t="e">
        <f t="shared" si="8"/>
        <v>#N/A</v>
      </c>
      <c r="AE102" s="384" t="e">
        <f t="shared" ref="AE102:AE107" si="9">+IF(AB102&gt;45,AD102*(1-((AB102-45)/AB102)),AD102)</f>
        <v>#N/A</v>
      </c>
      <c r="AF102" s="384" t="e">
        <f t="shared" ref="AF102:AF107" si="10">+AD102-AE102</f>
        <v>#N/A</v>
      </c>
    </row>
    <row r="103" spans="1:32" x14ac:dyDescent="0.2">
      <c r="A103" s="627" t="s">
        <v>571</v>
      </c>
      <c r="B103" s="18" t="e">
        <f>+IF(BF12="OUI","Contrat occasionnel, on utilise que la méthode des 10%","")</f>
        <v>#N/A</v>
      </c>
      <c r="H103" s="46" t="s">
        <v>572</v>
      </c>
      <c r="Y103" s="186"/>
      <c r="Z103" s="95" t="s">
        <v>315</v>
      </c>
      <c r="AA103" s="388" t="e">
        <f>+C135*AB103/6</f>
        <v>#N/A</v>
      </c>
      <c r="AB103" s="164" t="e">
        <f>+IF(AC103="",VLOOKUP($BK$8,BDD,33,FALSE),AC103)</f>
        <v>#N/A</v>
      </c>
      <c r="AC103" s="390"/>
      <c r="AD103" s="341" t="e">
        <f t="shared" si="8"/>
        <v>#N/A</v>
      </c>
      <c r="AE103" s="384" t="e">
        <f t="shared" si="9"/>
        <v>#N/A</v>
      </c>
      <c r="AF103" s="384" t="e">
        <f t="shared" si="10"/>
        <v>#N/A</v>
      </c>
    </row>
    <row r="104" spans="1:32" x14ac:dyDescent="0.2">
      <c r="H104" s="47"/>
      <c r="Y104" s="186"/>
      <c r="Z104" s="95" t="s">
        <v>316</v>
      </c>
      <c r="AA104" s="388" t="e">
        <f>+E132*AB104/6</f>
        <v>#N/A</v>
      </c>
      <c r="AB104" s="164" t="e">
        <f>+IF(AC104="",VLOOKUP($BK$8,BDD,34,FALSE),AC104)</f>
        <v>#N/A</v>
      </c>
      <c r="AC104" s="390"/>
      <c r="AD104" s="341" t="e">
        <f t="shared" si="8"/>
        <v>#N/A</v>
      </c>
      <c r="AE104" s="384" t="e">
        <f t="shared" si="9"/>
        <v>#N/A</v>
      </c>
      <c r="AF104" s="384" t="e">
        <f t="shared" si="10"/>
        <v>#N/A</v>
      </c>
    </row>
    <row r="105" spans="1:32" x14ac:dyDescent="0.2">
      <c r="E105" s="29" t="s">
        <v>573</v>
      </c>
      <c r="F105" s="48">
        <f>+IF(F106="",(IFERROR(VLOOKUP(BL6,BDD,27,FALSE),0)),F106)</f>
        <v>0</v>
      </c>
      <c r="H105" s="47" t="str">
        <f>+"L'AM a travaillé "&amp;F105&amp;" mois sur la période de référence (1er juin au 31 mai)"</f>
        <v>L'AM a travaillé 0 mois sur la période de référence (1er juin au 31 mai)</v>
      </c>
      <c r="Y105" s="186"/>
      <c r="Z105" s="95" t="s">
        <v>317</v>
      </c>
      <c r="AA105" s="388" t="e">
        <f>+E133*AB105/6</f>
        <v>#N/A</v>
      </c>
      <c r="AB105" s="164" t="e">
        <f>+IF(AC105="",VLOOKUP($BK$8,BDD,35,FALSE),AC105)</f>
        <v>#N/A</v>
      </c>
      <c r="AC105" s="390"/>
      <c r="AD105" s="341" t="e">
        <f t="shared" si="8"/>
        <v>#N/A</v>
      </c>
      <c r="AE105" s="384" t="e">
        <f t="shared" si="9"/>
        <v>#N/A</v>
      </c>
      <c r="AF105" s="384" t="e">
        <f t="shared" si="10"/>
        <v>#N/A</v>
      </c>
    </row>
    <row r="106" spans="1:32" x14ac:dyDescent="0.2">
      <c r="E106" s="29" t="s">
        <v>492</v>
      </c>
      <c r="F106" s="1177"/>
      <c r="H106" s="47"/>
      <c r="Y106" s="186"/>
      <c r="Z106" s="95" t="s">
        <v>318</v>
      </c>
      <c r="AA106" s="388" t="e">
        <f>+E134*AB106/6</f>
        <v>#N/A</v>
      </c>
      <c r="AB106" s="164" t="e">
        <f>+IF(AC106="",VLOOKUP($BK$8,BDD,36,FALSE),AC106)</f>
        <v>#N/A</v>
      </c>
      <c r="AC106" s="390"/>
      <c r="AD106" s="341" t="e">
        <f t="shared" si="8"/>
        <v>#N/A</v>
      </c>
      <c r="AE106" s="384" t="e">
        <f t="shared" si="9"/>
        <v>#N/A</v>
      </c>
      <c r="AF106" s="384" t="e">
        <f t="shared" si="10"/>
        <v>#N/A</v>
      </c>
    </row>
    <row r="107" spans="1:32" x14ac:dyDescent="0.2">
      <c r="E107" s="29"/>
      <c r="F107" s="49"/>
      <c r="H107" s="47" t="str">
        <f>+"Elle a pris "&amp;D123&amp;" jour(s) ouvrable(s) de congés payés sur la période de référence."</f>
        <v>Elle a pris 0 jour(s) ouvrable(s) de congés payés sur la période de référence.</v>
      </c>
      <c r="Y107" s="187"/>
      <c r="Z107" s="173" t="s">
        <v>319</v>
      </c>
      <c r="AA107" s="350" t="e">
        <f>+E135*AB107/6</f>
        <v>#N/A</v>
      </c>
      <c r="AB107" s="174" t="e">
        <f>+IF(AC107="",VLOOKUP($BK$8,BDD,37,FALSE),AC107)</f>
        <v>#N/A</v>
      </c>
      <c r="AC107" s="391"/>
      <c r="AD107" s="188" t="e">
        <f t="shared" si="8"/>
        <v>#N/A</v>
      </c>
      <c r="AE107" s="385" t="e">
        <f t="shared" si="9"/>
        <v>#N/A</v>
      </c>
      <c r="AF107" s="385" t="e">
        <f t="shared" si="10"/>
        <v>#N/A</v>
      </c>
    </row>
    <row r="108" spans="1:32" x14ac:dyDescent="0.2">
      <c r="E108" s="29"/>
      <c r="F108" s="80"/>
      <c r="H108" s="47"/>
      <c r="Y108" s="16"/>
      <c r="Z108" s="16"/>
      <c r="AA108" s="16"/>
      <c r="AB108" s="16"/>
      <c r="AC108" s="16"/>
      <c r="AD108" s="189"/>
      <c r="AE108" s="342"/>
    </row>
    <row r="109" spans="1:32" x14ac:dyDescent="0.2">
      <c r="E109" s="29" t="s">
        <v>1100</v>
      </c>
      <c r="F109" s="65">
        <f>IF(BE6=1,0,F105)</f>
        <v>0</v>
      </c>
      <c r="H109" s="47" t="s">
        <v>575</v>
      </c>
      <c r="Y109" s="16"/>
      <c r="Z109" s="29"/>
      <c r="AA109" s="34"/>
      <c r="AB109" s="16"/>
      <c r="AC109" s="16"/>
      <c r="AD109" s="189"/>
      <c r="AE109" s="189"/>
    </row>
    <row r="110" spans="1:32" x14ac:dyDescent="0.2">
      <c r="H110" s="47"/>
      <c r="Y110" s="16"/>
      <c r="Z110" s="29"/>
      <c r="AA110" s="34"/>
      <c r="AB110" s="16"/>
      <c r="AC110" s="16"/>
      <c r="AD110" s="189"/>
      <c r="AE110" s="189"/>
    </row>
    <row r="111" spans="1:32" x14ac:dyDescent="0.2">
      <c r="E111" s="29" t="s">
        <v>1637</v>
      </c>
      <c r="F111" s="1565">
        <f>+IF(F112="",(IFERROR(VLOOKUP(BL6,BDD,99,FALSE),0)),F112)</f>
        <v>0</v>
      </c>
      <c r="H111" s="47" t="s">
        <v>664</v>
      </c>
      <c r="Y111" s="16"/>
      <c r="Z111" s="29"/>
      <c r="AA111" s="34"/>
      <c r="AB111" s="16"/>
      <c r="AC111" s="16"/>
      <c r="AD111" s="189"/>
      <c r="AE111" s="189"/>
    </row>
    <row r="112" spans="1:32" x14ac:dyDescent="0.2">
      <c r="E112" s="29" t="s">
        <v>492</v>
      </c>
      <c r="F112" s="1147"/>
      <c r="H112" s="1524" t="s">
        <v>1639</v>
      </c>
      <c r="Y112" s="16"/>
      <c r="Z112" s="29"/>
      <c r="AA112" s="34"/>
      <c r="AB112" s="16"/>
      <c r="AC112" s="16"/>
      <c r="AD112" s="189"/>
      <c r="AE112" s="189"/>
    </row>
    <row r="113" spans="2:31" x14ac:dyDescent="0.2">
      <c r="Y113" s="19"/>
      <c r="Z113" s="39"/>
      <c r="AA113" s="193"/>
      <c r="AB113" s="16"/>
      <c r="AC113" s="16"/>
      <c r="AD113" s="95" t="s">
        <v>122</v>
      </c>
      <c r="AE113" s="194" t="e">
        <f>ROUND(SUM(AE100:AE107),2)</f>
        <v>#N/A</v>
      </c>
    </row>
    <row r="114" spans="2:31" x14ac:dyDescent="0.2">
      <c r="E114" s="29"/>
      <c r="F114" s="49"/>
      <c r="H114" s="47" t="str">
        <f>+"Nombre de mois travaillés ou calendaires ("&amp;F109&amp;" mois) x 2,5 jours + Jours suppl enfant de moins de 15 ans ("&amp;F115&amp;" jour(s))"</f>
        <v>Nombre de mois travaillés ou calendaires (0 mois) x 2,5 jours + Jours suppl enfant de moins de 15 ans (0 jour(s))</v>
      </c>
      <c r="Y114" s="19"/>
      <c r="Z114" s="39"/>
      <c r="AA114" s="194"/>
      <c r="AB114" s="16"/>
      <c r="AC114" s="16"/>
      <c r="AD114" s="16"/>
      <c r="AE114" s="16"/>
    </row>
    <row r="115" spans="2:31" x14ac:dyDescent="0.2">
      <c r="C115" s="29" t="s">
        <v>667</v>
      </c>
      <c r="D115" s="1570">
        <f>IF((BK6=DATE(YEAR(Identification!B61),5,31)),'CP Année Complète au 31-05'!D28,Janvier!AH87)</f>
        <v>0</v>
      </c>
      <c r="E115" s="16" t="s">
        <v>662</v>
      </c>
      <c r="F115" s="1566">
        <f>IF((BK6=DATE(YEAR(Identification!B61),5,31)),'CP Année Complète au 31-05'!F28,Janvier!AH87)</f>
        <v>0</v>
      </c>
      <c r="H115" s="16" t="str">
        <f>"+ jrs acquis sur arrêt de travail ("&amp;F111&amp;" jour(s))"</f>
        <v>+ jrs acquis sur arrêt de travail (0 jour(s))</v>
      </c>
      <c r="Y115" s="16"/>
      <c r="Z115" s="16"/>
      <c r="AA115" s="16"/>
      <c r="AB115" s="16"/>
      <c r="AC115" s="16"/>
      <c r="AD115" s="95" t="s">
        <v>123</v>
      </c>
      <c r="AE115" s="194" t="e">
        <f>ROUND(SUM(AF100:AF107),2)</f>
        <v>#N/A</v>
      </c>
    </row>
    <row r="116" spans="2:31" x14ac:dyDescent="0.2">
      <c r="C116" s="29"/>
      <c r="H116" s="47" t="str">
        <f>+"soit "&amp;F121&amp;" jour(s) ouvrable(s) maximum acquis."</f>
        <v>soit 0 jour(s) ouvrable(s) maximum acquis.</v>
      </c>
      <c r="Y116" s="16"/>
      <c r="Z116" s="16"/>
      <c r="AA116" s="16"/>
      <c r="AB116" s="16"/>
      <c r="AC116" s="16"/>
      <c r="AD116" s="16"/>
      <c r="AE116" s="16"/>
    </row>
    <row r="117" spans="2:31" x14ac:dyDescent="0.2">
      <c r="C117" s="29"/>
      <c r="H117" s="47"/>
      <c r="Y117" s="16"/>
      <c r="Z117" s="16"/>
      <c r="AA117" s="16"/>
      <c r="AB117" s="16"/>
      <c r="AC117" s="16"/>
      <c r="AD117" s="16"/>
      <c r="AE117" s="16"/>
    </row>
    <row r="118" spans="2:31" x14ac:dyDescent="0.2">
      <c r="C118" s="29"/>
      <c r="D118" s="34"/>
      <c r="H118" s="16" t="str">
        <f>+"Il a pris "&amp;D123&amp;" jour(s) ouvrable(s)"</f>
        <v>Il a pris 0 jour(s) ouvrable(s)</v>
      </c>
      <c r="Y118" s="16"/>
      <c r="Z118" s="16"/>
      <c r="AA118" s="16"/>
      <c r="AB118" s="16"/>
      <c r="AC118" s="16"/>
      <c r="AD118" s="16"/>
      <c r="AE118" s="16"/>
    </row>
    <row r="119" spans="2:31" x14ac:dyDescent="0.2">
      <c r="C119" s="29" t="s">
        <v>663</v>
      </c>
      <c r="D119" s="1567">
        <f>ROUNDUP(IF(+F109*2.5+F111&lt;30,+F109*2.5+F111,30),0)</f>
        <v>0</v>
      </c>
      <c r="H119" s="16" t="str">
        <f>+"Il lui reste "&amp;F125&amp;" jour(s)"</f>
        <v>Il lui reste 0 jour(s)</v>
      </c>
      <c r="Y119" s="16"/>
      <c r="Z119" s="16"/>
      <c r="AA119" s="16"/>
      <c r="AB119" s="16" t="s">
        <v>734</v>
      </c>
      <c r="AC119" s="16"/>
      <c r="AD119" s="16"/>
      <c r="AE119" s="16"/>
    </row>
    <row r="120" spans="2:31" x14ac:dyDescent="0.2">
      <c r="C120" s="29"/>
      <c r="D120" s="29"/>
      <c r="Y120" s="16"/>
      <c r="Z120" s="16"/>
      <c r="AA120" s="16"/>
      <c r="AB120" s="29" t="e">
        <f>+AE113&amp;" heure(s) X "&amp;D9&amp;" € ="</f>
        <v>#N/A</v>
      </c>
      <c r="AC120" s="339" t="e">
        <f>ROUND(+AE113*D9,2)</f>
        <v>#N/A</v>
      </c>
      <c r="AD120" s="16"/>
      <c r="AE120" s="16"/>
    </row>
    <row r="121" spans="2:31" x14ac:dyDescent="0.2">
      <c r="C121" s="29" t="s">
        <v>576</v>
      </c>
      <c r="D121" s="1566">
        <f>ROUND(+F109*2.5+D115+F111,2)</f>
        <v>0</v>
      </c>
      <c r="E121" s="51" t="s">
        <v>577</v>
      </c>
      <c r="F121" s="1568">
        <f>IF(D121&lt;30,ROUNDUP(D121,0),30)</f>
        <v>0</v>
      </c>
      <c r="Y121" s="16"/>
      <c r="Z121" s="16"/>
      <c r="AA121" s="16"/>
      <c r="AB121" s="16"/>
      <c r="AC121" s="16"/>
      <c r="AD121" s="16"/>
      <c r="AE121" s="16"/>
    </row>
    <row r="122" spans="2:31" x14ac:dyDescent="0.2">
      <c r="C122" s="29"/>
      <c r="D122" s="52"/>
      <c r="E122" s="27"/>
      <c r="F122" s="53"/>
      <c r="Y122" s="16"/>
      <c r="Z122" s="16"/>
      <c r="AA122" s="16"/>
      <c r="AB122" s="16" t="s">
        <v>733</v>
      </c>
      <c r="AC122" s="16"/>
      <c r="AD122" s="16"/>
      <c r="AE122" s="16"/>
    </row>
    <row r="123" spans="2:31" x14ac:dyDescent="0.2">
      <c r="C123" s="29" t="s">
        <v>579</v>
      </c>
      <c r="D123" s="1566">
        <f>IFERROR(+IF(D124="",VLOOKUP(BK8,BDD,13,FALSE)+VLOOKUP(BK8,BDD,14,FALSE),D124),0)</f>
        <v>0</v>
      </c>
      <c r="E123" s="16" t="s">
        <v>580</v>
      </c>
      <c r="H123" s="47" t="s">
        <v>578</v>
      </c>
      <c r="Y123" s="16"/>
      <c r="Z123" s="16"/>
      <c r="AA123" s="16"/>
      <c r="AB123" s="29" t="e">
        <f>+AE115&amp;" heure(s) X "&amp;D11&amp;" € ="</f>
        <v>#N/A</v>
      </c>
      <c r="AC123" s="339" t="e">
        <f>+ROUND(AE115*D11,2)</f>
        <v>#N/A</v>
      </c>
      <c r="AD123" s="16"/>
      <c r="AE123" s="16"/>
    </row>
    <row r="124" spans="2:31" x14ac:dyDescent="0.2">
      <c r="C124" s="29"/>
      <c r="D124" s="1148"/>
    </row>
    <row r="125" spans="2:31" x14ac:dyDescent="0.2">
      <c r="C125" s="29" t="s">
        <v>581</v>
      </c>
      <c r="D125" s="1566">
        <f>F121-D123</f>
        <v>0</v>
      </c>
      <c r="E125" s="51" t="s">
        <v>577</v>
      </c>
      <c r="F125" s="1568">
        <f>IF(D125&lt;30,ROUNDUP(D125,0),30)</f>
        <v>0</v>
      </c>
      <c r="H125" s="16" t="e">
        <f>+IF(C127="Méthode 1",AK86,"")</f>
        <v>#N/A</v>
      </c>
    </row>
    <row r="126" spans="2:31" x14ac:dyDescent="0.2">
      <c r="H126" s="16" t="e">
        <f>+IF(C127="Méthode 1",AK87,"")</f>
        <v>#N/A</v>
      </c>
    </row>
    <row r="127" spans="2:31" x14ac:dyDescent="0.2">
      <c r="B127" s="29" t="s">
        <v>1378</v>
      </c>
      <c r="C127" s="69" t="str">
        <f>IFERROR(+IF(C128="",VLOOKUP(BK8,BDD,39,FALSE),C128),"")</f>
        <v>Méthode 1</v>
      </c>
      <c r="D127" s="34"/>
      <c r="E127" s="27"/>
      <c r="F127" s="53"/>
      <c r="H127" s="47"/>
    </row>
    <row r="128" spans="2:31" hidden="1" x14ac:dyDescent="0.2">
      <c r="B128" s="29" t="s">
        <v>492</v>
      </c>
      <c r="C128" s="1069" t="s">
        <v>353</v>
      </c>
      <c r="D128" s="34"/>
      <c r="E128" s="27"/>
      <c r="F128" s="53"/>
    </row>
    <row r="129" spans="1:23" x14ac:dyDescent="0.2">
      <c r="B129" s="29"/>
      <c r="C129" s="29"/>
      <c r="D129" s="34"/>
      <c r="E129" s="27"/>
      <c r="F129" s="53"/>
      <c r="H129" s="16" t="str">
        <f>+IF(C127="Méthode 2",AK91,"")</f>
        <v/>
      </c>
    </row>
    <row r="130" spans="1:23" x14ac:dyDescent="0.2">
      <c r="C130" s="29" t="str">
        <f>+"Si méthode 2 : Pose des "&amp;F125&amp;" jours de CP ouvrables restant :"</f>
        <v>Si méthode 2 : Pose des 0 jours de CP ouvrables restant :</v>
      </c>
      <c r="D130" s="34"/>
      <c r="E130" s="27"/>
      <c r="F130" s="53"/>
    </row>
    <row r="131" spans="1:23" x14ac:dyDescent="0.2">
      <c r="D131" s="34"/>
      <c r="E131" s="27"/>
      <c r="F131" s="53"/>
      <c r="H131" s="47"/>
    </row>
    <row r="132" spans="1:23" x14ac:dyDescent="0.2">
      <c r="B132" s="29" t="s">
        <v>725</v>
      </c>
      <c r="C132" s="1148"/>
      <c r="D132" s="29" t="s">
        <v>729</v>
      </c>
      <c r="E132" s="1148"/>
      <c r="F132" s="53"/>
      <c r="H132" s="47"/>
    </row>
    <row r="133" spans="1:23" x14ac:dyDescent="0.2">
      <c r="B133" s="29" t="s">
        <v>726</v>
      </c>
      <c r="C133" s="1148"/>
      <c r="D133" s="29" t="s">
        <v>730</v>
      </c>
      <c r="E133" s="1148"/>
      <c r="F133" s="53"/>
    </row>
    <row r="134" spans="1:23" x14ac:dyDescent="0.2">
      <c r="B134" s="29" t="s">
        <v>727</v>
      </c>
      <c r="C134" s="1148"/>
      <c r="D134" s="29" t="s">
        <v>731</v>
      </c>
      <c r="E134" s="1148"/>
      <c r="F134" s="53"/>
    </row>
    <row r="135" spans="1:23" x14ac:dyDescent="0.2">
      <c r="B135" s="29" t="s">
        <v>728</v>
      </c>
      <c r="C135" s="1111"/>
      <c r="D135" s="29" t="s">
        <v>732</v>
      </c>
      <c r="E135" s="1111"/>
      <c r="F135" s="53"/>
    </row>
    <row r="136" spans="1:23" x14ac:dyDescent="0.2">
      <c r="B136" s="29"/>
      <c r="C136" s="34"/>
      <c r="D136" s="29"/>
      <c r="E136" s="34"/>
      <c r="F136" s="53"/>
    </row>
    <row r="137" spans="1:23" x14ac:dyDescent="0.2">
      <c r="A137" s="2471" t="s">
        <v>582</v>
      </c>
      <c r="B137" s="2472"/>
      <c r="C137" s="2473" t="s">
        <v>582</v>
      </c>
      <c r="D137" s="414" t="e">
        <f>IF(OR(BF12="OUI",AND(BF9="OUI",BF10&lt;&gt;52)),0,IFERROR(ROUND(IF(C127="Méthode 1",+ROUND((D101/6)*(F125+D116),2),AC120+AC123),2),0))</f>
        <v>#N/A</v>
      </c>
      <c r="E137" s="34"/>
      <c r="F137" s="53"/>
    </row>
    <row r="139" spans="1:23" x14ac:dyDescent="0.2">
      <c r="A139" s="627" t="s">
        <v>583</v>
      </c>
    </row>
    <row r="141" spans="1:23" x14ac:dyDescent="0.2">
      <c r="A141" s="16" t="s">
        <v>584</v>
      </c>
      <c r="H141" s="46" t="s">
        <v>572</v>
      </c>
    </row>
    <row r="142" spans="1:23" ht="38.25" x14ac:dyDescent="0.2">
      <c r="B142" s="1013" t="s">
        <v>1660</v>
      </c>
      <c r="C142" s="1014" t="s">
        <v>603</v>
      </c>
      <c r="D142" s="476" t="s">
        <v>585</v>
      </c>
      <c r="H142" s="47" t="s">
        <v>586</v>
      </c>
    </row>
    <row r="143" spans="1:23" x14ac:dyDescent="0.2">
      <c r="A143" s="629">
        <f>IFERROR(+IF(AND(DATE(YEAR($BJ$6),6,30)&gt;=$BJ$6,DATE(YEAR($BJ$6),6,1)&lt;=$BK$6),DATE(YEAR($BJ$6),6,1),"Hors période"),"")</f>
        <v>693384</v>
      </c>
      <c r="B143" s="967">
        <f t="shared" ref="B143:B154" si="11">IF(C143="",IFERROR(+VLOOKUP(A143,BDD,2,FALSE)+VLOOKUP(A143,BDD,100,FALSE),0),C143)</f>
        <v>0</v>
      </c>
      <c r="C143" s="1176"/>
      <c r="D143" s="31">
        <f>+ROUND((+B143*10%),2)</f>
        <v>0</v>
      </c>
      <c r="H143" s="47"/>
      <c r="V143" s="377">
        <v>1</v>
      </c>
      <c r="W143" s="377" t="str">
        <f>+IF(AND(A143&lt;&gt;"Hors période",B143=0),"JAUNE","NON")</f>
        <v>JAUNE</v>
      </c>
    </row>
    <row r="144" spans="1:23" x14ac:dyDescent="0.2">
      <c r="A144" s="629">
        <f>IFERROR(+IF(AND(DATE(YEAR($BJ$6),7,31)&gt;=$BJ$6,DATE(YEAR($BJ$6),7,1)&lt;=$BK$6),DATE(YEAR($BJ$6),7,1),"Hors période"),"")</f>
        <v>693414</v>
      </c>
      <c r="B144" s="967">
        <f t="shared" si="11"/>
        <v>0</v>
      </c>
      <c r="C144" s="1176"/>
      <c r="D144" s="31">
        <f t="shared" ref="D144:D154" si="12">+ROUND((+B144*10%),2)</f>
        <v>0</v>
      </c>
      <c r="H144" s="47" t="s">
        <v>587</v>
      </c>
      <c r="V144" s="377">
        <v>2</v>
      </c>
      <c r="W144" s="377" t="str">
        <f t="shared" ref="W144:W154" si="13">+IF(AND(A144&lt;&gt;"Hors période",B144=0),"JAUNE","NON")</f>
        <v>JAUNE</v>
      </c>
    </row>
    <row r="145" spans="1:23" x14ac:dyDescent="0.2">
      <c r="A145" s="629">
        <f>IFERROR(+IF(AND(DATE(YEAR($BJ$6),8,31)&gt;=$BJ$6,DATE(YEAR($BJ$6),8,1)&lt;=$BK$6),DATE(YEAR($BJ$6),8,1),"Hors période"),"")</f>
        <v>693445</v>
      </c>
      <c r="B145" s="967">
        <f t="shared" si="11"/>
        <v>0</v>
      </c>
      <c r="C145" s="1176"/>
      <c r="D145" s="31">
        <f t="shared" si="12"/>
        <v>0</v>
      </c>
      <c r="H145" s="47" t="str">
        <f>+"[Salaire du mois ("&amp;B154&amp;" euros) x 10%]"</f>
        <v>[Salaire du mois (0 euros) x 10%]</v>
      </c>
      <c r="V145" s="377">
        <v>3</v>
      </c>
      <c r="W145" s="377" t="str">
        <f t="shared" si="13"/>
        <v>JAUNE</v>
      </c>
    </row>
    <row r="146" spans="1:23" x14ac:dyDescent="0.2">
      <c r="A146" s="629">
        <f>IFERROR(+IF(AND(DATE(YEAR($BJ$6),9,30)&gt;=$BJ$6,DATE(YEAR($BJ$6),9,1)&lt;=$BK$6),DATE(YEAR($BJ$6),9,1),"Hors période"),"")</f>
        <v>693476</v>
      </c>
      <c r="B146" s="967">
        <f t="shared" si="11"/>
        <v>0</v>
      </c>
      <c r="C146" s="1176"/>
      <c r="D146" s="31">
        <f t="shared" si="12"/>
        <v>0</v>
      </c>
      <c r="H146" s="47" t="str">
        <f>+"Soit pour la ligne du mois de Mai "&amp;ROUND(D154,2)&amp;" euros"</f>
        <v>Soit pour la ligne du mois de Mai 0 euros</v>
      </c>
      <c r="V146" s="377">
        <v>4</v>
      </c>
      <c r="W146" s="377" t="str">
        <f t="shared" si="13"/>
        <v>JAUNE</v>
      </c>
    </row>
    <row r="147" spans="1:23" x14ac:dyDescent="0.2">
      <c r="A147" s="629">
        <f>IFERROR(+IF(AND(DATE(YEAR($BJ$6),10,31)&gt;=$BJ$6,DATE(YEAR($BJ$6),10,1)&lt;=$BK$6),DATE(YEAR($BJ$6),10,1),"Hors période"),"")</f>
        <v>693506</v>
      </c>
      <c r="B147" s="967">
        <f t="shared" si="11"/>
        <v>0</v>
      </c>
      <c r="C147" s="1176"/>
      <c r="D147" s="31">
        <f t="shared" si="12"/>
        <v>0</v>
      </c>
      <c r="H147" s="47"/>
      <c r="V147" s="377">
        <v>5</v>
      </c>
      <c r="W147" s="377" t="str">
        <f t="shared" si="13"/>
        <v>JAUNE</v>
      </c>
    </row>
    <row r="148" spans="1:23" x14ac:dyDescent="0.2">
      <c r="A148" s="629">
        <f>IFERROR(+IF(AND(DATE(YEAR($BJ$6),11,30)&gt;=$BJ$6,DATE(YEAR($BJ$6),11,1)&lt;=$BK$6),DATE(YEAR($BJ$6),11,1),"Hors période"),"")</f>
        <v>693537</v>
      </c>
      <c r="B148" s="967">
        <f t="shared" si="11"/>
        <v>0</v>
      </c>
      <c r="C148" s="1176"/>
      <c r="D148" s="31">
        <f t="shared" si="12"/>
        <v>0</v>
      </c>
      <c r="H148" s="47" t="str">
        <f>+"Soit pour tous les mois un montant total de "&amp;ROUND(D155,2)&amp;" euros"</f>
        <v>Soit pour tous les mois un montant total de 0 euros</v>
      </c>
      <c r="V148" s="377">
        <v>6</v>
      </c>
      <c r="W148" s="377" t="str">
        <f t="shared" si="13"/>
        <v>JAUNE</v>
      </c>
    </row>
    <row r="149" spans="1:23" x14ac:dyDescent="0.2">
      <c r="A149" s="629">
        <f>IFERROR(+IF(AND(DATE(YEAR($BJ$6),12,31)&gt;=$BJ$6,DATE(YEAR($BJ$6),12,1)&lt;=$BK$6),DATE(YEAR($BJ$6),12,1),"Hors période"),"")</f>
        <v>693567</v>
      </c>
      <c r="B149" s="967">
        <f t="shared" si="11"/>
        <v>0</v>
      </c>
      <c r="C149" s="1176"/>
      <c r="D149" s="31">
        <f t="shared" si="12"/>
        <v>0</v>
      </c>
      <c r="H149" s="47"/>
      <c r="V149" s="377">
        <v>7</v>
      </c>
      <c r="W149" s="377" t="str">
        <f t="shared" si="13"/>
        <v>JAUNE</v>
      </c>
    </row>
    <row r="150" spans="1:23" x14ac:dyDescent="0.2">
      <c r="A150" s="630">
        <f>IFERROR(+IF(AND(DATE(YEAR($BK$6),1,31)&gt;=$BJ$6,DATE(YEAR($BK$6),1,1)&lt;=$BK$6),DATE(YEAR($BK$6),1,1),"Hors période"),"")</f>
        <v>693598</v>
      </c>
      <c r="B150" s="967">
        <f t="shared" si="11"/>
        <v>0</v>
      </c>
      <c r="C150" s="1176"/>
      <c r="D150" s="31">
        <f t="shared" si="12"/>
        <v>0</v>
      </c>
      <c r="H150" s="664" t="s">
        <v>588</v>
      </c>
      <c r="I150" s="47"/>
      <c r="V150" s="377">
        <v>8</v>
      </c>
      <c r="W150" s="377" t="str">
        <f t="shared" si="13"/>
        <v>JAUNE</v>
      </c>
    </row>
    <row r="151" spans="1:23" x14ac:dyDescent="0.2">
      <c r="A151" s="630">
        <f>IFERROR(+IF(AND(DATE(YEAR($BK$6),2,29)&gt;=$BJ$6,DATE(YEAR($BK$6),2,1)&lt;=$BK$6),DATE(YEAR($BK$6),2,1),"Hors période"),"")</f>
        <v>693629</v>
      </c>
      <c r="B151" s="967">
        <f t="shared" si="11"/>
        <v>0</v>
      </c>
      <c r="C151" s="1176"/>
      <c r="D151" s="31">
        <f t="shared" si="12"/>
        <v>0</v>
      </c>
      <c r="H151" s="47" t="s">
        <v>739</v>
      </c>
      <c r="V151" s="377">
        <v>9</v>
      </c>
      <c r="W151" s="377" t="str">
        <f t="shared" si="13"/>
        <v>JAUNE</v>
      </c>
    </row>
    <row r="152" spans="1:23" x14ac:dyDescent="0.2">
      <c r="A152" s="630">
        <f>IFERROR(+IF(AND(DATE(YEAR($BK$6),3,31)&gt;=$BJ$6,DATE(YEAR($BK$6),3,1)&lt;=$BK$6),DATE(YEAR($BK$6),3,1),"Hors période"),"")</f>
        <v>693657</v>
      </c>
      <c r="B152" s="967">
        <f t="shared" si="11"/>
        <v>0</v>
      </c>
      <c r="C152" s="1176"/>
      <c r="D152" s="31">
        <f t="shared" si="12"/>
        <v>0</v>
      </c>
      <c r="I152" s="56" t="str">
        <f>+D155&amp;" / "&amp;D119&amp;" X "&amp;F115</f>
        <v>0 / 0 X 0</v>
      </c>
      <c r="J152" s="47" t="str">
        <f>"= "&amp;IFERROR(ROUND(D155/D119*(F115),2),0)</f>
        <v>= 0</v>
      </c>
      <c r="V152" s="377">
        <v>10</v>
      </c>
      <c r="W152" s="377" t="str">
        <f t="shared" si="13"/>
        <v>JAUNE</v>
      </c>
    </row>
    <row r="153" spans="1:23" x14ac:dyDescent="0.2">
      <c r="A153" s="630">
        <f>IFERROR(+IF(AND(DATE(YEAR($BK$6),4,30)&gt;=$BJ$6,DATE(YEAR($BK$6),4,1)&lt;=$BK$6),DATE(YEAR($BK$6),4,1),"Hors période"),"")</f>
        <v>693688</v>
      </c>
      <c r="B153" s="967">
        <f t="shared" si="11"/>
        <v>0</v>
      </c>
      <c r="C153" s="1176"/>
      <c r="D153" s="31">
        <f t="shared" si="12"/>
        <v>0</v>
      </c>
      <c r="H153" s="47"/>
      <c r="V153" s="377">
        <v>11</v>
      </c>
      <c r="W153" s="377" t="str">
        <f t="shared" si="13"/>
        <v>JAUNE</v>
      </c>
    </row>
    <row r="154" spans="1:23" x14ac:dyDescent="0.2">
      <c r="A154" s="630">
        <f>IFERROR(+IF(AND(DATE(YEAR($BK$6),5,31)&gt;=$BJ$6,DATE(YEAR($BK$6),5,1)&lt;=$BK$6),DATE(YEAR($BK$6),5,1),"Hors période"),"")</f>
        <v>693718</v>
      </c>
      <c r="B154" s="967">
        <f t="shared" si="11"/>
        <v>0</v>
      </c>
      <c r="C154" s="1176"/>
      <c r="D154" s="31">
        <f t="shared" si="12"/>
        <v>0</v>
      </c>
      <c r="H154" s="47" t="str">
        <f>+"L'AM a déjà pris "&amp;E159&amp;" jour(s) sur les "&amp;F121&amp;" jour(s) acquis. Il lui reste "&amp;F125&amp;" jour(s) à prendre."</f>
        <v>L'AM a déjà pris 0 jour(s) sur les 0 jour(s) acquis. Il lui reste 0 jour(s) à prendre.</v>
      </c>
      <c r="V154" s="377">
        <v>12</v>
      </c>
      <c r="W154" s="377" t="str">
        <f t="shared" si="13"/>
        <v>JAUNE</v>
      </c>
    </row>
    <row r="155" spans="1:23" x14ac:dyDescent="0.2">
      <c r="C155" s="29" t="s">
        <v>441</v>
      </c>
      <c r="D155" s="57">
        <f>ROUND(SUM(D143:D154),2)</f>
        <v>0</v>
      </c>
      <c r="H155" s="47"/>
    </row>
    <row r="156" spans="1:23" x14ac:dyDescent="0.2">
      <c r="D156" s="58"/>
      <c r="H156" s="47" t="e">
        <f>+"Il lui reste donc à percevoir pour la méthode des 10% :   "&amp;ROUND(D155+D157,2)&amp;" euros / "&amp;F121&amp;" jour(s) X "&amp;F125&amp;" jour(s) = "&amp;D162&amp;" euros."</f>
        <v>#N/A</v>
      </c>
    </row>
    <row r="157" spans="1:23" x14ac:dyDescent="0.2">
      <c r="C157" s="29" t="s">
        <v>738</v>
      </c>
      <c r="D157" s="57">
        <f>IF(D119,ROUND(D155/D119*(F115),2),0)</f>
        <v>0</v>
      </c>
      <c r="H157" s="47"/>
    </row>
    <row r="159" spans="1:23" x14ac:dyDescent="0.2">
      <c r="D159" s="29" t="s">
        <v>579</v>
      </c>
      <c r="E159" s="1566">
        <f>+D123</f>
        <v>0</v>
      </c>
      <c r="F159" s="59"/>
    </row>
    <row r="160" spans="1:23" x14ac:dyDescent="0.2">
      <c r="D160" s="29"/>
      <c r="E160" s="58"/>
      <c r="F160" s="59"/>
    </row>
    <row r="162" spans="1:7" x14ac:dyDescent="0.2">
      <c r="A162" s="2410" t="s">
        <v>590</v>
      </c>
      <c r="B162" s="2410"/>
      <c r="C162" s="2410"/>
      <c r="D162" s="414" t="e">
        <f>IF(AND(BF9="OUI",BF10&lt;&gt;52),0,IFERROR(ROUND((SUM(D143:D154)+D157)/F121*F125,2),(SUM(D143:D154)+D157)))</f>
        <v>#N/A</v>
      </c>
    </row>
    <row r="163" spans="1:7" ht="13.5" thickBot="1" x14ac:dyDescent="0.25"/>
    <row r="164" spans="1:7" x14ac:dyDescent="0.2">
      <c r="A164" s="2468" t="s">
        <v>591</v>
      </c>
      <c r="B164" s="2469"/>
      <c r="C164" s="2469"/>
      <c r="D164" s="2469"/>
      <c r="E164" s="2469"/>
      <c r="F164" s="2470"/>
      <c r="G164" s="419" t="e">
        <f>IF(BE6=1,0,+IF(D162&gt;D137,D162,D137))</f>
        <v>#N/A</v>
      </c>
    </row>
    <row r="165" spans="1:7" ht="13.5" thickBot="1" x14ac:dyDescent="0.25">
      <c r="A165" s="60"/>
      <c r="B165" s="61"/>
      <c r="C165" s="61"/>
      <c r="D165" s="61"/>
      <c r="E165" s="61"/>
      <c r="F165" s="61"/>
      <c r="G165" s="62"/>
    </row>
  </sheetData>
  <sheetProtection algorithmName="SHA-512" hashValue="btbJr2A1rti0ht8vGcdG0xOcCOluoL/giMI+RIWAM/zTeBmDZHUgGlnL5+tpHrOxHF+o+NmKQL86lyVsXl6DNw==" saltValue="PsCherbU7uE8AEVT2sfopg==" spinCount="100000" sheet="1" objects="1" scenarios="1" formatCells="0" formatColumns="0" formatRows="0" insertColumns="0" insertRows="0" insertHyperlinks="0" sort="0" autoFilter="0" pivotTables="0"/>
  <mergeCells count="25">
    <mergeCell ref="AA8:AA9"/>
    <mergeCell ref="AB8:AB9"/>
    <mergeCell ref="AD8:AD9"/>
    <mergeCell ref="AE8:AE9"/>
    <mergeCell ref="AF8:AF9"/>
    <mergeCell ref="AC8:AC9"/>
    <mergeCell ref="C2:I2"/>
    <mergeCell ref="A164:F164"/>
    <mergeCell ref="A137:C137"/>
    <mergeCell ref="A162:C162"/>
    <mergeCell ref="H12:I12"/>
    <mergeCell ref="H13:I13"/>
    <mergeCell ref="A80:F80"/>
    <mergeCell ref="B91:D91"/>
    <mergeCell ref="B4:D4"/>
    <mergeCell ref="B5:D5"/>
    <mergeCell ref="B90:D90"/>
    <mergeCell ref="A78:C78"/>
    <mergeCell ref="C88:I88"/>
    <mergeCell ref="AF98:AF99"/>
    <mergeCell ref="AA98:AA99"/>
    <mergeCell ref="AB98:AB99"/>
    <mergeCell ref="AC98:AC99"/>
    <mergeCell ref="AD98:AD99"/>
    <mergeCell ref="AE98:AE99"/>
  </mergeCells>
  <conditionalFormatting sqref="A44:E49">
    <cfRule type="expression" dxfId="3860" priority="32">
      <formula>$C$41="Méthode 1"</formula>
    </cfRule>
  </conditionalFormatting>
  <conditionalFormatting sqref="A132:F135 C130 A131:B131 D131:F131">
    <cfRule type="expression" dxfId="3859" priority="35">
      <formula>$C$127="Méthode 1"</formula>
    </cfRule>
  </conditionalFormatting>
  <conditionalFormatting sqref="A2:Q72 A78:Q166 H73:N75 A73:G77 O73:Q77">
    <cfRule type="expression" dxfId="3858" priority="9">
      <formula>$BE$5="OUI"</formula>
    </cfRule>
  </conditionalFormatting>
  <conditionalFormatting sqref="A87:Q87 A88:B88 J88:Q88 A89:Q110 G111:Q112 A111:D113 G113 I113:Q113 H114 I114:P116 A114:G138 Q114:Q138 H116 H117:P136 A139:Q166">
    <cfRule type="expression" dxfId="3857" priority="10">
      <formula>$BE$6=1</formula>
    </cfRule>
  </conditionalFormatting>
  <conditionalFormatting sqref="B142">
    <cfRule type="expression" dxfId="3856" priority="23">
      <formula>$BE$6=1</formula>
    </cfRule>
  </conditionalFormatting>
  <conditionalFormatting sqref="C58:C69">
    <cfRule type="expression" dxfId="3855" priority="40">
      <formula>W2="JAUNE"</formula>
    </cfRule>
  </conditionalFormatting>
  <conditionalFormatting sqref="C143:C154">
    <cfRule type="notContainsBlanks" dxfId="3854" priority="11">
      <formula>LEN(TRIM(C143))&gt;0</formula>
    </cfRule>
    <cfRule type="expression" dxfId="3853" priority="24">
      <formula>W143="JAUNE"</formula>
    </cfRule>
  </conditionalFormatting>
  <conditionalFormatting sqref="C144:C154">
    <cfRule type="expression" dxfId="3852" priority="12">
      <formula>W88="JAUNE"</formula>
    </cfRule>
  </conditionalFormatting>
  <conditionalFormatting sqref="E93 E95 D124 C128 C132:C135 E132:E135 E7 E9 E11 F20 D38 C42 C46:C49 E46:E49 C58:C69 AC10:AC17 AC100:AC107">
    <cfRule type="notContainsBlanks" dxfId="3851" priority="29">
      <formula>LEN(TRIM(C7))&gt;0</formula>
    </cfRule>
  </conditionalFormatting>
  <conditionalFormatting sqref="E25:F25 E26 E112">
    <cfRule type="expression" dxfId="3850" priority="8">
      <formula>$BF$4="OUI"</formula>
    </cfRule>
  </conditionalFormatting>
  <conditionalFormatting sqref="E111:F111">
    <cfRule type="expression" dxfId="3849" priority="4">
      <formula>$BF$4="OUI"</formula>
    </cfRule>
  </conditionalFormatting>
  <conditionalFormatting sqref="F26">
    <cfRule type="notContainsBlanks" dxfId="3848" priority="6">
      <formula>LEN(TRIM(F26))&gt;0</formula>
    </cfRule>
  </conditionalFormatting>
  <conditionalFormatting sqref="F106">
    <cfRule type="expression" dxfId="3847" priority="25">
      <formula>AND(BE6&lt;&gt;1,F105=0)</formula>
    </cfRule>
    <cfRule type="notContainsBlanks" dxfId="3846" priority="26">
      <formula>LEN(TRIM(F106))&gt;0</formula>
    </cfRule>
  </conditionalFormatting>
  <conditionalFormatting sqref="F112">
    <cfRule type="expression" dxfId="3845" priority="1">
      <formula>$BE$5="OUI"</formula>
    </cfRule>
    <cfRule type="notContainsBlanks" dxfId="3844" priority="2">
      <formula>LEN(TRIM(F112))&gt;0</formula>
    </cfRule>
  </conditionalFormatting>
  <conditionalFormatting sqref="F26:G26">
    <cfRule type="expression" dxfId="3843" priority="5">
      <formula>$BE$5="OUI"</formula>
    </cfRule>
  </conditionalFormatting>
  <conditionalFormatting sqref="I6">
    <cfRule type="expression" dxfId="3842" priority="180">
      <formula>$W$32="ROUGE"</formula>
    </cfRule>
  </conditionalFormatting>
  <conditionalFormatting sqref="Y4:AF34">
    <cfRule type="expression" dxfId="3841" priority="1797">
      <formula>$C$41="Méthode 1"</formula>
    </cfRule>
  </conditionalFormatting>
  <conditionalFormatting sqref="Y94:AF123">
    <cfRule type="expression" dxfId="3840" priority="30">
      <formula>$C$127="Méthode 1"</formula>
    </cfRule>
  </conditionalFormatting>
  <conditionalFormatting sqref="AC31 AC34 AC120 AC123">
    <cfRule type="expression" dxfId="3839" priority="4826">
      <formula>$BI$3="Méthode 2"</formula>
    </cfRule>
  </conditionalFormatting>
  <pageMargins left="0.25" right="0.25" top="0.75" bottom="0.75" header="0.3" footer="0.3"/>
  <pageSetup paperSize="9" scale="44" orientation="landscape" horizontalDpi="1200" verticalDpi="1200" r:id="rId1"/>
  <rowBreaks count="1" manualBreakCount="1">
    <brk id="81" max="2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900-000000000000}">
          <x14:formula1>
            <xm:f>S.CAL!$BP$2:$BP$4</xm:f>
          </x14:formula1>
          <xm:sqref>C128 C42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002060"/>
    <pageSetUpPr fitToPage="1"/>
  </sheetPr>
  <dimension ref="A1:AQ346"/>
  <sheetViews>
    <sheetView showGridLines="0" zoomScale="90" zoomScaleNormal="90" workbookViewId="0">
      <selection activeCell="H2" sqref="H2"/>
    </sheetView>
  </sheetViews>
  <sheetFormatPr baseColWidth="10" defaultColWidth="11.42578125" defaultRowHeight="12.75" outlineLevelRow="1" x14ac:dyDescent="0.2"/>
  <cols>
    <col min="1" max="24" width="13.42578125" style="16" customWidth="1"/>
    <col min="25" max="40" width="11.42578125" style="16"/>
    <col min="41" max="41" width="14.5703125" style="16" hidden="1" customWidth="1"/>
    <col min="42" max="42" width="11.42578125" style="16" hidden="1" customWidth="1"/>
    <col min="43" max="44" width="0" style="16" hidden="1" customWidth="1"/>
    <col min="45" max="16384" width="11.42578125" style="16"/>
  </cols>
  <sheetData>
    <row r="1" spans="1:43" ht="18" x14ac:dyDescent="0.25">
      <c r="A1" s="1259" t="s">
        <v>1402</v>
      </c>
      <c r="H1" s="1035" t="str">
        <f>+'Mode d''utilisation'!E2</f>
        <v>Syndicat National FO des Emplois de la Famille         www.emploisdelafamille-fo.fr</v>
      </c>
      <c r="AO1" s="30" t="str">
        <f>+A15</f>
        <v>Hors période</v>
      </c>
      <c r="AP1" s="37">
        <f>+$I$31</f>
        <v>0</v>
      </c>
      <c r="AQ1" s="16">
        <f t="shared" ref="AQ1:AQ12" si="0">+$I$70</f>
        <v>0</v>
      </c>
    </row>
    <row r="2" spans="1:43" ht="12.75" customHeight="1" x14ac:dyDescent="0.25">
      <c r="A2" s="17"/>
      <c r="AO2" s="30" t="str">
        <f t="shared" ref="AO2:AO12" si="1">+A16</f>
        <v>Hors période</v>
      </c>
      <c r="AP2" s="37">
        <f t="shared" ref="AP2:AP12" si="2">+$I$31</f>
        <v>0</v>
      </c>
      <c r="AQ2" s="16">
        <f t="shared" si="0"/>
        <v>0</v>
      </c>
    </row>
    <row r="3" spans="1:43" ht="12.75" customHeight="1" x14ac:dyDescent="0.25">
      <c r="A3" s="17"/>
      <c r="C3" s="29" t="s">
        <v>119</v>
      </c>
      <c r="D3" s="16">
        <f>+Identification!B25</f>
        <v>0</v>
      </c>
      <c r="K3" s="25" t="s">
        <v>1376</v>
      </c>
      <c r="L3" s="25"/>
      <c r="M3" s="25"/>
      <c r="AO3" s="30" t="str">
        <f t="shared" si="1"/>
        <v>Hors période</v>
      </c>
      <c r="AP3" s="37">
        <f t="shared" si="2"/>
        <v>0</v>
      </c>
      <c r="AQ3" s="16">
        <f t="shared" si="0"/>
        <v>0</v>
      </c>
    </row>
    <row r="4" spans="1:43" ht="12.75" customHeight="1" x14ac:dyDescent="0.2">
      <c r="AO4" s="30" t="str">
        <f t="shared" si="1"/>
        <v>Hors période</v>
      </c>
      <c r="AP4" s="37">
        <f t="shared" si="2"/>
        <v>0</v>
      </c>
      <c r="AQ4" s="16">
        <f t="shared" si="0"/>
        <v>0</v>
      </c>
    </row>
    <row r="5" spans="1:43" ht="12.75" customHeight="1" x14ac:dyDescent="0.2">
      <c r="C5" s="29" t="s">
        <v>8</v>
      </c>
      <c r="D5" s="564">
        <f>+Identification!B28</f>
        <v>0</v>
      </c>
      <c r="F5" s="29" t="s">
        <v>179</v>
      </c>
      <c r="G5" s="85">
        <f>+Identification!B95</f>
        <v>0</v>
      </c>
      <c r="I5" s="19" t="s">
        <v>1395</v>
      </c>
      <c r="K5" s="1001"/>
      <c r="L5" s="1000" t="s">
        <v>1385</v>
      </c>
      <c r="M5" s="960"/>
      <c r="N5" s="960"/>
      <c r="O5" s="960"/>
      <c r="P5" s="960"/>
      <c r="Q5" s="960"/>
      <c r="AO5" s="30" t="str">
        <f t="shared" si="1"/>
        <v>Hors période</v>
      </c>
      <c r="AP5" s="37">
        <f t="shared" si="2"/>
        <v>0</v>
      </c>
      <c r="AQ5" s="16">
        <f t="shared" si="0"/>
        <v>0</v>
      </c>
    </row>
    <row r="6" spans="1:43" ht="12.75" customHeight="1" x14ac:dyDescent="0.2">
      <c r="C6" s="29"/>
      <c r="D6" s="85"/>
      <c r="F6" s="29" t="s">
        <v>1431</v>
      </c>
      <c r="G6" s="564">
        <f>+Identification!B99</f>
        <v>0</v>
      </c>
      <c r="J6" s="39" t="s">
        <v>1396</v>
      </c>
      <c r="K6" s="1257" t="str">
        <f>+IF(Identification!B102=S.CAL!FO1,"OUI","NON")</f>
        <v>NON</v>
      </c>
      <c r="L6" s="1000" t="s">
        <v>1386</v>
      </c>
      <c r="M6" s="960"/>
      <c r="N6" s="960"/>
      <c r="O6" s="960"/>
      <c r="P6" s="960"/>
      <c r="Q6" s="960"/>
      <c r="AO6" s="30" t="str">
        <f t="shared" si="1"/>
        <v>Hors période</v>
      </c>
      <c r="AP6" s="37">
        <f t="shared" si="2"/>
        <v>0</v>
      </c>
      <c r="AQ6" s="16">
        <f t="shared" si="0"/>
        <v>0</v>
      </c>
    </row>
    <row r="7" spans="1:43" x14ac:dyDescent="0.2">
      <c r="AO7" s="30" t="str">
        <f t="shared" si="1"/>
        <v>Hors période</v>
      </c>
      <c r="AP7" s="37">
        <f t="shared" si="2"/>
        <v>0</v>
      </c>
      <c r="AQ7" s="16">
        <f t="shared" si="0"/>
        <v>0</v>
      </c>
    </row>
    <row r="8" spans="1:43" x14ac:dyDescent="0.2">
      <c r="C8" s="29" t="s">
        <v>167</v>
      </c>
      <c r="D8" s="2496" t="s">
        <v>1151</v>
      </c>
      <c r="E8" s="2496"/>
      <c r="F8" s="29" t="s">
        <v>169</v>
      </c>
      <c r="G8" s="16">
        <f>1/+VLOOKUP(D8,A40:F44,3,FALSE)</f>
        <v>1.2500000000000001E-2</v>
      </c>
      <c r="H8" s="27"/>
      <c r="I8" s="19" t="str">
        <f>+"Avec la règle du "&amp;D8&amp;", il doit y avoir "&amp;VLOOKUP(D8,A40:F44,5,FALSE)&amp;" mois travaillés entre la date du contrat et la date de notification de la fin contrat"</f>
        <v>Avec la règle du 1/80è, il doit y avoir 9 mois travaillés entre la date du contrat et la date de notification de la fin contrat</v>
      </c>
      <c r="J8" s="19"/>
      <c r="K8" s="19"/>
      <c r="L8" s="19"/>
      <c r="M8" s="19"/>
      <c r="N8" s="19"/>
      <c r="O8" s="19"/>
      <c r="AO8" s="30" t="str">
        <f t="shared" si="1"/>
        <v>Hors période</v>
      </c>
      <c r="AP8" s="37">
        <f t="shared" si="2"/>
        <v>0</v>
      </c>
      <c r="AQ8" s="16">
        <f t="shared" si="0"/>
        <v>0</v>
      </c>
    </row>
    <row r="9" spans="1:43" x14ac:dyDescent="0.2">
      <c r="C9" s="29" t="s">
        <v>901</v>
      </c>
      <c r="D9" s="2381" t="str">
        <f>+VLOOKUP(D8,A40:F44,4,FALSE)</f>
        <v>Salaire brut</v>
      </c>
      <c r="E9" s="2381"/>
      <c r="G9" s="29"/>
      <c r="I9" s="16" t="s">
        <v>1036</v>
      </c>
      <c r="K9" s="1258" t="str">
        <f>+IF(L9&gt;=M9,"OUI","NON")</f>
        <v>NON</v>
      </c>
      <c r="L9" s="563">
        <f>IF(G6=EOMONTH(G6,0),+DATEDIF(D5,G6,"m")+1,+DATEDIF(D5,G6,"m"))</f>
        <v>0</v>
      </c>
      <c r="M9" s="563">
        <f>+VLOOKUP(D8,A40:F44,5,FALSE)</f>
        <v>9</v>
      </c>
      <c r="N9" s="24"/>
      <c r="AO9" s="30" t="str">
        <f t="shared" si="1"/>
        <v>Hors période</v>
      </c>
      <c r="AP9" s="37">
        <f t="shared" si="2"/>
        <v>0</v>
      </c>
      <c r="AQ9" s="16">
        <f t="shared" si="0"/>
        <v>0</v>
      </c>
    </row>
    <row r="10" spans="1:43" x14ac:dyDescent="0.2">
      <c r="F10" s="2494" t="str">
        <f>+IF(D9=S.CAL!$CP$1,"Attention il faut noter le SALAIRE NET",IF(D9=S.CAL!$CP$2,"Attention il faut noter le SALAIRE BRUT",""))</f>
        <v>Attention il faut noter le SALAIRE BRUT</v>
      </c>
      <c r="G10" s="2494"/>
      <c r="H10" s="2494"/>
      <c r="I10" s="2494"/>
      <c r="J10" s="2494"/>
      <c r="K10" s="2494"/>
      <c r="L10" s="2494"/>
      <c r="M10" s="2494"/>
      <c r="N10" s="2494"/>
      <c r="AO10" s="30" t="str">
        <f t="shared" si="1"/>
        <v>Hors période</v>
      </c>
      <c r="AP10" s="37">
        <f t="shared" si="2"/>
        <v>0</v>
      </c>
      <c r="AQ10" s="16">
        <f t="shared" si="0"/>
        <v>0</v>
      </c>
    </row>
    <row r="11" spans="1:43" x14ac:dyDescent="0.2">
      <c r="F11" s="2495"/>
      <c r="G11" s="2495"/>
      <c r="H11" s="2495"/>
      <c r="I11" s="2495"/>
      <c r="J11" s="2495"/>
      <c r="K11" s="2495"/>
      <c r="L11" s="2495"/>
      <c r="M11" s="2495"/>
      <c r="N11" s="2495"/>
      <c r="AO11" s="30" t="str">
        <f t="shared" si="1"/>
        <v>Hors période</v>
      </c>
      <c r="AP11" s="37">
        <f t="shared" si="2"/>
        <v>0</v>
      </c>
      <c r="AQ11" s="16">
        <f t="shared" si="0"/>
        <v>0</v>
      </c>
    </row>
    <row r="12" spans="1:43" x14ac:dyDescent="0.2">
      <c r="A12" s="2477" t="s">
        <v>71</v>
      </c>
      <c r="B12" s="2478"/>
      <c r="C12" s="2479"/>
      <c r="D12" s="2474" t="s">
        <v>171</v>
      </c>
      <c r="E12" s="2475"/>
      <c r="F12" s="2476"/>
      <c r="G12" s="2477" t="s">
        <v>172</v>
      </c>
      <c r="H12" s="2478"/>
      <c r="I12" s="2479"/>
      <c r="J12" s="2474" t="s">
        <v>173</v>
      </c>
      <c r="K12" s="2475"/>
      <c r="L12" s="2476"/>
      <c r="M12" s="2477" t="s">
        <v>174</v>
      </c>
      <c r="N12" s="2478"/>
      <c r="O12" s="2479"/>
      <c r="P12" s="2474" t="s">
        <v>175</v>
      </c>
      <c r="Q12" s="2475"/>
      <c r="R12" s="2476"/>
      <c r="S12" s="2477" t="s">
        <v>176</v>
      </c>
      <c r="T12" s="2478"/>
      <c r="U12" s="2479"/>
      <c r="V12" s="2474" t="s">
        <v>177</v>
      </c>
      <c r="W12" s="2475"/>
      <c r="X12" s="2476"/>
      <c r="AO12" s="30" t="str">
        <f t="shared" si="1"/>
        <v>Hors période</v>
      </c>
      <c r="AP12" s="37">
        <f t="shared" si="2"/>
        <v>0</v>
      </c>
      <c r="AQ12" s="16">
        <f t="shared" si="0"/>
        <v>0</v>
      </c>
    </row>
    <row r="13" spans="1:43" x14ac:dyDescent="0.2">
      <c r="A13" s="2480">
        <f>+Identification!B60</f>
        <v>2026</v>
      </c>
      <c r="B13" s="2481"/>
      <c r="C13" s="2482"/>
      <c r="D13" s="2480">
        <f>+A13-1</f>
        <v>2025</v>
      </c>
      <c r="E13" s="2481"/>
      <c r="F13" s="2482"/>
      <c r="G13" s="2480">
        <f>+D13-1</f>
        <v>2024</v>
      </c>
      <c r="H13" s="2481"/>
      <c r="I13" s="2482"/>
      <c r="J13" s="2480">
        <f>+G13-1</f>
        <v>2023</v>
      </c>
      <c r="K13" s="2481"/>
      <c r="L13" s="2482"/>
      <c r="M13" s="2480">
        <f>+J13-1</f>
        <v>2022</v>
      </c>
      <c r="N13" s="2481"/>
      <c r="O13" s="2482"/>
      <c r="P13" s="2480">
        <f>+M13-1</f>
        <v>2021</v>
      </c>
      <c r="Q13" s="2481"/>
      <c r="R13" s="2482"/>
      <c r="S13" s="2480">
        <f>+P13-1</f>
        <v>2020</v>
      </c>
      <c r="T13" s="2481"/>
      <c r="U13" s="2482"/>
      <c r="V13" s="2480">
        <f>+S13-1</f>
        <v>2019</v>
      </c>
      <c r="W13" s="2481"/>
      <c r="X13" s="2482"/>
    </row>
    <row r="14" spans="1:43" x14ac:dyDescent="0.2">
      <c r="A14" s="631" t="s">
        <v>26</v>
      </c>
      <c r="B14" s="633" t="str">
        <f>+D9</f>
        <v>Salaire brut</v>
      </c>
      <c r="C14" s="87" t="s">
        <v>492</v>
      </c>
      <c r="D14" s="632" t="s">
        <v>26</v>
      </c>
      <c r="E14" s="634" t="str">
        <f>+D9</f>
        <v>Salaire brut</v>
      </c>
      <c r="F14" s="87" t="s">
        <v>659</v>
      </c>
      <c r="G14" s="632" t="s">
        <v>26</v>
      </c>
      <c r="H14" s="634" t="str">
        <f>+D9</f>
        <v>Salaire brut</v>
      </c>
      <c r="I14" s="87" t="s">
        <v>659</v>
      </c>
      <c r="J14" s="632" t="s">
        <v>26</v>
      </c>
      <c r="K14" s="634" t="str">
        <f>+D9</f>
        <v>Salaire brut</v>
      </c>
      <c r="L14" s="87" t="s">
        <v>659</v>
      </c>
      <c r="M14" s="632" t="s">
        <v>26</v>
      </c>
      <c r="N14" s="634" t="str">
        <f>+D9</f>
        <v>Salaire brut</v>
      </c>
      <c r="O14" s="87" t="s">
        <v>659</v>
      </c>
      <c r="P14" s="632" t="s">
        <v>26</v>
      </c>
      <c r="Q14" s="634" t="str">
        <f>+D9</f>
        <v>Salaire brut</v>
      </c>
      <c r="R14" s="87" t="s">
        <v>659</v>
      </c>
      <c r="S14" s="632" t="s">
        <v>26</v>
      </c>
      <c r="T14" s="634" t="str">
        <f>+D9</f>
        <v>Salaire brut</v>
      </c>
      <c r="U14" s="87" t="s">
        <v>659</v>
      </c>
      <c r="V14" s="632" t="s">
        <v>26</v>
      </c>
      <c r="W14" s="634" t="str">
        <f>+D9</f>
        <v>Salaire brut</v>
      </c>
      <c r="X14" s="86" t="s">
        <v>659</v>
      </c>
    </row>
    <row r="15" spans="1:43" x14ac:dyDescent="0.2">
      <c r="A15" s="462" t="str">
        <f>+IF(AND(DATE(YEAR($G$5),1,31)&gt;=$D$5,DATE(YEAR($G$5),1,1)&lt;=$G$5),DATE(YEAR($G$5),1,1),"Hors période")</f>
        <v>Hors période</v>
      </c>
      <c r="B15" s="465">
        <f>IF(AND(C15="",$D$9=S.CAL!$CP$1),IFERROR(+VLOOKUP(A15,BDD,29,FALSE),0),IF(AND(C15="",$D$9=S.CAL!$CP$2),IFERROR(+VLOOKUP(A15,BDD,40,FALSE),0),C15))</f>
        <v>0</v>
      </c>
      <c r="C15" s="1149"/>
      <c r="D15" s="88" t="str">
        <f>+IF(AND(DATE(YEAR($G$5)-1,1,31)&gt;=$D$5,DATE(YEAR($G$5)-1,1,1)&lt;=$G$5),DATE(YEAR($G$5)-1,1,1),"Hors période")</f>
        <v>Hors période</v>
      </c>
      <c r="E15" s="465">
        <f>IF(AND(F15="",$D$9=S.CAL!$CP$1),IFERROR(+VLOOKUP(D15,BDD,29,FALSE),0),IF(AND(F15="",$D$9=S.CAL!$CP$2),IFERROR(+VLOOKUP(D15,BDD,40,FALSE),0),F15))</f>
        <v>0</v>
      </c>
      <c r="F15" s="1152"/>
      <c r="G15" s="88" t="str">
        <f>+IF(AND(DATE(YEAR($G$5)-2,1,31)&gt;=$D$5,DATE(YEAR($G$5)-2,1,1)&lt;=$G$5),DATE(YEAR($G$5)-2,1,1),"Hors période")</f>
        <v>Hors période</v>
      </c>
      <c r="H15" s="465">
        <f>IF(AND(I15="",$D$9=S.CAL!$CP$1),IFERROR(+VLOOKUP(G15,BDD,29,FALSE),0),IF(AND(I15="",$D$9=S.CAL!$CP$2),IFERROR(+VLOOKUP(G15,BDD,40,FALSE),0),I15))</f>
        <v>0</v>
      </c>
      <c r="I15" s="1152"/>
      <c r="J15" s="88" t="str">
        <f>+IF(AND(DATE(YEAR($G$5)-3,1,31)&gt;=$D$5,DATE(YEAR($G$5)-3,1,1)&lt;=$G$5),DATE(YEAR($G$5)-3,1,1),"Hors période")</f>
        <v>Hors période</v>
      </c>
      <c r="K15" s="465">
        <f>IF(AND(L15="",$D$9=S.CAL!$CP$1),IFERROR(+VLOOKUP(J15,BDD,29,FALSE),0),IF(AND(L15="",$D$9=S.CAL!$CP$2),IFERROR(+VLOOKUP(J15,BDD,40,FALSE),0),L15))</f>
        <v>0</v>
      </c>
      <c r="L15" s="1152"/>
      <c r="M15" s="88" t="str">
        <f>+IF(AND(DATE(YEAR($G$5)-4,1,31)&gt;=$D$5,DATE(YEAR($G$5)-4,1,1)&lt;=$G$5),DATE(YEAR($G$5)-4,1,1),"Hors période")</f>
        <v>Hors période</v>
      </c>
      <c r="N15" s="465">
        <f>IF(AND(O15="",$D$9=S.CAL!$CP$1),IFERROR(+VLOOKUP(M15,BDD,29,FALSE),0),IF(AND(O15="",$D$9=S.CAL!$CP$2),IFERROR(+VLOOKUP(M15,BDD,40,FALSE),0),O15))</f>
        <v>0</v>
      </c>
      <c r="O15" s="1152"/>
      <c r="P15" s="88" t="str">
        <f>+IF(AND(DATE(YEAR($G$5)-5,1,31)&gt;=$D$5,DATE(YEAR($G$5)-5,1,1)&lt;=$G$5),DATE(YEAR($G$5)-5,1,1),"Hors période")</f>
        <v>Hors période</v>
      </c>
      <c r="Q15" s="465">
        <f>IF(AND(R15="",$D$9=S.CAL!$CP$1),IFERROR(+VLOOKUP(P15,BDD,29,FALSE),0),IF(AND(R15="",$D$9=S.CAL!$CP$2),IFERROR(+VLOOKUP(P15,BDD,40,FALSE),0),R15))</f>
        <v>0</v>
      </c>
      <c r="R15" s="1152"/>
      <c r="S15" s="88" t="str">
        <f>+IF(AND(DATE(YEAR($G$5)-6,1,31)&gt;=$D$5,DATE(YEAR($G$5)-6,1,1)&lt;=$G$5),DATE(YEAR($G$5)-6,1,1),"Hors période")</f>
        <v>Hors période</v>
      </c>
      <c r="T15" s="465">
        <f>IF(AND(U15="",$D$9=S.CAL!$CP$1),IFERROR(+VLOOKUP(S15,BDD,29,FALSE),0),IF(AND(U15="",$D$9=S.CAL!$CP$2),IFERROR(+VLOOKUP(S15,BDD,40,FALSE),0),U15))</f>
        <v>0</v>
      </c>
      <c r="U15" s="1152"/>
      <c r="V15" s="88" t="str">
        <f>+IF(AND(DATE(YEAR($G$5)-7,1,31)&gt;=$D$5,DATE(YEAR($G$5)-7,1,1)&lt;=$G$5),DATE(YEAR($G$5)-7,1,1),"Hors période")</f>
        <v>Hors période</v>
      </c>
      <c r="W15" s="465">
        <f>IF(AND(X15="",$D$9=S.CAL!$CP$1),IFERROR(+VLOOKUP(V15,BDD,29,FALSE),0),IF(AND(X15="",$D$9=S.CAL!$CP$2),IFERROR(+VLOOKUP(V15,BDD,40,FALSE),0),X15))</f>
        <v>0</v>
      </c>
      <c r="X15" s="1152"/>
    </row>
    <row r="16" spans="1:43" x14ac:dyDescent="0.2">
      <c r="A16" s="463" t="str">
        <f>+IF(AND(DATE(YEAR($G$5),2,29)&gt;=$D$5,DATE(YEAR($G$5),2,1)&lt;=$G$5),DATE(YEAR($G$5),2,1),"Hors période")</f>
        <v>Hors période</v>
      </c>
      <c r="B16" s="466">
        <f>IF(AND(C16="",$D$9=S.CAL!$CP$1),IFERROR(+VLOOKUP(A16,BDD,29,FALSE),0),IF(AND(C16="",$D$9=S.CAL!$CP$2),IFERROR(+VLOOKUP(A16,BDD,40,FALSE),0),C16))</f>
        <v>0</v>
      </c>
      <c r="C16" s="1150"/>
      <c r="D16" s="89" t="str">
        <f>+IF(AND(DATE(YEAR($G$5)-1,2,29)&gt;=$D$5,DATE(YEAR($G$5)-1,2,1)&lt;=$G$5),DATE(YEAR($G$5)-1,2,1),"Hors période")</f>
        <v>Hors période</v>
      </c>
      <c r="E16" s="466">
        <f>IF(AND(F16="",$D$9=S.CAL!$CP$1),IFERROR(+VLOOKUP(D16,BDD,29,FALSE),0),IF(AND(F16="",$D$9=S.CAL!$CP$2),IFERROR(+VLOOKUP(D16,BDD,40,FALSE),0),F16))</f>
        <v>0</v>
      </c>
      <c r="F16" s="1153"/>
      <c r="G16" s="89" t="str">
        <f>+IF(AND(DATE(YEAR($G$5)-2,2,29)&gt;=$D$5,DATE(YEAR($G$5)-2,2,1)&lt;=$G$5),DATE(YEAR($G$5)-2,2,1),"Hors période")</f>
        <v>Hors période</v>
      </c>
      <c r="H16" s="466">
        <f>IF(AND(I16="",$D$9=S.CAL!$CP$1),IFERROR(+VLOOKUP(G16,BDD,29,FALSE),0),IF(AND(I16="",$D$9=S.CAL!$CP$2),IFERROR(+VLOOKUP(G16,BDD,40,FALSE),0),I16))</f>
        <v>0</v>
      </c>
      <c r="I16" s="1153"/>
      <c r="J16" s="89" t="str">
        <f>+IF(AND(DATE(YEAR($G$5)-3,2,29)&gt;=$D$5,DATE(YEAR($G$5)-3,2,1)&lt;=$G$5),DATE(YEAR($G$5)-3,2,1),"Hors période")</f>
        <v>Hors période</v>
      </c>
      <c r="K16" s="466">
        <f>IF(AND(L16="",$D$9=S.CAL!$CP$1),IFERROR(+VLOOKUP(J16,BDD,29,FALSE),0),IF(AND(L16="",$D$9=S.CAL!$CP$2),IFERROR(+VLOOKUP(J16,BDD,40,FALSE),0),L16))</f>
        <v>0</v>
      </c>
      <c r="L16" s="1153"/>
      <c r="M16" s="89" t="str">
        <f>+IF(AND(DATE(YEAR($G$5)-4,2,29)&gt;=$D$5,DATE(YEAR($G$5)-4,2,1)&lt;=$G$5),DATE(YEAR($G$5)-4,2,1),"Hors période")</f>
        <v>Hors période</v>
      </c>
      <c r="N16" s="466">
        <f>IF(AND(O16="",$D$9=S.CAL!$CP$1),IFERROR(+VLOOKUP(M16,BDD,29,FALSE),0),IF(AND(O16="",$D$9=S.CAL!$CP$2),IFERROR(+VLOOKUP(M16,BDD,40,FALSE),0),O16))</f>
        <v>0</v>
      </c>
      <c r="O16" s="1153"/>
      <c r="P16" s="89" t="str">
        <f>+IF(AND(DATE(YEAR($G$5)-5,2,29)&gt;=$D$5,DATE(YEAR($G$5)-5,2,1)&lt;=$G$5),DATE(YEAR($G$5)-5,2,1),"Hors période")</f>
        <v>Hors période</v>
      </c>
      <c r="Q16" s="466">
        <f>IF(AND(R16="",$D$9=S.CAL!$CP$1),IFERROR(+VLOOKUP(P16,BDD,29,FALSE),0),IF(AND(R16="",$D$9=S.CAL!$CP$2),IFERROR(+VLOOKUP(P16,BDD,40,FALSE),0),R16))</f>
        <v>0</v>
      </c>
      <c r="R16" s="1153"/>
      <c r="S16" s="89" t="str">
        <f>+IF(AND(DATE(YEAR($G$5)-6,2,29)&gt;=$D$5,DATE(YEAR($G$5)-6,2,1)&lt;=$G$5),DATE(YEAR($G$5)-6,2,1),"Hors période")</f>
        <v>Hors période</v>
      </c>
      <c r="T16" s="466">
        <f>IF(AND(U16="",$D$9=S.CAL!$CP$1),IFERROR(+VLOOKUP(S16,BDD,29,FALSE),0),IF(AND(U16="",$D$9=S.CAL!$CP$2),IFERROR(+VLOOKUP(S16,BDD,40,FALSE),0),U16))</f>
        <v>0</v>
      </c>
      <c r="U16" s="1153"/>
      <c r="V16" s="89" t="str">
        <f>+IF(AND(DATE(YEAR($G$5)-7,2,29)&gt;=$D$5,DATE(YEAR($G$5)-7,2,1)&lt;=$G$5),DATE(YEAR($G$5)-7,2,1),"Hors période")</f>
        <v>Hors période</v>
      </c>
      <c r="W16" s="466">
        <f>IF(AND(X16="",$D$9=S.CAL!$CP$1),IFERROR(+VLOOKUP(V16,BDD,29,FALSE),0),IF(AND(X16="",$D$9=S.CAL!$CP$2),IFERROR(+VLOOKUP(V16,BDD,40,FALSE),0),X16))</f>
        <v>0</v>
      </c>
      <c r="X16" s="1153"/>
    </row>
    <row r="17" spans="1:24" x14ac:dyDescent="0.2">
      <c r="A17" s="463" t="str">
        <f>+IF(AND(DATE(YEAR($G$5),3,31)&gt;=$D$5,DATE(YEAR($G$5),3,1)&lt;=$G$5),DATE(YEAR($G$5),3,1),"Hors période")</f>
        <v>Hors période</v>
      </c>
      <c r="B17" s="466">
        <f>IF(AND(C17="",$D$9=S.CAL!$CP$1),IFERROR(+VLOOKUP(A17,BDD,29,FALSE),0),IF(AND(C17="",$D$9=S.CAL!$CP$2),IFERROR(+VLOOKUP(A17,BDD,40,FALSE),0),C17))</f>
        <v>0</v>
      </c>
      <c r="C17" s="1150"/>
      <c r="D17" s="89" t="str">
        <f>+IF(AND(DATE(YEAR($G$5)-1,3,31)&gt;=$D$5,DATE(YEAR($G$5)-1,3,1)&lt;=$G$5),DATE(YEAR($G$5)-1,3,1),"Hors période")</f>
        <v>Hors période</v>
      </c>
      <c r="E17" s="466">
        <f>IF(AND(F17="",$D$9=S.CAL!$CP$1),IFERROR(+VLOOKUP(D17,BDD,29,FALSE),0),IF(AND(F17="",$D$9=S.CAL!$CP$2),IFERROR(+VLOOKUP(D17,BDD,40,FALSE),0),F17))</f>
        <v>0</v>
      </c>
      <c r="F17" s="1153"/>
      <c r="G17" s="89" t="str">
        <f>+IF(AND(DATE(YEAR($G$5)-2,3,31)&gt;=$D$5,DATE(YEAR($G$5)-2,3,1)&lt;=$G$5),DATE(YEAR($G$5)-2,3,1),"Hors période")</f>
        <v>Hors période</v>
      </c>
      <c r="H17" s="466">
        <f>IF(AND(I17="",$D$9=S.CAL!$CP$1),IFERROR(+VLOOKUP(G17,BDD,29,FALSE),0),IF(AND(I17="",$D$9=S.CAL!$CP$2),IFERROR(+VLOOKUP(G17,BDD,40,FALSE),0),I17))</f>
        <v>0</v>
      </c>
      <c r="I17" s="1153"/>
      <c r="J17" s="89" t="str">
        <f>+IF(AND(DATE(YEAR($G$5)-3,3,31)&gt;=$D$5,DATE(YEAR($G$5)-3,3,1)&lt;=$G$5),DATE(YEAR($G$5)-3,3,1),"Hors période")</f>
        <v>Hors période</v>
      </c>
      <c r="K17" s="466">
        <f>IF(AND(L17="",$D$9=S.CAL!$CP$1),IFERROR(+VLOOKUP(J17,BDD,29,FALSE),0),IF(AND(L17="",$D$9=S.CAL!$CP$2),IFERROR(+VLOOKUP(J17,BDD,40,FALSE),0),L17))</f>
        <v>0</v>
      </c>
      <c r="L17" s="1153"/>
      <c r="M17" s="89" t="str">
        <f>+IF(AND(DATE(YEAR($G$5)-4,3,31)&gt;=$D$5,DATE(YEAR($G$5)-4,3,1)&lt;=$G$5),DATE(YEAR($G$5)-4,3,1),"Hors période")</f>
        <v>Hors période</v>
      </c>
      <c r="N17" s="466">
        <f>IF(AND(O17="",$D$9=S.CAL!$CP$1),IFERROR(+VLOOKUP(M17,BDD,29,FALSE),0),IF(AND(O17="",$D$9=S.CAL!$CP$2),IFERROR(+VLOOKUP(M17,BDD,40,FALSE),0),O17))</f>
        <v>0</v>
      </c>
      <c r="O17" s="1153"/>
      <c r="P17" s="89" t="str">
        <f>+IF(AND(DATE(YEAR($G$5)-5,3,31)&gt;=$D$5,DATE(YEAR($G$5)-5,3,1)&lt;=$G$5),DATE(YEAR($G$5)-5,3,1),"Hors période")</f>
        <v>Hors période</v>
      </c>
      <c r="Q17" s="466">
        <f>IF(AND(R17="",$D$9=S.CAL!$CP$1),IFERROR(+VLOOKUP(P17,BDD,29,FALSE),0),IF(AND(R17="",$D$9=S.CAL!$CP$2),IFERROR(+VLOOKUP(P17,BDD,40,FALSE),0),R17))</f>
        <v>0</v>
      </c>
      <c r="R17" s="1153"/>
      <c r="S17" s="89" t="str">
        <f>+IF(AND(DATE(YEAR($G$5)-6,3,31)&gt;=$D$5,DATE(YEAR($G$5)-6,3,1)&lt;=$G$5),DATE(YEAR($G$5)-6,3,1),"Hors période")</f>
        <v>Hors période</v>
      </c>
      <c r="T17" s="466">
        <f>IF(AND(U17="",$D$9=S.CAL!$CP$1),IFERROR(+VLOOKUP(S17,BDD,29,FALSE),0),IF(AND(U17="",$D$9=S.CAL!$CP$2),IFERROR(+VLOOKUP(S17,BDD,40,FALSE),0),U17))</f>
        <v>0</v>
      </c>
      <c r="U17" s="1153"/>
      <c r="V17" s="89" t="str">
        <f>+IF(AND(DATE(YEAR($G$5)-7,3,31)&gt;=$D$5,DATE(YEAR($G$5)-7,3,1)&lt;=$G$5),DATE(YEAR($G$5)-7,3,1),"Hors période")</f>
        <v>Hors période</v>
      </c>
      <c r="W17" s="466">
        <f>IF(AND(X17="",$D$9=S.CAL!$CP$1),IFERROR(+VLOOKUP(V17,BDD,29,FALSE),0),IF(AND(X17="",$D$9=S.CAL!$CP$2),IFERROR(+VLOOKUP(V17,BDD,40,FALSE),0),X17))</f>
        <v>0</v>
      </c>
      <c r="X17" s="1153"/>
    </row>
    <row r="18" spans="1:24" x14ac:dyDescent="0.2">
      <c r="A18" s="463" t="str">
        <f>+IF(AND(DATE(YEAR($G$5),4,30)&gt;=$D$5,DATE(YEAR($G$5),4,1)&lt;=$G$5),DATE(YEAR($G$5),4,1),"Hors période")</f>
        <v>Hors période</v>
      </c>
      <c r="B18" s="466">
        <f>IF(AND(C18="",$D$9=S.CAL!$CP$1),IFERROR(+VLOOKUP(A18,BDD,29,FALSE),0),IF(AND(C18="",$D$9=S.CAL!$CP$2),IFERROR(+VLOOKUP(A18,BDD,40,FALSE),0),C18))</f>
        <v>0</v>
      </c>
      <c r="C18" s="1150"/>
      <c r="D18" s="89" t="str">
        <f>+IF(AND(DATE(YEAR($G$5)-1,4,30)&gt;=$D$5,DATE(YEAR($G$5)-1,4,1)&lt;=$G$5),DATE(YEAR($G$5)-1,4,1),"Hors période")</f>
        <v>Hors période</v>
      </c>
      <c r="E18" s="466">
        <f>IF(AND(F18="",$D$9=S.CAL!$CP$1),IFERROR(+VLOOKUP(D18,BDD,29,FALSE),0),IF(AND(F18="",$D$9=S.CAL!$CP$2),IFERROR(+VLOOKUP(D18,BDD,40,FALSE),0),F18))</f>
        <v>0</v>
      </c>
      <c r="F18" s="1153"/>
      <c r="G18" s="89" t="str">
        <f>+IF(AND(DATE(YEAR($G$5)-2,4,30)&gt;=$D$5,DATE(YEAR($G$5)-2,4,1)&lt;=$G$5),DATE(YEAR($G$5)-2,4,1),"Hors période")</f>
        <v>Hors période</v>
      </c>
      <c r="H18" s="466">
        <f>IF(AND(I18="",$D$9=S.CAL!$CP$1),IFERROR(+VLOOKUP(G18,BDD,29,FALSE),0),IF(AND(I18="",$D$9=S.CAL!$CP$2),IFERROR(+VLOOKUP(G18,BDD,40,FALSE),0),I18))</f>
        <v>0</v>
      </c>
      <c r="I18" s="1153"/>
      <c r="J18" s="89" t="str">
        <f>+IF(AND(DATE(YEAR($G$5)-3,4,30)&gt;=$D$5,DATE(YEAR($G$5)-3,4,1)&lt;=$G$5),DATE(YEAR($G$5)-3,4,1),"Hors période")</f>
        <v>Hors période</v>
      </c>
      <c r="K18" s="466">
        <f>IF(AND(L18="",$D$9=S.CAL!$CP$1),IFERROR(+VLOOKUP(J18,BDD,29,FALSE),0),IF(AND(L18="",$D$9=S.CAL!$CP$2),IFERROR(+VLOOKUP(J18,BDD,40,FALSE),0),L18))</f>
        <v>0</v>
      </c>
      <c r="L18" s="1153"/>
      <c r="M18" s="89" t="str">
        <f>+IF(AND(DATE(YEAR($G$5)-4,4,30)&gt;=$D$5,DATE(YEAR($G$5)-4,4,1)&lt;=$G$5),DATE(YEAR($G$5)-4,4,1),"Hors période")</f>
        <v>Hors période</v>
      </c>
      <c r="N18" s="466">
        <f>IF(AND(O18="",$D$9=S.CAL!$CP$1),IFERROR(+VLOOKUP(M18,BDD,29,FALSE),0),IF(AND(O18="",$D$9=S.CAL!$CP$2),IFERROR(+VLOOKUP(M18,BDD,40,FALSE),0),O18))</f>
        <v>0</v>
      </c>
      <c r="O18" s="1153"/>
      <c r="P18" s="89" t="str">
        <f>+IF(AND(DATE(YEAR($G$5)-5,4,30)&gt;=$D$5,DATE(YEAR($G$5)-5,4,1)&lt;=$G$5),DATE(YEAR($G$5)-5,4,1),"Hors période")</f>
        <v>Hors période</v>
      </c>
      <c r="Q18" s="466">
        <f>IF(AND(R18="",$D$9=S.CAL!$CP$1),IFERROR(+VLOOKUP(P18,BDD,29,FALSE),0),IF(AND(R18="",$D$9=S.CAL!$CP$2),IFERROR(+VLOOKUP(P18,BDD,40,FALSE),0),R18))</f>
        <v>0</v>
      </c>
      <c r="R18" s="1153"/>
      <c r="S18" s="89" t="str">
        <f>+IF(AND(DATE(YEAR($G$5)-6,4,30)&gt;=$D$5,DATE(YEAR($G$5)-6,4,1)&lt;=$G$5),DATE(YEAR($G$5)-6,4,1),"Hors période")</f>
        <v>Hors période</v>
      </c>
      <c r="T18" s="466">
        <f>IF(AND(U18="",$D$9=S.CAL!$CP$1),IFERROR(+VLOOKUP(S18,BDD,29,FALSE),0),IF(AND(U18="",$D$9=S.CAL!$CP$2),IFERROR(+VLOOKUP(S18,BDD,40,FALSE),0),U18))</f>
        <v>0</v>
      </c>
      <c r="U18" s="1153"/>
      <c r="V18" s="89" t="str">
        <f>+IF(AND(DATE(YEAR($G$5)-7,4,30)&gt;=$D$5,DATE(YEAR($G$5)-7,4,1)&lt;=$G$5),DATE(YEAR($G$5)-7,4,1),"Hors période")</f>
        <v>Hors période</v>
      </c>
      <c r="W18" s="466">
        <f>IF(AND(X18="",$D$9=S.CAL!$CP$1),IFERROR(+VLOOKUP(V18,BDD,29,FALSE),0),IF(AND(X18="",$D$9=S.CAL!$CP$2),IFERROR(+VLOOKUP(V18,BDD,40,FALSE),0),X18))</f>
        <v>0</v>
      </c>
      <c r="X18" s="1153"/>
    </row>
    <row r="19" spans="1:24" x14ac:dyDescent="0.2">
      <c r="A19" s="463" t="str">
        <f>+IF(AND(DATE(YEAR($G$5),5,31)&gt;=$D$5,DATE(YEAR($G$5),5,1)&lt;=$G$5),DATE(YEAR($G$5),5,1),"Hors période")</f>
        <v>Hors période</v>
      </c>
      <c r="B19" s="466">
        <f>IF(AND(C19="",$D$9=S.CAL!$CP$1),IFERROR(+VLOOKUP(A19,BDD,29,FALSE),0),IF(AND(C19="",$D$9=S.CAL!$CP$2),IFERROR(+VLOOKUP(A19,BDD,40,FALSE),0),C19))</f>
        <v>0</v>
      </c>
      <c r="C19" s="1150"/>
      <c r="D19" s="89" t="str">
        <f>+IF(AND(DATE(YEAR($G$5)-1,5,31)&gt;=$D$5,DATE(YEAR($G$5)-1,5,1)&lt;=$G$5),DATE(YEAR($G$5)-1,5,1),"Hors période")</f>
        <v>Hors période</v>
      </c>
      <c r="E19" s="466">
        <f>IF(AND(F19="",$D$9=S.CAL!$CP$1),IFERROR(+VLOOKUP(D19,BDD,29,FALSE),0),IF(AND(F19="",$D$9=S.CAL!$CP$2),IFERROR(+VLOOKUP(D19,BDD,40,FALSE),0),F19))</f>
        <v>0</v>
      </c>
      <c r="F19" s="1153"/>
      <c r="G19" s="89" t="str">
        <f>+IF(AND(DATE(YEAR($G$5)-2,5,31)&gt;=$D$5,DATE(YEAR($G$5)-2,5,1)&lt;=$G$5),DATE(YEAR($G$5)-2,5,1),"Hors période")</f>
        <v>Hors période</v>
      </c>
      <c r="H19" s="466">
        <f>IF(AND(I19="",$D$9=S.CAL!$CP$1),IFERROR(+VLOOKUP(G19,BDD,29,FALSE),0),IF(AND(I19="",$D$9=S.CAL!$CP$2),IFERROR(+VLOOKUP(G19,BDD,40,FALSE),0),I19))</f>
        <v>0</v>
      </c>
      <c r="I19" s="1153"/>
      <c r="J19" s="89" t="str">
        <f>+IF(AND(DATE(YEAR($G$5)-3,5,31)&gt;=$D$5,DATE(YEAR($G$5)-3,5,1)&lt;=$G$5),DATE(YEAR($G$5)-3,5,1),"Hors période")</f>
        <v>Hors période</v>
      </c>
      <c r="K19" s="466">
        <f>IF(AND(L19="",$D$9=S.CAL!$CP$1),IFERROR(+VLOOKUP(J19,BDD,29,FALSE),0),IF(AND(L19="",$D$9=S.CAL!$CP$2),IFERROR(+VLOOKUP(J19,BDD,40,FALSE),0),L19))</f>
        <v>0</v>
      </c>
      <c r="L19" s="1153"/>
      <c r="M19" s="89" t="str">
        <f>+IF(AND(DATE(YEAR($G$5)-4,5,31)&gt;=$D$5,DATE(YEAR($G$5)-4,5,1)&lt;=$G$5),DATE(YEAR($G$5)-4,5,1),"Hors période")</f>
        <v>Hors période</v>
      </c>
      <c r="N19" s="466">
        <f>IF(AND(O19="",$D$9=S.CAL!$CP$1),IFERROR(+VLOOKUP(M19,BDD,29,FALSE),0),IF(AND(O19="",$D$9=S.CAL!$CP$2),IFERROR(+VLOOKUP(M19,BDD,40,FALSE),0),O19))</f>
        <v>0</v>
      </c>
      <c r="O19" s="1153"/>
      <c r="P19" s="89" t="str">
        <f>+IF(AND(DATE(YEAR($G$5)-5,5,31)&gt;=$D$5,DATE(YEAR($G$5)-5,5,1)&lt;=$G$5),DATE(YEAR($G$5)-5,5,1),"Hors période")</f>
        <v>Hors période</v>
      </c>
      <c r="Q19" s="466">
        <f>IF(AND(R19="",$D$9=S.CAL!$CP$1),IFERROR(+VLOOKUP(P19,BDD,29,FALSE),0),IF(AND(R19="",$D$9=S.CAL!$CP$2),IFERROR(+VLOOKUP(P19,BDD,40,FALSE),0),R19))</f>
        <v>0</v>
      </c>
      <c r="R19" s="1153"/>
      <c r="S19" s="89" t="str">
        <f>+IF(AND(DATE(YEAR($G$5)-6,5,31)&gt;=$D$5,DATE(YEAR($G$5)-6,5,1)&lt;=$G$5),DATE(YEAR($G$5)-6,5,1),"Hors période")</f>
        <v>Hors période</v>
      </c>
      <c r="T19" s="466">
        <f>IF(AND(U19="",$D$9=S.CAL!$CP$1),IFERROR(+VLOOKUP(S19,BDD,29,FALSE),0),IF(AND(U19="",$D$9=S.CAL!$CP$2),IFERROR(+VLOOKUP(S19,BDD,40,FALSE),0),U19))</f>
        <v>0</v>
      </c>
      <c r="U19" s="1153"/>
      <c r="V19" s="89" t="str">
        <f>+IF(AND(DATE(YEAR($G$5)-7,5,31)&gt;=$D$5,DATE(YEAR($G$5)-7,5,1)&lt;=$G$5),DATE(YEAR($G$5)-7,5,1),"Hors période")</f>
        <v>Hors période</v>
      </c>
      <c r="W19" s="466">
        <f>IF(AND(X19="",$D$9=S.CAL!$CP$1),IFERROR(+VLOOKUP(V19,BDD,29,FALSE),0),IF(AND(X19="",$D$9=S.CAL!$CP$2),IFERROR(+VLOOKUP(V19,BDD,40,FALSE),0),X19))</f>
        <v>0</v>
      </c>
      <c r="X19" s="1153"/>
    </row>
    <row r="20" spans="1:24" x14ac:dyDescent="0.2">
      <c r="A20" s="463" t="str">
        <f>+IF(AND(DATE(YEAR($G$5),6,30)&gt;=$D$5,DATE(YEAR($G$5),6,1)&lt;=$G$5),DATE(YEAR($G$5),6,1),"Hors période")</f>
        <v>Hors période</v>
      </c>
      <c r="B20" s="466">
        <f>IF(AND(C20="",$D$9=S.CAL!$CP$1),IFERROR(+VLOOKUP(A20,BDD,29,FALSE),0),IF(AND(C20="",$D$9=S.CAL!$CP$2),IFERROR(+VLOOKUP(A20,BDD,40,FALSE),0),C20))</f>
        <v>0</v>
      </c>
      <c r="C20" s="1150"/>
      <c r="D20" s="89" t="str">
        <f>+IF(AND(DATE(YEAR($G$5)-1,6,30)&gt;=$D$5,DATE(YEAR($G$5)-1,6,1)&lt;=$G$5),DATE(YEAR($G$5)-1,6,1),"Hors période")</f>
        <v>Hors période</v>
      </c>
      <c r="E20" s="466">
        <f>IF(AND(F20="",$D$9=S.CAL!$CP$1),IFERROR(+VLOOKUP(D20,BDD,29,FALSE),0),IF(AND(F20="",$D$9=S.CAL!$CP$2),IFERROR(+VLOOKUP(D20,BDD,40,FALSE),0),F20))</f>
        <v>0</v>
      </c>
      <c r="F20" s="1153"/>
      <c r="G20" s="89" t="str">
        <f>+IF(AND(DATE(YEAR($G$5)-2,6,30)&gt;=$D$5,DATE(YEAR($G$5)-2,6,1)&lt;=$G$5),DATE(YEAR($G$5)-2,6,1),"Hors période")</f>
        <v>Hors période</v>
      </c>
      <c r="H20" s="466">
        <f>IF(AND(I20="",$D$9=S.CAL!$CP$1),IFERROR(+VLOOKUP(G20,BDD,29,FALSE),0),IF(AND(I20="",$D$9=S.CAL!$CP$2),IFERROR(+VLOOKUP(G20,BDD,40,FALSE),0),I20))</f>
        <v>0</v>
      </c>
      <c r="I20" s="1153"/>
      <c r="J20" s="89" t="str">
        <f>+IF(AND(DATE(YEAR($G$5)-3,6,30)&gt;=$D$5,DATE(YEAR($G$5)-3,6,1)&lt;=$G$5),DATE(YEAR($G$5)-3,6,1),"Hors période")</f>
        <v>Hors période</v>
      </c>
      <c r="K20" s="466">
        <f>IF(AND(L20="",$D$9=S.CAL!$CP$1),IFERROR(+VLOOKUP(J20,BDD,29,FALSE),0),IF(AND(L20="",$D$9=S.CAL!$CP$2),IFERROR(+VLOOKUP(J20,BDD,40,FALSE),0),L20))</f>
        <v>0</v>
      </c>
      <c r="L20" s="1153"/>
      <c r="M20" s="89" t="str">
        <f>+IF(AND(DATE(YEAR($G$5)-4,6,30)&gt;=$D$5,DATE(YEAR($G$5)-4,6,1)&lt;=$G$5),DATE(YEAR($G$5)-4,6,1),"Hors période")</f>
        <v>Hors période</v>
      </c>
      <c r="N20" s="466">
        <f>IF(AND(O20="",$D$9=S.CAL!$CP$1),IFERROR(+VLOOKUP(M20,BDD,29,FALSE),0),IF(AND(O20="",$D$9=S.CAL!$CP$2),IFERROR(+VLOOKUP(M20,BDD,40,FALSE),0),O20))</f>
        <v>0</v>
      </c>
      <c r="O20" s="1153"/>
      <c r="P20" s="89" t="str">
        <f>+IF(AND(DATE(YEAR($G$5)-5,6,30)&gt;=$D$5,DATE(YEAR($G$5)-5,6,1)&lt;=$G$5),DATE(YEAR($G$5)-5,6,1),"Hors période")</f>
        <v>Hors période</v>
      </c>
      <c r="Q20" s="466">
        <f>IF(AND(R20="",$D$9=S.CAL!$CP$1),IFERROR(+VLOOKUP(P20,BDD,29,FALSE),0),IF(AND(R20="",$D$9=S.CAL!$CP$2),IFERROR(+VLOOKUP(P20,BDD,40,FALSE),0),R20))</f>
        <v>0</v>
      </c>
      <c r="R20" s="1153"/>
      <c r="S20" s="89" t="str">
        <f>+IF(AND(DATE(YEAR($G$5)-6,6,30)&gt;=$D$5,DATE(YEAR($G$5)-6,6,1)&lt;=$G$5),DATE(YEAR($G$5)-6,6,1),"Hors période")</f>
        <v>Hors période</v>
      </c>
      <c r="T20" s="466">
        <f>IF(AND(U20="",$D$9=S.CAL!$CP$1),IFERROR(+VLOOKUP(S20,BDD,29,FALSE),0),IF(AND(U20="",$D$9=S.CAL!$CP$2),IFERROR(+VLOOKUP(S20,BDD,40,FALSE),0),U20))</f>
        <v>0</v>
      </c>
      <c r="U20" s="1153"/>
      <c r="V20" s="89" t="str">
        <f>+IF(AND(DATE(YEAR($G$5)-7,6,30)&gt;=$D$5,DATE(YEAR($G$5)-7,6,1)&lt;=$G$5),DATE(YEAR($G$5)-7,6,1),"Hors période")</f>
        <v>Hors période</v>
      </c>
      <c r="W20" s="466">
        <f>IF(AND(X20="",$D$9=S.CAL!$CP$1),IFERROR(+VLOOKUP(V20,BDD,29,FALSE),0),IF(AND(X20="",$D$9=S.CAL!$CP$2),IFERROR(+VLOOKUP(V20,BDD,40,FALSE),0),X20))</f>
        <v>0</v>
      </c>
      <c r="X20" s="1153"/>
    </row>
    <row r="21" spans="1:24" x14ac:dyDescent="0.2">
      <c r="A21" s="463" t="str">
        <f>+IF(AND(DATE(YEAR($G$5),7,31)&gt;=$D$5,DATE(YEAR($G$5),7,1)&lt;=$G$5),DATE(YEAR($G$5),7,1),"Hors période")</f>
        <v>Hors période</v>
      </c>
      <c r="B21" s="466">
        <f>IF(AND(C21="",$D$9=S.CAL!$CP$1),IFERROR(+VLOOKUP(A21,BDD,29,FALSE),0),IF(AND(C21="",$D$9=S.CAL!$CP$2),IFERROR(+VLOOKUP(A21,BDD,40,FALSE),0),C21))</f>
        <v>0</v>
      </c>
      <c r="C21" s="1150"/>
      <c r="D21" s="89" t="str">
        <f>+IF(AND(DATE(YEAR($G$5)-1,7,31)&gt;=$D$5,DATE(YEAR($G$5)-1,7,1)&lt;=$G$5),DATE(YEAR($G$5)-1,7,1),"Hors période")</f>
        <v>Hors période</v>
      </c>
      <c r="E21" s="466">
        <f>IF(AND(F21="",$D$9=S.CAL!$CP$1),IFERROR(+VLOOKUP(D21,BDD,29,FALSE),0),IF(AND(F21="",$D$9=S.CAL!$CP$2),IFERROR(+VLOOKUP(D21,BDD,40,FALSE),0),F21))</f>
        <v>0</v>
      </c>
      <c r="F21" s="1153"/>
      <c r="G21" s="89" t="str">
        <f>+IF(AND(DATE(YEAR($G$5)-2,7,31)&gt;=$D$5,DATE(YEAR($G$5)-2,7,1)&lt;=$G$5),DATE(YEAR($G$5)-2,7,1),"Hors période")</f>
        <v>Hors période</v>
      </c>
      <c r="H21" s="466">
        <f>IF(AND(I21="",$D$9=S.CAL!$CP$1),IFERROR(+VLOOKUP(G21,BDD,29,FALSE),0),IF(AND(I21="",$D$9=S.CAL!$CP$2),IFERROR(+VLOOKUP(G21,BDD,40,FALSE),0),I21))</f>
        <v>0</v>
      </c>
      <c r="I21" s="1153"/>
      <c r="J21" s="89" t="str">
        <f>+IF(AND(DATE(YEAR($G$5)-3,7,31)&gt;=$D$5,DATE(YEAR($G$5)-3,7,1)&lt;=$G$5),DATE(YEAR($G$5)-3,7,1),"Hors période")</f>
        <v>Hors période</v>
      </c>
      <c r="K21" s="466">
        <f>IF(AND(L21="",$D$9=S.CAL!$CP$1),IFERROR(+VLOOKUP(J21,BDD,29,FALSE),0),IF(AND(L21="",$D$9=S.CAL!$CP$2),IFERROR(+VLOOKUP(J21,BDD,40,FALSE),0),L21))</f>
        <v>0</v>
      </c>
      <c r="L21" s="1153"/>
      <c r="M21" s="89" t="str">
        <f>+IF(AND(DATE(YEAR($G$5)-4,7,31)&gt;=$D$5,DATE(YEAR($G$5)-4,7,1)&lt;=$G$5),DATE(YEAR($G$5)-4,7,1),"Hors période")</f>
        <v>Hors période</v>
      </c>
      <c r="N21" s="466">
        <f>IF(AND(O21="",$D$9=S.CAL!$CP$1),IFERROR(+VLOOKUP(M21,BDD,29,FALSE),0),IF(AND(O21="",$D$9=S.CAL!$CP$2),IFERROR(+VLOOKUP(M21,BDD,40,FALSE),0),O21))</f>
        <v>0</v>
      </c>
      <c r="O21" s="1153"/>
      <c r="P21" s="89" t="str">
        <f>+IF(AND(DATE(YEAR($G$5)-5,7,31)&gt;=$D$5,DATE(YEAR($G$5)-5,7,1)&lt;=$G$5),DATE(YEAR($G$5)-5,7,1),"Hors période")</f>
        <v>Hors période</v>
      </c>
      <c r="Q21" s="466">
        <f>IF(AND(R21="",$D$9=S.CAL!$CP$1),IFERROR(+VLOOKUP(P21,BDD,29,FALSE),0),IF(AND(R21="",$D$9=S.CAL!$CP$2),IFERROR(+VLOOKUP(P21,BDD,40,FALSE),0),R21))</f>
        <v>0</v>
      </c>
      <c r="R21" s="1153"/>
      <c r="S21" s="89" t="str">
        <f>+IF(AND(DATE(YEAR($G$5)-6,7,31)&gt;=$D$5,DATE(YEAR($G$5)-6,7,1)&lt;=$G$5),DATE(YEAR($G$5)-6,7,1),"Hors période")</f>
        <v>Hors période</v>
      </c>
      <c r="T21" s="466">
        <f>IF(AND(U21="",$D$9=S.CAL!$CP$1),IFERROR(+VLOOKUP(S21,BDD,29,FALSE),0),IF(AND(U21="",$D$9=S.CAL!$CP$2),IFERROR(+VLOOKUP(S21,BDD,40,FALSE),0),U21))</f>
        <v>0</v>
      </c>
      <c r="U21" s="1153"/>
      <c r="V21" s="89" t="str">
        <f>+IF(AND(DATE(YEAR($G$5)-7,7,31)&gt;=$D$5,DATE(YEAR($G$5)-7,7,1)&lt;=$G$5),DATE(YEAR($G$5)-7,7,1),"Hors période")</f>
        <v>Hors période</v>
      </c>
      <c r="W21" s="466">
        <f>IF(AND(X21="",$D$9=S.CAL!$CP$1),IFERROR(+VLOOKUP(V21,BDD,29,FALSE),0),IF(AND(X21="",$D$9=S.CAL!$CP$2),IFERROR(+VLOOKUP(V21,BDD,40,FALSE),0),X21))</f>
        <v>0</v>
      </c>
      <c r="X21" s="1153"/>
    </row>
    <row r="22" spans="1:24" x14ac:dyDescent="0.2">
      <c r="A22" s="463" t="str">
        <f>+IF(AND(DATE(YEAR($G$5),8,31)&gt;=$D$5,DATE(YEAR($G$5),8,1)&lt;=$G$5),DATE(YEAR($G$5),8,1),"Hors période")</f>
        <v>Hors période</v>
      </c>
      <c r="B22" s="466">
        <f>IF(AND(C22="",$D$9=S.CAL!$CP$1),IFERROR(+VLOOKUP(A22,BDD,29,FALSE),0),IF(AND(C22="",$D$9=S.CAL!$CP$2),IFERROR(+VLOOKUP(A22,BDD,40,FALSE),0),C22))</f>
        <v>0</v>
      </c>
      <c r="C22" s="1150"/>
      <c r="D22" s="89" t="str">
        <f>+IF(AND(DATE(YEAR($G$5)-1,8,31)&gt;=$D$5,DATE(YEAR($G$5)-1,8,1)&lt;=$G$5),DATE(YEAR($G$5)-1,8,1),"Hors période")</f>
        <v>Hors période</v>
      </c>
      <c r="E22" s="466">
        <f>IF(AND(F22="",$D$9=S.CAL!$CP$1),IFERROR(+VLOOKUP(D22,BDD,29,FALSE),0),IF(AND(F22="",$D$9=S.CAL!$CP$2),IFERROR(+VLOOKUP(D22,BDD,40,FALSE),0),F22))</f>
        <v>0</v>
      </c>
      <c r="F22" s="1153"/>
      <c r="G22" s="89" t="str">
        <f>+IF(AND(DATE(YEAR($G$5)-2,8,31)&gt;=$D$5,DATE(YEAR($G$5)-2,8,1)&lt;=$G$5),DATE(YEAR($G$5)-2,8,1),"Hors période")</f>
        <v>Hors période</v>
      </c>
      <c r="H22" s="466">
        <f>IF(AND(I22="",$D$9=S.CAL!$CP$1),IFERROR(+VLOOKUP(G22,BDD,29,FALSE),0),IF(AND(I22="",$D$9=S.CAL!$CP$2),IFERROR(+VLOOKUP(G22,BDD,40,FALSE),0),I22))</f>
        <v>0</v>
      </c>
      <c r="I22" s="1153"/>
      <c r="J22" s="89" t="str">
        <f>+IF(AND(DATE(YEAR($G$5)-3,8,31)&gt;=$D$5,DATE(YEAR($G$5)-3,8,1)&lt;=$G$5),DATE(YEAR($G$5)-3,8,1),"Hors période")</f>
        <v>Hors période</v>
      </c>
      <c r="K22" s="466">
        <f>IF(AND(L22="",$D$9=S.CAL!$CP$1),IFERROR(+VLOOKUP(J22,BDD,29,FALSE),0),IF(AND(L22="",$D$9=S.CAL!$CP$2),IFERROR(+VLOOKUP(J22,BDD,40,FALSE),0),L22))</f>
        <v>0</v>
      </c>
      <c r="L22" s="1153"/>
      <c r="M22" s="89" t="str">
        <f>+IF(AND(DATE(YEAR($G$5)-4,8,31)&gt;=$D$5,DATE(YEAR($G$5)-4,8,1)&lt;=$G$5),DATE(YEAR($G$5)-4,8,1),"Hors période")</f>
        <v>Hors période</v>
      </c>
      <c r="N22" s="466">
        <f>IF(AND(O22="",$D$9=S.CAL!$CP$1),IFERROR(+VLOOKUP(M22,BDD,29,FALSE),0),IF(AND(O22="",$D$9=S.CAL!$CP$2),IFERROR(+VLOOKUP(M22,BDD,40,FALSE),0),O22))</f>
        <v>0</v>
      </c>
      <c r="O22" s="1153"/>
      <c r="P22" s="89" t="str">
        <f>+IF(AND(DATE(YEAR($G$5)-5,8,31)&gt;=$D$5,DATE(YEAR($G$5)-5,8,1)&lt;=$G$5),DATE(YEAR($G$5)-5,8,1),"Hors période")</f>
        <v>Hors période</v>
      </c>
      <c r="Q22" s="466">
        <f>IF(AND(R22="",$D$9=S.CAL!$CP$1),IFERROR(+VLOOKUP(P22,BDD,29,FALSE),0),IF(AND(R22="",$D$9=S.CAL!$CP$2),IFERROR(+VLOOKUP(P22,BDD,40,FALSE),0),R22))</f>
        <v>0</v>
      </c>
      <c r="R22" s="1153"/>
      <c r="S22" s="89" t="str">
        <f>+IF(AND(DATE(YEAR($G$5)-6,8,31)&gt;=$D$5,DATE(YEAR($G$5)-6,8,1)&lt;=$G$5),DATE(YEAR($G$5)-6,8,1),"Hors période")</f>
        <v>Hors période</v>
      </c>
      <c r="T22" s="466">
        <f>IF(AND(U22="",$D$9=S.CAL!$CP$1),IFERROR(+VLOOKUP(S22,BDD,29,FALSE),0),IF(AND(U22="",$D$9=S.CAL!$CP$2),IFERROR(+VLOOKUP(S22,BDD,40,FALSE),0),U22))</f>
        <v>0</v>
      </c>
      <c r="U22" s="1153"/>
      <c r="V22" s="89" t="str">
        <f>+IF(AND(DATE(YEAR($G$5)-7,8,31)&gt;=$D$5,DATE(YEAR($G$5)-7,8,1)&lt;=$G$5),DATE(YEAR($G$5)-7,8,1),"Hors période")</f>
        <v>Hors période</v>
      </c>
      <c r="W22" s="466">
        <f>IF(AND(X22="",$D$9=S.CAL!$CP$1),IFERROR(+VLOOKUP(V22,BDD,29,FALSE),0),IF(AND(X22="",$D$9=S.CAL!$CP$2),IFERROR(+VLOOKUP(V22,BDD,40,FALSE),0),X22))</f>
        <v>0</v>
      </c>
      <c r="X22" s="1153"/>
    </row>
    <row r="23" spans="1:24" x14ac:dyDescent="0.2">
      <c r="A23" s="463" t="str">
        <f>+IF(AND(DATE(YEAR($G$5),9,30)&gt;=$D$5,DATE(YEAR($G$5),9,1)&lt;=$G$5),DATE(YEAR($G$5),9,1),"Hors période")</f>
        <v>Hors période</v>
      </c>
      <c r="B23" s="466">
        <f>IF(AND(C23="",$D$9=S.CAL!$CP$1),IFERROR(+VLOOKUP(A23,BDD,29,FALSE),0),IF(AND(C23="",$D$9=S.CAL!$CP$2),IFERROR(+VLOOKUP(A23,BDD,40,FALSE),0),C23))</f>
        <v>0</v>
      </c>
      <c r="C23" s="1150"/>
      <c r="D23" s="89" t="str">
        <f>+IF(AND(DATE(YEAR($G$5)-1,9,30)&gt;=$D$5,DATE(YEAR($G$5)-1,9,1)&lt;=$G$5),DATE(YEAR($G$5)-1,9,1),"Hors période")</f>
        <v>Hors période</v>
      </c>
      <c r="E23" s="466">
        <f>IF(AND(F23="",$D$9=S.CAL!$CP$1),IFERROR(+VLOOKUP(D23,BDD,29,FALSE),0),IF(AND(F23="",$D$9=S.CAL!$CP$2),IFERROR(+VLOOKUP(D23,BDD,40,FALSE),0),F23))</f>
        <v>0</v>
      </c>
      <c r="F23" s="1153"/>
      <c r="G23" s="89" t="str">
        <f>+IF(AND(DATE(YEAR($G$5)-2,9,30)&gt;=$D$5,DATE(YEAR($G$5)-2,9,1)&lt;=$G$5),DATE(YEAR($G$5)-2,9,1),"Hors période")</f>
        <v>Hors période</v>
      </c>
      <c r="H23" s="466">
        <f>IF(AND(I23="",$D$9=S.CAL!$CP$1),IFERROR(+VLOOKUP(G23,BDD,29,FALSE),0),IF(AND(I23="",$D$9=S.CAL!$CP$2),IFERROR(+VLOOKUP(G23,BDD,40,FALSE),0),I23))</f>
        <v>0</v>
      </c>
      <c r="I23" s="1153"/>
      <c r="J23" s="89" t="str">
        <f>+IF(AND(DATE(YEAR($G$5)-3,9,30)&gt;=$D$5,DATE(YEAR($G$5)-3,9,1)&lt;=$G$5),DATE(YEAR($G$5)-3,9,1),"Hors période")</f>
        <v>Hors période</v>
      </c>
      <c r="K23" s="466">
        <f>IF(AND(L23="",$D$9=S.CAL!$CP$1),IFERROR(+VLOOKUP(J23,BDD,29,FALSE),0),IF(AND(L23="",$D$9=S.CAL!$CP$2),IFERROR(+VLOOKUP(J23,BDD,40,FALSE),0),L23))</f>
        <v>0</v>
      </c>
      <c r="L23" s="1153"/>
      <c r="M23" s="89" t="str">
        <f>+IF(AND(DATE(YEAR($G$5)-4,9,30)&gt;=$D$5,DATE(YEAR($G$5)-4,9,1)&lt;=$G$5),DATE(YEAR($G$5)-4,9,1),"Hors période")</f>
        <v>Hors période</v>
      </c>
      <c r="N23" s="466">
        <f>IF(AND(O23="",$D$9=S.CAL!$CP$1),IFERROR(+VLOOKUP(M23,BDD,29,FALSE),0),IF(AND(O23="",$D$9=S.CAL!$CP$2),IFERROR(+VLOOKUP(M23,BDD,40,FALSE),0),O23))</f>
        <v>0</v>
      </c>
      <c r="O23" s="1153"/>
      <c r="P23" s="89" t="str">
        <f>+IF(AND(DATE(YEAR($G$5)-5,9,30)&gt;=$D$5,DATE(YEAR($G$5)-5,9,1)&lt;=$G$5),DATE(YEAR($G$5)-5,9,1),"Hors période")</f>
        <v>Hors période</v>
      </c>
      <c r="Q23" s="466">
        <f>IF(AND(R23="",$D$9=S.CAL!$CP$1),IFERROR(+VLOOKUP(P23,BDD,29,FALSE),0),IF(AND(R23="",$D$9=S.CAL!$CP$2),IFERROR(+VLOOKUP(P23,BDD,40,FALSE),0),R23))</f>
        <v>0</v>
      </c>
      <c r="R23" s="1153"/>
      <c r="S23" s="89" t="str">
        <f>+IF(AND(DATE(YEAR($G$5)-6,9,30)&gt;=$D$5,DATE(YEAR($G$5)-6,9,1)&lt;=$G$5),DATE(YEAR($G$5)-6,9,1),"Hors période")</f>
        <v>Hors période</v>
      </c>
      <c r="T23" s="466">
        <f>IF(AND(U23="",$D$9=S.CAL!$CP$1),IFERROR(+VLOOKUP(S23,BDD,29,FALSE),0),IF(AND(U23="",$D$9=S.CAL!$CP$2),IFERROR(+VLOOKUP(S23,BDD,40,FALSE),0),U23))</f>
        <v>0</v>
      </c>
      <c r="U23" s="1153"/>
      <c r="V23" s="89" t="str">
        <f>+IF(AND(DATE(YEAR($G$5)-7,9,30)&gt;=$D$5,DATE(YEAR($G$5)-7,9,1)&lt;=$G$5),DATE(YEAR($G$5)-7,9,1),"Hors période")</f>
        <v>Hors période</v>
      </c>
      <c r="W23" s="466">
        <f>IF(AND(X23="",$D$9=S.CAL!$CP$1),IFERROR(+VLOOKUP(V23,BDD,29,FALSE),0),IF(AND(X23="",$D$9=S.CAL!$CP$2),IFERROR(+VLOOKUP(V23,BDD,40,FALSE),0),X23))</f>
        <v>0</v>
      </c>
      <c r="X23" s="1153"/>
    </row>
    <row r="24" spans="1:24" x14ac:dyDescent="0.2">
      <c r="A24" s="463" t="str">
        <f>+IF(AND(DATE(YEAR($G$5),10,31)&gt;=$D$5,DATE(YEAR($G$5),10,1)&lt;=$G$5),DATE(YEAR($G$5),10,1),"Hors période")</f>
        <v>Hors période</v>
      </c>
      <c r="B24" s="466">
        <f>IF(AND(C24="",$D$9=S.CAL!$CP$1),IFERROR(+VLOOKUP(A24,BDD,29,FALSE),0),IF(AND(C24="",$D$9=S.CAL!$CP$2),IFERROR(+VLOOKUP(A24,BDD,40,FALSE),0),C24))</f>
        <v>0</v>
      </c>
      <c r="C24" s="1150"/>
      <c r="D24" s="89" t="str">
        <f>+IF(AND(DATE(YEAR($G$5)-1,10,31)&gt;=$D$5,DATE(YEAR($G$5)-1,10,1)&lt;=$G$5),DATE(YEAR($G$5)-1,10,1),"Hors période")</f>
        <v>Hors période</v>
      </c>
      <c r="E24" s="466">
        <f>IF(AND(F24="",$D$9=S.CAL!$CP$1),IFERROR(+VLOOKUP(D24,BDD,29,FALSE),0),IF(AND(F24="",$D$9=S.CAL!$CP$2),IFERROR(+VLOOKUP(D24,BDD,40,FALSE),0),F24))</f>
        <v>0</v>
      </c>
      <c r="F24" s="1153"/>
      <c r="G24" s="89" t="str">
        <f>+IF(AND(DATE(YEAR($G$5)-2,10,31)&gt;=$D$5,DATE(YEAR($G$5)-2,10,1)&lt;=$G$5),DATE(YEAR($G$5)-2,10,1),"Hors période")</f>
        <v>Hors période</v>
      </c>
      <c r="H24" s="466">
        <f>IF(AND(I24="",$D$9=S.CAL!$CP$1),IFERROR(+VLOOKUP(G24,BDD,29,FALSE),0),IF(AND(I24="",$D$9=S.CAL!$CP$2),IFERROR(+VLOOKUP(G24,BDD,40,FALSE),0),I24))</f>
        <v>0</v>
      </c>
      <c r="I24" s="1153"/>
      <c r="J24" s="89" t="str">
        <f>+IF(AND(DATE(YEAR($G$5)-3,10,31)&gt;=$D$5,DATE(YEAR($G$5)-3,10,1)&lt;=$G$5),DATE(YEAR($G$5)-3,10,1),"Hors période")</f>
        <v>Hors période</v>
      </c>
      <c r="K24" s="466">
        <f>IF(AND(L24="",$D$9=S.CAL!$CP$1),IFERROR(+VLOOKUP(J24,BDD,29,FALSE),0),IF(AND(L24="",$D$9=S.CAL!$CP$2),IFERROR(+VLOOKUP(J24,BDD,40,FALSE),0),L24))</f>
        <v>0</v>
      </c>
      <c r="L24" s="1153"/>
      <c r="M24" s="89" t="str">
        <f>+IF(AND(DATE(YEAR($G$5)-4,10,31)&gt;=$D$5,DATE(YEAR($G$5)-4,10,1)&lt;=$G$5),DATE(YEAR($G$5)-4,10,1),"Hors période")</f>
        <v>Hors période</v>
      </c>
      <c r="N24" s="466">
        <f>IF(AND(O24="",$D$9=S.CAL!$CP$1),IFERROR(+VLOOKUP(M24,BDD,29,FALSE),0),IF(AND(O24="",$D$9=S.CAL!$CP$2),IFERROR(+VLOOKUP(M24,BDD,40,FALSE),0),O24))</f>
        <v>0</v>
      </c>
      <c r="O24" s="1153"/>
      <c r="P24" s="89" t="str">
        <f>+IF(AND(DATE(YEAR($G$5)-5,10,31)&gt;=$D$5,DATE(YEAR($G$5)-5,10,1)&lt;=$G$5),DATE(YEAR($G$5)-5,10,1),"Hors période")</f>
        <v>Hors période</v>
      </c>
      <c r="Q24" s="466">
        <f>IF(AND(R24="",$D$9=S.CAL!$CP$1),IFERROR(+VLOOKUP(P24,BDD,29,FALSE),0),IF(AND(R24="",$D$9=S.CAL!$CP$2),IFERROR(+VLOOKUP(P24,BDD,40,FALSE),0),R24))</f>
        <v>0</v>
      </c>
      <c r="R24" s="1153"/>
      <c r="S24" s="89" t="str">
        <f>+IF(AND(DATE(YEAR($G$5)-6,10,31)&gt;=$D$5,DATE(YEAR($G$5)-6,10,1)&lt;=$G$5),DATE(YEAR($G$5)-6,10,1),"Hors période")</f>
        <v>Hors période</v>
      </c>
      <c r="T24" s="466">
        <f>IF(AND(U24="",$D$9=S.CAL!$CP$1),IFERROR(+VLOOKUP(S24,BDD,29,FALSE),0),IF(AND(U24="",$D$9=S.CAL!$CP$2),IFERROR(+VLOOKUP(S24,BDD,40,FALSE),0),U24))</f>
        <v>0</v>
      </c>
      <c r="U24" s="1153"/>
      <c r="V24" s="89" t="str">
        <f>+IF(AND(DATE(YEAR($G$5)-7,10,31)&gt;=$D$5,DATE(YEAR($G$5)-7,10,1)&lt;=$G$5),DATE(YEAR($G$5)-7,10,1),"Hors période")</f>
        <v>Hors période</v>
      </c>
      <c r="W24" s="466">
        <f>IF(AND(X24="",$D$9=S.CAL!$CP$1),IFERROR(+VLOOKUP(V24,BDD,29,FALSE),0),IF(AND(X24="",$D$9=S.CAL!$CP$2),IFERROR(+VLOOKUP(V24,BDD,40,FALSE),0),X24))</f>
        <v>0</v>
      </c>
      <c r="X24" s="1153"/>
    </row>
    <row r="25" spans="1:24" x14ac:dyDescent="0.2">
      <c r="A25" s="463" t="str">
        <f>+IF(AND(DATE(YEAR($G$5),11,30)&gt;=$D$5,DATE(YEAR($G$5),11,1)&lt;=$G$5),DATE(YEAR($G$5),11,1),"Hors période")</f>
        <v>Hors période</v>
      </c>
      <c r="B25" s="466">
        <f>IF(AND(C25="",$D$9=S.CAL!$CP$1),IFERROR(+VLOOKUP(A25,BDD,29,FALSE),0),IF(AND(C25="",$D$9=S.CAL!$CP$2),IFERROR(+VLOOKUP(A25,BDD,40,FALSE),0),C25))</f>
        <v>0</v>
      </c>
      <c r="C25" s="1150"/>
      <c r="D25" s="89" t="str">
        <f>+IF(AND(DATE(YEAR($G$5)-1,11,30)&gt;=$D$5,DATE(YEAR($G$5)-1,11,1)&lt;=$G$5),DATE(YEAR($G$5)-1,11,1),"Hors période")</f>
        <v>Hors période</v>
      </c>
      <c r="E25" s="466">
        <f>IF(AND(F25="",$D$9=S.CAL!$CP$1),IFERROR(+VLOOKUP(D25,BDD,29,FALSE),0),IF(AND(F25="",$D$9=S.CAL!$CP$2),IFERROR(+VLOOKUP(D25,BDD,40,FALSE),0),F25))</f>
        <v>0</v>
      </c>
      <c r="F25" s="1153"/>
      <c r="G25" s="89" t="str">
        <f>+IF(AND(DATE(YEAR($G$5)-2,11,30)&gt;=$D$5,DATE(YEAR($G$5)-2,11,1)&lt;=$G$5),DATE(YEAR($G$5)-2,11,1),"Hors période")</f>
        <v>Hors période</v>
      </c>
      <c r="H25" s="466">
        <f>IF(AND(I25="",$D$9=S.CAL!$CP$1),IFERROR(+VLOOKUP(G25,BDD,29,FALSE),0),IF(AND(I25="",$D$9=S.CAL!$CP$2),IFERROR(+VLOOKUP(G25,BDD,40,FALSE),0),I25))</f>
        <v>0</v>
      </c>
      <c r="I25" s="1153"/>
      <c r="J25" s="89" t="str">
        <f>+IF(AND(DATE(YEAR($G$5)-3,11,30)&gt;=$D$5,DATE(YEAR($G$5)-3,11,1)&lt;=$G$5),DATE(YEAR($G$5)-3,11,1),"Hors période")</f>
        <v>Hors période</v>
      </c>
      <c r="K25" s="466">
        <f>IF(AND(L25="",$D$9=S.CAL!$CP$1),IFERROR(+VLOOKUP(J25,BDD,29,FALSE),0),IF(AND(L25="",$D$9=S.CAL!$CP$2),IFERROR(+VLOOKUP(J25,BDD,40,FALSE),0),L25))</f>
        <v>0</v>
      </c>
      <c r="L25" s="1153"/>
      <c r="M25" s="89" t="str">
        <f>+IF(AND(DATE(YEAR($G$5)-4,11,30)&gt;=$D$5,DATE(YEAR($G$5)-4,11,1)&lt;=$G$5),DATE(YEAR($G$5)-4,11,1),"Hors période")</f>
        <v>Hors période</v>
      </c>
      <c r="N25" s="466">
        <f>IF(AND(O25="",$D$9=S.CAL!$CP$1),IFERROR(+VLOOKUP(M25,BDD,29,FALSE),0),IF(AND(O25="",$D$9=S.CAL!$CP$2),IFERROR(+VLOOKUP(M25,BDD,40,FALSE),0),O25))</f>
        <v>0</v>
      </c>
      <c r="O25" s="1153"/>
      <c r="P25" s="89" t="str">
        <f>+IF(AND(DATE(YEAR($G$5)-5,11,30)&gt;=$D$5,DATE(YEAR($G$5)-5,11,1)&lt;=$G$5),DATE(YEAR($G$5)-5,11,1),"Hors période")</f>
        <v>Hors période</v>
      </c>
      <c r="Q25" s="466">
        <f>IF(AND(R25="",$D$9=S.CAL!$CP$1),IFERROR(+VLOOKUP(P25,BDD,29,FALSE),0),IF(AND(R25="",$D$9=S.CAL!$CP$2),IFERROR(+VLOOKUP(P25,BDD,40,FALSE),0),R25))</f>
        <v>0</v>
      </c>
      <c r="R25" s="1153"/>
      <c r="S25" s="89" t="str">
        <f>+IF(AND(DATE(YEAR($G$5)-6,11,30)&gt;=$D$5,DATE(YEAR($G$5)-6,11,1)&lt;=$G$5),DATE(YEAR($G$5)-6,11,1),"Hors période")</f>
        <v>Hors période</v>
      </c>
      <c r="T25" s="466">
        <f>IF(AND(U25="",$D$9=S.CAL!$CP$1),IFERROR(+VLOOKUP(S25,BDD,29,FALSE),0),IF(AND(U25="",$D$9=S.CAL!$CP$2),IFERROR(+VLOOKUP(S25,BDD,40,FALSE),0),U25))</f>
        <v>0</v>
      </c>
      <c r="U25" s="1153"/>
      <c r="V25" s="89" t="str">
        <f>+IF(AND(DATE(YEAR($G$5)-7,11,30)&gt;=$D$5,DATE(YEAR($G$5)-7,11,1)&lt;=$G$5),DATE(YEAR($G$5)-7,11,1),"Hors période")</f>
        <v>Hors période</v>
      </c>
      <c r="W25" s="466">
        <f>IF(AND(X25="",$D$9=S.CAL!$CP$1),IFERROR(+VLOOKUP(V25,BDD,29,FALSE),0),IF(AND(X25="",$D$9=S.CAL!$CP$2),IFERROR(+VLOOKUP(V25,BDD,40,FALSE),0),X25))</f>
        <v>0</v>
      </c>
      <c r="X25" s="1153"/>
    </row>
    <row r="26" spans="1:24" x14ac:dyDescent="0.2">
      <c r="A26" s="464" t="str">
        <f>+IF(AND(DATE(YEAR($G$5),12,31)&gt;=$D$5,DATE(YEAR($G$5),12,1)&lt;=$G$5),DATE(YEAR($G$5),12,1),"Hors période")</f>
        <v>Hors période</v>
      </c>
      <c r="B26" s="467">
        <f>IF(AND(C26="",$D$9=S.CAL!$CP$1),IFERROR(+VLOOKUP(A26,BDD,29,FALSE),0),IF(AND(C26="",$D$9=S.CAL!$CP$2),IFERROR(+VLOOKUP(A26,BDD,40,FALSE),0),C26))</f>
        <v>0</v>
      </c>
      <c r="C26" s="1151"/>
      <c r="D26" s="90" t="str">
        <f>+IF(AND(DATE(YEAR($G$5)-1,12,31)&gt;=$D$5,DATE(YEAR($G$5)-1,12,1)&lt;=$G$5),DATE(YEAR($G$5)-1,12,1),"Hors période")</f>
        <v>Hors période</v>
      </c>
      <c r="E26" s="467">
        <f>IF(AND(F26="",$D$9=S.CAL!$CP$1),IFERROR(+VLOOKUP(D26,BDD,29,FALSE),0),IF(AND(F26="",$D$9=S.CAL!$CP$2),IFERROR(+VLOOKUP(D26,BDD,40,FALSE),0),F26))</f>
        <v>0</v>
      </c>
      <c r="F26" s="1154"/>
      <c r="G26" s="90" t="str">
        <f>+IF(AND(DATE(YEAR($G$5)-2,12,31)&gt;=$D$5,DATE(YEAR($G$5)-2,12,1)&lt;=$G$5),DATE(YEAR($G$5)-2,12,1),"Hors période")</f>
        <v>Hors période</v>
      </c>
      <c r="H26" s="467">
        <f>IF(AND(I26="",$D$9=S.CAL!$CP$1),IFERROR(+VLOOKUP(G26,BDD,29,FALSE),0),IF(AND(I26="",$D$9=S.CAL!$CP$2),IFERROR(+VLOOKUP(G26,BDD,40,FALSE),0),I26))</f>
        <v>0</v>
      </c>
      <c r="I26" s="1154"/>
      <c r="J26" s="90" t="str">
        <f>+IF(AND(DATE(YEAR($G$5)-3,12,31)&gt;=$D$5,DATE(YEAR($G$5)-3,12,1)&lt;=$G$5),DATE(YEAR($G$5)-3,12,1),"Hors période")</f>
        <v>Hors période</v>
      </c>
      <c r="K26" s="467">
        <f>IF(AND(L26="",$D$9=S.CAL!$CP$1),IFERROR(+VLOOKUP(J26,BDD,29,FALSE),0),IF(AND(L26="",$D$9=S.CAL!$CP$2),IFERROR(+VLOOKUP(J26,BDD,40,FALSE),0),L26))</f>
        <v>0</v>
      </c>
      <c r="L26" s="1154"/>
      <c r="M26" s="90" t="str">
        <f>+IF(AND(DATE(YEAR($G$5)-4,12,31)&gt;=$D$5,DATE(YEAR($G$5)-4,12,1)&lt;=$G$5),DATE(YEAR($G$5)-4,12,1),"Hors période")</f>
        <v>Hors période</v>
      </c>
      <c r="N26" s="467">
        <f>IF(AND(O26="",$D$9=S.CAL!$CP$1),IFERROR(+VLOOKUP(M26,BDD,29,FALSE),0),IF(AND(O26="",$D$9=S.CAL!$CP$2),IFERROR(+VLOOKUP(M26,BDD,40,FALSE),0),O26))</f>
        <v>0</v>
      </c>
      <c r="O26" s="1154"/>
      <c r="P26" s="90" t="str">
        <f>+IF(AND(DATE(YEAR($G$5)-5,12,31)&gt;=$D$5,DATE(YEAR($G$5)-5,12,1)&lt;=$G$5),DATE(YEAR($G$5)-5,12,1),"Hors période")</f>
        <v>Hors période</v>
      </c>
      <c r="Q26" s="467">
        <f>IF(AND(R26="",$D$9=S.CAL!$CP$1),IFERROR(+VLOOKUP(P26,BDD,29,FALSE),0),IF(AND(R26="",$D$9=S.CAL!$CP$2),IFERROR(+VLOOKUP(P26,BDD,40,FALSE),0),R26))</f>
        <v>0</v>
      </c>
      <c r="R26" s="1154"/>
      <c r="S26" s="90" t="str">
        <f>+IF(AND(DATE(YEAR($G$5)-6,12,31)&gt;=$D$5,DATE(YEAR($G$5)-6,12,1)&lt;=$G$5),DATE(YEAR($G$5)-6,12,1),"Hors période")</f>
        <v>Hors période</v>
      </c>
      <c r="T26" s="467">
        <f>IF(AND(U26="",$D$9=S.CAL!$CP$1),IFERROR(+VLOOKUP(S26,BDD,29,FALSE),0),IF(AND(U26="",$D$9=S.CAL!$CP$2),IFERROR(+VLOOKUP(S26,BDD,40,FALSE),0),U26))</f>
        <v>0</v>
      </c>
      <c r="U26" s="1154"/>
      <c r="V26" s="90" t="str">
        <f>+IF(AND(DATE(YEAR($G$5)-7,12,31)&gt;=$D$5,DATE(YEAR($G$5)-7,12,1)&lt;=$G$5),DATE(YEAR($G$5)-7,12,1),"Hors période")</f>
        <v>Hors période</v>
      </c>
      <c r="W26" s="467">
        <f>IF(AND(X26="",$D$9=S.CAL!$CP$1),IFERROR(+VLOOKUP(V26,BDD,29,FALSE),0),IF(AND(X26="",$D$9=S.CAL!$CP$2),IFERROR(+VLOOKUP(V26,BDD,40,FALSE),0),X26))</f>
        <v>0</v>
      </c>
      <c r="X26" s="1154"/>
    </row>
    <row r="28" spans="1:24" x14ac:dyDescent="0.2">
      <c r="A28" s="91" t="s">
        <v>178</v>
      </c>
      <c r="B28" s="92">
        <f>SUM(B15:B26)</f>
        <v>0</v>
      </c>
      <c r="C28" s="22"/>
      <c r="D28" s="91" t="s">
        <v>178</v>
      </c>
      <c r="E28" s="92">
        <f>SUM(E15:E26)</f>
        <v>0</v>
      </c>
      <c r="F28" s="93"/>
      <c r="G28" s="91" t="s">
        <v>178</v>
      </c>
      <c r="H28" s="92">
        <f>SUM(H15:H26)</f>
        <v>0</v>
      </c>
      <c r="I28" s="93"/>
      <c r="J28" s="91" t="s">
        <v>178</v>
      </c>
      <c r="K28" s="92">
        <f>SUM(K15:K26)</f>
        <v>0</v>
      </c>
      <c r="L28" s="22"/>
      <c r="M28" s="91" t="s">
        <v>178</v>
      </c>
      <c r="N28" s="92">
        <f>SUM(N15:N26)</f>
        <v>0</v>
      </c>
      <c r="O28" s="22"/>
      <c r="P28" s="91" t="s">
        <v>178</v>
      </c>
      <c r="Q28" s="92">
        <f>SUM(Q15:Q26)</f>
        <v>0</v>
      </c>
      <c r="R28" s="22"/>
      <c r="S28" s="91" t="s">
        <v>178</v>
      </c>
      <c r="T28" s="92">
        <f>SUM(T15:T26)</f>
        <v>0</v>
      </c>
      <c r="U28" s="22"/>
      <c r="V28" s="91" t="s">
        <v>178</v>
      </c>
      <c r="W28" s="92">
        <f>SUM(W15:W26)</f>
        <v>0</v>
      </c>
    </row>
    <row r="31" spans="1:24" x14ac:dyDescent="0.2">
      <c r="D31" s="29" t="s">
        <v>1379</v>
      </c>
      <c r="E31" s="92">
        <f>SUM(A28:W28)</f>
        <v>0</v>
      </c>
      <c r="G31" s="19"/>
      <c r="H31" s="39" t="s">
        <v>180</v>
      </c>
      <c r="I31" s="94">
        <f>IF(AND(K9="OUI",K6="OUI"),ROUND(+E31*G8,2),0)</f>
        <v>0</v>
      </c>
    </row>
    <row r="33" spans="1:12" x14ac:dyDescent="0.2">
      <c r="G33" s="2404" t="str">
        <f>+IF(K9="OUI","Détail du calcul :   "&amp;ROUND(E31,2)&amp;" € X "&amp;D8,"")</f>
        <v/>
      </c>
      <c r="H33" s="2404"/>
      <c r="I33" s="2404"/>
    </row>
    <row r="34" spans="1:12" ht="12.75" customHeight="1" x14ac:dyDescent="0.2">
      <c r="D34" s="961"/>
      <c r="E34" s="961"/>
      <c r="F34" s="961"/>
      <c r="G34" s="961"/>
      <c r="H34" s="961"/>
      <c r="I34" s="961"/>
      <c r="J34" s="961"/>
      <c r="K34" s="961"/>
      <c r="L34" s="961"/>
    </row>
    <row r="35" spans="1:12" ht="12.75" customHeight="1" x14ac:dyDescent="0.2">
      <c r="D35" s="961"/>
      <c r="E35" s="961"/>
      <c r="F35" s="961"/>
      <c r="G35" s="961"/>
      <c r="H35" s="961"/>
      <c r="I35" s="961"/>
      <c r="J35" s="961"/>
      <c r="K35" s="961"/>
      <c r="L35" s="961"/>
    </row>
    <row r="37" spans="1:12" x14ac:dyDescent="0.2">
      <c r="A37" s="19" t="s">
        <v>167</v>
      </c>
    </row>
    <row r="39" spans="1:12" x14ac:dyDescent="0.2">
      <c r="A39" s="725" t="s">
        <v>1147</v>
      </c>
      <c r="B39" s="2480" t="s">
        <v>1152</v>
      </c>
      <c r="C39" s="2482"/>
      <c r="D39" s="730" t="s">
        <v>1149</v>
      </c>
      <c r="E39" s="2480" t="s">
        <v>1150</v>
      </c>
      <c r="F39" s="2482"/>
      <c r="G39" s="2480" t="s">
        <v>795</v>
      </c>
      <c r="H39" s="2481"/>
      <c r="I39" s="2481"/>
      <c r="J39" s="2481"/>
      <c r="K39" s="2481"/>
      <c r="L39" s="2482"/>
    </row>
    <row r="40" spans="1:12" x14ac:dyDescent="0.2">
      <c r="A40" s="726" t="s">
        <v>1151</v>
      </c>
      <c r="B40" s="727" t="s">
        <v>1148</v>
      </c>
      <c r="C40" s="728">
        <v>80</v>
      </c>
      <c r="D40" s="549" t="s">
        <v>208</v>
      </c>
      <c r="E40" s="2492">
        <v>9</v>
      </c>
      <c r="F40" s="2493"/>
      <c r="G40" s="1729" t="s">
        <v>1153</v>
      </c>
      <c r="H40" s="1729"/>
      <c r="I40" s="1729"/>
      <c r="J40" s="1729"/>
      <c r="K40" s="1729"/>
      <c r="L40" s="2489"/>
    </row>
    <row r="41" spans="1:12" x14ac:dyDescent="0.2">
      <c r="A41" s="726" t="s">
        <v>899</v>
      </c>
      <c r="B41" s="727" t="s">
        <v>1148</v>
      </c>
      <c r="C41" s="728">
        <v>60</v>
      </c>
      <c r="D41" s="549" t="s">
        <v>208</v>
      </c>
      <c r="E41" s="2492">
        <v>9</v>
      </c>
      <c r="F41" s="2493"/>
      <c r="G41" s="1729" t="s">
        <v>1432</v>
      </c>
      <c r="H41" s="1729"/>
      <c r="I41" s="1729"/>
      <c r="J41" s="1729"/>
      <c r="K41" s="1729"/>
      <c r="L41" s="2489"/>
    </row>
    <row r="42" spans="1:12" x14ac:dyDescent="0.2">
      <c r="A42" s="1155"/>
      <c r="B42" s="727" t="s">
        <v>1148</v>
      </c>
      <c r="C42" s="1157"/>
      <c r="D42" s="1159" t="s">
        <v>208</v>
      </c>
      <c r="E42" s="2487">
        <v>9</v>
      </c>
      <c r="F42" s="2488"/>
      <c r="G42" s="2490"/>
      <c r="H42" s="2490"/>
      <c r="I42" s="2490"/>
      <c r="J42" s="2490"/>
      <c r="K42" s="2490"/>
      <c r="L42" s="2491"/>
    </row>
    <row r="43" spans="1:12" x14ac:dyDescent="0.2">
      <c r="A43" s="1155"/>
      <c r="B43" s="727" t="s">
        <v>1148</v>
      </c>
      <c r="C43" s="1157"/>
      <c r="D43" s="1159" t="s">
        <v>208</v>
      </c>
      <c r="E43" s="2487">
        <v>9</v>
      </c>
      <c r="F43" s="2488"/>
      <c r="G43" s="2490"/>
      <c r="H43" s="2490"/>
      <c r="I43" s="2490"/>
      <c r="J43" s="2490"/>
      <c r="K43" s="2490"/>
      <c r="L43" s="2491"/>
    </row>
    <row r="44" spans="1:12" x14ac:dyDescent="0.2">
      <c r="A44" s="1156"/>
      <c r="B44" s="729" t="s">
        <v>1148</v>
      </c>
      <c r="C44" s="1158"/>
      <c r="D44" s="1160" t="s">
        <v>208</v>
      </c>
      <c r="E44" s="2483">
        <v>9</v>
      </c>
      <c r="F44" s="2484"/>
      <c r="G44" s="2485"/>
      <c r="H44" s="2485"/>
      <c r="I44" s="2485"/>
      <c r="J44" s="2485"/>
      <c r="K44" s="2485"/>
      <c r="L44" s="2486"/>
    </row>
    <row r="49" spans="1:43" ht="18" x14ac:dyDescent="0.25">
      <c r="A49" s="17" t="s">
        <v>1579</v>
      </c>
    </row>
    <row r="51" spans="1:43" outlineLevel="1" x14ac:dyDescent="0.2">
      <c r="A51" s="2477" t="s">
        <v>71</v>
      </c>
      <c r="B51" s="2478"/>
      <c r="C51" s="2479"/>
      <c r="D51" s="2474" t="s">
        <v>171</v>
      </c>
      <c r="E51" s="2475"/>
      <c r="F51" s="2476"/>
      <c r="G51" s="2477" t="s">
        <v>172</v>
      </c>
      <c r="H51" s="2478"/>
      <c r="I51" s="2479"/>
      <c r="J51" s="2474" t="s">
        <v>173</v>
      </c>
      <c r="K51" s="2475"/>
      <c r="L51" s="2476"/>
      <c r="M51" s="2477" t="s">
        <v>174</v>
      </c>
      <c r="N51" s="2478"/>
      <c r="O51" s="2479"/>
      <c r="P51" s="2474" t="s">
        <v>175</v>
      </c>
      <c r="Q51" s="2475"/>
      <c r="R51" s="2476"/>
      <c r="S51" s="2477" t="s">
        <v>176</v>
      </c>
      <c r="T51" s="2478"/>
      <c r="U51" s="2479"/>
      <c r="V51" s="2474" t="s">
        <v>177</v>
      </c>
      <c r="W51" s="2475"/>
      <c r="X51" s="2476"/>
      <c r="AO51" s="30"/>
      <c r="AP51" s="37"/>
      <c r="AQ51" s="37"/>
    </row>
    <row r="52" spans="1:43" outlineLevel="1" x14ac:dyDescent="0.2">
      <c r="A52" s="2480">
        <f>+A13</f>
        <v>2026</v>
      </c>
      <c r="B52" s="2481"/>
      <c r="C52" s="2482"/>
      <c r="D52" s="2480">
        <f>+A52-1</f>
        <v>2025</v>
      </c>
      <c r="E52" s="2481"/>
      <c r="F52" s="2482"/>
      <c r="G52" s="2480">
        <f>+D52-1</f>
        <v>2024</v>
      </c>
      <c r="H52" s="2481"/>
      <c r="I52" s="2482"/>
      <c r="J52" s="2480">
        <f>+G52-1</f>
        <v>2023</v>
      </c>
      <c r="K52" s="2481"/>
      <c r="L52" s="2482"/>
      <c r="M52" s="2480">
        <f>+J52-1</f>
        <v>2022</v>
      </c>
      <c r="N52" s="2481"/>
      <c r="O52" s="2482"/>
      <c r="P52" s="2480">
        <f>+M52-1</f>
        <v>2021</v>
      </c>
      <c r="Q52" s="2481"/>
      <c r="R52" s="2482"/>
      <c r="S52" s="2480">
        <f>+P52-1</f>
        <v>2020</v>
      </c>
      <c r="T52" s="2481"/>
      <c r="U52" s="2482"/>
      <c r="V52" s="2480">
        <f>+S52-1</f>
        <v>2019</v>
      </c>
      <c r="W52" s="2481"/>
      <c r="X52" s="2482"/>
    </row>
    <row r="53" spans="1:43" outlineLevel="1" x14ac:dyDescent="0.2">
      <c r="A53" s="631" t="s">
        <v>26</v>
      </c>
      <c r="B53" s="633">
        <f>+D48</f>
        <v>0</v>
      </c>
      <c r="C53" s="87" t="s">
        <v>492</v>
      </c>
      <c r="D53" s="632" t="s">
        <v>26</v>
      </c>
      <c r="E53" s="634">
        <f>+D48</f>
        <v>0</v>
      </c>
      <c r="F53" s="87" t="s">
        <v>659</v>
      </c>
      <c r="G53" s="632" t="s">
        <v>26</v>
      </c>
      <c r="H53" s="634">
        <f>+D48</f>
        <v>0</v>
      </c>
      <c r="I53" s="87" t="s">
        <v>659</v>
      </c>
      <c r="J53" s="632" t="s">
        <v>26</v>
      </c>
      <c r="K53" s="634">
        <f>+D48</f>
        <v>0</v>
      </c>
      <c r="L53" s="87" t="s">
        <v>659</v>
      </c>
      <c r="M53" s="632" t="s">
        <v>26</v>
      </c>
      <c r="N53" s="634">
        <f>+D48</f>
        <v>0</v>
      </c>
      <c r="O53" s="87" t="s">
        <v>659</v>
      </c>
      <c r="P53" s="632" t="s">
        <v>26</v>
      </c>
      <c r="Q53" s="634">
        <f>+D48</f>
        <v>0</v>
      </c>
      <c r="R53" s="87" t="s">
        <v>659</v>
      </c>
      <c r="S53" s="632" t="s">
        <v>26</v>
      </c>
      <c r="T53" s="634">
        <f>+D48</f>
        <v>0</v>
      </c>
      <c r="U53" s="87" t="s">
        <v>659</v>
      </c>
      <c r="V53" s="632" t="s">
        <v>26</v>
      </c>
      <c r="W53" s="634">
        <f>+D48</f>
        <v>0</v>
      </c>
      <c r="X53" s="86" t="s">
        <v>659</v>
      </c>
    </row>
    <row r="54" spans="1:43" s="1486" customFormat="1" ht="20.25" customHeight="1" outlineLevel="1" x14ac:dyDescent="0.2">
      <c r="A54" s="1483" t="str">
        <f>+IF(AND(DATE(YEAR($G$5),1,31)&gt;=$D$5,DATE(YEAR($G$5),1,1)&lt;=$G$5),DATE(YEAR($G$5),1,1),"Hors période")</f>
        <v>Hors période</v>
      </c>
      <c r="B54" s="1484">
        <f t="shared" ref="B54:B65" si="3">IF(C54="",IFERROR(+VLOOKUP(A54,BDD,92,FALSE),0),C54)</f>
        <v>0</v>
      </c>
      <c r="C54" s="1500"/>
      <c r="D54" s="1485" t="str">
        <f>+IF(AND(DATE(YEAR($G$5)-1,1,31)&gt;=$D$5,DATE(YEAR($G$5)-1,1,1)&lt;=$G$5),DATE(YEAR($G$5)-1,1,1),"Hors période")</f>
        <v>Hors période</v>
      </c>
      <c r="E54" s="1484">
        <f t="shared" ref="E54:E65" si="4">IF(F54="",IFERROR(+VLOOKUP(D54,BDD,92,FALSE),0),F54)</f>
        <v>0</v>
      </c>
      <c r="F54" s="1500"/>
      <c r="G54" s="1485" t="str">
        <f>+IF(AND(DATE(YEAR($G$5)-2,1,31)&gt;=$D$5,DATE(YEAR($G$5)-2,1,1)&lt;=$G$5),DATE(YEAR($G$5)-2,1,1),"Hors période")</f>
        <v>Hors période</v>
      </c>
      <c r="H54" s="1484">
        <f t="shared" ref="H54:H65" si="5">IF(I54="",IFERROR(+VLOOKUP(G54,BDD,92,FALSE),0),I54)</f>
        <v>0</v>
      </c>
      <c r="I54" s="1500"/>
      <c r="J54" s="1485" t="str">
        <f>+IF(AND(DATE(YEAR($G$5)-3,1,31)&gt;=$D$5,DATE(YEAR($G$5)-3,1,1)&lt;=$G$5),DATE(YEAR($G$5)-3,1,1),"Hors période")</f>
        <v>Hors période</v>
      </c>
      <c r="K54" s="1484">
        <f t="shared" ref="K54:K65" si="6">IF(L54="",IFERROR(+VLOOKUP(J54,BDD,92,FALSE),0),L54)</f>
        <v>0</v>
      </c>
      <c r="L54" s="1500"/>
      <c r="M54" s="1485" t="str">
        <f>+IF(AND(DATE(YEAR($G$5)-4,1,31)&gt;=$D$5,DATE(YEAR($G$5)-4,1,1)&lt;=$G$5),DATE(YEAR($G$5)-4,1,1),"Hors période")</f>
        <v>Hors période</v>
      </c>
      <c r="N54" s="1484">
        <f t="shared" ref="N54:N65" si="7">IF(O54="",IFERROR(+VLOOKUP(M54,BDD,92,FALSE),0),O54)</f>
        <v>0</v>
      </c>
      <c r="O54" s="1500"/>
      <c r="P54" s="1485" t="str">
        <f>+IF(AND(DATE(YEAR($G$5)-5,1,31)&gt;=$D$5,DATE(YEAR($G$5)-5,1,1)&lt;=$G$5),DATE(YEAR($G$5)-5,1,1),"Hors période")</f>
        <v>Hors période</v>
      </c>
      <c r="Q54" s="1484">
        <f t="shared" ref="Q54:Q65" si="8">IF(R54="",IFERROR(+VLOOKUP(P54,BDD,92,FALSE),0),R54)</f>
        <v>0</v>
      </c>
      <c r="R54" s="1500"/>
      <c r="S54" s="1485" t="str">
        <f>+IF(AND(DATE(YEAR($G$5)-6,1,31)&gt;=$D$5,DATE(YEAR($G$5)-6,1,1)&lt;=$G$5),DATE(YEAR($G$5)-6,1,1),"Hors période")</f>
        <v>Hors période</v>
      </c>
      <c r="T54" s="1484">
        <f t="shared" ref="T54:T65" si="9">IF(U54="",IFERROR(+VLOOKUP(S54,BDD,92,FALSE),0),U54)</f>
        <v>0</v>
      </c>
      <c r="U54" s="1500"/>
      <c r="V54" s="1485" t="str">
        <f>+IF(AND(DATE(YEAR($G$5)-7,1,31)&gt;=$D$5,DATE(YEAR($G$5)-7,1,1)&lt;=$G$5),DATE(YEAR($G$5)-7,1,1),"Hors période")</f>
        <v>Hors période</v>
      </c>
      <c r="W54" s="1484">
        <f t="shared" ref="W54:W65" si="10">IF(X54="",IFERROR(+VLOOKUP(V54,BDD,92,FALSE),0),X54)</f>
        <v>0</v>
      </c>
      <c r="X54" s="1500"/>
    </row>
    <row r="55" spans="1:43" s="1486" customFormat="1" ht="20.25" customHeight="1" outlineLevel="1" x14ac:dyDescent="0.2">
      <c r="A55" s="1487" t="str">
        <f>+IF(AND(DATE(YEAR($G$5),2,29)&gt;=$D$5,DATE(YEAR($G$5),2,1)&lt;=$G$5),DATE(YEAR($G$5),2,1),"Hors période")</f>
        <v>Hors période</v>
      </c>
      <c r="B55" s="1488">
        <f t="shared" si="3"/>
        <v>0</v>
      </c>
      <c r="C55" s="1501"/>
      <c r="D55" s="1489" t="str">
        <f>+IF(AND(DATE(YEAR($G$5)-1,2,29)&gt;=$D$5,DATE(YEAR($G$5)-1,2,1)&lt;=$G$5),DATE(YEAR($G$5)-1,2,1),"Hors période")</f>
        <v>Hors période</v>
      </c>
      <c r="E55" s="1488">
        <f t="shared" si="4"/>
        <v>0</v>
      </c>
      <c r="F55" s="1501"/>
      <c r="G55" s="1489" t="str">
        <f>+IF(AND(DATE(YEAR($G$5)-2,2,29)&gt;=$D$5,DATE(YEAR($G$5)-2,2,1)&lt;=$G$5),DATE(YEAR($G$5)-2,2,1),"Hors période")</f>
        <v>Hors période</v>
      </c>
      <c r="H55" s="1488">
        <f t="shared" si="5"/>
        <v>0</v>
      </c>
      <c r="I55" s="1501"/>
      <c r="J55" s="1489" t="str">
        <f>+IF(AND(DATE(YEAR($G$5)-3,2,29)&gt;=$D$5,DATE(YEAR($G$5)-3,2,1)&lt;=$G$5),DATE(YEAR($G$5)-3,2,1),"Hors période")</f>
        <v>Hors période</v>
      </c>
      <c r="K55" s="1488">
        <f t="shared" si="6"/>
        <v>0</v>
      </c>
      <c r="L55" s="1501"/>
      <c r="M55" s="1489" t="str">
        <f>+IF(AND(DATE(YEAR($G$5)-4,2,29)&gt;=$D$5,DATE(YEAR($G$5)-4,2,1)&lt;=$G$5),DATE(YEAR($G$5)-4,2,1),"Hors période")</f>
        <v>Hors période</v>
      </c>
      <c r="N55" s="1488">
        <f t="shared" si="7"/>
        <v>0</v>
      </c>
      <c r="O55" s="1501"/>
      <c r="P55" s="1489" t="str">
        <f>+IF(AND(DATE(YEAR($G$5)-5,2,29)&gt;=$D$5,DATE(YEAR($G$5)-5,2,1)&lt;=$G$5),DATE(YEAR($G$5)-5,2,1),"Hors période")</f>
        <v>Hors période</v>
      </c>
      <c r="Q55" s="1488">
        <f t="shared" si="8"/>
        <v>0</v>
      </c>
      <c r="R55" s="1501"/>
      <c r="S55" s="1489" t="str">
        <f>+IF(AND(DATE(YEAR($G$5)-6,2,29)&gt;=$D$5,DATE(YEAR($G$5)-6,2,1)&lt;=$G$5),DATE(YEAR($G$5)-6,2,1),"Hors période")</f>
        <v>Hors période</v>
      </c>
      <c r="T55" s="1488">
        <f t="shared" si="9"/>
        <v>0</v>
      </c>
      <c r="U55" s="1501"/>
      <c r="V55" s="1489" t="str">
        <f>+IF(AND(DATE(YEAR($G$5)-7,2,29)&gt;=$D$5,DATE(YEAR($G$5)-7,2,1)&lt;=$G$5),DATE(YEAR($G$5)-7,2,1),"Hors période")</f>
        <v>Hors période</v>
      </c>
      <c r="W55" s="1488">
        <f t="shared" si="10"/>
        <v>0</v>
      </c>
      <c r="X55" s="1501"/>
    </row>
    <row r="56" spans="1:43" s="1486" customFormat="1" ht="20.25" customHeight="1" outlineLevel="1" x14ac:dyDescent="0.2">
      <c r="A56" s="1487" t="str">
        <f>+IF(AND(DATE(YEAR($G$5),3,31)&gt;=$D$5,DATE(YEAR($G$5),3,1)&lt;=$G$5),DATE(YEAR($G$5),3,1),"Hors période")</f>
        <v>Hors période</v>
      </c>
      <c r="B56" s="1488">
        <f t="shared" si="3"/>
        <v>0</v>
      </c>
      <c r="C56" s="1501"/>
      <c r="D56" s="1489" t="str">
        <f>+IF(AND(DATE(YEAR($G$5)-1,3,31)&gt;=$D$5,DATE(YEAR($G$5)-1,3,1)&lt;=$G$5),DATE(YEAR($G$5)-1,3,1),"Hors période")</f>
        <v>Hors période</v>
      </c>
      <c r="E56" s="1488">
        <f t="shared" si="4"/>
        <v>0</v>
      </c>
      <c r="F56" s="1501"/>
      <c r="G56" s="1489" t="str">
        <f>+IF(AND(DATE(YEAR($G$5)-2,3,31)&gt;=$D$5,DATE(YEAR($G$5)-2,3,1)&lt;=$G$5),DATE(YEAR($G$5)-2,3,1),"Hors période")</f>
        <v>Hors période</v>
      </c>
      <c r="H56" s="1488">
        <f t="shared" si="5"/>
        <v>0</v>
      </c>
      <c r="I56" s="1501"/>
      <c r="J56" s="1489" t="str">
        <f>+IF(AND(DATE(YEAR($G$5)-3,3,31)&gt;=$D$5,DATE(YEAR($G$5)-3,3,1)&lt;=$G$5),DATE(YEAR($G$5)-3,3,1),"Hors période")</f>
        <v>Hors période</v>
      </c>
      <c r="K56" s="1488">
        <f t="shared" si="6"/>
        <v>0</v>
      </c>
      <c r="L56" s="1501"/>
      <c r="M56" s="1489" t="str">
        <f>+IF(AND(DATE(YEAR($G$5)-4,3,31)&gt;=$D$5,DATE(YEAR($G$5)-4,3,1)&lt;=$G$5),DATE(YEAR($G$5)-4,3,1),"Hors période")</f>
        <v>Hors période</v>
      </c>
      <c r="N56" s="1488">
        <f t="shared" si="7"/>
        <v>0</v>
      </c>
      <c r="O56" s="1501"/>
      <c r="P56" s="1489" t="str">
        <f>+IF(AND(DATE(YEAR($G$5)-5,3,31)&gt;=$D$5,DATE(YEAR($G$5)-5,3,1)&lt;=$G$5),DATE(YEAR($G$5)-5,3,1),"Hors période")</f>
        <v>Hors période</v>
      </c>
      <c r="Q56" s="1488">
        <f t="shared" si="8"/>
        <v>0</v>
      </c>
      <c r="R56" s="1501"/>
      <c r="S56" s="1489" t="str">
        <f>+IF(AND(DATE(YEAR($G$5)-6,3,31)&gt;=$D$5,DATE(YEAR($G$5)-6,3,1)&lt;=$G$5),DATE(YEAR($G$5)-6,3,1),"Hors période")</f>
        <v>Hors période</v>
      </c>
      <c r="T56" s="1488">
        <f t="shared" si="9"/>
        <v>0</v>
      </c>
      <c r="U56" s="1501"/>
      <c r="V56" s="1489" t="str">
        <f>+IF(AND(DATE(YEAR($G$5)-7,3,31)&gt;=$D$5,DATE(YEAR($G$5)-7,3,1)&lt;=$G$5),DATE(YEAR($G$5)-7,3,1),"Hors période")</f>
        <v>Hors période</v>
      </c>
      <c r="W56" s="1488">
        <f t="shared" si="10"/>
        <v>0</v>
      </c>
      <c r="X56" s="1501"/>
    </row>
    <row r="57" spans="1:43" s="1486" customFormat="1" ht="20.25" customHeight="1" outlineLevel="1" x14ac:dyDescent="0.2">
      <c r="A57" s="1487" t="str">
        <f>+IF(AND(DATE(YEAR($G$5),4,30)&gt;=$D$5,DATE(YEAR($G$5),4,1)&lt;=$G$5),DATE(YEAR($G$5),4,1),"Hors période")</f>
        <v>Hors période</v>
      </c>
      <c r="B57" s="1488">
        <f t="shared" si="3"/>
        <v>0</v>
      </c>
      <c r="C57" s="1501"/>
      <c r="D57" s="1489" t="str">
        <f>+IF(AND(DATE(YEAR($G$5)-1,4,30)&gt;=$D$5,DATE(YEAR($G$5)-1,4,1)&lt;=$G$5),DATE(YEAR($G$5)-1,4,1),"Hors période")</f>
        <v>Hors période</v>
      </c>
      <c r="E57" s="1488">
        <f t="shared" si="4"/>
        <v>0</v>
      </c>
      <c r="F57" s="1501"/>
      <c r="G57" s="1489" t="str">
        <f>+IF(AND(DATE(YEAR($G$5)-2,4,30)&gt;=$D$5,DATE(YEAR($G$5)-2,4,1)&lt;=$G$5),DATE(YEAR($G$5)-2,4,1),"Hors période")</f>
        <v>Hors période</v>
      </c>
      <c r="H57" s="1488">
        <f t="shared" si="5"/>
        <v>0</v>
      </c>
      <c r="I57" s="1501"/>
      <c r="J57" s="1489" t="str">
        <f>+IF(AND(DATE(YEAR($G$5)-3,4,30)&gt;=$D$5,DATE(YEAR($G$5)-3,4,1)&lt;=$G$5),DATE(YEAR($G$5)-3,4,1),"Hors période")</f>
        <v>Hors période</v>
      </c>
      <c r="K57" s="1488">
        <f t="shared" si="6"/>
        <v>0</v>
      </c>
      <c r="L57" s="1501"/>
      <c r="M57" s="1489" t="str">
        <f>+IF(AND(DATE(YEAR($G$5)-4,4,30)&gt;=$D$5,DATE(YEAR($G$5)-4,4,1)&lt;=$G$5),DATE(YEAR($G$5)-4,4,1),"Hors période")</f>
        <v>Hors période</v>
      </c>
      <c r="N57" s="1488">
        <f t="shared" si="7"/>
        <v>0</v>
      </c>
      <c r="O57" s="1501"/>
      <c r="P57" s="1489" t="str">
        <f>+IF(AND(DATE(YEAR($G$5)-5,4,30)&gt;=$D$5,DATE(YEAR($G$5)-5,4,1)&lt;=$G$5),DATE(YEAR($G$5)-5,4,1),"Hors période")</f>
        <v>Hors période</v>
      </c>
      <c r="Q57" s="1488">
        <f t="shared" si="8"/>
        <v>0</v>
      </c>
      <c r="R57" s="1501"/>
      <c r="S57" s="1489" t="str">
        <f>+IF(AND(DATE(YEAR($G$5)-6,4,30)&gt;=$D$5,DATE(YEAR($G$5)-6,4,1)&lt;=$G$5),DATE(YEAR($G$5)-6,4,1),"Hors période")</f>
        <v>Hors période</v>
      </c>
      <c r="T57" s="1488">
        <f t="shared" si="9"/>
        <v>0</v>
      </c>
      <c r="U57" s="1501"/>
      <c r="V57" s="1489" t="str">
        <f>+IF(AND(DATE(YEAR($G$5)-7,4,30)&gt;=$D$5,DATE(YEAR($G$5)-7,4,1)&lt;=$G$5),DATE(YEAR($G$5)-7,4,1),"Hors période")</f>
        <v>Hors période</v>
      </c>
      <c r="W57" s="1488">
        <f t="shared" si="10"/>
        <v>0</v>
      </c>
      <c r="X57" s="1501"/>
    </row>
    <row r="58" spans="1:43" s="1486" customFormat="1" ht="20.25" customHeight="1" outlineLevel="1" x14ac:dyDescent="0.2">
      <c r="A58" s="1487" t="str">
        <f>+IF(AND(DATE(YEAR($G$5),5,31)&gt;=$D$5,DATE(YEAR($G$5),5,1)&lt;=$G$5),DATE(YEAR($G$5),5,1),"Hors période")</f>
        <v>Hors période</v>
      </c>
      <c r="B58" s="1488">
        <f t="shared" si="3"/>
        <v>0</v>
      </c>
      <c r="C58" s="1501"/>
      <c r="D58" s="1489" t="str">
        <f>+IF(AND(DATE(YEAR($G$5)-1,5,31)&gt;=$D$5,DATE(YEAR($G$5)-1,5,1)&lt;=$G$5),DATE(YEAR($G$5)-1,5,1),"Hors période")</f>
        <v>Hors période</v>
      </c>
      <c r="E58" s="1488">
        <f t="shared" si="4"/>
        <v>0</v>
      </c>
      <c r="F58" s="1501"/>
      <c r="G58" s="1489" t="str">
        <f>+IF(AND(DATE(YEAR($G$5)-2,5,31)&gt;=$D$5,DATE(YEAR($G$5)-2,5,1)&lt;=$G$5),DATE(YEAR($G$5)-2,5,1),"Hors période")</f>
        <v>Hors période</v>
      </c>
      <c r="H58" s="1488">
        <f t="shared" si="5"/>
        <v>0</v>
      </c>
      <c r="I58" s="1501"/>
      <c r="J58" s="1489" t="str">
        <f>+IF(AND(DATE(YEAR($G$5)-3,5,31)&gt;=$D$5,DATE(YEAR($G$5)-3,5,1)&lt;=$G$5),DATE(YEAR($G$5)-3,5,1),"Hors période")</f>
        <v>Hors période</v>
      </c>
      <c r="K58" s="1488">
        <f t="shared" si="6"/>
        <v>0</v>
      </c>
      <c r="L58" s="1501"/>
      <c r="M58" s="1489" t="str">
        <f>+IF(AND(DATE(YEAR($G$5)-4,5,31)&gt;=$D$5,DATE(YEAR($G$5)-4,5,1)&lt;=$G$5),DATE(YEAR($G$5)-4,5,1),"Hors période")</f>
        <v>Hors période</v>
      </c>
      <c r="N58" s="1488">
        <f t="shared" si="7"/>
        <v>0</v>
      </c>
      <c r="O58" s="1501"/>
      <c r="P58" s="1489" t="str">
        <f>+IF(AND(DATE(YEAR($G$5)-5,5,31)&gt;=$D$5,DATE(YEAR($G$5)-5,5,1)&lt;=$G$5),DATE(YEAR($G$5)-5,5,1),"Hors période")</f>
        <v>Hors période</v>
      </c>
      <c r="Q58" s="1488">
        <f t="shared" si="8"/>
        <v>0</v>
      </c>
      <c r="R58" s="1501"/>
      <c r="S58" s="1489" t="str">
        <f>+IF(AND(DATE(YEAR($G$5)-6,5,31)&gt;=$D$5,DATE(YEAR($G$5)-6,5,1)&lt;=$G$5),DATE(YEAR($G$5)-6,5,1),"Hors période")</f>
        <v>Hors période</v>
      </c>
      <c r="T58" s="1488">
        <f t="shared" si="9"/>
        <v>0</v>
      </c>
      <c r="U58" s="1501"/>
      <c r="V58" s="1489" t="str">
        <f>+IF(AND(DATE(YEAR($G$5)-7,5,31)&gt;=$D$5,DATE(YEAR($G$5)-7,5,1)&lt;=$G$5),DATE(YEAR($G$5)-7,5,1),"Hors période")</f>
        <v>Hors période</v>
      </c>
      <c r="W58" s="1488">
        <f t="shared" si="10"/>
        <v>0</v>
      </c>
      <c r="X58" s="1501"/>
    </row>
    <row r="59" spans="1:43" s="1486" customFormat="1" ht="20.25" customHeight="1" outlineLevel="1" x14ac:dyDescent="0.2">
      <c r="A59" s="1487" t="str">
        <f>+IF(AND(DATE(YEAR($G$5),6,30)&gt;=$D$5,DATE(YEAR($G$5),6,1)&lt;=$G$5),DATE(YEAR($G$5),6,1),"Hors période")</f>
        <v>Hors période</v>
      </c>
      <c r="B59" s="1488">
        <f t="shared" si="3"/>
        <v>0</v>
      </c>
      <c r="C59" s="1501"/>
      <c r="D59" s="1489" t="str">
        <f>+IF(AND(DATE(YEAR($G$5)-1,6,30)&gt;=$D$5,DATE(YEAR($G$5)-1,6,1)&lt;=$G$5),DATE(YEAR($G$5)-1,6,1),"Hors période")</f>
        <v>Hors période</v>
      </c>
      <c r="E59" s="1488">
        <f t="shared" si="4"/>
        <v>0</v>
      </c>
      <c r="F59" s="1501"/>
      <c r="G59" s="1489" t="str">
        <f>+IF(AND(DATE(YEAR($G$5)-2,6,30)&gt;=$D$5,DATE(YEAR($G$5)-2,6,1)&lt;=$G$5),DATE(YEAR($G$5)-2,6,1),"Hors période")</f>
        <v>Hors période</v>
      </c>
      <c r="H59" s="1488">
        <f t="shared" si="5"/>
        <v>0</v>
      </c>
      <c r="I59" s="1501"/>
      <c r="J59" s="1489" t="str">
        <f>+IF(AND(DATE(YEAR($G$5)-3,6,30)&gt;=$D$5,DATE(YEAR($G$5)-3,6,1)&lt;=$G$5),DATE(YEAR($G$5)-3,6,1),"Hors période")</f>
        <v>Hors période</v>
      </c>
      <c r="K59" s="1488">
        <f t="shared" si="6"/>
        <v>0</v>
      </c>
      <c r="L59" s="1501"/>
      <c r="M59" s="1489" t="str">
        <f>+IF(AND(DATE(YEAR($G$5)-4,6,30)&gt;=$D$5,DATE(YEAR($G$5)-4,6,1)&lt;=$G$5),DATE(YEAR($G$5)-4,6,1),"Hors période")</f>
        <v>Hors période</v>
      </c>
      <c r="N59" s="1488">
        <f t="shared" si="7"/>
        <v>0</v>
      </c>
      <c r="O59" s="1501"/>
      <c r="P59" s="1489" t="str">
        <f>+IF(AND(DATE(YEAR($G$5)-5,6,30)&gt;=$D$5,DATE(YEAR($G$5)-5,6,1)&lt;=$G$5),DATE(YEAR($G$5)-5,6,1),"Hors période")</f>
        <v>Hors période</v>
      </c>
      <c r="Q59" s="1488">
        <f t="shared" si="8"/>
        <v>0</v>
      </c>
      <c r="R59" s="1501"/>
      <c r="S59" s="1489" t="str">
        <f>+IF(AND(DATE(YEAR($G$5)-6,6,30)&gt;=$D$5,DATE(YEAR($G$5)-6,6,1)&lt;=$G$5),DATE(YEAR($G$5)-6,6,1),"Hors période")</f>
        <v>Hors période</v>
      </c>
      <c r="T59" s="1488">
        <f t="shared" si="9"/>
        <v>0</v>
      </c>
      <c r="U59" s="1501"/>
      <c r="V59" s="1489" t="str">
        <f>+IF(AND(DATE(YEAR($G$5)-7,6,30)&gt;=$D$5,DATE(YEAR($G$5)-7,6,1)&lt;=$G$5),DATE(YEAR($G$5)-7,6,1),"Hors période")</f>
        <v>Hors période</v>
      </c>
      <c r="W59" s="1488">
        <f t="shared" si="10"/>
        <v>0</v>
      </c>
      <c r="X59" s="1501"/>
    </row>
    <row r="60" spans="1:43" s="1486" customFormat="1" ht="20.25" customHeight="1" outlineLevel="1" x14ac:dyDescent="0.2">
      <c r="A60" s="1487" t="str">
        <f>+IF(AND(DATE(YEAR($G$5),7,31)&gt;=$D$5,DATE(YEAR($G$5),7,1)&lt;=$G$5),DATE(YEAR($G$5),7,1),"Hors période")</f>
        <v>Hors période</v>
      </c>
      <c r="B60" s="1488">
        <f t="shared" si="3"/>
        <v>0</v>
      </c>
      <c r="C60" s="1501"/>
      <c r="D60" s="1489" t="str">
        <f>+IF(AND(DATE(YEAR($G$5)-1,7,31)&gt;=$D$5,DATE(YEAR($G$5)-1,7,1)&lt;=$G$5),DATE(YEAR($G$5)-1,7,1),"Hors période")</f>
        <v>Hors période</v>
      </c>
      <c r="E60" s="1488">
        <f t="shared" si="4"/>
        <v>0</v>
      </c>
      <c r="F60" s="1501"/>
      <c r="G60" s="1489" t="str">
        <f>+IF(AND(DATE(YEAR($G$5)-2,7,31)&gt;=$D$5,DATE(YEAR($G$5)-2,7,1)&lt;=$G$5),DATE(YEAR($G$5)-2,7,1),"Hors période")</f>
        <v>Hors période</v>
      </c>
      <c r="H60" s="1488">
        <f t="shared" si="5"/>
        <v>0</v>
      </c>
      <c r="I60" s="1501"/>
      <c r="J60" s="1489" t="str">
        <f>+IF(AND(DATE(YEAR($G$5)-3,7,31)&gt;=$D$5,DATE(YEAR($G$5)-3,7,1)&lt;=$G$5),DATE(YEAR($G$5)-3,7,1),"Hors période")</f>
        <v>Hors période</v>
      </c>
      <c r="K60" s="1488">
        <f t="shared" si="6"/>
        <v>0</v>
      </c>
      <c r="L60" s="1501"/>
      <c r="M60" s="1489" t="str">
        <f>+IF(AND(DATE(YEAR($G$5)-4,7,31)&gt;=$D$5,DATE(YEAR($G$5)-4,7,1)&lt;=$G$5),DATE(YEAR($G$5)-4,7,1),"Hors période")</f>
        <v>Hors période</v>
      </c>
      <c r="N60" s="1488">
        <f t="shared" si="7"/>
        <v>0</v>
      </c>
      <c r="O60" s="1501"/>
      <c r="P60" s="1489" t="str">
        <f>+IF(AND(DATE(YEAR($G$5)-5,7,31)&gt;=$D$5,DATE(YEAR($G$5)-5,7,1)&lt;=$G$5),DATE(YEAR($G$5)-5,7,1),"Hors période")</f>
        <v>Hors période</v>
      </c>
      <c r="Q60" s="1488">
        <f t="shared" si="8"/>
        <v>0</v>
      </c>
      <c r="R60" s="1501"/>
      <c r="S60" s="1489" t="str">
        <f>+IF(AND(DATE(YEAR($G$5)-6,7,31)&gt;=$D$5,DATE(YEAR($G$5)-6,7,1)&lt;=$G$5),DATE(YEAR($G$5)-6,7,1),"Hors période")</f>
        <v>Hors période</v>
      </c>
      <c r="T60" s="1488">
        <f t="shared" si="9"/>
        <v>0</v>
      </c>
      <c r="U60" s="1501"/>
      <c r="V60" s="1489" t="str">
        <f>+IF(AND(DATE(YEAR($G$5)-7,7,31)&gt;=$D$5,DATE(YEAR($G$5)-7,7,1)&lt;=$G$5),DATE(YEAR($G$5)-7,7,1),"Hors période")</f>
        <v>Hors période</v>
      </c>
      <c r="W60" s="1488">
        <f t="shared" si="10"/>
        <v>0</v>
      </c>
      <c r="X60" s="1501"/>
    </row>
    <row r="61" spans="1:43" s="1486" customFormat="1" ht="20.25" customHeight="1" outlineLevel="1" x14ac:dyDescent="0.2">
      <c r="A61" s="1487" t="str">
        <f>+IF(AND(DATE(YEAR($G$5),8,31)&gt;=$D$5,DATE(YEAR($G$5),8,1)&lt;=$G$5),DATE(YEAR($G$5),8,1),"Hors période")</f>
        <v>Hors période</v>
      </c>
      <c r="B61" s="1488">
        <f t="shared" si="3"/>
        <v>0</v>
      </c>
      <c r="C61" s="1501"/>
      <c r="D61" s="1489" t="str">
        <f>+IF(AND(DATE(YEAR($G$5)-1,8,31)&gt;=$D$5,DATE(YEAR($G$5)-1,8,1)&lt;=$G$5),DATE(YEAR($G$5)-1,8,1),"Hors période")</f>
        <v>Hors période</v>
      </c>
      <c r="E61" s="1488">
        <f t="shared" si="4"/>
        <v>0</v>
      </c>
      <c r="F61" s="1501"/>
      <c r="G61" s="1489" t="str">
        <f>+IF(AND(DATE(YEAR($G$5)-2,8,31)&gt;=$D$5,DATE(YEAR($G$5)-2,8,1)&lt;=$G$5),DATE(YEAR($G$5)-2,8,1),"Hors période")</f>
        <v>Hors période</v>
      </c>
      <c r="H61" s="1488">
        <f t="shared" si="5"/>
        <v>0</v>
      </c>
      <c r="I61" s="1501"/>
      <c r="J61" s="1489" t="str">
        <f>+IF(AND(DATE(YEAR($G$5)-3,8,31)&gt;=$D$5,DATE(YEAR($G$5)-3,8,1)&lt;=$G$5),DATE(YEAR($G$5)-3,8,1),"Hors période")</f>
        <v>Hors période</v>
      </c>
      <c r="K61" s="1488">
        <f t="shared" si="6"/>
        <v>0</v>
      </c>
      <c r="L61" s="1501"/>
      <c r="M61" s="1489" t="str">
        <f>+IF(AND(DATE(YEAR($G$5)-4,8,31)&gt;=$D$5,DATE(YEAR($G$5)-4,8,1)&lt;=$G$5),DATE(YEAR($G$5)-4,8,1),"Hors période")</f>
        <v>Hors période</v>
      </c>
      <c r="N61" s="1488">
        <f t="shared" si="7"/>
        <v>0</v>
      </c>
      <c r="O61" s="1501"/>
      <c r="P61" s="1489" t="str">
        <f>+IF(AND(DATE(YEAR($G$5)-5,8,31)&gt;=$D$5,DATE(YEAR($G$5)-5,8,1)&lt;=$G$5),DATE(YEAR($G$5)-5,8,1),"Hors période")</f>
        <v>Hors période</v>
      </c>
      <c r="Q61" s="1488">
        <f t="shared" si="8"/>
        <v>0</v>
      </c>
      <c r="R61" s="1501"/>
      <c r="S61" s="1489" t="str">
        <f>+IF(AND(DATE(YEAR($G$5)-6,8,31)&gt;=$D$5,DATE(YEAR($G$5)-6,8,1)&lt;=$G$5),DATE(YEAR($G$5)-6,8,1),"Hors période")</f>
        <v>Hors période</v>
      </c>
      <c r="T61" s="1488">
        <f t="shared" si="9"/>
        <v>0</v>
      </c>
      <c r="U61" s="1501"/>
      <c r="V61" s="1489" t="str">
        <f>+IF(AND(DATE(YEAR($G$5)-7,8,31)&gt;=$D$5,DATE(YEAR($G$5)-7,8,1)&lt;=$G$5),DATE(YEAR($G$5)-7,8,1),"Hors période")</f>
        <v>Hors période</v>
      </c>
      <c r="W61" s="1488">
        <f t="shared" si="10"/>
        <v>0</v>
      </c>
      <c r="X61" s="1501"/>
    </row>
    <row r="62" spans="1:43" s="1486" customFormat="1" ht="20.25" customHeight="1" outlineLevel="1" x14ac:dyDescent="0.2">
      <c r="A62" s="1487" t="str">
        <f>+IF(AND(DATE(YEAR($G$5),9,30)&gt;=$D$5,DATE(YEAR($G$5),9,1)&lt;=$G$5),DATE(YEAR($G$5),9,1),"Hors période")</f>
        <v>Hors période</v>
      </c>
      <c r="B62" s="1488">
        <f t="shared" si="3"/>
        <v>0</v>
      </c>
      <c r="C62" s="1501"/>
      <c r="D62" s="1489" t="str">
        <f>+IF(AND(DATE(YEAR($G$5)-1,9,30)&gt;=$D$5,DATE(YEAR($G$5)-1,9,1)&lt;=$G$5),DATE(YEAR($G$5)-1,9,1),"Hors période")</f>
        <v>Hors période</v>
      </c>
      <c r="E62" s="1488">
        <f t="shared" si="4"/>
        <v>0</v>
      </c>
      <c r="F62" s="1501"/>
      <c r="G62" s="1489" t="str">
        <f>+IF(AND(DATE(YEAR($G$5)-2,9,30)&gt;=$D$5,DATE(YEAR($G$5)-2,9,1)&lt;=$G$5),DATE(YEAR($G$5)-2,9,1),"Hors période")</f>
        <v>Hors période</v>
      </c>
      <c r="H62" s="1488">
        <f t="shared" si="5"/>
        <v>0</v>
      </c>
      <c r="I62" s="1501"/>
      <c r="J62" s="1489" t="str">
        <f>+IF(AND(DATE(YEAR($G$5)-3,9,30)&gt;=$D$5,DATE(YEAR($G$5)-3,9,1)&lt;=$G$5),DATE(YEAR($G$5)-3,9,1),"Hors période")</f>
        <v>Hors période</v>
      </c>
      <c r="K62" s="1488">
        <f t="shared" si="6"/>
        <v>0</v>
      </c>
      <c r="L62" s="1501"/>
      <c r="M62" s="1489" t="str">
        <f>+IF(AND(DATE(YEAR($G$5)-4,9,30)&gt;=$D$5,DATE(YEAR($G$5)-4,9,1)&lt;=$G$5),DATE(YEAR($G$5)-4,9,1),"Hors période")</f>
        <v>Hors période</v>
      </c>
      <c r="N62" s="1488">
        <f t="shared" si="7"/>
        <v>0</v>
      </c>
      <c r="O62" s="1501"/>
      <c r="P62" s="1489" t="str">
        <f>+IF(AND(DATE(YEAR($G$5)-5,9,30)&gt;=$D$5,DATE(YEAR($G$5)-5,9,1)&lt;=$G$5),DATE(YEAR($G$5)-5,9,1),"Hors période")</f>
        <v>Hors période</v>
      </c>
      <c r="Q62" s="1488">
        <f t="shared" si="8"/>
        <v>0</v>
      </c>
      <c r="R62" s="1501"/>
      <c r="S62" s="1489" t="str">
        <f>+IF(AND(DATE(YEAR($G$5)-6,9,30)&gt;=$D$5,DATE(YEAR($G$5)-6,9,1)&lt;=$G$5),DATE(YEAR($G$5)-6,9,1),"Hors période")</f>
        <v>Hors période</v>
      </c>
      <c r="T62" s="1488">
        <f t="shared" si="9"/>
        <v>0</v>
      </c>
      <c r="U62" s="1501"/>
      <c r="V62" s="1489" t="str">
        <f>+IF(AND(DATE(YEAR($G$5)-7,9,30)&gt;=$D$5,DATE(YEAR($G$5)-7,9,1)&lt;=$G$5),DATE(YEAR($G$5)-7,9,1),"Hors période")</f>
        <v>Hors période</v>
      </c>
      <c r="W62" s="1488">
        <f t="shared" si="10"/>
        <v>0</v>
      </c>
      <c r="X62" s="1501"/>
    </row>
    <row r="63" spans="1:43" s="1486" customFormat="1" ht="20.25" customHeight="1" outlineLevel="1" x14ac:dyDescent="0.2">
      <c r="A63" s="1487" t="str">
        <f>+IF(AND(DATE(YEAR($G$5),10,31)&gt;=$D$5,DATE(YEAR($G$5),10,1)&lt;=$G$5),DATE(YEAR($G$5),10,1),"Hors période")</f>
        <v>Hors période</v>
      </c>
      <c r="B63" s="1488">
        <f t="shared" si="3"/>
        <v>0</v>
      </c>
      <c r="C63" s="1501"/>
      <c r="D63" s="1489" t="str">
        <f>+IF(AND(DATE(YEAR($G$5)-1,10,31)&gt;=$D$5,DATE(YEAR($G$5)-1,10,1)&lt;=$G$5),DATE(YEAR($G$5)-1,10,1),"Hors période")</f>
        <v>Hors période</v>
      </c>
      <c r="E63" s="1488">
        <f t="shared" si="4"/>
        <v>0</v>
      </c>
      <c r="F63" s="1501"/>
      <c r="G63" s="1489" t="str">
        <f>+IF(AND(DATE(YEAR($G$5)-2,10,31)&gt;=$D$5,DATE(YEAR($G$5)-2,10,1)&lt;=$G$5),DATE(YEAR($G$5)-2,10,1),"Hors période")</f>
        <v>Hors période</v>
      </c>
      <c r="H63" s="1488">
        <f t="shared" si="5"/>
        <v>0</v>
      </c>
      <c r="I63" s="1501"/>
      <c r="J63" s="1489" t="str">
        <f>+IF(AND(DATE(YEAR($G$5)-3,10,31)&gt;=$D$5,DATE(YEAR($G$5)-3,10,1)&lt;=$G$5),DATE(YEAR($G$5)-3,10,1),"Hors période")</f>
        <v>Hors période</v>
      </c>
      <c r="K63" s="1488">
        <f t="shared" si="6"/>
        <v>0</v>
      </c>
      <c r="L63" s="1501"/>
      <c r="M63" s="1489" t="str">
        <f>+IF(AND(DATE(YEAR($G$5)-4,10,31)&gt;=$D$5,DATE(YEAR($G$5)-4,10,1)&lt;=$G$5),DATE(YEAR($G$5)-4,10,1),"Hors période")</f>
        <v>Hors période</v>
      </c>
      <c r="N63" s="1488">
        <f t="shared" si="7"/>
        <v>0</v>
      </c>
      <c r="O63" s="1501"/>
      <c r="P63" s="1489" t="str">
        <f>+IF(AND(DATE(YEAR($G$5)-5,10,31)&gt;=$D$5,DATE(YEAR($G$5)-5,10,1)&lt;=$G$5),DATE(YEAR($G$5)-5,10,1),"Hors période")</f>
        <v>Hors période</v>
      </c>
      <c r="Q63" s="1488">
        <f t="shared" si="8"/>
        <v>0</v>
      </c>
      <c r="R63" s="1501"/>
      <c r="S63" s="1489" t="str">
        <f>+IF(AND(DATE(YEAR($G$5)-6,10,31)&gt;=$D$5,DATE(YEAR($G$5)-6,10,1)&lt;=$G$5),DATE(YEAR($G$5)-6,10,1),"Hors période")</f>
        <v>Hors période</v>
      </c>
      <c r="T63" s="1488">
        <f t="shared" si="9"/>
        <v>0</v>
      </c>
      <c r="U63" s="1501"/>
      <c r="V63" s="1489" t="str">
        <f>+IF(AND(DATE(YEAR($G$5)-7,10,31)&gt;=$D$5,DATE(YEAR($G$5)-7,10,1)&lt;=$G$5),DATE(YEAR($G$5)-7,10,1),"Hors période")</f>
        <v>Hors période</v>
      </c>
      <c r="W63" s="1488">
        <f t="shared" si="10"/>
        <v>0</v>
      </c>
      <c r="X63" s="1501"/>
    </row>
    <row r="64" spans="1:43" s="1486" customFormat="1" ht="20.25" customHeight="1" outlineLevel="1" x14ac:dyDescent="0.2">
      <c r="A64" s="1487" t="str">
        <f>+IF(AND(DATE(YEAR($G$5),11,30)&gt;=$D$5,DATE(YEAR($G$5),11,1)&lt;=$G$5),DATE(YEAR($G$5),11,1),"Hors période")</f>
        <v>Hors période</v>
      </c>
      <c r="B64" s="1488">
        <f t="shared" si="3"/>
        <v>0</v>
      </c>
      <c r="C64" s="1501"/>
      <c r="D64" s="1489" t="str">
        <f>+IF(AND(DATE(YEAR($G$5)-1,11,30)&gt;=$D$5,DATE(YEAR($G$5)-1,11,1)&lt;=$G$5),DATE(YEAR($G$5)-1,11,1),"Hors période")</f>
        <v>Hors période</v>
      </c>
      <c r="E64" s="1488">
        <f t="shared" si="4"/>
        <v>0</v>
      </c>
      <c r="F64" s="1501"/>
      <c r="G64" s="1489" t="str">
        <f>+IF(AND(DATE(YEAR($G$5)-2,11,30)&gt;=$D$5,DATE(YEAR($G$5)-2,11,1)&lt;=$G$5),DATE(YEAR($G$5)-2,11,1),"Hors période")</f>
        <v>Hors période</v>
      </c>
      <c r="H64" s="1488">
        <f t="shared" si="5"/>
        <v>0</v>
      </c>
      <c r="I64" s="1501"/>
      <c r="J64" s="1489" t="str">
        <f>+IF(AND(DATE(YEAR($G$5)-3,11,30)&gt;=$D$5,DATE(YEAR($G$5)-3,11,1)&lt;=$G$5),DATE(YEAR($G$5)-3,11,1),"Hors période")</f>
        <v>Hors période</v>
      </c>
      <c r="K64" s="1488">
        <f t="shared" si="6"/>
        <v>0</v>
      </c>
      <c r="L64" s="1501"/>
      <c r="M64" s="1489" t="str">
        <f>+IF(AND(DATE(YEAR($G$5)-4,11,30)&gt;=$D$5,DATE(YEAR($G$5)-4,11,1)&lt;=$G$5),DATE(YEAR($G$5)-4,11,1),"Hors période")</f>
        <v>Hors période</v>
      </c>
      <c r="N64" s="1488">
        <f t="shared" si="7"/>
        <v>0</v>
      </c>
      <c r="O64" s="1501"/>
      <c r="P64" s="1489" t="str">
        <f>+IF(AND(DATE(YEAR($G$5)-5,11,30)&gt;=$D$5,DATE(YEAR($G$5)-5,11,1)&lt;=$G$5),DATE(YEAR($G$5)-5,11,1),"Hors période")</f>
        <v>Hors période</v>
      </c>
      <c r="Q64" s="1488">
        <f t="shared" si="8"/>
        <v>0</v>
      </c>
      <c r="R64" s="1501"/>
      <c r="S64" s="1489" t="str">
        <f>+IF(AND(DATE(YEAR($G$5)-6,11,30)&gt;=$D$5,DATE(YEAR($G$5)-6,11,1)&lt;=$G$5),DATE(YEAR($G$5)-6,11,1),"Hors période")</f>
        <v>Hors période</v>
      </c>
      <c r="T64" s="1488">
        <f t="shared" si="9"/>
        <v>0</v>
      </c>
      <c r="U64" s="1501"/>
      <c r="V64" s="1489" t="str">
        <f>+IF(AND(DATE(YEAR($G$5)-7,11,30)&gt;=$D$5,DATE(YEAR($G$5)-7,11,1)&lt;=$G$5),DATE(YEAR($G$5)-7,11,1),"Hors période")</f>
        <v>Hors période</v>
      </c>
      <c r="W64" s="1488">
        <f t="shared" si="10"/>
        <v>0</v>
      </c>
      <c r="X64" s="1501"/>
    </row>
    <row r="65" spans="1:24" s="1486" customFormat="1" ht="20.25" customHeight="1" outlineLevel="1" x14ac:dyDescent="0.2">
      <c r="A65" s="1490" t="str">
        <f>+IF(AND(DATE(YEAR($G$5),12,31)&gt;=$D$5,DATE(YEAR($G$5),12,1)&lt;=$G$5),DATE(YEAR($G$5),12,1),"Hors période")</f>
        <v>Hors période</v>
      </c>
      <c r="B65" s="1491">
        <f t="shared" si="3"/>
        <v>0</v>
      </c>
      <c r="C65" s="1502"/>
      <c r="D65" s="1492" t="str">
        <f>+IF(AND(DATE(YEAR($G$5)-1,12,31)&gt;=$D$5,DATE(YEAR($G$5)-1,12,1)&lt;=$G$5),DATE(YEAR($G$5)-1,12,1),"Hors période")</f>
        <v>Hors période</v>
      </c>
      <c r="E65" s="1491">
        <f t="shared" si="4"/>
        <v>0</v>
      </c>
      <c r="F65" s="1502"/>
      <c r="G65" s="1492" t="str">
        <f>+IF(AND(DATE(YEAR($G$5)-2,12,31)&gt;=$D$5,DATE(YEAR($G$5)-2,12,1)&lt;=$G$5),DATE(YEAR($G$5)-2,12,1),"Hors période")</f>
        <v>Hors période</v>
      </c>
      <c r="H65" s="1491">
        <f t="shared" si="5"/>
        <v>0</v>
      </c>
      <c r="I65" s="1502"/>
      <c r="J65" s="1492" t="str">
        <f>+IF(AND(DATE(YEAR($G$5)-3,12,31)&gt;=$D$5,DATE(YEAR($G$5)-3,12,1)&lt;=$G$5),DATE(YEAR($G$5)-3,12,1),"Hors période")</f>
        <v>Hors période</v>
      </c>
      <c r="K65" s="1491">
        <f t="shared" si="6"/>
        <v>0</v>
      </c>
      <c r="L65" s="1502"/>
      <c r="M65" s="1492" t="str">
        <f>+IF(AND(DATE(YEAR($G$5)-4,12,31)&gt;=$D$5,DATE(YEAR($G$5)-4,12,1)&lt;=$G$5),DATE(YEAR($G$5)-4,12,1),"Hors période")</f>
        <v>Hors période</v>
      </c>
      <c r="N65" s="1491">
        <f t="shared" si="7"/>
        <v>0</v>
      </c>
      <c r="O65" s="1502"/>
      <c r="P65" s="1492" t="str">
        <f>+IF(AND(DATE(YEAR($G$5)-5,12,31)&gt;=$D$5,DATE(YEAR($G$5)-5,12,1)&lt;=$G$5),DATE(YEAR($G$5)-5,12,1),"Hors période")</f>
        <v>Hors période</v>
      </c>
      <c r="Q65" s="1491">
        <f t="shared" si="8"/>
        <v>0</v>
      </c>
      <c r="R65" s="1502"/>
      <c r="S65" s="1492" t="str">
        <f>+IF(AND(DATE(YEAR($G$5)-6,12,31)&gt;=$D$5,DATE(YEAR($G$5)-6,12,1)&lt;=$G$5),DATE(YEAR($G$5)-6,12,1),"Hors période")</f>
        <v>Hors période</v>
      </c>
      <c r="T65" s="1491">
        <f t="shared" si="9"/>
        <v>0</v>
      </c>
      <c r="U65" s="1502"/>
      <c r="V65" s="1492" t="str">
        <f>+IF(AND(DATE(YEAR($G$5)-7,12,31)&gt;=$D$5,DATE(YEAR($G$5)-7,12,1)&lt;=$G$5),DATE(YEAR($G$5)-7,12,1),"Hors période")</f>
        <v>Hors période</v>
      </c>
      <c r="W65" s="1491">
        <f t="shared" si="10"/>
        <v>0</v>
      </c>
      <c r="X65" s="1502"/>
    </row>
    <row r="66" spans="1:24" s="1486" customFormat="1" outlineLevel="1" x14ac:dyDescent="0.2"/>
    <row r="67" spans="1:24" s="1486" customFormat="1" ht="18.75" customHeight="1" outlineLevel="1" x14ac:dyDescent="0.2">
      <c r="A67" s="1493" t="s">
        <v>178</v>
      </c>
      <c r="B67" s="1494">
        <f>SUM(B54:B65)</f>
        <v>0</v>
      </c>
      <c r="C67" s="1495"/>
      <c r="D67" s="1493" t="s">
        <v>178</v>
      </c>
      <c r="E67" s="1494">
        <f>SUM(E54:E65)</f>
        <v>0</v>
      </c>
      <c r="F67" s="1496"/>
      <c r="G67" s="1493" t="s">
        <v>178</v>
      </c>
      <c r="H67" s="1494">
        <f>SUM(H54:H65)</f>
        <v>0</v>
      </c>
      <c r="I67" s="1496"/>
      <c r="J67" s="1493" t="s">
        <v>178</v>
      </c>
      <c r="K67" s="1494">
        <f>SUM(K54:K65)</f>
        <v>0</v>
      </c>
      <c r="L67" s="1495"/>
      <c r="M67" s="1493" t="s">
        <v>178</v>
      </c>
      <c r="N67" s="1494">
        <f>SUM(N54:N65)</f>
        <v>0</v>
      </c>
      <c r="O67" s="1495"/>
      <c r="P67" s="1493" t="s">
        <v>178</v>
      </c>
      <c r="Q67" s="1494">
        <f>SUM(Q54:Q65)</f>
        <v>0</v>
      </c>
      <c r="R67" s="1495"/>
      <c r="S67" s="1493" t="s">
        <v>178</v>
      </c>
      <c r="T67" s="1494">
        <f>SUM(T54:T65)</f>
        <v>0</v>
      </c>
      <c r="U67" s="1495"/>
      <c r="V67" s="1493" t="s">
        <v>178</v>
      </c>
      <c r="W67" s="1494">
        <f>SUM(W54:W65)</f>
        <v>0</v>
      </c>
    </row>
    <row r="68" spans="1:24" outlineLevel="1" x14ac:dyDescent="0.2"/>
    <row r="69" spans="1:24" x14ac:dyDescent="0.2">
      <c r="A69" s="24"/>
      <c r="B69" s="24"/>
      <c r="C69" s="24"/>
      <c r="D69" s="24"/>
      <c r="E69" s="24"/>
      <c r="F69" s="24"/>
      <c r="G69" s="24"/>
      <c r="H69" s="24"/>
    </row>
    <row r="70" spans="1:24" x14ac:dyDescent="0.2">
      <c r="A70" s="1486"/>
      <c r="B70" s="1486"/>
      <c r="C70" s="1486"/>
      <c r="D70" s="1497" t="s">
        <v>1379</v>
      </c>
      <c r="E70" s="1494">
        <f>SUM(A67:W67)</f>
        <v>0</v>
      </c>
      <c r="H70" s="1498" t="s">
        <v>1580</v>
      </c>
      <c r="I70" s="1499">
        <f>+E70*0.1</f>
        <v>0</v>
      </c>
    </row>
    <row r="71" spans="1:24" x14ac:dyDescent="0.2">
      <c r="H71" s="469" t="str">
        <f>+"Détail du calcul :   "&amp;E70&amp;" € X 10/100"</f>
        <v>Détail du calcul :   0 € X 10/100</v>
      </c>
    </row>
    <row r="75" spans="1:24" s="377" customFormat="1" x14ac:dyDescent="0.2"/>
    <row r="76" spans="1:24" s="377" customFormat="1" x14ac:dyDescent="0.2"/>
    <row r="77" spans="1:24" s="24" customFormat="1" x14ac:dyDescent="0.2"/>
    <row r="78" spans="1:24" s="24" customFormat="1" x14ac:dyDescent="0.2">
      <c r="A78" s="24" t="s">
        <v>660</v>
      </c>
    </row>
    <row r="79" spans="1:24" s="24" customFormat="1" x14ac:dyDescent="0.2">
      <c r="A79" s="24" t="s">
        <v>661</v>
      </c>
      <c r="B79" s="24" t="s">
        <v>171</v>
      </c>
      <c r="C79" s="24" t="s">
        <v>172</v>
      </c>
      <c r="D79" s="24" t="s">
        <v>173</v>
      </c>
      <c r="E79" s="24" t="s">
        <v>174</v>
      </c>
      <c r="F79" s="24" t="s">
        <v>175</v>
      </c>
      <c r="G79" s="24" t="s">
        <v>176</v>
      </c>
      <c r="H79" s="24" t="s">
        <v>177</v>
      </c>
    </row>
    <row r="80" spans="1:24" s="24" customFormat="1" x14ac:dyDescent="0.2">
      <c r="A80" s="24" t="str">
        <f>+IF(AND(A15&lt;&gt;"Hors période",B15=0),"JAUNE","NON")</f>
        <v>NON</v>
      </c>
      <c r="B80" s="24" t="str">
        <f>+IF(AND(D15&lt;&gt;"Hors période",E15=0),"JAUNE","NON")</f>
        <v>NON</v>
      </c>
      <c r="C80" s="24" t="str">
        <f>+IF(AND(G15&lt;&gt;"Hors période",H15=0),"JAUNE","NON")</f>
        <v>NON</v>
      </c>
      <c r="D80" s="24" t="str">
        <f>+IF(AND(J15&lt;&gt;"Hors période",K15=0),"JAUNE","NON")</f>
        <v>NON</v>
      </c>
      <c r="E80" s="24" t="str">
        <f>+IF(AND(M15&lt;&gt;"Hors période",N15=0),"JAUNE","NON")</f>
        <v>NON</v>
      </c>
      <c r="F80" s="24" t="str">
        <f>+IF(AND(P15&lt;&gt;"Hors période",Q15=0),"JAUNE","NON")</f>
        <v>NON</v>
      </c>
      <c r="G80" s="24" t="str">
        <f>+IF(AND(S15&lt;&gt;"Hors période",T15=0),"JAUNE","NON")</f>
        <v>NON</v>
      </c>
      <c r="H80" s="24" t="str">
        <f>+IF(AND(V15&lt;&gt;"Hors période",W15=0),"JAUNE","NON")</f>
        <v>NON</v>
      </c>
    </row>
    <row r="81" spans="1:8" s="24" customFormat="1" x14ac:dyDescent="0.2">
      <c r="A81" s="24" t="str">
        <f t="shared" ref="A81:A91" si="11">+IF(AND(A16&lt;&gt;"Hors période",B16=0),"JAUNE","NON")</f>
        <v>NON</v>
      </c>
      <c r="B81" s="24" t="str">
        <f t="shared" ref="B81:B91" si="12">+IF(AND(D16&lt;&gt;"Hors période",E16=0),"JAUNE","NON")</f>
        <v>NON</v>
      </c>
      <c r="C81" s="24" t="str">
        <f t="shared" ref="C81:C91" si="13">+IF(AND(G16&lt;&gt;"Hors période",H16=0),"JAUNE","NON")</f>
        <v>NON</v>
      </c>
      <c r="D81" s="24" t="str">
        <f t="shared" ref="D81:D91" si="14">+IF(AND(J16&lt;&gt;"Hors période",K16=0),"JAUNE","NON")</f>
        <v>NON</v>
      </c>
      <c r="E81" s="24" t="str">
        <f t="shared" ref="E81:E91" si="15">+IF(AND(M16&lt;&gt;"Hors période",N16=0),"JAUNE","NON")</f>
        <v>NON</v>
      </c>
      <c r="F81" s="24" t="str">
        <f t="shared" ref="F81:F91" si="16">+IF(AND(P16&lt;&gt;"Hors période",Q16=0),"JAUNE","NON")</f>
        <v>NON</v>
      </c>
      <c r="G81" s="24" t="str">
        <f t="shared" ref="G81:G91" si="17">+IF(AND(S16&lt;&gt;"Hors période",T16=0),"JAUNE","NON")</f>
        <v>NON</v>
      </c>
      <c r="H81" s="24" t="str">
        <f t="shared" ref="H81:H91" si="18">+IF(AND(V16&lt;&gt;"Hors période",W16=0),"JAUNE","NON")</f>
        <v>NON</v>
      </c>
    </row>
    <row r="82" spans="1:8" s="24" customFormat="1" x14ac:dyDescent="0.2">
      <c r="A82" s="24" t="str">
        <f t="shared" si="11"/>
        <v>NON</v>
      </c>
      <c r="B82" s="24" t="str">
        <f t="shared" si="12"/>
        <v>NON</v>
      </c>
      <c r="C82" s="24" t="str">
        <f t="shared" si="13"/>
        <v>NON</v>
      </c>
      <c r="D82" s="24" t="str">
        <f t="shared" si="14"/>
        <v>NON</v>
      </c>
      <c r="E82" s="24" t="str">
        <f t="shared" si="15"/>
        <v>NON</v>
      </c>
      <c r="F82" s="24" t="str">
        <f t="shared" si="16"/>
        <v>NON</v>
      </c>
      <c r="G82" s="24" t="str">
        <f t="shared" si="17"/>
        <v>NON</v>
      </c>
      <c r="H82" s="24" t="str">
        <f t="shared" si="18"/>
        <v>NON</v>
      </c>
    </row>
    <row r="83" spans="1:8" s="24" customFormat="1" x14ac:dyDescent="0.2">
      <c r="A83" s="24" t="str">
        <f t="shared" si="11"/>
        <v>NON</v>
      </c>
      <c r="B83" s="24" t="str">
        <f t="shared" si="12"/>
        <v>NON</v>
      </c>
      <c r="C83" s="24" t="str">
        <f t="shared" si="13"/>
        <v>NON</v>
      </c>
      <c r="D83" s="24" t="str">
        <f t="shared" si="14"/>
        <v>NON</v>
      </c>
      <c r="E83" s="24" t="str">
        <f t="shared" si="15"/>
        <v>NON</v>
      </c>
      <c r="F83" s="24" t="str">
        <f t="shared" si="16"/>
        <v>NON</v>
      </c>
      <c r="G83" s="24" t="str">
        <f t="shared" si="17"/>
        <v>NON</v>
      </c>
      <c r="H83" s="24" t="str">
        <f t="shared" si="18"/>
        <v>NON</v>
      </c>
    </row>
    <row r="84" spans="1:8" s="24" customFormat="1" x14ac:dyDescent="0.2">
      <c r="A84" s="24" t="str">
        <f t="shared" si="11"/>
        <v>NON</v>
      </c>
      <c r="B84" s="24" t="str">
        <f t="shared" si="12"/>
        <v>NON</v>
      </c>
      <c r="C84" s="24" t="str">
        <f t="shared" si="13"/>
        <v>NON</v>
      </c>
      <c r="D84" s="24" t="str">
        <f t="shared" si="14"/>
        <v>NON</v>
      </c>
      <c r="E84" s="24" t="str">
        <f t="shared" si="15"/>
        <v>NON</v>
      </c>
      <c r="F84" s="24" t="str">
        <f t="shared" si="16"/>
        <v>NON</v>
      </c>
      <c r="G84" s="24" t="str">
        <f t="shared" si="17"/>
        <v>NON</v>
      </c>
      <c r="H84" s="24" t="str">
        <f t="shared" si="18"/>
        <v>NON</v>
      </c>
    </row>
    <row r="85" spans="1:8" s="24" customFormat="1" x14ac:dyDescent="0.2">
      <c r="A85" s="24" t="str">
        <f t="shared" si="11"/>
        <v>NON</v>
      </c>
      <c r="B85" s="24" t="str">
        <f t="shared" si="12"/>
        <v>NON</v>
      </c>
      <c r="C85" s="24" t="str">
        <f t="shared" si="13"/>
        <v>NON</v>
      </c>
      <c r="D85" s="24" t="str">
        <f t="shared" si="14"/>
        <v>NON</v>
      </c>
      <c r="E85" s="24" t="str">
        <f t="shared" si="15"/>
        <v>NON</v>
      </c>
      <c r="F85" s="24" t="str">
        <f t="shared" si="16"/>
        <v>NON</v>
      </c>
      <c r="G85" s="24" t="str">
        <f t="shared" si="17"/>
        <v>NON</v>
      </c>
      <c r="H85" s="24" t="str">
        <f t="shared" si="18"/>
        <v>NON</v>
      </c>
    </row>
    <row r="86" spans="1:8" s="24" customFormat="1" x14ac:dyDescent="0.2">
      <c r="A86" s="24" t="str">
        <f t="shared" si="11"/>
        <v>NON</v>
      </c>
      <c r="B86" s="24" t="str">
        <f t="shared" si="12"/>
        <v>NON</v>
      </c>
      <c r="C86" s="24" t="str">
        <f t="shared" si="13"/>
        <v>NON</v>
      </c>
      <c r="D86" s="24" t="str">
        <f t="shared" si="14"/>
        <v>NON</v>
      </c>
      <c r="E86" s="24" t="str">
        <f t="shared" si="15"/>
        <v>NON</v>
      </c>
      <c r="F86" s="24" t="str">
        <f t="shared" si="16"/>
        <v>NON</v>
      </c>
      <c r="G86" s="24" t="str">
        <f t="shared" si="17"/>
        <v>NON</v>
      </c>
      <c r="H86" s="24" t="str">
        <f t="shared" si="18"/>
        <v>NON</v>
      </c>
    </row>
    <row r="87" spans="1:8" s="24" customFormat="1" x14ac:dyDescent="0.2">
      <c r="A87" s="24" t="str">
        <f t="shared" si="11"/>
        <v>NON</v>
      </c>
      <c r="B87" s="24" t="str">
        <f t="shared" si="12"/>
        <v>NON</v>
      </c>
      <c r="C87" s="24" t="str">
        <f t="shared" si="13"/>
        <v>NON</v>
      </c>
      <c r="D87" s="24" t="str">
        <f t="shared" si="14"/>
        <v>NON</v>
      </c>
      <c r="E87" s="24" t="str">
        <f t="shared" si="15"/>
        <v>NON</v>
      </c>
      <c r="F87" s="24" t="str">
        <f t="shared" si="16"/>
        <v>NON</v>
      </c>
      <c r="G87" s="24" t="str">
        <f t="shared" si="17"/>
        <v>NON</v>
      </c>
      <c r="H87" s="24" t="str">
        <f t="shared" si="18"/>
        <v>NON</v>
      </c>
    </row>
    <row r="88" spans="1:8" s="24" customFormat="1" x14ac:dyDescent="0.2">
      <c r="A88" s="24" t="str">
        <f t="shared" si="11"/>
        <v>NON</v>
      </c>
      <c r="B88" s="24" t="str">
        <f t="shared" si="12"/>
        <v>NON</v>
      </c>
      <c r="C88" s="24" t="str">
        <f t="shared" si="13"/>
        <v>NON</v>
      </c>
      <c r="D88" s="24" t="str">
        <f t="shared" si="14"/>
        <v>NON</v>
      </c>
      <c r="E88" s="24" t="str">
        <f t="shared" si="15"/>
        <v>NON</v>
      </c>
      <c r="F88" s="24" t="str">
        <f t="shared" si="16"/>
        <v>NON</v>
      </c>
      <c r="G88" s="24" t="str">
        <f t="shared" si="17"/>
        <v>NON</v>
      </c>
      <c r="H88" s="24" t="str">
        <f t="shared" si="18"/>
        <v>NON</v>
      </c>
    </row>
    <row r="89" spans="1:8" s="24" customFormat="1" x14ac:dyDescent="0.2">
      <c r="A89" s="24" t="str">
        <f t="shared" si="11"/>
        <v>NON</v>
      </c>
      <c r="B89" s="24" t="str">
        <f t="shared" si="12"/>
        <v>NON</v>
      </c>
      <c r="C89" s="24" t="str">
        <f t="shared" si="13"/>
        <v>NON</v>
      </c>
      <c r="D89" s="24" t="str">
        <f t="shared" si="14"/>
        <v>NON</v>
      </c>
      <c r="E89" s="24" t="str">
        <f t="shared" si="15"/>
        <v>NON</v>
      </c>
      <c r="F89" s="24" t="str">
        <f t="shared" si="16"/>
        <v>NON</v>
      </c>
      <c r="G89" s="24" t="str">
        <f t="shared" si="17"/>
        <v>NON</v>
      </c>
      <c r="H89" s="24" t="str">
        <f t="shared" si="18"/>
        <v>NON</v>
      </c>
    </row>
    <row r="90" spans="1:8" s="24" customFormat="1" x14ac:dyDescent="0.2">
      <c r="A90" s="24" t="str">
        <f t="shared" si="11"/>
        <v>NON</v>
      </c>
      <c r="B90" s="24" t="str">
        <f t="shared" si="12"/>
        <v>NON</v>
      </c>
      <c r="C90" s="24" t="str">
        <f t="shared" si="13"/>
        <v>NON</v>
      </c>
      <c r="D90" s="24" t="str">
        <f t="shared" si="14"/>
        <v>NON</v>
      </c>
      <c r="E90" s="24" t="str">
        <f t="shared" si="15"/>
        <v>NON</v>
      </c>
      <c r="F90" s="24" t="str">
        <f t="shared" si="16"/>
        <v>NON</v>
      </c>
      <c r="G90" s="24" t="str">
        <f t="shared" si="17"/>
        <v>NON</v>
      </c>
      <c r="H90" s="24" t="str">
        <f t="shared" si="18"/>
        <v>NON</v>
      </c>
    </row>
    <row r="91" spans="1:8" s="24" customFormat="1" x14ac:dyDescent="0.2">
      <c r="A91" s="24" t="str">
        <f t="shared" si="11"/>
        <v>NON</v>
      </c>
      <c r="B91" s="24" t="str">
        <f t="shared" si="12"/>
        <v>NON</v>
      </c>
      <c r="C91" s="24" t="str">
        <f t="shared" si="13"/>
        <v>NON</v>
      </c>
      <c r="D91" s="24" t="str">
        <f t="shared" si="14"/>
        <v>NON</v>
      </c>
      <c r="E91" s="24" t="str">
        <f t="shared" si="15"/>
        <v>NON</v>
      </c>
      <c r="F91" s="24" t="str">
        <f t="shared" si="16"/>
        <v>NON</v>
      </c>
      <c r="G91" s="24" t="str">
        <f t="shared" si="17"/>
        <v>NON</v>
      </c>
      <c r="H91" s="24" t="str">
        <f t="shared" si="18"/>
        <v>NON</v>
      </c>
    </row>
    <row r="92" spans="1:8" s="24" customFormat="1" x14ac:dyDescent="0.2"/>
    <row r="93" spans="1:8" s="24" customFormat="1" x14ac:dyDescent="0.2"/>
    <row r="94" spans="1:8" s="24" customFormat="1" x14ac:dyDescent="0.2"/>
    <row r="95" spans="1:8" s="24" customFormat="1" x14ac:dyDescent="0.2"/>
    <row r="96" spans="1:8" s="24" customFormat="1" x14ac:dyDescent="0.2"/>
    <row r="97" s="24" customFormat="1" x14ac:dyDescent="0.2"/>
    <row r="98" s="24" customFormat="1" x14ac:dyDescent="0.2"/>
    <row r="99" s="24" customFormat="1" x14ac:dyDescent="0.2"/>
    <row r="100" s="24" customFormat="1" x14ac:dyDescent="0.2"/>
    <row r="101" s="24" customFormat="1" x14ac:dyDescent="0.2"/>
    <row r="102" s="24" customFormat="1" x14ac:dyDescent="0.2"/>
    <row r="103" s="24" customFormat="1" x14ac:dyDescent="0.2"/>
    <row r="104" s="24" customFormat="1" x14ac:dyDescent="0.2"/>
    <row r="105" s="24" customFormat="1" x14ac:dyDescent="0.2"/>
    <row r="106" s="24" customFormat="1" x14ac:dyDescent="0.2"/>
    <row r="107" s="24" customFormat="1" x14ac:dyDescent="0.2"/>
    <row r="108" s="24" customFormat="1" x14ac:dyDescent="0.2"/>
    <row r="109" s="24" customFormat="1" x14ac:dyDescent="0.2"/>
    <row r="110" s="24" customFormat="1" x14ac:dyDescent="0.2"/>
    <row r="111" s="24" customFormat="1" x14ac:dyDescent="0.2"/>
    <row r="112" s="24" customFormat="1" x14ac:dyDescent="0.2"/>
    <row r="113" spans="1:8" s="24" customFormat="1" x14ac:dyDescent="0.2"/>
    <row r="114" spans="1:8" s="24" customFormat="1" x14ac:dyDescent="0.2"/>
    <row r="115" spans="1:8" s="24" customFormat="1" x14ac:dyDescent="0.2"/>
    <row r="116" spans="1:8" s="24" customFormat="1" x14ac:dyDescent="0.2"/>
    <row r="117" spans="1:8" s="24" customFormat="1" x14ac:dyDescent="0.2">
      <c r="A117" s="24" t="s">
        <v>660</v>
      </c>
    </row>
    <row r="118" spans="1:8" s="24" customFormat="1" x14ac:dyDescent="0.2">
      <c r="A118" s="24" t="s">
        <v>661</v>
      </c>
      <c r="B118" s="24" t="s">
        <v>171</v>
      </c>
      <c r="C118" s="24" t="s">
        <v>172</v>
      </c>
      <c r="D118" s="24" t="s">
        <v>173</v>
      </c>
      <c r="E118" s="24" t="s">
        <v>174</v>
      </c>
      <c r="F118" s="24" t="s">
        <v>175</v>
      </c>
      <c r="G118" s="24" t="s">
        <v>176</v>
      </c>
      <c r="H118" s="24" t="s">
        <v>177</v>
      </c>
    </row>
    <row r="119" spans="1:8" s="24" customFormat="1" x14ac:dyDescent="0.2">
      <c r="A119" s="24" t="str">
        <f>+IF(AND(A54&lt;&gt;"Hors période",B54=0),"JAUNE","NON")</f>
        <v>NON</v>
      </c>
      <c r="B119" s="24" t="str">
        <f>+IF(AND(D54&lt;&gt;"Hors période",E54=0),"JAUNE","NON")</f>
        <v>NON</v>
      </c>
      <c r="C119" s="24" t="str">
        <f>+IF(AND(G54&lt;&gt;"Hors période",H54=0),"JAUNE","NON")</f>
        <v>NON</v>
      </c>
      <c r="D119" s="24" t="str">
        <f>+IF(AND(J54&lt;&gt;"Hors période",K54=0),"JAUNE","NON")</f>
        <v>NON</v>
      </c>
      <c r="E119" s="24" t="str">
        <f>+IF(AND(M54&lt;&gt;"Hors période",N54=0),"JAUNE","NON")</f>
        <v>NON</v>
      </c>
      <c r="F119" s="24" t="str">
        <f>+IF(AND(P54&lt;&gt;"Hors période",Q54=0),"JAUNE","NON")</f>
        <v>NON</v>
      </c>
      <c r="G119" s="24" t="str">
        <f>+IF(AND(S54&lt;&gt;"Hors période",T54=0),"JAUNE","NON")</f>
        <v>NON</v>
      </c>
      <c r="H119" s="24" t="str">
        <f>+IF(AND(V54&lt;&gt;"Hors période",W54=0),"JAUNE","NON")</f>
        <v>NON</v>
      </c>
    </row>
    <row r="120" spans="1:8" s="24" customFormat="1" x14ac:dyDescent="0.2">
      <c r="A120" s="24" t="str">
        <f t="shared" ref="A120:A130" si="19">+IF(AND(A55&lt;&gt;"Hors période",B55=0),"JAUNE","NON")</f>
        <v>NON</v>
      </c>
      <c r="B120" s="24" t="str">
        <f t="shared" ref="B120:B130" si="20">+IF(AND(D55&lt;&gt;"Hors période",E55=0),"JAUNE","NON")</f>
        <v>NON</v>
      </c>
      <c r="C120" s="24" t="str">
        <f t="shared" ref="C120:C130" si="21">+IF(AND(G55&lt;&gt;"Hors période",H55=0),"JAUNE","NON")</f>
        <v>NON</v>
      </c>
      <c r="D120" s="24" t="str">
        <f t="shared" ref="D120:D130" si="22">+IF(AND(J55&lt;&gt;"Hors période",K55=0),"JAUNE","NON")</f>
        <v>NON</v>
      </c>
      <c r="E120" s="24" t="str">
        <f t="shared" ref="E120:E130" si="23">+IF(AND(M55&lt;&gt;"Hors période",N55=0),"JAUNE","NON")</f>
        <v>NON</v>
      </c>
      <c r="F120" s="24" t="str">
        <f t="shared" ref="F120:F130" si="24">+IF(AND(P55&lt;&gt;"Hors période",Q55=0),"JAUNE","NON")</f>
        <v>NON</v>
      </c>
      <c r="G120" s="24" t="str">
        <f t="shared" ref="G120:G130" si="25">+IF(AND(S55&lt;&gt;"Hors période",T55=0),"JAUNE","NON")</f>
        <v>NON</v>
      </c>
      <c r="H120" s="24" t="str">
        <f t="shared" ref="H120:H130" si="26">+IF(AND(V55&lt;&gt;"Hors période",W55=0),"JAUNE","NON")</f>
        <v>NON</v>
      </c>
    </row>
    <row r="121" spans="1:8" s="24" customFormat="1" x14ac:dyDescent="0.2">
      <c r="A121" s="24" t="str">
        <f t="shared" si="19"/>
        <v>NON</v>
      </c>
      <c r="B121" s="24" t="str">
        <f t="shared" si="20"/>
        <v>NON</v>
      </c>
      <c r="C121" s="24" t="str">
        <f t="shared" si="21"/>
        <v>NON</v>
      </c>
      <c r="D121" s="24" t="str">
        <f t="shared" si="22"/>
        <v>NON</v>
      </c>
      <c r="E121" s="24" t="str">
        <f t="shared" si="23"/>
        <v>NON</v>
      </c>
      <c r="F121" s="24" t="str">
        <f t="shared" si="24"/>
        <v>NON</v>
      </c>
      <c r="G121" s="24" t="str">
        <f t="shared" si="25"/>
        <v>NON</v>
      </c>
      <c r="H121" s="24" t="str">
        <f t="shared" si="26"/>
        <v>NON</v>
      </c>
    </row>
    <row r="122" spans="1:8" s="24" customFormat="1" x14ac:dyDescent="0.2">
      <c r="A122" s="24" t="str">
        <f t="shared" si="19"/>
        <v>NON</v>
      </c>
      <c r="B122" s="24" t="str">
        <f t="shared" si="20"/>
        <v>NON</v>
      </c>
      <c r="C122" s="24" t="str">
        <f t="shared" si="21"/>
        <v>NON</v>
      </c>
      <c r="D122" s="24" t="str">
        <f t="shared" si="22"/>
        <v>NON</v>
      </c>
      <c r="E122" s="24" t="str">
        <f t="shared" si="23"/>
        <v>NON</v>
      </c>
      <c r="F122" s="24" t="str">
        <f t="shared" si="24"/>
        <v>NON</v>
      </c>
      <c r="G122" s="24" t="str">
        <f t="shared" si="25"/>
        <v>NON</v>
      </c>
      <c r="H122" s="24" t="str">
        <f t="shared" si="26"/>
        <v>NON</v>
      </c>
    </row>
    <row r="123" spans="1:8" s="24" customFormat="1" x14ac:dyDescent="0.2">
      <c r="A123" s="24" t="str">
        <f t="shared" si="19"/>
        <v>NON</v>
      </c>
      <c r="B123" s="24" t="str">
        <f t="shared" si="20"/>
        <v>NON</v>
      </c>
      <c r="C123" s="24" t="str">
        <f t="shared" si="21"/>
        <v>NON</v>
      </c>
      <c r="D123" s="24" t="str">
        <f t="shared" si="22"/>
        <v>NON</v>
      </c>
      <c r="E123" s="24" t="str">
        <f t="shared" si="23"/>
        <v>NON</v>
      </c>
      <c r="F123" s="24" t="str">
        <f t="shared" si="24"/>
        <v>NON</v>
      </c>
      <c r="G123" s="24" t="str">
        <f t="shared" si="25"/>
        <v>NON</v>
      </c>
      <c r="H123" s="24" t="str">
        <f t="shared" si="26"/>
        <v>NON</v>
      </c>
    </row>
    <row r="124" spans="1:8" s="24" customFormat="1" x14ac:dyDescent="0.2">
      <c r="A124" s="24" t="str">
        <f t="shared" si="19"/>
        <v>NON</v>
      </c>
      <c r="B124" s="24" t="str">
        <f t="shared" si="20"/>
        <v>NON</v>
      </c>
      <c r="C124" s="24" t="str">
        <f t="shared" si="21"/>
        <v>NON</v>
      </c>
      <c r="D124" s="24" t="str">
        <f t="shared" si="22"/>
        <v>NON</v>
      </c>
      <c r="E124" s="24" t="str">
        <f t="shared" si="23"/>
        <v>NON</v>
      </c>
      <c r="F124" s="24" t="str">
        <f t="shared" si="24"/>
        <v>NON</v>
      </c>
      <c r="G124" s="24" t="str">
        <f t="shared" si="25"/>
        <v>NON</v>
      </c>
      <c r="H124" s="24" t="str">
        <f t="shared" si="26"/>
        <v>NON</v>
      </c>
    </row>
    <row r="125" spans="1:8" s="24" customFormat="1" x14ac:dyDescent="0.2">
      <c r="A125" s="24" t="str">
        <f t="shared" si="19"/>
        <v>NON</v>
      </c>
      <c r="B125" s="24" t="str">
        <f t="shared" si="20"/>
        <v>NON</v>
      </c>
      <c r="C125" s="24" t="str">
        <f t="shared" si="21"/>
        <v>NON</v>
      </c>
      <c r="D125" s="24" t="str">
        <f t="shared" si="22"/>
        <v>NON</v>
      </c>
      <c r="E125" s="24" t="str">
        <f t="shared" si="23"/>
        <v>NON</v>
      </c>
      <c r="F125" s="24" t="str">
        <f t="shared" si="24"/>
        <v>NON</v>
      </c>
      <c r="G125" s="24" t="str">
        <f t="shared" si="25"/>
        <v>NON</v>
      </c>
      <c r="H125" s="24" t="str">
        <f t="shared" si="26"/>
        <v>NON</v>
      </c>
    </row>
    <row r="126" spans="1:8" s="24" customFormat="1" x14ac:dyDescent="0.2">
      <c r="A126" s="24" t="str">
        <f t="shared" si="19"/>
        <v>NON</v>
      </c>
      <c r="B126" s="24" t="str">
        <f t="shared" si="20"/>
        <v>NON</v>
      </c>
      <c r="C126" s="24" t="str">
        <f t="shared" si="21"/>
        <v>NON</v>
      </c>
      <c r="D126" s="24" t="str">
        <f t="shared" si="22"/>
        <v>NON</v>
      </c>
      <c r="E126" s="24" t="str">
        <f t="shared" si="23"/>
        <v>NON</v>
      </c>
      <c r="F126" s="24" t="str">
        <f t="shared" si="24"/>
        <v>NON</v>
      </c>
      <c r="G126" s="24" t="str">
        <f t="shared" si="25"/>
        <v>NON</v>
      </c>
      <c r="H126" s="24" t="str">
        <f t="shared" si="26"/>
        <v>NON</v>
      </c>
    </row>
    <row r="127" spans="1:8" s="24" customFormat="1" x14ac:dyDescent="0.2">
      <c r="A127" s="24" t="str">
        <f t="shared" si="19"/>
        <v>NON</v>
      </c>
      <c r="B127" s="24" t="str">
        <f t="shared" si="20"/>
        <v>NON</v>
      </c>
      <c r="C127" s="24" t="str">
        <f t="shared" si="21"/>
        <v>NON</v>
      </c>
      <c r="D127" s="24" t="str">
        <f t="shared" si="22"/>
        <v>NON</v>
      </c>
      <c r="E127" s="24" t="str">
        <f t="shared" si="23"/>
        <v>NON</v>
      </c>
      <c r="F127" s="24" t="str">
        <f t="shared" si="24"/>
        <v>NON</v>
      </c>
      <c r="G127" s="24" t="str">
        <f t="shared" si="25"/>
        <v>NON</v>
      </c>
      <c r="H127" s="24" t="str">
        <f t="shared" si="26"/>
        <v>NON</v>
      </c>
    </row>
    <row r="128" spans="1:8" s="24" customFormat="1" x14ac:dyDescent="0.2">
      <c r="A128" s="24" t="str">
        <f t="shared" si="19"/>
        <v>NON</v>
      </c>
      <c r="B128" s="24" t="str">
        <f t="shared" si="20"/>
        <v>NON</v>
      </c>
      <c r="C128" s="24" t="str">
        <f t="shared" si="21"/>
        <v>NON</v>
      </c>
      <c r="D128" s="24" t="str">
        <f t="shared" si="22"/>
        <v>NON</v>
      </c>
      <c r="E128" s="24" t="str">
        <f t="shared" si="23"/>
        <v>NON</v>
      </c>
      <c r="F128" s="24" t="str">
        <f t="shared" si="24"/>
        <v>NON</v>
      </c>
      <c r="G128" s="24" t="str">
        <f t="shared" si="25"/>
        <v>NON</v>
      </c>
      <c r="H128" s="24" t="str">
        <f t="shared" si="26"/>
        <v>NON</v>
      </c>
    </row>
    <row r="129" spans="1:8" s="24" customFormat="1" x14ac:dyDescent="0.2">
      <c r="A129" s="24" t="str">
        <f t="shared" si="19"/>
        <v>NON</v>
      </c>
      <c r="B129" s="24" t="str">
        <f t="shared" si="20"/>
        <v>NON</v>
      </c>
      <c r="C129" s="24" t="str">
        <f t="shared" si="21"/>
        <v>NON</v>
      </c>
      <c r="D129" s="24" t="str">
        <f t="shared" si="22"/>
        <v>NON</v>
      </c>
      <c r="E129" s="24" t="str">
        <f t="shared" si="23"/>
        <v>NON</v>
      </c>
      <c r="F129" s="24" t="str">
        <f t="shared" si="24"/>
        <v>NON</v>
      </c>
      <c r="G129" s="24" t="str">
        <f t="shared" si="25"/>
        <v>NON</v>
      </c>
      <c r="H129" s="24" t="str">
        <f t="shared" si="26"/>
        <v>NON</v>
      </c>
    </row>
    <row r="130" spans="1:8" s="24" customFormat="1" x14ac:dyDescent="0.2">
      <c r="A130" s="24" t="str">
        <f t="shared" si="19"/>
        <v>NON</v>
      </c>
      <c r="B130" s="24" t="str">
        <f t="shared" si="20"/>
        <v>NON</v>
      </c>
      <c r="C130" s="24" t="str">
        <f t="shared" si="21"/>
        <v>NON</v>
      </c>
      <c r="D130" s="24" t="str">
        <f t="shared" si="22"/>
        <v>NON</v>
      </c>
      <c r="E130" s="24" t="str">
        <f t="shared" si="23"/>
        <v>NON</v>
      </c>
      <c r="F130" s="24" t="str">
        <f t="shared" si="24"/>
        <v>NON</v>
      </c>
      <c r="G130" s="24" t="str">
        <f t="shared" si="25"/>
        <v>NON</v>
      </c>
      <c r="H130" s="24" t="str">
        <f t="shared" si="26"/>
        <v>NON</v>
      </c>
    </row>
    <row r="131" spans="1:8" s="24" customFormat="1" x14ac:dyDescent="0.2"/>
    <row r="132" spans="1:8" s="24" customFormat="1" x14ac:dyDescent="0.2"/>
    <row r="133" spans="1:8" s="24" customFormat="1" x14ac:dyDescent="0.2"/>
    <row r="134" spans="1:8" s="24" customFormat="1" x14ac:dyDescent="0.2"/>
    <row r="135" spans="1:8" s="24" customFormat="1" x14ac:dyDescent="0.2"/>
    <row r="136" spans="1:8" s="24" customFormat="1" x14ac:dyDescent="0.2"/>
    <row r="137" spans="1:8" s="24" customFormat="1" x14ac:dyDescent="0.2"/>
    <row r="138" spans="1:8" s="24" customFormat="1" x14ac:dyDescent="0.2"/>
    <row r="139" spans="1:8" s="24" customFormat="1" x14ac:dyDescent="0.2"/>
    <row r="140" spans="1:8" s="24" customFormat="1" x14ac:dyDescent="0.2"/>
    <row r="141" spans="1:8" s="24" customFormat="1" x14ac:dyDescent="0.2"/>
    <row r="142" spans="1:8" s="24" customFormat="1" x14ac:dyDescent="0.2"/>
    <row r="143" spans="1:8" s="24" customFormat="1" x14ac:dyDescent="0.2"/>
    <row r="144" spans="1:8" s="24" customFormat="1" x14ac:dyDescent="0.2"/>
    <row r="145" s="24" customFormat="1" x14ac:dyDescent="0.2"/>
    <row r="146" s="24" customFormat="1" x14ac:dyDescent="0.2"/>
    <row r="147" s="24" customFormat="1" x14ac:dyDescent="0.2"/>
    <row r="148" s="24" customFormat="1" x14ac:dyDescent="0.2"/>
    <row r="149" s="24" customFormat="1" x14ac:dyDescent="0.2"/>
    <row r="150" s="24" customFormat="1" x14ac:dyDescent="0.2"/>
    <row r="151" s="24" customFormat="1" x14ac:dyDescent="0.2"/>
    <row r="152" s="24" customFormat="1" x14ac:dyDescent="0.2"/>
    <row r="153" s="24" customFormat="1" x14ac:dyDescent="0.2"/>
    <row r="154" s="24" customFormat="1" x14ac:dyDescent="0.2"/>
    <row r="155" s="24" customFormat="1" x14ac:dyDescent="0.2"/>
    <row r="156" s="24" customFormat="1" x14ac:dyDescent="0.2"/>
    <row r="157" s="24" customFormat="1" x14ac:dyDescent="0.2"/>
    <row r="158" s="24" customFormat="1" x14ac:dyDescent="0.2"/>
    <row r="159" s="24" customFormat="1" x14ac:dyDescent="0.2"/>
    <row r="160" s="24" customFormat="1" x14ac:dyDescent="0.2"/>
    <row r="161" s="24" customFormat="1" x14ac:dyDescent="0.2"/>
    <row r="162" s="24" customFormat="1" x14ac:dyDescent="0.2"/>
    <row r="163" s="24" customFormat="1" x14ac:dyDescent="0.2"/>
    <row r="164" s="24" customFormat="1" x14ac:dyDescent="0.2"/>
    <row r="165" s="24" customFormat="1" x14ac:dyDescent="0.2"/>
    <row r="166" s="24" customFormat="1" x14ac:dyDescent="0.2"/>
    <row r="167" s="24" customFormat="1" x14ac:dyDescent="0.2"/>
    <row r="168" s="24" customFormat="1" x14ac:dyDescent="0.2"/>
    <row r="169" s="24" customFormat="1" x14ac:dyDescent="0.2"/>
    <row r="170" s="24" customFormat="1" x14ac:dyDescent="0.2"/>
    <row r="171" s="24" customFormat="1" x14ac:dyDescent="0.2"/>
    <row r="172" s="24" customFormat="1" x14ac:dyDescent="0.2"/>
    <row r="173" s="24" customFormat="1" x14ac:dyDescent="0.2"/>
    <row r="174" s="24" customFormat="1" x14ac:dyDescent="0.2"/>
    <row r="175" s="24" customFormat="1" x14ac:dyDescent="0.2"/>
    <row r="176" s="24" customFormat="1" x14ac:dyDescent="0.2"/>
    <row r="177" s="24" customFormat="1" x14ac:dyDescent="0.2"/>
    <row r="178" s="24" customFormat="1" x14ac:dyDescent="0.2"/>
    <row r="179" s="24" customFormat="1" x14ac:dyDescent="0.2"/>
    <row r="180" s="24" customFormat="1" x14ac:dyDescent="0.2"/>
    <row r="181" s="24" customFormat="1" x14ac:dyDescent="0.2"/>
    <row r="182" s="24" customFormat="1" x14ac:dyDescent="0.2"/>
    <row r="183" s="24" customFormat="1" x14ac:dyDescent="0.2"/>
    <row r="184" s="24" customFormat="1" x14ac:dyDescent="0.2"/>
    <row r="185" s="24" customFormat="1" x14ac:dyDescent="0.2"/>
    <row r="186" s="24" customFormat="1" x14ac:dyDescent="0.2"/>
    <row r="187" s="24" customFormat="1" x14ac:dyDescent="0.2"/>
    <row r="188" s="24" customFormat="1" x14ac:dyDescent="0.2"/>
    <row r="189" s="24" customFormat="1" x14ac:dyDescent="0.2"/>
    <row r="190" s="24" customFormat="1" x14ac:dyDescent="0.2"/>
    <row r="191" s="24" customFormat="1" x14ac:dyDescent="0.2"/>
    <row r="192" s="24" customFormat="1" x14ac:dyDescent="0.2"/>
    <row r="193" s="24" customFormat="1" x14ac:dyDescent="0.2"/>
    <row r="194" s="24" customFormat="1" x14ac:dyDescent="0.2"/>
    <row r="195" s="24" customFormat="1" x14ac:dyDescent="0.2"/>
    <row r="196" s="24" customFormat="1" x14ac:dyDescent="0.2"/>
    <row r="197" s="24" customFormat="1" x14ac:dyDescent="0.2"/>
    <row r="198" s="24" customFormat="1" x14ac:dyDescent="0.2"/>
    <row r="199" s="377" customFormat="1" x14ac:dyDescent="0.2"/>
    <row r="200" s="377" customFormat="1" x14ac:dyDescent="0.2"/>
    <row r="201" s="377" customFormat="1" x14ac:dyDescent="0.2"/>
    <row r="202" s="377" customFormat="1" x14ac:dyDescent="0.2"/>
    <row r="203" s="377" customFormat="1" x14ac:dyDescent="0.2"/>
    <row r="204" s="377" customFormat="1" x14ac:dyDescent="0.2"/>
    <row r="205" s="377" customFormat="1" x14ac:dyDescent="0.2"/>
    <row r="206" s="377" customFormat="1" x14ac:dyDescent="0.2"/>
    <row r="207" s="377" customFormat="1" x14ac:dyDescent="0.2"/>
    <row r="208" s="377" customFormat="1" x14ac:dyDescent="0.2"/>
    <row r="209" s="377" customFormat="1" x14ac:dyDescent="0.2"/>
    <row r="210" s="377" customFormat="1" x14ac:dyDescent="0.2"/>
    <row r="211" s="377" customFormat="1" x14ac:dyDescent="0.2"/>
    <row r="212" s="377" customFormat="1" x14ac:dyDescent="0.2"/>
    <row r="213" s="377" customFormat="1" x14ac:dyDescent="0.2"/>
    <row r="214" s="377" customFormat="1" x14ac:dyDescent="0.2"/>
    <row r="215" s="377" customFormat="1" x14ac:dyDescent="0.2"/>
    <row r="216" s="377" customFormat="1" x14ac:dyDescent="0.2"/>
    <row r="217" s="377" customFormat="1" x14ac:dyDescent="0.2"/>
    <row r="218" s="377" customFormat="1" x14ac:dyDescent="0.2"/>
    <row r="219" s="377" customFormat="1" x14ac:dyDescent="0.2"/>
    <row r="220" s="377" customFormat="1" x14ac:dyDescent="0.2"/>
    <row r="221" s="377" customFormat="1" x14ac:dyDescent="0.2"/>
    <row r="222" s="377" customFormat="1" x14ac:dyDescent="0.2"/>
    <row r="223" s="377" customFormat="1" x14ac:dyDescent="0.2"/>
    <row r="224" s="377" customFormat="1" x14ac:dyDescent="0.2"/>
    <row r="225" s="377" customFormat="1" x14ac:dyDescent="0.2"/>
    <row r="226" s="377" customFormat="1" x14ac:dyDescent="0.2"/>
    <row r="227" s="377" customFormat="1" x14ac:dyDescent="0.2"/>
    <row r="228" s="377" customFormat="1" x14ac:dyDescent="0.2"/>
    <row r="229" s="377" customFormat="1" x14ac:dyDescent="0.2"/>
    <row r="230" s="377" customFormat="1" x14ac:dyDescent="0.2"/>
    <row r="231" s="377" customFormat="1" x14ac:dyDescent="0.2"/>
    <row r="232" s="377" customFormat="1" x14ac:dyDescent="0.2"/>
    <row r="233" s="377" customFormat="1" x14ac:dyDescent="0.2"/>
    <row r="234" s="377" customFormat="1" x14ac:dyDescent="0.2"/>
    <row r="235" s="377" customFormat="1" x14ac:dyDescent="0.2"/>
    <row r="236" s="377" customFormat="1" x14ac:dyDescent="0.2"/>
    <row r="237" s="377" customFormat="1" x14ac:dyDescent="0.2"/>
    <row r="238" s="377" customFormat="1" x14ac:dyDescent="0.2"/>
    <row r="239" s="377" customFormat="1" x14ac:dyDescent="0.2"/>
    <row r="240" s="377" customFormat="1" x14ac:dyDescent="0.2"/>
    <row r="241" s="377" customFormat="1" x14ac:dyDescent="0.2"/>
    <row r="242" s="377" customFormat="1" x14ac:dyDescent="0.2"/>
    <row r="243" s="377" customFormat="1" x14ac:dyDescent="0.2"/>
    <row r="244" s="377" customFormat="1" x14ac:dyDescent="0.2"/>
    <row r="245" s="377" customFormat="1" x14ac:dyDescent="0.2"/>
    <row r="246" s="377" customFormat="1" x14ac:dyDescent="0.2"/>
    <row r="247" s="377" customFormat="1" x14ac:dyDescent="0.2"/>
    <row r="248" s="377" customFormat="1" x14ac:dyDescent="0.2"/>
    <row r="249" s="377" customFormat="1" x14ac:dyDescent="0.2"/>
    <row r="250" s="377" customFormat="1" x14ac:dyDescent="0.2"/>
    <row r="251" s="377" customFormat="1" x14ac:dyDescent="0.2"/>
    <row r="252" s="377" customFormat="1" x14ac:dyDescent="0.2"/>
    <row r="253" s="377" customFormat="1" x14ac:dyDescent="0.2"/>
    <row r="254" s="377" customFormat="1" x14ac:dyDescent="0.2"/>
    <row r="255" s="377" customFormat="1" x14ac:dyDescent="0.2"/>
    <row r="256" s="377" customFormat="1" x14ac:dyDescent="0.2"/>
    <row r="257" s="377" customFormat="1" x14ac:dyDescent="0.2"/>
    <row r="258" s="377" customFormat="1" x14ac:dyDescent="0.2"/>
    <row r="259" s="377" customFormat="1" x14ac:dyDescent="0.2"/>
    <row r="260" s="377" customFormat="1" x14ac:dyDescent="0.2"/>
    <row r="261" s="377" customFormat="1" x14ac:dyDescent="0.2"/>
    <row r="262" s="377" customFormat="1" x14ac:dyDescent="0.2"/>
    <row r="263" s="377" customFormat="1" x14ac:dyDescent="0.2"/>
    <row r="264" s="377" customFormat="1" x14ac:dyDescent="0.2"/>
    <row r="265" s="377" customFormat="1" x14ac:dyDescent="0.2"/>
    <row r="266" s="377" customFormat="1" x14ac:dyDescent="0.2"/>
    <row r="267" s="377" customFormat="1" x14ac:dyDescent="0.2"/>
    <row r="268" s="377" customFormat="1" x14ac:dyDescent="0.2"/>
    <row r="269" s="377" customFormat="1" x14ac:dyDescent="0.2"/>
    <row r="270" s="377" customFormat="1" x14ac:dyDescent="0.2"/>
    <row r="271" s="377" customFormat="1" x14ac:dyDescent="0.2"/>
    <row r="272" s="377" customFormat="1" x14ac:dyDescent="0.2"/>
    <row r="273" s="377" customFormat="1" x14ac:dyDescent="0.2"/>
    <row r="274" s="377" customFormat="1" x14ac:dyDescent="0.2"/>
    <row r="275" s="377" customFormat="1" x14ac:dyDescent="0.2"/>
    <row r="276" s="377" customFormat="1" x14ac:dyDescent="0.2"/>
    <row r="277" s="377" customFormat="1" x14ac:dyDescent="0.2"/>
    <row r="278" s="377" customFormat="1" x14ac:dyDescent="0.2"/>
    <row r="279" s="377" customFormat="1" x14ac:dyDescent="0.2"/>
    <row r="280" s="377" customFormat="1" x14ac:dyDescent="0.2"/>
    <row r="281" s="377" customFormat="1" x14ac:dyDescent="0.2"/>
    <row r="282" s="377" customFormat="1" x14ac:dyDescent="0.2"/>
    <row r="283" s="377" customFormat="1" x14ac:dyDescent="0.2"/>
    <row r="284" s="377" customFormat="1" x14ac:dyDescent="0.2"/>
    <row r="285" s="377" customFormat="1" x14ac:dyDescent="0.2"/>
    <row r="286" s="377" customFormat="1" x14ac:dyDescent="0.2"/>
    <row r="287" s="377" customFormat="1" x14ac:dyDescent="0.2"/>
    <row r="288" s="377" customFormat="1" x14ac:dyDescent="0.2"/>
    <row r="289" s="377" customFormat="1" x14ac:dyDescent="0.2"/>
    <row r="290" s="377" customFormat="1" x14ac:dyDescent="0.2"/>
    <row r="291" s="377" customFormat="1" x14ac:dyDescent="0.2"/>
    <row r="292" s="377" customFormat="1" x14ac:dyDescent="0.2"/>
    <row r="293" s="377" customFormat="1" x14ac:dyDescent="0.2"/>
    <row r="294" s="377" customFormat="1" x14ac:dyDescent="0.2"/>
    <row r="295" s="377" customFormat="1" x14ac:dyDescent="0.2"/>
    <row r="296" s="377" customFormat="1" x14ac:dyDescent="0.2"/>
    <row r="297" s="377" customFormat="1" x14ac:dyDescent="0.2"/>
    <row r="298" s="377" customFormat="1" x14ac:dyDescent="0.2"/>
    <row r="299" s="377" customFormat="1" x14ac:dyDescent="0.2"/>
    <row r="300" s="377" customFormat="1" x14ac:dyDescent="0.2"/>
    <row r="301" s="377" customFormat="1" x14ac:dyDescent="0.2"/>
    <row r="302" s="377" customFormat="1" x14ac:dyDescent="0.2"/>
    <row r="303" s="377" customFormat="1" x14ac:dyDescent="0.2"/>
    <row r="304" s="377" customFormat="1" x14ac:dyDescent="0.2"/>
    <row r="305" s="377" customFormat="1" x14ac:dyDescent="0.2"/>
    <row r="306" s="377" customFormat="1" x14ac:dyDescent="0.2"/>
    <row r="307" s="377" customFormat="1" x14ac:dyDescent="0.2"/>
    <row r="308" s="377" customFormat="1" x14ac:dyDescent="0.2"/>
    <row r="309" s="377" customFormat="1" x14ac:dyDescent="0.2"/>
    <row r="310" s="377" customFormat="1" x14ac:dyDescent="0.2"/>
    <row r="311" s="377" customFormat="1" x14ac:dyDescent="0.2"/>
    <row r="312" s="377" customFormat="1" x14ac:dyDescent="0.2"/>
    <row r="313" s="377" customFormat="1" x14ac:dyDescent="0.2"/>
    <row r="314" s="377" customFormat="1" x14ac:dyDescent="0.2"/>
    <row r="315" s="377" customFormat="1" x14ac:dyDescent="0.2"/>
    <row r="316" s="377" customFormat="1" x14ac:dyDescent="0.2"/>
    <row r="317" s="377" customFormat="1" x14ac:dyDescent="0.2"/>
    <row r="318" s="377" customFormat="1" x14ac:dyDescent="0.2"/>
    <row r="319" s="377" customFormat="1" x14ac:dyDescent="0.2"/>
    <row r="320" s="377" customFormat="1" x14ac:dyDescent="0.2"/>
    <row r="321" s="377" customFormat="1" x14ac:dyDescent="0.2"/>
    <row r="322" s="377" customFormat="1" x14ac:dyDescent="0.2"/>
    <row r="323" s="377" customFormat="1" x14ac:dyDescent="0.2"/>
    <row r="324" s="377" customFormat="1" x14ac:dyDescent="0.2"/>
    <row r="325" s="377" customFormat="1" x14ac:dyDescent="0.2"/>
    <row r="326" s="377" customFormat="1" x14ac:dyDescent="0.2"/>
    <row r="327" s="377" customFormat="1" x14ac:dyDescent="0.2"/>
    <row r="328" s="377" customFormat="1" x14ac:dyDescent="0.2"/>
    <row r="329" s="377" customFormat="1" x14ac:dyDescent="0.2"/>
    <row r="330" s="377" customFormat="1" x14ac:dyDescent="0.2"/>
    <row r="331" s="377" customFormat="1" x14ac:dyDescent="0.2"/>
    <row r="332" s="377" customFormat="1" x14ac:dyDescent="0.2"/>
    <row r="333" s="377" customFormat="1" x14ac:dyDescent="0.2"/>
    <row r="334" s="377" customFormat="1" x14ac:dyDescent="0.2"/>
    <row r="335" s="377" customFormat="1" x14ac:dyDescent="0.2"/>
    <row r="336" s="377" customFormat="1" x14ac:dyDescent="0.2"/>
    <row r="337" s="377" customFormat="1" x14ac:dyDescent="0.2"/>
    <row r="338" s="377" customFormat="1" x14ac:dyDescent="0.2"/>
    <row r="339" s="377" customFormat="1" x14ac:dyDescent="0.2"/>
    <row r="340" s="377" customFormat="1" x14ac:dyDescent="0.2"/>
    <row r="341" s="377" customFormat="1" x14ac:dyDescent="0.2"/>
    <row r="342" s="377" customFormat="1" x14ac:dyDescent="0.2"/>
    <row r="343" s="377" customFormat="1" x14ac:dyDescent="0.2"/>
    <row r="344" s="377" customFormat="1" x14ac:dyDescent="0.2"/>
    <row r="345" s="377" customFormat="1" x14ac:dyDescent="0.2"/>
    <row r="346" s="377" customFormat="1" x14ac:dyDescent="0.2"/>
  </sheetData>
  <sheetProtection algorithmName="SHA-512" hashValue="CMKHCQJnROTYvzeXZNiNbM4bmWQpDBRDqdfMUvQjy7UL1SDgYTRDASzv3WZXQSB6dBAfWDV5il7YjxcB67GJTw==" saltValue="Yo2VrbECQet7WRq3Ya/fTA==" spinCount="100000" sheet="1" objects="1" scenarios="1" formatCells="0" formatColumns="0" formatRows="0" insertColumns="0" insertRows="0" insertHyperlinks="0" sort="0" autoFilter="0" pivotTables="0"/>
  <mergeCells count="49">
    <mergeCell ref="V12:X12"/>
    <mergeCell ref="V13:X13"/>
    <mergeCell ref="S12:U12"/>
    <mergeCell ref="S13:U13"/>
    <mergeCell ref="P12:R12"/>
    <mergeCell ref="P13:R13"/>
    <mergeCell ref="G12:I12"/>
    <mergeCell ref="G13:I13"/>
    <mergeCell ref="F10:N11"/>
    <mergeCell ref="G33:I33"/>
    <mergeCell ref="D8:E8"/>
    <mergeCell ref="D9:E9"/>
    <mergeCell ref="M12:O12"/>
    <mergeCell ref="M13:O13"/>
    <mergeCell ref="J12:L12"/>
    <mergeCell ref="J13:L13"/>
    <mergeCell ref="B39:C39"/>
    <mergeCell ref="E39:F39"/>
    <mergeCell ref="E40:F40"/>
    <mergeCell ref="E41:F41"/>
    <mergeCell ref="A12:C12"/>
    <mergeCell ref="A13:C13"/>
    <mergeCell ref="D12:F12"/>
    <mergeCell ref="D13:F13"/>
    <mergeCell ref="E44:F44"/>
    <mergeCell ref="G44:L44"/>
    <mergeCell ref="G39:L39"/>
    <mergeCell ref="E42:F42"/>
    <mergeCell ref="E43:F43"/>
    <mergeCell ref="G40:L40"/>
    <mergeCell ref="G41:L41"/>
    <mergeCell ref="G42:L42"/>
    <mergeCell ref="G43:L43"/>
    <mergeCell ref="P51:R51"/>
    <mergeCell ref="S51:U51"/>
    <mergeCell ref="V51:X51"/>
    <mergeCell ref="A52:C52"/>
    <mergeCell ref="D52:F52"/>
    <mergeCell ref="G52:I52"/>
    <mergeCell ref="J52:L52"/>
    <mergeCell ref="M52:O52"/>
    <mergeCell ref="P52:R52"/>
    <mergeCell ref="S52:U52"/>
    <mergeCell ref="V52:X52"/>
    <mergeCell ref="A51:C51"/>
    <mergeCell ref="D51:F51"/>
    <mergeCell ref="G51:I51"/>
    <mergeCell ref="J51:L51"/>
    <mergeCell ref="M51:O51"/>
  </mergeCells>
  <conditionalFormatting sqref="C15:C26 F15:F26 I15:I26 L15:L26 O15:O26 R15:R26 U15:U26 X15:X26">
    <cfRule type="notContainsBlanks" dxfId="3838" priority="315">
      <formula>LEN(TRIM(C15))&gt;0</formula>
    </cfRule>
  </conditionalFormatting>
  <conditionalFormatting sqref="C15:C26">
    <cfRule type="expression" dxfId="3837" priority="302">
      <formula>A80="JAUNE"</formula>
    </cfRule>
  </conditionalFormatting>
  <conditionalFormatting sqref="C54:C65">
    <cfRule type="expression" dxfId="3836" priority="92">
      <formula>A119="JAUNE"</formula>
    </cfRule>
    <cfRule type="notContainsBlanks" dxfId="3835" priority="104">
      <formula>LEN(TRIM(C54))&gt;0</formula>
    </cfRule>
  </conditionalFormatting>
  <conditionalFormatting sqref="F15:F26">
    <cfRule type="expression" dxfId="3834" priority="289">
      <formula>B80="JAUNE"</formula>
    </cfRule>
  </conditionalFormatting>
  <conditionalFormatting sqref="F54:F65">
    <cfRule type="expression" dxfId="3833" priority="79">
      <formula>D119="JAUNE"</formula>
    </cfRule>
    <cfRule type="notContainsBlanks" dxfId="3832" priority="91">
      <formula>LEN(TRIM(F54))&gt;0</formula>
    </cfRule>
  </conditionalFormatting>
  <conditionalFormatting sqref="I15:I26">
    <cfRule type="expression" dxfId="3831" priority="264">
      <formula>C80="JAUNE"</formula>
    </cfRule>
  </conditionalFormatting>
  <conditionalFormatting sqref="I54:I65">
    <cfRule type="expression" dxfId="3830" priority="66">
      <formula>G119="JAUNE"</formula>
    </cfRule>
    <cfRule type="notContainsBlanks" dxfId="3829" priority="78">
      <formula>LEN(TRIM(I54))&gt;0</formula>
    </cfRule>
  </conditionalFormatting>
  <conditionalFormatting sqref="L15:L26">
    <cfRule type="expression" dxfId="3828" priority="252">
      <formula>D80="JAUNE"</formula>
    </cfRule>
  </conditionalFormatting>
  <conditionalFormatting sqref="L54:L65">
    <cfRule type="expression" dxfId="3827" priority="53">
      <formula>J119="JAUNE"</formula>
    </cfRule>
    <cfRule type="notContainsBlanks" dxfId="3826" priority="65">
      <formula>LEN(TRIM(L54))&gt;0</formula>
    </cfRule>
  </conditionalFormatting>
  <conditionalFormatting sqref="O15:O26">
    <cfRule type="expression" dxfId="3825" priority="237">
      <formula>E80="JAUNE"</formula>
    </cfRule>
  </conditionalFormatting>
  <conditionalFormatting sqref="O54:O65">
    <cfRule type="expression" dxfId="3824" priority="40">
      <formula>M119="JAUNE"</formula>
    </cfRule>
    <cfRule type="notContainsBlanks" dxfId="3823" priority="52">
      <formula>LEN(TRIM(O54))&gt;0</formula>
    </cfRule>
  </conditionalFormatting>
  <conditionalFormatting sqref="R15:R26">
    <cfRule type="expression" dxfId="3822" priority="225">
      <formula>F80="JAUNE"</formula>
    </cfRule>
  </conditionalFormatting>
  <conditionalFormatting sqref="R54:R65">
    <cfRule type="expression" dxfId="3821" priority="27">
      <formula>P119="JAUNE"</formula>
    </cfRule>
    <cfRule type="notContainsBlanks" dxfId="3820" priority="39">
      <formula>LEN(TRIM(R54))&gt;0</formula>
    </cfRule>
  </conditionalFormatting>
  <conditionalFormatting sqref="U15:U26">
    <cfRule type="expression" dxfId="3819" priority="214">
      <formula>G80="JAUNE"</formula>
    </cfRule>
  </conditionalFormatting>
  <conditionalFormatting sqref="U54:U65">
    <cfRule type="expression" dxfId="3818" priority="14">
      <formula>S119="JAUNE"</formula>
    </cfRule>
    <cfRule type="notContainsBlanks" dxfId="3817" priority="26">
      <formula>LEN(TRIM(U54))&gt;0</formula>
    </cfRule>
  </conditionalFormatting>
  <conditionalFormatting sqref="X15:X26">
    <cfRule type="expression" dxfId="3816" priority="203">
      <formula>H80="JAUNE"</formula>
    </cfRule>
  </conditionalFormatting>
  <conditionalFormatting sqref="X54:X65">
    <cfRule type="expression" dxfId="3815" priority="1">
      <formula>V119="JAUNE"</formula>
    </cfRule>
    <cfRule type="notContainsBlanks" dxfId="3814" priority="13">
      <formula>LEN(TRIM(X54))&gt;0</formula>
    </cfRule>
  </conditionalFormatting>
  <dataValidations count="1">
    <dataValidation type="list" allowBlank="1" showInputMessage="1" showErrorMessage="1" sqref="D8:E8" xr:uid="{00000000-0002-0000-2B00-000000000000}">
      <formula1>$A$40:$A$44</formula1>
    </dataValidation>
  </dataValidations>
  <pageMargins left="0.23622047244094491" right="0.23622047244094491" top="0.74803149606299213" bottom="0.74803149606299213" header="0.31496062992125984" footer="0.31496062992125984"/>
  <pageSetup paperSize="9" scale="87" fitToWidth="2" orientation="landscape" horizontalDpi="1200" verticalDpi="1200" r:id="rId1"/>
  <colBreaks count="1" manualBreakCount="1">
    <brk id="1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B00-000001000000}">
          <x14:formula1>
            <xm:f>S.CAL!$CP$1:$CP$2</xm:f>
          </x14:formula1>
          <xm:sqref>D40:D44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FF00"/>
  </sheetPr>
  <dimension ref="A1:AA185"/>
  <sheetViews>
    <sheetView showGridLines="0" zoomScale="90" zoomScaleNormal="90" workbookViewId="0">
      <selection activeCell="F181" sqref="F181"/>
    </sheetView>
  </sheetViews>
  <sheetFormatPr baseColWidth="10" defaultRowHeight="12.75" x14ac:dyDescent="0.2"/>
  <cols>
    <col min="4" max="4" width="12" customWidth="1"/>
    <col min="9" max="9" width="22.5703125" customWidth="1"/>
    <col min="10" max="10" width="37.140625" customWidth="1"/>
    <col min="13" max="13" width="11.42578125" customWidth="1"/>
    <col min="14" max="16" width="11.42578125" hidden="1" customWidth="1"/>
    <col min="17" max="19" width="0" hidden="1" customWidth="1"/>
    <col min="25" max="29" width="0" hidden="1" customWidth="1"/>
  </cols>
  <sheetData>
    <row r="1" spans="2:10" ht="15.75" x14ac:dyDescent="0.25">
      <c r="B1" s="2506" t="s">
        <v>1713</v>
      </c>
      <c r="C1" s="2506"/>
      <c r="D1" s="2506"/>
      <c r="E1" s="2506"/>
      <c r="F1" s="2506"/>
      <c r="G1" s="2506"/>
      <c r="H1" s="2506"/>
      <c r="I1" s="2506"/>
      <c r="J1" s="1038" t="str">
        <f>+'Mode d''utilisation'!E2</f>
        <v>Syndicat National FO des Emplois de la Famille         www.emploisdelafamille-fo.fr</v>
      </c>
    </row>
    <row r="3" spans="2:10" ht="15.75" x14ac:dyDescent="0.25">
      <c r="B3" s="937" t="s">
        <v>1273</v>
      </c>
    </row>
    <row r="5" spans="2:10" x14ac:dyDescent="0.2">
      <c r="C5" s="556" t="s">
        <v>1274</v>
      </c>
      <c r="D5" s="2507">
        <f>+Identification!B34</f>
        <v>0</v>
      </c>
      <c r="E5" s="2507"/>
      <c r="F5" s="2507"/>
      <c r="G5" s="2507"/>
      <c r="H5" s="2507"/>
    </row>
    <row r="6" spans="2:10" x14ac:dyDescent="0.2">
      <c r="C6" s="556"/>
      <c r="D6" s="925"/>
      <c r="E6" s="925"/>
      <c r="F6" s="925"/>
      <c r="G6" s="925"/>
      <c r="H6" s="925"/>
    </row>
    <row r="7" spans="2:10" x14ac:dyDescent="0.2">
      <c r="C7" s="556" t="s">
        <v>1310</v>
      </c>
      <c r="D7" s="959">
        <f>+Identification!B49</f>
        <v>0</v>
      </c>
      <c r="E7" s="925"/>
      <c r="F7" s="925"/>
      <c r="G7" s="925"/>
      <c r="H7" s="925"/>
    </row>
    <row r="8" spans="2:10" x14ac:dyDescent="0.2">
      <c r="C8" s="556"/>
      <c r="D8" s="925"/>
      <c r="E8" s="925"/>
      <c r="F8" s="925"/>
      <c r="G8" s="925"/>
      <c r="H8" s="925"/>
    </row>
    <row r="9" spans="2:10" x14ac:dyDescent="0.2">
      <c r="C9" s="556" t="s">
        <v>31</v>
      </c>
      <c r="D9" s="925">
        <f>+Identification!B37</f>
        <v>0</v>
      </c>
      <c r="E9" s="925"/>
      <c r="F9" s="925"/>
      <c r="G9" s="925"/>
      <c r="H9" s="925"/>
    </row>
    <row r="10" spans="2:10" x14ac:dyDescent="0.2">
      <c r="D10" s="925"/>
      <c r="E10" s="925"/>
      <c r="F10" s="925"/>
      <c r="G10" s="925"/>
      <c r="H10" s="925"/>
    </row>
    <row r="11" spans="2:10" x14ac:dyDescent="0.2">
      <c r="C11" s="556" t="s">
        <v>1275</v>
      </c>
      <c r="D11" s="925">
        <f>+Identification!B40</f>
        <v>0</v>
      </c>
      <c r="E11" s="925"/>
      <c r="F11" s="925"/>
      <c r="G11" s="925"/>
      <c r="H11" s="925"/>
    </row>
    <row r="12" spans="2:10" x14ac:dyDescent="0.2">
      <c r="C12" s="556"/>
      <c r="D12" s="925"/>
      <c r="E12" s="925"/>
      <c r="F12" s="925"/>
      <c r="G12" s="925"/>
      <c r="H12" s="925"/>
    </row>
    <row r="13" spans="2:10" x14ac:dyDescent="0.2">
      <c r="C13" s="556" t="s">
        <v>1276</v>
      </c>
      <c r="D13" s="925">
        <f>+Identification!B43</f>
        <v>0</v>
      </c>
      <c r="E13" s="925"/>
      <c r="F13" s="925"/>
      <c r="G13" s="925"/>
      <c r="H13" s="925"/>
    </row>
    <row r="14" spans="2:10" x14ac:dyDescent="0.2">
      <c r="C14" s="556"/>
      <c r="D14" s="925"/>
      <c r="E14" s="925"/>
      <c r="F14" s="925"/>
      <c r="G14" s="925"/>
      <c r="H14" s="925"/>
    </row>
    <row r="15" spans="2:10" x14ac:dyDescent="0.2">
      <c r="C15" s="556" t="s">
        <v>1277</v>
      </c>
      <c r="D15" s="926">
        <f>+Identification!B46</f>
        <v>0</v>
      </c>
      <c r="E15" s="925"/>
      <c r="F15" s="925"/>
      <c r="G15" s="925"/>
      <c r="H15" s="925"/>
    </row>
    <row r="16" spans="2:10" x14ac:dyDescent="0.2">
      <c r="D16" s="925"/>
      <c r="E16" s="925"/>
      <c r="F16" s="925"/>
      <c r="G16" s="925"/>
      <c r="H16" s="925"/>
    </row>
    <row r="17" spans="1:8" x14ac:dyDescent="0.2">
      <c r="D17" s="925"/>
      <c r="E17" s="925"/>
      <c r="F17" s="925"/>
      <c r="G17" s="925"/>
      <c r="H17" s="925"/>
    </row>
    <row r="18" spans="1:8" x14ac:dyDescent="0.2">
      <c r="C18" s="556" t="s">
        <v>1278</v>
      </c>
      <c r="D18" s="925">
        <f>+Identification!B57</f>
        <v>0</v>
      </c>
      <c r="E18" s="925"/>
      <c r="F18" s="925"/>
      <c r="G18" s="925"/>
      <c r="H18" s="925"/>
    </row>
    <row r="20" spans="1:8" x14ac:dyDescent="0.2">
      <c r="C20" s="556" t="s">
        <v>1279</v>
      </c>
      <c r="D20" s="925" t="str">
        <f>+Identification!B66</f>
        <v>NON</v>
      </c>
    </row>
    <row r="23" spans="1:8" ht="15.75" x14ac:dyDescent="0.25">
      <c r="B23" s="938" t="s">
        <v>1280</v>
      </c>
    </row>
    <row r="24" spans="1:8" ht="13.5" thickBot="1" x14ac:dyDescent="0.25">
      <c r="B24" s="446"/>
    </row>
    <row r="25" spans="1:8" ht="14.25" thickTop="1" thickBot="1" x14ac:dyDescent="0.25">
      <c r="B25" s="1260" t="s">
        <v>1258</v>
      </c>
      <c r="C25" s="1261"/>
      <c r="D25" s="1261"/>
      <c r="E25" s="1261"/>
      <c r="F25" s="1261"/>
      <c r="G25" s="1262" t="s">
        <v>1261</v>
      </c>
      <c r="H25" s="1263" t="s">
        <v>1301</v>
      </c>
    </row>
    <row r="26" spans="1:8" ht="13.5" thickTop="1" x14ac:dyDescent="0.2">
      <c r="A26" s="487">
        <f t="array" ref="A26">IFERROR(+INDEX(S.CAL!$FB$2:$FB$385,MATCH(0,INDEX(COUNTIF($A$25:A25,S.CAL!$FB$2:$FB$385),0,0),0)),0)</f>
        <v>0</v>
      </c>
      <c r="B26" s="930" t="str">
        <f>+IFERROR(VLOOKUP(A26,S.CAL!$FB$2:$FH$385,5,FALSE),"")</f>
        <v/>
      </c>
      <c r="C26" s="2507" t="str">
        <f>+IFERROR(VLOOKUP(B26,'Liste des Libellés'!$A$5:$B$32,2,FALSE),"")</f>
        <v/>
      </c>
      <c r="D26" s="2507"/>
      <c r="E26" s="2507"/>
      <c r="G26" s="935" t="str">
        <f>+IFERROR(VLOOKUP(A26,S.CAL!$FB$2:$FH$385,6,FALSE),"")</f>
        <v/>
      </c>
      <c r="H26" s="931" t="str">
        <f>+IFERROR(VLOOKUP(A26,S.CAL!$FB$2:$FH$385,7,FALSE),"")</f>
        <v/>
      </c>
    </row>
    <row r="27" spans="1:8" x14ac:dyDescent="0.2">
      <c r="A27" s="487">
        <f t="array" ref="A27">IFERROR(+INDEX(S.CAL!$FB$2:$FB$385,MATCH(0,INDEX(COUNTIF($A$25:A26,S.CAL!$FB$2:$FB$385),0,0),0)),0)</f>
        <v>0</v>
      </c>
      <c r="B27" s="930" t="str">
        <f>+IFERROR(VLOOKUP(A27,S.CAL!$FB$2:$FH$385,5,FALSE),"")</f>
        <v/>
      </c>
      <c r="C27" s="2507" t="str">
        <f>+IFERROR(VLOOKUP(B27,'Liste des Libellés'!$A$5:$B$32,2,FALSE),"")</f>
        <v/>
      </c>
      <c r="D27" s="2507"/>
      <c r="E27" s="2507"/>
      <c r="G27" s="935" t="str">
        <f>+IFERROR(VLOOKUP(A27,S.CAL!$FB$2:$FH$385,6,FALSE),"")</f>
        <v/>
      </c>
      <c r="H27" s="931" t="str">
        <f>+IFERROR(VLOOKUP(A27,S.CAL!$FB$2:$FH$385,7,FALSE),"")</f>
        <v/>
      </c>
    </row>
    <row r="28" spans="1:8" x14ac:dyDescent="0.2">
      <c r="A28" s="487">
        <f t="array" ref="A28">IFERROR(+INDEX(S.CAL!$FB$2:$FB$385,MATCH(0,INDEX(COUNTIF($A$25:A27,S.CAL!$FB$2:$FB$385),0,0),0)),0)</f>
        <v>0</v>
      </c>
      <c r="B28" s="930" t="str">
        <f>+IFERROR(VLOOKUP(A28,S.CAL!$FB$2:$FH$385,5,FALSE),"")</f>
        <v/>
      </c>
      <c r="C28" s="2507" t="str">
        <f>+IFERROR(VLOOKUP(B28,'Liste des Libellés'!$A$5:$B$32,2,FALSE),"")</f>
        <v/>
      </c>
      <c r="D28" s="2507"/>
      <c r="E28" s="2507"/>
      <c r="G28" s="935" t="str">
        <f>+IFERROR(VLOOKUP(A28,S.CAL!$FB$2:$FH$385,6,FALSE),"")</f>
        <v/>
      </c>
      <c r="H28" s="931" t="str">
        <f>+IFERROR(VLOOKUP(A28,S.CAL!$FB$2:$FH$385,7,FALSE),"")</f>
        <v/>
      </c>
    </row>
    <row r="29" spans="1:8" x14ac:dyDescent="0.2">
      <c r="A29" s="487">
        <f t="array" ref="A29">IFERROR(+INDEX(S.CAL!$FB$2:$FB$385,MATCH(0,INDEX(COUNTIF($A$25:A28,S.CAL!$FB$2:$FB$385),0,0),0)),0)</f>
        <v>0</v>
      </c>
      <c r="B29" s="930" t="str">
        <f>+IFERROR(VLOOKUP(A29,S.CAL!$FB$2:$FH$385,5,FALSE),"")</f>
        <v/>
      </c>
      <c r="C29" s="2507" t="str">
        <f>+IFERROR(VLOOKUP(B29,'Liste des Libellés'!$A$5:$B$32,2,FALSE),"")</f>
        <v/>
      </c>
      <c r="D29" s="2507"/>
      <c r="E29" s="2507"/>
      <c r="G29" s="935" t="str">
        <f>+IFERROR(VLOOKUP(A29,S.CAL!$FB$2:$FH$385,6,FALSE),"")</f>
        <v/>
      </c>
      <c r="H29" s="931" t="str">
        <f>+IFERROR(VLOOKUP(A29,S.CAL!$FB$2:$FH$385,7,FALSE),"")</f>
        <v/>
      </c>
    </row>
    <row r="30" spans="1:8" x14ac:dyDescent="0.2">
      <c r="A30" s="487">
        <f t="array" ref="A30">IFERROR(+INDEX(S.CAL!$FB$2:$FB$385,MATCH(0,INDEX(COUNTIF($A$25:A29,S.CAL!$FB$2:$FB$385),0,0),0)),0)</f>
        <v>0</v>
      </c>
      <c r="B30" s="930" t="str">
        <f>+IFERROR(VLOOKUP(A30,S.CAL!$FB$2:$FH$385,5,FALSE),"")</f>
        <v/>
      </c>
      <c r="C30" s="2507" t="str">
        <f>+IFERROR(VLOOKUP(B30,'Liste des Libellés'!$A$5:$B$32,2,FALSE),"")</f>
        <v/>
      </c>
      <c r="D30" s="2507"/>
      <c r="E30" s="2507"/>
      <c r="G30" s="935" t="str">
        <f>+IFERROR(VLOOKUP(A30,S.CAL!$FB$2:$FH$385,6,FALSE),"")</f>
        <v/>
      </c>
      <c r="H30" s="931" t="str">
        <f>+IFERROR(VLOOKUP(A30,S.CAL!$FB$2:$FH$385,7,FALSE),"")</f>
        <v/>
      </c>
    </row>
    <row r="31" spans="1:8" x14ac:dyDescent="0.2">
      <c r="A31" s="487">
        <f t="array" ref="A31">IFERROR(+INDEX(S.CAL!$FB$2:$FB$385,MATCH(0,INDEX(COUNTIF($A$25:A30,S.CAL!$FB$2:$FB$385),0,0),0)),0)</f>
        <v>0</v>
      </c>
      <c r="B31" s="930" t="str">
        <f>+IFERROR(VLOOKUP(A31,S.CAL!$FB$2:$FH$385,5,FALSE),"")</f>
        <v/>
      </c>
      <c r="C31" s="2507" t="str">
        <f>+IFERROR(VLOOKUP(B31,'Liste des Libellés'!$A$5:$B$32,2,FALSE),"")</f>
        <v/>
      </c>
      <c r="D31" s="2507"/>
      <c r="E31" s="2507"/>
      <c r="G31" s="935" t="str">
        <f>+IFERROR(VLOOKUP(A31,S.CAL!$FB$2:$FH$385,6,FALSE),"")</f>
        <v/>
      </c>
      <c r="H31" s="931" t="str">
        <f>+IFERROR(VLOOKUP(A31,S.CAL!$FB$2:$FH$385,7,FALSE),"")</f>
        <v/>
      </c>
    </row>
    <row r="32" spans="1:8" x14ac:dyDescent="0.2">
      <c r="A32" s="487">
        <f t="array" ref="A32">IFERROR(+INDEX(S.CAL!$FB$2:$FB$385,MATCH(0,INDEX(COUNTIF($A$25:A31,S.CAL!$FB$2:$FB$385),0,0),0)),0)</f>
        <v>0</v>
      </c>
      <c r="B32" s="930" t="str">
        <f>+IFERROR(VLOOKUP(A32,S.CAL!$FB$2:$FH$385,5,FALSE),"")</f>
        <v/>
      </c>
      <c r="C32" s="2507" t="str">
        <f>+IFERROR(VLOOKUP(B32,'Liste des Libellés'!$A$5:$B$32,2,FALSE),"")</f>
        <v/>
      </c>
      <c r="D32" s="2507"/>
      <c r="E32" s="2507"/>
      <c r="G32" s="935" t="str">
        <f>+IFERROR(VLOOKUP(A32,S.CAL!$FB$2:$FH$385,6,FALSE),"")</f>
        <v/>
      </c>
      <c r="H32" s="931" t="str">
        <f>+IFERROR(VLOOKUP(A32,S.CAL!$FB$2:$FH$385,7,FALSE),"")</f>
        <v/>
      </c>
    </row>
    <row r="33" spans="1:8" x14ac:dyDescent="0.2">
      <c r="A33" s="487">
        <f t="array" ref="A33">IFERROR(+INDEX(S.CAL!$FB$2:$FB$385,MATCH(0,INDEX(COUNTIF($A$25:A32,S.CAL!$FB$2:$FB$385),0,0),0)),0)</f>
        <v>0</v>
      </c>
      <c r="B33" s="930" t="str">
        <f>+IFERROR(VLOOKUP(A33,S.CAL!$FB$2:$FH$385,5,FALSE),"")</f>
        <v/>
      </c>
      <c r="C33" s="2507" t="str">
        <f>+IFERROR(VLOOKUP(B33,'Liste des Libellés'!$A$5:$B$32,2,FALSE),"")</f>
        <v/>
      </c>
      <c r="D33" s="2507"/>
      <c r="E33" s="2507"/>
      <c r="G33" s="935" t="str">
        <f>+IFERROR(VLOOKUP(A33,S.CAL!$FB$2:$FH$385,6,FALSE),"")</f>
        <v/>
      </c>
      <c r="H33" s="931" t="str">
        <f>+IFERROR(VLOOKUP(A33,S.CAL!$FB$2:$FH$385,7,FALSE),"")</f>
        <v/>
      </c>
    </row>
    <row r="34" spans="1:8" x14ac:dyDescent="0.2">
      <c r="A34" s="487">
        <f t="array" ref="A34">IFERROR(+INDEX(S.CAL!$FB$2:$FB$385,MATCH(0,INDEX(COUNTIF($A$25:A33,S.CAL!$FB$2:$FB$385),0,0),0)),0)</f>
        <v>0</v>
      </c>
      <c r="B34" s="930" t="str">
        <f>+IFERROR(VLOOKUP(A34,S.CAL!$FB$2:$FH$385,5,FALSE),"")</f>
        <v/>
      </c>
      <c r="C34" s="2507" t="str">
        <f>+IFERROR(VLOOKUP(B34,'Liste des Libellés'!$A$5:$B$32,2,FALSE),"")</f>
        <v/>
      </c>
      <c r="D34" s="2507"/>
      <c r="E34" s="2507"/>
      <c r="G34" s="935" t="str">
        <f>+IFERROR(VLOOKUP(A34,S.CAL!$FB$2:$FH$385,6,FALSE),"")</f>
        <v/>
      </c>
      <c r="H34" s="931" t="str">
        <f>+IFERROR(VLOOKUP(A34,S.CAL!$FB$2:$FH$385,7,FALSE),"")</f>
        <v/>
      </c>
    </row>
    <row r="35" spans="1:8" x14ac:dyDescent="0.2">
      <c r="A35" s="487">
        <f t="array" ref="A35">IFERROR(+INDEX(S.CAL!$FB$2:$FB$385,MATCH(0,INDEX(COUNTIF($A$25:A34,S.CAL!$FB$2:$FB$385),0,0),0)),0)</f>
        <v>0</v>
      </c>
      <c r="B35" s="930" t="str">
        <f>+IFERROR(VLOOKUP(A35,S.CAL!$FB$2:$FH$385,5,FALSE),"")</f>
        <v/>
      </c>
      <c r="C35" s="2507" t="str">
        <f>+IFERROR(VLOOKUP(B35,'Liste des Libellés'!$A$5:$B$32,2,FALSE),"")</f>
        <v/>
      </c>
      <c r="D35" s="2507"/>
      <c r="E35" s="2507"/>
      <c r="G35" s="935" t="str">
        <f>+IFERROR(VLOOKUP(A35,S.CAL!$FB$2:$FH$385,6,FALSE),"")</f>
        <v/>
      </c>
      <c r="H35" s="931" t="str">
        <f>+IFERROR(VLOOKUP(A35,S.CAL!$FB$2:$FH$385,7,FALSE),"")</f>
        <v/>
      </c>
    </row>
    <row r="36" spans="1:8" x14ac:dyDescent="0.2">
      <c r="A36" s="487">
        <f t="array" ref="A36">IFERROR(+INDEX(S.CAL!$FB$2:$FB$385,MATCH(0,INDEX(COUNTIF($A$25:A35,S.CAL!$FB$2:$FB$385),0,0),0)),0)</f>
        <v>0</v>
      </c>
      <c r="B36" s="930" t="str">
        <f>+IFERROR(VLOOKUP(A36,S.CAL!$FB$2:$FH$385,5,FALSE),"")</f>
        <v/>
      </c>
      <c r="C36" s="2507" t="str">
        <f>+IFERROR(VLOOKUP(B36,'Liste des Libellés'!$A$5:$B$32,2,FALSE),"")</f>
        <v/>
      </c>
      <c r="D36" s="2507"/>
      <c r="E36" s="2507"/>
      <c r="G36" s="935" t="str">
        <f>+IFERROR(VLOOKUP(A36,S.CAL!$FB$2:$FH$385,6,FALSE),"")</f>
        <v/>
      </c>
      <c r="H36" s="931" t="str">
        <f>+IFERROR(VLOOKUP(A36,S.CAL!$FB$2:$FH$385,7,FALSE),"")</f>
        <v/>
      </c>
    </row>
    <row r="37" spans="1:8" x14ac:dyDescent="0.2">
      <c r="A37" s="487">
        <f t="array" ref="A37">IFERROR(+INDEX(S.CAL!$FB$2:$FB$385,MATCH(0,INDEX(COUNTIF($A$25:A36,S.CAL!$FB$2:$FB$385),0,0),0)),0)</f>
        <v>0</v>
      </c>
      <c r="B37" s="930" t="str">
        <f>+IFERROR(VLOOKUP(A37,S.CAL!$FB$2:$FH$385,5,FALSE),"")</f>
        <v/>
      </c>
      <c r="C37" s="2507" t="str">
        <f>+IFERROR(VLOOKUP(B37,'Liste des Libellés'!$A$5:$B$32,2,FALSE),"")</f>
        <v/>
      </c>
      <c r="D37" s="2507"/>
      <c r="E37" s="2507"/>
      <c r="G37" s="935" t="str">
        <f>+IFERROR(VLOOKUP(A37,S.CAL!$FB$2:$FH$385,6,FALSE),"")</f>
        <v/>
      </c>
      <c r="H37" s="931" t="str">
        <f>+IFERROR(VLOOKUP(A37,S.CAL!$FB$2:$FH$385,7,FALSE),"")</f>
        <v/>
      </c>
    </row>
    <row r="38" spans="1:8" x14ac:dyDescent="0.2">
      <c r="A38" s="487">
        <f t="array" ref="A38">IFERROR(+INDEX(S.CAL!$FB$2:$FB$385,MATCH(0,INDEX(COUNTIF($A$25:A37,S.CAL!$FB$2:$FB$385),0,0),0)),0)</f>
        <v>0</v>
      </c>
      <c r="B38" s="930" t="str">
        <f>+IFERROR(VLOOKUP(A38,S.CAL!$FB$2:$FH$385,5,FALSE),"")</f>
        <v/>
      </c>
      <c r="C38" s="2507" t="str">
        <f>+IFERROR(VLOOKUP(B38,'Liste des Libellés'!$A$5:$B$32,2,FALSE),"")</f>
        <v/>
      </c>
      <c r="D38" s="2507"/>
      <c r="E38" s="2507"/>
      <c r="G38" s="935" t="str">
        <f>+IFERROR(VLOOKUP(A38,S.CAL!$FB$2:$FH$385,6,FALSE),"")</f>
        <v/>
      </c>
      <c r="H38" s="931" t="str">
        <f>+IFERROR(VLOOKUP(A38,S.CAL!$FB$2:$FH$385,7,FALSE),"")</f>
        <v/>
      </c>
    </row>
    <row r="39" spans="1:8" x14ac:dyDescent="0.2">
      <c r="A39" s="487">
        <f t="array" ref="A39">IFERROR(+INDEX(S.CAL!$FB$2:$FB$385,MATCH(0,INDEX(COUNTIF($A$25:A38,S.CAL!$FB$2:$FB$385),0,0),0)),0)</f>
        <v>0</v>
      </c>
      <c r="B39" s="930" t="str">
        <f>+IFERROR(VLOOKUP(A39,S.CAL!$FB$2:$FH$385,5,FALSE),"")</f>
        <v/>
      </c>
      <c r="C39" s="2507" t="str">
        <f>+IFERROR(VLOOKUP(B39,'Liste des Libellés'!$A$5:$B$32,2,FALSE),"")</f>
        <v/>
      </c>
      <c r="D39" s="2507"/>
      <c r="E39" s="2507"/>
      <c r="G39" s="935" t="str">
        <f>+IFERROR(VLOOKUP(A39,S.CAL!$FB$2:$FH$385,6,FALSE),"")</f>
        <v/>
      </c>
      <c r="H39" s="931" t="str">
        <f>+IFERROR(VLOOKUP(A39,S.CAL!$FB$2:$FH$385,7,FALSE),"")</f>
        <v/>
      </c>
    </row>
    <row r="40" spans="1:8" x14ac:dyDescent="0.2">
      <c r="A40" s="487">
        <f t="array" ref="A40">IFERROR(+INDEX(S.CAL!$FB$2:$FB$385,MATCH(0,INDEX(COUNTIF($A$25:A39,S.CAL!$FB$2:$FB$385),0,0),0)),0)</f>
        <v>0</v>
      </c>
      <c r="B40" s="930" t="str">
        <f>+IFERROR(VLOOKUP(A40,S.CAL!$FB$2:$FH$385,5,FALSE),"")</f>
        <v/>
      </c>
      <c r="C40" s="2507" t="str">
        <f>+IFERROR(VLOOKUP(B40,'Liste des Libellés'!$A$5:$B$32,2,FALSE),"")</f>
        <v/>
      </c>
      <c r="D40" s="2507"/>
      <c r="E40" s="2507"/>
      <c r="G40" s="935" t="str">
        <f>+IFERROR(VLOOKUP(A40,S.CAL!$FB$2:$FH$385,6,FALSE),"")</f>
        <v/>
      </c>
      <c r="H40" s="931" t="str">
        <f>+IFERROR(VLOOKUP(A40,S.CAL!$FB$2:$FH$385,7,FALSE),"")</f>
        <v/>
      </c>
    </row>
    <row r="41" spans="1:8" x14ac:dyDescent="0.2">
      <c r="A41" s="487">
        <f t="array" ref="A41">IFERROR(+INDEX(S.CAL!$FB$2:$FB$385,MATCH(0,INDEX(COUNTIF($A$25:A40,S.CAL!$FB$2:$FB$385),0,0),0)),0)</f>
        <v>0</v>
      </c>
      <c r="B41" s="930" t="str">
        <f>+IFERROR(VLOOKUP(A41,S.CAL!$FB$2:$FH$385,5,FALSE),"")</f>
        <v/>
      </c>
      <c r="C41" s="2507" t="str">
        <f>+IFERROR(VLOOKUP(B41,'Liste des Libellés'!$A$5:$B$32,2,FALSE),"")</f>
        <v/>
      </c>
      <c r="D41" s="2507"/>
      <c r="E41" s="2507"/>
      <c r="G41" s="935" t="str">
        <f>+IFERROR(VLOOKUP(A41,S.CAL!$FB$2:$FH$385,6,FALSE),"")</f>
        <v/>
      </c>
      <c r="H41" s="931" t="str">
        <f>+IFERROR(VLOOKUP(A41,S.CAL!$FB$2:$FH$385,7,FALSE),"")</f>
        <v/>
      </c>
    </row>
    <row r="42" spans="1:8" x14ac:dyDescent="0.2">
      <c r="A42" s="487">
        <f t="array" ref="A42">IFERROR(+INDEX(S.CAL!$FB$2:$FB$385,MATCH(0,INDEX(COUNTIF($A$25:A41,S.CAL!$FB$2:$FB$385),0,0),0)),0)</f>
        <v>0</v>
      </c>
      <c r="B42" s="930" t="str">
        <f>+IFERROR(VLOOKUP(A42,S.CAL!$FB$2:$FH$385,5,FALSE),"")</f>
        <v/>
      </c>
      <c r="C42" s="2507" t="str">
        <f>+IFERROR(VLOOKUP(B42,'Liste des Libellés'!$A$5:$B$32,2,FALSE),"")</f>
        <v/>
      </c>
      <c r="D42" s="2507"/>
      <c r="E42" s="2507"/>
      <c r="G42" s="935" t="str">
        <f>+IFERROR(VLOOKUP(A42,S.CAL!$FB$2:$FH$385,6,FALSE),"")</f>
        <v/>
      </c>
      <c r="H42" s="931" t="str">
        <f>+IFERROR(VLOOKUP(A42,S.CAL!$FB$2:$FH$385,7,FALSE),"")</f>
        <v/>
      </c>
    </row>
    <row r="43" spans="1:8" x14ac:dyDescent="0.2">
      <c r="A43" s="487">
        <f t="array" ref="A43">IFERROR(+INDEX(S.CAL!$FB$2:$FB$385,MATCH(0,INDEX(COUNTIF($A$25:A42,S.CAL!$FB$2:$FB$385),0,0),0)),0)</f>
        <v>0</v>
      </c>
      <c r="B43" s="930" t="str">
        <f>+IFERROR(VLOOKUP(A43,S.CAL!$FB$2:$FH$385,5,FALSE),"")</f>
        <v/>
      </c>
      <c r="C43" s="2507" t="str">
        <f>+IFERROR(VLOOKUP(B43,'Liste des Libellés'!$A$5:$B$32,2,FALSE),"")</f>
        <v/>
      </c>
      <c r="D43" s="2507"/>
      <c r="E43" s="2507"/>
      <c r="G43" s="935" t="str">
        <f>+IFERROR(VLOOKUP(A43,S.CAL!$FB$2:$FH$385,6,FALSE),"")</f>
        <v/>
      </c>
      <c r="H43" s="931" t="str">
        <f>+IFERROR(VLOOKUP(A43,S.CAL!$FB$2:$FH$385,7,FALSE),"")</f>
        <v/>
      </c>
    </row>
    <row r="44" spans="1:8" x14ac:dyDescent="0.2">
      <c r="A44" s="487">
        <f t="array" ref="A44">IFERROR(+INDEX(S.CAL!$FB$2:$FB$385,MATCH(0,INDEX(COUNTIF($A$25:A43,S.CAL!$FB$2:$FB$385),0,0),0)),0)</f>
        <v>0</v>
      </c>
      <c r="B44" s="930" t="str">
        <f>+IFERROR(VLOOKUP(A44,S.CAL!$FB$2:$FH$385,5,FALSE),"")</f>
        <v/>
      </c>
      <c r="C44" s="2507" t="str">
        <f>+IFERROR(VLOOKUP(B44,'Liste des Libellés'!$A$5:$B$32,2,FALSE),"")</f>
        <v/>
      </c>
      <c r="D44" s="2507"/>
      <c r="E44" s="2507"/>
      <c r="G44" s="935" t="str">
        <f>+IFERROR(VLOOKUP(A44,S.CAL!$FB$2:$FH$385,6,FALSE),"")</f>
        <v/>
      </c>
      <c r="H44" s="931" t="str">
        <f>+IFERROR(VLOOKUP(A44,S.CAL!$FB$2:$FH$385,7,FALSE),"")</f>
        <v/>
      </c>
    </row>
    <row r="45" spans="1:8" x14ac:dyDescent="0.2">
      <c r="A45" s="487">
        <f t="array" ref="A45">IFERROR(+INDEX(S.CAL!$FB$2:$FB$385,MATCH(0,INDEX(COUNTIF($A$25:A44,S.CAL!$FB$2:$FB$385),0,0),0)),0)</f>
        <v>0</v>
      </c>
      <c r="B45" s="930" t="str">
        <f>+IFERROR(VLOOKUP(A45,S.CAL!$FB$2:$FH$385,5,FALSE),"")</f>
        <v/>
      </c>
      <c r="C45" s="2507" t="str">
        <f>+IFERROR(VLOOKUP(B45,'Liste des Libellés'!$A$5:$B$32,2,FALSE),"")</f>
        <v/>
      </c>
      <c r="D45" s="2507"/>
      <c r="E45" s="2507"/>
      <c r="G45" s="935" t="str">
        <f>+IFERROR(VLOOKUP(A45,S.CAL!$FB$2:$FH$385,6,FALSE),"")</f>
        <v/>
      </c>
      <c r="H45" s="931" t="str">
        <f>+IFERROR(VLOOKUP(A45,S.CAL!$FB$2:$FH$385,7,FALSE),"")</f>
        <v/>
      </c>
    </row>
    <row r="46" spans="1:8" x14ac:dyDescent="0.2">
      <c r="A46" s="487">
        <f t="array" ref="A46">IFERROR(+INDEX(S.CAL!$FB$2:$FB$385,MATCH(0,INDEX(COUNTIF($A$25:A45,S.CAL!$FB$2:$FB$385),0,0),0)),0)</f>
        <v>0</v>
      </c>
      <c r="B46" s="930" t="str">
        <f>+IFERROR(VLOOKUP(A46,S.CAL!$FB$2:$FH$385,5,FALSE),"")</f>
        <v/>
      </c>
      <c r="C46" s="2507" t="str">
        <f>+IFERROR(VLOOKUP(B46,'Liste des Libellés'!$A$5:$B$32,2,FALSE),"")</f>
        <v/>
      </c>
      <c r="D46" s="2507"/>
      <c r="E46" s="2507"/>
      <c r="G46" s="935" t="str">
        <f>+IFERROR(VLOOKUP(A46,S.CAL!$FB$2:$FH$385,6,FALSE),"")</f>
        <v/>
      </c>
      <c r="H46" s="931" t="str">
        <f>+IFERROR(VLOOKUP(A46,S.CAL!$FB$2:$FH$385,7,FALSE),"")</f>
        <v/>
      </c>
    </row>
    <row r="47" spans="1:8" ht="13.5" thickBot="1" x14ac:dyDescent="0.25">
      <c r="A47" s="487">
        <f t="array" ref="A47">IFERROR(+INDEX(S.CAL!$FB$2:$FB$385,MATCH(0,INDEX(COUNTIF($A$25:A46,S.CAL!$FB$2:$FB$385),0,0),0)),0)</f>
        <v>0</v>
      </c>
      <c r="B47" s="932" t="str">
        <f>+IFERROR(VLOOKUP(A47,S.CAL!$FB$2:$FH$385,5,FALSE),"")</f>
        <v/>
      </c>
      <c r="C47" s="2527" t="str">
        <f>+IFERROR(VLOOKUP(B47,'Liste des Libellés'!$A$5:$B$32,2,FALSE),"")</f>
        <v/>
      </c>
      <c r="D47" s="2527"/>
      <c r="E47" s="2527"/>
      <c r="F47" s="933"/>
      <c r="G47" s="936" t="str">
        <f>+IFERROR(VLOOKUP(A47,S.CAL!$FB$2:$FH$385,6,FALSE),"")</f>
        <v/>
      </c>
      <c r="H47" s="934" t="str">
        <f>+IFERROR(VLOOKUP(A47,S.CAL!$FB$2:$FH$385,7,FALSE),"")</f>
        <v/>
      </c>
    </row>
    <row r="48" spans="1:8" ht="13.5" thickTop="1" x14ac:dyDescent="0.2">
      <c r="A48" s="487"/>
      <c r="C48" s="2507"/>
      <c r="D48" s="2507"/>
      <c r="E48" s="2507"/>
      <c r="G48" s="929"/>
      <c r="H48" s="929"/>
    </row>
    <row r="49" spans="1:8" x14ac:dyDescent="0.2">
      <c r="A49" s="487">
        <f t="array" ref="A49">IFERROR(+INDEX(S.CAL!$FB$2:$FB$385,MATCH(0,INDEX(COUNTIF($A$25:A48,S.CAL!$FB$2:$FB$385),0,0),0)),0)</f>
        <v>0</v>
      </c>
      <c r="B49" t="str">
        <f>+IFERROR(VLOOKUP(A49,S.CAL!$FB$2:$FH$385,5,FALSE),"")</f>
        <v/>
      </c>
      <c r="C49" s="2507" t="str">
        <f>+IFERROR(VLOOKUP(B49,'Liste des Libellés'!$A$5:$B$32,2,FALSE),"")</f>
        <v/>
      </c>
      <c r="D49" s="2507"/>
      <c r="E49" s="2507"/>
      <c r="G49" s="929" t="str">
        <f>+IFERROR(VLOOKUP(A49,S.CAL!$FB$2:$FH$385,6,FALSE),"")</f>
        <v/>
      </c>
      <c r="H49" s="929" t="str">
        <f>+IFERROR(VLOOKUP(A49,S.CAL!$FB$2:$FH$385,7,FALSE),"")</f>
        <v/>
      </c>
    </row>
    <row r="50" spans="1:8" ht="15.75" x14ac:dyDescent="0.25">
      <c r="B50" s="939" t="s">
        <v>1302</v>
      </c>
    </row>
    <row r="51" spans="1:8" ht="13.5" thickBot="1" x14ac:dyDescent="0.25"/>
    <row r="52" spans="1:8" ht="14.25" thickTop="1" thickBot="1" x14ac:dyDescent="0.25">
      <c r="A52" s="941"/>
      <c r="B52" s="1260" t="s">
        <v>1258</v>
      </c>
      <c r="C52" s="1261"/>
      <c r="D52" s="1261"/>
      <c r="E52" s="1261"/>
      <c r="F52" s="1261"/>
      <c r="G52" s="1262" t="s">
        <v>1261</v>
      </c>
      <c r="H52" s="1263" t="s">
        <v>1301</v>
      </c>
    </row>
    <row r="53" spans="1:8" ht="13.5" thickTop="1" x14ac:dyDescent="0.2">
      <c r="A53" s="487">
        <f t="array" ref="A53">IFERROR(+INDEX(S.CAL!$FC$2:$FC$385,MATCH(0,INDEX(COUNTIF($A$52:A52,S.CAL!$FC$2:$FC$385),0,0),0)),0)</f>
        <v>0</v>
      </c>
      <c r="B53" s="945" t="str">
        <f>+IFERROR(VLOOKUP(A53,S.CAL!$FC$2:$FH$385,4,FALSE),"")</f>
        <v/>
      </c>
      <c r="C53" s="2528" t="str">
        <f>+IFERROR(VLOOKUP(B53,'Liste des Libellés'!$A$5:$B$32,2,FALSE),"")</f>
        <v/>
      </c>
      <c r="D53" s="2528"/>
      <c r="E53" s="2528"/>
      <c r="F53" s="946"/>
      <c r="G53" s="947" t="str">
        <f>+IFERROR(VLOOKUP(A53,S.CAL!$FC$2:$FH$385,5,FALSE),"")</f>
        <v/>
      </c>
      <c r="H53" s="948" t="str">
        <f>+IFERROR(VLOOKUP(A53,S.CAL!$FC$2:$FH$385,6,FALSE),"")</f>
        <v/>
      </c>
    </row>
    <row r="54" spans="1:8" x14ac:dyDescent="0.2">
      <c r="A54" s="487">
        <f t="array" ref="A54">IFERROR(+INDEX(S.CAL!$FC$2:$FC$385,MATCH(0,INDEX(COUNTIF($A$52:A53,S.CAL!$FC$2:$FC$385),0,0),0)),0)</f>
        <v>0</v>
      </c>
      <c r="B54" s="930" t="str">
        <f>+IFERROR(VLOOKUP(A54,S.CAL!$FC$2:$FH$385,4,FALSE),"")</f>
        <v/>
      </c>
      <c r="C54" s="2507" t="str">
        <f>+IFERROR(VLOOKUP(B54,'Liste des Libellés'!$A$5:$B$32,2,FALSE),"")</f>
        <v/>
      </c>
      <c r="D54" s="2507"/>
      <c r="E54" s="2507"/>
      <c r="G54" s="935" t="str">
        <f>+IFERROR(VLOOKUP(A54,S.CAL!$FC$2:$FH$385,5,FALSE),"")</f>
        <v/>
      </c>
      <c r="H54" s="931" t="str">
        <f>+IFERROR(VLOOKUP(A54,S.CAL!$FC$2:$FH$385,6,FALSE),"")</f>
        <v/>
      </c>
    </row>
    <row r="55" spans="1:8" x14ac:dyDescent="0.2">
      <c r="A55" s="487">
        <f t="array" ref="A55">IFERROR(+INDEX(S.CAL!$FC$2:$FC$385,MATCH(0,INDEX(COUNTIF($A$52:A54,S.CAL!$FC$2:$FC$385),0,0),0)),0)</f>
        <v>0</v>
      </c>
      <c r="B55" s="930" t="str">
        <f>+IFERROR(VLOOKUP(A55,S.CAL!$FC$2:$FH$385,4,FALSE),"")</f>
        <v/>
      </c>
      <c r="C55" s="2507" t="str">
        <f>+IFERROR(VLOOKUP(B55,'Liste des Libellés'!$A$5:$B$32,2,FALSE),"")</f>
        <v/>
      </c>
      <c r="D55" s="2507"/>
      <c r="E55" s="2507"/>
      <c r="G55" s="935" t="str">
        <f>+IFERROR(VLOOKUP(A55,S.CAL!$FC$2:$FH$385,5,FALSE),"")</f>
        <v/>
      </c>
      <c r="H55" s="931" t="str">
        <f>+IFERROR(VLOOKUP(A55,S.CAL!$FC$2:$FH$385,6,FALSE),"")</f>
        <v/>
      </c>
    </row>
    <row r="56" spans="1:8" x14ac:dyDescent="0.2">
      <c r="A56" s="487">
        <f t="array" ref="A56">IFERROR(+INDEX(S.CAL!$FC$2:$FC$385,MATCH(0,INDEX(COUNTIF($A$52:A55,S.CAL!$FC$2:$FC$385),0,0),0)),0)</f>
        <v>0</v>
      </c>
      <c r="B56" s="930" t="str">
        <f>+IFERROR(VLOOKUP(A56,S.CAL!$FC$2:$FH$385,4,FALSE),"")</f>
        <v/>
      </c>
      <c r="C56" s="2507" t="str">
        <f>+IFERROR(VLOOKUP(B56,'Liste des Libellés'!$A$5:$B$32,2,FALSE),"")</f>
        <v/>
      </c>
      <c r="D56" s="2507"/>
      <c r="E56" s="2507"/>
      <c r="G56" s="935" t="str">
        <f>+IFERROR(VLOOKUP(A56,S.CAL!$FC$2:$FH$385,5,FALSE),"")</f>
        <v/>
      </c>
      <c r="H56" s="931" t="str">
        <f>+IFERROR(VLOOKUP(A56,S.CAL!$FC$2:$FH$385,6,FALSE),"")</f>
        <v/>
      </c>
    </row>
    <row r="57" spans="1:8" x14ac:dyDescent="0.2">
      <c r="A57" s="487">
        <f t="array" ref="A57">IFERROR(+INDEX(S.CAL!$FC$2:$FC$385,MATCH(0,INDEX(COUNTIF($A$52:A56,S.CAL!$FC$2:$FC$385),0,0),0)),0)</f>
        <v>0</v>
      </c>
      <c r="B57" s="930" t="str">
        <f>+IFERROR(VLOOKUP(A57,S.CAL!$FC$2:$FH$385,4,FALSE),"")</f>
        <v/>
      </c>
      <c r="C57" s="2507" t="str">
        <f>+IFERROR(VLOOKUP(B57,'Liste des Libellés'!$A$5:$B$32,2,FALSE),"")</f>
        <v/>
      </c>
      <c r="D57" s="2507"/>
      <c r="E57" s="2507"/>
      <c r="G57" s="935" t="str">
        <f>+IFERROR(VLOOKUP(A57,S.CAL!$FC$2:$FH$385,5,FALSE),"")</f>
        <v/>
      </c>
      <c r="H57" s="931" t="str">
        <f>+IFERROR(VLOOKUP(A57,S.CAL!$FC$2:$FH$385,6,FALSE),"")</f>
        <v/>
      </c>
    </row>
    <row r="58" spans="1:8" x14ac:dyDescent="0.2">
      <c r="A58" s="487">
        <f t="array" ref="A58">IFERROR(+INDEX(S.CAL!$FC$2:$FC$385,MATCH(0,INDEX(COUNTIF($A$52:A57,S.CAL!$FC$2:$FC$385),0,0),0)),0)</f>
        <v>0</v>
      </c>
      <c r="B58" s="930" t="str">
        <f>+IFERROR(VLOOKUP(A58,S.CAL!$FC$2:$FH$385,4,FALSE),"")</f>
        <v/>
      </c>
      <c r="C58" s="2507" t="str">
        <f>+IFERROR(VLOOKUP(B58,'Liste des Libellés'!$A$5:$B$32,2,FALSE),"")</f>
        <v/>
      </c>
      <c r="D58" s="2507"/>
      <c r="E58" s="2507"/>
      <c r="G58" s="935" t="str">
        <f>+IFERROR(VLOOKUP(A58,S.CAL!$FC$2:$FH$385,5,FALSE),"")</f>
        <v/>
      </c>
      <c r="H58" s="931" t="str">
        <f>+IFERROR(VLOOKUP(A58,S.CAL!$FC$2:$FH$385,6,FALSE),"")</f>
        <v/>
      </c>
    </row>
    <row r="59" spans="1:8" x14ac:dyDescent="0.2">
      <c r="A59" s="487">
        <f t="array" ref="A59">IFERROR(+INDEX(S.CAL!$FC$2:$FC$385,MATCH(0,INDEX(COUNTIF($A$52:A58,S.CAL!$FC$2:$FC$385),0,0),0)),0)</f>
        <v>0</v>
      </c>
      <c r="B59" s="930" t="str">
        <f>+IFERROR(VLOOKUP(A59,S.CAL!$FC$2:$FH$385,4,FALSE),"")</f>
        <v/>
      </c>
      <c r="C59" s="2507" t="str">
        <f>+IFERROR(VLOOKUP(B59,'Liste des Libellés'!$A$5:$B$32,2,FALSE),"")</f>
        <v/>
      </c>
      <c r="D59" s="2507"/>
      <c r="E59" s="2507"/>
      <c r="G59" s="935" t="str">
        <f>+IFERROR(VLOOKUP(A59,S.CAL!$FC$2:$FH$385,5,FALSE),"")</f>
        <v/>
      </c>
      <c r="H59" s="931" t="str">
        <f>+IFERROR(VLOOKUP(A59,S.CAL!$FC$2:$FH$385,6,FALSE),"")</f>
        <v/>
      </c>
    </row>
    <row r="60" spans="1:8" x14ac:dyDescent="0.2">
      <c r="A60" s="487">
        <f t="array" ref="A60">IFERROR(+INDEX(S.CAL!$FC$2:$FC$385,MATCH(0,INDEX(COUNTIF($A$52:A59,S.CAL!$FC$2:$FC$385),0,0),0)),0)</f>
        <v>0</v>
      </c>
      <c r="B60" s="930" t="str">
        <f>+IFERROR(VLOOKUP(A60,S.CAL!$FC$2:$FH$385,4,FALSE),"")</f>
        <v/>
      </c>
      <c r="C60" s="2507" t="str">
        <f>+IFERROR(VLOOKUP(B60,'Liste des Libellés'!$A$5:$B$32,2,FALSE),"")</f>
        <v/>
      </c>
      <c r="D60" s="2507"/>
      <c r="E60" s="2507"/>
      <c r="G60" s="935" t="str">
        <f>+IFERROR(VLOOKUP(A60,S.CAL!$FC$2:$FH$385,5,FALSE),"")</f>
        <v/>
      </c>
      <c r="H60" s="931" t="str">
        <f>+IFERROR(VLOOKUP(A60,S.CAL!$FC$2:$FH$385,6,FALSE),"")</f>
        <v/>
      </c>
    </row>
    <row r="61" spans="1:8" x14ac:dyDescent="0.2">
      <c r="A61" s="487">
        <f t="array" ref="A61">IFERROR(+INDEX(S.CAL!$FC$2:$FC$385,MATCH(0,INDEX(COUNTIF($A$52:A60,S.CAL!$FC$2:$FC$385),0,0),0)),0)</f>
        <v>0</v>
      </c>
      <c r="B61" s="930" t="str">
        <f>+IFERROR(VLOOKUP(A61,S.CAL!$FC$2:$FH$385,4,FALSE),"")</f>
        <v/>
      </c>
      <c r="C61" s="2507" t="str">
        <f>+IFERROR(VLOOKUP(B61,'Liste des Libellés'!$A$5:$B$32,2,FALSE),"")</f>
        <v/>
      </c>
      <c r="D61" s="2507"/>
      <c r="E61" s="2507"/>
      <c r="G61" s="935" t="str">
        <f>+IFERROR(VLOOKUP(A61,S.CAL!$FC$2:$FH$385,5,FALSE),"")</f>
        <v/>
      </c>
      <c r="H61" s="931" t="str">
        <f>+IFERROR(VLOOKUP(A61,S.CAL!$FC$2:$FH$385,6,FALSE),"")</f>
        <v/>
      </c>
    </row>
    <row r="62" spans="1:8" x14ac:dyDescent="0.2">
      <c r="A62" s="487">
        <f t="array" ref="A62">IFERROR(+INDEX(S.CAL!$FC$2:$FC$385,MATCH(0,INDEX(COUNTIF($A$52:A61,S.CAL!$FC$2:$FC$385),0,0),0)),0)</f>
        <v>0</v>
      </c>
      <c r="B62" s="930" t="str">
        <f>+IFERROR(VLOOKUP(A62,S.CAL!$FC$2:$FH$385,4,FALSE),"")</f>
        <v/>
      </c>
      <c r="C62" s="2507" t="str">
        <f>+IFERROR(VLOOKUP(B62,'Liste des Libellés'!$A$5:$B$32,2,FALSE),"")</f>
        <v/>
      </c>
      <c r="D62" s="2507"/>
      <c r="E62" s="2507"/>
      <c r="G62" s="935" t="str">
        <f>+IFERROR(VLOOKUP(A62,S.CAL!$FC$2:$FH$385,5,FALSE),"")</f>
        <v/>
      </c>
      <c r="H62" s="931" t="str">
        <f>+IFERROR(VLOOKUP(A62,S.CAL!$FC$2:$FH$385,6,FALSE),"")</f>
        <v/>
      </c>
    </row>
    <row r="63" spans="1:8" x14ac:dyDescent="0.2">
      <c r="A63" s="487">
        <f t="array" ref="A63">IFERROR(+INDEX(S.CAL!$FC$2:$FC$385,MATCH(0,INDEX(COUNTIF($A$52:A62,S.CAL!$FC$2:$FC$385),0,0),0)),0)</f>
        <v>0</v>
      </c>
      <c r="B63" s="930" t="str">
        <f>+IFERROR(VLOOKUP(A63,S.CAL!$FC$2:$FH$385,4,FALSE),"")</f>
        <v/>
      </c>
      <c r="C63" s="2507" t="str">
        <f>+IFERROR(VLOOKUP(B63,'Liste des Libellés'!$A$5:$B$32,2,FALSE),"")</f>
        <v/>
      </c>
      <c r="D63" s="2507"/>
      <c r="E63" s="2507"/>
      <c r="G63" s="935" t="str">
        <f>+IFERROR(VLOOKUP(A63,S.CAL!$FC$2:$FH$385,5,FALSE),"")</f>
        <v/>
      </c>
      <c r="H63" s="931" t="str">
        <f>+IFERROR(VLOOKUP(A63,S.CAL!$FC$2:$FH$385,6,FALSE),"")</f>
        <v/>
      </c>
    </row>
    <row r="64" spans="1:8" x14ac:dyDescent="0.2">
      <c r="A64" s="487">
        <f t="array" ref="A64">IFERROR(+INDEX(S.CAL!$FC$2:$FC$385,MATCH(0,INDEX(COUNTIF($A$52:A63,S.CAL!$FC$2:$FC$385),0,0),0)),0)</f>
        <v>0</v>
      </c>
      <c r="B64" s="930" t="str">
        <f>+IFERROR(VLOOKUP(A64,S.CAL!$FC$2:$FH$385,4,FALSE),"")</f>
        <v/>
      </c>
      <c r="C64" s="2507" t="str">
        <f>+IFERROR(VLOOKUP(B64,'Liste des Libellés'!$A$5:$B$32,2,FALSE),"")</f>
        <v/>
      </c>
      <c r="D64" s="2507"/>
      <c r="E64" s="2507"/>
      <c r="G64" s="935" t="str">
        <f>+IFERROR(VLOOKUP(A64,S.CAL!$FC$2:$FH$385,5,FALSE),"")</f>
        <v/>
      </c>
      <c r="H64" s="931" t="str">
        <f>+IFERROR(VLOOKUP(A64,S.CAL!$FC$2:$FH$385,6,FALSE),"")</f>
        <v/>
      </c>
    </row>
    <row r="65" spans="1:16" x14ac:dyDescent="0.2">
      <c r="A65" s="487">
        <f t="array" ref="A65">IFERROR(+INDEX(S.CAL!$FC$2:$FC$385,MATCH(0,INDEX(COUNTIF($A$52:A64,S.CAL!$FC$2:$FC$385),0,0),0)),0)</f>
        <v>0</v>
      </c>
      <c r="B65" s="930" t="str">
        <f>+IFERROR(VLOOKUP(A65,S.CAL!$FC$2:$FH$385,4,FALSE),"")</f>
        <v/>
      </c>
      <c r="C65" s="2507" t="str">
        <f>+IFERROR(VLOOKUP(B65,'Liste des Libellés'!$A$5:$B$32,2,FALSE),"")</f>
        <v/>
      </c>
      <c r="D65" s="2507"/>
      <c r="E65" s="2507"/>
      <c r="G65" s="935" t="str">
        <f>+IFERROR(VLOOKUP(A65,S.CAL!$FC$2:$FH$385,5,FALSE),"")</f>
        <v/>
      </c>
      <c r="H65" s="931" t="str">
        <f>+IFERROR(VLOOKUP(A65,S.CAL!$FC$2:$FH$385,6,FALSE),"")</f>
        <v/>
      </c>
    </row>
    <row r="66" spans="1:16" x14ac:dyDescent="0.2">
      <c r="A66" s="487">
        <f t="array" ref="A66">IFERROR(+INDEX(S.CAL!$FC$2:$FC$385,MATCH(0,INDEX(COUNTIF($A$52:A65,S.CAL!$FC$2:$FC$385),0,0),0)),0)</f>
        <v>0</v>
      </c>
      <c r="B66" s="930" t="str">
        <f>+IFERROR(VLOOKUP(A66,S.CAL!$FC$2:$FH$385,4,FALSE),"")</f>
        <v/>
      </c>
      <c r="C66" s="2507" t="str">
        <f>+IFERROR(VLOOKUP(B66,'Liste des Libellés'!$A$5:$B$32,2,FALSE),"")</f>
        <v/>
      </c>
      <c r="D66" s="2507"/>
      <c r="E66" s="2507"/>
      <c r="G66" s="935" t="str">
        <f>+IFERROR(VLOOKUP(A66,S.CAL!$FC$2:$FH$385,5,FALSE),"")</f>
        <v/>
      </c>
      <c r="H66" s="931" t="str">
        <f>+IFERROR(VLOOKUP(A66,S.CAL!$FC$2:$FH$385,6,FALSE),"")</f>
        <v/>
      </c>
    </row>
    <row r="67" spans="1:16" x14ac:dyDescent="0.2">
      <c r="A67" s="487">
        <f t="array" ref="A67">IFERROR(+INDEX(S.CAL!$FC$2:$FC$385,MATCH(0,INDEX(COUNTIF($A$52:A66,S.CAL!$FC$2:$FC$385),0,0),0)),0)</f>
        <v>0</v>
      </c>
      <c r="B67" s="930" t="str">
        <f>+IFERROR(VLOOKUP(A67,S.CAL!$FC$2:$FH$385,4,FALSE),"")</f>
        <v/>
      </c>
      <c r="C67" s="2507" t="str">
        <f>+IFERROR(VLOOKUP(B67,'Liste des Libellés'!$A$5:$B$32,2,FALSE),"")</f>
        <v/>
      </c>
      <c r="D67" s="2507"/>
      <c r="E67" s="2507"/>
      <c r="G67" s="935" t="str">
        <f>+IFERROR(VLOOKUP(A67,S.CAL!$FC$2:$FH$385,5,FALSE),"")</f>
        <v/>
      </c>
      <c r="H67" s="931" t="str">
        <f>+IFERROR(VLOOKUP(A67,S.CAL!$FC$2:$FH$385,6,FALSE),"")</f>
        <v/>
      </c>
    </row>
    <row r="68" spans="1:16" x14ac:dyDescent="0.2">
      <c r="A68" s="487">
        <f t="array" ref="A68">IFERROR(+INDEX(S.CAL!$FC$2:$FC$385,MATCH(0,INDEX(COUNTIF($A$52:A67,S.CAL!$FC$2:$FC$385),0,0),0)),0)</f>
        <v>0</v>
      </c>
      <c r="B68" s="930" t="str">
        <f>+IFERROR(VLOOKUP(A68,S.CAL!$FC$2:$FH$385,4,FALSE),"")</f>
        <v/>
      </c>
      <c r="C68" s="2507" t="str">
        <f>+IFERROR(VLOOKUP(B68,'Liste des Libellés'!$A$5:$B$32,2,FALSE),"")</f>
        <v/>
      </c>
      <c r="D68" s="2507"/>
      <c r="E68" s="2507"/>
      <c r="G68" s="935" t="str">
        <f>+IFERROR(VLOOKUP(A68,S.CAL!$FC$2:$FH$385,5,FALSE),"")</f>
        <v/>
      </c>
      <c r="H68" s="931" t="str">
        <f>+IFERROR(VLOOKUP(A68,S.CAL!$FC$2:$FH$385,6,FALSE),"")</f>
        <v/>
      </c>
    </row>
    <row r="69" spans="1:16" x14ac:dyDescent="0.2">
      <c r="A69" s="487">
        <f t="array" ref="A69">IFERROR(+INDEX(S.CAL!$FC$2:$FC$385,MATCH(0,INDEX(COUNTIF($A$52:A68,S.CAL!$FC$2:$FC$385),0,0),0)),0)</f>
        <v>0</v>
      </c>
      <c r="B69" s="930" t="str">
        <f>+IFERROR(VLOOKUP(A69,S.CAL!$FC$2:$FH$385,4,FALSE),"")</f>
        <v/>
      </c>
      <c r="C69" s="2507" t="str">
        <f>+IFERROR(VLOOKUP(B69,'Liste des Libellés'!$A$5:$B$32,2,FALSE),"")</f>
        <v/>
      </c>
      <c r="D69" s="2507"/>
      <c r="E69" s="2507"/>
      <c r="G69" s="935" t="str">
        <f>+IFERROR(VLOOKUP(A69,S.CAL!$FC$2:$FH$385,5,FALSE),"")</f>
        <v/>
      </c>
      <c r="H69" s="931" t="str">
        <f>+IFERROR(VLOOKUP(A69,S.CAL!$FC$2:$FH$385,6,FALSE),"")</f>
        <v/>
      </c>
    </row>
    <row r="70" spans="1:16" x14ac:dyDescent="0.2">
      <c r="A70" s="487">
        <f t="array" ref="A70">IFERROR(+INDEX(S.CAL!$FC$2:$FC$385,MATCH(0,INDEX(COUNTIF($A$52:A69,S.CAL!$FC$2:$FC$385),0,0),0)),0)</f>
        <v>0</v>
      </c>
      <c r="B70" s="930" t="str">
        <f>+IFERROR(VLOOKUP(A70,S.CAL!$FC$2:$FH$385,4,FALSE),"")</f>
        <v/>
      </c>
      <c r="C70" s="2507" t="str">
        <f>+IFERROR(VLOOKUP(B70,'Liste des Libellés'!$A$5:$B$32,2,FALSE),"")</f>
        <v/>
      </c>
      <c r="D70" s="2507"/>
      <c r="E70" s="2507"/>
      <c r="G70" s="935" t="str">
        <f>+IFERROR(VLOOKUP(A70,S.CAL!$FC$2:$FH$385,5,FALSE),"")</f>
        <v/>
      </c>
      <c r="H70" s="931" t="str">
        <f>+IFERROR(VLOOKUP(A70,S.CAL!$FC$2:$FH$385,6,FALSE),"")</f>
        <v/>
      </c>
    </row>
    <row r="71" spans="1:16" x14ac:dyDescent="0.2">
      <c r="A71" s="487">
        <f t="array" ref="A71">IFERROR(+INDEX(S.CAL!$FC$2:$FC$385,MATCH(0,INDEX(COUNTIF($A$52:A70,S.CAL!$FC$2:$FC$385),0,0),0)),0)</f>
        <v>0</v>
      </c>
      <c r="B71" s="930" t="str">
        <f>+IFERROR(VLOOKUP(A71,S.CAL!$FC$2:$FH$385,4,FALSE),"")</f>
        <v/>
      </c>
      <c r="C71" s="2507" t="str">
        <f>+IFERROR(VLOOKUP(B71,'Liste des Libellés'!$A$5:$B$32,2,FALSE),"")</f>
        <v/>
      </c>
      <c r="D71" s="2507"/>
      <c r="E71" s="2507"/>
      <c r="G71" s="935" t="str">
        <f>+IFERROR(VLOOKUP(A71,S.CAL!$FC$2:$FH$385,5,FALSE),"")</f>
        <v/>
      </c>
      <c r="H71" s="931" t="str">
        <f>+IFERROR(VLOOKUP(A71,S.CAL!$FC$2:$FH$385,6,FALSE),"")</f>
        <v/>
      </c>
    </row>
    <row r="72" spans="1:16" x14ac:dyDescent="0.2">
      <c r="A72" s="487">
        <f t="array" ref="A72">IFERROR(+INDEX(S.CAL!$FC$2:$FC$385,MATCH(0,INDEX(COUNTIF($A$52:A71,S.CAL!$FC$2:$FC$385),0,0),0)),0)</f>
        <v>0</v>
      </c>
      <c r="B72" s="930" t="str">
        <f>+IFERROR(VLOOKUP(A72,S.CAL!$FC$2:$FH$385,4,FALSE),"")</f>
        <v/>
      </c>
      <c r="C72" s="2507" t="str">
        <f>+IFERROR(VLOOKUP(B72,'Liste des Libellés'!$A$5:$B$32,2,FALSE),"")</f>
        <v/>
      </c>
      <c r="D72" s="2507"/>
      <c r="E72" s="2507"/>
      <c r="G72" s="935" t="str">
        <f>+IFERROR(VLOOKUP(A72,S.CAL!$FC$2:$FH$385,5,FALSE),"")</f>
        <v/>
      </c>
      <c r="H72" s="931" t="str">
        <f>+IFERROR(VLOOKUP(A72,S.CAL!$FC$2:$FH$385,6,FALSE),"")</f>
        <v/>
      </c>
    </row>
    <row r="73" spans="1:16" x14ac:dyDescent="0.2">
      <c r="A73" s="487">
        <f t="array" ref="A73">IFERROR(+INDEX(S.CAL!$FC$2:$FC$385,MATCH(0,INDEX(COUNTIF($A$52:A72,S.CAL!$FC$2:$FC$385),0,0),0)),0)</f>
        <v>0</v>
      </c>
      <c r="B73" s="930" t="str">
        <f>+IFERROR(VLOOKUP(A73,S.CAL!$FC$2:$FH$385,4,FALSE),"")</f>
        <v/>
      </c>
      <c r="C73" s="2507" t="str">
        <f>+IFERROR(VLOOKUP(B73,'Liste des Libellés'!$A$5:$B$32,2,FALSE),"")</f>
        <v/>
      </c>
      <c r="D73" s="2507"/>
      <c r="E73" s="2507"/>
      <c r="G73" s="935" t="str">
        <f>+IFERROR(VLOOKUP(A73,S.CAL!$FC$2:$FH$385,5,FALSE),"")</f>
        <v/>
      </c>
      <c r="H73" s="931" t="str">
        <f>+IFERROR(VLOOKUP(A73,S.CAL!$FC$2:$FH$385,6,FALSE),"")</f>
        <v/>
      </c>
    </row>
    <row r="74" spans="1:16" ht="13.5" thickBot="1" x14ac:dyDescent="0.25">
      <c r="A74" s="487">
        <f t="array" ref="A74">IFERROR(+INDEX(S.CAL!$FC$2:$FC$385,MATCH(0,INDEX(COUNTIF($A$52:A73,S.CAL!$FC$2:$FC$385),0,0),0)),0)</f>
        <v>0</v>
      </c>
      <c r="B74" s="932" t="str">
        <f>+IFERROR(VLOOKUP(A74,S.CAL!$FC$2:$FH$385,4,FALSE),"")</f>
        <v/>
      </c>
      <c r="C74" s="2527" t="str">
        <f>+IFERROR(VLOOKUP(B74,'Liste des Libellés'!$A$5:$B$32,2,FALSE),"")</f>
        <v/>
      </c>
      <c r="D74" s="2527"/>
      <c r="E74" s="2527"/>
      <c r="F74" s="933"/>
      <c r="G74" s="936" t="str">
        <f>+IFERROR(VLOOKUP(A74,S.CAL!$FC$2:$FH$385,5,FALSE),"")</f>
        <v/>
      </c>
      <c r="H74" s="934" t="str">
        <f>+IFERROR(VLOOKUP(A74,S.CAL!$FC$2:$FH$385,6,FALSE),"")</f>
        <v/>
      </c>
    </row>
    <row r="75" spans="1:16" s="16" customFormat="1" ht="13.5" thickTop="1" x14ac:dyDescent="0.2">
      <c r="M75" s="24"/>
      <c r="N75" s="181" t="s">
        <v>944</v>
      </c>
      <c r="O75" s="30" t="e">
        <f>IF(D80=EOMONTH(D80,0),DATE(YEAR(D80),MONTH(D80),1),+DATE(YEAR(D80),MONTH(D80)-1,1))</f>
        <v>#NUM!</v>
      </c>
      <c r="P75" s="16" t="str">
        <f>IF(D80=EOMONTH(D80,0),"OUI","NON")</f>
        <v>NON</v>
      </c>
    </row>
    <row r="76" spans="1:16" s="16" customFormat="1" ht="15.75" x14ac:dyDescent="0.25">
      <c r="B76" s="940" t="s">
        <v>1016</v>
      </c>
      <c r="C76" s="99"/>
      <c r="D76" s="99"/>
      <c r="E76" s="99"/>
      <c r="F76" s="99"/>
      <c r="G76" s="99"/>
      <c r="H76" s="99"/>
      <c r="I76" s="99"/>
      <c r="M76" s="24"/>
      <c r="N76" s="181" t="s">
        <v>945</v>
      </c>
      <c r="O76" s="16">
        <f>+DATEDIF(DATE(YEAR(H80),MONTH(H80),DAY(H80)),DATE(YEAR(D80),MONTH(D80),DAY(D80)),"m")</f>
        <v>0</v>
      </c>
    </row>
    <row r="77" spans="1:16" s="16" customFormat="1" ht="36" customHeight="1" x14ac:dyDescent="0.2">
      <c r="B77" s="2529" t="s">
        <v>935</v>
      </c>
      <c r="C77" s="2529"/>
      <c r="D77" s="2529"/>
      <c r="E77" s="2529"/>
      <c r="F77" s="2529"/>
      <c r="G77" s="2529"/>
      <c r="H77" s="2529"/>
      <c r="I77" s="942"/>
    </row>
    <row r="78" spans="1:16" s="16" customFormat="1" ht="55.5" customHeight="1" x14ac:dyDescent="0.2">
      <c r="B78" s="2508" t="s">
        <v>936</v>
      </c>
      <c r="C78" s="2508"/>
      <c r="D78" s="2508"/>
      <c r="E78" s="2508"/>
      <c r="F78" s="2508"/>
      <c r="G78" s="2508"/>
      <c r="H78" s="2508"/>
      <c r="I78" s="2508"/>
    </row>
    <row r="79" spans="1:16" s="16" customFormat="1" x14ac:dyDescent="0.2">
      <c r="C79" s="469" t="s">
        <v>492</v>
      </c>
      <c r="D79" s="1161"/>
    </row>
    <row r="80" spans="1:16" s="16" customFormat="1" x14ac:dyDescent="0.2">
      <c r="C80" s="29" t="s">
        <v>942</v>
      </c>
      <c r="D80" s="486">
        <f>IF(D79="",+Identification!B95,D79)</f>
        <v>0</v>
      </c>
      <c r="G80" s="29" t="s">
        <v>943</v>
      </c>
      <c r="H80" s="30">
        <f>+Identification!B28</f>
        <v>0</v>
      </c>
    </row>
    <row r="81" spans="1:27" s="16" customFormat="1" ht="13.5" thickBot="1" x14ac:dyDescent="0.25"/>
    <row r="82" spans="1:27" s="16" customFormat="1" ht="57.75" customHeight="1" thickBot="1" x14ac:dyDescent="0.25">
      <c r="B82" s="2509" t="s">
        <v>937</v>
      </c>
      <c r="C82" s="2510"/>
      <c r="D82" s="2511" t="s">
        <v>940</v>
      </c>
      <c r="E82" s="2511"/>
      <c r="F82" s="2513" t="s">
        <v>1057</v>
      </c>
      <c r="G82" s="2511"/>
      <c r="H82" s="2514"/>
      <c r="I82" s="2504" t="s">
        <v>941</v>
      </c>
      <c r="J82" s="2504" t="s">
        <v>951</v>
      </c>
      <c r="Y82" s="16" t="s">
        <v>953</v>
      </c>
    </row>
    <row r="83" spans="1:27" s="16" customFormat="1" ht="13.5" thickBot="1" x14ac:dyDescent="0.25">
      <c r="B83" s="481" t="s">
        <v>938</v>
      </c>
      <c r="C83" s="481" t="s">
        <v>939</v>
      </c>
      <c r="D83" s="2512"/>
      <c r="E83" s="2512"/>
      <c r="F83" s="2515"/>
      <c r="G83" s="2512"/>
      <c r="H83" s="2516"/>
      <c r="I83" s="2505"/>
      <c r="J83" s="2505"/>
      <c r="Y83" s="16" t="s">
        <v>954</v>
      </c>
      <c r="Z83" s="16" t="s">
        <v>955</v>
      </c>
      <c r="AA83" s="16" t="s">
        <v>956</v>
      </c>
    </row>
    <row r="84" spans="1:27" x14ac:dyDescent="0.2">
      <c r="A84" s="484">
        <v>1</v>
      </c>
      <c r="B84" s="559" t="str">
        <f>IF(B85="",IF(AND($O$76&lt;36,$O$76&gt;0),H80,IF($O$76=0,"",DATE(YEAR($O$75),MONTH($O$75)-35,DAY($O$75)))),B85)</f>
        <v/>
      </c>
      <c r="C84" s="559" t="str">
        <f>IFERROR(IF(C85="",+EOMONTH(B84,0),C85),"")</f>
        <v/>
      </c>
      <c r="D84" s="2497" t="str">
        <f>IF(D85="",IFERROR(+VLOOKUP(P84,BDD,57,FALSE),""),D85)</f>
        <v/>
      </c>
      <c r="E84" s="2497"/>
      <c r="F84" s="2498" t="str">
        <f>IF(F85="",IFERROR(+VLOOKUP(P84,BDD,70,FALSE),""),F85)</f>
        <v/>
      </c>
      <c r="G84" s="2498"/>
      <c r="H84" s="2498"/>
      <c r="I84" s="483" t="str">
        <f>IF(I85="",IFERROR(+VLOOKUP(P84,BDD,56,FALSE),""),I85)</f>
        <v/>
      </c>
      <c r="J84" s="2499"/>
      <c r="O84" s="556" t="s">
        <v>1196</v>
      </c>
      <c r="P84" s="558" t="e">
        <f>+DATE(YEAR(B84),MONTH(B84),1)</f>
        <v>#VALUE!</v>
      </c>
      <c r="Y84" t="str">
        <f>+IF(AND(B84&lt;&gt;"",D84=""),"JAUNE","")</f>
        <v/>
      </c>
      <c r="Z84" t="str">
        <f>+IF(AND(B84&lt;&gt;"",F84=""),"JAUNE","")</f>
        <v/>
      </c>
      <c r="AA84" t="str">
        <f>+IF(AND(B84&lt;&gt;"",I84=""),"JAUNE","")</f>
        <v/>
      </c>
    </row>
    <row r="85" spans="1:27" ht="13.5" thickBot="1" x14ac:dyDescent="0.25">
      <c r="A85" s="485" t="s">
        <v>492</v>
      </c>
      <c r="B85" s="1162"/>
      <c r="C85" s="1163"/>
      <c r="D85" s="2501"/>
      <c r="E85" s="2502"/>
      <c r="F85" s="2503"/>
      <c r="G85" s="2503"/>
      <c r="H85" s="2503"/>
      <c r="I85" s="1164"/>
      <c r="J85" s="2500"/>
    </row>
    <row r="86" spans="1:27" x14ac:dyDescent="0.2">
      <c r="A86" s="484">
        <v>2</v>
      </c>
      <c r="B86" s="559" t="str">
        <f>IFERROR(IF(B87="",IF(+DATE(YEAR(B84),MONTH(B84)+1,1)&lt;=$O$75,DATE(YEAR(B84),MONTH(B84)+1,1),""),B87),"")</f>
        <v/>
      </c>
      <c r="C86" s="559" t="str">
        <f>IFERROR(IF(C87="",+EOMONTH(B86,0),C87),"")</f>
        <v/>
      </c>
      <c r="D86" s="2497" t="str">
        <f>IF(D87="",IFERROR(+VLOOKUP(B86,BDD,57,FALSE),""),D87)</f>
        <v/>
      </c>
      <c r="E86" s="2497"/>
      <c r="F86" s="2498" t="str">
        <f>IF(F87="",IFERROR(+VLOOKUP(B86,BDD,70,FALSE),""),F87)</f>
        <v/>
      </c>
      <c r="G86" s="2498"/>
      <c r="H86" s="2498"/>
      <c r="I86" s="483" t="str">
        <f>IF(I87="",IFERROR(+VLOOKUP(B86,BDD,56,FALSE),""),I87)</f>
        <v/>
      </c>
      <c r="J86" s="2499"/>
      <c r="Y86" t="str">
        <f t="shared" ref="Y86" si="0">+IF(AND(B86&lt;&gt;"",D86=""),"JAUNE","")</f>
        <v/>
      </c>
      <c r="Z86" t="str">
        <f t="shared" ref="Z86" si="1">+IF(AND(B86&lt;&gt;"",F86=""),"JAUNE","")</f>
        <v/>
      </c>
      <c r="AA86" t="str">
        <f t="shared" ref="AA86" si="2">+IF(AND(B86&lt;&gt;"",I86=""),"JAUNE","")</f>
        <v/>
      </c>
    </row>
    <row r="87" spans="1:27" ht="13.5" thickBot="1" x14ac:dyDescent="0.25">
      <c r="A87" s="485" t="s">
        <v>492</v>
      </c>
      <c r="B87" s="1162"/>
      <c r="C87" s="1163"/>
      <c r="D87" s="2501"/>
      <c r="E87" s="2502"/>
      <c r="F87" s="2503"/>
      <c r="G87" s="2503"/>
      <c r="H87" s="2503"/>
      <c r="I87" s="1164"/>
      <c r="J87" s="2500"/>
    </row>
    <row r="88" spans="1:27" x14ac:dyDescent="0.2">
      <c r="A88" s="484">
        <v>3</v>
      </c>
      <c r="B88" s="559" t="str">
        <f t="shared" ref="B88" si="3">IFERROR(IF(B89="",IF(+DATE(YEAR(B86),MONTH(B86)+1,1)&lt;=$O$75,DATE(YEAR(B86),MONTH(B86)+1,1),""),B89),"")</f>
        <v/>
      </c>
      <c r="C88" s="559" t="str">
        <f t="shared" ref="C88" si="4">IFERROR(IF(C89="",+EOMONTH(B88,0),C89),"")</f>
        <v/>
      </c>
      <c r="D88" s="2497" t="str">
        <f>IF(D89="",IFERROR(+VLOOKUP(B88,BDD,57,FALSE),""),D89)</f>
        <v/>
      </c>
      <c r="E88" s="2497"/>
      <c r="F88" s="2498" t="str">
        <f>IF(F89="",IFERROR(+VLOOKUP(B88,BDD,70,FALSE),""),F89)</f>
        <v/>
      </c>
      <c r="G88" s="2498"/>
      <c r="H88" s="2498"/>
      <c r="I88" s="483" t="str">
        <f>IF(I89="",IFERROR(+VLOOKUP(B88,BDD,56,FALSE),""),I89)</f>
        <v/>
      </c>
      <c r="J88" s="2499"/>
      <c r="Y88" t="str">
        <f t="shared" ref="Y88" si="5">+IF(AND(B88&lt;&gt;"",D88=""),"JAUNE","")</f>
        <v/>
      </c>
      <c r="Z88" t="str">
        <f t="shared" ref="Z88" si="6">+IF(AND(B88&lt;&gt;"",F88=""),"JAUNE","")</f>
        <v/>
      </c>
      <c r="AA88" t="str">
        <f t="shared" ref="AA88" si="7">+IF(AND(B88&lt;&gt;"",I88=""),"JAUNE","")</f>
        <v/>
      </c>
    </row>
    <row r="89" spans="1:27" ht="13.5" thickBot="1" x14ac:dyDescent="0.25">
      <c r="A89" s="485" t="s">
        <v>492</v>
      </c>
      <c r="B89" s="1162"/>
      <c r="C89" s="1163"/>
      <c r="D89" s="2501"/>
      <c r="E89" s="2502"/>
      <c r="F89" s="2503"/>
      <c r="G89" s="2503"/>
      <c r="H89" s="2503"/>
      <c r="I89" s="1164"/>
      <c r="J89" s="2500"/>
    </row>
    <row r="90" spans="1:27" x14ac:dyDescent="0.2">
      <c r="A90" s="484">
        <v>4</v>
      </c>
      <c r="B90" s="559" t="str">
        <f t="shared" ref="B90" si="8">IFERROR(IF(B91="",IF(+DATE(YEAR(B88),MONTH(B88)+1,1)&lt;=$O$75,DATE(YEAR(B88),MONTH(B88)+1,1),""),B91),"")</f>
        <v/>
      </c>
      <c r="C90" s="559" t="str">
        <f t="shared" ref="C90" si="9">IFERROR(IF(C91="",+EOMONTH(B90,0),C91),"")</f>
        <v/>
      </c>
      <c r="D90" s="2497" t="str">
        <f>IF(D91="",IFERROR(+VLOOKUP(B90,BDD,57,FALSE),""),D91)</f>
        <v/>
      </c>
      <c r="E90" s="2497"/>
      <c r="F90" s="2498" t="str">
        <f>IF(F91="",IFERROR(+VLOOKUP(B90,BDD,70,FALSE),""),F91)</f>
        <v/>
      </c>
      <c r="G90" s="2498"/>
      <c r="H90" s="2498"/>
      <c r="I90" s="483" t="str">
        <f>IF(I91="",IFERROR(+VLOOKUP(B90,BDD,56,FALSE),""),I91)</f>
        <v/>
      </c>
      <c r="J90" s="2499"/>
      <c r="Y90" t="str">
        <f t="shared" ref="Y90" si="10">+IF(AND(B90&lt;&gt;"",D90=""),"JAUNE","")</f>
        <v/>
      </c>
      <c r="Z90" t="str">
        <f t="shared" ref="Z90" si="11">+IF(AND(B90&lt;&gt;"",F90=""),"JAUNE","")</f>
        <v/>
      </c>
      <c r="AA90" t="str">
        <f t="shared" ref="AA90" si="12">+IF(AND(B90&lt;&gt;"",I90=""),"JAUNE","")</f>
        <v/>
      </c>
    </row>
    <row r="91" spans="1:27" ht="13.5" thickBot="1" x14ac:dyDescent="0.25">
      <c r="A91" s="485" t="s">
        <v>492</v>
      </c>
      <c r="B91" s="1162"/>
      <c r="C91" s="1163"/>
      <c r="D91" s="2501"/>
      <c r="E91" s="2502"/>
      <c r="F91" s="2503"/>
      <c r="G91" s="2503"/>
      <c r="H91" s="2503"/>
      <c r="I91" s="1164"/>
      <c r="J91" s="2500"/>
    </row>
    <row r="92" spans="1:27" x14ac:dyDescent="0.2">
      <c r="A92" s="484">
        <v>5</v>
      </c>
      <c r="B92" s="559" t="str">
        <f t="shared" ref="B92" si="13">IFERROR(IF(B93="",IF(+DATE(YEAR(B90),MONTH(B90)+1,1)&lt;=$O$75,DATE(YEAR(B90),MONTH(B90)+1,1),""),B93),"")</f>
        <v/>
      </c>
      <c r="C92" s="559" t="str">
        <f t="shared" ref="C92" si="14">IFERROR(IF(C93="",+EOMONTH(B92,0),C93),"")</f>
        <v/>
      </c>
      <c r="D92" s="2497" t="str">
        <f>IF(D93="",IFERROR(+VLOOKUP(B92,BDD,57,FALSE),""),D93)</f>
        <v/>
      </c>
      <c r="E92" s="2497"/>
      <c r="F92" s="2498" t="str">
        <f>IF(F93="",IFERROR(+VLOOKUP(B92,BDD,70,FALSE),""),F93)</f>
        <v/>
      </c>
      <c r="G92" s="2498"/>
      <c r="H92" s="2498"/>
      <c r="I92" s="483" t="str">
        <f>IF(I93="",IFERROR(+VLOOKUP(B92,BDD,56,FALSE),""),I93)</f>
        <v/>
      </c>
      <c r="J92" s="2499"/>
      <c r="Y92" t="str">
        <f t="shared" ref="Y92" si="15">+IF(AND(B92&lt;&gt;"",D92=""),"JAUNE","")</f>
        <v/>
      </c>
      <c r="Z92" t="str">
        <f t="shared" ref="Z92" si="16">+IF(AND(B92&lt;&gt;"",F92=""),"JAUNE","")</f>
        <v/>
      </c>
      <c r="AA92" t="str">
        <f t="shared" ref="AA92" si="17">+IF(AND(B92&lt;&gt;"",I92=""),"JAUNE","")</f>
        <v/>
      </c>
    </row>
    <row r="93" spans="1:27" ht="13.5" thickBot="1" x14ac:dyDescent="0.25">
      <c r="A93" s="485" t="s">
        <v>492</v>
      </c>
      <c r="B93" s="1162"/>
      <c r="C93" s="1163"/>
      <c r="D93" s="2501"/>
      <c r="E93" s="2502"/>
      <c r="F93" s="2503"/>
      <c r="G93" s="2503"/>
      <c r="H93" s="2503"/>
      <c r="I93" s="1164"/>
      <c r="J93" s="2500"/>
    </row>
    <row r="94" spans="1:27" x14ac:dyDescent="0.2">
      <c r="A94" s="484">
        <v>6</v>
      </c>
      <c r="B94" s="559" t="str">
        <f t="shared" ref="B94" si="18">IFERROR(IF(B95="",IF(+DATE(YEAR(B92),MONTH(B92)+1,1)&lt;=$O$75,DATE(YEAR(B92),MONTH(B92)+1,1),""),B95),"")</f>
        <v/>
      </c>
      <c r="C94" s="559" t="str">
        <f t="shared" ref="C94" si="19">IFERROR(IF(C95="",+EOMONTH(B94,0),C95),"")</f>
        <v/>
      </c>
      <c r="D94" s="2497" t="str">
        <f>IF(D95="",IFERROR(+VLOOKUP(B94,BDD,57,FALSE),""),D95)</f>
        <v/>
      </c>
      <c r="E94" s="2497"/>
      <c r="F94" s="2498" t="str">
        <f>IF(F95="",IFERROR(+VLOOKUP(B94,BDD,70,FALSE),""),F95)</f>
        <v/>
      </c>
      <c r="G94" s="2498"/>
      <c r="H94" s="2498"/>
      <c r="I94" s="483" t="str">
        <f>IF(I95="",IFERROR(+VLOOKUP(B94,BDD,56,FALSE),""),I95)</f>
        <v/>
      </c>
      <c r="J94" s="2499"/>
      <c r="Y94" t="str">
        <f t="shared" ref="Y94" si="20">+IF(AND(B94&lt;&gt;"",D94=""),"JAUNE","")</f>
        <v/>
      </c>
      <c r="Z94" t="str">
        <f t="shared" ref="Z94" si="21">+IF(AND(B94&lt;&gt;"",F94=""),"JAUNE","")</f>
        <v/>
      </c>
      <c r="AA94" t="str">
        <f t="shared" ref="AA94" si="22">+IF(AND(B94&lt;&gt;"",I94=""),"JAUNE","")</f>
        <v/>
      </c>
    </row>
    <row r="95" spans="1:27" ht="13.5" thickBot="1" x14ac:dyDescent="0.25">
      <c r="A95" s="485" t="s">
        <v>492</v>
      </c>
      <c r="B95" s="1162"/>
      <c r="C95" s="1163"/>
      <c r="D95" s="2501"/>
      <c r="E95" s="2502"/>
      <c r="F95" s="2503"/>
      <c r="G95" s="2503"/>
      <c r="H95" s="2503"/>
      <c r="I95" s="1164"/>
      <c r="J95" s="2500"/>
    </row>
    <row r="96" spans="1:27" x14ac:dyDescent="0.2">
      <c r="A96" s="484">
        <v>7</v>
      </c>
      <c r="B96" s="559" t="str">
        <f t="shared" ref="B96" si="23">IFERROR(IF(B97="",IF(+DATE(YEAR(B94),MONTH(B94)+1,1)&lt;=$O$75,DATE(YEAR(B94),MONTH(B94)+1,1),""),B97),"")</f>
        <v/>
      </c>
      <c r="C96" s="559" t="str">
        <f t="shared" ref="C96" si="24">IFERROR(IF(C97="",+EOMONTH(B96,0),C97),"")</f>
        <v/>
      </c>
      <c r="D96" s="2497" t="str">
        <f>IF(D97="",IFERROR(+VLOOKUP(B96,BDD,57,FALSE),""),D97)</f>
        <v/>
      </c>
      <c r="E96" s="2497"/>
      <c r="F96" s="2498" t="str">
        <f>IF(F97="",IFERROR(+VLOOKUP(B96,BDD,70,FALSE),""),F97)</f>
        <v/>
      </c>
      <c r="G96" s="2498"/>
      <c r="H96" s="2498"/>
      <c r="I96" s="483" t="str">
        <f>IF(I97="",IFERROR(+VLOOKUP(B96,BDD,56,FALSE),""),I97)</f>
        <v/>
      </c>
      <c r="J96" s="2499"/>
      <c r="Y96" t="str">
        <f t="shared" ref="Y96" si="25">+IF(AND(B96&lt;&gt;"",D96=""),"JAUNE","")</f>
        <v/>
      </c>
      <c r="Z96" t="str">
        <f t="shared" ref="Z96" si="26">+IF(AND(B96&lt;&gt;"",F96=""),"JAUNE","")</f>
        <v/>
      </c>
      <c r="AA96" t="str">
        <f t="shared" ref="AA96" si="27">+IF(AND(B96&lt;&gt;"",I96=""),"JAUNE","")</f>
        <v/>
      </c>
    </row>
    <row r="97" spans="1:27" ht="13.5" thickBot="1" x14ac:dyDescent="0.25">
      <c r="A97" s="485" t="s">
        <v>492</v>
      </c>
      <c r="B97" s="1162"/>
      <c r="C97" s="1163"/>
      <c r="D97" s="2501"/>
      <c r="E97" s="2502"/>
      <c r="F97" s="2503"/>
      <c r="G97" s="2503"/>
      <c r="H97" s="2503"/>
      <c r="I97" s="1164"/>
      <c r="J97" s="2500"/>
    </row>
    <row r="98" spans="1:27" x14ac:dyDescent="0.2">
      <c r="A98" s="484">
        <v>8</v>
      </c>
      <c r="B98" s="559" t="str">
        <f t="shared" ref="B98" si="28">IFERROR(IF(B99="",IF(+DATE(YEAR(B96),MONTH(B96)+1,1)&lt;=$O$75,DATE(YEAR(B96),MONTH(B96)+1,1),""),B99),"")</f>
        <v/>
      </c>
      <c r="C98" s="559" t="str">
        <f t="shared" ref="C98" si="29">IFERROR(IF(C99="",+EOMONTH(B98,0),C99),"")</f>
        <v/>
      </c>
      <c r="D98" s="2497" t="str">
        <f>IF(D99="",IFERROR(+VLOOKUP(B98,BDD,57,FALSE),""),D99)</f>
        <v/>
      </c>
      <c r="E98" s="2497"/>
      <c r="F98" s="2498" t="str">
        <f>IF(F99="",IFERROR(+VLOOKUP(B98,BDD,70,FALSE),""),F99)</f>
        <v/>
      </c>
      <c r="G98" s="2498"/>
      <c r="H98" s="2498"/>
      <c r="I98" s="483" t="str">
        <f>IF(I99="",IFERROR(+VLOOKUP(B98,BDD,56,FALSE),""),I99)</f>
        <v/>
      </c>
      <c r="J98" s="2499"/>
      <c r="Y98" t="str">
        <f t="shared" ref="Y98" si="30">+IF(AND(B98&lt;&gt;"",D98=""),"JAUNE","")</f>
        <v/>
      </c>
      <c r="Z98" t="str">
        <f t="shared" ref="Z98" si="31">+IF(AND(B98&lt;&gt;"",F98=""),"JAUNE","")</f>
        <v/>
      </c>
      <c r="AA98" t="str">
        <f t="shared" ref="AA98" si="32">+IF(AND(B98&lt;&gt;"",I98=""),"JAUNE","")</f>
        <v/>
      </c>
    </row>
    <row r="99" spans="1:27" ht="13.5" thickBot="1" x14ac:dyDescent="0.25">
      <c r="A99" s="485" t="s">
        <v>492</v>
      </c>
      <c r="B99" s="1162"/>
      <c r="C99" s="1163"/>
      <c r="D99" s="2501"/>
      <c r="E99" s="2502"/>
      <c r="F99" s="2503"/>
      <c r="G99" s="2503"/>
      <c r="H99" s="2503"/>
      <c r="I99" s="1164"/>
      <c r="J99" s="2500"/>
    </row>
    <row r="100" spans="1:27" x14ac:dyDescent="0.2">
      <c r="A100" s="484">
        <v>9</v>
      </c>
      <c r="B100" s="559" t="str">
        <f t="shared" ref="B100" si="33">IFERROR(IF(B101="",IF(+DATE(YEAR(B98),MONTH(B98)+1,1)&lt;=$O$75,DATE(YEAR(B98),MONTH(B98)+1,1),""),B101),"")</f>
        <v/>
      </c>
      <c r="C100" s="559" t="str">
        <f t="shared" ref="C100" si="34">IFERROR(IF(C101="",+EOMONTH(B100,0),C101),"")</f>
        <v/>
      </c>
      <c r="D100" s="2497" t="str">
        <f>IF(D101="",IFERROR(+VLOOKUP(B100,BDD,57,FALSE),""),D101)</f>
        <v/>
      </c>
      <c r="E100" s="2497"/>
      <c r="F100" s="2498" t="str">
        <f>IF(F101="",IFERROR(+VLOOKUP(B100,BDD,70,FALSE),""),F101)</f>
        <v/>
      </c>
      <c r="G100" s="2498"/>
      <c r="H100" s="2498"/>
      <c r="I100" s="483" t="str">
        <f>IF(I101="",IFERROR(+VLOOKUP(B100,BDD,56,FALSE),""),I101)</f>
        <v/>
      </c>
      <c r="J100" s="2499"/>
      <c r="Y100" t="str">
        <f t="shared" ref="Y100" si="35">+IF(AND(B100&lt;&gt;"",D100=""),"JAUNE","")</f>
        <v/>
      </c>
      <c r="Z100" t="str">
        <f t="shared" ref="Z100" si="36">+IF(AND(B100&lt;&gt;"",F100=""),"JAUNE","")</f>
        <v/>
      </c>
      <c r="AA100" t="str">
        <f t="shared" ref="AA100" si="37">+IF(AND(B100&lt;&gt;"",I100=""),"JAUNE","")</f>
        <v/>
      </c>
    </row>
    <row r="101" spans="1:27" ht="13.5" thickBot="1" x14ac:dyDescent="0.25">
      <c r="A101" s="485" t="s">
        <v>492</v>
      </c>
      <c r="B101" s="1162"/>
      <c r="C101" s="1163"/>
      <c r="D101" s="2501"/>
      <c r="E101" s="2502"/>
      <c r="F101" s="2503"/>
      <c r="G101" s="2503"/>
      <c r="H101" s="2503"/>
      <c r="I101" s="1164"/>
      <c r="J101" s="2500"/>
    </row>
    <row r="102" spans="1:27" x14ac:dyDescent="0.2">
      <c r="A102" s="484">
        <v>10</v>
      </c>
      <c r="B102" s="559" t="str">
        <f t="shared" ref="B102" si="38">IFERROR(IF(B103="",IF(+DATE(YEAR(B100),MONTH(B100)+1,1)&lt;=$O$75,DATE(YEAR(B100),MONTH(B100)+1,1),""),B103),"")</f>
        <v/>
      </c>
      <c r="C102" s="559" t="str">
        <f t="shared" ref="C102" si="39">IFERROR(IF(C103="",+EOMONTH(B102,0),C103),"")</f>
        <v/>
      </c>
      <c r="D102" s="2497" t="str">
        <f>IF(D103="",IFERROR(+VLOOKUP(B102,BDD,57,FALSE),""),D103)</f>
        <v/>
      </c>
      <c r="E102" s="2497"/>
      <c r="F102" s="2498" t="str">
        <f>IF(F103="",IFERROR(+VLOOKUP(B102,BDD,70,FALSE),""),F103)</f>
        <v/>
      </c>
      <c r="G102" s="2498"/>
      <c r="H102" s="2498"/>
      <c r="I102" s="483" t="str">
        <f>IF(I103="",IFERROR(+VLOOKUP(B102,BDD,56,FALSE),""),I103)</f>
        <v/>
      </c>
      <c r="J102" s="2499"/>
      <c r="Y102" t="str">
        <f t="shared" ref="Y102" si="40">+IF(AND(B102&lt;&gt;"",D102=""),"JAUNE","")</f>
        <v/>
      </c>
      <c r="Z102" t="str">
        <f t="shared" ref="Z102" si="41">+IF(AND(B102&lt;&gt;"",F102=""),"JAUNE","")</f>
        <v/>
      </c>
      <c r="AA102" t="str">
        <f t="shared" ref="AA102" si="42">+IF(AND(B102&lt;&gt;"",I102=""),"JAUNE","")</f>
        <v/>
      </c>
    </row>
    <row r="103" spans="1:27" ht="13.5" thickBot="1" x14ac:dyDescent="0.25">
      <c r="A103" s="485" t="s">
        <v>492</v>
      </c>
      <c r="B103" s="1162"/>
      <c r="C103" s="1163"/>
      <c r="D103" s="2501"/>
      <c r="E103" s="2502"/>
      <c r="F103" s="2503"/>
      <c r="G103" s="2503"/>
      <c r="H103" s="2503"/>
      <c r="I103" s="1164"/>
      <c r="J103" s="2500"/>
    </row>
    <row r="104" spans="1:27" x14ac:dyDescent="0.2">
      <c r="A104" s="484">
        <v>11</v>
      </c>
      <c r="B104" s="559" t="str">
        <f t="shared" ref="B104" si="43">IFERROR(IF(B105="",IF(+DATE(YEAR(B102),MONTH(B102)+1,1)&lt;=$O$75,DATE(YEAR(B102),MONTH(B102)+1,1),""),B105),"")</f>
        <v/>
      </c>
      <c r="C104" s="559" t="str">
        <f t="shared" ref="C104" si="44">IFERROR(IF(C105="",+EOMONTH(B104,0),C105),"")</f>
        <v/>
      </c>
      <c r="D104" s="2497" t="str">
        <f>IF(D105="",IFERROR(+VLOOKUP(B104,BDD,57,FALSE),""),D105)</f>
        <v/>
      </c>
      <c r="E104" s="2497"/>
      <c r="F104" s="2498" t="str">
        <f>IF(F105="",IFERROR(+VLOOKUP(B104,BDD,70,FALSE),""),F105)</f>
        <v/>
      </c>
      <c r="G104" s="2498"/>
      <c r="H104" s="2498"/>
      <c r="I104" s="483" t="str">
        <f>IF(I105="",IFERROR(+VLOOKUP(B104,BDD,56,FALSE),""),I105)</f>
        <v/>
      </c>
      <c r="J104" s="2499"/>
      <c r="Y104" t="str">
        <f t="shared" ref="Y104" si="45">+IF(AND(B104&lt;&gt;"",D104=""),"JAUNE","")</f>
        <v/>
      </c>
      <c r="Z104" t="str">
        <f t="shared" ref="Z104" si="46">+IF(AND(B104&lt;&gt;"",F104=""),"JAUNE","")</f>
        <v/>
      </c>
      <c r="AA104" t="str">
        <f t="shared" ref="AA104" si="47">+IF(AND(B104&lt;&gt;"",I104=""),"JAUNE","")</f>
        <v/>
      </c>
    </row>
    <row r="105" spans="1:27" ht="13.5" thickBot="1" x14ac:dyDescent="0.25">
      <c r="A105" s="485" t="s">
        <v>492</v>
      </c>
      <c r="B105" s="1162"/>
      <c r="C105" s="1163"/>
      <c r="D105" s="2501"/>
      <c r="E105" s="2502"/>
      <c r="F105" s="2503"/>
      <c r="G105" s="2503"/>
      <c r="H105" s="2503"/>
      <c r="I105" s="1164"/>
      <c r="J105" s="2500"/>
    </row>
    <row r="106" spans="1:27" x14ac:dyDescent="0.2">
      <c r="A106" s="484">
        <v>12</v>
      </c>
      <c r="B106" s="559" t="str">
        <f t="shared" ref="B106" si="48">IFERROR(IF(B107="",IF(+DATE(YEAR(B104),MONTH(B104)+1,1)&lt;=$O$75,DATE(YEAR(B104),MONTH(B104)+1,1),""),B107),"")</f>
        <v/>
      </c>
      <c r="C106" s="559" t="str">
        <f t="shared" ref="C106" si="49">IFERROR(IF(C107="",+EOMONTH(B106,0),C107),"")</f>
        <v/>
      </c>
      <c r="D106" s="2497" t="str">
        <f>IF(D107="",IFERROR(+VLOOKUP(B106,BDD,57,FALSE),""),D107)</f>
        <v/>
      </c>
      <c r="E106" s="2497"/>
      <c r="F106" s="2498" t="str">
        <f>IF(F107="",IFERROR(+VLOOKUP(B106,BDD,70,FALSE),""),F107)</f>
        <v/>
      </c>
      <c r="G106" s="2498"/>
      <c r="H106" s="2498"/>
      <c r="I106" s="483" t="str">
        <f>IF(I107="",IFERROR(+VLOOKUP(B106,BDD,56,FALSE),""),I107)</f>
        <v/>
      </c>
      <c r="J106" s="2499"/>
      <c r="Y106" t="str">
        <f t="shared" ref="Y106" si="50">+IF(AND(B106&lt;&gt;"",D106=""),"JAUNE","")</f>
        <v/>
      </c>
      <c r="Z106" t="str">
        <f t="shared" ref="Z106" si="51">+IF(AND(B106&lt;&gt;"",F106=""),"JAUNE","")</f>
        <v/>
      </c>
      <c r="AA106" t="str">
        <f t="shared" ref="AA106" si="52">+IF(AND(B106&lt;&gt;"",I106=""),"JAUNE","")</f>
        <v/>
      </c>
    </row>
    <row r="107" spans="1:27" ht="13.5" thickBot="1" x14ac:dyDescent="0.25">
      <c r="A107" s="485" t="s">
        <v>492</v>
      </c>
      <c r="B107" s="1162"/>
      <c r="C107" s="1163"/>
      <c r="D107" s="2501"/>
      <c r="E107" s="2502"/>
      <c r="F107" s="2503"/>
      <c r="G107" s="2503"/>
      <c r="H107" s="2503"/>
      <c r="I107" s="1164"/>
      <c r="J107" s="2500"/>
    </row>
    <row r="108" spans="1:27" x14ac:dyDescent="0.2">
      <c r="A108" s="484">
        <v>13</v>
      </c>
      <c r="B108" s="559" t="str">
        <f t="shared" ref="B108" si="53">IFERROR(IF(B109="",IF(+DATE(YEAR(B106),MONTH(B106)+1,1)&lt;=$O$75,DATE(YEAR(B106),MONTH(B106)+1,1),""),B109),"")</f>
        <v/>
      </c>
      <c r="C108" s="559" t="str">
        <f t="shared" ref="C108" si="54">IFERROR(IF(C109="",+EOMONTH(B108,0),C109),"")</f>
        <v/>
      </c>
      <c r="D108" s="2497" t="str">
        <f>IF(D109="",IFERROR(+VLOOKUP(B108,BDD,57,FALSE),""),D109)</f>
        <v/>
      </c>
      <c r="E108" s="2497"/>
      <c r="F108" s="2498" t="str">
        <f>IF(F109="",IFERROR(+VLOOKUP(B108,BDD,70,FALSE),""),F109)</f>
        <v/>
      </c>
      <c r="G108" s="2498"/>
      <c r="H108" s="2498"/>
      <c r="I108" s="483" t="str">
        <f>IF(I109="",IFERROR(+VLOOKUP(B108,BDD,56,FALSE),""),I109)</f>
        <v/>
      </c>
      <c r="J108" s="2499"/>
      <c r="Y108" t="str">
        <f t="shared" ref="Y108" si="55">+IF(AND(B108&lt;&gt;"",D108=""),"JAUNE","")</f>
        <v/>
      </c>
      <c r="Z108" t="str">
        <f t="shared" ref="Z108" si="56">+IF(AND(B108&lt;&gt;"",F108=""),"JAUNE","")</f>
        <v/>
      </c>
      <c r="AA108" t="str">
        <f t="shared" ref="AA108" si="57">+IF(AND(B108&lt;&gt;"",I108=""),"JAUNE","")</f>
        <v/>
      </c>
    </row>
    <row r="109" spans="1:27" ht="13.5" thickBot="1" x14ac:dyDescent="0.25">
      <c r="A109" s="485" t="s">
        <v>492</v>
      </c>
      <c r="B109" s="1162"/>
      <c r="C109" s="1163"/>
      <c r="D109" s="2501"/>
      <c r="E109" s="2502"/>
      <c r="F109" s="2503"/>
      <c r="G109" s="2503"/>
      <c r="H109" s="2503"/>
      <c r="I109" s="1164"/>
      <c r="J109" s="2500"/>
    </row>
    <row r="110" spans="1:27" x14ac:dyDescent="0.2">
      <c r="A110" s="484">
        <v>14</v>
      </c>
      <c r="B110" s="559" t="str">
        <f t="shared" ref="B110" si="58">IFERROR(IF(B111="",IF(+DATE(YEAR(B108),MONTH(B108)+1,1)&lt;=$O$75,DATE(YEAR(B108),MONTH(B108)+1,1),""),B111),"")</f>
        <v/>
      </c>
      <c r="C110" s="559" t="str">
        <f t="shared" ref="C110" si="59">IFERROR(IF(C111="",+EOMONTH(B110,0),C111),"")</f>
        <v/>
      </c>
      <c r="D110" s="2497" t="str">
        <f>IF(D111="",IFERROR(+VLOOKUP(B110,BDD,57,FALSE),""),D111)</f>
        <v/>
      </c>
      <c r="E110" s="2497"/>
      <c r="F110" s="2498" t="str">
        <f>IF(F111="",IFERROR(+VLOOKUP(B110,BDD,70,FALSE),""),F111)</f>
        <v/>
      </c>
      <c r="G110" s="2498"/>
      <c r="H110" s="2498"/>
      <c r="I110" s="483" t="str">
        <f>IF(I111="",IFERROR(+VLOOKUP(B110,BDD,56,FALSE),""),I111)</f>
        <v/>
      </c>
      <c r="J110" s="2499"/>
      <c r="Y110" t="str">
        <f t="shared" ref="Y110" si="60">+IF(AND(B110&lt;&gt;"",D110=""),"JAUNE","")</f>
        <v/>
      </c>
      <c r="Z110" t="str">
        <f t="shared" ref="Z110" si="61">+IF(AND(B110&lt;&gt;"",F110=""),"JAUNE","")</f>
        <v/>
      </c>
      <c r="AA110" t="str">
        <f t="shared" ref="AA110" si="62">+IF(AND(B110&lt;&gt;"",I110=""),"JAUNE","")</f>
        <v/>
      </c>
    </row>
    <row r="111" spans="1:27" ht="13.5" thickBot="1" x14ac:dyDescent="0.25">
      <c r="A111" s="485" t="s">
        <v>492</v>
      </c>
      <c r="B111" s="1162"/>
      <c r="C111" s="1163"/>
      <c r="D111" s="2501"/>
      <c r="E111" s="2502"/>
      <c r="F111" s="2503"/>
      <c r="G111" s="2503"/>
      <c r="H111" s="2503"/>
      <c r="I111" s="1164"/>
      <c r="J111" s="2500"/>
    </row>
    <row r="112" spans="1:27" x14ac:dyDescent="0.2">
      <c r="A112" s="484">
        <v>15</v>
      </c>
      <c r="B112" s="559" t="str">
        <f t="shared" ref="B112" si="63">IFERROR(IF(B113="",IF(+DATE(YEAR(B110),MONTH(B110)+1,1)&lt;=$O$75,DATE(YEAR(B110),MONTH(B110)+1,1),""),B113),"")</f>
        <v/>
      </c>
      <c r="C112" s="559" t="str">
        <f t="shared" ref="C112" si="64">IFERROR(IF(C113="",+EOMONTH(B112,0),C113),"")</f>
        <v/>
      </c>
      <c r="D112" s="2497" t="str">
        <f>IF(D113="",IFERROR(+VLOOKUP(B112,BDD,57,FALSE),""),D113)</f>
        <v/>
      </c>
      <c r="E112" s="2497"/>
      <c r="F112" s="2498" t="str">
        <f>IF(F113="",IFERROR(+VLOOKUP(B112,BDD,70,FALSE),""),F113)</f>
        <v/>
      </c>
      <c r="G112" s="2498"/>
      <c r="H112" s="2498"/>
      <c r="I112" s="483" t="str">
        <f>IF(I113="",IFERROR(+VLOOKUP(B112,BDD,56,FALSE),""),I113)</f>
        <v/>
      </c>
      <c r="J112" s="2499"/>
      <c r="Y112" t="str">
        <f t="shared" ref="Y112" si="65">+IF(AND(B112&lt;&gt;"",D112=""),"JAUNE","")</f>
        <v/>
      </c>
      <c r="Z112" t="str">
        <f t="shared" ref="Z112" si="66">+IF(AND(B112&lt;&gt;"",F112=""),"JAUNE","")</f>
        <v/>
      </c>
      <c r="AA112" t="str">
        <f t="shared" ref="AA112" si="67">+IF(AND(B112&lt;&gt;"",I112=""),"JAUNE","")</f>
        <v/>
      </c>
    </row>
    <row r="113" spans="1:27" ht="13.5" thickBot="1" x14ac:dyDescent="0.25">
      <c r="A113" s="485" t="s">
        <v>492</v>
      </c>
      <c r="B113" s="1162"/>
      <c r="C113" s="1163"/>
      <c r="D113" s="2501"/>
      <c r="E113" s="2502"/>
      <c r="F113" s="2503"/>
      <c r="G113" s="2503"/>
      <c r="H113" s="2503"/>
      <c r="I113" s="1164"/>
      <c r="J113" s="2500"/>
    </row>
    <row r="114" spans="1:27" x14ac:dyDescent="0.2">
      <c r="A114" s="484">
        <v>16</v>
      </c>
      <c r="B114" s="559" t="str">
        <f t="shared" ref="B114" si="68">IFERROR(IF(B115="",IF(+DATE(YEAR(B112),MONTH(B112)+1,1)&lt;=$O$75,DATE(YEAR(B112),MONTH(B112)+1,1),""),B115),"")</f>
        <v/>
      </c>
      <c r="C114" s="559" t="str">
        <f t="shared" ref="C114" si="69">IFERROR(IF(C115="",+EOMONTH(B114,0),C115),"")</f>
        <v/>
      </c>
      <c r="D114" s="2497" t="str">
        <f>IF(D115="",IFERROR(+VLOOKUP(B114,BDD,57,FALSE),""),D115)</f>
        <v/>
      </c>
      <c r="E114" s="2497"/>
      <c r="F114" s="2498" t="str">
        <f>IF(F115="",IFERROR(+VLOOKUP(B114,BDD,70,FALSE),""),F115)</f>
        <v/>
      </c>
      <c r="G114" s="2498"/>
      <c r="H114" s="2498"/>
      <c r="I114" s="483" t="str">
        <f>IF(I115="",IFERROR(+VLOOKUP(B114,BDD,56,FALSE),""),I115)</f>
        <v/>
      </c>
      <c r="J114" s="2499"/>
      <c r="Y114" t="str">
        <f t="shared" ref="Y114" si="70">+IF(AND(B114&lt;&gt;"",D114=""),"JAUNE","")</f>
        <v/>
      </c>
      <c r="Z114" t="str">
        <f t="shared" ref="Z114" si="71">+IF(AND(B114&lt;&gt;"",F114=""),"JAUNE","")</f>
        <v/>
      </c>
      <c r="AA114" t="str">
        <f t="shared" ref="AA114" si="72">+IF(AND(B114&lt;&gt;"",I114=""),"JAUNE","")</f>
        <v/>
      </c>
    </row>
    <row r="115" spans="1:27" ht="13.5" thickBot="1" x14ac:dyDescent="0.25">
      <c r="A115" s="485" t="s">
        <v>492</v>
      </c>
      <c r="B115" s="1162"/>
      <c r="C115" s="1163"/>
      <c r="D115" s="2501"/>
      <c r="E115" s="2502"/>
      <c r="F115" s="2503"/>
      <c r="G115" s="2503"/>
      <c r="H115" s="2503"/>
      <c r="I115" s="1164"/>
      <c r="J115" s="2500"/>
    </row>
    <row r="116" spans="1:27" x14ac:dyDescent="0.2">
      <c r="A116" s="484">
        <v>17</v>
      </c>
      <c r="B116" s="559" t="str">
        <f t="shared" ref="B116" si="73">IFERROR(IF(B117="",IF(+DATE(YEAR(B114),MONTH(B114)+1,1)&lt;=$O$75,DATE(YEAR(B114),MONTH(B114)+1,1),""),B117),"")</f>
        <v/>
      </c>
      <c r="C116" s="559" t="str">
        <f t="shared" ref="C116" si="74">IFERROR(IF(C117="",+EOMONTH(B116,0),C117),"")</f>
        <v/>
      </c>
      <c r="D116" s="2497" t="str">
        <f>IF(D117="",IFERROR(+VLOOKUP(B116,BDD,57,FALSE),""),D117)</f>
        <v/>
      </c>
      <c r="E116" s="2497"/>
      <c r="F116" s="2498" t="str">
        <f>IF(F117="",IFERROR(+VLOOKUP(B116,BDD,70,FALSE),""),F117)</f>
        <v/>
      </c>
      <c r="G116" s="2498"/>
      <c r="H116" s="2498"/>
      <c r="I116" s="483" t="str">
        <f>IF(I117="",IFERROR(+VLOOKUP(B116,BDD,56,FALSE),""),I117)</f>
        <v/>
      </c>
      <c r="J116" s="2499"/>
      <c r="Y116" t="str">
        <f t="shared" ref="Y116" si="75">+IF(AND(B116&lt;&gt;"",D116=""),"JAUNE","")</f>
        <v/>
      </c>
      <c r="Z116" t="str">
        <f t="shared" ref="Z116" si="76">+IF(AND(B116&lt;&gt;"",F116=""),"JAUNE","")</f>
        <v/>
      </c>
      <c r="AA116" t="str">
        <f t="shared" ref="AA116" si="77">+IF(AND(B116&lt;&gt;"",I116=""),"JAUNE","")</f>
        <v/>
      </c>
    </row>
    <row r="117" spans="1:27" ht="13.5" thickBot="1" x14ac:dyDescent="0.25">
      <c r="A117" s="485" t="s">
        <v>492</v>
      </c>
      <c r="B117" s="1162"/>
      <c r="C117" s="1163"/>
      <c r="D117" s="2501"/>
      <c r="E117" s="2502"/>
      <c r="F117" s="2503"/>
      <c r="G117" s="2503"/>
      <c r="H117" s="2503"/>
      <c r="I117" s="1164"/>
      <c r="J117" s="2500"/>
    </row>
    <row r="118" spans="1:27" x14ac:dyDescent="0.2">
      <c r="A118" s="484">
        <v>18</v>
      </c>
      <c r="B118" s="559" t="str">
        <f t="shared" ref="B118" si="78">IFERROR(IF(B119="",IF(+DATE(YEAR(B116),MONTH(B116)+1,1)&lt;=$O$75,DATE(YEAR(B116),MONTH(B116)+1,1),""),B119),"")</f>
        <v/>
      </c>
      <c r="C118" s="559" t="str">
        <f t="shared" ref="C118" si="79">IFERROR(IF(C119="",+EOMONTH(B118,0),C119),"")</f>
        <v/>
      </c>
      <c r="D118" s="2497" t="str">
        <f>IF(D119="",IFERROR(+VLOOKUP(B118,BDD,57,FALSE),""),D119)</f>
        <v/>
      </c>
      <c r="E118" s="2497"/>
      <c r="F118" s="2498" t="str">
        <f>IF(F119="",IFERROR(+VLOOKUP(B118,BDD,70,FALSE),""),F119)</f>
        <v/>
      </c>
      <c r="G118" s="2498"/>
      <c r="H118" s="2498"/>
      <c r="I118" s="483" t="str">
        <f>IF(I119="",IFERROR(+VLOOKUP(B118,BDD,56,FALSE),""),I119)</f>
        <v/>
      </c>
      <c r="J118" s="2499"/>
      <c r="Y118" t="str">
        <f t="shared" ref="Y118" si="80">+IF(AND(B118&lt;&gt;"",D118=""),"JAUNE","")</f>
        <v/>
      </c>
      <c r="Z118" t="str">
        <f t="shared" ref="Z118" si="81">+IF(AND(B118&lt;&gt;"",F118=""),"JAUNE","")</f>
        <v/>
      </c>
      <c r="AA118" t="str">
        <f t="shared" ref="AA118" si="82">+IF(AND(B118&lt;&gt;"",I118=""),"JAUNE","")</f>
        <v/>
      </c>
    </row>
    <row r="119" spans="1:27" ht="13.5" thickBot="1" x14ac:dyDescent="0.25">
      <c r="A119" s="485" t="s">
        <v>492</v>
      </c>
      <c r="B119" s="1162"/>
      <c r="C119" s="1163"/>
      <c r="D119" s="2501"/>
      <c r="E119" s="2502"/>
      <c r="F119" s="2503"/>
      <c r="G119" s="2503"/>
      <c r="H119" s="2503"/>
      <c r="I119" s="1164"/>
      <c r="J119" s="2500"/>
    </row>
    <row r="120" spans="1:27" x14ac:dyDescent="0.2">
      <c r="A120" s="484">
        <v>19</v>
      </c>
      <c r="B120" s="559" t="str">
        <f t="shared" ref="B120" si="83">IFERROR(IF(B121="",IF(+DATE(YEAR(B118),MONTH(B118)+1,1)&lt;=$O$75,DATE(YEAR(B118),MONTH(B118)+1,1),""),B121),"")</f>
        <v/>
      </c>
      <c r="C120" s="559" t="str">
        <f t="shared" ref="C120" si="84">IFERROR(IF(C121="",+EOMONTH(B120,0),C121),"")</f>
        <v/>
      </c>
      <c r="D120" s="2497" t="str">
        <f>IF(D121="",IFERROR(+VLOOKUP(B120,BDD,57,FALSE),""),D121)</f>
        <v/>
      </c>
      <c r="E120" s="2497"/>
      <c r="F120" s="2498" t="str">
        <f>IF(F121="",IFERROR(+VLOOKUP(B120,BDD,70,FALSE),""),F121)</f>
        <v/>
      </c>
      <c r="G120" s="2498"/>
      <c r="H120" s="2498"/>
      <c r="I120" s="483" t="str">
        <f>IF(I121="",IFERROR(+VLOOKUP(B120,BDD,56,FALSE),""),I121)</f>
        <v/>
      </c>
      <c r="J120" s="2499"/>
      <c r="Y120" t="str">
        <f t="shared" ref="Y120" si="85">+IF(AND(B120&lt;&gt;"",D120=""),"JAUNE","")</f>
        <v/>
      </c>
      <c r="Z120" t="str">
        <f t="shared" ref="Z120" si="86">+IF(AND(B120&lt;&gt;"",F120=""),"JAUNE","")</f>
        <v/>
      </c>
      <c r="AA120" t="str">
        <f t="shared" ref="AA120" si="87">+IF(AND(B120&lt;&gt;"",I120=""),"JAUNE","")</f>
        <v/>
      </c>
    </row>
    <row r="121" spans="1:27" ht="13.5" thickBot="1" x14ac:dyDescent="0.25">
      <c r="A121" s="485" t="s">
        <v>492</v>
      </c>
      <c r="B121" s="1162"/>
      <c r="C121" s="1163"/>
      <c r="D121" s="2501"/>
      <c r="E121" s="2502"/>
      <c r="F121" s="2503"/>
      <c r="G121" s="2503"/>
      <c r="H121" s="2503"/>
      <c r="I121" s="1164"/>
      <c r="J121" s="2500"/>
    </row>
    <row r="122" spans="1:27" x14ac:dyDescent="0.2">
      <c r="A122" s="484">
        <v>20</v>
      </c>
      <c r="B122" s="559" t="str">
        <f t="shared" ref="B122" si="88">IFERROR(IF(B123="",IF(+DATE(YEAR(B120),MONTH(B120)+1,1)&lt;=$O$75,DATE(YEAR(B120),MONTH(B120)+1,1),""),B123),"")</f>
        <v/>
      </c>
      <c r="C122" s="559" t="str">
        <f t="shared" ref="C122" si="89">IFERROR(IF(C123="",+EOMONTH(B122,0),C123),"")</f>
        <v/>
      </c>
      <c r="D122" s="2497" t="str">
        <f>IF(D123="",IFERROR(+VLOOKUP(B122,BDD,57,FALSE),""),D123)</f>
        <v/>
      </c>
      <c r="E122" s="2497"/>
      <c r="F122" s="2498" t="str">
        <f>IF(F123="",IFERROR(+VLOOKUP(B122,BDD,70,FALSE),""),F123)</f>
        <v/>
      </c>
      <c r="G122" s="2498"/>
      <c r="H122" s="2498"/>
      <c r="I122" s="483" t="str">
        <f>IF(I123="",IFERROR(+VLOOKUP(B122,BDD,56,FALSE),""),I123)</f>
        <v/>
      </c>
      <c r="J122" s="2499"/>
      <c r="Y122" t="str">
        <f t="shared" ref="Y122" si="90">+IF(AND(B122&lt;&gt;"",D122=""),"JAUNE","")</f>
        <v/>
      </c>
      <c r="Z122" t="str">
        <f t="shared" ref="Z122" si="91">+IF(AND(B122&lt;&gt;"",F122=""),"JAUNE","")</f>
        <v/>
      </c>
      <c r="AA122" t="str">
        <f t="shared" ref="AA122" si="92">+IF(AND(B122&lt;&gt;"",I122=""),"JAUNE","")</f>
        <v/>
      </c>
    </row>
    <row r="123" spans="1:27" ht="13.5" thickBot="1" x14ac:dyDescent="0.25">
      <c r="A123" s="485" t="s">
        <v>492</v>
      </c>
      <c r="B123" s="1162"/>
      <c r="C123" s="1163"/>
      <c r="D123" s="2501"/>
      <c r="E123" s="2502"/>
      <c r="F123" s="2503"/>
      <c r="G123" s="2503"/>
      <c r="H123" s="2503"/>
      <c r="I123" s="1164"/>
      <c r="J123" s="2500"/>
    </row>
    <row r="124" spans="1:27" x14ac:dyDescent="0.2">
      <c r="A124" s="484">
        <v>21</v>
      </c>
      <c r="B124" s="559" t="str">
        <f t="shared" ref="B124" si="93">IFERROR(IF(B125="",IF(+DATE(YEAR(B122),MONTH(B122)+1,1)&lt;=$O$75,DATE(YEAR(B122),MONTH(B122)+1,1),""),B125),"")</f>
        <v/>
      </c>
      <c r="C124" s="559" t="str">
        <f t="shared" ref="C124" si="94">IFERROR(IF(C125="",+EOMONTH(B124,0),C125),"")</f>
        <v/>
      </c>
      <c r="D124" s="2497" t="str">
        <f>IF(D125="",IFERROR(+VLOOKUP(B124,BDD,57,FALSE),""),D125)</f>
        <v/>
      </c>
      <c r="E124" s="2497"/>
      <c r="F124" s="2498" t="str">
        <f>IF(F125="",IFERROR(+VLOOKUP(B124,BDD,70,FALSE),""),F125)</f>
        <v/>
      </c>
      <c r="G124" s="2498"/>
      <c r="H124" s="2498"/>
      <c r="I124" s="483" t="str">
        <f>IF(I125="",IFERROR(+VLOOKUP(B124,BDD,56,FALSE),""),I125)</f>
        <v/>
      </c>
      <c r="J124" s="2499"/>
      <c r="Y124" t="str">
        <f t="shared" ref="Y124" si="95">+IF(AND(B124&lt;&gt;"",D124=""),"JAUNE","")</f>
        <v/>
      </c>
      <c r="Z124" t="str">
        <f t="shared" ref="Z124" si="96">+IF(AND(B124&lt;&gt;"",F124=""),"JAUNE","")</f>
        <v/>
      </c>
      <c r="AA124" t="str">
        <f t="shared" ref="AA124" si="97">+IF(AND(B124&lt;&gt;"",I124=""),"JAUNE","")</f>
        <v/>
      </c>
    </row>
    <row r="125" spans="1:27" ht="13.5" thickBot="1" x14ac:dyDescent="0.25">
      <c r="A125" s="485" t="s">
        <v>492</v>
      </c>
      <c r="B125" s="1162"/>
      <c r="C125" s="1163"/>
      <c r="D125" s="2501"/>
      <c r="E125" s="2502"/>
      <c r="F125" s="2503"/>
      <c r="G125" s="2503"/>
      <c r="H125" s="2503"/>
      <c r="I125" s="1164"/>
      <c r="J125" s="2500"/>
    </row>
    <row r="126" spans="1:27" x14ac:dyDescent="0.2">
      <c r="A126" s="484">
        <v>22</v>
      </c>
      <c r="B126" s="559" t="str">
        <f t="shared" ref="B126" si="98">IFERROR(IF(B127="",IF(+DATE(YEAR(B124),MONTH(B124)+1,1)&lt;=$O$75,DATE(YEAR(B124),MONTH(B124)+1,1),""),B127),"")</f>
        <v/>
      </c>
      <c r="C126" s="559" t="str">
        <f t="shared" ref="C126" si="99">IFERROR(IF(C127="",+EOMONTH(B126,0),C127),"")</f>
        <v/>
      </c>
      <c r="D126" s="2497" t="str">
        <f>IF(D127="",IFERROR(+VLOOKUP(B126,BDD,57,FALSE),""),D127)</f>
        <v/>
      </c>
      <c r="E126" s="2497"/>
      <c r="F126" s="2498" t="str">
        <f>IF(F127="",IFERROR(+VLOOKUP(B126,BDD,70,FALSE),""),F127)</f>
        <v/>
      </c>
      <c r="G126" s="2498"/>
      <c r="H126" s="2498"/>
      <c r="I126" s="483" t="str">
        <f>IF(I127="",IFERROR(+VLOOKUP(B126,BDD,56,FALSE),""),I127)</f>
        <v/>
      </c>
      <c r="J126" s="2499"/>
      <c r="Y126" t="str">
        <f t="shared" ref="Y126" si="100">+IF(AND(B126&lt;&gt;"",D126=""),"JAUNE","")</f>
        <v/>
      </c>
      <c r="Z126" t="str">
        <f t="shared" ref="Z126" si="101">+IF(AND(B126&lt;&gt;"",F126=""),"JAUNE","")</f>
        <v/>
      </c>
      <c r="AA126" t="str">
        <f t="shared" ref="AA126" si="102">+IF(AND(B126&lt;&gt;"",I126=""),"JAUNE","")</f>
        <v/>
      </c>
    </row>
    <row r="127" spans="1:27" ht="13.5" thickBot="1" x14ac:dyDescent="0.25">
      <c r="A127" s="485" t="s">
        <v>492</v>
      </c>
      <c r="B127" s="1162"/>
      <c r="C127" s="1163"/>
      <c r="D127" s="2501"/>
      <c r="E127" s="2502"/>
      <c r="F127" s="2503"/>
      <c r="G127" s="2503"/>
      <c r="H127" s="2503"/>
      <c r="I127" s="1164"/>
      <c r="J127" s="2500"/>
    </row>
    <row r="128" spans="1:27" x14ac:dyDescent="0.2">
      <c r="A128" s="484">
        <v>23</v>
      </c>
      <c r="B128" s="559" t="str">
        <f t="shared" ref="B128" si="103">IFERROR(IF(B129="",IF(+DATE(YEAR(B126),MONTH(B126)+1,1)&lt;=$O$75,DATE(YEAR(B126),MONTH(B126)+1,1),""),B129),"")</f>
        <v/>
      </c>
      <c r="C128" s="559" t="str">
        <f t="shared" ref="C128" si="104">IFERROR(IF(C129="",+EOMONTH(B128,0),C129),"")</f>
        <v/>
      </c>
      <c r="D128" s="2497" t="str">
        <f>IF(D129="",IFERROR(+VLOOKUP(B128,BDD,57,FALSE),""),D129)</f>
        <v/>
      </c>
      <c r="E128" s="2497"/>
      <c r="F128" s="2498" t="str">
        <f>IF(F129="",IFERROR(+VLOOKUP(B128,BDD,70,FALSE),""),F129)</f>
        <v/>
      </c>
      <c r="G128" s="2498"/>
      <c r="H128" s="2498"/>
      <c r="I128" s="483" t="str">
        <f>IF(I129="",IFERROR(+VLOOKUP(B128,BDD,56,FALSE),""),I129)</f>
        <v/>
      </c>
      <c r="J128" s="2499"/>
      <c r="Y128" t="str">
        <f t="shared" ref="Y128" si="105">+IF(AND(B128&lt;&gt;"",D128=""),"JAUNE","")</f>
        <v/>
      </c>
      <c r="Z128" t="str">
        <f t="shared" ref="Z128" si="106">+IF(AND(B128&lt;&gt;"",F128=""),"JAUNE","")</f>
        <v/>
      </c>
      <c r="AA128" t="str">
        <f t="shared" ref="AA128" si="107">+IF(AND(B128&lt;&gt;"",I128=""),"JAUNE","")</f>
        <v/>
      </c>
    </row>
    <row r="129" spans="1:27" ht="13.5" thickBot="1" x14ac:dyDescent="0.25">
      <c r="A129" s="485" t="s">
        <v>492</v>
      </c>
      <c r="B129" s="1162"/>
      <c r="C129" s="1163"/>
      <c r="D129" s="2501"/>
      <c r="E129" s="2502"/>
      <c r="F129" s="2503"/>
      <c r="G129" s="2503"/>
      <c r="H129" s="2503"/>
      <c r="I129" s="1164"/>
      <c r="J129" s="2500"/>
    </row>
    <row r="130" spans="1:27" x14ac:dyDescent="0.2">
      <c r="A130" s="484">
        <v>24</v>
      </c>
      <c r="B130" s="559" t="str">
        <f t="shared" ref="B130" si="108">IFERROR(IF(B131="",IF(+DATE(YEAR(B128),MONTH(B128)+1,1)&lt;=$O$75,DATE(YEAR(B128),MONTH(B128)+1,1),""),B131),"")</f>
        <v/>
      </c>
      <c r="C130" s="559" t="str">
        <f t="shared" ref="C130" si="109">IFERROR(IF(C131="",+EOMONTH(B130,0),C131),"")</f>
        <v/>
      </c>
      <c r="D130" s="2497" t="str">
        <f>IF(D131="",IFERROR(+VLOOKUP(B130,BDD,57,FALSE),""),D131)</f>
        <v/>
      </c>
      <c r="E130" s="2497"/>
      <c r="F130" s="2498" t="str">
        <f>IF(F131="",IFERROR(+VLOOKUP(B130,BDD,70,FALSE),""),F131)</f>
        <v/>
      </c>
      <c r="G130" s="2498"/>
      <c r="H130" s="2498"/>
      <c r="I130" s="483" t="str">
        <f>IF(I131="",IFERROR(+VLOOKUP(B130,BDD,56,FALSE),""),I131)</f>
        <v/>
      </c>
      <c r="J130" s="2499"/>
      <c r="Y130" t="str">
        <f t="shared" ref="Y130" si="110">+IF(AND(B130&lt;&gt;"",D130=""),"JAUNE","")</f>
        <v/>
      </c>
      <c r="Z130" t="str">
        <f t="shared" ref="Z130" si="111">+IF(AND(B130&lt;&gt;"",F130=""),"JAUNE","")</f>
        <v/>
      </c>
      <c r="AA130" t="str">
        <f t="shared" ref="AA130" si="112">+IF(AND(B130&lt;&gt;"",I130=""),"JAUNE","")</f>
        <v/>
      </c>
    </row>
    <row r="131" spans="1:27" ht="13.5" thickBot="1" x14ac:dyDescent="0.25">
      <c r="A131" s="485" t="s">
        <v>492</v>
      </c>
      <c r="B131" s="1162"/>
      <c r="C131" s="1163"/>
      <c r="D131" s="2501"/>
      <c r="E131" s="2502"/>
      <c r="F131" s="2503"/>
      <c r="G131" s="2503"/>
      <c r="H131" s="2503"/>
      <c r="I131" s="1164"/>
      <c r="J131" s="2500"/>
    </row>
    <row r="132" spans="1:27" x14ac:dyDescent="0.2">
      <c r="A132" s="484">
        <v>25</v>
      </c>
      <c r="B132" s="559" t="str">
        <f t="shared" ref="B132" si="113">IFERROR(IF(B133="",IF(+DATE(YEAR(B130),MONTH(B130)+1,1)&lt;=$O$75,DATE(YEAR(B130),MONTH(B130)+1,1),""),B133),"")</f>
        <v/>
      </c>
      <c r="C132" s="559" t="str">
        <f t="shared" ref="C132" si="114">IFERROR(IF(C133="",+EOMONTH(B132,0),C133),"")</f>
        <v/>
      </c>
      <c r="D132" s="2497" t="str">
        <f>IF(D133="",IFERROR(+VLOOKUP(B132,BDD,57,FALSE),""),D133)</f>
        <v/>
      </c>
      <c r="E132" s="2497"/>
      <c r="F132" s="2498" t="str">
        <f>IF(F133="",IFERROR(+VLOOKUP(B132,BDD,70,FALSE),""),F133)</f>
        <v/>
      </c>
      <c r="G132" s="2498"/>
      <c r="H132" s="2498"/>
      <c r="I132" s="483" t="str">
        <f>IF(I133="",IFERROR(+VLOOKUP(B132,BDD,56,FALSE),""),I133)</f>
        <v/>
      </c>
      <c r="J132" s="2499"/>
      <c r="Y132" t="str">
        <f t="shared" ref="Y132" si="115">+IF(AND(B132&lt;&gt;"",D132=""),"JAUNE","")</f>
        <v/>
      </c>
      <c r="Z132" t="str">
        <f t="shared" ref="Z132" si="116">+IF(AND(B132&lt;&gt;"",F132=""),"JAUNE","")</f>
        <v/>
      </c>
      <c r="AA132" t="str">
        <f t="shared" ref="AA132" si="117">+IF(AND(B132&lt;&gt;"",I132=""),"JAUNE","")</f>
        <v/>
      </c>
    </row>
    <row r="133" spans="1:27" ht="13.5" thickBot="1" x14ac:dyDescent="0.25">
      <c r="A133" s="485" t="s">
        <v>492</v>
      </c>
      <c r="B133" s="1162"/>
      <c r="C133" s="1163"/>
      <c r="D133" s="2501"/>
      <c r="E133" s="2502"/>
      <c r="F133" s="2503"/>
      <c r="G133" s="2503"/>
      <c r="H133" s="2503"/>
      <c r="I133" s="1164"/>
      <c r="J133" s="2500"/>
    </row>
    <row r="134" spans="1:27" x14ac:dyDescent="0.2">
      <c r="A134" s="484">
        <v>26</v>
      </c>
      <c r="B134" s="559" t="str">
        <f t="shared" ref="B134" si="118">IFERROR(IF(B135="",IF(+DATE(YEAR(B132),MONTH(B132)+1,1)&lt;=$O$75,DATE(YEAR(B132),MONTH(B132)+1,1),""),B135),"")</f>
        <v/>
      </c>
      <c r="C134" s="559" t="str">
        <f t="shared" ref="C134" si="119">IFERROR(IF(C135="",+EOMONTH(B134,0),C135),"")</f>
        <v/>
      </c>
      <c r="D134" s="2497" t="str">
        <f>IF(D135="",IFERROR(+VLOOKUP(B134,BDD,57,FALSE),""),D135)</f>
        <v/>
      </c>
      <c r="E134" s="2497"/>
      <c r="F134" s="2498" t="str">
        <f>IF(F135="",IFERROR(+VLOOKUP(B134,BDD,70,FALSE),""),F135)</f>
        <v/>
      </c>
      <c r="G134" s="2498"/>
      <c r="H134" s="2498"/>
      <c r="I134" s="483" t="str">
        <f>IF(I135="",IFERROR(+VLOOKUP(B134,BDD,56,FALSE),""),I135)</f>
        <v/>
      </c>
      <c r="J134" s="2499"/>
      <c r="Y134" t="str">
        <f t="shared" ref="Y134" si="120">+IF(AND(B134&lt;&gt;"",D134=""),"JAUNE","")</f>
        <v/>
      </c>
      <c r="Z134" t="str">
        <f t="shared" ref="Z134" si="121">+IF(AND(B134&lt;&gt;"",F134=""),"JAUNE","")</f>
        <v/>
      </c>
      <c r="AA134" t="str">
        <f t="shared" ref="AA134" si="122">+IF(AND(B134&lt;&gt;"",I134=""),"JAUNE","")</f>
        <v/>
      </c>
    </row>
    <row r="135" spans="1:27" ht="13.5" thickBot="1" x14ac:dyDescent="0.25">
      <c r="A135" s="485" t="s">
        <v>492</v>
      </c>
      <c r="B135" s="1162"/>
      <c r="C135" s="1163"/>
      <c r="D135" s="2501"/>
      <c r="E135" s="2502"/>
      <c r="F135" s="2503"/>
      <c r="G135" s="2503"/>
      <c r="H135" s="2503"/>
      <c r="I135" s="1164"/>
      <c r="J135" s="2500"/>
    </row>
    <row r="136" spans="1:27" x14ac:dyDescent="0.2">
      <c r="A136" s="484">
        <v>27</v>
      </c>
      <c r="B136" s="559" t="str">
        <f t="shared" ref="B136" si="123">IFERROR(IF(B137="",IF(+DATE(YEAR(B134),MONTH(B134)+1,1)&lt;=$O$75,DATE(YEAR(B134),MONTH(B134)+1,1),""),B137),"")</f>
        <v/>
      </c>
      <c r="C136" s="559" t="str">
        <f t="shared" ref="C136" si="124">IFERROR(IF(C137="",+EOMONTH(B136,0),C137),"")</f>
        <v/>
      </c>
      <c r="D136" s="2497" t="str">
        <f>IF(D137="",IFERROR(+VLOOKUP(B136,BDD,57,FALSE),""),D137)</f>
        <v/>
      </c>
      <c r="E136" s="2497"/>
      <c r="F136" s="2498" t="str">
        <f>IF(F137="",IFERROR(+VLOOKUP(B136,BDD,70,FALSE),""),F137)</f>
        <v/>
      </c>
      <c r="G136" s="2498"/>
      <c r="H136" s="2498"/>
      <c r="I136" s="483" t="str">
        <f>IF(I137="",IFERROR(+VLOOKUP(B136,BDD,56,FALSE),""),I137)</f>
        <v/>
      </c>
      <c r="J136" s="2499"/>
      <c r="Y136" t="str">
        <f t="shared" ref="Y136" si="125">+IF(AND(B136&lt;&gt;"",D136=""),"JAUNE","")</f>
        <v/>
      </c>
      <c r="Z136" t="str">
        <f t="shared" ref="Z136" si="126">+IF(AND(B136&lt;&gt;"",F136=""),"JAUNE","")</f>
        <v/>
      </c>
      <c r="AA136" t="str">
        <f t="shared" ref="AA136" si="127">+IF(AND(B136&lt;&gt;"",I136=""),"JAUNE","")</f>
        <v/>
      </c>
    </row>
    <row r="137" spans="1:27" ht="13.5" thickBot="1" x14ac:dyDescent="0.25">
      <c r="A137" s="485" t="s">
        <v>492</v>
      </c>
      <c r="B137" s="1162"/>
      <c r="C137" s="1163"/>
      <c r="D137" s="2501"/>
      <c r="E137" s="2502"/>
      <c r="F137" s="2503"/>
      <c r="G137" s="2503"/>
      <c r="H137" s="2503"/>
      <c r="I137" s="1164"/>
      <c r="J137" s="2500"/>
    </row>
    <row r="138" spans="1:27" x14ac:dyDescent="0.2">
      <c r="A138" s="484">
        <v>28</v>
      </c>
      <c r="B138" s="559" t="str">
        <f t="shared" ref="B138" si="128">IFERROR(IF(B139="",IF(+DATE(YEAR(B136),MONTH(B136)+1,1)&lt;=$O$75,DATE(YEAR(B136),MONTH(B136)+1,1),""),B139),"")</f>
        <v/>
      </c>
      <c r="C138" s="559" t="str">
        <f t="shared" ref="C138" si="129">IFERROR(IF(C139="",+EOMONTH(B138,0),C139),"")</f>
        <v/>
      </c>
      <c r="D138" s="2497" t="str">
        <f>IF(D139="",IFERROR(+VLOOKUP(B138,BDD,57,FALSE),""),D139)</f>
        <v/>
      </c>
      <c r="E138" s="2497"/>
      <c r="F138" s="2498" t="str">
        <f>IF(F139="",IFERROR(+VLOOKUP(B138,BDD,70,FALSE),""),F139)</f>
        <v/>
      </c>
      <c r="G138" s="2498"/>
      <c r="H138" s="2498"/>
      <c r="I138" s="483" t="str">
        <f>IF(I139="",IFERROR(+VLOOKUP(B138,BDD,56,FALSE),""),I139)</f>
        <v/>
      </c>
      <c r="J138" s="2499"/>
      <c r="Y138" t="str">
        <f t="shared" ref="Y138" si="130">+IF(AND(B138&lt;&gt;"",D138=""),"JAUNE","")</f>
        <v/>
      </c>
      <c r="Z138" t="str">
        <f t="shared" ref="Z138" si="131">+IF(AND(B138&lt;&gt;"",F138=""),"JAUNE","")</f>
        <v/>
      </c>
      <c r="AA138" t="str">
        <f t="shared" ref="AA138" si="132">+IF(AND(B138&lt;&gt;"",I138=""),"JAUNE","")</f>
        <v/>
      </c>
    </row>
    <row r="139" spans="1:27" ht="13.5" thickBot="1" x14ac:dyDescent="0.25">
      <c r="A139" s="485" t="s">
        <v>492</v>
      </c>
      <c r="B139" s="1162"/>
      <c r="C139" s="1163"/>
      <c r="D139" s="2501"/>
      <c r="E139" s="2502"/>
      <c r="F139" s="2503"/>
      <c r="G139" s="2503"/>
      <c r="H139" s="2503"/>
      <c r="I139" s="1164"/>
      <c r="J139" s="2500"/>
    </row>
    <row r="140" spans="1:27" x14ac:dyDescent="0.2">
      <c r="A140" s="484">
        <v>29</v>
      </c>
      <c r="B140" s="559" t="str">
        <f t="shared" ref="B140" si="133">IFERROR(IF(B141="",IF(+DATE(YEAR(B138),MONTH(B138)+1,1)&lt;=$O$75,DATE(YEAR(B138),MONTH(B138)+1,1),""),B141),"")</f>
        <v/>
      </c>
      <c r="C140" s="559" t="str">
        <f t="shared" ref="C140" si="134">IFERROR(IF(C141="",+EOMONTH(B140,0),C141),"")</f>
        <v/>
      </c>
      <c r="D140" s="2497" t="str">
        <f>IF(D141="",IFERROR(+VLOOKUP(B140,BDD,57,FALSE),""),D141)</f>
        <v/>
      </c>
      <c r="E140" s="2497"/>
      <c r="F140" s="2498" t="str">
        <f>IF(F141="",IFERROR(+VLOOKUP(B140,BDD,70,FALSE),""),F141)</f>
        <v/>
      </c>
      <c r="G140" s="2498"/>
      <c r="H140" s="2498"/>
      <c r="I140" s="483" t="str">
        <f>IF(I141="",IFERROR(+VLOOKUP(B140,BDD,56,FALSE),""),I141)</f>
        <v/>
      </c>
      <c r="J140" s="2499"/>
      <c r="Y140" t="str">
        <f t="shared" ref="Y140" si="135">+IF(AND(B140&lt;&gt;"",D140=""),"JAUNE","")</f>
        <v/>
      </c>
      <c r="Z140" t="str">
        <f t="shared" ref="Z140" si="136">+IF(AND(B140&lt;&gt;"",F140=""),"JAUNE","")</f>
        <v/>
      </c>
      <c r="AA140" t="str">
        <f t="shared" ref="AA140" si="137">+IF(AND(B140&lt;&gt;"",I140=""),"JAUNE","")</f>
        <v/>
      </c>
    </row>
    <row r="141" spans="1:27" ht="13.5" thickBot="1" x14ac:dyDescent="0.25">
      <c r="A141" s="485" t="s">
        <v>492</v>
      </c>
      <c r="B141" s="1162"/>
      <c r="C141" s="1163"/>
      <c r="D141" s="2501"/>
      <c r="E141" s="2502"/>
      <c r="F141" s="2503"/>
      <c r="G141" s="2503"/>
      <c r="H141" s="2503"/>
      <c r="I141" s="1164"/>
      <c r="J141" s="2500"/>
    </row>
    <row r="142" spans="1:27" x14ac:dyDescent="0.2">
      <c r="A142" s="484">
        <v>30</v>
      </c>
      <c r="B142" s="559" t="str">
        <f t="shared" ref="B142" si="138">IFERROR(IF(B143="",IF(+DATE(YEAR(B140),MONTH(B140)+1,1)&lt;=$O$75,DATE(YEAR(B140),MONTH(B140)+1,1),""),B143),"")</f>
        <v/>
      </c>
      <c r="C142" s="559" t="str">
        <f t="shared" ref="C142" si="139">IFERROR(IF(C143="",+EOMONTH(B142,0),C143),"")</f>
        <v/>
      </c>
      <c r="D142" s="2497" t="str">
        <f>IF(D143="",IFERROR(+VLOOKUP(B142,BDD,57,FALSE),""),D143)</f>
        <v/>
      </c>
      <c r="E142" s="2497"/>
      <c r="F142" s="2498" t="str">
        <f>IF(F143="",IFERROR(+VLOOKUP(B142,BDD,70,FALSE),""),F143)</f>
        <v/>
      </c>
      <c r="G142" s="2498"/>
      <c r="H142" s="2498"/>
      <c r="I142" s="483" t="str">
        <f>IF(I143="",IFERROR(+VLOOKUP(B142,BDD,56,FALSE),""),I143)</f>
        <v/>
      </c>
      <c r="J142" s="2499"/>
      <c r="Y142" t="str">
        <f t="shared" ref="Y142" si="140">+IF(AND(B142&lt;&gt;"",D142=""),"JAUNE","")</f>
        <v/>
      </c>
      <c r="Z142" t="str">
        <f t="shared" ref="Z142" si="141">+IF(AND(B142&lt;&gt;"",F142=""),"JAUNE","")</f>
        <v/>
      </c>
      <c r="AA142" t="str">
        <f t="shared" ref="AA142" si="142">+IF(AND(B142&lt;&gt;"",I142=""),"JAUNE","")</f>
        <v/>
      </c>
    </row>
    <row r="143" spans="1:27" ht="13.5" thickBot="1" x14ac:dyDescent="0.25">
      <c r="A143" s="485" t="s">
        <v>492</v>
      </c>
      <c r="B143" s="1162"/>
      <c r="C143" s="1163"/>
      <c r="D143" s="2501"/>
      <c r="E143" s="2502"/>
      <c r="F143" s="2503"/>
      <c r="G143" s="2503"/>
      <c r="H143" s="2503"/>
      <c r="I143" s="1164"/>
      <c r="J143" s="2500"/>
    </row>
    <row r="144" spans="1:27" x14ac:dyDescent="0.2">
      <c r="A144" s="484">
        <v>31</v>
      </c>
      <c r="B144" s="559" t="str">
        <f t="shared" ref="B144" si="143">IFERROR(IF(B145="",IF(+DATE(YEAR(B142),MONTH(B142)+1,1)&lt;=$O$75,DATE(YEAR(B142),MONTH(B142)+1,1),""),B145),"")</f>
        <v/>
      </c>
      <c r="C144" s="559" t="str">
        <f t="shared" ref="C144" si="144">IFERROR(IF(C145="",+EOMONTH(B144,0),C145),"")</f>
        <v/>
      </c>
      <c r="D144" s="2497" t="str">
        <f>IF(D145="",IFERROR(+VLOOKUP(B144,BDD,57,FALSE),""),D145)</f>
        <v/>
      </c>
      <c r="E144" s="2497"/>
      <c r="F144" s="2498" t="str">
        <f>IF(F145="",IFERROR(+VLOOKUP(B144,BDD,70,FALSE),""),F145)</f>
        <v/>
      </c>
      <c r="G144" s="2498"/>
      <c r="H144" s="2498"/>
      <c r="I144" s="483" t="str">
        <f>IF(I145="",IFERROR(+VLOOKUP(B144,BDD,56,FALSE),""),I145)</f>
        <v/>
      </c>
      <c r="J144" s="2499"/>
      <c r="Y144" t="str">
        <f t="shared" ref="Y144" si="145">+IF(AND(B144&lt;&gt;"",D144=""),"JAUNE","")</f>
        <v/>
      </c>
      <c r="Z144" t="str">
        <f t="shared" ref="Z144" si="146">+IF(AND(B144&lt;&gt;"",F144=""),"JAUNE","")</f>
        <v/>
      </c>
      <c r="AA144" t="str">
        <f t="shared" ref="AA144" si="147">+IF(AND(B144&lt;&gt;"",I144=""),"JAUNE","")</f>
        <v/>
      </c>
    </row>
    <row r="145" spans="1:27" ht="13.5" thickBot="1" x14ac:dyDescent="0.25">
      <c r="A145" s="485" t="s">
        <v>492</v>
      </c>
      <c r="B145" s="1162"/>
      <c r="C145" s="1163"/>
      <c r="D145" s="2501"/>
      <c r="E145" s="2502"/>
      <c r="F145" s="2503"/>
      <c r="G145" s="2503"/>
      <c r="H145" s="2503"/>
      <c r="I145" s="1164"/>
      <c r="J145" s="2500"/>
    </row>
    <row r="146" spans="1:27" x14ac:dyDescent="0.2">
      <c r="A146" s="484">
        <v>32</v>
      </c>
      <c r="B146" s="559" t="str">
        <f t="shared" ref="B146:B156" si="148">IFERROR(IF(B147="",IF(+DATE(YEAR(B144),MONTH(B144)+1,1)&lt;=$O$75,DATE(YEAR(B144),MONTH(B144)+1,1),""),B147),"")</f>
        <v/>
      </c>
      <c r="C146" s="559" t="str">
        <f t="shared" ref="C146" si="149">IFERROR(IF(C147="",+EOMONTH(B146,0),C147),"")</f>
        <v/>
      </c>
      <c r="D146" s="2497" t="str">
        <f>IF(D147="",IFERROR(+VLOOKUP(B146,BDD,57,FALSE),""),D147)</f>
        <v/>
      </c>
      <c r="E146" s="2497"/>
      <c r="F146" s="2498" t="str">
        <f>IF(F147="",IFERROR(+VLOOKUP(B146,BDD,70,FALSE),""),F147)</f>
        <v/>
      </c>
      <c r="G146" s="2498"/>
      <c r="H146" s="2498"/>
      <c r="I146" s="483" t="str">
        <f>IF(I147="",IFERROR(+VLOOKUP(B146,BDD,56,FALSE),""),I147)</f>
        <v/>
      </c>
      <c r="J146" s="2499"/>
      <c r="Y146" t="str">
        <f t="shared" ref="Y146" si="150">+IF(AND(B146&lt;&gt;"",D146=""),"JAUNE","")</f>
        <v/>
      </c>
      <c r="Z146" t="str">
        <f t="shared" ref="Z146" si="151">+IF(AND(B146&lt;&gt;"",F146=""),"JAUNE","")</f>
        <v/>
      </c>
      <c r="AA146" t="str">
        <f t="shared" ref="AA146" si="152">+IF(AND(B146&lt;&gt;"",I146=""),"JAUNE","")</f>
        <v/>
      </c>
    </row>
    <row r="147" spans="1:27" ht="13.5" thickBot="1" x14ac:dyDescent="0.25">
      <c r="A147" s="485" t="s">
        <v>492</v>
      </c>
      <c r="B147" s="1162"/>
      <c r="C147" s="1163"/>
      <c r="D147" s="2501"/>
      <c r="E147" s="2502"/>
      <c r="F147" s="2503"/>
      <c r="G147" s="2503"/>
      <c r="H147" s="2503"/>
      <c r="I147" s="1164"/>
      <c r="J147" s="2500"/>
    </row>
    <row r="148" spans="1:27" x14ac:dyDescent="0.2">
      <c r="A148" s="484">
        <v>33</v>
      </c>
      <c r="B148" s="559" t="str">
        <f t="shared" si="148"/>
        <v/>
      </c>
      <c r="C148" s="559" t="str">
        <f t="shared" ref="C148" si="153">IFERROR(IF(C149="",+EOMONTH(B148,0),C149),"")</f>
        <v/>
      </c>
      <c r="D148" s="2497" t="str">
        <f>IF(D149="",IFERROR(+VLOOKUP(B148,BDD,57,FALSE),""),D149)</f>
        <v/>
      </c>
      <c r="E148" s="2497"/>
      <c r="F148" s="2498" t="str">
        <f>IF(F149="",IFERROR(+VLOOKUP(B148,BDD,70,FALSE),""),F149)</f>
        <v/>
      </c>
      <c r="G148" s="2498"/>
      <c r="H148" s="2498"/>
      <c r="I148" s="483" t="str">
        <f>IF(I149="",IFERROR(+VLOOKUP(B148,BDD,56,FALSE),""),I149)</f>
        <v/>
      </c>
      <c r="J148" s="2499"/>
      <c r="Y148" t="str">
        <f t="shared" ref="Y148" si="154">+IF(AND(B148&lt;&gt;"",D148=""),"JAUNE","")</f>
        <v/>
      </c>
      <c r="Z148" t="str">
        <f t="shared" ref="Z148" si="155">+IF(AND(B148&lt;&gt;"",F148=""),"JAUNE","")</f>
        <v/>
      </c>
      <c r="AA148" t="str">
        <f t="shared" ref="AA148" si="156">+IF(AND(B148&lt;&gt;"",I148=""),"JAUNE","")</f>
        <v/>
      </c>
    </row>
    <row r="149" spans="1:27" ht="13.5" thickBot="1" x14ac:dyDescent="0.25">
      <c r="A149" s="485" t="s">
        <v>492</v>
      </c>
      <c r="B149" s="1162"/>
      <c r="C149" s="1163"/>
      <c r="D149" s="2501"/>
      <c r="E149" s="2502"/>
      <c r="F149" s="2503"/>
      <c r="G149" s="2503"/>
      <c r="H149" s="2503"/>
      <c r="I149" s="1164"/>
      <c r="J149" s="2500"/>
    </row>
    <row r="150" spans="1:27" x14ac:dyDescent="0.2">
      <c r="A150" s="484">
        <v>34</v>
      </c>
      <c r="B150" s="559" t="str">
        <f t="shared" si="148"/>
        <v/>
      </c>
      <c r="C150" s="559" t="str">
        <f t="shared" ref="C150" si="157">IFERROR(IF(C151="",+EOMONTH(B150,0),C151),"")</f>
        <v/>
      </c>
      <c r="D150" s="2497" t="str">
        <f>IF(D151="",IFERROR(+VLOOKUP(B150,BDD,57,FALSE),""),D151)</f>
        <v/>
      </c>
      <c r="E150" s="2497"/>
      <c r="F150" s="2498" t="str">
        <f>IF(F151="",IFERROR(+VLOOKUP(B150,BDD,70,FALSE),""),F151)</f>
        <v/>
      </c>
      <c r="G150" s="2498"/>
      <c r="H150" s="2498"/>
      <c r="I150" s="483" t="str">
        <f>IF(I151="",IFERROR(+VLOOKUP(B150,BDD,56,FALSE),""),I151)</f>
        <v/>
      </c>
      <c r="J150" s="2499"/>
      <c r="Y150" t="str">
        <f t="shared" ref="Y150" si="158">+IF(AND(B150&lt;&gt;"",D150=""),"JAUNE","")</f>
        <v/>
      </c>
      <c r="Z150" t="str">
        <f t="shared" ref="Z150" si="159">+IF(AND(B150&lt;&gt;"",F150=""),"JAUNE","")</f>
        <v/>
      </c>
      <c r="AA150" t="str">
        <f t="shared" ref="AA150" si="160">+IF(AND(B150&lt;&gt;"",I150=""),"JAUNE","")</f>
        <v/>
      </c>
    </row>
    <row r="151" spans="1:27" ht="13.5" thickBot="1" x14ac:dyDescent="0.25">
      <c r="A151" s="485" t="s">
        <v>492</v>
      </c>
      <c r="B151" s="1162"/>
      <c r="C151" s="1163"/>
      <c r="D151" s="2501"/>
      <c r="E151" s="2502"/>
      <c r="F151" s="2503"/>
      <c r="G151" s="2503"/>
      <c r="H151" s="2503"/>
      <c r="I151" s="1164"/>
      <c r="J151" s="2500"/>
    </row>
    <row r="152" spans="1:27" x14ac:dyDescent="0.2">
      <c r="A152" s="484">
        <v>35</v>
      </c>
      <c r="B152" s="559" t="str">
        <f t="shared" si="148"/>
        <v/>
      </c>
      <c r="C152" s="559" t="str">
        <f t="shared" ref="C152" si="161">IFERROR(IF(C153="",+EOMONTH(B152,0),C153),"")</f>
        <v/>
      </c>
      <c r="D152" s="2497" t="str">
        <f>IF(D153="",IFERROR(+VLOOKUP(B152,BDD,57,FALSE),""),D153)</f>
        <v/>
      </c>
      <c r="E152" s="2497"/>
      <c r="F152" s="2498" t="str">
        <f>IF(F153="",IFERROR(+VLOOKUP(B152,BDD,70,FALSE),""),F153)</f>
        <v/>
      </c>
      <c r="G152" s="2498"/>
      <c r="H152" s="2498"/>
      <c r="I152" s="483" t="str">
        <f>IF(I153="",IFERROR(+VLOOKUP(B152,BDD,56,FALSE),""),I153)</f>
        <v/>
      </c>
      <c r="J152" s="2499"/>
    </row>
    <row r="153" spans="1:27" ht="13.5" thickBot="1" x14ac:dyDescent="0.25">
      <c r="A153" s="485" t="s">
        <v>492</v>
      </c>
      <c r="B153" s="1162"/>
      <c r="C153" s="1163"/>
      <c r="D153" s="2501"/>
      <c r="E153" s="2502"/>
      <c r="F153" s="2503"/>
      <c r="G153" s="2503"/>
      <c r="H153" s="2503"/>
      <c r="I153" s="1164"/>
      <c r="J153" s="2500"/>
    </row>
    <row r="154" spans="1:27" x14ac:dyDescent="0.2">
      <c r="A154" s="484">
        <v>36</v>
      </c>
      <c r="B154" s="559" t="str">
        <f t="shared" si="148"/>
        <v/>
      </c>
      <c r="C154" s="559" t="str">
        <f t="shared" ref="C154" si="162">IFERROR(IF(C155="",+EOMONTH(B154,0),C155),"")</f>
        <v/>
      </c>
      <c r="D154" s="2497" t="str">
        <f>IF(D155="",IFERROR(+VLOOKUP(B154,BDD,57,FALSE),""),D155)</f>
        <v/>
      </c>
      <c r="E154" s="2497"/>
      <c r="F154" s="2498" t="str">
        <f>IF(F155="",IFERROR(+VLOOKUP(B154,BDD,70,FALSE),""),F155)</f>
        <v/>
      </c>
      <c r="G154" s="2498"/>
      <c r="H154" s="2498"/>
      <c r="I154" s="483" t="str">
        <f>IF(I155="",IFERROR(+VLOOKUP(B154,BDD,56,FALSE),""),I155)</f>
        <v/>
      </c>
      <c r="J154" s="2499"/>
      <c r="Y154" t="str">
        <f t="shared" ref="Y154" si="163">+IF(AND(B154&lt;&gt;"",D154=""),"JAUNE","")</f>
        <v/>
      </c>
      <c r="Z154" t="str">
        <f t="shared" ref="Z154" si="164">+IF(AND(B154&lt;&gt;"",F154=""),"JAUNE","")</f>
        <v/>
      </c>
      <c r="AA154" t="str">
        <f t="shared" ref="AA154" si="165">+IF(AND(B154&lt;&gt;"",I154=""),"JAUNE","")</f>
        <v/>
      </c>
    </row>
    <row r="155" spans="1:27" ht="13.5" thickBot="1" x14ac:dyDescent="0.25">
      <c r="A155" s="485" t="s">
        <v>492</v>
      </c>
      <c r="B155" s="1162"/>
      <c r="C155" s="1163"/>
      <c r="D155" s="2501"/>
      <c r="E155" s="2502"/>
      <c r="F155" s="2503"/>
      <c r="G155" s="2503"/>
      <c r="H155" s="2503"/>
      <c r="I155" s="1164"/>
      <c r="J155" s="2500"/>
    </row>
    <row r="156" spans="1:27" x14ac:dyDescent="0.2">
      <c r="A156" s="484">
        <v>37</v>
      </c>
      <c r="B156" s="559" t="str">
        <f t="shared" si="148"/>
        <v/>
      </c>
      <c r="C156" s="559" t="str">
        <f t="shared" ref="C156" si="166">IFERROR(IF(C157="",+EOMONTH(B156,0),C157),"")</f>
        <v/>
      </c>
      <c r="D156" s="2497" t="str">
        <f>IF(D157="",IFERROR(+VLOOKUP(B156,BDD,57,FALSE),""),D157)</f>
        <v/>
      </c>
      <c r="E156" s="2497"/>
      <c r="F156" s="2498" t="str">
        <f>IF(F157="",IFERROR(+VLOOKUP(B156,BDD,70,FALSE),""),F157)</f>
        <v/>
      </c>
      <c r="G156" s="2498"/>
      <c r="H156" s="2498"/>
      <c r="I156" s="483" t="str">
        <f>IF(I157="",IFERROR(+VLOOKUP(B156,BDD,56,FALSE),""),I157)</f>
        <v/>
      </c>
      <c r="J156" s="2499"/>
      <c r="Y156" t="str">
        <f t="shared" ref="Y156" si="167">+IF(AND(B156&lt;&gt;"",D156=""),"JAUNE","")</f>
        <v/>
      </c>
      <c r="Z156" t="str">
        <f t="shared" ref="Z156" si="168">+IF(AND(B156&lt;&gt;"",F156=""),"JAUNE","")</f>
        <v/>
      </c>
      <c r="AA156" t="str">
        <f t="shared" ref="AA156" si="169">+IF(AND(B156&lt;&gt;"",I156=""),"JAUNE","")</f>
        <v/>
      </c>
    </row>
    <row r="157" spans="1:27" ht="13.5" thickBot="1" x14ac:dyDescent="0.25">
      <c r="A157" s="485" t="s">
        <v>492</v>
      </c>
      <c r="B157" s="1162"/>
      <c r="C157" s="1163"/>
      <c r="D157" s="2501"/>
      <c r="E157" s="2502"/>
      <c r="F157" s="2503"/>
      <c r="G157" s="2503"/>
      <c r="H157" s="2503"/>
      <c r="I157" s="1164"/>
      <c r="J157" s="2500"/>
    </row>
    <row r="163" spans="1:16" ht="15.75" x14ac:dyDescent="0.25">
      <c r="A163" s="2518" t="s">
        <v>1017</v>
      </c>
      <c r="B163" s="2518"/>
      <c r="C163" s="2518"/>
      <c r="D163" s="2518"/>
      <c r="E163" s="2518"/>
      <c r="F163" s="2518"/>
      <c r="G163" s="2518"/>
      <c r="H163" s="2518"/>
      <c r="I163" s="2518"/>
      <c r="J163" s="2518"/>
    </row>
    <row r="164" spans="1:16" ht="16.5" thickBot="1" x14ac:dyDescent="0.3">
      <c r="A164" s="553"/>
      <c r="B164" s="553"/>
      <c r="C164" s="553"/>
      <c r="D164" s="553"/>
      <c r="E164" s="553"/>
      <c r="F164" s="553"/>
      <c r="G164" s="553"/>
      <c r="H164" s="553"/>
      <c r="I164" s="553"/>
      <c r="J164" s="553"/>
    </row>
    <row r="165" spans="1:16" ht="43.5" customHeight="1" thickBot="1" x14ac:dyDescent="0.25">
      <c r="B165" s="2509" t="s">
        <v>937</v>
      </c>
      <c r="C165" s="2510"/>
      <c r="D165" s="2513" t="s">
        <v>476</v>
      </c>
      <c r="E165" s="2511"/>
      <c r="F165" s="2513" t="s">
        <v>940</v>
      </c>
      <c r="G165" s="2511"/>
      <c r="H165" s="2514"/>
      <c r="I165" s="2504" t="s">
        <v>941</v>
      </c>
      <c r="J165" s="2508"/>
    </row>
    <row r="166" spans="1:16" ht="15" customHeight="1" thickBot="1" x14ac:dyDescent="0.25">
      <c r="A166" s="560">
        <f>+DATE(YEAR(D80),MONTH(D80),1)</f>
        <v>1</v>
      </c>
      <c r="B166" s="481" t="s">
        <v>938</v>
      </c>
      <c r="C166" s="481" t="s">
        <v>939</v>
      </c>
      <c r="D166" s="2515"/>
      <c r="E166" s="2512"/>
      <c r="F166" s="2515"/>
      <c r="G166" s="2512"/>
      <c r="H166" s="2516"/>
      <c r="I166" s="2505"/>
      <c r="J166" s="2508"/>
    </row>
    <row r="167" spans="1:16" ht="13.5" customHeight="1" x14ac:dyDescent="0.2">
      <c r="A167" s="484"/>
      <c r="B167" s="559">
        <f>+IF(B168="",IF(P75="OUI","",DATE(YEAR(D80),MONTH(D80),1)),B168)</f>
        <v>1</v>
      </c>
      <c r="C167" s="559">
        <f>IF(C168="",IF(P75="OUI","",DATE(YEAR(D80),MONTH(D80),DAY(D80))),C168)</f>
        <v>0</v>
      </c>
      <c r="D167" s="2525" t="e">
        <f>+IF(AND(D168="",I167&lt;&gt;0),D80,D168)</f>
        <v>#N/A</v>
      </c>
      <c r="E167" s="2526"/>
      <c r="F167" s="2519" t="str">
        <f>IF(F168="",IFERROR(+VLOOKUP(B167,BDD,57,FALSE)-VLOOKUP(B167,BDD,63,FALSE),""),F168)</f>
        <v/>
      </c>
      <c r="G167" s="2520"/>
      <c r="H167" s="2521"/>
      <c r="I167" s="483" t="e">
        <f>IF(I168="",IFERROR(+VLOOKUP(B167,BDD,56,FALSE),0)+VLOOKUP(A166,BDD,65,FALSE),I168)</f>
        <v>#N/A</v>
      </c>
      <c r="J167" s="2522"/>
    </row>
    <row r="168" spans="1:16" ht="13.5" thickBot="1" x14ac:dyDescent="0.25">
      <c r="A168" s="485" t="s">
        <v>492</v>
      </c>
      <c r="B168" s="1162"/>
      <c r="C168" s="1163"/>
      <c r="D168" s="2523"/>
      <c r="E168" s="2523"/>
      <c r="F168" s="2524"/>
      <c r="G168" s="2524"/>
      <c r="H168" s="2524"/>
      <c r="I168" s="1164"/>
      <c r="J168" s="2522"/>
    </row>
    <row r="171" spans="1:16" x14ac:dyDescent="0.2">
      <c r="A171" t="s">
        <v>1018</v>
      </c>
    </row>
    <row r="172" spans="1:16" ht="13.5" customHeight="1" x14ac:dyDescent="0.2">
      <c r="C172" s="556" t="s">
        <v>1211</v>
      </c>
      <c r="D172" s="557" t="str">
        <f>IF(D173="",IFERROR(+VLOOKUP(P173,BDD,64,FALSE),""),D173)</f>
        <v/>
      </c>
    </row>
    <row r="173" spans="1:16" ht="13.5" customHeight="1" x14ac:dyDescent="0.2">
      <c r="C173" s="556" t="s">
        <v>492</v>
      </c>
      <c r="D173" s="1165"/>
      <c r="O173" s="556" t="s">
        <v>1027</v>
      </c>
      <c r="P173" s="558">
        <f>+DATE(YEAR(D80),MONTH(D80),1)</f>
        <v>1</v>
      </c>
    </row>
    <row r="175" spans="1:16" x14ac:dyDescent="0.2">
      <c r="A175" t="s">
        <v>1210</v>
      </c>
    </row>
    <row r="176" spans="1:16" x14ac:dyDescent="0.2">
      <c r="C176" s="556" t="s">
        <v>1212</v>
      </c>
      <c r="D176" s="557" t="str">
        <f>IF(D177="",IFERROR(+VLOOKUP(P173,BDD,65,FALSE),""),D177)</f>
        <v/>
      </c>
    </row>
    <row r="177" spans="1:6" x14ac:dyDescent="0.2">
      <c r="C177" s="556" t="s">
        <v>492</v>
      </c>
      <c r="D177" s="1165"/>
    </row>
    <row r="180" spans="1:6" x14ac:dyDescent="0.2">
      <c r="A180" t="s">
        <v>1025</v>
      </c>
    </row>
    <row r="181" spans="1:6" x14ac:dyDescent="0.2">
      <c r="A181" s="2517" t="s">
        <v>1024</v>
      </c>
      <c r="B181" s="2517"/>
      <c r="C181" s="2517"/>
      <c r="D181" s="2517"/>
      <c r="E181" s="2517"/>
      <c r="F181" s="557" t="str">
        <f>IF(F182="",IFERROR(IF(+VLOOKUP(P173,BDD,87,FALSE)="OUI",+VLOOKUP(P173,BDD,93,FALSE),VLOOKUP(P173,BDD,67,FALSE)),""),F182)</f>
        <v/>
      </c>
    </row>
    <row r="182" spans="1:6" x14ac:dyDescent="0.2">
      <c r="E182" s="556" t="s">
        <v>492</v>
      </c>
      <c r="F182" s="1165"/>
    </row>
    <row r="184" spans="1:6" x14ac:dyDescent="0.2">
      <c r="E184" s="556" t="s">
        <v>1026</v>
      </c>
      <c r="F184" s="554" t="str">
        <f>IF(F182="",F181,F182)</f>
        <v/>
      </c>
    </row>
    <row r="185" spans="1:6" x14ac:dyDescent="0.2">
      <c r="E185" s="556" t="s">
        <v>492</v>
      </c>
      <c r="F185" s="1165"/>
    </row>
  </sheetData>
  <sheetProtection algorithmName="SHA-512" hashValue="H2HBLuYdtUKdeNREqwcfa4/w4OzOlaaw2FV2x7pjcr3xM2Um0Awd+mKYCgmZTDlzju5Q360gFyB55tBHNfWtFw==" saltValue="tTE3WTYCWeMMl8CrqhR3Dg==" spinCount="100000" sheet="1" objects="1" scenarios="1" formatCells="0" formatColumns="0" formatRows="0" insertColumns="0" insertRows="0" insertHyperlinks="0" sort="0" autoFilter="0" pivotTables="0"/>
  <mergeCells count="252">
    <mergeCell ref="C61:E61"/>
    <mergeCell ref="C62:E62"/>
    <mergeCell ref="C63:E63"/>
    <mergeCell ref="C64:E64"/>
    <mergeCell ref="C74:E74"/>
    <mergeCell ref="B77:H77"/>
    <mergeCell ref="C65:E65"/>
    <mergeCell ref="C66:E66"/>
    <mergeCell ref="C67:E67"/>
    <mergeCell ref="C68:E68"/>
    <mergeCell ref="C69:E69"/>
    <mergeCell ref="C70:E70"/>
    <mergeCell ref="C71:E71"/>
    <mergeCell ref="C72:E72"/>
    <mergeCell ref="C73:E73"/>
    <mergeCell ref="C49:E49"/>
    <mergeCell ref="C53:E53"/>
    <mergeCell ref="C54:E54"/>
    <mergeCell ref="C55:E55"/>
    <mergeCell ref="C56:E56"/>
    <mergeCell ref="C57:E57"/>
    <mergeCell ref="C58:E58"/>
    <mergeCell ref="C59:E59"/>
    <mergeCell ref="C60:E60"/>
    <mergeCell ref="C40:E40"/>
    <mergeCell ref="C41:E41"/>
    <mergeCell ref="C42:E42"/>
    <mergeCell ref="C43:E43"/>
    <mergeCell ref="C44:E44"/>
    <mergeCell ref="C45:E45"/>
    <mergeCell ref="C46:E46"/>
    <mergeCell ref="C47:E47"/>
    <mergeCell ref="C48:E48"/>
    <mergeCell ref="C31:E31"/>
    <mergeCell ref="C32:E32"/>
    <mergeCell ref="C33:E33"/>
    <mergeCell ref="C34:E34"/>
    <mergeCell ref="C35:E35"/>
    <mergeCell ref="C36:E36"/>
    <mergeCell ref="C37:E37"/>
    <mergeCell ref="C38:E38"/>
    <mergeCell ref="C39:E39"/>
    <mergeCell ref="J165:J166"/>
    <mergeCell ref="A181:E181"/>
    <mergeCell ref="B165:C165"/>
    <mergeCell ref="F165:H166"/>
    <mergeCell ref="A163:J163"/>
    <mergeCell ref="F167:H167"/>
    <mergeCell ref="J167:J168"/>
    <mergeCell ref="D168:E168"/>
    <mergeCell ref="F168:H168"/>
    <mergeCell ref="D165:E166"/>
    <mergeCell ref="D167:E167"/>
    <mergeCell ref="D86:E86"/>
    <mergeCell ref="D87:E87"/>
    <mergeCell ref="F86:H86"/>
    <mergeCell ref="F87:H87"/>
    <mergeCell ref="D88:E88"/>
    <mergeCell ref="F88:H88"/>
    <mergeCell ref="B1:I1"/>
    <mergeCell ref="D5:H5"/>
    <mergeCell ref="I165:I166"/>
    <mergeCell ref="D85:E85"/>
    <mergeCell ref="F85:H85"/>
    <mergeCell ref="I82:I83"/>
    <mergeCell ref="F84:H84"/>
    <mergeCell ref="D84:E84"/>
    <mergeCell ref="B78:I78"/>
    <mergeCell ref="B82:C82"/>
    <mergeCell ref="D82:E83"/>
    <mergeCell ref="F82:H83"/>
    <mergeCell ref="D89:E89"/>
    <mergeCell ref="C26:E26"/>
    <mergeCell ref="C27:E27"/>
    <mergeCell ref="C28:E28"/>
    <mergeCell ref="C29:E29"/>
    <mergeCell ref="C30:E30"/>
    <mergeCell ref="D92:E92"/>
    <mergeCell ref="F92:H92"/>
    <mergeCell ref="D93:E93"/>
    <mergeCell ref="F93:H93"/>
    <mergeCell ref="D94:E94"/>
    <mergeCell ref="F94:H94"/>
    <mergeCell ref="F89:H89"/>
    <mergeCell ref="D90:E90"/>
    <mergeCell ref="F90:H90"/>
    <mergeCell ref="D91:E91"/>
    <mergeCell ref="F91:H91"/>
    <mergeCell ref="D98:E98"/>
    <mergeCell ref="F98:H98"/>
    <mergeCell ref="D99:E99"/>
    <mergeCell ref="F99:H99"/>
    <mergeCell ref="D100:E100"/>
    <mergeCell ref="F100:H100"/>
    <mergeCell ref="D95:E95"/>
    <mergeCell ref="F95:H95"/>
    <mergeCell ref="D96:E96"/>
    <mergeCell ref="F96:H96"/>
    <mergeCell ref="D97:E97"/>
    <mergeCell ref="F97:H97"/>
    <mergeCell ref="D104:E104"/>
    <mergeCell ref="F104:H104"/>
    <mergeCell ref="D105:E105"/>
    <mergeCell ref="F105:H105"/>
    <mergeCell ref="D106:E106"/>
    <mergeCell ref="F106:H106"/>
    <mergeCell ref="D101:E101"/>
    <mergeCell ref="F101:H101"/>
    <mergeCell ref="D102:E102"/>
    <mergeCell ref="F102:H102"/>
    <mergeCell ref="D103:E103"/>
    <mergeCell ref="F103:H103"/>
    <mergeCell ref="D110:E110"/>
    <mergeCell ref="F110:H110"/>
    <mergeCell ref="D111:E111"/>
    <mergeCell ref="F111:H111"/>
    <mergeCell ref="D112:E112"/>
    <mergeCell ref="F112:H112"/>
    <mergeCell ref="D107:E107"/>
    <mergeCell ref="F107:H107"/>
    <mergeCell ref="D108:E108"/>
    <mergeCell ref="F108:H108"/>
    <mergeCell ref="D109:E109"/>
    <mergeCell ref="F109:H109"/>
    <mergeCell ref="D116:E116"/>
    <mergeCell ref="F116:H116"/>
    <mergeCell ref="D117:E117"/>
    <mergeCell ref="F117:H117"/>
    <mergeCell ref="D118:E118"/>
    <mergeCell ref="F118:H118"/>
    <mergeCell ref="D113:E113"/>
    <mergeCell ref="F113:H113"/>
    <mergeCell ref="D114:E114"/>
    <mergeCell ref="F114:H114"/>
    <mergeCell ref="D115:E115"/>
    <mergeCell ref="F115:H115"/>
    <mergeCell ref="D122:E122"/>
    <mergeCell ref="F122:H122"/>
    <mergeCell ref="D123:E123"/>
    <mergeCell ref="F123:H123"/>
    <mergeCell ref="D124:E124"/>
    <mergeCell ref="F124:H124"/>
    <mergeCell ref="D119:E119"/>
    <mergeCell ref="F119:H119"/>
    <mergeCell ref="D120:E120"/>
    <mergeCell ref="F120:H120"/>
    <mergeCell ref="D121:E121"/>
    <mergeCell ref="F121:H121"/>
    <mergeCell ref="D128:E128"/>
    <mergeCell ref="F128:H128"/>
    <mergeCell ref="D129:E129"/>
    <mergeCell ref="F129:H129"/>
    <mergeCell ref="D130:E130"/>
    <mergeCell ref="F130:H130"/>
    <mergeCell ref="D125:E125"/>
    <mergeCell ref="F125:H125"/>
    <mergeCell ref="D126:E126"/>
    <mergeCell ref="F126:H126"/>
    <mergeCell ref="D127:E127"/>
    <mergeCell ref="F127:H127"/>
    <mergeCell ref="D134:E134"/>
    <mergeCell ref="F134:H134"/>
    <mergeCell ref="D135:E135"/>
    <mergeCell ref="F135:H135"/>
    <mergeCell ref="D136:E136"/>
    <mergeCell ref="F136:H136"/>
    <mergeCell ref="D131:E131"/>
    <mergeCell ref="F131:H131"/>
    <mergeCell ref="D132:E132"/>
    <mergeCell ref="F132:H132"/>
    <mergeCell ref="D133:E133"/>
    <mergeCell ref="F133:H133"/>
    <mergeCell ref="D140:E140"/>
    <mergeCell ref="F140:H140"/>
    <mergeCell ref="D141:E141"/>
    <mergeCell ref="F141:H141"/>
    <mergeCell ref="D142:E142"/>
    <mergeCell ref="F142:H142"/>
    <mergeCell ref="D137:E137"/>
    <mergeCell ref="F137:H137"/>
    <mergeCell ref="D138:E138"/>
    <mergeCell ref="F138:H138"/>
    <mergeCell ref="D139:E139"/>
    <mergeCell ref="F139:H139"/>
    <mergeCell ref="D147:E147"/>
    <mergeCell ref="F147:H147"/>
    <mergeCell ref="D148:E148"/>
    <mergeCell ref="F148:H148"/>
    <mergeCell ref="D143:E143"/>
    <mergeCell ref="F143:H143"/>
    <mergeCell ref="D144:E144"/>
    <mergeCell ref="F144:H144"/>
    <mergeCell ref="D145:E145"/>
    <mergeCell ref="F145:H145"/>
    <mergeCell ref="J110:J111"/>
    <mergeCell ref="J112:J113"/>
    <mergeCell ref="J114:J115"/>
    <mergeCell ref="J116:J117"/>
    <mergeCell ref="J118:J119"/>
    <mergeCell ref="D157:E157"/>
    <mergeCell ref="F157:H157"/>
    <mergeCell ref="J82:J83"/>
    <mergeCell ref="J84:J85"/>
    <mergeCell ref="J86:J87"/>
    <mergeCell ref="J88:J89"/>
    <mergeCell ref="J90:J91"/>
    <mergeCell ref="J92:J93"/>
    <mergeCell ref="J94:J95"/>
    <mergeCell ref="J96:J97"/>
    <mergeCell ref="J98:J99"/>
    <mergeCell ref="J100:J101"/>
    <mergeCell ref="J102:J103"/>
    <mergeCell ref="J104:J105"/>
    <mergeCell ref="J106:J107"/>
    <mergeCell ref="J108:J109"/>
    <mergeCell ref="D154:E154"/>
    <mergeCell ref="F154:H154"/>
    <mergeCell ref="D155:E155"/>
    <mergeCell ref="J130:J131"/>
    <mergeCell ref="J132:J133"/>
    <mergeCell ref="J134:J135"/>
    <mergeCell ref="J136:J137"/>
    <mergeCell ref="J138:J139"/>
    <mergeCell ref="J120:J121"/>
    <mergeCell ref="J122:J123"/>
    <mergeCell ref="J124:J125"/>
    <mergeCell ref="J126:J127"/>
    <mergeCell ref="J128:J129"/>
    <mergeCell ref="D152:E152"/>
    <mergeCell ref="F152:H152"/>
    <mergeCell ref="J152:J153"/>
    <mergeCell ref="D153:E153"/>
    <mergeCell ref="F153:H153"/>
    <mergeCell ref="J150:J151"/>
    <mergeCell ref="J154:J155"/>
    <mergeCell ref="J156:J157"/>
    <mergeCell ref="J140:J141"/>
    <mergeCell ref="J142:J143"/>
    <mergeCell ref="J144:J145"/>
    <mergeCell ref="J146:J147"/>
    <mergeCell ref="J148:J149"/>
    <mergeCell ref="F155:H155"/>
    <mergeCell ref="D156:E156"/>
    <mergeCell ref="F156:H156"/>
    <mergeCell ref="D149:E149"/>
    <mergeCell ref="F149:H149"/>
    <mergeCell ref="D150:E150"/>
    <mergeCell ref="F150:H150"/>
    <mergeCell ref="D151:E151"/>
    <mergeCell ref="F151:H151"/>
    <mergeCell ref="D146:E146"/>
    <mergeCell ref="F146:H146"/>
  </mergeCells>
  <conditionalFormatting sqref="B85:I85">
    <cfRule type="notContainsBlanks" dxfId="3813" priority="91">
      <formula>LEN(TRIM(B85))&gt;0</formula>
    </cfRule>
  </conditionalFormatting>
  <conditionalFormatting sqref="B87:I87">
    <cfRule type="notContainsBlanks" dxfId="3812" priority="8">
      <formula>LEN(TRIM(B87))&gt;0</formula>
    </cfRule>
  </conditionalFormatting>
  <conditionalFormatting sqref="B89:I89 B91:I91 B93:I93 B95:I95 B97:I97 B99:I99 B101:I101 B103:I103 B105:I105 B107:I107 B109:I109 B111:I111 B113:I113 B115:I115 B117:I117 B119:I119 B121:I121 B123:I123 B125:I125 B127:I127 B129:I129 B131:I131 B133:I133 B135:I135 B137:I137 B139:I139 B141:I141 B143:I143 B145:I145 B147:I147 B149:I149 B151:I151 B153:I153 B155:I155 B157:I157">
    <cfRule type="notContainsBlanks" dxfId="3811" priority="4">
      <formula>LEN(TRIM(B89))&gt;0</formula>
    </cfRule>
  </conditionalFormatting>
  <conditionalFormatting sqref="B168:I168">
    <cfRule type="notContainsBlanks" dxfId="3810" priority="89">
      <formula>LEN(TRIM(B168))&gt;0</formula>
    </cfRule>
  </conditionalFormatting>
  <conditionalFormatting sqref="D79">
    <cfRule type="notContainsBlanks" dxfId="3809" priority="49">
      <formula>LEN(TRIM(D79))&gt;0</formula>
    </cfRule>
  </conditionalFormatting>
  <conditionalFormatting sqref="D173">
    <cfRule type="notContainsBlanks" dxfId="3808" priority="52">
      <formula>LEN(TRIM(D173))&gt;0</formula>
    </cfRule>
  </conditionalFormatting>
  <conditionalFormatting sqref="D177">
    <cfRule type="notContainsBlanks" dxfId="3807" priority="12">
      <formula>LEN(TRIM(D177))&gt;0</formula>
    </cfRule>
  </conditionalFormatting>
  <conditionalFormatting sqref="D85:E85">
    <cfRule type="expression" dxfId="3806" priority="11">
      <formula>Y84="JAUNE"</formula>
    </cfRule>
  </conditionalFormatting>
  <conditionalFormatting sqref="D87:E87">
    <cfRule type="expression" dxfId="3805" priority="7">
      <formula>Y86="JAUNE"</formula>
    </cfRule>
  </conditionalFormatting>
  <conditionalFormatting sqref="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D157:E157">
    <cfRule type="expression" dxfId="3804" priority="3">
      <formula>Y88="JAUNE"</formula>
    </cfRule>
  </conditionalFormatting>
  <conditionalFormatting sqref="D167:E167">
    <cfRule type="cellIs" dxfId="3803" priority="48" operator="equal">
      <formula>0</formula>
    </cfRule>
  </conditionalFormatting>
  <conditionalFormatting sqref="F167">
    <cfRule type="expression" dxfId="3802" priority="66">
      <formula>Y167="JAUNE"</formula>
    </cfRule>
  </conditionalFormatting>
  <conditionalFormatting sqref="F182">
    <cfRule type="notContainsBlanks" dxfId="3801" priority="51">
      <formula>LEN(TRIM(F182))&gt;0</formula>
    </cfRule>
  </conditionalFormatting>
  <conditionalFormatting sqref="F185">
    <cfRule type="notContainsBlanks" dxfId="3800" priority="50">
      <formula>LEN(TRIM(F185))&gt;0</formula>
    </cfRule>
  </conditionalFormatting>
  <conditionalFormatting sqref="F85:H85">
    <cfRule type="expression" dxfId="3799" priority="10">
      <formula>Z84="JAUNE"</formula>
    </cfRule>
  </conditionalFormatting>
  <conditionalFormatting sqref="F87:H87">
    <cfRule type="expression" dxfId="3798" priority="6">
      <formula>Z86="JAUNE"</formula>
    </cfRule>
  </conditionalFormatting>
  <conditionalFormatting sqref="F89:H89 F91:H91 F93:H93 F95:H95 F97:H97 F99:H99 F101:H101 F103:H103 F105:H105 F107:H107 F109:H109 F111:H111 F113:H113 F115:H115 F117:H117 F119:H119 F121:H121 F123:H123 F125:H125 F127:H127 F129:H129 F131:H131 F133:H133 F135:H135 F137:H137 F139:H139 F141:H141 F143:H143 F145:H145 F147:H147 F149:H149 F151:H151 F153:H153 F155:H155 F157:H157">
    <cfRule type="expression" dxfId="3797" priority="2">
      <formula>Z88="JAUNE"</formula>
    </cfRule>
  </conditionalFormatting>
  <conditionalFormatting sqref="I85">
    <cfRule type="expression" dxfId="3796" priority="9">
      <formula>AA84="JAUNE"</formula>
    </cfRule>
  </conditionalFormatting>
  <conditionalFormatting sqref="I87">
    <cfRule type="expression" dxfId="3795" priority="5">
      <formula>AA86="JAUNE"</formula>
    </cfRule>
  </conditionalFormatting>
  <conditionalFormatting sqref="I89 I91 I93 I95 I97 I99 I101 I103 I105 I107 I109 I111 I113 I115 I117 I119 I121 I123 I125 I127 I129 I131 I133 I135 I137 I139 I141 I143 I145 I147 I149 I151 I153 I155 I157">
    <cfRule type="expression" dxfId="3794" priority="1">
      <formula>AA88="JAUNE"</formula>
    </cfRule>
  </conditionalFormatting>
  <conditionalFormatting sqref="I167">
    <cfRule type="expression" dxfId="3793" priority="64">
      <formula>AA167="JAUNE"</formula>
    </cfRule>
  </conditionalFormatting>
  <printOptions horizontalCentered="1"/>
  <pageMargins left="0.70866141732283472" right="0.70866141732283472" top="0.74803149606299213" bottom="0.74803149606299213" header="0.31496062992125984" footer="0.31496062992125984"/>
  <pageSetup paperSize="9" scale="58" fitToWidth="0" orientation="portrait" horizontalDpi="1200" verticalDpi="1200" r:id="rId1"/>
  <rowBreaks count="2" manualBreakCount="2">
    <brk id="75" max="9" man="1"/>
    <brk id="161"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666699"/>
  </sheetPr>
  <dimension ref="A1:M43"/>
  <sheetViews>
    <sheetView showGridLines="0" zoomScale="90" zoomScaleNormal="90" workbookViewId="0">
      <pane xSplit="1" topLeftCell="B1" activePane="topRight" state="frozenSplit"/>
      <selection activeCell="A3" sqref="A3"/>
      <selection pane="topRight" activeCell="B6" sqref="B6"/>
    </sheetView>
  </sheetViews>
  <sheetFormatPr baseColWidth="10" defaultColWidth="11.42578125" defaultRowHeight="12.75" x14ac:dyDescent="0.2"/>
  <cols>
    <col min="1" max="1" width="19.42578125" style="16" customWidth="1"/>
    <col min="2" max="3" width="15.7109375" style="16" customWidth="1"/>
    <col min="4" max="5" width="16.7109375" style="16" customWidth="1"/>
    <col min="6" max="11" width="15.7109375" style="16" customWidth="1"/>
    <col min="12" max="12" width="17.42578125" style="16" customWidth="1"/>
    <col min="13" max="15" width="15.85546875" style="16" customWidth="1"/>
    <col min="16" max="17" width="17.85546875" style="16" customWidth="1"/>
    <col min="18" max="19" width="17.5703125" style="16" customWidth="1"/>
    <col min="20" max="22" width="20.28515625" style="16" customWidth="1"/>
    <col min="23" max="16384" width="11.42578125" style="16"/>
  </cols>
  <sheetData>
    <row r="1" spans="1:13" x14ac:dyDescent="0.2">
      <c r="D1" s="1035" t="str">
        <f>+'Mode d''utilisation'!E2</f>
        <v>Syndicat National FO des Emplois de la Famille         www.emploisdelafamille-fo.fr</v>
      </c>
    </row>
    <row r="2" spans="1:13" ht="30.75" customHeight="1" x14ac:dyDescent="0.2">
      <c r="A2" s="2530" t="s">
        <v>1132</v>
      </c>
      <c r="B2" s="2530"/>
      <c r="C2" s="2530"/>
      <c r="D2" s="2530"/>
      <c r="E2" s="2530"/>
      <c r="F2" s="2530"/>
      <c r="G2" s="2530"/>
      <c r="H2" s="2530"/>
      <c r="I2" s="2530"/>
      <c r="J2" s="2530"/>
      <c r="K2" s="2530"/>
    </row>
    <row r="4" spans="1:13" ht="13.5" thickBot="1" x14ac:dyDescent="0.25"/>
    <row r="5" spans="1:13" ht="62.25" customHeight="1" thickTop="1" thickBot="1" x14ac:dyDescent="0.25">
      <c r="A5" s="697" t="s">
        <v>26</v>
      </c>
      <c r="B5" s="698" t="s">
        <v>1137</v>
      </c>
      <c r="C5" s="699" t="s">
        <v>1138</v>
      </c>
      <c r="D5" s="702" t="s">
        <v>1139</v>
      </c>
      <c r="E5" s="703" t="s">
        <v>1140</v>
      </c>
      <c r="F5" s="704" t="s">
        <v>1141</v>
      </c>
      <c r="G5" s="705" t="s">
        <v>1142</v>
      </c>
      <c r="H5" s="706" t="s">
        <v>1133</v>
      </c>
      <c r="I5" s="707" t="s">
        <v>1134</v>
      </c>
      <c r="J5" s="708" t="s">
        <v>1143</v>
      </c>
      <c r="K5" s="805" t="s">
        <v>1144</v>
      </c>
      <c r="L5" s="1481" t="s">
        <v>1574</v>
      </c>
      <c r="M5" s="1482" t="s">
        <v>1575</v>
      </c>
    </row>
    <row r="6" spans="1:13" x14ac:dyDescent="0.2">
      <c r="A6" s="709">
        <f>+Janvier!X3</f>
        <v>46023</v>
      </c>
      <c r="B6" s="693">
        <f ca="1">+Janvier!$T$35</f>
        <v>0</v>
      </c>
      <c r="C6" s="694">
        <f ca="1">+B6</f>
        <v>0</v>
      </c>
      <c r="D6" s="693">
        <f ca="1">+Janvier!$N$62</f>
        <v>0</v>
      </c>
      <c r="E6" s="694">
        <f ca="1">+D6</f>
        <v>0</v>
      </c>
      <c r="F6" s="693">
        <f ca="1">+Janvier!$Q$76</f>
        <v>0</v>
      </c>
      <c r="G6" s="694">
        <f ca="1">+F6</f>
        <v>0</v>
      </c>
      <c r="H6" s="693">
        <f ca="1">+Janvier!$Q$78</f>
        <v>0</v>
      </c>
      <c r="I6" s="694">
        <f ca="1">+H6</f>
        <v>0</v>
      </c>
      <c r="J6" s="693">
        <f ca="1">+Janvier!$Q$85</f>
        <v>0</v>
      </c>
      <c r="K6" s="710">
        <f ca="1">+J6</f>
        <v>0</v>
      </c>
      <c r="L6" s="693">
        <f ca="1">+Janvier!$Q$74</f>
        <v>0</v>
      </c>
      <c r="M6" s="710">
        <f ca="1">+L6</f>
        <v>0</v>
      </c>
    </row>
    <row r="7" spans="1:13" x14ac:dyDescent="0.2">
      <c r="A7" s="711">
        <f>+DATE(YEAR(A6),MONTH(A6)+1,DAY(A6))</f>
        <v>46054</v>
      </c>
      <c r="B7" s="695">
        <f>+Février!$T$35</f>
        <v>0</v>
      </c>
      <c r="C7" s="696">
        <f>IF(OR(B7="",B7=0),0,+B7+C6)</f>
        <v>0</v>
      </c>
      <c r="D7" s="695">
        <f>+Février!$N$62</f>
        <v>0</v>
      </c>
      <c r="E7" s="696">
        <f>IF(OR(D7="",D7=0),0,+D7+E6)</f>
        <v>0</v>
      </c>
      <c r="F7" s="695">
        <f>+Février!$Q$76</f>
        <v>0</v>
      </c>
      <c r="G7" s="696">
        <f>IF(OR(F7="",F7=0),0,+F7+G6)</f>
        <v>0</v>
      </c>
      <c r="H7" s="695">
        <f>+Février!$Q$78</f>
        <v>0</v>
      </c>
      <c r="I7" s="696">
        <f>IF(OR(H7="",H7=0),0,+H7+I6)</f>
        <v>0</v>
      </c>
      <c r="J7" s="695">
        <f>+Février!$Q$85</f>
        <v>0</v>
      </c>
      <c r="K7" s="712">
        <f>IF(OR(J7="",J7=0),0,+J7+K6)</f>
        <v>0</v>
      </c>
      <c r="L7" s="695">
        <f>+Février!$Q$74</f>
        <v>0</v>
      </c>
      <c r="M7" s="712">
        <f>IF(OR(L7="",L7=0),0,+L7+M6)</f>
        <v>0</v>
      </c>
    </row>
    <row r="8" spans="1:13" x14ac:dyDescent="0.2">
      <c r="A8" s="711">
        <f t="shared" ref="A8:A17" si="0">+DATE(YEAR(A7),MONTH(A7)+1,DAY(A7))</f>
        <v>46082</v>
      </c>
      <c r="B8" s="695">
        <f>+Mars!$T$35</f>
        <v>0</v>
      </c>
      <c r="C8" s="696">
        <f t="shared" ref="C8:K17" si="1">IF(OR(B8="",B8=0),0,+B8+C7)</f>
        <v>0</v>
      </c>
      <c r="D8" s="695">
        <f>+Mars!$N$62</f>
        <v>0</v>
      </c>
      <c r="E8" s="696">
        <f t="shared" si="1"/>
        <v>0</v>
      </c>
      <c r="F8" s="695">
        <f>+Mars!$Q$76</f>
        <v>0</v>
      </c>
      <c r="G8" s="696">
        <f t="shared" si="1"/>
        <v>0</v>
      </c>
      <c r="H8" s="695">
        <f>+Mars!$Q$78</f>
        <v>0</v>
      </c>
      <c r="I8" s="696">
        <f t="shared" si="1"/>
        <v>0</v>
      </c>
      <c r="J8" s="695">
        <f>+Mars!$Q$85</f>
        <v>0</v>
      </c>
      <c r="K8" s="712">
        <f t="shared" si="1"/>
        <v>0</v>
      </c>
      <c r="L8" s="695">
        <f>+Mars!$Q$74</f>
        <v>0</v>
      </c>
      <c r="M8" s="712">
        <f t="shared" ref="M8:M17" si="2">IF(OR(L8="",L8=0),0,+L8+M7)</f>
        <v>0</v>
      </c>
    </row>
    <row r="9" spans="1:13" x14ac:dyDescent="0.2">
      <c r="A9" s="711">
        <f t="shared" si="0"/>
        <v>46113</v>
      </c>
      <c r="B9" s="695">
        <f>+Avril!$T$35</f>
        <v>0</v>
      </c>
      <c r="C9" s="696">
        <f t="shared" si="1"/>
        <v>0</v>
      </c>
      <c r="D9" s="695">
        <f>+Avril!$N$62</f>
        <v>0</v>
      </c>
      <c r="E9" s="696">
        <f t="shared" si="1"/>
        <v>0</v>
      </c>
      <c r="F9" s="695">
        <f>+Avril!$Q$76</f>
        <v>0</v>
      </c>
      <c r="G9" s="696">
        <f t="shared" si="1"/>
        <v>0</v>
      </c>
      <c r="H9" s="695">
        <f>+Avril!$Q$78</f>
        <v>0</v>
      </c>
      <c r="I9" s="696">
        <f t="shared" si="1"/>
        <v>0</v>
      </c>
      <c r="J9" s="695">
        <f>+Avril!$Q$85</f>
        <v>0</v>
      </c>
      <c r="K9" s="712">
        <f t="shared" si="1"/>
        <v>0</v>
      </c>
      <c r="L9" s="695">
        <f>+Avril!$Q$74</f>
        <v>0</v>
      </c>
      <c r="M9" s="712">
        <f t="shared" si="2"/>
        <v>0</v>
      </c>
    </row>
    <row r="10" spans="1:13" x14ac:dyDescent="0.2">
      <c r="A10" s="711">
        <f t="shared" si="0"/>
        <v>46143</v>
      </c>
      <c r="B10" s="695">
        <f>+Mai!$T$35</f>
        <v>0</v>
      </c>
      <c r="C10" s="696">
        <f t="shared" si="1"/>
        <v>0</v>
      </c>
      <c r="D10" s="695">
        <f>+Mai!$N$62</f>
        <v>0</v>
      </c>
      <c r="E10" s="696">
        <f t="shared" si="1"/>
        <v>0</v>
      </c>
      <c r="F10" s="695">
        <f>+Mai!$Q$76</f>
        <v>0</v>
      </c>
      <c r="G10" s="696">
        <f t="shared" si="1"/>
        <v>0</v>
      </c>
      <c r="H10" s="695">
        <f>+Mai!$Q$78</f>
        <v>0</v>
      </c>
      <c r="I10" s="696">
        <f t="shared" si="1"/>
        <v>0</v>
      </c>
      <c r="J10" s="695">
        <f>+Mai!$Q$85</f>
        <v>0</v>
      </c>
      <c r="K10" s="712">
        <f t="shared" si="1"/>
        <v>0</v>
      </c>
      <c r="L10" s="695">
        <f>+Mai!$Q$74</f>
        <v>0</v>
      </c>
      <c r="M10" s="712">
        <f t="shared" si="2"/>
        <v>0</v>
      </c>
    </row>
    <row r="11" spans="1:13" x14ac:dyDescent="0.2">
      <c r="A11" s="711">
        <f t="shared" si="0"/>
        <v>46174</v>
      </c>
      <c r="B11" s="695">
        <f ca="1">+Juin!$T$35</f>
        <v>0</v>
      </c>
      <c r="C11" s="696">
        <f t="shared" ca="1" si="1"/>
        <v>0</v>
      </c>
      <c r="D11" s="695">
        <f ca="1">+Juin!$N$62</f>
        <v>0</v>
      </c>
      <c r="E11" s="696">
        <f t="shared" ca="1" si="1"/>
        <v>0</v>
      </c>
      <c r="F11" s="695">
        <f ca="1">+Juin!$Q$76</f>
        <v>0</v>
      </c>
      <c r="G11" s="696">
        <f t="shared" ca="1" si="1"/>
        <v>0</v>
      </c>
      <c r="H11" s="695">
        <f ca="1">+Juin!$Q$78</f>
        <v>0</v>
      </c>
      <c r="I11" s="696">
        <f t="shared" ca="1" si="1"/>
        <v>0</v>
      </c>
      <c r="J11" s="695">
        <f ca="1">+Juin!$Q$85</f>
        <v>0</v>
      </c>
      <c r="K11" s="712">
        <f t="shared" ca="1" si="1"/>
        <v>0</v>
      </c>
      <c r="L11" s="695">
        <f ca="1">+Juin!$Q$74</f>
        <v>0</v>
      </c>
      <c r="M11" s="712">
        <f t="shared" ca="1" si="2"/>
        <v>0</v>
      </c>
    </row>
    <row r="12" spans="1:13" x14ac:dyDescent="0.2">
      <c r="A12" s="711">
        <f t="shared" si="0"/>
        <v>46204</v>
      </c>
      <c r="B12" s="695">
        <f>+Juillet!$T$35</f>
        <v>0</v>
      </c>
      <c r="C12" s="696">
        <f t="shared" si="1"/>
        <v>0</v>
      </c>
      <c r="D12" s="695">
        <f>+Juillet!$N$62</f>
        <v>0</v>
      </c>
      <c r="E12" s="696">
        <f t="shared" si="1"/>
        <v>0</v>
      </c>
      <c r="F12" s="695">
        <f>+Juillet!$Q$76</f>
        <v>0</v>
      </c>
      <c r="G12" s="696">
        <f t="shared" si="1"/>
        <v>0</v>
      </c>
      <c r="H12" s="695">
        <f>+Juillet!$Q$78</f>
        <v>0</v>
      </c>
      <c r="I12" s="696">
        <f t="shared" si="1"/>
        <v>0</v>
      </c>
      <c r="J12" s="695">
        <f>+Juillet!$Q$85</f>
        <v>0</v>
      </c>
      <c r="K12" s="712">
        <f t="shared" si="1"/>
        <v>0</v>
      </c>
      <c r="L12" s="695">
        <f>+Juillet!$Q$74</f>
        <v>0</v>
      </c>
      <c r="M12" s="712">
        <f t="shared" si="2"/>
        <v>0</v>
      </c>
    </row>
    <row r="13" spans="1:13" x14ac:dyDescent="0.2">
      <c r="A13" s="711">
        <f t="shared" si="0"/>
        <v>46235</v>
      </c>
      <c r="B13" s="695">
        <f>+Aout!$T$35</f>
        <v>0</v>
      </c>
      <c r="C13" s="696">
        <f t="shared" si="1"/>
        <v>0</v>
      </c>
      <c r="D13" s="695">
        <f>+Aout!$N$62</f>
        <v>0</v>
      </c>
      <c r="E13" s="696">
        <f t="shared" si="1"/>
        <v>0</v>
      </c>
      <c r="F13" s="695">
        <f>+Aout!$Q$76</f>
        <v>0</v>
      </c>
      <c r="G13" s="696">
        <f t="shared" si="1"/>
        <v>0</v>
      </c>
      <c r="H13" s="695">
        <f>+Aout!$Q$78</f>
        <v>0</v>
      </c>
      <c r="I13" s="696">
        <f t="shared" si="1"/>
        <v>0</v>
      </c>
      <c r="J13" s="695">
        <f>+Aout!$Q$85</f>
        <v>0</v>
      </c>
      <c r="K13" s="712">
        <f t="shared" si="1"/>
        <v>0</v>
      </c>
      <c r="L13" s="695">
        <f>+Aout!$Q$74</f>
        <v>0</v>
      </c>
      <c r="M13" s="712">
        <f t="shared" si="2"/>
        <v>0</v>
      </c>
    </row>
    <row r="14" spans="1:13" x14ac:dyDescent="0.2">
      <c r="A14" s="711">
        <f t="shared" si="0"/>
        <v>46266</v>
      </c>
      <c r="B14" s="695">
        <f>+Septembre!$T$35</f>
        <v>0</v>
      </c>
      <c r="C14" s="696">
        <f t="shared" si="1"/>
        <v>0</v>
      </c>
      <c r="D14" s="695">
        <f>+Septembre!$N$62</f>
        <v>0</v>
      </c>
      <c r="E14" s="696">
        <f t="shared" si="1"/>
        <v>0</v>
      </c>
      <c r="F14" s="695">
        <f>+Septembre!$Q$76</f>
        <v>0</v>
      </c>
      <c r="G14" s="696">
        <f t="shared" si="1"/>
        <v>0</v>
      </c>
      <c r="H14" s="695">
        <f>+Septembre!$Q$78</f>
        <v>0</v>
      </c>
      <c r="I14" s="696">
        <f t="shared" si="1"/>
        <v>0</v>
      </c>
      <c r="J14" s="695">
        <f>+Septembre!$Q$85</f>
        <v>0</v>
      </c>
      <c r="K14" s="712">
        <f t="shared" si="1"/>
        <v>0</v>
      </c>
      <c r="L14" s="695">
        <f>+Septembre!$Q$74</f>
        <v>0</v>
      </c>
      <c r="M14" s="712">
        <f t="shared" si="2"/>
        <v>0</v>
      </c>
    </row>
    <row r="15" spans="1:13" x14ac:dyDescent="0.2">
      <c r="A15" s="711">
        <f t="shared" si="0"/>
        <v>46296</v>
      </c>
      <c r="B15" s="695">
        <f>+Octobre!$T$35</f>
        <v>0</v>
      </c>
      <c r="C15" s="696">
        <f t="shared" si="1"/>
        <v>0</v>
      </c>
      <c r="D15" s="695">
        <f>+Octobre!$N$62</f>
        <v>0</v>
      </c>
      <c r="E15" s="696">
        <f t="shared" si="1"/>
        <v>0</v>
      </c>
      <c r="F15" s="695">
        <f>+Octobre!$Q$76</f>
        <v>0</v>
      </c>
      <c r="G15" s="696">
        <f t="shared" si="1"/>
        <v>0</v>
      </c>
      <c r="H15" s="695">
        <f>+Octobre!$Q$78</f>
        <v>0</v>
      </c>
      <c r="I15" s="696">
        <f t="shared" si="1"/>
        <v>0</v>
      </c>
      <c r="J15" s="695">
        <f>+Octobre!$Q$85</f>
        <v>0</v>
      </c>
      <c r="K15" s="712">
        <f t="shared" si="1"/>
        <v>0</v>
      </c>
      <c r="L15" s="695">
        <f>+Octobre!$Q$74</f>
        <v>0</v>
      </c>
      <c r="M15" s="712">
        <f t="shared" si="2"/>
        <v>0</v>
      </c>
    </row>
    <row r="16" spans="1:13" x14ac:dyDescent="0.2">
      <c r="A16" s="711">
        <f t="shared" si="0"/>
        <v>46327</v>
      </c>
      <c r="B16" s="695">
        <f>+Novembre!$T$35</f>
        <v>0</v>
      </c>
      <c r="C16" s="696">
        <f t="shared" si="1"/>
        <v>0</v>
      </c>
      <c r="D16" s="695">
        <f>+Novembre!$N$62</f>
        <v>0</v>
      </c>
      <c r="E16" s="696">
        <f t="shared" si="1"/>
        <v>0</v>
      </c>
      <c r="F16" s="695">
        <f>+Novembre!$Q$76</f>
        <v>0</v>
      </c>
      <c r="G16" s="696">
        <f t="shared" si="1"/>
        <v>0</v>
      </c>
      <c r="H16" s="695">
        <f>+Novembre!$Q$78</f>
        <v>0</v>
      </c>
      <c r="I16" s="696">
        <f t="shared" si="1"/>
        <v>0</v>
      </c>
      <c r="J16" s="695">
        <f>+Novembre!$Q$85</f>
        <v>0</v>
      </c>
      <c r="K16" s="712">
        <f t="shared" si="1"/>
        <v>0</v>
      </c>
      <c r="L16" s="695">
        <f>+Novembre!$Q$74</f>
        <v>0</v>
      </c>
      <c r="M16" s="712">
        <f t="shared" si="2"/>
        <v>0</v>
      </c>
    </row>
    <row r="17" spans="1:13" ht="13.5" thickBot="1" x14ac:dyDescent="0.25">
      <c r="A17" s="713">
        <f t="shared" si="0"/>
        <v>46357</v>
      </c>
      <c r="B17" s="714">
        <f>+Décembre!$T$35</f>
        <v>0</v>
      </c>
      <c r="C17" s="1011">
        <f t="shared" si="1"/>
        <v>0</v>
      </c>
      <c r="D17" s="714">
        <f>+Décembre!$N$62</f>
        <v>0</v>
      </c>
      <c r="E17" s="1011">
        <f t="shared" si="1"/>
        <v>0</v>
      </c>
      <c r="F17" s="714">
        <f>+Décembre!$Q$76</f>
        <v>0</v>
      </c>
      <c r="G17" s="1011">
        <f t="shared" si="1"/>
        <v>0</v>
      </c>
      <c r="H17" s="714">
        <f>+Décembre!$Q$78</f>
        <v>0</v>
      </c>
      <c r="I17" s="1011">
        <f t="shared" si="1"/>
        <v>0</v>
      </c>
      <c r="J17" s="714">
        <f>+Décembre!$Q$85</f>
        <v>0</v>
      </c>
      <c r="K17" s="715">
        <f t="shared" si="1"/>
        <v>0</v>
      </c>
      <c r="L17" s="714">
        <f>+Décembre!$Q$74</f>
        <v>0</v>
      </c>
      <c r="M17" s="715">
        <f t="shared" si="2"/>
        <v>0</v>
      </c>
    </row>
    <row r="18" spans="1:13" ht="14.25" thickTop="1" thickBot="1" x14ac:dyDescent="0.25"/>
    <row r="19" spans="1:13" ht="14.25" thickTop="1" thickBot="1" x14ac:dyDescent="0.25">
      <c r="B19" s="716">
        <f ca="1">SUM(B6:B17)</f>
        <v>0</v>
      </c>
      <c r="D19" s="716">
        <f ca="1">SUM(D6:D17)</f>
        <v>0</v>
      </c>
      <c r="F19" s="716">
        <f ca="1">SUM(F6:F17)</f>
        <v>0</v>
      </c>
      <c r="H19" s="716">
        <f ca="1">SUM(H6:H17)</f>
        <v>0</v>
      </c>
      <c r="J19" s="716">
        <f ca="1">SUM(J6:J17)</f>
        <v>0</v>
      </c>
      <c r="L19" s="716">
        <f ca="1">SUM(L6:L17)</f>
        <v>0</v>
      </c>
    </row>
    <row r="20" spans="1:13" ht="13.5" thickTop="1" x14ac:dyDescent="0.2"/>
    <row r="27" spans="1:13" ht="13.5" thickBot="1" x14ac:dyDescent="0.25"/>
    <row r="28" spans="1:13" ht="52.5" thickTop="1" thickBot="1" x14ac:dyDescent="0.25">
      <c r="A28" s="697" t="str">
        <f t="shared" ref="A28:A40" si="3">A5</f>
        <v>Mois</v>
      </c>
      <c r="B28" s="717" t="s">
        <v>1380</v>
      </c>
      <c r="C28" s="721" t="s">
        <v>1381</v>
      </c>
      <c r="D28" s="700" t="s">
        <v>1136</v>
      </c>
      <c r="E28" s="701" t="s">
        <v>1135</v>
      </c>
      <c r="F28" s="718" t="s">
        <v>1382</v>
      </c>
      <c r="G28" s="722" t="s">
        <v>1383</v>
      </c>
      <c r="H28" s="719" t="s">
        <v>1145</v>
      </c>
      <c r="I28" s="720" t="s">
        <v>1146</v>
      </c>
      <c r="J28" s="793" t="s">
        <v>1459</v>
      </c>
      <c r="K28" s="794" t="s">
        <v>1157</v>
      </c>
      <c r="L28" s="795" t="s">
        <v>1158</v>
      </c>
    </row>
    <row r="29" spans="1:13" x14ac:dyDescent="0.2">
      <c r="A29" s="709">
        <f t="shared" si="3"/>
        <v>46023</v>
      </c>
      <c r="B29" s="693">
        <f>+Janvier!$E$75</f>
        <v>0</v>
      </c>
      <c r="C29" s="694">
        <f>+B29</f>
        <v>0</v>
      </c>
      <c r="D29" s="693">
        <f ca="1">+Janvier!$E$74</f>
        <v>0</v>
      </c>
      <c r="E29" s="694">
        <f ca="1">+D29</f>
        <v>0</v>
      </c>
      <c r="F29" s="693">
        <f>+Impôts!I6</f>
        <v>0</v>
      </c>
      <c r="G29" s="694">
        <f>+F29</f>
        <v>0</v>
      </c>
      <c r="H29" s="693">
        <f ca="1">+Impôts!G6</f>
        <v>0</v>
      </c>
      <c r="I29" s="710">
        <f ca="1">+H29</f>
        <v>0</v>
      </c>
      <c r="J29" s="796">
        <f>+Janvier!$BZ$68</f>
        <v>0</v>
      </c>
      <c r="K29" s="797">
        <f ca="1">IFERROR(+Janvier!$BZ$81,0)</f>
        <v>0</v>
      </c>
      <c r="L29" s="798">
        <f>+Janvier!$BZ$84</f>
        <v>0</v>
      </c>
    </row>
    <row r="30" spans="1:13" x14ac:dyDescent="0.2">
      <c r="A30" s="711">
        <f t="shared" si="3"/>
        <v>46054</v>
      </c>
      <c r="B30" s="695">
        <f>+Février!$E$75</f>
        <v>0</v>
      </c>
      <c r="C30" s="696">
        <f>IF(OR(B30="",B30=0),0,+B30+C29)</f>
        <v>0</v>
      </c>
      <c r="D30" s="695">
        <f>+Février!$E$74</f>
        <v>0</v>
      </c>
      <c r="E30" s="696">
        <f>IF(OR(D30="",D30=0),0,+D30+E29)</f>
        <v>0</v>
      </c>
      <c r="F30" s="693">
        <f>+Impôts!I7</f>
        <v>0</v>
      </c>
      <c r="G30" s="696">
        <f>IF(OR(F30="",F30=0),0,+F30+G29)</f>
        <v>0</v>
      </c>
      <c r="H30" s="693">
        <f>+Impôts!G7</f>
        <v>0</v>
      </c>
      <c r="I30" s="712">
        <f>IF(OR(H30="",H30=0),0,+H30+I29)</f>
        <v>0</v>
      </c>
      <c r="J30" s="799">
        <f>+Février!$BZ$68</f>
        <v>0</v>
      </c>
      <c r="K30" s="800">
        <f>+IFERROR(Février!$BZ$81,0)</f>
        <v>0</v>
      </c>
      <c r="L30" s="801">
        <f>+Février!$BZ$84</f>
        <v>0</v>
      </c>
    </row>
    <row r="31" spans="1:13" x14ac:dyDescent="0.2">
      <c r="A31" s="711">
        <f t="shared" si="3"/>
        <v>46082</v>
      </c>
      <c r="B31" s="695">
        <f>+Mars!$E$75</f>
        <v>0</v>
      </c>
      <c r="C31" s="696">
        <f t="shared" ref="C31:C40" si="4">IF(OR(B31="",B31=0),0,+B31+C30)</f>
        <v>0</v>
      </c>
      <c r="D31" s="695">
        <f>+Mars!$E$74</f>
        <v>0</v>
      </c>
      <c r="E31" s="696">
        <f t="shared" ref="E31:E40" si="5">IF(OR(D31="",D31=0),0,+D31+E30)</f>
        <v>0</v>
      </c>
      <c r="F31" s="693">
        <f>+Impôts!I8</f>
        <v>0</v>
      </c>
      <c r="G31" s="696">
        <f t="shared" ref="G31:G40" si="6">IF(OR(F31="",F31=0),0,+F31+G30)</f>
        <v>0</v>
      </c>
      <c r="H31" s="693">
        <f>+Impôts!G8</f>
        <v>0</v>
      </c>
      <c r="I31" s="712">
        <f t="shared" ref="I31:I40" si="7">IF(OR(H31="",H31=0),0,+H31+I30)</f>
        <v>0</v>
      </c>
      <c r="J31" s="799">
        <f>+Mars!$BZ$68</f>
        <v>0</v>
      </c>
      <c r="K31" s="800">
        <f>+IFERROR(Mars!$BZ$81,0)</f>
        <v>0</v>
      </c>
      <c r="L31" s="801">
        <f>+Mars!$BZ$84</f>
        <v>0</v>
      </c>
    </row>
    <row r="32" spans="1:13" x14ac:dyDescent="0.2">
      <c r="A32" s="711">
        <f t="shared" si="3"/>
        <v>46113</v>
      </c>
      <c r="B32" s="695">
        <f>+Avril!$E$75</f>
        <v>0</v>
      </c>
      <c r="C32" s="696">
        <f t="shared" si="4"/>
        <v>0</v>
      </c>
      <c r="D32" s="695">
        <f>+Avril!$E$74</f>
        <v>0</v>
      </c>
      <c r="E32" s="696">
        <f t="shared" si="5"/>
        <v>0</v>
      </c>
      <c r="F32" s="693">
        <f>+Impôts!I9</f>
        <v>0</v>
      </c>
      <c r="G32" s="696">
        <f t="shared" si="6"/>
        <v>0</v>
      </c>
      <c r="H32" s="693">
        <f>+Impôts!G9</f>
        <v>0</v>
      </c>
      <c r="I32" s="712">
        <f t="shared" si="7"/>
        <v>0</v>
      </c>
      <c r="J32" s="799">
        <f>+Avril!$BZ$68</f>
        <v>0</v>
      </c>
      <c r="K32" s="800">
        <f>IFERROR(+Avril!$BZ$81,0)</f>
        <v>0</v>
      </c>
      <c r="L32" s="801">
        <f>+Avril!$BZ$84</f>
        <v>0</v>
      </c>
    </row>
    <row r="33" spans="1:12" x14ac:dyDescent="0.2">
      <c r="A33" s="711">
        <f t="shared" si="3"/>
        <v>46143</v>
      </c>
      <c r="B33" s="695">
        <f>+Mai!$E$75</f>
        <v>0</v>
      </c>
      <c r="C33" s="696">
        <f t="shared" si="4"/>
        <v>0</v>
      </c>
      <c r="D33" s="695">
        <f>+Mai!$E$74</f>
        <v>0</v>
      </c>
      <c r="E33" s="696">
        <f t="shared" si="5"/>
        <v>0</v>
      </c>
      <c r="F33" s="693">
        <f>+Impôts!I10</f>
        <v>0</v>
      </c>
      <c r="G33" s="696">
        <f t="shared" si="6"/>
        <v>0</v>
      </c>
      <c r="H33" s="693">
        <f>+Impôts!G10</f>
        <v>0</v>
      </c>
      <c r="I33" s="712">
        <f t="shared" si="7"/>
        <v>0</v>
      </c>
      <c r="J33" s="799">
        <f>+Mai!$BZ$68</f>
        <v>0</v>
      </c>
      <c r="K33" s="800">
        <f>IFERROR(+Mai!$BZ$81,0)</f>
        <v>0</v>
      </c>
      <c r="L33" s="801">
        <f>+Mai!$BZ$84</f>
        <v>0</v>
      </c>
    </row>
    <row r="34" spans="1:12" x14ac:dyDescent="0.2">
      <c r="A34" s="711">
        <f t="shared" si="3"/>
        <v>46174</v>
      </c>
      <c r="B34" s="695">
        <f>+Juin!$E$75</f>
        <v>0</v>
      </c>
      <c r="C34" s="696">
        <f t="shared" si="4"/>
        <v>0</v>
      </c>
      <c r="D34" s="695">
        <f ca="1">+Juin!$E$74</f>
        <v>0</v>
      </c>
      <c r="E34" s="696">
        <f t="shared" ca="1" si="5"/>
        <v>0</v>
      </c>
      <c r="F34" s="693">
        <f>+Impôts!I11</f>
        <v>0</v>
      </c>
      <c r="G34" s="696">
        <f t="shared" si="6"/>
        <v>0</v>
      </c>
      <c r="H34" s="693">
        <f>+Impôts!G11</f>
        <v>0</v>
      </c>
      <c r="I34" s="712">
        <f t="shared" si="7"/>
        <v>0</v>
      </c>
      <c r="J34" s="799">
        <f>+Juin!$BZ$68</f>
        <v>0</v>
      </c>
      <c r="K34" s="800">
        <f>IFERROR(+Juin!$BZ$81,0)</f>
        <v>0</v>
      </c>
      <c r="L34" s="801">
        <f>+Juin!$BZ$84</f>
        <v>0</v>
      </c>
    </row>
    <row r="35" spans="1:12" x14ac:dyDescent="0.2">
      <c r="A35" s="711">
        <f t="shared" si="3"/>
        <v>46204</v>
      </c>
      <c r="B35" s="695">
        <f>+Juillet!$E$75</f>
        <v>0</v>
      </c>
      <c r="C35" s="696">
        <f t="shared" si="4"/>
        <v>0</v>
      </c>
      <c r="D35" s="695">
        <f>+Juillet!$E$74</f>
        <v>0</v>
      </c>
      <c r="E35" s="696">
        <f t="shared" si="5"/>
        <v>0</v>
      </c>
      <c r="F35" s="693">
        <f>+Impôts!I12</f>
        <v>0</v>
      </c>
      <c r="G35" s="696">
        <f t="shared" si="6"/>
        <v>0</v>
      </c>
      <c r="H35" s="693">
        <f>+Impôts!G12</f>
        <v>0</v>
      </c>
      <c r="I35" s="712">
        <f t="shared" si="7"/>
        <v>0</v>
      </c>
      <c r="J35" s="799">
        <f>+Juillet!$BZ$68</f>
        <v>0</v>
      </c>
      <c r="K35" s="800">
        <f>IFERROR(+Juillet!$BZ$81,0)</f>
        <v>0</v>
      </c>
      <c r="L35" s="801">
        <f>+Juillet!$BZ$84</f>
        <v>0</v>
      </c>
    </row>
    <row r="36" spans="1:12" x14ac:dyDescent="0.2">
      <c r="A36" s="711">
        <f t="shared" si="3"/>
        <v>46235</v>
      </c>
      <c r="B36" s="695">
        <f>+Aout!$E$75</f>
        <v>0</v>
      </c>
      <c r="C36" s="696">
        <f t="shared" si="4"/>
        <v>0</v>
      </c>
      <c r="D36" s="695">
        <f>+Aout!$E$74</f>
        <v>0</v>
      </c>
      <c r="E36" s="696">
        <f t="shared" si="5"/>
        <v>0</v>
      </c>
      <c r="F36" s="693">
        <f>+Impôts!I13</f>
        <v>0</v>
      </c>
      <c r="G36" s="696">
        <f t="shared" si="6"/>
        <v>0</v>
      </c>
      <c r="H36" s="693">
        <f>+Impôts!G13</f>
        <v>0</v>
      </c>
      <c r="I36" s="712">
        <f t="shared" si="7"/>
        <v>0</v>
      </c>
      <c r="J36" s="799">
        <f>+Aout!$BZ$68</f>
        <v>0</v>
      </c>
      <c r="K36" s="800">
        <f>+IFERROR(Aout!$BZ$81,0)</f>
        <v>0</v>
      </c>
      <c r="L36" s="801">
        <f>+Aout!$BZ$84</f>
        <v>0</v>
      </c>
    </row>
    <row r="37" spans="1:12" x14ac:dyDescent="0.2">
      <c r="A37" s="711">
        <f t="shared" si="3"/>
        <v>46266</v>
      </c>
      <c r="B37" s="695">
        <f>+Septembre!$E$75</f>
        <v>0</v>
      </c>
      <c r="C37" s="696">
        <f t="shared" si="4"/>
        <v>0</v>
      </c>
      <c r="D37" s="695">
        <f>+Septembre!$E$74</f>
        <v>0</v>
      </c>
      <c r="E37" s="696">
        <f t="shared" si="5"/>
        <v>0</v>
      </c>
      <c r="F37" s="693">
        <f>+Impôts!I14</f>
        <v>0</v>
      </c>
      <c r="G37" s="696">
        <f t="shared" si="6"/>
        <v>0</v>
      </c>
      <c r="H37" s="693">
        <f>+Impôts!G14</f>
        <v>0</v>
      </c>
      <c r="I37" s="712">
        <f t="shared" si="7"/>
        <v>0</v>
      </c>
      <c r="J37" s="799">
        <f>+Septembre!$BZ$68</f>
        <v>0</v>
      </c>
      <c r="K37" s="800">
        <f>+IFERROR(Septembre!$BZ$81,0)</f>
        <v>0</v>
      </c>
      <c r="L37" s="801">
        <f>+Septembre!$BZ$84</f>
        <v>0</v>
      </c>
    </row>
    <row r="38" spans="1:12" x14ac:dyDescent="0.2">
      <c r="A38" s="711">
        <f t="shared" si="3"/>
        <v>46296</v>
      </c>
      <c r="B38" s="695">
        <f>+Octobre!$E$75</f>
        <v>0</v>
      </c>
      <c r="C38" s="696">
        <f t="shared" si="4"/>
        <v>0</v>
      </c>
      <c r="D38" s="695">
        <f>+Octobre!$E$74</f>
        <v>0</v>
      </c>
      <c r="E38" s="696">
        <f t="shared" si="5"/>
        <v>0</v>
      </c>
      <c r="F38" s="693">
        <f>+Impôts!I15</f>
        <v>0</v>
      </c>
      <c r="G38" s="696">
        <f t="shared" si="6"/>
        <v>0</v>
      </c>
      <c r="H38" s="693">
        <f>+Impôts!G15</f>
        <v>0</v>
      </c>
      <c r="I38" s="712">
        <f t="shared" si="7"/>
        <v>0</v>
      </c>
      <c r="J38" s="799">
        <f>+Octobre!$BZ$68</f>
        <v>0</v>
      </c>
      <c r="K38" s="800">
        <f>+IFERROR(Octobre!$BZ$81,0)</f>
        <v>0</v>
      </c>
      <c r="L38" s="801">
        <f>+Octobre!$BZ$84</f>
        <v>0</v>
      </c>
    </row>
    <row r="39" spans="1:12" x14ac:dyDescent="0.2">
      <c r="A39" s="711">
        <f t="shared" si="3"/>
        <v>46327</v>
      </c>
      <c r="B39" s="695">
        <f>+Novembre!$E$75</f>
        <v>0</v>
      </c>
      <c r="C39" s="696">
        <f t="shared" si="4"/>
        <v>0</v>
      </c>
      <c r="D39" s="695">
        <f>+Novembre!$E$74</f>
        <v>0</v>
      </c>
      <c r="E39" s="696">
        <f t="shared" si="5"/>
        <v>0</v>
      </c>
      <c r="F39" s="693">
        <f>+Impôts!I16</f>
        <v>0</v>
      </c>
      <c r="G39" s="696">
        <f t="shared" si="6"/>
        <v>0</v>
      </c>
      <c r="H39" s="693">
        <f>+Impôts!G16</f>
        <v>0</v>
      </c>
      <c r="I39" s="712">
        <f t="shared" si="7"/>
        <v>0</v>
      </c>
      <c r="J39" s="799">
        <f>+Novembre!$BZ$68</f>
        <v>0</v>
      </c>
      <c r="K39" s="800">
        <f>+IFERROR(Novembre!$BZ$81,0)</f>
        <v>0</v>
      </c>
      <c r="L39" s="801">
        <f>+Novembre!$BZ$84</f>
        <v>0</v>
      </c>
    </row>
    <row r="40" spans="1:12" ht="13.5" thickBot="1" x14ac:dyDescent="0.25">
      <c r="A40" s="713">
        <f t="shared" si="3"/>
        <v>46357</v>
      </c>
      <c r="B40" s="714">
        <f>+Décembre!$E$75</f>
        <v>0</v>
      </c>
      <c r="C40" s="1011">
        <f t="shared" si="4"/>
        <v>0</v>
      </c>
      <c r="D40" s="714">
        <f>+Décembre!$E$74</f>
        <v>0</v>
      </c>
      <c r="E40" s="1011">
        <f t="shared" si="5"/>
        <v>0</v>
      </c>
      <c r="F40" s="723">
        <f>+Impôts!I17</f>
        <v>0</v>
      </c>
      <c r="G40" s="1011">
        <f t="shared" si="6"/>
        <v>0</v>
      </c>
      <c r="H40" s="723">
        <f>+Impôts!G17</f>
        <v>0</v>
      </c>
      <c r="I40" s="715">
        <f t="shared" si="7"/>
        <v>0</v>
      </c>
      <c r="J40" s="802">
        <f>+Décembre!$BZ$68</f>
        <v>0</v>
      </c>
      <c r="K40" s="803">
        <f>+IFERROR(Décembre!$BZ$81,0)</f>
        <v>0</v>
      </c>
      <c r="L40" s="804">
        <f>+Décembre!$BZ$84</f>
        <v>0</v>
      </c>
    </row>
    <row r="41" spans="1:12" ht="14.25" thickTop="1" thickBot="1" x14ac:dyDescent="0.25"/>
    <row r="42" spans="1:12" ht="14.25" thickTop="1" thickBot="1" x14ac:dyDescent="0.25">
      <c r="B42" s="716">
        <f>SUM(B29:B40)</f>
        <v>0</v>
      </c>
      <c r="D42" s="716">
        <f ca="1">SUM(D29:D40)</f>
        <v>0</v>
      </c>
      <c r="F42" s="716">
        <f>SUM(F29:F40)</f>
        <v>0</v>
      </c>
      <c r="H42" s="716">
        <f ca="1">SUM(H29:H40)</f>
        <v>0</v>
      </c>
    </row>
    <row r="43" spans="1:12" ht="13.5" thickTop="1" x14ac:dyDescent="0.2"/>
  </sheetData>
  <sheetProtection algorithmName="SHA-512" hashValue="hpzlUYvIuPWkRBrS91JpJzUfWagGPfV0HEMfXuMeG2RC4e+Y6sJq4A8HHKRNzCAlEFrP/OEHU9r6t/87+ZQueQ==" saltValue="K7ROuEtLZdWLg/f6SfqDfw==" spinCount="100000" sheet="1" objects="1" scenarios="1" formatCells="0" formatColumns="0" formatRows="0" insertColumns="0" insertRows="0" insertHyperlinks="0" sort="0" autoFilter="0" pivotTables="0"/>
  <mergeCells count="1">
    <mergeCell ref="A2:K2"/>
  </mergeCells>
  <pageMargins left="0.7" right="0.7" top="0.75" bottom="0.75" header="0.3" footer="0.3"/>
  <pageSetup paperSize="9" scale="62" orientation="landscape" horizontalDpi="1200"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32BB-A5E3-4997-83F5-DEA27ED147A2}">
  <sheetPr>
    <tabColor theme="8" tint="0.79998168889431442"/>
  </sheetPr>
  <dimension ref="A1:H16"/>
  <sheetViews>
    <sheetView showGridLines="0" workbookViewId="0">
      <selection activeCell="E5" sqref="E5"/>
    </sheetView>
  </sheetViews>
  <sheetFormatPr baseColWidth="10" defaultRowHeight="12.75" x14ac:dyDescent="0.2"/>
  <cols>
    <col min="1" max="1" width="16.5703125" customWidth="1"/>
    <col min="2" max="2" width="26.5703125" customWidth="1"/>
    <col min="3" max="3" width="34.85546875" customWidth="1"/>
    <col min="4" max="4" width="33.28515625" customWidth="1"/>
    <col min="5" max="5" width="16.7109375" customWidth="1"/>
    <col min="6" max="6" width="18" customWidth="1"/>
  </cols>
  <sheetData>
    <row r="1" spans="1:8" ht="18" x14ac:dyDescent="0.25">
      <c r="A1" s="992" t="s">
        <v>1652</v>
      </c>
    </row>
    <row r="2" spans="1:8" x14ac:dyDescent="0.2">
      <c r="A2" t="s">
        <v>1653</v>
      </c>
    </row>
    <row r="4" spans="1:8" ht="75.75" customHeight="1" x14ac:dyDescent="0.2">
      <c r="A4" s="1534" t="s">
        <v>26</v>
      </c>
      <c r="B4" s="1534" t="s">
        <v>1654</v>
      </c>
      <c r="C4" s="1535" t="s">
        <v>1655</v>
      </c>
      <c r="D4" s="1535" t="s">
        <v>1656</v>
      </c>
      <c r="E4" s="1536" t="s">
        <v>1657</v>
      </c>
      <c r="F4" s="1534" t="s">
        <v>1658</v>
      </c>
      <c r="G4" s="1537"/>
      <c r="H4" s="1537"/>
    </row>
    <row r="5" spans="1:8" x14ac:dyDescent="0.2">
      <c r="A5" s="1538">
        <f>+Janvier!X3</f>
        <v>46023</v>
      </c>
      <c r="B5" s="1539">
        <f t="shared" ref="B5:B16" ca="1" si="0">+VLOOKUP(A5,BDD,2,FALSE)</f>
        <v>0</v>
      </c>
      <c r="C5" s="1539" t="e">
        <f>+'Retenue Janv'!$F$90</f>
        <v>#DIV/0!</v>
      </c>
      <c r="D5" s="1539" t="e">
        <f>+'Retenue Janv'!$G$90</f>
        <v>#DIV/0!</v>
      </c>
      <c r="E5" s="1540">
        <f>IFERROR(ROUND(+D5+C5,2),0)</f>
        <v>0</v>
      </c>
      <c r="F5" s="1540">
        <f ca="1">+E5+B5</f>
        <v>0</v>
      </c>
    </row>
    <row r="6" spans="1:8" x14ac:dyDescent="0.2">
      <c r="A6" s="1538">
        <f>+DATE(YEAR(A5),MONTH(A5)+1,DAY(A5))</f>
        <v>46054</v>
      </c>
      <c r="B6" s="1539">
        <f t="shared" si="0"/>
        <v>0</v>
      </c>
      <c r="C6" s="1539" t="e">
        <f>+'Retenue Fev'!$F$90</f>
        <v>#DIV/0!</v>
      </c>
      <c r="D6" s="1539" t="e">
        <f>+'Retenue Fev'!$G$90</f>
        <v>#DIV/0!</v>
      </c>
      <c r="E6" s="1540">
        <f t="shared" ref="E6:E16" si="1">IFERROR(ROUND(+D6+C6,2),0)</f>
        <v>0</v>
      </c>
      <c r="F6" s="1540">
        <f t="shared" ref="F6:F16" si="2">+E6+B6</f>
        <v>0</v>
      </c>
    </row>
    <row r="7" spans="1:8" x14ac:dyDescent="0.2">
      <c r="A7" s="1538">
        <f t="shared" ref="A7:A16" si="3">+DATE(YEAR(A6),MONTH(A6)+1,DAY(A6))</f>
        <v>46082</v>
      </c>
      <c r="B7" s="1539">
        <f t="shared" si="0"/>
        <v>0</v>
      </c>
      <c r="C7" s="1539" t="e">
        <f>+'Retenue Mars'!$F$90</f>
        <v>#DIV/0!</v>
      </c>
      <c r="D7" s="1539" t="e">
        <f>+'Retenue Mars'!$G$90</f>
        <v>#DIV/0!</v>
      </c>
      <c r="E7" s="1540">
        <f t="shared" si="1"/>
        <v>0</v>
      </c>
      <c r="F7" s="1540">
        <f t="shared" si="2"/>
        <v>0</v>
      </c>
    </row>
    <row r="8" spans="1:8" x14ac:dyDescent="0.2">
      <c r="A8" s="1538">
        <f t="shared" si="3"/>
        <v>46113</v>
      </c>
      <c r="B8" s="1539">
        <f t="shared" si="0"/>
        <v>0</v>
      </c>
      <c r="C8" s="1539" t="e">
        <f>+'Retenue Avril'!$F$90</f>
        <v>#DIV/0!</v>
      </c>
      <c r="D8" s="1539" t="e">
        <f>+'Retenue Avril'!$G$90</f>
        <v>#DIV/0!</v>
      </c>
      <c r="E8" s="1540">
        <f t="shared" si="1"/>
        <v>0</v>
      </c>
      <c r="F8" s="1540">
        <f t="shared" si="2"/>
        <v>0</v>
      </c>
    </row>
    <row r="9" spans="1:8" x14ac:dyDescent="0.2">
      <c r="A9" s="1538">
        <f t="shared" si="3"/>
        <v>46143</v>
      </c>
      <c r="B9" s="1539">
        <f t="shared" si="0"/>
        <v>0</v>
      </c>
      <c r="C9" s="1539" t="e">
        <f>+'Retenue Mai'!$F$90</f>
        <v>#DIV/0!</v>
      </c>
      <c r="D9" s="1539" t="e">
        <f>+'Retenue Mai'!$G$90</f>
        <v>#DIV/0!</v>
      </c>
      <c r="E9" s="1540">
        <f t="shared" si="1"/>
        <v>0</v>
      </c>
      <c r="F9" s="1540">
        <f t="shared" si="2"/>
        <v>0</v>
      </c>
    </row>
    <row r="10" spans="1:8" x14ac:dyDescent="0.2">
      <c r="A10" s="1538">
        <f t="shared" si="3"/>
        <v>46174</v>
      </c>
      <c r="B10" s="1539">
        <f t="shared" si="0"/>
        <v>0</v>
      </c>
      <c r="C10" s="1539" t="e">
        <f>+'Retenue Juin'!$F$90</f>
        <v>#DIV/0!</v>
      </c>
      <c r="D10" s="1539" t="e">
        <f>+'Retenue Juin'!$G$90</f>
        <v>#DIV/0!</v>
      </c>
      <c r="E10" s="1540">
        <f t="shared" si="1"/>
        <v>0</v>
      </c>
      <c r="F10" s="1540">
        <f t="shared" si="2"/>
        <v>0</v>
      </c>
    </row>
    <row r="11" spans="1:8" x14ac:dyDescent="0.2">
      <c r="A11" s="1538">
        <f t="shared" si="3"/>
        <v>46204</v>
      </c>
      <c r="B11" s="1539">
        <f t="shared" si="0"/>
        <v>0</v>
      </c>
      <c r="C11" s="1539" t="e">
        <f>+'Retenue Juil'!$F$90</f>
        <v>#DIV/0!</v>
      </c>
      <c r="D11" s="1539" t="e">
        <f>+'Retenue Juil'!$G$90</f>
        <v>#DIV/0!</v>
      </c>
      <c r="E11" s="1540">
        <f t="shared" si="1"/>
        <v>0</v>
      </c>
      <c r="F11" s="1540">
        <f t="shared" si="2"/>
        <v>0</v>
      </c>
    </row>
    <row r="12" spans="1:8" x14ac:dyDescent="0.2">
      <c r="A12" s="1538">
        <f t="shared" si="3"/>
        <v>46235</v>
      </c>
      <c r="B12" s="1539">
        <f t="shared" si="0"/>
        <v>0</v>
      </c>
      <c r="C12" s="1539" t="e">
        <f>+'Retenue Aout'!$F$90</f>
        <v>#DIV/0!</v>
      </c>
      <c r="D12" s="1539" t="e">
        <f>+'Retenue Aout'!$G$90</f>
        <v>#DIV/0!</v>
      </c>
      <c r="E12" s="1540">
        <f t="shared" si="1"/>
        <v>0</v>
      </c>
      <c r="F12" s="1540">
        <f t="shared" si="2"/>
        <v>0</v>
      </c>
    </row>
    <row r="13" spans="1:8" x14ac:dyDescent="0.2">
      <c r="A13" s="1538">
        <f t="shared" si="3"/>
        <v>46266</v>
      </c>
      <c r="B13" s="1539">
        <f t="shared" si="0"/>
        <v>0</v>
      </c>
      <c r="C13" s="1539" t="e">
        <f>+'Retenue Sept'!$F$90</f>
        <v>#DIV/0!</v>
      </c>
      <c r="D13" s="1539" t="e">
        <f>+'Retenue Sept'!$G$90</f>
        <v>#DIV/0!</v>
      </c>
      <c r="E13" s="1540">
        <f t="shared" si="1"/>
        <v>0</v>
      </c>
      <c r="F13" s="1540">
        <f t="shared" si="2"/>
        <v>0</v>
      </c>
    </row>
    <row r="14" spans="1:8" x14ac:dyDescent="0.2">
      <c r="A14" s="1538">
        <f t="shared" si="3"/>
        <v>46296</v>
      </c>
      <c r="B14" s="1539">
        <f t="shared" si="0"/>
        <v>0</v>
      </c>
      <c r="C14" s="1539" t="e">
        <f>+'Retenue Oct'!$F$90</f>
        <v>#DIV/0!</v>
      </c>
      <c r="D14" s="1539" t="e">
        <f>+'Retenue Oct'!$G$90</f>
        <v>#DIV/0!</v>
      </c>
      <c r="E14" s="1540">
        <f t="shared" si="1"/>
        <v>0</v>
      </c>
      <c r="F14" s="1540">
        <f t="shared" si="2"/>
        <v>0</v>
      </c>
    </row>
    <row r="15" spans="1:8" x14ac:dyDescent="0.2">
      <c r="A15" s="1538">
        <f t="shared" si="3"/>
        <v>46327</v>
      </c>
      <c r="B15" s="1539">
        <f t="shared" si="0"/>
        <v>0</v>
      </c>
      <c r="C15" s="1539" t="e">
        <f>+'Retenue Nov'!$F$90</f>
        <v>#DIV/0!</v>
      </c>
      <c r="D15" s="1539" t="e">
        <f>+'Retenue Nov'!$G$90</f>
        <v>#DIV/0!</v>
      </c>
      <c r="E15" s="1540">
        <f t="shared" si="1"/>
        <v>0</v>
      </c>
      <c r="F15" s="1540">
        <f t="shared" si="2"/>
        <v>0</v>
      </c>
    </row>
    <row r="16" spans="1:8" x14ac:dyDescent="0.2">
      <c r="A16" s="1538">
        <f t="shared" si="3"/>
        <v>46357</v>
      </c>
      <c r="B16" s="1539">
        <f t="shared" si="0"/>
        <v>0</v>
      </c>
      <c r="C16" s="1539" t="e">
        <f>+'Retenue Déc'!$F$90</f>
        <v>#DIV/0!</v>
      </c>
      <c r="D16" s="1539" t="e">
        <f>+'Retenue Déc'!$G$90</f>
        <v>#DIV/0!</v>
      </c>
      <c r="E16" s="1540">
        <f t="shared" si="1"/>
        <v>0</v>
      </c>
      <c r="F16" s="1540">
        <f t="shared" si="2"/>
        <v>0</v>
      </c>
    </row>
  </sheetData>
  <sheetProtection algorithmName="SHA-512" hashValue="I1beO9DpENmhzcVmEH89H+wJtgcDQAVQCkDR7uHvo6jCX42uYuMAQdf0zD3RbZvafFk6dZ1Nn31yeC6+Z7fCYQ==" saltValue="+ARq/D8oMaRnVK6LPAt17g==" spinCount="100000" sheet="1" objects="1" scenarios="1" formatCells="0" formatColumns="0" formatRows="0" insertColumns="0" insertRows="0" insertHyperlinks="0" sort="0" autoFilter="0" pivotTables="0"/>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0000"/>
  </sheetPr>
  <dimension ref="A1:GA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17.5703125" style="563" hidden="1" customWidth="1"/>
    <col min="34" max="38" width="11.42578125" style="563" hidden="1" customWidth="1"/>
    <col min="39" max="39" width="12.85546875" style="563" hidden="1" customWidth="1"/>
    <col min="40" max="44" width="11.42578125" style="563" hidden="1" customWidth="1"/>
    <col min="45" max="45" width="12.7109375" style="563" hidden="1" customWidth="1"/>
    <col min="46"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11.42578125" style="16" customWidth="1"/>
    <col min="95" max="95" width="11.28515625" style="16" customWidth="1"/>
    <col min="96" max="96" width="16.85546875" customWidth="1"/>
    <col min="97" max="97" width="11.42578125" customWidth="1"/>
    <col min="98" max="108" width="11.42578125" hidden="1" customWidth="1"/>
    <col min="109" max="142" width="11.42578125" style="16" hidden="1" customWidth="1"/>
    <col min="143" max="143" width="22.140625" style="16" hidden="1" customWidth="1"/>
    <col min="144" max="144" width="12.140625" style="16" hidden="1" customWidth="1"/>
    <col min="145" max="183" width="11.42578125" style="16" hidden="1" customWidth="1"/>
    <col min="184"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887"/>
      <c r="G4" s="887"/>
      <c r="H4" s="887"/>
      <c r="I4" s="887"/>
      <c r="J4" s="888"/>
      <c r="K4" s="887"/>
      <c r="L4" s="887"/>
      <c r="M4" s="887"/>
      <c r="N4" s="887"/>
      <c r="O4" s="377"/>
      <c r="P4" s="887"/>
      <c r="BA4" s="328"/>
      <c r="BC4" s="17"/>
      <c r="BD4" s="17"/>
      <c r="BE4" s="17"/>
      <c r="BF4" s="17"/>
      <c r="BG4" s="17"/>
      <c r="BI4" s="17"/>
      <c r="CD4" s="328"/>
    </row>
    <row r="5" spans="1:144" ht="26.25" customHeight="1" x14ac:dyDescent="0.25">
      <c r="A5" s="1168" t="s">
        <v>353</v>
      </c>
      <c r="B5" s="526"/>
      <c r="C5" s="1168" t="s">
        <v>1474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+Janvier!DP4</f>
        <v>Fiche info</v>
      </c>
      <c r="BA5" s="1338" t="s">
        <v>350</v>
      </c>
      <c r="BB5" s="340"/>
      <c r="BC5" s="340"/>
      <c r="BD5" s="340"/>
      <c r="BE5" s="340"/>
      <c r="BF5" s="340"/>
      <c r="BG5" s="340"/>
      <c r="BH5" s="340"/>
      <c r="BI5" s="340"/>
      <c r="BL5" s="144" t="s">
        <v>351</v>
      </c>
      <c r="BW5" s="16" t="s">
        <v>343</v>
      </c>
      <c r="BX5" s="16" t="str">
        <f>+AT5</f>
        <v>Fiche info</v>
      </c>
      <c r="CD5" s="328"/>
      <c r="DT5" s="667"/>
      <c r="DU5" s="667"/>
      <c r="DV5" s="667"/>
      <c r="DW5" s="667"/>
      <c r="DX5" s="889"/>
      <c r="DY5" s="667" t="str">
        <f>+Janvier!AR13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35.25" customHeight="1" x14ac:dyDescent="0.25">
      <c r="A8" s="148"/>
      <c r="B8" s="340"/>
      <c r="C8" s="95" t="s">
        <v>119</v>
      </c>
      <c r="D8" s="2380">
        <f>Janvier!AI3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667"/>
      <c r="N9" s="667"/>
      <c r="O9" s="667"/>
      <c r="P9" s="667"/>
      <c r="Q9" s="377"/>
      <c r="R9" s="377"/>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+Janvier!I14</f>
        <v>0</v>
      </c>
      <c r="F10" s="149"/>
      <c r="G10" s="149"/>
      <c r="H10" s="149"/>
      <c r="I10" s="149"/>
      <c r="J10" s="149"/>
      <c r="K10" s="149"/>
      <c r="L10" s="149"/>
      <c r="M10" s="377"/>
      <c r="N10" s="377"/>
      <c r="O10" s="377"/>
      <c r="P10" s="29" t="s">
        <v>1441</v>
      </c>
      <c r="Q10" s="338">
        <f>+Janvier!P18</f>
        <v>0</v>
      </c>
      <c r="R10" s="377"/>
      <c r="V10" s="1189" t="s">
        <v>1442</v>
      </c>
      <c r="W10" s="1313">
        <f>+E10</f>
        <v>0</v>
      </c>
      <c r="AB10" s="1189" t="s">
        <v>1439</v>
      </c>
      <c r="AC10" s="1314">
        <f>+Q10</f>
        <v>0</v>
      </c>
      <c r="AJ10" s="1189"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29" t="s">
        <v>787</v>
      </c>
      <c r="BE10" s="430">
        <f>+Janvier!T18+Janvier!T19</f>
        <v>0</v>
      </c>
      <c r="BI10" s="29" t="s">
        <v>1449</v>
      </c>
      <c r="BJ10" s="338">
        <f>+Janvier!AL14</f>
        <v>0</v>
      </c>
      <c r="BL10" s="35"/>
      <c r="BN10" s="181"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+Janvier!U14</f>
        <v>0</v>
      </c>
      <c r="F11" s="149"/>
      <c r="G11" s="149"/>
      <c r="H11" s="149"/>
      <c r="I11" s="149"/>
      <c r="J11" s="149"/>
      <c r="K11" s="149"/>
      <c r="L11" s="149"/>
      <c r="M11" s="1179"/>
      <c r="N11" s="181"/>
      <c r="O11" s="1180"/>
      <c r="P11" s="181" t="s">
        <v>1104</v>
      </c>
      <c r="Q11" s="1181">
        <f>+Janvier!P19</f>
        <v>0</v>
      </c>
      <c r="R11" s="377"/>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+BJ10*(1+Janvier!N15)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M12" s="377"/>
      <c r="N12" s="377"/>
      <c r="O12" s="377"/>
      <c r="P12" s="377"/>
      <c r="Q12" s="377"/>
      <c r="R12" s="377"/>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+Janvier!X3</f>
        <v>46023</v>
      </c>
      <c r="M13" s="668"/>
      <c r="N13" s="153">
        <f>DATE(YEAR($D$13),MONTH($D$13)+1,DAY($D$13))</f>
        <v>46054</v>
      </c>
      <c r="O13" s="154">
        <f>N13</f>
        <v>46054</v>
      </c>
      <c r="P13" s="24"/>
      <c r="Q13" s="377"/>
      <c r="R13" s="377"/>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46023</v>
      </c>
      <c r="BF13" s="152"/>
      <c r="BG13" s="153">
        <f>DATE(YEAR($D$13),MONTH($D$13)+1,DAY($D$13))</f>
        <v>46054</v>
      </c>
      <c r="BH13" s="154">
        <f>BG13</f>
        <v>46054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46054</v>
      </c>
    </row>
    <row r="14" spans="1:144" ht="13.5" thickBot="1" x14ac:dyDescent="0.25">
      <c r="C14" s="95"/>
      <c r="D14" s="152"/>
      <c r="M14" s="668"/>
      <c r="N14" s="668"/>
      <c r="O14" s="669"/>
      <c r="P14" s="377"/>
      <c r="Q14" s="377"/>
      <c r="R14" s="377"/>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46023</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46023</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46023</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+Janvier!BJ20</f>
        <v>Fiche infoA4</v>
      </c>
      <c r="B18" s="168">
        <f>+D13</f>
        <v>46023</v>
      </c>
      <c r="C18" s="169">
        <f>+$D$13</f>
        <v>46023</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Janvier!BC20</f>
        <v>0</v>
      </c>
      <c r="J18" s="34">
        <f>Janvier!BE20</f>
        <v>0</v>
      </c>
      <c r="K18" s="34">
        <f t="shared" ref="K18:K48" si="15">IFERROR(+VLOOKUP(C18,Retenue_FP,7,FALSE),"")</f>
        <v>0</v>
      </c>
      <c r="L18" s="34" t="str">
        <f t="shared" ref="L18:L48" si="16">+IF(K18&gt;0,"oui","")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7">A18</f>
        <v>Fiche infoA4</v>
      </c>
      <c r="BB18" s="168">
        <f>+BD13</f>
        <v>46023</v>
      </c>
      <c r="BC18" s="169">
        <f>+$D$13</f>
        <v>46023</v>
      </c>
      <c r="BD18" s="171" t="str">
        <f>+D18</f>
        <v/>
      </c>
      <c r="BE18" s="335" t="str">
        <f>+IF(OR(BF18=S.CAL!$BJ$3,BF18=S.CAL!$BJ$4),BD18,"")</f>
        <v/>
      </c>
      <c r="BF18" s="332">
        <f>IF($DY$5=S.CAL!$CU$2,Janvier!AR20,IF($DY$5=S.CAL!$CU$3,VLOOKUP(BC18,planning_fp,7,FALSE),""))</f>
        <v>0</v>
      </c>
      <c r="BG18" s="344" t="str">
        <f>Janvier!BL20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46023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IF(+Janvier!AG20="",0,Janvier!AG20)</f>
        <v>0</v>
      </c>
      <c r="DZ18" s="16">
        <f>+IF(Janvier!AJ20="",0,Janvier!AJ20)</f>
        <v>0</v>
      </c>
      <c r="EA18" s="16">
        <f>+IF(Janvier!AM20="",0,Janvier!AM20)</f>
        <v>0</v>
      </c>
      <c r="EB18" s="16">
        <f>IFERROR(EA18+DZ18+DY18,0)</f>
        <v>0</v>
      </c>
      <c r="ED18" s="16">
        <f>+IF(AND(DT18=1,EA18&lt;&gt;0),EA18,IF(AND(DT18=1,EA18=0),ED17,0))</f>
        <v>0</v>
      </c>
      <c r="EE18" s="16">
        <f t="shared" ref="EE18:EE48" si="18">+IF(AND(ED18&lt;&gt;0,IFERROR(VLOOKUP(ED18,Liste_motif_formule,6,FALSE)&lt;&gt;"",0),ED18&lt;&gt;ED17),1,IF(AND(ED18&lt;&gt;0,IFERROR(VLOOKUP(ED18,Liste_motif_formule,6,FALSE)&lt;&gt;"",0)),DT18+EE17,0))</f>
        <v>0</v>
      </c>
      <c r="EF18" s="30" t="str">
        <f t="shared" ref="EF18:EF48" si="19">+IF(EE18=1,EJ18,"")</f>
        <v/>
      </c>
      <c r="EG18" s="30" t="str">
        <f>+IF(AND(EE18&lt;&gt;0,EE18&gt;=EE19),EJ18,"")</f>
        <v/>
      </c>
      <c r="EH18" s="16">
        <f>+IF(ED18=0,0,ED18)</f>
        <v>0</v>
      </c>
      <c r="EI18" s="30"/>
      <c r="EJ18" s="30">
        <f t="shared" ref="EJ18:EJ48" si="20">+C18</f>
        <v>46023</v>
      </c>
      <c r="EM18" s="16" t="str">
        <f>A18&amp;C18</f>
        <v>Fiche infoA446023</v>
      </c>
      <c r="EN18" s="16">
        <f t="shared" ref="EN18:EN48" si="21">+VLOOKUP(EM18,Base_feuille_présence_heure_potentiel,11,FALSE)</f>
        <v>0</v>
      </c>
      <c r="EQ18" s="16" t="str">
        <f>Janvier!FS20</f>
        <v/>
      </c>
    </row>
    <row r="19" spans="1:147" ht="18" customHeight="1" x14ac:dyDescent="0.2">
      <c r="A19" s="24" t="str">
        <f>+Janvier!BJ21</f>
        <v>Fiche infoA5</v>
      </c>
      <c r="B19" s="107">
        <f>C19</f>
        <v>46024</v>
      </c>
      <c r="C19" s="170">
        <f>+$D$13+1</f>
        <v>46024</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Janvier!BC21</f>
        <v>0</v>
      </c>
      <c r="J19" s="34">
        <f>Janvier!BE21</f>
        <v>0</v>
      </c>
      <c r="K19" s="34">
        <f t="shared" si="15"/>
        <v>0</v>
      </c>
      <c r="L19" s="34" t="str">
        <f t="shared" si="16"/>
        <v/>
      </c>
      <c r="O19" s="39" t="s">
        <v>1475</v>
      </c>
      <c r="P19" s="195" t="s">
        <v>1476</v>
      </c>
      <c r="S19" s="2395" t="s">
        <v>1446</v>
      </c>
      <c r="T19" s="2395"/>
      <c r="U19" s="2395"/>
      <c r="V19" s="2395"/>
      <c r="W19" s="1316">
        <f ca="1">+AF40-AF54</f>
        <v>0</v>
      </c>
      <c r="AA19" s="2395" t="s">
        <v>1216</v>
      </c>
      <c r="AB19" s="2395"/>
      <c r="AC19" s="1316">
        <f ca="1">+AB40-AB54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7"/>
        <v>Fiche infoA5</v>
      </c>
      <c r="BB19" s="107">
        <f>BC19</f>
        <v>46024</v>
      </c>
      <c r="BC19" s="170">
        <f>+$D$13+1</f>
        <v>46024</v>
      </c>
      <c r="BD19" s="171" t="str">
        <f>+D19</f>
        <v/>
      </c>
      <c r="BE19" s="171" t="str">
        <f>+IF(OR(BF19=S.CAL!$BJ$3,BF19=S.CAL!$BJ$4),BD19,"")</f>
        <v/>
      </c>
      <c r="BF19" s="333">
        <f>IF($DY$5=S.CAL!$CU$2,Janvier!AR21,IF($DY$5=S.CAL!$CU$3,VLOOKUP(BC19,planning_fp,7,FALSE),""))</f>
        <v>0</v>
      </c>
      <c r="BG19" s="345" t="str">
        <f>Janvier!BL21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46024</v>
      </c>
      <c r="CF19" s="170">
        <f>+$D$13+1</f>
        <v>46024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IF(+Janvier!AG21="",0,Janvier!AG21)</f>
        <v>0</v>
      </c>
      <c r="DZ19" s="16">
        <f>+IF(Janvier!AJ21="",0,Janvier!AJ21)</f>
        <v>0</v>
      </c>
      <c r="EA19" s="16">
        <f>+IF(Janvier!AM21="",0,Janvier!AM21)</f>
        <v>0</v>
      </c>
      <c r="EB19" s="16">
        <f t="shared" ref="EB19:EB48" si="25">IFERROR(EA19+DZ19+DY19,0)</f>
        <v>0</v>
      </c>
      <c r="ED19" s="16">
        <f t="shared" ref="ED19:ED48" si="26">+IF(AND(DT19=1,EA19&lt;&gt;0),EA19,IF(AND(DT19=1,EA19=0),ED18,0))</f>
        <v>0</v>
      </c>
      <c r="EE19" s="16">
        <f t="shared" si="18"/>
        <v>0</v>
      </c>
      <c r="EF19" s="30" t="str">
        <f t="shared" si="19"/>
        <v/>
      </c>
      <c r="EG19" s="30" t="str">
        <f t="shared" ref="EG19:EG48" si="27">+IF(AND(EE19&lt;&gt;0,EE19&gt;=EE20),EJ19,"")</f>
        <v/>
      </c>
      <c r="EH19" s="16">
        <f t="shared" ref="EH19:EH48" si="28">+IF(ED19=0,0,ED19)</f>
        <v>0</v>
      </c>
      <c r="EI19" s="30"/>
      <c r="EJ19" s="30">
        <f t="shared" si="20"/>
        <v>46024</v>
      </c>
      <c r="EM19" s="16" t="str">
        <f t="shared" ref="EM19:EM48" si="29">A19&amp;C19</f>
        <v>Fiche infoA546024</v>
      </c>
      <c r="EN19" s="16">
        <f t="shared" si="21"/>
        <v>0</v>
      </c>
      <c r="EQ19" s="16" t="str">
        <f>Janvier!FS21</f>
        <v/>
      </c>
    </row>
    <row r="20" spans="1:147" ht="18" customHeight="1" x14ac:dyDescent="0.2">
      <c r="A20" s="24" t="str">
        <f>+Janvier!BJ22</f>
        <v>Fiche infoA6</v>
      </c>
      <c r="B20" s="107">
        <f t="shared" ref="B20:B48" si="30">C20</f>
        <v>46025</v>
      </c>
      <c r="C20" s="170">
        <f>+$D$13+2</f>
        <v>46025</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Janvier!BC22</f>
        <v>0</v>
      </c>
      <c r="J20" s="34">
        <f>Janvier!BE22</f>
        <v>0</v>
      </c>
      <c r="K20" s="34">
        <f t="shared" si="15"/>
        <v>0</v>
      </c>
      <c r="L20" s="34" t="str">
        <f t="shared" si="16"/>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7"/>
        <v>Fiche infoA6</v>
      </c>
      <c r="BB20" s="107">
        <f t="shared" ref="BB20:BB48" si="31">BC20</f>
        <v>46025</v>
      </c>
      <c r="BC20" s="170">
        <f>+$D$13+2</f>
        <v>46025</v>
      </c>
      <c r="BD20" s="171" t="str">
        <f t="shared" ref="BD20:BD48" si="32">+D20</f>
        <v/>
      </c>
      <c r="BE20" s="171" t="str">
        <f>+IF(OR(BF20=S.CAL!$BJ$3,BF20=S.CAL!$BJ$4),BD20,"")</f>
        <v/>
      </c>
      <c r="BF20" s="333">
        <f>IF($DY$5=S.CAL!$CU$2,Janvier!AR22,IF($DY$5=S.CAL!$CU$3,VLOOKUP(BC20,planning_fp,7,FALSE),""))</f>
        <v>0</v>
      </c>
      <c r="BG20" s="345" t="str">
        <f>Janvier!BL22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46025</v>
      </c>
      <c r="CF20" s="170">
        <f>+$D$13+2</f>
        <v>46025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IF(+Janvier!AG22="",0,Janvier!AG22)</f>
        <v>0</v>
      </c>
      <c r="DZ20" s="16">
        <f>+IF(Janvier!AJ22="",0,Janvier!AJ22)</f>
        <v>0</v>
      </c>
      <c r="EA20" s="16">
        <f>+IF(Janvier!AM22="",0,Janvier!AM22)</f>
        <v>0</v>
      </c>
      <c r="EB20" s="16">
        <f t="shared" si="25"/>
        <v>0</v>
      </c>
      <c r="ED20" s="16">
        <f t="shared" si="26"/>
        <v>0</v>
      </c>
      <c r="EE20" s="16">
        <f t="shared" si="18"/>
        <v>0</v>
      </c>
      <c r="EF20" s="30" t="str">
        <f t="shared" si="19"/>
        <v/>
      </c>
      <c r="EG20" s="30" t="str">
        <f t="shared" si="27"/>
        <v/>
      </c>
      <c r="EH20" s="16">
        <f t="shared" si="28"/>
        <v>0</v>
      </c>
      <c r="EI20" s="30"/>
      <c r="EJ20" s="30">
        <f t="shared" si="20"/>
        <v>46025</v>
      </c>
      <c r="EM20" s="16" t="str">
        <f t="shared" si="29"/>
        <v>Fiche infoA646025</v>
      </c>
      <c r="EN20" s="16">
        <f t="shared" si="21"/>
        <v>0</v>
      </c>
      <c r="EQ20" s="16" t="str">
        <f>Janvier!FS22</f>
        <v/>
      </c>
    </row>
    <row r="21" spans="1:147" ht="18" customHeight="1" x14ac:dyDescent="0.2">
      <c r="A21" s="24" t="str">
        <f>+Janvier!BJ23</f>
        <v>Fiche infoA7</v>
      </c>
      <c r="B21" s="107">
        <f t="shared" si="30"/>
        <v>46026</v>
      </c>
      <c r="C21" s="170">
        <f>+$D$13+3</f>
        <v>46026</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Janvier!BC23</f>
        <v>0</v>
      </c>
      <c r="J21" s="34">
        <f>Janvier!BE23</f>
        <v>0</v>
      </c>
      <c r="K21" s="34">
        <f t="shared" si="15"/>
        <v>0</v>
      </c>
      <c r="L21" s="34" t="str">
        <f t="shared" si="16"/>
        <v/>
      </c>
      <c r="O21" s="39" t="str">
        <f>+O19</f>
        <v xml:space="preserve">Retenue sur salaire = </v>
      </c>
      <c r="P21" s="16" t="str">
        <f>+Q16&amp;" €  / "&amp;D50&amp;" hrs X "&amp;E50&amp;" hrs"</f>
        <v>0 €  / 0 hrs X 0 hrs</v>
      </c>
      <c r="S21" s="2395" t="s">
        <v>1454</v>
      </c>
      <c r="T21" s="2395"/>
      <c r="U21" s="2395"/>
      <c r="V21" s="2395"/>
      <c r="W21" s="1316">
        <f ca="1">+AF40</f>
        <v>0</v>
      </c>
      <c r="AA21" s="2395" t="s">
        <v>1217</v>
      </c>
      <c r="AB21" s="2395"/>
      <c r="AC21" s="1316">
        <f ca="1">+AB40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7"/>
        <v>Fiche infoA7</v>
      </c>
      <c r="BB21" s="107">
        <f t="shared" si="31"/>
        <v>46026</v>
      </c>
      <c r="BC21" s="170">
        <f>+$D$13+3</f>
        <v>46026</v>
      </c>
      <c r="BD21" s="171" t="str">
        <f t="shared" si="32"/>
        <v/>
      </c>
      <c r="BE21" s="171" t="str">
        <f>+IF(OR(BF21=S.CAL!$BJ$3,BF21=S.CAL!$BJ$4),BD21,"")</f>
        <v/>
      </c>
      <c r="BF21" s="333">
        <f>IF($DY$5=S.CAL!$CU$2,Janvier!AR23,IF($DY$5=S.CAL!$CU$3,VLOOKUP(BC21,planning_fp,7,FALSE),""))</f>
        <v>0</v>
      </c>
      <c r="BG21" s="345" t="str">
        <f>Janvier!BL23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46026</v>
      </c>
      <c r="CF21" s="170">
        <f>+$D$13+3</f>
        <v>46026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IF(+Janvier!AG23="",0,Janvier!AG23)</f>
        <v>0</v>
      </c>
      <c r="DZ21" s="16">
        <f>+IF(Janvier!AJ23="",0,Janvier!AJ23)</f>
        <v>0</v>
      </c>
      <c r="EA21" s="16">
        <f>+IF(Janvier!AM23="",0,Janvier!AM23)</f>
        <v>0</v>
      </c>
      <c r="EB21" s="16">
        <f t="shared" si="25"/>
        <v>0</v>
      </c>
      <c r="ED21" s="16">
        <f t="shared" si="26"/>
        <v>0</v>
      </c>
      <c r="EE21" s="16">
        <f t="shared" si="18"/>
        <v>0</v>
      </c>
      <c r="EF21" s="30" t="str">
        <f t="shared" si="19"/>
        <v/>
      </c>
      <c r="EG21" s="30" t="str">
        <f t="shared" si="27"/>
        <v/>
      </c>
      <c r="EH21" s="16">
        <f t="shared" si="28"/>
        <v>0</v>
      </c>
      <c r="EI21" s="30"/>
      <c r="EJ21" s="30">
        <f t="shared" si="20"/>
        <v>46026</v>
      </c>
      <c r="EM21" s="16" t="str">
        <f t="shared" si="29"/>
        <v>Fiche infoA746026</v>
      </c>
      <c r="EN21" s="16">
        <f t="shared" si="21"/>
        <v>0</v>
      </c>
      <c r="EQ21" s="16" t="str">
        <f>Janvier!FS23</f>
        <v/>
      </c>
    </row>
    <row r="22" spans="1:147" ht="18" customHeight="1" x14ac:dyDescent="0.25">
      <c r="A22" s="24" t="str">
        <f>+Janvier!BJ24</f>
        <v>Fiche infoA1</v>
      </c>
      <c r="B22" s="107">
        <f t="shared" si="30"/>
        <v>46027</v>
      </c>
      <c r="C22" s="170">
        <f>+$D$13+4</f>
        <v>46027</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Janvier!BC24</f>
        <v>0</v>
      </c>
      <c r="J22" s="34">
        <f>Janvier!BE24</f>
        <v>0</v>
      </c>
      <c r="K22" s="34">
        <f t="shared" si="15"/>
        <v>0</v>
      </c>
      <c r="L22" s="34" t="str">
        <f t="shared" si="16"/>
        <v/>
      </c>
      <c r="O22" s="19"/>
      <c r="AK22" s="1189" t="s">
        <v>37</v>
      </c>
      <c r="AL22" s="1318">
        <f>+Janvier!AL14</f>
        <v>0</v>
      </c>
      <c r="BA22" s="331" t="str">
        <f t="shared" si="17"/>
        <v>Fiche infoA1</v>
      </c>
      <c r="BB22" s="107">
        <f t="shared" si="31"/>
        <v>46027</v>
      </c>
      <c r="BC22" s="170">
        <f>+$D$13+4</f>
        <v>46027</v>
      </c>
      <c r="BD22" s="171" t="str">
        <f t="shared" si="32"/>
        <v/>
      </c>
      <c r="BE22" s="171" t="str">
        <f>+IF(OR(BF22=S.CAL!$BJ$3,BF22=S.CAL!$BJ$4),BD22,"")</f>
        <v/>
      </c>
      <c r="BF22" s="333">
        <f>IF($DY$5=S.CAL!$CU$2,Janvier!AR24,IF($DY$5=S.CAL!$CU$3,VLOOKUP(BC22,planning_fp,7,FALSE),""))</f>
        <v>0</v>
      </c>
      <c r="BG22" s="345" t="str">
        <f>Janvier!BL24</f>
        <v>A</v>
      </c>
      <c r="BH22" s="148"/>
      <c r="BL22" s="144"/>
      <c r="BM22" s="195"/>
      <c r="CD22" s="328"/>
      <c r="CE22" s="107">
        <f t="shared" si="33"/>
        <v>46027</v>
      </c>
      <c r="CF22" s="170">
        <f>+$D$13+4</f>
        <v>46027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IF(+Janvier!AG24="",0,Janvier!AG24)</f>
        <v>0</v>
      </c>
      <c r="DZ22" s="16">
        <f>+IF(Janvier!AJ24="",0,Janvier!AJ24)</f>
        <v>0</v>
      </c>
      <c r="EA22" s="16">
        <f>+IF(Janvier!AM24="",0,Janvier!AM24)</f>
        <v>0</v>
      </c>
      <c r="EB22" s="16">
        <f t="shared" si="25"/>
        <v>0</v>
      </c>
      <c r="ED22" s="16">
        <f t="shared" si="26"/>
        <v>0</v>
      </c>
      <c r="EE22" s="16">
        <f t="shared" si="18"/>
        <v>0</v>
      </c>
      <c r="EF22" s="30" t="str">
        <f t="shared" si="19"/>
        <v/>
      </c>
      <c r="EG22" s="30" t="str">
        <f t="shared" si="27"/>
        <v/>
      </c>
      <c r="EH22" s="16">
        <f t="shared" si="28"/>
        <v>0</v>
      </c>
      <c r="EI22" s="30"/>
      <c r="EJ22" s="30">
        <f t="shared" si="20"/>
        <v>46027</v>
      </c>
      <c r="EM22" s="16" t="str">
        <f t="shared" si="29"/>
        <v>Fiche infoA146027</v>
      </c>
      <c r="EN22" s="16">
        <f t="shared" si="21"/>
        <v>0</v>
      </c>
      <c r="EQ22" s="16" t="str">
        <f>Janvier!FS24</f>
        <v/>
      </c>
    </row>
    <row r="23" spans="1:147" ht="18" customHeight="1" x14ac:dyDescent="0.2">
      <c r="A23" s="24" t="str">
        <f>+Janvier!BJ25</f>
        <v>Fiche infoA2</v>
      </c>
      <c r="B23" s="107">
        <f t="shared" si="30"/>
        <v>46028</v>
      </c>
      <c r="C23" s="170">
        <f>+$D$13+5</f>
        <v>46028</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Janvier!BC25</f>
        <v>0</v>
      </c>
      <c r="J23" s="34">
        <f>Janvier!BE25</f>
        <v>0</v>
      </c>
      <c r="K23" s="34">
        <f t="shared" si="15"/>
        <v>0</v>
      </c>
      <c r="L23" s="34" t="str">
        <f t="shared" si="16"/>
        <v/>
      </c>
      <c r="O23" s="39" t="str">
        <f>+O21</f>
        <v xml:space="preserve">Retenue sur salaire = </v>
      </c>
      <c r="P23" s="671">
        <f>+P30+P33</f>
        <v>0</v>
      </c>
      <c r="T23" s="563" t="s">
        <v>1107</v>
      </c>
      <c r="Z23" s="563" t="s">
        <v>1107</v>
      </c>
      <c r="BA23" s="331" t="str">
        <f t="shared" si="17"/>
        <v>Fiche infoA2</v>
      </c>
      <c r="BB23" s="107">
        <f t="shared" si="31"/>
        <v>46028</v>
      </c>
      <c r="BC23" s="170">
        <f>+$D$13+5</f>
        <v>46028</v>
      </c>
      <c r="BD23" s="171" t="str">
        <f t="shared" si="32"/>
        <v/>
      </c>
      <c r="BE23" s="171" t="str">
        <f>+IF(OR(BF23=S.CAL!$BJ$3,BF23=S.CAL!$BJ$4),BD23,"")</f>
        <v/>
      </c>
      <c r="BF23" s="333">
        <f>IF($DY$5=S.CAL!$CU$2,Janvier!AR25,IF($DY$5=S.CAL!$CU$3,VLOOKUP(BC23,planning_fp,7,FALSE),""))</f>
        <v>0</v>
      </c>
      <c r="BG23" s="345" t="str">
        <f>Janvier!BL25</f>
        <v>A</v>
      </c>
      <c r="BH23" s="29"/>
      <c r="BI23" s="336"/>
      <c r="BL23" s="147"/>
      <c r="CD23" s="328"/>
      <c r="CE23" s="107">
        <f t="shared" si="33"/>
        <v>46028</v>
      </c>
      <c r="CF23" s="170">
        <f>+$D$13+5</f>
        <v>46028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IF(+Janvier!AG25="",0,Janvier!AG25)</f>
        <v>0</v>
      </c>
      <c r="DZ23" s="16">
        <f>+IF(Janvier!AJ25="",0,Janvier!AJ25)</f>
        <v>0</v>
      </c>
      <c r="EA23" s="16">
        <f>+IF(Janvier!AM25="",0,Janvier!AM25)</f>
        <v>0</v>
      </c>
      <c r="EB23" s="16">
        <f t="shared" si="25"/>
        <v>0</v>
      </c>
      <c r="ED23" s="16">
        <f t="shared" si="26"/>
        <v>0</v>
      </c>
      <c r="EE23" s="16">
        <f t="shared" si="18"/>
        <v>0</v>
      </c>
      <c r="EF23" s="30" t="str">
        <f t="shared" si="19"/>
        <v/>
      </c>
      <c r="EG23" s="30" t="str">
        <f t="shared" si="27"/>
        <v/>
      </c>
      <c r="EH23" s="16">
        <f t="shared" si="28"/>
        <v>0</v>
      </c>
      <c r="EI23" s="30"/>
      <c r="EJ23" s="30">
        <f t="shared" si="20"/>
        <v>46028</v>
      </c>
      <c r="EM23" s="16" t="str">
        <f t="shared" si="29"/>
        <v>Fiche infoA246028</v>
      </c>
      <c r="EN23" s="16">
        <f t="shared" si="21"/>
        <v>0</v>
      </c>
      <c r="EQ23" s="16" t="str">
        <f>Janvier!FS25</f>
        <v/>
      </c>
    </row>
    <row r="24" spans="1:147" ht="18" customHeight="1" x14ac:dyDescent="0.2">
      <c r="A24" s="24" t="str">
        <f>+Janvier!BJ26</f>
        <v>Fiche infoA3</v>
      </c>
      <c r="B24" s="107">
        <f t="shared" si="30"/>
        <v>46029</v>
      </c>
      <c r="C24" s="170">
        <f>+$D$13+6</f>
        <v>46029</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Janvier!BC26</f>
        <v>0</v>
      </c>
      <c r="J24" s="34">
        <f>Janvier!BE26</f>
        <v>0</v>
      </c>
      <c r="K24" s="34">
        <f t="shared" si="15"/>
        <v>0</v>
      </c>
      <c r="L24" s="34" t="str">
        <f t="shared" si="16"/>
        <v/>
      </c>
      <c r="V24" s="1189" t="str">
        <f ca="1">+ROUND(W13,2)&amp;" / "&amp;ROUND(W21,2)&amp;" X "&amp;ROUND(W19,2)&amp;" = "</f>
        <v xml:space="preserve">0 / 0 X 0 = </v>
      </c>
      <c r="W24" s="1315">
        <f ca="1">IFERROR(ROUND(W13/W21*W19,2),0)</f>
        <v>0</v>
      </c>
      <c r="AB24" s="1189" t="str">
        <f ca="1">+ROUND(W14,2)&amp;" / "&amp;ROUND(AC21,2)&amp;" X "&amp;ROUND(AC19,2)&amp;" = "</f>
        <v xml:space="preserve">0 / 0 X 0 = </v>
      </c>
      <c r="AC24" s="1315">
        <f ca="1">IFERROR(ROUND(W14/AC21*AC19,2),0)</f>
        <v>0</v>
      </c>
      <c r="AK24" s="1189" t="s">
        <v>678</v>
      </c>
      <c r="AL24" s="1319" t="e">
        <f>+AT21*AL22/12</f>
        <v>#VALUE!</v>
      </c>
      <c r="BA24" s="331" t="str">
        <f t="shared" si="17"/>
        <v>Fiche infoA3</v>
      </c>
      <c r="BB24" s="107">
        <f t="shared" si="31"/>
        <v>46029</v>
      </c>
      <c r="BC24" s="170">
        <f>+$D$13+6</f>
        <v>46029</v>
      </c>
      <c r="BD24" s="171" t="str">
        <f t="shared" si="32"/>
        <v/>
      </c>
      <c r="BE24" s="171" t="str">
        <f>+IF(OR(BF24=S.CAL!$BJ$3,BF24=S.CAL!$BJ$4),BD24,"")</f>
        <v/>
      </c>
      <c r="BF24" s="333">
        <f>IF($DY$5=S.CAL!$CU$2,Janvier!AR26,IF($DY$5=S.CAL!$CU$3,VLOOKUP(BC24,planning_fp,7,FALSE),""))</f>
        <v>0</v>
      </c>
      <c r="BG24" s="345" t="str">
        <f>Janvier!BL26</f>
        <v>A</v>
      </c>
      <c r="BL24" s="35"/>
      <c r="BM24" s="195"/>
      <c r="BO24" s="29"/>
      <c r="BP24" s="182"/>
      <c r="BR24" s="16" t="s">
        <v>746</v>
      </c>
      <c r="BV24" s="355"/>
      <c r="BW24" s="355"/>
      <c r="BX24" s="355"/>
      <c r="BY24" s="355" t="s">
        <v>696</v>
      </c>
      <c r="BZ24" s="355"/>
      <c r="CA24" s="355"/>
      <c r="CB24" s="355"/>
      <c r="CD24" s="328"/>
      <c r="CE24" s="107">
        <f t="shared" si="33"/>
        <v>46029</v>
      </c>
      <c r="CF24" s="170">
        <f>+$D$13+6</f>
        <v>46029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IF(+Janvier!AG26="",0,Janvier!AG26)</f>
        <v>0</v>
      </c>
      <c r="DZ24" s="16">
        <f>+IF(Janvier!AJ26="",0,Janvier!AJ26)</f>
        <v>0</v>
      </c>
      <c r="EA24" s="16">
        <f>+IF(Janvier!AM26="",0,Janvier!AM26)</f>
        <v>0</v>
      </c>
      <c r="EB24" s="16">
        <f t="shared" si="25"/>
        <v>0</v>
      </c>
      <c r="ED24" s="16">
        <f t="shared" si="26"/>
        <v>0</v>
      </c>
      <c r="EE24" s="16">
        <f t="shared" si="18"/>
        <v>0</v>
      </c>
      <c r="EF24" s="30" t="str">
        <f t="shared" si="19"/>
        <v/>
      </c>
      <c r="EG24" s="30" t="str">
        <f t="shared" si="27"/>
        <v/>
      </c>
      <c r="EH24" s="16">
        <f t="shared" si="28"/>
        <v>0</v>
      </c>
      <c r="EI24" s="30"/>
      <c r="EJ24" s="30">
        <f t="shared" si="20"/>
        <v>46029</v>
      </c>
      <c r="EM24" s="16" t="str">
        <f t="shared" si="29"/>
        <v>Fiche infoA346029</v>
      </c>
      <c r="EN24" s="16">
        <f t="shared" si="21"/>
        <v>0</v>
      </c>
      <c r="EQ24" s="16" t="str">
        <f>Janvier!FS26</f>
        <v/>
      </c>
    </row>
    <row r="25" spans="1:147" ht="18" customHeight="1" x14ac:dyDescent="0.2">
      <c r="A25" s="24" t="str">
        <f>+Janvier!BJ27</f>
        <v>Fiche infoA4</v>
      </c>
      <c r="B25" s="107">
        <f t="shared" si="30"/>
        <v>46030</v>
      </c>
      <c r="C25" s="170">
        <f>+$D$13+7</f>
        <v>46030</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Janvier!BC27</f>
        <v>0</v>
      </c>
      <c r="J25" s="34">
        <f>Janvier!BE27</f>
        <v>0</v>
      </c>
      <c r="K25" s="34">
        <f t="shared" si="15"/>
        <v>0</v>
      </c>
      <c r="L25" s="34" t="str">
        <f t="shared" si="16"/>
        <v/>
      </c>
      <c r="AK25" s="1189" t="s">
        <v>320</v>
      </c>
      <c r="AL25" s="1313">
        <f>+IF(AL22,AL24/AL22,0)</f>
        <v>0</v>
      </c>
      <c r="BA25" s="331" t="str">
        <f t="shared" si="17"/>
        <v>Fiche infoA4</v>
      </c>
      <c r="BB25" s="107">
        <f t="shared" si="31"/>
        <v>46030</v>
      </c>
      <c r="BC25" s="170">
        <f>+$D$13+7</f>
        <v>46030</v>
      </c>
      <c r="BD25" s="171" t="str">
        <f t="shared" si="32"/>
        <v/>
      </c>
      <c r="BE25" s="171" t="str">
        <f>+IF(OR(BF25=S.CAL!$BJ$3,BF25=S.CAL!$BJ$4),BD25,"")</f>
        <v/>
      </c>
      <c r="BF25" s="333">
        <f>IF($DY$5=S.CAL!$CU$2,Janvier!AR27,IF($DY$5=S.CAL!$CU$3,VLOOKUP(BC25,planning_fp,7,FALSE),""))</f>
        <v>0</v>
      </c>
      <c r="BG25" s="345" t="str">
        <f>Janvier!BL27</f>
        <v>A</v>
      </c>
      <c r="BH25" s="148"/>
      <c r="BL25" s="35"/>
      <c r="BO25" s="29"/>
      <c r="BP25" s="182"/>
      <c r="BV25" s="355"/>
      <c r="BW25" s="355"/>
      <c r="BX25" s="355"/>
      <c r="BY25" s="355"/>
      <c r="BZ25" s="355"/>
      <c r="CA25" s="355"/>
      <c r="CB25" s="355"/>
      <c r="CD25" s="328"/>
      <c r="CE25" s="107">
        <f t="shared" si="33"/>
        <v>46030</v>
      </c>
      <c r="CF25" s="170">
        <f>+$D$13+7</f>
        <v>46030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IF(+Janvier!AG27="",0,Janvier!AG27)</f>
        <v>0</v>
      </c>
      <c r="DZ25" s="16">
        <f>+IF(Janvier!AJ27="",0,Janvier!AJ27)</f>
        <v>0</v>
      </c>
      <c r="EA25" s="16">
        <f>+IF(Janvier!AM27="",0,Janvier!AM27)</f>
        <v>0</v>
      </c>
      <c r="EB25" s="16">
        <f t="shared" si="25"/>
        <v>0</v>
      </c>
      <c r="ED25" s="16">
        <f t="shared" si="26"/>
        <v>0</v>
      </c>
      <c r="EE25" s="16">
        <f t="shared" si="18"/>
        <v>0</v>
      </c>
      <c r="EF25" s="30" t="str">
        <f t="shared" si="19"/>
        <v/>
      </c>
      <c r="EG25" s="30" t="str">
        <f t="shared" si="27"/>
        <v/>
      </c>
      <c r="EH25" s="16">
        <f t="shared" si="28"/>
        <v>0</v>
      </c>
      <c r="EI25" s="30"/>
      <c r="EJ25" s="30">
        <f t="shared" si="20"/>
        <v>46030</v>
      </c>
      <c r="EM25" s="16" t="str">
        <f t="shared" si="29"/>
        <v>Fiche infoA446030</v>
      </c>
      <c r="EN25" s="16">
        <f t="shared" si="21"/>
        <v>0</v>
      </c>
      <c r="EQ25" s="16" t="str">
        <f>Janvier!FS27</f>
        <v/>
      </c>
    </row>
    <row r="26" spans="1:147" ht="18" customHeight="1" x14ac:dyDescent="0.2">
      <c r="A26" s="24" t="str">
        <f>+Janvier!BJ28</f>
        <v>Fiche infoA5</v>
      </c>
      <c r="B26" s="107">
        <f t="shared" si="30"/>
        <v>46031</v>
      </c>
      <c r="C26" s="170">
        <f>+$D$13+8</f>
        <v>46031</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Janvier!BC28</f>
        <v>0</v>
      </c>
      <c r="J26" s="34">
        <f>Janvier!BE28</f>
        <v>0</v>
      </c>
      <c r="K26" s="34">
        <f t="shared" si="15"/>
        <v>0</v>
      </c>
      <c r="L26" s="34" t="str">
        <f t="shared" si="16"/>
        <v/>
      </c>
      <c r="O26" s="16" t="s">
        <v>1197</v>
      </c>
      <c r="AK26" s="1189" t="s">
        <v>321</v>
      </c>
      <c r="AL26" s="1313">
        <f>IF(AS21,SUM(AT13:AT20)/AS21,0)</f>
        <v>0</v>
      </c>
      <c r="BA26" s="331" t="str">
        <f t="shared" si="17"/>
        <v>Fiche infoA5</v>
      </c>
      <c r="BB26" s="107">
        <f t="shared" si="31"/>
        <v>46031</v>
      </c>
      <c r="BC26" s="170">
        <f>+$D$13+8</f>
        <v>46031</v>
      </c>
      <c r="BD26" s="171" t="str">
        <f t="shared" si="32"/>
        <v/>
      </c>
      <c r="BE26" s="171" t="str">
        <f>+IF(OR(BF26=S.CAL!$BJ$3,BF26=S.CAL!$BJ$4),BD26,"")</f>
        <v/>
      </c>
      <c r="BF26" s="333">
        <f>IF($DY$5=S.CAL!$CU$2,Janvier!AR28,IF($DY$5=S.CAL!$CU$3,VLOOKUP(BC26,planning_fp,7,FALSE),""))</f>
        <v>0</v>
      </c>
      <c r="BG26" s="345" t="str">
        <f>Janvier!BL28</f>
        <v>A</v>
      </c>
      <c r="BH26" s="29"/>
      <c r="BI26" s="336"/>
      <c r="BL26" s="35"/>
      <c r="BO26" s="29"/>
      <c r="BP26" s="2464" t="s">
        <v>771</v>
      </c>
      <c r="BQ26" s="2464" t="s">
        <v>326</v>
      </c>
      <c r="BR26" s="2464" t="s">
        <v>772</v>
      </c>
      <c r="BS26" s="2464" t="s">
        <v>773</v>
      </c>
      <c r="BT26" s="2464" t="s">
        <v>774</v>
      </c>
      <c r="BV26" s="355"/>
      <c r="BW26" s="356"/>
      <c r="BX26" s="2542" t="s">
        <v>777</v>
      </c>
      <c r="BY26" s="2542" t="s">
        <v>326</v>
      </c>
      <c r="BZ26" s="2542" t="s">
        <v>772</v>
      </c>
      <c r="CA26" s="2542" t="s">
        <v>773</v>
      </c>
      <c r="CB26" s="2542" t="s">
        <v>774</v>
      </c>
      <c r="CD26" s="328"/>
      <c r="CE26" s="107">
        <f t="shared" si="33"/>
        <v>46031</v>
      </c>
      <c r="CF26" s="170">
        <f>+$D$13+8</f>
        <v>46031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IF(+Janvier!AG28="",0,Janvier!AG28)</f>
        <v>0</v>
      </c>
      <c r="DZ26" s="16">
        <f>+IF(Janvier!AJ28="",0,Janvier!AJ28)</f>
        <v>0</v>
      </c>
      <c r="EA26" s="16">
        <f>+IF(Janvier!AM28="",0,Janvier!AM28)</f>
        <v>0</v>
      </c>
      <c r="EB26" s="16">
        <f t="shared" si="25"/>
        <v>0</v>
      </c>
      <c r="ED26" s="16">
        <f t="shared" si="26"/>
        <v>0</v>
      </c>
      <c r="EE26" s="16">
        <f t="shared" si="18"/>
        <v>0</v>
      </c>
      <c r="EF26" s="30" t="str">
        <f t="shared" si="19"/>
        <v/>
      </c>
      <c r="EG26" s="30" t="str">
        <f t="shared" si="27"/>
        <v/>
      </c>
      <c r="EH26" s="16">
        <f t="shared" si="28"/>
        <v>0</v>
      </c>
      <c r="EI26" s="30"/>
      <c r="EJ26" s="30">
        <f t="shared" si="20"/>
        <v>46031</v>
      </c>
      <c r="EM26" s="16" t="str">
        <f t="shared" si="29"/>
        <v>Fiche infoA546031</v>
      </c>
      <c r="EN26" s="16">
        <f t="shared" si="21"/>
        <v>0</v>
      </c>
      <c r="EQ26" s="16" t="str">
        <f>Janvier!FS28</f>
        <v/>
      </c>
    </row>
    <row r="27" spans="1:147" ht="18" customHeight="1" x14ac:dyDescent="0.2">
      <c r="A27" s="24" t="str">
        <f>+Janvier!BJ29</f>
        <v>Fiche infoA6</v>
      </c>
      <c r="B27" s="107">
        <f t="shared" si="30"/>
        <v>46032</v>
      </c>
      <c r="C27" s="170">
        <f>+$D$13+9</f>
        <v>46032</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Janvier!BC29</f>
        <v>0</v>
      </c>
      <c r="J27" s="34">
        <f>Janvier!BE29</f>
        <v>0</v>
      </c>
      <c r="K27" s="34">
        <f t="shared" si="15"/>
        <v>0</v>
      </c>
      <c r="L27" s="34" t="str">
        <f t="shared" si="16"/>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7"/>
        <v>Fiche infoA6</v>
      </c>
      <c r="BB27" s="107">
        <f t="shared" si="31"/>
        <v>46032</v>
      </c>
      <c r="BC27" s="170">
        <f>+$D$13+9</f>
        <v>46032</v>
      </c>
      <c r="BD27" s="171" t="str">
        <f t="shared" si="32"/>
        <v/>
      </c>
      <c r="BE27" s="171" t="str">
        <f>+IF(OR(BF27=S.CAL!$BJ$3,BF27=S.CAL!$BJ$4),BD27,"")</f>
        <v/>
      </c>
      <c r="BF27" s="333">
        <f>IF($DY$5=S.CAL!$CU$2,Janvier!AR29,IF($DY$5=S.CAL!$CU$3,VLOOKUP(BC27,planning_fp,7,FALSE),""))</f>
        <v>0</v>
      </c>
      <c r="BG27" s="345" t="str">
        <f>Janvier!BL29</f>
        <v>A</v>
      </c>
      <c r="BI27" s="16" t="s">
        <v>746</v>
      </c>
      <c r="BL27" s="35"/>
      <c r="BP27" s="2465"/>
      <c r="BQ27" s="2465"/>
      <c r="BR27" s="2465"/>
      <c r="BS27" s="2465"/>
      <c r="BT27" s="2464"/>
      <c r="BV27" s="355"/>
      <c r="BW27" s="355"/>
      <c r="BX27" s="2543"/>
      <c r="BY27" s="2543"/>
      <c r="BZ27" s="2543"/>
      <c r="CA27" s="2543"/>
      <c r="CB27" s="2542"/>
      <c r="CD27" s="328"/>
      <c r="CE27" s="107">
        <f t="shared" si="33"/>
        <v>46032</v>
      </c>
      <c r="CF27" s="170">
        <f>+$D$13+9</f>
        <v>46032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IF(+Janvier!AG29="",0,Janvier!AG29)</f>
        <v>0</v>
      </c>
      <c r="DZ27" s="16">
        <f>+IF(Janvier!AJ29="",0,Janvier!AJ29)</f>
        <v>0</v>
      </c>
      <c r="EA27" s="16">
        <f>+IF(Janvier!AM29="",0,Janvier!AM29)</f>
        <v>0</v>
      </c>
      <c r="EB27" s="16">
        <f t="shared" si="25"/>
        <v>0</v>
      </c>
      <c r="ED27" s="16">
        <f t="shared" si="26"/>
        <v>0</v>
      </c>
      <c r="EE27" s="16">
        <f t="shared" si="18"/>
        <v>0</v>
      </c>
      <c r="EF27" s="30" t="str">
        <f t="shared" si="19"/>
        <v/>
      </c>
      <c r="EG27" s="30" t="str">
        <f t="shared" si="27"/>
        <v/>
      </c>
      <c r="EH27" s="16">
        <f t="shared" si="28"/>
        <v>0</v>
      </c>
      <c r="EI27" s="30"/>
      <c r="EJ27" s="30">
        <f t="shared" si="20"/>
        <v>46032</v>
      </c>
      <c r="EM27" s="16" t="str">
        <f t="shared" si="29"/>
        <v>Fiche infoA646032</v>
      </c>
      <c r="EN27" s="16">
        <f t="shared" si="21"/>
        <v>0</v>
      </c>
      <c r="EQ27" s="16" t="str">
        <f>Janvier!FS29</f>
        <v/>
      </c>
    </row>
    <row r="28" spans="1:147" ht="18" customHeight="1" x14ac:dyDescent="0.2">
      <c r="A28" s="24" t="str">
        <f>+Janvier!BJ30</f>
        <v>Fiche infoA7</v>
      </c>
      <c r="B28" s="107">
        <f t="shared" si="30"/>
        <v>46033</v>
      </c>
      <c r="C28" s="170">
        <f>+$D$13+10</f>
        <v>46033</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Janvier!BC30</f>
        <v>0</v>
      </c>
      <c r="J28" s="34">
        <f>Janvier!BE30</f>
        <v>0</v>
      </c>
      <c r="K28" s="34">
        <f t="shared" si="15"/>
        <v>0</v>
      </c>
      <c r="L28" s="34" t="str">
        <f t="shared" si="16"/>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7"/>
        <v>Fiche infoA7</v>
      </c>
      <c r="BB28" s="107">
        <f t="shared" si="31"/>
        <v>46033</v>
      </c>
      <c r="BC28" s="170">
        <f>+$D$13+10</f>
        <v>46033</v>
      </c>
      <c r="BD28" s="171" t="str">
        <f t="shared" si="32"/>
        <v/>
      </c>
      <c r="BE28" s="171" t="str">
        <f>+IF(OR(BF28=S.CAL!$BJ$3,BF28=S.CAL!$BJ$4),BD28,"")</f>
        <v/>
      </c>
      <c r="BF28" s="333">
        <f>IF($DY$5=S.CAL!$CU$2,Janvier!AR30,IF($DY$5=S.CAL!$CU$3,VLOOKUP(BC28,planning_fp,7,FALSE),""))</f>
        <v>0</v>
      </c>
      <c r="BG28" s="345" t="str">
        <f>Janvier!BL30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46033</v>
      </c>
      <c r="CF28" s="170">
        <f>+$D$13+10</f>
        <v>46033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IF(+Janvier!AG30="",0,Janvier!AG30)</f>
        <v>0</v>
      </c>
      <c r="DZ28" s="16">
        <f>+IF(Janvier!AJ30="",0,Janvier!AJ30)</f>
        <v>0</v>
      </c>
      <c r="EA28" s="16">
        <f>+IF(Janvier!AM30="",0,Janvier!AM30)</f>
        <v>0</v>
      </c>
      <c r="EB28" s="16">
        <f t="shared" si="25"/>
        <v>0</v>
      </c>
      <c r="ED28" s="16">
        <f t="shared" si="26"/>
        <v>0</v>
      </c>
      <c r="EE28" s="16">
        <f t="shared" si="18"/>
        <v>0</v>
      </c>
      <c r="EF28" s="30" t="str">
        <f t="shared" si="19"/>
        <v/>
      </c>
      <c r="EG28" s="30" t="str">
        <f t="shared" si="27"/>
        <v/>
      </c>
      <c r="EH28" s="16">
        <f t="shared" si="28"/>
        <v>0</v>
      </c>
      <c r="EI28" s="30"/>
      <c r="EJ28" s="30">
        <f t="shared" si="20"/>
        <v>46033</v>
      </c>
      <c r="EM28" s="16" t="str">
        <f t="shared" si="29"/>
        <v>Fiche infoA746033</v>
      </c>
      <c r="EN28" s="16">
        <f t="shared" si="21"/>
        <v>0</v>
      </c>
      <c r="EQ28" s="16" t="str">
        <f>Janvier!FS30</f>
        <v/>
      </c>
    </row>
    <row r="29" spans="1:147" ht="18" customHeight="1" x14ac:dyDescent="0.2">
      <c r="A29" s="24" t="str">
        <f>+Janvier!BJ31</f>
        <v>Fiche infoA1</v>
      </c>
      <c r="B29" s="107">
        <f t="shared" si="30"/>
        <v>46034</v>
      </c>
      <c r="C29" s="170">
        <f>+$D$13+11</f>
        <v>46034</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Janvier!BC31</f>
        <v>0</v>
      </c>
      <c r="J29" s="34">
        <f>Janvier!BE31</f>
        <v>0</v>
      </c>
      <c r="K29" s="34">
        <f t="shared" si="15"/>
        <v>0</v>
      </c>
      <c r="L29" s="34" t="str">
        <f t="shared" si="16"/>
        <v/>
      </c>
      <c r="O29" s="859" t="s">
        <v>1444</v>
      </c>
      <c r="P29" s="859"/>
      <c r="Q29" s="859"/>
      <c r="R29" s="859"/>
      <c r="BA29" s="331" t="str">
        <f t="shared" si="17"/>
        <v>Fiche infoA1</v>
      </c>
      <c r="BB29" s="107">
        <f t="shared" si="31"/>
        <v>46034</v>
      </c>
      <c r="BC29" s="170">
        <f>+$D$13+11</f>
        <v>46034</v>
      </c>
      <c r="BD29" s="171" t="str">
        <f t="shared" si="32"/>
        <v/>
      </c>
      <c r="BE29" s="171" t="str">
        <f>+IF(OR(BF29=S.CAL!$BJ$3,BF29=S.CAL!$BJ$4),BD29,"")</f>
        <v/>
      </c>
      <c r="BF29" s="333">
        <f>IF($DY$5=S.CAL!$CU$2,Janvier!AR31,IF($DY$5=S.CAL!$CU$3,VLOOKUP(BC29,planning_fp,7,FALSE),""))</f>
        <v>0</v>
      </c>
      <c r="BG29" s="345" t="str">
        <f>Janvier!BL31</f>
        <v>A</v>
      </c>
      <c r="BH29" s="2537" t="str">
        <f>+ROUND(BE10,2)&amp;" X "&amp;BF51&amp;" / 26 ="</f>
        <v>0 X 0 / 26 =</v>
      </c>
      <c r="BI29" s="2404"/>
      <c r="BJ29" s="429">
        <f>+BE10*BF51/26</f>
        <v>0</v>
      </c>
      <c r="BL29" s="35"/>
      <c r="BN29" s="186"/>
      <c r="BO29" s="29" t="s">
        <v>313</v>
      </c>
      <c r="BP29" s="381">
        <f>SUMIFS(BD18:BD48,BF18:BF48,S.CAL!BJ3,BG18:BG48,"B")</f>
        <v>0</v>
      </c>
      <c r="BQ29" s="392">
        <f>+$BV$14</f>
        <v>0</v>
      </c>
      <c r="BR29" s="384">
        <f t="shared" ref="BR29:BR35" si="38">+IF(BQ29&gt;0,BP29*BQ29/BQ29,0)</f>
        <v>0</v>
      </c>
      <c r="BS29" s="384">
        <f t="shared" si="36"/>
        <v>0</v>
      </c>
      <c r="BT29" s="384">
        <f t="shared" ref="BT29:BT35" si="39">+BR29-BS29</f>
        <v>0</v>
      </c>
      <c r="BV29" s="363"/>
      <c r="BW29" s="356" t="s">
        <v>313</v>
      </c>
      <c r="BX29" s="364">
        <f>SUMIFS(BD18:BD48,BF18:BF48,S.CAL!BJ4,BG18:BG48,"B")</f>
        <v>0</v>
      </c>
      <c r="BY29" s="397">
        <f>+$BV$14</f>
        <v>0</v>
      </c>
      <c r="BZ29" s="394">
        <f t="shared" ref="BZ29:BZ35" si="40">+IF(BY29&gt;0,BX29*BY29/BY29,0)</f>
        <v>0</v>
      </c>
      <c r="CA29" s="365">
        <f t="shared" si="37"/>
        <v>0</v>
      </c>
      <c r="CB29" s="366">
        <f t="shared" ref="CB29:CB35" si="41">+BZ29-CA29</f>
        <v>0</v>
      </c>
      <c r="CD29" s="328"/>
      <c r="CE29" s="107">
        <f t="shared" si="33"/>
        <v>46034</v>
      </c>
      <c r="CF29" s="170">
        <f>+$D$13+11</f>
        <v>46034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IF(+Janvier!AG31="",0,Janvier!AG31)</f>
        <v>0</v>
      </c>
      <c r="DZ29" s="16">
        <f>+IF(Janvier!AJ31="",0,Janvier!AJ31)</f>
        <v>0</v>
      </c>
      <c r="EA29" s="16">
        <f>+IF(Janvier!AM31="",0,Janvier!AM31)</f>
        <v>0</v>
      </c>
      <c r="EB29" s="16">
        <f t="shared" si="25"/>
        <v>0</v>
      </c>
      <c r="ED29" s="16">
        <f t="shared" si="26"/>
        <v>0</v>
      </c>
      <c r="EE29" s="16">
        <f t="shared" si="18"/>
        <v>0</v>
      </c>
      <c r="EF29" s="30" t="str">
        <f t="shared" si="19"/>
        <v/>
      </c>
      <c r="EG29" s="30" t="str">
        <f t="shared" si="27"/>
        <v/>
      </c>
      <c r="EH29" s="16">
        <f t="shared" si="28"/>
        <v>0</v>
      </c>
      <c r="EI29" s="30"/>
      <c r="EJ29" s="30">
        <f t="shared" si="20"/>
        <v>46034</v>
      </c>
      <c r="EM29" s="16" t="str">
        <f t="shared" si="29"/>
        <v>Fiche infoA146034</v>
      </c>
      <c r="EN29" s="16">
        <f t="shared" si="21"/>
        <v>0</v>
      </c>
      <c r="EQ29" s="16" t="str">
        <f>Janvier!FS31</f>
        <v/>
      </c>
    </row>
    <row r="30" spans="1:147" ht="18" customHeight="1" x14ac:dyDescent="0.25">
      <c r="A30" s="24" t="str">
        <f>+Janvier!BJ32</f>
        <v>Fiche infoA2</v>
      </c>
      <c r="B30" s="107">
        <f t="shared" si="30"/>
        <v>46035</v>
      </c>
      <c r="C30" s="170">
        <f>+$D$13+12</f>
        <v>46035</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Janvier!BC32</f>
        <v>0</v>
      </c>
      <c r="J30" s="34">
        <f>Janvier!BE32</f>
        <v>0</v>
      </c>
      <c r="K30" s="34">
        <f t="shared" si="15"/>
        <v>0</v>
      </c>
      <c r="L30" s="34" t="str">
        <f t="shared" si="16"/>
        <v/>
      </c>
      <c r="O30" s="29" t="str">
        <f>+Q16&amp;" € x "&amp;ROUND(P27,4)&amp;" ="</f>
        <v>0 € x 0 =</v>
      </c>
      <c r="P30" s="671">
        <f>ROUND(Q16*P27,2)</f>
        <v>0</v>
      </c>
      <c r="Z30" s="1303" t="s">
        <v>1418</v>
      </c>
      <c r="AK30" s="1189" t="s">
        <v>679</v>
      </c>
      <c r="AL30" s="1321" t="e">
        <f>ROUND(IF(AO47&lt;AL25,+AL27*4.333333,AO47/AL28),2)</f>
        <v>#VALUE!</v>
      </c>
      <c r="AN30" s="1189" t="s">
        <v>28</v>
      </c>
      <c r="AO30" s="2555">
        <f>+D13</f>
        <v>46023</v>
      </c>
      <c r="AP30" s="2555"/>
      <c r="AQ30" s="2555"/>
      <c r="BA30" s="331" t="str">
        <f t="shared" si="17"/>
        <v>Fiche infoA2</v>
      </c>
      <c r="BB30" s="107">
        <f t="shared" si="31"/>
        <v>46035</v>
      </c>
      <c r="BC30" s="170">
        <f>+$D$13+12</f>
        <v>46035</v>
      </c>
      <c r="BD30" s="171" t="str">
        <f t="shared" si="32"/>
        <v/>
      </c>
      <c r="BE30" s="171" t="str">
        <f>+IF(OR(BF30=S.CAL!$BJ$3,BF30=S.CAL!$BJ$4),BD30,"")</f>
        <v/>
      </c>
      <c r="BF30" s="333">
        <f>IF($DY$5=S.CAL!$CU$2,Janvier!AR32,IF($DY$5=S.CAL!$CU$3,VLOOKUP(BC30,planning_fp,7,FALSE),""))</f>
        <v>0</v>
      </c>
      <c r="BG30" s="345" t="str">
        <f>Janvier!BL32</f>
        <v>A</v>
      </c>
      <c r="BL30" s="35"/>
      <c r="BN30" s="186"/>
      <c r="BO30" s="95" t="s">
        <v>314</v>
      </c>
      <c r="BP30" s="381">
        <f>SUMIFS(BD18:BD48,BF18:BF48,S.CAL!BJ3,BG18:BG48,"C")</f>
        <v>0</v>
      </c>
      <c r="BQ30" s="392">
        <f>+$BV$15</f>
        <v>0</v>
      </c>
      <c r="BR30" s="384">
        <f t="shared" si="38"/>
        <v>0</v>
      </c>
      <c r="BS30" s="384">
        <f t="shared" si="36"/>
        <v>0</v>
      </c>
      <c r="BT30" s="384">
        <f t="shared" si="39"/>
        <v>0</v>
      </c>
      <c r="BV30" s="363"/>
      <c r="BW30" s="356" t="s">
        <v>314</v>
      </c>
      <c r="BX30" s="364">
        <f>SUMIFS(BD18:BD48,BF18:BF48,S.CAL!BJ4,BG18:BG48,"C")</f>
        <v>0</v>
      </c>
      <c r="BY30" s="397">
        <f>+$BV$15</f>
        <v>0</v>
      </c>
      <c r="BZ30" s="394">
        <f t="shared" si="40"/>
        <v>0</v>
      </c>
      <c r="CA30" s="365">
        <f t="shared" si="37"/>
        <v>0</v>
      </c>
      <c r="CB30" s="366">
        <f t="shared" si="41"/>
        <v>0</v>
      </c>
      <c r="CD30" s="328"/>
      <c r="CE30" s="107">
        <f t="shared" si="33"/>
        <v>46035</v>
      </c>
      <c r="CF30" s="170">
        <f>+$D$13+12</f>
        <v>46035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IF(+Janvier!AG32="",0,Janvier!AG32)</f>
        <v>0</v>
      </c>
      <c r="DZ30" s="16">
        <f>+IF(Janvier!AJ32="",0,Janvier!AJ32)</f>
        <v>0</v>
      </c>
      <c r="EA30" s="16">
        <f>+IF(Janvier!AM32="",0,Janvier!AM32)</f>
        <v>0</v>
      </c>
      <c r="EB30" s="16">
        <f t="shared" si="25"/>
        <v>0</v>
      </c>
      <c r="ED30" s="16">
        <f t="shared" si="26"/>
        <v>0</v>
      </c>
      <c r="EE30" s="16">
        <f t="shared" si="18"/>
        <v>0</v>
      </c>
      <c r="EF30" s="30" t="str">
        <f t="shared" si="19"/>
        <v/>
      </c>
      <c r="EG30" s="30" t="str">
        <f t="shared" si="27"/>
        <v/>
      </c>
      <c r="EH30" s="16">
        <f t="shared" si="28"/>
        <v>0</v>
      </c>
      <c r="EI30" s="30"/>
      <c r="EJ30" s="30">
        <f t="shared" si="20"/>
        <v>46035</v>
      </c>
      <c r="EM30" s="16" t="str">
        <f t="shared" si="29"/>
        <v>Fiche infoA246035</v>
      </c>
      <c r="EN30" s="16">
        <f t="shared" si="21"/>
        <v>0</v>
      </c>
      <c r="EQ30" s="16" t="str">
        <f>Janvier!FS32</f>
        <v/>
      </c>
    </row>
    <row r="31" spans="1:147" ht="18" customHeight="1" x14ac:dyDescent="0.2">
      <c r="A31" s="24" t="str">
        <f>+Janvier!BJ33</f>
        <v>Fiche infoA3</v>
      </c>
      <c r="B31" s="107">
        <f t="shared" si="30"/>
        <v>46036</v>
      </c>
      <c r="C31" s="170">
        <f>+$D$13+13</f>
        <v>46036</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Janvier!BC33</f>
        <v>0</v>
      </c>
      <c r="J31" s="34">
        <f>Janvier!BE33</f>
        <v>0</v>
      </c>
      <c r="K31" s="34">
        <f t="shared" si="15"/>
        <v>0</v>
      </c>
      <c r="L31" s="34" t="str">
        <f t="shared" si="16"/>
        <v/>
      </c>
      <c r="AL31" s="563" t="s">
        <v>342</v>
      </c>
      <c r="BA31" s="331" t="str">
        <f t="shared" si="17"/>
        <v>Fiche infoA3</v>
      </c>
      <c r="BB31" s="107">
        <f t="shared" si="31"/>
        <v>46036</v>
      </c>
      <c r="BC31" s="170">
        <f>+$D$13+13</f>
        <v>46036</v>
      </c>
      <c r="BD31" s="171" t="str">
        <f t="shared" si="32"/>
        <v/>
      </c>
      <c r="BE31" s="171" t="str">
        <f>+IF(OR(BF31=S.CAL!$BJ$3,BF31=S.CAL!$BJ$4),BD31,"")</f>
        <v/>
      </c>
      <c r="BF31" s="333">
        <f>IF($DY$5=S.CAL!$CU$2,Janvier!AR33,IF($DY$5=S.CAL!$CU$3,VLOOKUP(BC31,planning_fp,7,FALSE),""))</f>
        <v>0</v>
      </c>
      <c r="BG31" s="345" t="str">
        <f>Janvier!BL33</f>
        <v>A</v>
      </c>
      <c r="BL31" s="35"/>
      <c r="BN31" s="186"/>
      <c r="BO31" s="95" t="s">
        <v>315</v>
      </c>
      <c r="BP31" s="381">
        <f>SUMIFS(BD18:BD48,BF18:BF48,S.CAL!BJ3,BG18:BG48,"D")</f>
        <v>0</v>
      </c>
      <c r="BQ31" s="392">
        <f>+$BV$16</f>
        <v>0</v>
      </c>
      <c r="BR31" s="384">
        <f t="shared" si="38"/>
        <v>0</v>
      </c>
      <c r="BS31" s="384">
        <f t="shared" si="36"/>
        <v>0</v>
      </c>
      <c r="BT31" s="384">
        <f t="shared" si="39"/>
        <v>0</v>
      </c>
      <c r="BV31" s="363"/>
      <c r="BW31" s="356" t="s">
        <v>315</v>
      </c>
      <c r="BX31" s="364">
        <f>SUMIFS(BD18:BD48,BF18:BF48,S.CAL!BJ4,BG18:BG48,"D")</f>
        <v>0</v>
      </c>
      <c r="BY31" s="397">
        <f>+$BV$16</f>
        <v>0</v>
      </c>
      <c r="BZ31" s="394">
        <f t="shared" si="40"/>
        <v>0</v>
      </c>
      <c r="CA31" s="365">
        <f t="shared" si="37"/>
        <v>0</v>
      </c>
      <c r="CB31" s="366">
        <f t="shared" si="41"/>
        <v>0</v>
      </c>
      <c r="CD31" s="328"/>
      <c r="CE31" s="107">
        <f t="shared" si="33"/>
        <v>46036</v>
      </c>
      <c r="CF31" s="170">
        <f>+$D$13+13</f>
        <v>46036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IF(+Janvier!AG33="",0,Janvier!AG33)</f>
        <v>0</v>
      </c>
      <c r="DZ31" s="16">
        <f>+IF(Janvier!AJ33="",0,Janvier!AJ33)</f>
        <v>0</v>
      </c>
      <c r="EA31" s="16">
        <f>+IF(Janvier!AM33="",0,Janvier!AM33)</f>
        <v>0</v>
      </c>
      <c r="EB31" s="16">
        <f t="shared" si="25"/>
        <v>0</v>
      </c>
      <c r="ED31" s="16">
        <f t="shared" si="26"/>
        <v>0</v>
      </c>
      <c r="EE31" s="16">
        <f t="shared" si="18"/>
        <v>0</v>
      </c>
      <c r="EF31" s="30" t="str">
        <f t="shared" si="19"/>
        <v/>
      </c>
      <c r="EG31" s="30" t="str">
        <f t="shared" si="27"/>
        <v/>
      </c>
      <c r="EH31" s="16">
        <f t="shared" si="28"/>
        <v>0</v>
      </c>
      <c r="EI31" s="30"/>
      <c r="EJ31" s="30">
        <f t="shared" si="20"/>
        <v>46036</v>
      </c>
      <c r="EM31" s="16" t="str">
        <f t="shared" si="29"/>
        <v>Fiche infoA346036</v>
      </c>
      <c r="EN31" s="16">
        <f t="shared" si="21"/>
        <v>0</v>
      </c>
      <c r="EQ31" s="16" t="str">
        <f>Janvier!FS33</f>
        <v/>
      </c>
    </row>
    <row r="32" spans="1:147" ht="18" customHeight="1" x14ac:dyDescent="0.2">
      <c r="A32" s="24" t="str">
        <f>+Janvier!BJ34</f>
        <v>Fiche infoA4</v>
      </c>
      <c r="B32" s="107">
        <f t="shared" si="30"/>
        <v>46037</v>
      </c>
      <c r="C32" s="170">
        <f>+$D$13+14</f>
        <v>46037</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Janvier!BC34</f>
        <v>0</v>
      </c>
      <c r="J32" s="34">
        <f>Janvier!BE34</f>
        <v>0</v>
      </c>
      <c r="K32" s="34">
        <f t="shared" si="15"/>
        <v>0</v>
      </c>
      <c r="L32" s="34" t="str">
        <f t="shared" si="16"/>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7"/>
        <v>Fiche infoA4</v>
      </c>
      <c r="BB32" s="107">
        <f t="shared" si="31"/>
        <v>46037</v>
      </c>
      <c r="BC32" s="170">
        <f>+$D$13+14</f>
        <v>46037</v>
      </c>
      <c r="BD32" s="171" t="str">
        <f t="shared" si="32"/>
        <v/>
      </c>
      <c r="BE32" s="171" t="str">
        <f>+IF(OR(BF32=S.CAL!$BJ$3,BF32=S.CAL!$BJ$4),BD32,"")</f>
        <v/>
      </c>
      <c r="BF32" s="333">
        <f>IF($DY$5=S.CAL!$CU$2,Janvier!AR34,IF($DY$5=S.CAL!$CU$3,VLOOKUP(BC32,planning_fp,7,FALSE),""))</f>
        <v>0</v>
      </c>
      <c r="BG32" s="345" t="str">
        <f>Janvier!BL34</f>
        <v>A</v>
      </c>
      <c r="BH32" s="29"/>
      <c r="BL32" s="35"/>
      <c r="BM32" s="195"/>
      <c r="BN32" s="186"/>
      <c r="BO32" s="95" t="s">
        <v>316</v>
      </c>
      <c r="BP32" s="381">
        <f>SUMIFS(BD18:BD48,BF18:BF48,S.CAL!BJ3,BG18:BG48,"E")</f>
        <v>0</v>
      </c>
      <c r="BQ32" s="392">
        <f>+$BV$17</f>
        <v>0</v>
      </c>
      <c r="BR32" s="384">
        <f t="shared" si="38"/>
        <v>0</v>
      </c>
      <c r="BS32" s="384">
        <f t="shared" si="36"/>
        <v>0</v>
      </c>
      <c r="BT32" s="384">
        <f t="shared" si="39"/>
        <v>0</v>
      </c>
      <c r="BV32" s="363"/>
      <c r="BW32" s="356" t="s">
        <v>316</v>
      </c>
      <c r="BX32" s="364">
        <f>SUMIFS(BD18:BD48,BF18:BF48,S.CAL!BJ4,BG18:BG48,"E")</f>
        <v>0</v>
      </c>
      <c r="BY32" s="397">
        <f>+$BV$17</f>
        <v>0</v>
      </c>
      <c r="BZ32" s="394">
        <f t="shared" si="40"/>
        <v>0</v>
      </c>
      <c r="CA32" s="365">
        <f t="shared" si="37"/>
        <v>0</v>
      </c>
      <c r="CB32" s="366">
        <f t="shared" si="41"/>
        <v>0</v>
      </c>
      <c r="CD32" s="328"/>
      <c r="CE32" s="107">
        <f t="shared" si="33"/>
        <v>46037</v>
      </c>
      <c r="CF32" s="170">
        <f>+$D$13+14</f>
        <v>46037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IF(+Janvier!AG34="",0,Janvier!AG34)</f>
        <v>0</v>
      </c>
      <c r="DZ32" s="16">
        <f>+IF(Janvier!AJ34="",0,Janvier!AJ34)</f>
        <v>0</v>
      </c>
      <c r="EA32" s="16">
        <f>+IF(Janvier!AM34="",0,Janvier!AM34)</f>
        <v>0</v>
      </c>
      <c r="EB32" s="16">
        <f t="shared" si="25"/>
        <v>0</v>
      </c>
      <c r="ED32" s="16">
        <f t="shared" si="26"/>
        <v>0</v>
      </c>
      <c r="EE32" s="16">
        <f t="shared" si="18"/>
        <v>0</v>
      </c>
      <c r="EF32" s="30" t="str">
        <f t="shared" si="19"/>
        <v/>
      </c>
      <c r="EG32" s="30" t="str">
        <f t="shared" si="27"/>
        <v/>
      </c>
      <c r="EH32" s="16">
        <f t="shared" si="28"/>
        <v>0</v>
      </c>
      <c r="EI32" s="30"/>
      <c r="EJ32" s="30">
        <f t="shared" si="20"/>
        <v>46037</v>
      </c>
      <c r="EM32" s="16" t="str">
        <f t="shared" si="29"/>
        <v>Fiche infoA446037</v>
      </c>
      <c r="EN32" s="16">
        <f t="shared" si="21"/>
        <v>0</v>
      </c>
      <c r="EQ32" s="16" t="str">
        <f>Janvier!FS34</f>
        <v/>
      </c>
    </row>
    <row r="33" spans="1:147" ht="18" customHeight="1" x14ac:dyDescent="0.2">
      <c r="A33" s="24" t="str">
        <f>+Janvier!BJ35</f>
        <v>Fiche infoA5</v>
      </c>
      <c r="B33" s="107">
        <f t="shared" si="30"/>
        <v>46038</v>
      </c>
      <c r="C33" s="170">
        <f>+$D$13+15</f>
        <v>46038</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Janvier!BC35</f>
        <v>0</v>
      </c>
      <c r="J33" s="34">
        <f>Janvier!BE35</f>
        <v>0</v>
      </c>
      <c r="K33" s="34">
        <f t="shared" si="15"/>
        <v>0</v>
      </c>
      <c r="L33" s="34" t="str">
        <f t="shared" si="16"/>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AG33" s="563" t="s">
        <v>1229</v>
      </c>
      <c r="BA33" s="331" t="str">
        <f t="shared" si="17"/>
        <v>Fiche infoA5</v>
      </c>
      <c r="BB33" s="107">
        <f t="shared" si="31"/>
        <v>46038</v>
      </c>
      <c r="BC33" s="170">
        <f>+$D$13+15</f>
        <v>46038</v>
      </c>
      <c r="BD33" s="171" t="str">
        <f t="shared" si="32"/>
        <v/>
      </c>
      <c r="BE33" s="171" t="str">
        <f>+IF(OR(BF33=S.CAL!$BJ$3,BF33=S.CAL!$BJ$4),BD33,"")</f>
        <v/>
      </c>
      <c r="BF33" s="333">
        <f>IF($DY$5=S.CAL!$CU$2,Janvier!AR35,IF($DY$5=S.CAL!$CU$3,VLOOKUP(BC33,planning_fp,7,FALSE),""))</f>
        <v>0</v>
      </c>
      <c r="BG33" s="345" t="str">
        <f>Janvier!BL35</f>
        <v>A</v>
      </c>
      <c r="BL33" s="35"/>
      <c r="BN33" s="186"/>
      <c r="BO33" s="95" t="s">
        <v>317</v>
      </c>
      <c r="BP33" s="381">
        <f>SUMIFS(BD18:BD48,BF18:BF48,S.CAL!BJ3,BG18:BG48,"F")</f>
        <v>0</v>
      </c>
      <c r="BQ33" s="392">
        <f>+$BV$18</f>
        <v>0</v>
      </c>
      <c r="BR33" s="384">
        <f t="shared" si="38"/>
        <v>0</v>
      </c>
      <c r="BS33" s="384">
        <f t="shared" si="36"/>
        <v>0</v>
      </c>
      <c r="BT33" s="384">
        <f t="shared" si="39"/>
        <v>0</v>
      </c>
      <c r="BV33" s="363"/>
      <c r="BW33" s="356" t="s">
        <v>317</v>
      </c>
      <c r="BX33" s="364">
        <f>SUMIFS(BD18:BD48,BF18:BF48,S.CAL!BJ4,BG18:BG48,"F")</f>
        <v>0</v>
      </c>
      <c r="BY33" s="397">
        <f>+$BV$18</f>
        <v>0</v>
      </c>
      <c r="BZ33" s="394">
        <f t="shared" si="40"/>
        <v>0</v>
      </c>
      <c r="CA33" s="365">
        <f t="shared" si="37"/>
        <v>0</v>
      </c>
      <c r="CB33" s="366">
        <f t="shared" si="41"/>
        <v>0</v>
      </c>
      <c r="CD33" s="328"/>
      <c r="CE33" s="107">
        <f t="shared" si="33"/>
        <v>46038</v>
      </c>
      <c r="CF33" s="170">
        <f>+$D$13+15</f>
        <v>46038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IF(+Janvier!AG35="",0,Janvier!AG35)</f>
        <v>0</v>
      </c>
      <c r="DZ33" s="16">
        <f>+IF(Janvier!AJ35="",0,Janvier!AJ35)</f>
        <v>0</v>
      </c>
      <c r="EA33" s="16">
        <f>+IF(Janvier!AM35="",0,Janvier!AM35)</f>
        <v>0</v>
      </c>
      <c r="EB33" s="16">
        <f t="shared" si="25"/>
        <v>0</v>
      </c>
      <c r="ED33" s="16">
        <f t="shared" si="26"/>
        <v>0</v>
      </c>
      <c r="EE33" s="16">
        <f t="shared" si="18"/>
        <v>0</v>
      </c>
      <c r="EF33" s="30" t="str">
        <f t="shared" si="19"/>
        <v/>
      </c>
      <c r="EG33" s="30" t="str">
        <f t="shared" si="27"/>
        <v/>
      </c>
      <c r="EH33" s="16">
        <f t="shared" si="28"/>
        <v>0</v>
      </c>
      <c r="EI33" s="30"/>
      <c r="EJ33" s="30">
        <f t="shared" si="20"/>
        <v>46038</v>
      </c>
      <c r="EM33" s="16" t="str">
        <f t="shared" si="29"/>
        <v>Fiche infoA546038</v>
      </c>
      <c r="EN33" s="16">
        <f t="shared" si="21"/>
        <v>0</v>
      </c>
      <c r="EQ33" s="16" t="str">
        <f>Janvier!FS35</f>
        <v/>
      </c>
    </row>
    <row r="34" spans="1:147" ht="18" customHeight="1" x14ac:dyDescent="0.2">
      <c r="A34" s="24" t="str">
        <f>+Janvier!BJ36</f>
        <v>Fiche infoA6</v>
      </c>
      <c r="B34" s="107">
        <f t="shared" si="30"/>
        <v>46039</v>
      </c>
      <c r="C34" s="170">
        <f>+$D$13+16</f>
        <v>46039</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Janvier!BC36</f>
        <v>0</v>
      </c>
      <c r="J34" s="34">
        <f>Janvier!BE36</f>
        <v>0</v>
      </c>
      <c r="K34" s="34">
        <f t="shared" si="15"/>
        <v>0</v>
      </c>
      <c r="L34" s="34" t="str">
        <f t="shared" si="16"/>
        <v/>
      </c>
      <c r="N34" s="377"/>
      <c r="O34" s="377"/>
      <c r="P34" s="377"/>
      <c r="Q34" s="377"/>
      <c r="R34" s="377"/>
      <c r="T34" s="563">
        <f ca="1">+IF(AD34=0,V34,0)</f>
        <v>0</v>
      </c>
      <c r="U34" s="1301" t="str">
        <f>+Janvier!AU4</f>
        <v>A</v>
      </c>
      <c r="V34" s="1301">
        <f>IFERROR(+VLOOKUP(U34,U35:AB39,7,FALSE),"")</f>
        <v>0</v>
      </c>
      <c r="W34" s="2538" t="str">
        <f>Janvier!BS28</f>
        <v>Semaine numéro : 1</v>
      </c>
      <c r="X34" s="2538"/>
      <c r="Y34" s="2538"/>
      <c r="Z34" s="1323"/>
      <c r="AA34" s="1316">
        <f ca="1">+IF(Z34&lt;&gt;"",Z34,IF(T34&gt;0,T34,IF(AND(AD34&gt;0,AC34&gt;0),AD34+AC34,IF(AE34&gt;0,0,AC34))))</f>
        <v>0</v>
      </c>
      <c r="AB34" s="1316">
        <f ca="1">IF(AND(AA34&gt;45,AD34=AD48),AA34-45,0)</f>
        <v>0</v>
      </c>
      <c r="AC34" s="1322">
        <f>+SUMIF(Janvier!$BK$20:$BK$50,Janvier!AT4,$D$18:$D$48)</f>
        <v>0</v>
      </c>
      <c r="AD34" s="1322">
        <f ca="1">+IF(SUMIF(AG34:AG39,Report!D36,Report!D37)&gt;0,SUMIF(AG34:AG39,Report!D36,Report!D37),AC35-AC34)</f>
        <v>0</v>
      </c>
      <c r="AE34" s="1322">
        <f>+SUMIF(Février!$BK$20:$BK$50,Janvier!AT4,'Retenue Fev'!$D$18:$D$48)</f>
        <v>0</v>
      </c>
      <c r="AF34" s="1316">
        <f ca="1">+AC34-AB34</f>
        <v>0</v>
      </c>
      <c r="AG34" s="563">
        <f>+Janvier!AT4</f>
        <v>1</v>
      </c>
      <c r="AK34" s="1189" t="s">
        <v>324</v>
      </c>
      <c r="AL34" s="1302" t="e">
        <f>IF(AL32,+AL24/AL32,0)</f>
        <v>#VALUE!</v>
      </c>
      <c r="BA34" s="331" t="str">
        <f t="shared" si="17"/>
        <v>Fiche infoA6</v>
      </c>
      <c r="BB34" s="107">
        <f t="shared" si="31"/>
        <v>46039</v>
      </c>
      <c r="BC34" s="170">
        <f>+$D$13+16</f>
        <v>46039</v>
      </c>
      <c r="BD34" s="171" t="str">
        <f t="shared" si="32"/>
        <v/>
      </c>
      <c r="BE34" s="171" t="str">
        <f>+IF(OR(BF34=S.CAL!$BJ$3,BF34=S.CAL!$BJ$4),BD34,"")</f>
        <v/>
      </c>
      <c r="BF34" s="333">
        <f>IF($DY$5=S.CAL!$CU$2,Janvier!AR36,IF($DY$5=S.CAL!$CU$3,VLOOKUP(BC34,planning_fp,7,FALSE),""))</f>
        <v>0</v>
      </c>
      <c r="BG34" s="345" t="str">
        <f>Janvier!BL36</f>
        <v>A</v>
      </c>
      <c r="BH34" s="355"/>
      <c r="BJ34" s="355"/>
      <c r="BK34" s="355"/>
      <c r="BL34" s="35"/>
      <c r="BN34" s="186"/>
      <c r="BO34" s="95" t="s">
        <v>318</v>
      </c>
      <c r="BP34" s="381">
        <f>SUMIFS(BD18:BD48,BF18:BF48,S.CAL!BJ3,BG18:BG48,"G")</f>
        <v>0</v>
      </c>
      <c r="BQ34" s="392">
        <f>+$BV$19</f>
        <v>0</v>
      </c>
      <c r="BR34" s="384">
        <f t="shared" si="38"/>
        <v>0</v>
      </c>
      <c r="BS34" s="384">
        <f t="shared" si="36"/>
        <v>0</v>
      </c>
      <c r="BT34" s="384">
        <f t="shared" si="39"/>
        <v>0</v>
      </c>
      <c r="BV34" s="363"/>
      <c r="BW34" s="356" t="s">
        <v>318</v>
      </c>
      <c r="BX34" s="364">
        <f>SUMIFS(BD18:BD48,BF18:BF48,S.CAL!BJ4,BG18:BG48,"G")</f>
        <v>0</v>
      </c>
      <c r="BY34" s="397">
        <f>+$BV$19</f>
        <v>0</v>
      </c>
      <c r="BZ34" s="394">
        <f t="shared" si="40"/>
        <v>0</v>
      </c>
      <c r="CA34" s="365">
        <f t="shared" si="37"/>
        <v>0</v>
      </c>
      <c r="CB34" s="366">
        <f t="shared" si="41"/>
        <v>0</v>
      </c>
      <c r="CD34" s="328"/>
      <c r="CE34" s="107">
        <f t="shared" si="33"/>
        <v>46039</v>
      </c>
      <c r="CF34" s="170">
        <f>+$D$13+16</f>
        <v>46039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IF(+Janvier!AG36="",0,Janvier!AG36)</f>
        <v>0</v>
      </c>
      <c r="DZ34" s="16">
        <f>+IF(Janvier!AJ36="",0,Janvier!AJ36)</f>
        <v>0</v>
      </c>
      <c r="EA34" s="16">
        <f>+IF(Janvier!AM36="",0,Janvier!AM36)</f>
        <v>0</v>
      </c>
      <c r="EB34" s="16">
        <f t="shared" si="25"/>
        <v>0</v>
      </c>
      <c r="ED34" s="16">
        <f t="shared" si="26"/>
        <v>0</v>
      </c>
      <c r="EE34" s="16">
        <f t="shared" si="18"/>
        <v>0</v>
      </c>
      <c r="EF34" s="30" t="str">
        <f t="shared" si="19"/>
        <v/>
      </c>
      <c r="EG34" s="30" t="str">
        <f t="shared" si="27"/>
        <v/>
      </c>
      <c r="EH34" s="16">
        <f t="shared" si="28"/>
        <v>0</v>
      </c>
      <c r="EI34" s="30"/>
      <c r="EJ34" s="30">
        <f t="shared" si="20"/>
        <v>46039</v>
      </c>
      <c r="EM34" s="16" t="str">
        <f t="shared" si="29"/>
        <v>Fiche infoA646039</v>
      </c>
      <c r="EN34" s="16">
        <f t="shared" si="21"/>
        <v>0</v>
      </c>
      <c r="EQ34" s="16" t="str">
        <f>Janvier!FS36</f>
        <v/>
      </c>
    </row>
    <row r="35" spans="1:147" ht="18" customHeight="1" x14ac:dyDescent="0.2">
      <c r="A35" s="24" t="str">
        <f>+Janvier!BJ37</f>
        <v>Fiche infoA7</v>
      </c>
      <c r="B35" s="107">
        <f t="shared" si="30"/>
        <v>46040</v>
      </c>
      <c r="C35" s="170">
        <f>+$D$13+17</f>
        <v>46040</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Janvier!BC37</f>
        <v>0</v>
      </c>
      <c r="J35" s="34">
        <f>Janvier!BE37</f>
        <v>0</v>
      </c>
      <c r="K35" s="34">
        <f t="shared" si="15"/>
        <v>0</v>
      </c>
      <c r="L35" s="34" t="str">
        <f t="shared" si="16"/>
        <v/>
      </c>
      <c r="N35" s="377"/>
      <c r="O35" s="861" t="s">
        <v>1198</v>
      </c>
      <c r="P35" s="862"/>
      <c r="Q35" s="862"/>
      <c r="R35" s="858"/>
      <c r="T35" s="563">
        <f>+IF(AD35=0,V35,0)</f>
        <v>0</v>
      </c>
      <c r="U35" s="1301" t="str">
        <f>+Janvier!AU5</f>
        <v>A</v>
      </c>
      <c r="V35" s="1301">
        <f>IFERROR(+VLOOKUP(U35,U36:AB39,7,FALSE),"")</f>
        <v>0</v>
      </c>
      <c r="W35" s="2538" t="str">
        <f>Janvier!BS29</f>
        <v>Semaine numéro : 2</v>
      </c>
      <c r="X35" s="2538"/>
      <c r="Y35" s="2538"/>
      <c r="Z35" s="1323"/>
      <c r="AA35" s="1316">
        <f>+IF(Z35&lt;&gt;"",Z35,IF(T35&gt;0,T35,IF(AND(AD35&gt;0,AC35&gt;0),AD35+AC35,IF(AE35&gt;0,0,AC35))))</f>
        <v>0</v>
      </c>
      <c r="AB35" s="1316">
        <f t="shared" ref="AB35:AB39" si="42">IF(AND(AA35&gt;45,AD35=AD49),AA35-45,0)</f>
        <v>0</v>
      </c>
      <c r="AC35" s="1322">
        <f>+SUMIF(Janvier!$BK$20:$BK$50,Janvier!AT5,$D$18:$D$48)</f>
        <v>0</v>
      </c>
      <c r="AD35" s="1322"/>
      <c r="AE35" s="1322">
        <f>+SUMIF(Février!$BK$20:$BK$50,Janvier!AT5,'Retenue Fev'!$D$18:$D$48)</f>
        <v>0</v>
      </c>
      <c r="AF35" s="1316">
        <f t="shared" ref="AF35:AF39" si="43">+AC35-AB35</f>
        <v>0</v>
      </c>
      <c r="AG35" s="563">
        <f>+Janvier!AT5</f>
        <v>2</v>
      </c>
      <c r="AK35" s="1189"/>
      <c r="AL35" s="1302"/>
      <c r="BA35" s="331" t="str">
        <f t="shared" si="17"/>
        <v>Fiche infoA7</v>
      </c>
      <c r="BB35" s="107">
        <f t="shared" si="31"/>
        <v>46040</v>
      </c>
      <c r="BC35" s="170">
        <f>+$D$13+17</f>
        <v>46040</v>
      </c>
      <c r="BD35" s="171" t="str">
        <f t="shared" si="32"/>
        <v/>
      </c>
      <c r="BE35" s="171" t="str">
        <f>+IF(OR(BF35=S.CAL!$BJ$3,BF35=S.CAL!$BJ$4),BD35,"")</f>
        <v/>
      </c>
      <c r="BF35" s="333">
        <f>IF($DY$5=S.CAL!$CU$2,Janvier!AR37,IF($DY$5=S.CAL!$CU$3,VLOOKUP(BC35,planning_fp,7,FALSE),""))</f>
        <v>0</v>
      </c>
      <c r="BG35" s="345" t="str">
        <f>Janvier!BL37</f>
        <v>A</v>
      </c>
      <c r="BH35" s="355"/>
      <c r="BI35" s="355"/>
      <c r="BJ35" s="355"/>
      <c r="BK35" s="355"/>
      <c r="BL35" s="35"/>
      <c r="BN35" s="187"/>
      <c r="BO35" s="173" t="s">
        <v>319</v>
      </c>
      <c r="BP35" s="382">
        <f>SUMIFS(BD18:BD48,BF18:BF48,S.CAL!BJ3,BG18:BG48,"H")</f>
        <v>0</v>
      </c>
      <c r="BQ35" s="180">
        <f>+$BV$20</f>
        <v>0</v>
      </c>
      <c r="BR35" s="385">
        <f t="shared" si="38"/>
        <v>0</v>
      </c>
      <c r="BS35" s="385">
        <f t="shared" si="36"/>
        <v>0</v>
      </c>
      <c r="BT35" s="385">
        <f t="shared" si="39"/>
        <v>0</v>
      </c>
      <c r="BV35" s="367"/>
      <c r="BW35" s="387" t="s">
        <v>319</v>
      </c>
      <c r="BX35" s="368">
        <f>SUMIFS(BD18:BD48,BF18:BF48,S.CAL!BJ4,BG18:BG48,"H")</f>
        <v>0</v>
      </c>
      <c r="BY35" s="398">
        <f>+$BV$20</f>
        <v>0</v>
      </c>
      <c r="BZ35" s="395">
        <f t="shared" si="40"/>
        <v>0</v>
      </c>
      <c r="CA35" s="369">
        <f t="shared" si="37"/>
        <v>0</v>
      </c>
      <c r="CB35" s="370">
        <f t="shared" si="41"/>
        <v>0</v>
      </c>
      <c r="CD35" s="328"/>
      <c r="CE35" s="107">
        <f t="shared" si="33"/>
        <v>46040</v>
      </c>
      <c r="CF35" s="170">
        <f>+$D$13+17</f>
        <v>46040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IF(+Janvier!AG37="",0,Janvier!AG37)</f>
        <v>0</v>
      </c>
      <c r="DZ35" s="16">
        <f>+IF(Janvier!AJ37="",0,Janvier!AJ37)</f>
        <v>0</v>
      </c>
      <c r="EA35" s="16">
        <f>+IF(Janvier!AM37="",0,Janvier!AM37)</f>
        <v>0</v>
      </c>
      <c r="EB35" s="16">
        <f t="shared" si="25"/>
        <v>0</v>
      </c>
      <c r="ED35" s="16">
        <f t="shared" si="26"/>
        <v>0</v>
      </c>
      <c r="EE35" s="16">
        <f t="shared" si="18"/>
        <v>0</v>
      </c>
      <c r="EF35" s="30" t="str">
        <f t="shared" si="19"/>
        <v/>
      </c>
      <c r="EG35" s="30" t="str">
        <f t="shared" si="27"/>
        <v/>
      </c>
      <c r="EH35" s="16">
        <f t="shared" si="28"/>
        <v>0</v>
      </c>
      <c r="EI35" s="30"/>
      <c r="EJ35" s="30">
        <f t="shared" si="20"/>
        <v>46040</v>
      </c>
      <c r="EM35" s="16" t="str">
        <f t="shared" si="29"/>
        <v>Fiche infoA746040</v>
      </c>
      <c r="EN35" s="16">
        <f t="shared" si="21"/>
        <v>0</v>
      </c>
      <c r="EQ35" s="16" t="str">
        <f>Janvier!FS37</f>
        <v/>
      </c>
    </row>
    <row r="36" spans="1:147" ht="18" customHeight="1" x14ac:dyDescent="0.2">
      <c r="A36" s="24" t="str">
        <f>+Janvier!BJ38</f>
        <v>Fiche infoA1</v>
      </c>
      <c r="B36" s="107">
        <f t="shared" si="30"/>
        <v>46041</v>
      </c>
      <c r="C36" s="170">
        <f>+$D$13+18</f>
        <v>46041</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Janvier!BC38</f>
        <v>0</v>
      </c>
      <c r="J36" s="34">
        <f>Janvier!BE38</f>
        <v>0</v>
      </c>
      <c r="K36" s="34">
        <f t="shared" si="15"/>
        <v>0</v>
      </c>
      <c r="L36" s="34" t="str">
        <f t="shared" si="16"/>
        <v/>
      </c>
      <c r="N36" s="377"/>
      <c r="O36" s="468"/>
      <c r="P36" s="469" t="str">
        <f>+E11&amp;" / ( "&amp;E10&amp;" + "&amp;E11&amp;" ) ="</f>
        <v>0 / ( 0 + 0 ) =</v>
      </c>
      <c r="Q36" s="468" t="e">
        <f>+ROUND(E11/(E11+E10),6)</f>
        <v>#DIV/0!</v>
      </c>
      <c r="R36" s="377"/>
      <c r="U36" s="1301" t="str">
        <f>+Janvier!AU6</f>
        <v>A</v>
      </c>
      <c r="V36" s="1301"/>
      <c r="W36" s="2538" t="str">
        <f>Janvier!BS30</f>
        <v>Semaine numéro : 3</v>
      </c>
      <c r="X36" s="2538"/>
      <c r="Y36" s="2538"/>
      <c r="Z36" s="1323"/>
      <c r="AA36" s="1316">
        <f t="shared" ref="AA36:AA39" si="44">+IF(Z36="",IF(AND(AD36&gt;0,AC36&gt;0),AD36+AC36,IF(AE36&gt;0,0,AC36)),Z36)</f>
        <v>0</v>
      </c>
      <c r="AB36" s="1316">
        <f t="shared" si="42"/>
        <v>0</v>
      </c>
      <c r="AC36" s="1322">
        <f>+SUMIF(Janvier!$BK$20:$BK$50,Janvier!AT6,$D$18:$D$48)</f>
        <v>0</v>
      </c>
      <c r="AD36" s="1322"/>
      <c r="AE36" s="1322">
        <f>+SUMIF(Février!$BK$20:$BK$50,Janvier!AT6,'Retenue Fev'!$D$18:$D$48)</f>
        <v>0</v>
      </c>
      <c r="AF36" s="1316">
        <f t="shared" si="43"/>
        <v>0</v>
      </c>
      <c r="AG36" s="563">
        <f>+Janvier!AT6</f>
        <v>3</v>
      </c>
      <c r="AK36" s="1189"/>
      <c r="AL36" s="1302"/>
      <c r="BA36" s="331" t="str">
        <f t="shared" si="17"/>
        <v>Fiche infoA1</v>
      </c>
      <c r="BB36" s="107">
        <f t="shared" si="31"/>
        <v>46041</v>
      </c>
      <c r="BC36" s="170">
        <f>+$D$13+18</f>
        <v>46041</v>
      </c>
      <c r="BD36" s="171" t="str">
        <f t="shared" si="32"/>
        <v/>
      </c>
      <c r="BE36" s="171" t="str">
        <f>+IF(OR(BF36=S.CAL!$BJ$3,BF36=S.CAL!$BJ$4),BD36,"")</f>
        <v/>
      </c>
      <c r="BF36" s="333">
        <f>IF($DY$5=S.CAL!$CU$2,Janvier!AR38,IF($DY$5=S.CAL!$CU$3,VLOOKUP(BC36,planning_fp,7,FALSE),""))</f>
        <v>0</v>
      </c>
      <c r="BG36" s="345" t="str">
        <f>Janvier!BL38</f>
        <v>A</v>
      </c>
      <c r="BH36" s="356"/>
      <c r="BI36" s="357"/>
      <c r="BJ36" s="355"/>
      <c r="BK36" s="355"/>
      <c r="BL36" s="35"/>
      <c r="BS36" s="189"/>
      <c r="BT36" s="342"/>
      <c r="BU36" s="342"/>
      <c r="BV36" s="355"/>
      <c r="BW36" s="355"/>
      <c r="BX36" s="355"/>
      <c r="BY36" s="355"/>
      <c r="BZ36" s="355"/>
      <c r="CA36" s="355"/>
      <c r="CB36" s="355"/>
      <c r="CD36" s="328"/>
      <c r="CE36" s="107">
        <f t="shared" si="33"/>
        <v>46041</v>
      </c>
      <c r="CF36" s="170">
        <f>+$D$13+18</f>
        <v>46041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IF(+Janvier!AG38="",0,Janvier!AG38)</f>
        <v>0</v>
      </c>
      <c r="DZ36" s="16">
        <f>+IF(Janvier!AJ38="",0,Janvier!AJ38)</f>
        <v>0</v>
      </c>
      <c r="EA36" s="16">
        <f>+IF(Janvier!AM38="",0,Janvier!AM38)</f>
        <v>0</v>
      </c>
      <c r="EB36" s="16">
        <f t="shared" si="25"/>
        <v>0</v>
      </c>
      <c r="ED36" s="16">
        <f t="shared" si="26"/>
        <v>0</v>
      </c>
      <c r="EE36" s="16">
        <f t="shared" si="18"/>
        <v>0</v>
      </c>
      <c r="EF36" s="30" t="str">
        <f t="shared" si="19"/>
        <v/>
      </c>
      <c r="EG36" s="30" t="str">
        <f t="shared" si="27"/>
        <v/>
      </c>
      <c r="EH36" s="16">
        <f t="shared" si="28"/>
        <v>0</v>
      </c>
      <c r="EI36" s="30"/>
      <c r="EJ36" s="30">
        <f t="shared" si="20"/>
        <v>46041</v>
      </c>
      <c r="EM36" s="16" t="str">
        <f t="shared" si="29"/>
        <v>Fiche infoA146041</v>
      </c>
      <c r="EN36" s="16">
        <f t="shared" si="21"/>
        <v>0</v>
      </c>
      <c r="EQ36" s="16" t="str">
        <f>Janvier!FS38</f>
        <v/>
      </c>
    </row>
    <row r="37" spans="1:147" ht="18" customHeight="1" x14ac:dyDescent="0.2">
      <c r="A37" s="24" t="str">
        <f>+Janvier!BJ39</f>
        <v>Fiche infoA2</v>
      </c>
      <c r="B37" s="107">
        <f t="shared" si="30"/>
        <v>46042</v>
      </c>
      <c r="C37" s="170">
        <f>+$D$13+19</f>
        <v>46042</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Janvier!BC39</f>
        <v>0</v>
      </c>
      <c r="J37" s="34">
        <f>Janvier!BE39</f>
        <v>0</v>
      </c>
      <c r="K37" s="34">
        <f t="shared" si="15"/>
        <v>0</v>
      </c>
      <c r="L37" s="34" t="str">
        <f t="shared" si="16"/>
        <v/>
      </c>
      <c r="N37" s="377"/>
      <c r="O37" s="863"/>
      <c r="P37" s="863"/>
      <c r="Q37" s="863"/>
      <c r="R37" s="377"/>
      <c r="U37" s="1301" t="str">
        <f>+Janvier!AU7</f>
        <v>A</v>
      </c>
      <c r="V37" s="1301"/>
      <c r="W37" s="2538" t="str">
        <f>Janvier!BS31</f>
        <v>Semaine numéro : 4</v>
      </c>
      <c r="X37" s="2538"/>
      <c r="Y37" s="2538"/>
      <c r="Z37" s="1323"/>
      <c r="AA37" s="1316">
        <f t="shared" si="44"/>
        <v>0</v>
      </c>
      <c r="AB37" s="1316">
        <f t="shared" si="42"/>
        <v>0</v>
      </c>
      <c r="AC37" s="1322">
        <f>+SUMIF(Janvier!$BK$20:$BK$50,Janvier!AT7,$D$18:$D$48)</f>
        <v>0</v>
      </c>
      <c r="AD37" s="1322"/>
      <c r="AE37" s="1322">
        <f>+SUMIF(Février!$BK$20:$BK$50,Janvier!AT7,'Retenue Fev'!$D$18:$D$48)</f>
        <v>0</v>
      </c>
      <c r="AF37" s="1316">
        <f t="shared" si="43"/>
        <v>0</v>
      </c>
      <c r="AG37" s="563">
        <f>+Janvier!AT7</f>
        <v>4</v>
      </c>
      <c r="AK37" s="1189"/>
      <c r="AL37" s="2553" t="s">
        <v>325</v>
      </c>
      <c r="AM37" s="2553" t="s">
        <v>326</v>
      </c>
      <c r="AN37" s="2554" t="s">
        <v>327</v>
      </c>
      <c r="AO37" s="2553" t="s">
        <v>328</v>
      </c>
      <c r="AP37" s="2553" t="s">
        <v>348</v>
      </c>
      <c r="AQ37" s="2553" t="s">
        <v>349</v>
      </c>
      <c r="BA37" s="331" t="str">
        <f t="shared" si="17"/>
        <v>Fiche infoA2</v>
      </c>
      <c r="BB37" s="107">
        <f t="shared" si="31"/>
        <v>46042</v>
      </c>
      <c r="BC37" s="170">
        <f>+$D$13+19</f>
        <v>46042</v>
      </c>
      <c r="BD37" s="171" t="str">
        <f t="shared" si="32"/>
        <v/>
      </c>
      <c r="BE37" s="171" t="str">
        <f>+IF(OR(BF37=S.CAL!$BJ$3,BF37=S.CAL!$BJ$4),BD37,"")</f>
        <v/>
      </c>
      <c r="BF37" s="333">
        <f>IF($DY$5=S.CAL!$CU$2,Janvier!AR39,IF($DY$5=S.CAL!$CU$3,VLOOKUP(BC37,planning_fp,7,FALSE),""))</f>
        <v>0</v>
      </c>
      <c r="BG37" s="345" t="str">
        <f>Janvier!BL39</f>
        <v>A</v>
      </c>
      <c r="BH37" s="355"/>
      <c r="BI37" s="355"/>
      <c r="BJ37" s="355"/>
      <c r="BK37" s="355"/>
      <c r="BL37" s="35"/>
      <c r="BO37" s="29"/>
      <c r="BP37" s="34"/>
      <c r="BS37" s="189"/>
      <c r="BT37" s="189"/>
      <c r="BV37" s="355"/>
      <c r="BW37" s="355"/>
      <c r="BX37" s="355"/>
      <c r="BY37" s="355"/>
      <c r="BZ37" s="355"/>
      <c r="CA37" s="355"/>
      <c r="CB37" s="355"/>
      <c r="CD37" s="328"/>
      <c r="CE37" s="107">
        <f t="shared" si="33"/>
        <v>46042</v>
      </c>
      <c r="CF37" s="170">
        <f>+$D$13+19</f>
        <v>46042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IF(+Janvier!AG39="",0,Janvier!AG39)</f>
        <v>0</v>
      </c>
      <c r="DZ37" s="16">
        <f>+IF(Janvier!AJ39="",0,Janvier!AJ39)</f>
        <v>0</v>
      </c>
      <c r="EA37" s="16">
        <f>+IF(Janvier!AM39="",0,Janvier!AM39)</f>
        <v>0</v>
      </c>
      <c r="EB37" s="16">
        <f t="shared" si="25"/>
        <v>0</v>
      </c>
      <c r="ED37" s="16">
        <f t="shared" si="26"/>
        <v>0</v>
      </c>
      <c r="EE37" s="16">
        <f t="shared" si="18"/>
        <v>0</v>
      </c>
      <c r="EF37" s="30" t="str">
        <f t="shared" si="19"/>
        <v/>
      </c>
      <c r="EG37" s="30" t="str">
        <f t="shared" si="27"/>
        <v/>
      </c>
      <c r="EH37" s="16">
        <f t="shared" si="28"/>
        <v>0</v>
      </c>
      <c r="EI37" s="30"/>
      <c r="EJ37" s="30">
        <f t="shared" si="20"/>
        <v>46042</v>
      </c>
      <c r="EM37" s="16" t="str">
        <f t="shared" si="29"/>
        <v>Fiche infoA246042</v>
      </c>
      <c r="EN37" s="16">
        <f t="shared" si="21"/>
        <v>0</v>
      </c>
      <c r="EQ37" s="16" t="str">
        <f>Janvier!FS39</f>
        <v/>
      </c>
    </row>
    <row r="38" spans="1:147" ht="21" customHeight="1" x14ac:dyDescent="0.2">
      <c r="A38" s="24" t="str">
        <f>+Janvier!BJ40</f>
        <v>Fiche infoA3</v>
      </c>
      <c r="B38" s="107">
        <f t="shared" si="30"/>
        <v>46043</v>
      </c>
      <c r="C38" s="170">
        <f>+$D$13+20</f>
        <v>46043</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Janvier!BC40</f>
        <v>0</v>
      </c>
      <c r="J38" s="34">
        <f>Janvier!BE40</f>
        <v>0</v>
      </c>
      <c r="K38" s="34">
        <f t="shared" si="15"/>
        <v>0</v>
      </c>
      <c r="L38" s="34" t="str">
        <f t="shared" si="16"/>
        <v/>
      </c>
      <c r="N38" s="377"/>
      <c r="O38" s="864" t="s">
        <v>1445</v>
      </c>
      <c r="P38" s="864"/>
      <c r="Q38" s="864"/>
      <c r="R38" s="860"/>
      <c r="U38" s="1301" t="str">
        <f>+Janvier!AU8</f>
        <v>A</v>
      </c>
      <c r="V38" s="1301"/>
      <c r="W38" s="2538" t="str">
        <f>Janvier!BS32</f>
        <v>Semaine numéro : 5</v>
      </c>
      <c r="X38" s="2538"/>
      <c r="Y38" s="2538"/>
      <c r="Z38" s="1323"/>
      <c r="AA38" s="1316">
        <f t="shared" si="44"/>
        <v>0</v>
      </c>
      <c r="AB38" s="1316">
        <f t="shared" si="42"/>
        <v>0</v>
      </c>
      <c r="AC38" s="1322">
        <f>+SUMIF(Janvier!$BK$20:$BK$50,Janvier!AT8,$D$18:$D$48)</f>
        <v>0</v>
      </c>
      <c r="AD38" s="1322"/>
      <c r="AE38" s="1322">
        <f>+SUMIF(Février!$BK$20:$BK$50,Janvier!AT8,'Retenue Fev'!$D$18:$D$48)</f>
        <v>0</v>
      </c>
      <c r="AF38" s="1316">
        <f t="shared" si="43"/>
        <v>0</v>
      </c>
      <c r="AG38" s="563">
        <f>+Janvier!AT8</f>
        <v>5</v>
      </c>
      <c r="AL38" s="2553"/>
      <c r="AM38" s="2553"/>
      <c r="AN38" s="2554"/>
      <c r="AO38" s="2553"/>
      <c r="AP38" s="2553"/>
      <c r="AQ38" s="2553"/>
      <c r="BA38" s="331" t="str">
        <f t="shared" si="17"/>
        <v>Fiche infoA3</v>
      </c>
      <c r="BB38" s="107">
        <f t="shared" si="31"/>
        <v>46043</v>
      </c>
      <c r="BC38" s="170">
        <f>+$D$13+20</f>
        <v>46043</v>
      </c>
      <c r="BD38" s="171" t="str">
        <f t="shared" si="32"/>
        <v/>
      </c>
      <c r="BE38" s="171" t="str">
        <f>+IF(OR(BF38=S.CAL!$BJ$3,BF38=S.CAL!$BJ$4),BD38,"")</f>
        <v/>
      </c>
      <c r="BF38" s="333">
        <f>IF($DY$5=S.CAL!$CU$2,Janvier!AR40,IF($DY$5=S.CAL!$CU$3,VLOOKUP(BC38,planning_fp,7,FALSE),""))</f>
        <v>0</v>
      </c>
      <c r="BG38" s="345" t="str">
        <f>Janvier!BL40</f>
        <v>A</v>
      </c>
      <c r="BH38" s="355"/>
      <c r="BI38" s="355"/>
      <c r="BJ38" s="355"/>
      <c r="BK38" s="355"/>
      <c r="BL38" s="35"/>
      <c r="BO38" s="29"/>
      <c r="BP38" s="34"/>
      <c r="BS38" s="189"/>
      <c r="BT38" s="189"/>
      <c r="BV38" s="355"/>
      <c r="BW38" s="355"/>
      <c r="BX38" s="355"/>
      <c r="BY38" s="355"/>
      <c r="BZ38" s="355"/>
      <c r="CA38" s="355"/>
      <c r="CB38" s="355"/>
      <c r="CD38" s="328"/>
      <c r="CE38" s="107">
        <f t="shared" si="33"/>
        <v>46043</v>
      </c>
      <c r="CF38" s="170">
        <f>+$D$13+20</f>
        <v>46043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IF(+Janvier!AG40="",0,Janvier!AG40)</f>
        <v>0</v>
      </c>
      <c r="DZ38" s="16">
        <f>+IF(Janvier!AJ40="",0,Janvier!AJ40)</f>
        <v>0</v>
      </c>
      <c r="EA38" s="16">
        <f>+IF(Janvier!AM40="",0,Janvier!AM40)</f>
        <v>0</v>
      </c>
      <c r="EB38" s="16">
        <f t="shared" si="25"/>
        <v>0</v>
      </c>
      <c r="ED38" s="16">
        <f t="shared" si="26"/>
        <v>0</v>
      </c>
      <c r="EE38" s="16">
        <f t="shared" si="18"/>
        <v>0</v>
      </c>
      <c r="EF38" s="30" t="str">
        <f t="shared" si="19"/>
        <v/>
      </c>
      <c r="EG38" s="30" t="str">
        <f t="shared" si="27"/>
        <v/>
      </c>
      <c r="EH38" s="16">
        <f t="shared" si="28"/>
        <v>0</v>
      </c>
      <c r="EI38" s="30"/>
      <c r="EJ38" s="30">
        <f t="shared" si="20"/>
        <v>46043</v>
      </c>
      <c r="EM38" s="16" t="str">
        <f t="shared" si="29"/>
        <v>Fiche infoA346043</v>
      </c>
      <c r="EN38" s="16">
        <f t="shared" si="21"/>
        <v>0</v>
      </c>
      <c r="EQ38" s="16" t="str">
        <f>Janvier!FS40</f>
        <v/>
      </c>
    </row>
    <row r="39" spans="1:147" ht="18" customHeight="1" x14ac:dyDescent="0.2">
      <c r="A39" s="24" t="str">
        <f>+Janvier!BJ41</f>
        <v>Fiche infoA4</v>
      </c>
      <c r="B39" s="107">
        <f t="shared" si="30"/>
        <v>46044</v>
      </c>
      <c r="C39" s="170">
        <f>+$D$13+21</f>
        <v>46044</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Janvier!BC41</f>
        <v>0</v>
      </c>
      <c r="J39" s="34">
        <f>Janvier!BE41</f>
        <v>0</v>
      </c>
      <c r="K39" s="34">
        <f t="shared" si="15"/>
        <v>0</v>
      </c>
      <c r="L39" s="34" t="str">
        <f t="shared" si="16"/>
        <v/>
      </c>
      <c r="N39" s="377"/>
      <c r="O39" s="468"/>
      <c r="P39" s="469" t="str">
        <f>+E10&amp;" / ( "&amp;E10&amp;" + "&amp;E11&amp;" ) ="</f>
        <v>0 / ( 0 + 0 ) =</v>
      </c>
      <c r="Q39" s="468" t="e">
        <f>ROUND(+E10/(E11+E10),6)</f>
        <v>#DIV/0!</v>
      </c>
      <c r="R39" s="377"/>
      <c r="U39" s="1301" t="str">
        <f>+Janvier!AU9</f>
        <v>A</v>
      </c>
      <c r="V39" s="1301"/>
      <c r="W39" s="2538" t="str">
        <f>Janvier!BS33</f>
        <v xml:space="preserve">Semaine numéro : </v>
      </c>
      <c r="X39" s="2538"/>
      <c r="Y39" s="2538"/>
      <c r="Z39" s="1323"/>
      <c r="AA39" s="1316">
        <f t="shared" si="44"/>
        <v>0</v>
      </c>
      <c r="AB39" s="1316">
        <f t="shared" si="42"/>
        <v>0</v>
      </c>
      <c r="AC39" s="1322">
        <f>+SUMIF(Janvier!$BK$20:$BK$50,Janvier!AT9,$D$18:$D$48)</f>
        <v>0</v>
      </c>
      <c r="AD39" s="1322"/>
      <c r="AE39" s="1322">
        <f>+SUMIF(Février!$BK$20:$BK$50,Janvier!AT9,'Retenue Fev'!$D$18:$D$48)</f>
        <v>0</v>
      </c>
      <c r="AF39" s="1316">
        <f t="shared" si="43"/>
        <v>0</v>
      </c>
      <c r="AG39" s="563" t="str">
        <f>+Janvier!AT9</f>
        <v/>
      </c>
      <c r="AJ39" s="1189"/>
      <c r="AK39" s="1189" t="s">
        <v>312</v>
      </c>
      <c r="AL39" s="563">
        <f>+SUMIF(H18:H48,"A",E18:E48)</f>
        <v>0</v>
      </c>
      <c r="AM39" s="1313">
        <f t="shared" ref="AM39:AM46" si="45">+AR13</f>
        <v>0</v>
      </c>
      <c r="AN39" s="2556">
        <v>0</v>
      </c>
      <c r="AO39" s="1202">
        <f>+IF(AM39&gt;0,AL39*AL26/AM39,0)</f>
        <v>0</v>
      </c>
      <c r="AP39" s="1202">
        <f t="shared" ref="AP39:AP46" si="46">+AO39*(1-AX13)</f>
        <v>0</v>
      </c>
      <c r="AQ39" s="1202">
        <f>+AO39-AP39</f>
        <v>0</v>
      </c>
      <c r="BA39" s="331" t="str">
        <f t="shared" si="17"/>
        <v>Fiche infoA4</v>
      </c>
      <c r="BB39" s="107">
        <f t="shared" si="31"/>
        <v>46044</v>
      </c>
      <c r="BC39" s="170">
        <f>+$D$13+21</f>
        <v>46044</v>
      </c>
      <c r="BD39" s="171" t="str">
        <f t="shared" si="32"/>
        <v/>
      </c>
      <c r="BE39" s="171" t="str">
        <f>+IF(OR(BF39=S.CAL!$BJ$3,BF39=S.CAL!$BJ$4),BD39,"")</f>
        <v/>
      </c>
      <c r="BF39" s="333">
        <f>IF($DY$5=S.CAL!$CU$2,Janvier!AR41,IF($DY$5=S.CAL!$CU$3,VLOOKUP(BC39,planning_fp,7,FALSE),""))</f>
        <v>0</v>
      </c>
      <c r="BG39" s="345" t="str">
        <f>Janvier!BL41</f>
        <v>A</v>
      </c>
      <c r="BH39" s="356"/>
      <c r="BI39" s="358"/>
      <c r="BJ39" s="355"/>
      <c r="BK39" s="355"/>
      <c r="BL39" s="35"/>
      <c r="BM39" s="195"/>
      <c r="BN39" s="19"/>
      <c r="BO39" s="39"/>
      <c r="BP39" s="193"/>
      <c r="BS39" s="29" t="s">
        <v>1450</v>
      </c>
      <c r="BT39" s="194">
        <f>ROUND(SUM(BS28:BS35),2)</f>
        <v>0</v>
      </c>
      <c r="BV39" s="355"/>
      <c r="BW39" s="355"/>
      <c r="BX39" s="371"/>
      <c r="BY39" s="355"/>
      <c r="BZ39" s="355"/>
      <c r="CA39" s="356" t="s">
        <v>1450</v>
      </c>
      <c r="CB39" s="372">
        <f>ROUND(SUM(CA28:CA35),2)</f>
        <v>0</v>
      </c>
      <c r="CD39" s="328"/>
      <c r="CE39" s="107">
        <f t="shared" si="33"/>
        <v>46044</v>
      </c>
      <c r="CF39" s="170">
        <f>+$D$13+21</f>
        <v>46044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IF(+Janvier!AG41="",0,Janvier!AG41)</f>
        <v>0</v>
      </c>
      <c r="DZ39" s="16">
        <f>+IF(Janvier!AJ41="",0,Janvier!AJ41)</f>
        <v>0</v>
      </c>
      <c r="EA39" s="16">
        <f>+IF(Janvier!AM41="",0,Janvier!AM41)</f>
        <v>0</v>
      </c>
      <c r="EB39" s="16">
        <f t="shared" si="25"/>
        <v>0</v>
      </c>
      <c r="ED39" s="16">
        <f t="shared" si="26"/>
        <v>0</v>
      </c>
      <c r="EE39" s="16">
        <f t="shared" si="18"/>
        <v>0</v>
      </c>
      <c r="EF39" s="30" t="str">
        <f t="shared" si="19"/>
        <v/>
      </c>
      <c r="EG39" s="30" t="str">
        <f t="shared" si="27"/>
        <v/>
      </c>
      <c r="EH39" s="16">
        <f t="shared" si="28"/>
        <v>0</v>
      </c>
      <c r="EI39" s="30"/>
      <c r="EJ39" s="30">
        <f t="shared" si="20"/>
        <v>46044</v>
      </c>
      <c r="EM39" s="16" t="str">
        <f t="shared" si="29"/>
        <v>Fiche infoA446044</v>
      </c>
      <c r="EN39" s="16">
        <f t="shared" si="21"/>
        <v>0</v>
      </c>
      <c r="EQ39" s="16" t="str">
        <f>Janvier!FS41</f>
        <v/>
      </c>
    </row>
    <row r="40" spans="1:147" ht="18" customHeight="1" x14ac:dyDescent="0.2">
      <c r="A40" s="24" t="str">
        <f>+Janvier!BJ42</f>
        <v>Fiche infoA5</v>
      </c>
      <c r="B40" s="107">
        <f t="shared" si="30"/>
        <v>46045</v>
      </c>
      <c r="C40" s="170">
        <f>+$D$13+22</f>
        <v>46045</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Janvier!BC42</f>
        <v>0</v>
      </c>
      <c r="J40" s="34">
        <f>Janvier!BE42</f>
        <v>0</v>
      </c>
      <c r="K40" s="34">
        <f t="shared" si="15"/>
        <v>0</v>
      </c>
      <c r="L40" s="34" t="str">
        <f t="shared" si="16"/>
        <v/>
      </c>
      <c r="N40" s="377"/>
      <c r="T40" s="1322"/>
      <c r="U40" s="1322"/>
      <c r="V40" s="1322"/>
      <c r="W40" s="1322"/>
      <c r="X40" s="1322"/>
      <c r="Y40" s="1322"/>
      <c r="Z40" s="1322"/>
      <c r="AA40" s="1324" t="str">
        <f>Février!BZ34</f>
        <v>Total :</v>
      </c>
      <c r="AB40" s="1308">
        <f ca="1">SUM(AB34:AB39)</f>
        <v>0</v>
      </c>
      <c r="AC40" s="1322"/>
      <c r="AD40" s="1322"/>
      <c r="AE40" s="1322"/>
      <c r="AF40" s="1308">
        <f ca="1">SUM(AF34:AF39)</f>
        <v>0</v>
      </c>
      <c r="AJ40" s="1189"/>
      <c r="AK40" s="1189" t="s">
        <v>313</v>
      </c>
      <c r="AL40" s="563">
        <f>+SUMIF(H18:H48,"B",E18:E48)</f>
        <v>0</v>
      </c>
      <c r="AM40" s="1313">
        <f t="shared" si="45"/>
        <v>0</v>
      </c>
      <c r="AN40" s="2556"/>
      <c r="AO40" s="1202">
        <f>+IF(AM40&gt;0,AL40*AL26/AM40,0)</f>
        <v>0</v>
      </c>
      <c r="AP40" s="1202">
        <f t="shared" si="46"/>
        <v>0</v>
      </c>
      <c r="AQ40" s="1202">
        <f t="shared" ref="AQ40:AQ46" si="47">+AO40-AP40</f>
        <v>0</v>
      </c>
      <c r="BA40" s="331" t="str">
        <f t="shared" si="17"/>
        <v>Fiche infoA5</v>
      </c>
      <c r="BB40" s="107">
        <f t="shared" si="31"/>
        <v>46045</v>
      </c>
      <c r="BC40" s="170">
        <f>+$D$13+22</f>
        <v>46045</v>
      </c>
      <c r="BD40" s="171" t="str">
        <f t="shared" si="32"/>
        <v/>
      </c>
      <c r="BE40" s="171" t="str">
        <f>+IF(OR(BF40=S.CAL!$BJ$3,BF40=S.CAL!$BJ$4),BD40,"")</f>
        <v/>
      </c>
      <c r="BF40" s="333">
        <f>IF($DY$5=S.CAL!$CU$2,Janvier!AR42,IF($DY$5=S.CAL!$CU$3,VLOOKUP(BC40,planning_fp,7,FALSE),""))</f>
        <v>0</v>
      </c>
      <c r="BG40" s="345" t="str">
        <f>Janvier!BL42</f>
        <v>A</v>
      </c>
      <c r="BH40" s="355"/>
      <c r="BI40" s="355"/>
      <c r="BJ40" s="355"/>
      <c r="BK40" s="355"/>
      <c r="BL40" s="35"/>
      <c r="BN40" s="19"/>
      <c r="BO40" s="39"/>
      <c r="BP40" s="194"/>
      <c r="BV40" s="355"/>
      <c r="BW40" s="355"/>
      <c r="BX40" s="372"/>
      <c r="BY40" s="355"/>
      <c r="BZ40" s="355"/>
      <c r="CA40" s="355"/>
      <c r="CB40" s="355"/>
      <c r="CD40" s="328"/>
      <c r="CE40" s="107">
        <f t="shared" si="33"/>
        <v>46045</v>
      </c>
      <c r="CF40" s="170">
        <f>+$D$13+22</f>
        <v>46045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IF(+Janvier!AG42="",0,Janvier!AG42)</f>
        <v>0</v>
      </c>
      <c r="DZ40" s="16">
        <f>+IF(Janvier!AJ42="",0,Janvier!AJ42)</f>
        <v>0</v>
      </c>
      <c r="EA40" s="16">
        <f>+IF(Janvier!AM42="",0,Janvier!AM42)</f>
        <v>0</v>
      </c>
      <c r="EB40" s="16">
        <f t="shared" si="25"/>
        <v>0</v>
      </c>
      <c r="ED40" s="16">
        <f t="shared" si="26"/>
        <v>0</v>
      </c>
      <c r="EE40" s="16">
        <f t="shared" si="18"/>
        <v>0</v>
      </c>
      <c r="EF40" s="30" t="str">
        <f t="shared" si="19"/>
        <v/>
      </c>
      <c r="EG40" s="30" t="str">
        <f t="shared" si="27"/>
        <v/>
      </c>
      <c r="EH40" s="16">
        <f t="shared" si="28"/>
        <v>0</v>
      </c>
      <c r="EI40" s="30"/>
      <c r="EJ40" s="30">
        <f t="shared" si="20"/>
        <v>46045</v>
      </c>
      <c r="EM40" s="16" t="str">
        <f t="shared" si="29"/>
        <v>Fiche infoA546045</v>
      </c>
      <c r="EN40" s="16">
        <f t="shared" si="21"/>
        <v>0</v>
      </c>
      <c r="EQ40" s="16" t="str">
        <f>Janvier!FS42</f>
        <v/>
      </c>
    </row>
    <row r="41" spans="1:147" ht="18" customHeight="1" x14ac:dyDescent="0.2">
      <c r="A41" s="24" t="str">
        <f>+Janvier!BJ43</f>
        <v>Fiche infoA6</v>
      </c>
      <c r="B41" s="107">
        <f t="shared" si="30"/>
        <v>46046</v>
      </c>
      <c r="C41" s="170">
        <f>+$D$13+23</f>
        <v>46046</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Janvier!BC43</f>
        <v>0</v>
      </c>
      <c r="J41" s="34">
        <f>Janvier!BE43</f>
        <v>0</v>
      </c>
      <c r="K41" s="34">
        <f t="shared" si="15"/>
        <v>0</v>
      </c>
      <c r="L41" s="34" t="str">
        <f t="shared" si="16"/>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5"/>
        <v>0</v>
      </c>
      <c r="AN41" s="2556"/>
      <c r="AO41" s="1202">
        <f>+IF(AM41&gt;0,AL41*AL26/AM41,0)</f>
        <v>0</v>
      </c>
      <c r="AP41" s="1202">
        <f t="shared" si="46"/>
        <v>0</v>
      </c>
      <c r="AQ41" s="1202">
        <f t="shared" si="47"/>
        <v>0</v>
      </c>
      <c r="BA41" s="331" t="str">
        <f t="shared" si="17"/>
        <v>Fiche infoA6</v>
      </c>
      <c r="BB41" s="107">
        <f t="shared" si="31"/>
        <v>46046</v>
      </c>
      <c r="BC41" s="170">
        <f>+$D$13+23</f>
        <v>46046</v>
      </c>
      <c r="BD41" s="171" t="str">
        <f t="shared" si="32"/>
        <v/>
      </c>
      <c r="BE41" s="171" t="str">
        <f>+IF(OR(BF41=S.CAL!$BJ$3,BF41=S.CAL!$BJ$4),BD41,"")</f>
        <v/>
      </c>
      <c r="BF41" s="333">
        <f>IF($DY$5=S.CAL!$CU$2,Janvier!AR43,IF($DY$5=S.CAL!$CU$3,VLOOKUP(BC41,planning_fp,7,FALSE),""))</f>
        <v>0</v>
      </c>
      <c r="BG41" s="345" t="str">
        <f>Janvier!BL43</f>
        <v>A</v>
      </c>
      <c r="BH41" s="355"/>
      <c r="BI41" s="355"/>
      <c r="BJ41" s="355"/>
      <c r="BK41" s="355"/>
      <c r="BL41" s="35"/>
      <c r="BS41" s="29" t="s">
        <v>833</v>
      </c>
      <c r="BT41" s="194">
        <f>ROUND(SUM(BT28:BT35),2)</f>
        <v>0</v>
      </c>
      <c r="BV41" s="355"/>
      <c r="BW41" s="355"/>
      <c r="BX41" s="355"/>
      <c r="BY41" s="355"/>
      <c r="BZ41" s="355"/>
      <c r="CA41" s="356" t="s">
        <v>833</v>
      </c>
      <c r="CB41" s="372">
        <f>ROUND(SUM(CB28:CB35),2)</f>
        <v>0</v>
      </c>
      <c r="CD41" s="328"/>
      <c r="CE41" s="107">
        <f t="shared" si="33"/>
        <v>46046</v>
      </c>
      <c r="CF41" s="170">
        <f>+$D$13+23</f>
        <v>46046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IF(+Janvier!AG43="",0,Janvier!AG43)</f>
        <v>0</v>
      </c>
      <c r="DZ41" s="16">
        <f>+IF(Janvier!AJ43="",0,Janvier!AJ43)</f>
        <v>0</v>
      </c>
      <c r="EA41" s="16">
        <f>+IF(Janvier!AM43="",0,Janvier!AM43)</f>
        <v>0</v>
      </c>
      <c r="EB41" s="16">
        <f t="shared" si="25"/>
        <v>0</v>
      </c>
      <c r="ED41" s="16">
        <f t="shared" si="26"/>
        <v>0</v>
      </c>
      <c r="EE41" s="16">
        <f t="shared" si="18"/>
        <v>0</v>
      </c>
      <c r="EF41" s="30" t="str">
        <f t="shared" si="19"/>
        <v/>
      </c>
      <c r="EG41" s="30" t="str">
        <f t="shared" si="27"/>
        <v/>
      </c>
      <c r="EH41" s="16">
        <f t="shared" si="28"/>
        <v>0</v>
      </c>
      <c r="EI41" s="30"/>
      <c r="EJ41" s="30">
        <f t="shared" si="20"/>
        <v>46046</v>
      </c>
      <c r="EM41" s="16" t="str">
        <f t="shared" si="29"/>
        <v>Fiche infoA646046</v>
      </c>
      <c r="EN41" s="16">
        <f t="shared" si="21"/>
        <v>0</v>
      </c>
      <c r="EQ41" s="16" t="str">
        <f>Janvier!FS43</f>
        <v/>
      </c>
    </row>
    <row r="42" spans="1:147" ht="18" customHeight="1" x14ac:dyDescent="0.2">
      <c r="A42" s="24" t="str">
        <f>+Janvier!BJ44</f>
        <v>Fiche infoA7</v>
      </c>
      <c r="B42" s="107">
        <f t="shared" si="30"/>
        <v>46047</v>
      </c>
      <c r="C42" s="170">
        <f>+$D$13+24</f>
        <v>46047</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Janvier!BC44</f>
        <v>0</v>
      </c>
      <c r="J42" s="34">
        <f>Janvier!BE44</f>
        <v>0</v>
      </c>
      <c r="K42" s="34">
        <f t="shared" si="15"/>
        <v>0</v>
      </c>
      <c r="L42" s="34" t="str">
        <f t="shared" si="16"/>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5"/>
        <v>0</v>
      </c>
      <c r="AN42" s="2556"/>
      <c r="AO42" s="1202">
        <f>+IF(AM42&gt;0,AL42*AL26/AM42,0)</f>
        <v>0</v>
      </c>
      <c r="AP42" s="1202">
        <f t="shared" si="46"/>
        <v>0</v>
      </c>
      <c r="AQ42" s="1202">
        <f t="shared" si="47"/>
        <v>0</v>
      </c>
      <c r="BA42" s="331" t="str">
        <f t="shared" si="17"/>
        <v>Fiche infoA7</v>
      </c>
      <c r="BB42" s="107">
        <f t="shared" si="31"/>
        <v>46047</v>
      </c>
      <c r="BC42" s="170">
        <f>+$D$13+24</f>
        <v>46047</v>
      </c>
      <c r="BD42" s="171" t="str">
        <f t="shared" si="32"/>
        <v/>
      </c>
      <c r="BE42" s="171" t="str">
        <f>+IF(OR(BF42=S.CAL!$BJ$3,BF42=S.CAL!$BJ$4),BD42,"")</f>
        <v/>
      </c>
      <c r="BF42" s="333">
        <f>IF($DY$5=S.CAL!$CU$2,Janvier!AR44,IF($DY$5=S.CAL!$CU$3,VLOOKUP(BC42,planning_fp,7,FALSE),""))</f>
        <v>0</v>
      </c>
      <c r="BG42" s="345" t="str">
        <f>Janvier!BL44</f>
        <v>A</v>
      </c>
      <c r="BH42" s="356"/>
      <c r="BI42" s="358"/>
      <c r="BJ42" s="355"/>
      <c r="BK42" s="355"/>
      <c r="BL42" s="35"/>
      <c r="BV42" s="355"/>
      <c r="BW42" s="355"/>
      <c r="BX42" s="355"/>
      <c r="BY42" s="355"/>
      <c r="BZ42" s="355"/>
      <c r="CA42" s="355"/>
      <c r="CB42" s="355"/>
      <c r="CD42" s="328"/>
      <c r="CE42" s="107">
        <f t="shared" si="33"/>
        <v>46047</v>
      </c>
      <c r="CF42" s="170">
        <f>+$D$13+24</f>
        <v>46047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IF(+Janvier!AG44="",0,Janvier!AG44)</f>
        <v>0</v>
      </c>
      <c r="DZ42" s="16">
        <f>+IF(Janvier!AJ44="",0,Janvier!AJ44)</f>
        <v>0</v>
      </c>
      <c r="EA42" s="16">
        <f>+IF(Janvier!AM44="",0,Janvier!AM44)</f>
        <v>0</v>
      </c>
      <c r="EB42" s="16">
        <f t="shared" si="25"/>
        <v>0</v>
      </c>
      <c r="ED42" s="16">
        <f t="shared" si="26"/>
        <v>0</v>
      </c>
      <c r="EE42" s="16">
        <f t="shared" si="18"/>
        <v>0</v>
      </c>
      <c r="EF42" s="30" t="str">
        <f t="shared" si="19"/>
        <v/>
      </c>
      <c r="EG42" s="30" t="str">
        <f t="shared" si="27"/>
        <v/>
      </c>
      <c r="EH42" s="16">
        <f t="shared" si="28"/>
        <v>0</v>
      </c>
      <c r="EI42" s="30"/>
      <c r="EJ42" s="30">
        <f t="shared" si="20"/>
        <v>46047</v>
      </c>
      <c r="EM42" s="16" t="str">
        <f t="shared" si="29"/>
        <v>Fiche infoA746047</v>
      </c>
      <c r="EN42" s="16">
        <f t="shared" si="21"/>
        <v>0</v>
      </c>
      <c r="EQ42" s="16" t="str">
        <f>Janvier!FS44</f>
        <v/>
      </c>
    </row>
    <row r="43" spans="1:147" ht="18" customHeight="1" x14ac:dyDescent="0.2">
      <c r="A43" s="24" t="str">
        <f>+Janvier!BJ45</f>
        <v>Fiche infoA1</v>
      </c>
      <c r="B43" s="107">
        <f t="shared" si="30"/>
        <v>46048</v>
      </c>
      <c r="C43" s="170">
        <f>+$D$13+25</f>
        <v>46048</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Janvier!BC45</f>
        <v>0</v>
      </c>
      <c r="J43" s="34">
        <f>Janvier!BE45</f>
        <v>0</v>
      </c>
      <c r="K43" s="34">
        <f t="shared" si="15"/>
        <v>0</v>
      </c>
      <c r="L43" s="34" t="str">
        <f t="shared" si="16"/>
        <v/>
      </c>
      <c r="N43" s="377"/>
      <c r="O43" s="377"/>
      <c r="P43" s="377"/>
      <c r="Q43" s="377"/>
      <c r="R43" s="377"/>
      <c r="AJ43" s="1189"/>
      <c r="AK43" s="1189" t="s">
        <v>316</v>
      </c>
      <c r="AL43" s="563">
        <f>+SUMIF(H18:H48,"E",E18:E48)</f>
        <v>0</v>
      </c>
      <c r="AM43" s="1313">
        <f t="shared" si="45"/>
        <v>0</v>
      </c>
      <c r="AN43" s="2556"/>
      <c r="AO43" s="1202">
        <f>+IF(AM43&gt;0,AL43*AL26/AM43,0)</f>
        <v>0</v>
      </c>
      <c r="AP43" s="1202">
        <f t="shared" si="46"/>
        <v>0</v>
      </c>
      <c r="AQ43" s="1202">
        <f t="shared" si="47"/>
        <v>0</v>
      </c>
      <c r="BA43" s="331" t="str">
        <f t="shared" si="17"/>
        <v>Fiche infoA1</v>
      </c>
      <c r="BB43" s="107">
        <f t="shared" si="31"/>
        <v>46048</v>
      </c>
      <c r="BC43" s="170">
        <f>+$D$13+25</f>
        <v>46048</v>
      </c>
      <c r="BD43" s="171" t="str">
        <f t="shared" si="32"/>
        <v/>
      </c>
      <c r="BE43" s="171" t="str">
        <f>+IF(OR(BF43=S.CAL!$BJ$3,BF43=S.CAL!$BJ$4),BD43,"")</f>
        <v/>
      </c>
      <c r="BF43" s="333">
        <f>IF($DY$5=S.CAL!$CU$2,Janvier!AR45,IF($DY$5=S.CAL!$CU$3,VLOOKUP(BC43,planning_fp,7,FALSE),""))</f>
        <v>0</v>
      </c>
      <c r="BG43" s="345" t="str">
        <f>Janvier!BL45</f>
        <v>A</v>
      </c>
      <c r="BH43" s="24"/>
      <c r="BI43" s="24" t="s">
        <v>696</v>
      </c>
      <c r="BJ43" s="24"/>
      <c r="BK43" s="355"/>
      <c r="BL43" s="35"/>
      <c r="BV43" s="355"/>
      <c r="BW43" s="355"/>
      <c r="BX43" s="355"/>
      <c r="BY43" s="355"/>
      <c r="BZ43" s="355"/>
      <c r="CA43" s="355"/>
      <c r="CB43" s="355"/>
      <c r="CD43" s="328"/>
      <c r="CE43" s="107">
        <f t="shared" si="33"/>
        <v>46048</v>
      </c>
      <c r="CF43" s="170">
        <f>+$D$13+25</f>
        <v>46048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IF(+Janvier!AG45="",0,Janvier!AG45)</f>
        <v>0</v>
      </c>
      <c r="DZ43" s="16">
        <f>+IF(Janvier!AJ45="",0,Janvier!AJ45)</f>
        <v>0</v>
      </c>
      <c r="EA43" s="16">
        <f>+IF(Janvier!AM45="",0,Janvier!AM45)</f>
        <v>0</v>
      </c>
      <c r="EB43" s="16">
        <f t="shared" si="25"/>
        <v>0</v>
      </c>
      <c r="ED43" s="16">
        <f t="shared" si="26"/>
        <v>0</v>
      </c>
      <c r="EE43" s="16">
        <f t="shared" si="18"/>
        <v>0</v>
      </c>
      <c r="EF43" s="30" t="str">
        <f t="shared" si="19"/>
        <v/>
      </c>
      <c r="EG43" s="30" t="str">
        <f t="shared" si="27"/>
        <v/>
      </c>
      <c r="EH43" s="16">
        <f t="shared" si="28"/>
        <v>0</v>
      </c>
      <c r="EI43" s="30"/>
      <c r="EJ43" s="30">
        <f t="shared" si="20"/>
        <v>46048</v>
      </c>
      <c r="EM43" s="16" t="str">
        <f t="shared" si="29"/>
        <v>Fiche infoA146048</v>
      </c>
      <c r="EN43" s="16">
        <f t="shared" si="21"/>
        <v>0</v>
      </c>
      <c r="EQ43" s="16" t="str">
        <f>Janvier!FS45</f>
        <v/>
      </c>
    </row>
    <row r="44" spans="1:147" ht="18" customHeight="1" x14ac:dyDescent="0.25">
      <c r="A44" s="24" t="str">
        <f>+Janvier!BJ46</f>
        <v>Fiche infoA2</v>
      </c>
      <c r="B44" s="107">
        <f t="shared" si="30"/>
        <v>46049</v>
      </c>
      <c r="C44" s="170">
        <f>+$D$13+26</f>
        <v>46049</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Janvier!BC46</f>
        <v>0</v>
      </c>
      <c r="J44" s="34">
        <f>Janvier!BE46</f>
        <v>0</v>
      </c>
      <c r="K44" s="34">
        <f t="shared" si="15"/>
        <v>0</v>
      </c>
      <c r="L44" s="34" t="str">
        <f t="shared" si="16"/>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5"/>
        <v>0</v>
      </c>
      <c r="AN44" s="2556"/>
      <c r="AO44" s="1202">
        <f>+IF(AM44&gt;0,AL44*AL26/AM44,0)</f>
        <v>0</v>
      </c>
      <c r="AP44" s="1202">
        <f t="shared" si="46"/>
        <v>0</v>
      </c>
      <c r="AQ44" s="1202">
        <f t="shared" si="47"/>
        <v>0</v>
      </c>
      <c r="BA44" s="331" t="str">
        <f t="shared" si="17"/>
        <v>Fiche infoA2</v>
      </c>
      <c r="BB44" s="107">
        <f t="shared" si="31"/>
        <v>46049</v>
      </c>
      <c r="BC44" s="170">
        <f>+$D$13+26</f>
        <v>46049</v>
      </c>
      <c r="BD44" s="171" t="str">
        <f t="shared" si="32"/>
        <v/>
      </c>
      <c r="BE44" s="171" t="str">
        <f>+IF(OR(BF44=S.CAL!$BJ$3,BF44=S.CAL!$BJ$4),BD44,"")</f>
        <v/>
      </c>
      <c r="BF44" s="333">
        <f>IF($DY$5=S.CAL!$CU$2,Janvier!AR46,IF($DY$5=S.CAL!$CU$3,VLOOKUP(BC44,planning_fp,7,FALSE),""))</f>
        <v>0</v>
      </c>
      <c r="BG44" s="345" t="str">
        <f>Janvier!BL46</f>
        <v>A</v>
      </c>
      <c r="BH44" s="24" t="s">
        <v>788</v>
      </c>
      <c r="BI44" s="24"/>
      <c r="BJ44" s="24"/>
      <c r="BK44" s="355"/>
      <c r="BL44" s="35"/>
      <c r="BV44" s="355"/>
      <c r="BW44" s="355"/>
      <c r="BX44" s="355"/>
      <c r="BY44" s="355"/>
      <c r="BZ44" s="355"/>
      <c r="CA44" s="355"/>
      <c r="CB44" s="355"/>
      <c r="CD44" s="328"/>
      <c r="CE44" s="107">
        <f t="shared" si="33"/>
        <v>46049</v>
      </c>
      <c r="CF44" s="170">
        <f>+$D$13+26</f>
        <v>46049</v>
      </c>
      <c r="CG44" s="171">
        <f t="shared" si="22"/>
        <v>0</v>
      </c>
      <c r="CH44" s="34"/>
      <c r="CL44" s="99" t="str">
        <f t="shared" ref="CL44" si="48">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IF(+Janvier!AG46="",0,Janvier!AG46)</f>
        <v>0</v>
      </c>
      <c r="DZ44" s="16">
        <f>+IF(Janvier!AJ46="",0,Janvier!AJ46)</f>
        <v>0</v>
      </c>
      <c r="EA44" s="16">
        <f>+IF(Janvier!AM46="",0,Janvier!AM46)</f>
        <v>0</v>
      </c>
      <c r="EB44" s="16">
        <f t="shared" si="25"/>
        <v>0</v>
      </c>
      <c r="ED44" s="16">
        <f t="shared" si="26"/>
        <v>0</v>
      </c>
      <c r="EE44" s="16">
        <f t="shared" si="18"/>
        <v>0</v>
      </c>
      <c r="EF44" s="30" t="str">
        <f t="shared" si="19"/>
        <v/>
      </c>
      <c r="EG44" s="30" t="str">
        <f t="shared" si="27"/>
        <v/>
      </c>
      <c r="EH44" s="16">
        <f t="shared" si="28"/>
        <v>0</v>
      </c>
      <c r="EI44" s="30"/>
      <c r="EJ44" s="30">
        <f t="shared" si="20"/>
        <v>46049</v>
      </c>
      <c r="EM44" s="16" t="str">
        <f t="shared" si="29"/>
        <v>Fiche infoA246049</v>
      </c>
      <c r="EN44" s="16">
        <f t="shared" si="21"/>
        <v>0</v>
      </c>
      <c r="EQ44" s="16" t="str">
        <f>Janvier!FS46</f>
        <v/>
      </c>
    </row>
    <row r="45" spans="1:147" ht="18" customHeight="1" x14ac:dyDescent="0.2">
      <c r="A45" s="24" t="str">
        <f>+Janvier!BJ47</f>
        <v>Fiche infoA3</v>
      </c>
      <c r="B45" s="107">
        <f t="shared" si="30"/>
        <v>46050</v>
      </c>
      <c r="C45" s="170">
        <f>IF(C$18+27&lt;DATE(YEAR(O$13),MONTH(O$13),DAY(O$13)),C$18+27,"")</f>
        <v>46050</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Janvier!BC47</f>
        <v>0</v>
      </c>
      <c r="J45" s="34">
        <f>Janvier!BE47</f>
        <v>0</v>
      </c>
      <c r="K45" s="34">
        <f t="shared" si="15"/>
        <v>0</v>
      </c>
      <c r="L45" s="34" t="str">
        <f t="shared" si="16"/>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5"/>
        <v>0</v>
      </c>
      <c r="AN45" s="2556"/>
      <c r="AO45" s="1202">
        <f>+IF(AM45&gt;0,AL45*AL26/AM45,0)</f>
        <v>0</v>
      </c>
      <c r="AP45" s="1202">
        <f t="shared" si="46"/>
        <v>0</v>
      </c>
      <c r="AQ45" s="1202">
        <f t="shared" si="47"/>
        <v>0</v>
      </c>
      <c r="BA45" s="331" t="str">
        <f t="shared" si="17"/>
        <v>Fiche infoA3</v>
      </c>
      <c r="BB45" s="107">
        <f t="shared" si="31"/>
        <v>46050</v>
      </c>
      <c r="BC45" s="170">
        <f>IF(BC$18+27&lt;DATE(YEAR(BH$13),MONTH(BH$13),DAY(BH$13)),BC$18+27,"")</f>
        <v>46050</v>
      </c>
      <c r="BD45" s="171" t="str">
        <f t="shared" si="32"/>
        <v/>
      </c>
      <c r="BE45" s="171" t="str">
        <f>+IF(OR(BF45=S.CAL!$BJ$3,BF45=S.CAL!$BJ$4),BD45,"")</f>
        <v/>
      </c>
      <c r="BF45" s="333">
        <f>IF($DY$5=S.CAL!$CU$2,Janvier!AR47,IF($DY$5=S.CAL!$CU$3,VLOOKUP(BC45,planning_fp,7,FALSE),""))</f>
        <v>0</v>
      </c>
      <c r="BG45" s="345" t="str">
        <f>Janvier!BL47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46050</v>
      </c>
      <c r="CF45" s="170">
        <f>IF(CF$18+27&lt;DATE(YEAR(CQ$13),MONTH(CQ$13),DAY(CQ$13)),CF$18+27,"")</f>
        <v>46050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IF(+Janvier!AG47="",0,Janvier!AG47)</f>
        <v>0</v>
      </c>
      <c r="DZ45" s="16">
        <f>+IF(Janvier!AJ47="",0,Janvier!AJ47)</f>
        <v>0</v>
      </c>
      <c r="EA45" s="16">
        <f>+IF(Janvier!AM47="",0,Janvier!AM47)</f>
        <v>0</v>
      </c>
      <c r="EB45" s="16">
        <f t="shared" si="25"/>
        <v>0</v>
      </c>
      <c r="ED45" s="16">
        <f t="shared" si="26"/>
        <v>0</v>
      </c>
      <c r="EE45" s="16">
        <f t="shared" si="18"/>
        <v>0</v>
      </c>
      <c r="EF45" s="30" t="str">
        <f t="shared" si="19"/>
        <v/>
      </c>
      <c r="EG45" s="30" t="str">
        <f t="shared" si="27"/>
        <v/>
      </c>
      <c r="EH45" s="16">
        <f t="shared" si="28"/>
        <v>0</v>
      </c>
      <c r="EI45" s="30"/>
      <c r="EJ45" s="30">
        <f t="shared" si="20"/>
        <v>46050</v>
      </c>
      <c r="EM45" s="16" t="str">
        <f t="shared" si="29"/>
        <v>Fiche infoA346050</v>
      </c>
      <c r="EN45" s="16">
        <f t="shared" si="21"/>
        <v>0</v>
      </c>
      <c r="EQ45" s="16" t="str">
        <f>Janvier!FS47</f>
        <v/>
      </c>
    </row>
    <row r="46" spans="1:147" ht="18" customHeight="1" x14ac:dyDescent="0.2">
      <c r="A46" s="24" t="str">
        <f>+Janvier!BJ48</f>
        <v>Fiche infoA4</v>
      </c>
      <c r="B46" s="107">
        <f t="shared" si="30"/>
        <v>46051</v>
      </c>
      <c r="C46" s="170">
        <f>IF(C$18+28&lt;DATE(YEAR(O$13),MONTH(O$13),DAY(O$13)),C$18+28,"")</f>
        <v>46051</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Janvier!BC48</f>
        <v>0</v>
      </c>
      <c r="J46" s="34">
        <f>Janvier!BE48</f>
        <v>0</v>
      </c>
      <c r="K46" s="34">
        <f t="shared" si="15"/>
        <v>0</v>
      </c>
      <c r="L46" s="34" t="str">
        <f t="shared" si="16"/>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5"/>
        <v>0</v>
      </c>
      <c r="AN46" s="2556"/>
      <c r="AO46" s="1202">
        <f>+IF(AM46&gt;0,AL46*AL26/AM46,0)</f>
        <v>0</v>
      </c>
      <c r="AP46" s="1202">
        <f t="shared" si="46"/>
        <v>0</v>
      </c>
      <c r="AQ46" s="1202">
        <f t="shared" si="47"/>
        <v>0</v>
      </c>
      <c r="BA46" s="331" t="str">
        <f t="shared" si="17"/>
        <v>Fiche infoA4</v>
      </c>
      <c r="BB46" s="107">
        <f t="shared" si="31"/>
        <v>46051</v>
      </c>
      <c r="BC46" s="170">
        <f>IF(BC$18+28&lt;DATE(YEAR(BH$13),MONTH(BH$13),DAY(BH$13)),BC$18+28,"")</f>
        <v>46051</v>
      </c>
      <c r="BD46" s="171" t="str">
        <f t="shared" si="32"/>
        <v/>
      </c>
      <c r="BE46" s="171" t="str">
        <f>+IF(OR(BF46=S.CAL!$BJ$3,BF46=S.CAL!$BJ$4),BD46,"")</f>
        <v/>
      </c>
      <c r="BF46" s="333">
        <f>IF($DY$5=S.CAL!$CU$2,Janvier!AR48,IF($DY$5=S.CAL!$CU$3,VLOOKUP(BC46,planning_fp,7,FALSE),""))</f>
        <v>0</v>
      </c>
      <c r="BG46" s="345" t="str">
        <f>Janvier!BL48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46051</v>
      </c>
      <c r="CF46" s="170">
        <f>IF(CF$18+28&lt;DATE(YEAR(CQ$13),MONTH(CQ$13),DAY(CQ$13)),CF$18+28,"")</f>
        <v>46051</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IF(+Janvier!AG48="",0,Janvier!AG48)</f>
        <v>0</v>
      </c>
      <c r="DZ46" s="16">
        <f>+IF(Janvier!AJ48="",0,Janvier!AJ48)</f>
        <v>0</v>
      </c>
      <c r="EA46" s="16">
        <f>+IF(Janvier!AM48="",0,Janvier!AM48)</f>
        <v>0</v>
      </c>
      <c r="EB46" s="16">
        <f t="shared" si="25"/>
        <v>0</v>
      </c>
      <c r="ED46" s="16">
        <f t="shared" si="26"/>
        <v>0</v>
      </c>
      <c r="EE46" s="16">
        <f t="shared" si="18"/>
        <v>0</v>
      </c>
      <c r="EF46" s="30" t="str">
        <f t="shared" si="19"/>
        <v/>
      </c>
      <c r="EG46" s="30" t="str">
        <f t="shared" si="27"/>
        <v/>
      </c>
      <c r="EH46" s="16">
        <f t="shared" si="28"/>
        <v>0</v>
      </c>
      <c r="EI46" s="30"/>
      <c r="EJ46" s="30">
        <f t="shared" si="20"/>
        <v>46051</v>
      </c>
      <c r="EM46" s="16" t="str">
        <f t="shared" si="29"/>
        <v>Fiche infoA446051</v>
      </c>
      <c r="EN46" s="16">
        <f t="shared" si="21"/>
        <v>0</v>
      </c>
      <c r="EQ46" s="16" t="str">
        <f>Janvier!FS48</f>
        <v/>
      </c>
    </row>
    <row r="47" spans="1:147" ht="18" customHeight="1" x14ac:dyDescent="0.2">
      <c r="A47" s="24" t="str">
        <f>+Janvier!BJ49</f>
        <v>Fiche infoA5</v>
      </c>
      <c r="B47" s="107">
        <f t="shared" si="30"/>
        <v>46052</v>
      </c>
      <c r="C47" s="170">
        <f>IF(C$18+29&lt;DATE(YEAR(O$13),MONTH(O$13),DAY(O$13)),C$18+29,"")</f>
        <v>46052</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Janvier!BC49</f>
        <v>0</v>
      </c>
      <c r="J47" s="34">
        <f>Janvier!BE49</f>
        <v>0</v>
      </c>
      <c r="K47" s="34">
        <f t="shared" si="15"/>
        <v>0</v>
      </c>
      <c r="L47" s="34" t="str">
        <f t="shared" si="16"/>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t="s">
        <v>1229</v>
      </c>
      <c r="AO47" s="1202">
        <f>SUM(AO39:AO46)</f>
        <v>0</v>
      </c>
      <c r="AP47" s="1202">
        <f t="shared" ref="AP47:AQ47" si="49">SUM(AP39:AP46)</f>
        <v>0</v>
      </c>
      <c r="AQ47" s="1202">
        <f t="shared" si="49"/>
        <v>0</v>
      </c>
      <c r="BA47" s="331" t="str">
        <f t="shared" si="17"/>
        <v>Fiche infoA5</v>
      </c>
      <c r="BB47" s="107">
        <f t="shared" si="31"/>
        <v>46052</v>
      </c>
      <c r="BC47" s="170">
        <f>IF(BC$18+29&lt;DATE(YEAR(BH$13),MONTH(BH$13),DAY(BH$13)),BC$18+29,"")</f>
        <v>46052</v>
      </c>
      <c r="BD47" s="171" t="str">
        <f t="shared" si="32"/>
        <v/>
      </c>
      <c r="BE47" s="171" t="str">
        <f>+IF(OR(BF47=S.CAL!$BJ$3,BF47=S.CAL!$BJ$4),BD47,"")</f>
        <v/>
      </c>
      <c r="BF47" s="333">
        <f>IF($DY$5=S.CAL!$CU$2,Janvier!AR49,IF($DY$5=S.CAL!$CU$3,VLOOKUP(BC47,planning_fp,7,FALSE),""))</f>
        <v>0</v>
      </c>
      <c r="BG47" s="345" t="str">
        <f>Janvier!BL49</f>
        <v>A</v>
      </c>
      <c r="BH47" s="355"/>
      <c r="BI47" s="355"/>
      <c r="BJ47" s="355"/>
      <c r="BK47" s="355"/>
      <c r="BL47" s="35"/>
      <c r="BV47" s="355"/>
      <c r="BW47" s="355"/>
      <c r="BX47" s="355"/>
      <c r="BY47" s="355"/>
      <c r="BZ47" s="355"/>
      <c r="CA47" s="355"/>
      <c r="CB47" s="355"/>
      <c r="CD47" s="328"/>
      <c r="CE47" s="107">
        <f t="shared" si="33"/>
        <v>46052</v>
      </c>
      <c r="CF47" s="170">
        <f>IF(CF$18+29&lt;DATE(YEAR(CQ$13),MONTH(CQ$13),DAY(CQ$13)),CF$18+29,"")</f>
        <v>46052</v>
      </c>
      <c r="CG47" s="171">
        <f t="shared" si="22"/>
        <v>0</v>
      </c>
      <c r="CH47" s="34"/>
      <c r="CI47" s="129"/>
      <c r="CJ47" s="129"/>
      <c r="CK47" s="577"/>
      <c r="CL47" s="2545"/>
      <c r="CM47" s="2547"/>
      <c r="CN47" s="2014"/>
      <c r="CO47" s="196" t="s">
        <v>1095</v>
      </c>
      <c r="CP47" s="196" t="s">
        <v>1096</v>
      </c>
      <c r="CQ47" s="196" t="s">
        <v>1097</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IF(+Janvier!AG49="",0,Janvier!AG49)</f>
        <v>0</v>
      </c>
      <c r="DZ47" s="16">
        <f>+IF(Janvier!AJ49="",0,Janvier!AJ49)</f>
        <v>0</v>
      </c>
      <c r="EA47" s="16">
        <f>+IF(Janvier!AM49="",0,Janvier!AM49)</f>
        <v>0</v>
      </c>
      <c r="EB47" s="16">
        <f t="shared" si="25"/>
        <v>0</v>
      </c>
      <c r="ED47" s="16">
        <f t="shared" si="26"/>
        <v>0</v>
      </c>
      <c r="EE47" s="16">
        <f t="shared" si="18"/>
        <v>0</v>
      </c>
      <c r="EF47" s="30" t="str">
        <f t="shared" si="19"/>
        <v/>
      </c>
      <c r="EG47" s="30" t="str">
        <f t="shared" si="27"/>
        <v/>
      </c>
      <c r="EH47" s="16">
        <f t="shared" si="28"/>
        <v>0</v>
      </c>
      <c r="EI47" s="30"/>
      <c r="EJ47" s="30">
        <f t="shared" si="20"/>
        <v>46052</v>
      </c>
      <c r="EM47" s="16" t="str">
        <f t="shared" si="29"/>
        <v>Fiche infoA546052</v>
      </c>
      <c r="EN47" s="16">
        <f t="shared" si="21"/>
        <v>0</v>
      </c>
      <c r="EQ47" s="16" t="str">
        <f>Janvier!FS49</f>
        <v/>
      </c>
    </row>
    <row r="48" spans="1:147" ht="18" customHeight="1" thickBot="1" x14ac:dyDescent="0.25">
      <c r="A48" s="24" t="str">
        <f>+Janvier!BJ50</f>
        <v>Fiche infoA6</v>
      </c>
      <c r="B48" s="110">
        <f t="shared" si="30"/>
        <v>46053</v>
      </c>
      <c r="C48" s="190">
        <f>IF(C$18+30&lt;DATE(YEAR(O$13),MONTH(O$13),DAY(O$13)),C$18+30,"")</f>
        <v>46053</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Janvier!BC50</f>
        <v>0</v>
      </c>
      <c r="J48" s="34">
        <f>Janvier!BE50</f>
        <v>0</v>
      </c>
      <c r="K48" s="34">
        <f t="shared" si="15"/>
        <v>0</v>
      </c>
      <c r="L48" s="34" t="str">
        <f t="shared" si="16"/>
        <v/>
      </c>
      <c r="N48" s="24"/>
      <c r="O48" s="24"/>
      <c r="P48" s="24"/>
      <c r="Q48" s="181" t="s">
        <v>1455</v>
      </c>
      <c r="R48" s="674" t="e">
        <f>+IF(R3="Méthode 1",Q42,IF(AND(R3="Méthode 1A",ED1=S.CAL!EP1),W19,IF(AND(R3="Méthode 1A",ED1=S.CAL!EP2),W28,AP61)))</f>
        <v>#DIV/0!</v>
      </c>
      <c r="U48" s="1301"/>
      <c r="V48" s="1301"/>
      <c r="W48" s="2538" t="str">
        <f t="shared" ref="W48:W53" si="50">W34</f>
        <v>Semaine numéro : 1</v>
      </c>
      <c r="X48" s="2538"/>
      <c r="Y48" s="2538"/>
      <c r="Z48" s="1323" t="str">
        <f>+IF(Z34="","",Z34)</f>
        <v/>
      </c>
      <c r="AA48" s="1316">
        <f ca="1">+IF(Z48="",IF(AND(AD48&gt;0,AC48&gt;0),AD48+AC48,IF(AE48&gt;0,0,AC48)),Z48)</f>
        <v>0</v>
      </c>
      <c r="AB48" s="1316">
        <f ca="1">IF(AA48&gt;45,AA48-45,0)</f>
        <v>0</v>
      </c>
      <c r="AC48" s="1322">
        <f>+SUMIF(Janvier!$BK$20:$BK$50,Janvier!AT4,$D$18:$D$48)-SUMIF(Janvier!$BK$20:$BK$50,Janvier!AT4,$E$18:$E$48)</f>
        <v>0</v>
      </c>
      <c r="AD48" s="1322">
        <f ca="1">IF(+SUMIF(AG48:AG53,Report!D36,Report!D38)&gt;0,SUMIF(AG48:AG53,Report!D36,Report!D38),AD34)</f>
        <v>0</v>
      </c>
      <c r="AE48" s="1322">
        <f>+SUMIF(Février!$BK$20:$BK$50,Janvier!AT4,'Retenue Fev'!$D$18:$D$48)</f>
        <v>0</v>
      </c>
      <c r="AF48" s="1316">
        <f ca="1">+AC48-AB48</f>
        <v>0</v>
      </c>
      <c r="AG48" s="563">
        <f>+Janvier!AT4</f>
        <v>1</v>
      </c>
      <c r="AK48" s="1189"/>
      <c r="AL48" s="1202"/>
      <c r="AO48" s="1202">
        <f>+AN39*AL26</f>
        <v>0</v>
      </c>
      <c r="AP48" s="1202">
        <f>+AO48*(1-AX21)</f>
        <v>0</v>
      </c>
      <c r="AQ48" s="1202">
        <f>+AO48-AP48</f>
        <v>0</v>
      </c>
      <c r="BA48" s="331" t="str">
        <f t="shared" si="17"/>
        <v>Fiche infoA6</v>
      </c>
      <c r="BB48" s="110">
        <f t="shared" si="31"/>
        <v>46053</v>
      </c>
      <c r="BC48" s="190">
        <f>IF(BC$18+30&lt;DATE(YEAR(BH$13),MONTH(BH$13),DAY(BH$13)),BC$18+30,"")</f>
        <v>46053</v>
      </c>
      <c r="BD48" s="191" t="str">
        <f t="shared" si="32"/>
        <v/>
      </c>
      <c r="BE48" s="191" t="str">
        <f>+IF(OR(BF48=S.CAL!$BJ$3,BF48=S.CAL!$BJ$4),BD48,"")</f>
        <v/>
      </c>
      <c r="BF48" s="334">
        <f>IF($DY$5=S.CAL!$CU$2,Janvier!AR50,IF($DY$5=S.CAL!$CU$3,VLOOKUP(BC48,planning_fp,7,FALSE),""))</f>
        <v>0</v>
      </c>
      <c r="BG48" s="346" t="str">
        <f>Janvier!BL50</f>
        <v>A</v>
      </c>
      <c r="BH48" s="356"/>
      <c r="BI48" s="355"/>
      <c r="BJ48" s="355"/>
      <c r="BK48" s="355"/>
      <c r="BL48" s="35"/>
      <c r="BQ48" s="16" t="s">
        <v>834</v>
      </c>
      <c r="BV48" s="355"/>
      <c r="BW48" s="355"/>
      <c r="BX48" s="355" t="s">
        <v>834</v>
      </c>
      <c r="BZ48" s="355"/>
      <c r="CA48" s="355"/>
      <c r="CB48" s="355"/>
      <c r="CD48" s="328"/>
      <c r="CE48" s="110">
        <f t="shared" si="33"/>
        <v>46053</v>
      </c>
      <c r="CF48" s="190">
        <f>IF(CF$18+30&lt;DATE(YEAR(CQ$13),MONTH(CQ$13),DAY(CQ$13)),CF$18+30,"")</f>
        <v>46053</v>
      </c>
      <c r="CG48" s="191">
        <f t="shared" si="22"/>
        <v>0</v>
      </c>
      <c r="CH48" s="34"/>
      <c r="CI48" s="2534" t="str">
        <f t="shared" ref="CI48:CI53" si="51">W48</f>
        <v>Semaine numéro : 1</v>
      </c>
      <c r="CJ48" s="2535"/>
      <c r="CK48" s="2536"/>
      <c r="CL48" s="875" t="str">
        <f>+IF(CL34="","",CL34)</f>
        <v/>
      </c>
      <c r="CM48" s="656">
        <f ca="1">+IF(CL48="",IF(AND(CP48&gt;0,CO48&gt;0),CP48+CO48,IF(CQ48&gt;0,0,CO48)),CL48)</f>
        <v>0</v>
      </c>
      <c r="CN48" s="655">
        <f ca="1">IF(CM48&gt;45,CM48-45,0)</f>
        <v>0</v>
      </c>
      <c r="CO48" s="196">
        <f>+SUMIF(Janvier!$BK$20:$BK$50,Janvier!AT4,$CG$18:$CG$48)</f>
        <v>0</v>
      </c>
      <c r="CP48" s="196">
        <f ca="1">IF(+SUMIF($AG$48:$AG$53,Report!$D$36,Report!$D$38)&gt;0,SUMIF($AG$48:$AG$53,Report!$D$36,Report!$D$38),AD34)</f>
        <v>0</v>
      </c>
      <c r="CQ48" s="196">
        <f>+SUMIF(Février!$BK$20:$BK$50,Janvier!AT4,'Retenue Fev'!$D$18:$D$48)</f>
        <v>0</v>
      </c>
      <c r="CR48" s="656">
        <f ca="1">+CO48-CN48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IF(+Janvier!AG50="",0,Janvier!AG50)</f>
        <v>0</v>
      </c>
      <c r="DZ48" s="16">
        <f>+IF(Janvier!AJ50="",0,Janvier!AJ50)</f>
        <v>0</v>
      </c>
      <c r="EA48" s="16">
        <f>+IF(Janvier!AM50="",0,Janvier!AM50)</f>
        <v>0</v>
      </c>
      <c r="EB48" s="16">
        <f t="shared" si="25"/>
        <v>0</v>
      </c>
      <c r="ED48" s="16">
        <f t="shared" si="26"/>
        <v>0</v>
      </c>
      <c r="EE48" s="16">
        <f t="shared" si="18"/>
        <v>0</v>
      </c>
      <c r="EF48" s="30" t="str">
        <f t="shared" si="19"/>
        <v/>
      </c>
      <c r="EG48" s="30" t="str">
        <f t="shared" si="27"/>
        <v/>
      </c>
      <c r="EH48" s="16">
        <f t="shared" si="28"/>
        <v>0</v>
      </c>
      <c r="EI48" s="30"/>
      <c r="EJ48" s="30">
        <f t="shared" si="20"/>
        <v>46053</v>
      </c>
      <c r="EM48" s="16" t="str">
        <f t="shared" si="29"/>
        <v>Fiche infoA646053</v>
      </c>
      <c r="EN48" s="16">
        <f t="shared" si="21"/>
        <v>0</v>
      </c>
      <c r="EQ48" s="16" t="str">
        <f>Janvier!FS50</f>
        <v/>
      </c>
    </row>
    <row r="49" spans="2:139" ht="18" customHeight="1" thickBot="1" x14ac:dyDescent="0.25">
      <c r="N49" s="24"/>
      <c r="O49" s="24"/>
      <c r="P49" s="24"/>
      <c r="Q49" s="24"/>
      <c r="R49" s="24"/>
      <c r="S49" s="1325"/>
      <c r="U49" s="1301"/>
      <c r="V49" s="1301"/>
      <c r="W49" s="2538" t="str">
        <f t="shared" si="50"/>
        <v>Semaine numéro : 2</v>
      </c>
      <c r="X49" s="2538"/>
      <c r="Y49" s="2538"/>
      <c r="Z49" s="1323" t="str">
        <f t="shared" ref="Z49:Z53" si="52">+IF(Z35="","",Z35)</f>
        <v/>
      </c>
      <c r="AA49" s="1316">
        <f t="shared" ref="AA49:AA53" si="53">+IF(Z49="",IF(AND(AD49&gt;0,AC49&gt;0),AD49+AC49,IF(AE49&gt;0,0,AC49)),Z49)</f>
        <v>0</v>
      </c>
      <c r="AB49" s="1316">
        <f t="shared" ref="AB49:AB53" si="54">IF(AA49&gt;45,AA49-45,0)</f>
        <v>0</v>
      </c>
      <c r="AC49" s="1322">
        <f>+SUMIF(Janvier!$BK$20:$BK$50,Janvier!AT5,$D$18:$D$48)-SUMIF(Janvier!$BK$20:$BK$50,Janvier!AT5,$E$18:$E$48)</f>
        <v>0</v>
      </c>
      <c r="AD49" s="1322"/>
      <c r="AE49" s="1322">
        <f>+SUMIF(Février!$BK$20:$BK$50,Janvier!AT5,'Retenue Fev'!$D$18:$D$48)</f>
        <v>0</v>
      </c>
      <c r="AF49" s="1316">
        <f t="shared" ref="AF49:AF53" si="55">+AC49-AB49</f>
        <v>0</v>
      </c>
      <c r="AG49" s="563">
        <f>+Janvier!AT5</f>
        <v>2</v>
      </c>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1"/>
        <v>Semaine numéro : 2</v>
      </c>
      <c r="CJ49" s="2535"/>
      <c r="CK49" s="2536"/>
      <c r="CL49" s="875" t="str">
        <f t="shared" ref="CL49:CL53" si="56">+IF(CL35="","",CL35)</f>
        <v/>
      </c>
      <c r="CM49" s="656">
        <f t="shared" ref="CM49:CM53" ca="1" si="57">+IF(CL49="",IF(AND(CP49&gt;0,CO49&gt;0),CP49+CO49,IF(CQ49&gt;0,0,CO49)),CL49)</f>
        <v>0</v>
      </c>
      <c r="CN49" s="655">
        <f t="shared" ref="CN49:CN53" ca="1" si="58">IF(CM49&gt;45,CM49-45,0)</f>
        <v>0</v>
      </c>
      <c r="CO49" s="196">
        <f>+SUMIF(Janvier!$BK$20:$BK$50,Janvier!AT5,$CG$18:$CG$48)</f>
        <v>0</v>
      </c>
      <c r="CP49" s="196">
        <f ca="1">IF(+SUMIF($AG$48:$AG$53,Report!$D$36,Report!$D$38)&gt;0,SUMIF($AG$48:$AG$53,Report!$D$36,Report!$D$38),AD35)</f>
        <v>0</v>
      </c>
      <c r="CQ49" s="196">
        <f>+SUMIF(Février!$BK$20:$BK$50,Janvier!AT5,'Retenue Fev'!$D$18:$D$48)</f>
        <v>0</v>
      </c>
      <c r="CR49" s="656">
        <f t="shared" ref="CR49:CR53" ca="1" si="59">+CO49-CN49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0"/>
        <v>Semaine numéro : 3</v>
      </c>
      <c r="X50" s="2538"/>
      <c r="Y50" s="2538"/>
      <c r="Z50" s="1323" t="str">
        <f t="shared" si="52"/>
        <v/>
      </c>
      <c r="AA50" s="1316">
        <f t="shared" si="53"/>
        <v>0</v>
      </c>
      <c r="AB50" s="1316">
        <f t="shared" si="54"/>
        <v>0</v>
      </c>
      <c r="AC50" s="1322">
        <f>+SUMIF(Janvier!$BK$20:$BK$50,Janvier!AT6,$D$18:$D$48)-SUMIF(Janvier!$BK$20:$BK$50,Janvier!AT6,$E$18:$E$48)</f>
        <v>0</v>
      </c>
      <c r="AD50" s="1322"/>
      <c r="AE50" s="1322">
        <f>+SUMIF(Février!$BK$20:$BK$50,Janvier!AT6,'Retenue Fev'!$D$18:$D$48)</f>
        <v>0</v>
      </c>
      <c r="AF50" s="1316">
        <f t="shared" si="55"/>
        <v>0</v>
      </c>
      <c r="AG50" s="563">
        <f>+Janvier!AT6</f>
        <v>3</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1"/>
        <v>Semaine numéro : 3</v>
      </c>
      <c r="CJ50" s="2535"/>
      <c r="CK50" s="2536"/>
      <c r="CL50" s="875" t="str">
        <f t="shared" si="56"/>
        <v/>
      </c>
      <c r="CM50" s="656">
        <f t="shared" ca="1" si="57"/>
        <v>0</v>
      </c>
      <c r="CN50" s="655">
        <f t="shared" ca="1" si="58"/>
        <v>0</v>
      </c>
      <c r="CO50" s="196">
        <f>+SUMIF(Janvier!$BK$20:$BK$50,Janvier!AT6,$CG$18:$CG$48)</f>
        <v>0</v>
      </c>
      <c r="CP50" s="196">
        <f ca="1">IF(+SUMIF($AG$48:$AG$53,Report!$D$36,Report!$D$38)&gt;0,SUMIF($AG$48:$AG$53,Report!$D$36,Report!$D$38),AD36)</f>
        <v>0</v>
      </c>
      <c r="CQ50" s="196">
        <f>+SUMIF(Février!$BK$20:$BK$50,Janvier!AT6,'Retenue Fev'!$D$18:$D$48)</f>
        <v>0</v>
      </c>
      <c r="CR50" s="656">
        <f t="shared" ca="1" si="59"/>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0"/>
        <v>Semaine numéro : 4</v>
      </c>
      <c r="X51" s="2538"/>
      <c r="Y51" s="2538"/>
      <c r="Z51" s="1323" t="str">
        <f t="shared" si="52"/>
        <v/>
      </c>
      <c r="AA51" s="1316">
        <f t="shared" si="53"/>
        <v>0</v>
      </c>
      <c r="AB51" s="1316">
        <f t="shared" si="54"/>
        <v>0</v>
      </c>
      <c r="AC51" s="1322">
        <f>+SUMIF(Janvier!$BK$20:$BK$50,Janvier!AT7,$D$18:$D$48)-SUMIF(Janvier!$BK$20:$BK$50,Janvier!AT7,$E$18:$E$48)</f>
        <v>0</v>
      </c>
      <c r="AD51" s="1322"/>
      <c r="AE51" s="1322">
        <f>+SUMIF(Février!$BK$20:$BK$50,Janvier!AT7,'Retenue Fev'!$D$18:$D$48)</f>
        <v>0</v>
      </c>
      <c r="AF51" s="1316">
        <f t="shared" si="55"/>
        <v>0</v>
      </c>
      <c r="AG51" s="563">
        <f>+Janvier!AT7</f>
        <v>4</v>
      </c>
      <c r="AJ51" s="1304"/>
      <c r="AK51" s="1305"/>
      <c r="AL51" s="1307"/>
      <c r="BA51" s="328"/>
      <c r="BD51" s="351" t="s">
        <v>746</v>
      </c>
      <c r="BE51" s="192">
        <f>+SUMIFS(BE18:BE48,BF18:BF48,S.CAL!BJ3)</f>
        <v>0</v>
      </c>
      <c r="BF51" s="352">
        <f>IF(Janvier!AZ90="",+COUNTIF(BF18:BF48,S.CAL!BJ3),Janvier!AZ90)</f>
        <v>0</v>
      </c>
      <c r="BL51" s="35"/>
      <c r="CD51" s="328"/>
      <c r="CI51" s="2534" t="str">
        <f t="shared" si="51"/>
        <v>Semaine numéro : 4</v>
      </c>
      <c r="CJ51" s="2535"/>
      <c r="CK51" s="2536"/>
      <c r="CL51" s="875" t="str">
        <f t="shared" si="56"/>
        <v/>
      </c>
      <c r="CM51" s="656">
        <f t="shared" ca="1" si="57"/>
        <v>0</v>
      </c>
      <c r="CN51" s="655">
        <f t="shared" ca="1" si="58"/>
        <v>0</v>
      </c>
      <c r="CO51" s="196">
        <f>+SUMIF(Janvier!$BK$20:$BK$50,Janvier!AT7,$CG$18:$CG$48)</f>
        <v>0</v>
      </c>
      <c r="CP51" s="196">
        <f ca="1">IF(+SUMIF($AG$48:$AG$53,Report!$D$36,Report!$D$38)&gt;0,SUMIF($AG$48:$AG$53,Report!$D$36,Report!$D$38),AD37)</f>
        <v>0</v>
      </c>
      <c r="CQ51" s="196">
        <f>+SUMIF(Février!$BK$20:$BK$50,Janvier!AT7,'Retenue Fev'!$D$18:$D$48)</f>
        <v>0</v>
      </c>
      <c r="CR51" s="656">
        <f t="shared" ca="1" si="59"/>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0"/>
        <v>Semaine numéro : 5</v>
      </c>
      <c r="X52" s="2538"/>
      <c r="Y52" s="2538"/>
      <c r="Z52" s="1323" t="str">
        <f t="shared" si="52"/>
        <v/>
      </c>
      <c r="AA52" s="1316">
        <f t="shared" si="53"/>
        <v>0</v>
      </c>
      <c r="AB52" s="1316">
        <f t="shared" si="54"/>
        <v>0</v>
      </c>
      <c r="AC52" s="1322">
        <f>+SUMIF(Janvier!$BK$20:$BK$50,Janvier!AT8,$D$18:$D$48)-SUMIF(Janvier!$BK$20:$BK$50,Janvier!AT8,$E$18:$E$48)</f>
        <v>0</v>
      </c>
      <c r="AD52" s="1322"/>
      <c r="AE52" s="1322">
        <f>+SUMIF(Février!$BK$20:$BK$50,Janvier!AT8,'Retenue Fev'!$D$18:$D$48)</f>
        <v>0</v>
      </c>
      <c r="AF52" s="1316">
        <f t="shared" si="55"/>
        <v>0</v>
      </c>
      <c r="AG52" s="563">
        <f>+Janvier!AT8</f>
        <v>5</v>
      </c>
      <c r="AO52" s="1189" t="s">
        <v>1110</v>
      </c>
      <c r="AP52" s="1326">
        <f>IF(AL22,+ROUND((AQ48+SUM(AQ39:AQ46))*AL34/AL22*Q11,2),0)</f>
        <v>0</v>
      </c>
      <c r="BA52" s="328"/>
      <c r="BD52" s="1341" t="s">
        <v>696</v>
      </c>
      <c r="BE52" s="1342">
        <f>+SUMIFS(BE18:BE48,BF18:BF48,S.CAL!BJ4)</f>
        <v>0</v>
      </c>
      <c r="BF52" s="1343">
        <f>IF(Janvier!BA90="",+COUNTIF(BF18:BF48,S.CAL!BJ4),Janvier!BA90)</f>
        <v>0</v>
      </c>
      <c r="BL52" s="35"/>
      <c r="BU52" s="16" t="s">
        <v>776</v>
      </c>
      <c r="BW52" s="339">
        <f>+BR46+BR49+BZ46+BZ49</f>
        <v>0</v>
      </c>
      <c r="CD52" s="328"/>
      <c r="CI52" s="2534" t="str">
        <f t="shared" si="51"/>
        <v>Semaine numéro : 5</v>
      </c>
      <c r="CJ52" s="2535"/>
      <c r="CK52" s="2536"/>
      <c r="CL52" s="875" t="str">
        <f t="shared" si="56"/>
        <v/>
      </c>
      <c r="CM52" s="656">
        <f t="shared" ca="1" si="57"/>
        <v>0</v>
      </c>
      <c r="CN52" s="655">
        <f t="shared" ca="1" si="58"/>
        <v>0</v>
      </c>
      <c r="CO52" s="196">
        <f>+SUMIF(Janvier!$BK$20:$BK$50,Janvier!AT8,$CG$18:$CG$48)</f>
        <v>0</v>
      </c>
      <c r="CP52" s="196">
        <f ca="1">IF(+SUMIF($AG$48:$AG$53,Report!$D$36,Report!$D$38)&gt;0,SUMIF($AG$48:$AG$53,Report!$D$36,Report!$D$38),AD38)</f>
        <v>0</v>
      </c>
      <c r="CQ52" s="196">
        <f>+SUMIF(Février!$BK$20:$BK$50,Janvier!AT8,'Retenue Fev'!$D$18:$D$48)</f>
        <v>0</v>
      </c>
      <c r="CR52" s="656">
        <f t="shared" ca="1" si="59"/>
        <v>0</v>
      </c>
      <c r="EE52" s="19"/>
      <c r="EF52" s="19"/>
      <c r="EG52" s="19"/>
      <c r="EH52" s="19"/>
      <c r="EI52" s="19"/>
    </row>
    <row r="53" spans="2:139" ht="13.5" thickBot="1" x14ac:dyDescent="0.25">
      <c r="N53" s="24"/>
      <c r="O53" s="24"/>
      <c r="P53" s="24"/>
      <c r="Q53" s="24"/>
      <c r="R53" s="24"/>
      <c r="S53" s="1328"/>
      <c r="U53" s="1301"/>
      <c r="V53" s="1301"/>
      <c r="W53" s="2538" t="str">
        <f t="shared" si="50"/>
        <v xml:space="preserve">Semaine numéro : </v>
      </c>
      <c r="X53" s="2538"/>
      <c r="Y53" s="2538"/>
      <c r="Z53" s="1323" t="str">
        <f t="shared" si="52"/>
        <v/>
      </c>
      <c r="AA53" s="1316">
        <f t="shared" si="53"/>
        <v>0</v>
      </c>
      <c r="AB53" s="1316">
        <f t="shared" si="54"/>
        <v>0</v>
      </c>
      <c r="AC53" s="1322">
        <f>+SUMIF(Janvier!$BK$20:$BK$50,Janvier!AT9,$D$18:$D$48)-SUMIF(Janvier!$BK$20:$BK$50,Janvier!AT9,$E$18:$E$48)</f>
        <v>0</v>
      </c>
      <c r="AD53" s="1322"/>
      <c r="AE53" s="1322">
        <f>+SUMIF(Février!$BK$20:$BK$50,Janvier!AT9,'Retenue Fev'!$D$18:$D$48)</f>
        <v>0</v>
      </c>
      <c r="AF53" s="1316">
        <f t="shared" si="55"/>
        <v>0</v>
      </c>
      <c r="AG53" s="563" t="str">
        <f>+Janvier!AT9</f>
        <v/>
      </c>
      <c r="BA53" s="328"/>
      <c r="BD53" s="374" t="s">
        <v>710</v>
      </c>
      <c r="BE53" s="376">
        <f>+COUNTIF(BE18:BE48,"&gt;0")</f>
        <v>0</v>
      </c>
      <c r="BF53" s="375"/>
      <c r="BH53" s="425"/>
      <c r="BI53" s="426" t="s">
        <v>689</v>
      </c>
      <c r="BJ53" s="427">
        <f>IF(BK3=S.CAL!BP2,BI50,IF(BK3=S.CAL!BP3,BW54,0))</f>
        <v>0</v>
      </c>
      <c r="BK53" s="425"/>
      <c r="BL53" s="35"/>
      <c r="CD53" s="328"/>
      <c r="CI53" s="2534" t="str">
        <f t="shared" si="51"/>
        <v xml:space="preserve">Semaine numéro : </v>
      </c>
      <c r="CJ53" s="2535"/>
      <c r="CK53" s="2536"/>
      <c r="CL53" s="875" t="str">
        <f t="shared" si="56"/>
        <v/>
      </c>
      <c r="CM53" s="656">
        <f t="shared" ca="1" si="57"/>
        <v>0</v>
      </c>
      <c r="CN53" s="655">
        <f t="shared" ca="1" si="58"/>
        <v>0</v>
      </c>
      <c r="CO53" s="196">
        <f>+SUMIF(Janvier!$BK$20:$BK$50,Janvier!AT9,$CG$18:$CG$48)</f>
        <v>0</v>
      </c>
      <c r="CP53" s="196">
        <f ca="1">IF(+SUMIF($AG$48:$AG$53,Report!$D$36,Report!$D$38)&gt;0,SUMIF($AG$48:$AG$53,Report!$D$36,Report!$D$38),AD39)</f>
        <v>0</v>
      </c>
      <c r="CQ53" s="196">
        <f>+SUMIF(Février!$BK$20:$BK$50,Janvier!AT9,'Retenue Fev'!$D$18:$D$48)</f>
        <v>0</v>
      </c>
      <c r="CR53" s="656">
        <f t="shared" ca="1" si="59"/>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 ca="1">SUM(AB48:AB53)</f>
        <v>0</v>
      </c>
      <c r="AC54" s="1322"/>
      <c r="AD54" s="1322"/>
      <c r="AE54" s="1322"/>
      <c r="AF54" s="1308">
        <f ca="1">SUM(AF48:AF53)</f>
        <v>0</v>
      </c>
      <c r="AO54" s="1189" t="s">
        <v>1106</v>
      </c>
      <c r="BA54" s="328"/>
      <c r="BH54" s="425"/>
      <c r="BI54" s="425"/>
      <c r="BJ54" s="425"/>
      <c r="BK54" s="425"/>
      <c r="BU54" s="16" t="s">
        <v>778</v>
      </c>
      <c r="BW54" s="339">
        <f>+BR46+BR49+BZ46+BZ49</f>
        <v>0</v>
      </c>
      <c r="CD54" s="328"/>
      <c r="CI54" s="129"/>
      <c r="CJ54" s="129"/>
      <c r="CK54" s="129"/>
      <c r="CL54" s="129"/>
      <c r="CM54" s="658" t="s">
        <v>441</v>
      </c>
      <c r="CN54" s="659">
        <f ca="1">SUM(CN48:CN53)</f>
        <v>0</v>
      </c>
      <c r="CO54" s="882"/>
      <c r="CP54" s="882"/>
      <c r="CQ54" s="882"/>
      <c r="CR54" s="659">
        <f ca="1">SUM(CR48:CR53)</f>
        <v>0</v>
      </c>
      <c r="EE54" s="19"/>
      <c r="EF54" s="19"/>
      <c r="EG54" s="19"/>
      <c r="EH54" s="19"/>
      <c r="EI54" s="19"/>
    </row>
    <row r="55" spans="2:139" ht="13.5" thickBot="1" x14ac:dyDescent="0.25">
      <c r="B55" s="2563">
        <f>B17</f>
        <v>46023</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H56" s="82" t="s">
        <v>1649</v>
      </c>
      <c r="Q56" s="377"/>
      <c r="R56" s="377"/>
      <c r="BA56" s="328"/>
      <c r="BH56" s="563"/>
      <c r="BI56" s="1189" t="s">
        <v>705</v>
      </c>
      <c r="BJ56" s="1340">
        <f>+IF(BK3=S.CAL!BP2,BJ45,IF(BK3=S.CAL!BP3,BZ46+BZ49,0))</f>
        <v>0</v>
      </c>
      <c r="BK56" s="563"/>
      <c r="CD56" s="328"/>
      <c r="EE56" s="19"/>
      <c r="EF56" s="79"/>
      <c r="EG56" s="79"/>
      <c r="EH56" s="19"/>
      <c r="EI56" s="79"/>
    </row>
    <row r="57" spans="2:139" x14ac:dyDescent="0.2">
      <c r="B57" s="168">
        <f t="shared" ref="B57:C72" si="60">B18</f>
        <v>46023</v>
      </c>
      <c r="C57" s="169">
        <f t="shared" si="60"/>
        <v>46023</v>
      </c>
      <c r="D57" s="335" t="str">
        <f t="shared" ref="D57:D87" si="61">E18</f>
        <v/>
      </c>
      <c r="E57" s="335" t="str">
        <f>+IF(D57="","",VLOOKUP(C57,$CF$18:$CG$48,2,FALSE))</f>
        <v/>
      </c>
      <c r="F57" s="1530" t="str">
        <f t="shared" ref="F57:F87" si="62">+IFERROR(IF(VLOOKUP(E57,Liste_motif_formule,10,FALSE)="OUI",D57,""),"")</f>
        <v/>
      </c>
      <c r="G57" s="1530" t="str">
        <f t="shared" ref="G57:G87" si="63">+IFERROR(IF(VLOOKUP(E57,Liste_motif_formule,11,FALSE)="OUI",D57,""),"")</f>
        <v/>
      </c>
      <c r="H57" s="1530" t="str">
        <f t="shared" ref="H57:H87" si="64">+IFERROR(IF(VLOOKUP(E57,Liste_motif_formule,11,FALSE)="OUI",D57,""),"")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0"/>
        <v>46024</v>
      </c>
      <c r="C58" s="170">
        <f t="shared" si="60"/>
        <v>46024</v>
      </c>
      <c r="D58" s="171" t="str">
        <f t="shared" si="61"/>
        <v/>
      </c>
      <c r="E58" s="171" t="str">
        <f t="shared" ref="E58:E87" si="65">+IF(D58="","",VLOOKUP(C58,$CF$18:$CG$48,2,FALSE))</f>
        <v/>
      </c>
      <c r="F58" s="1531" t="str">
        <f t="shared" si="62"/>
        <v/>
      </c>
      <c r="G58" s="1531" t="str">
        <f t="shared" si="63"/>
        <v/>
      </c>
      <c r="H58" s="1531" t="str">
        <f t="shared" si="64"/>
        <v/>
      </c>
      <c r="AO58" s="1189" t="str">
        <f>+ROUND(AP47,4)&amp;" / "&amp;ROUND(AO47,4)&amp;" ="</f>
        <v>0 / 0 =</v>
      </c>
      <c r="AP58" s="563">
        <f>IFERROR(ROUND(+AP47/AO47,6),0)</f>
        <v>0</v>
      </c>
      <c r="BA58" s="328"/>
      <c r="CD58" s="328"/>
      <c r="EE58" s="19"/>
      <c r="EF58" s="19"/>
      <c r="EG58" s="19"/>
      <c r="EH58" s="19"/>
      <c r="EI58" s="19"/>
    </row>
    <row r="59" spans="2:139" x14ac:dyDescent="0.2">
      <c r="B59" s="107">
        <f t="shared" si="60"/>
        <v>46025</v>
      </c>
      <c r="C59" s="170">
        <f t="shared" si="60"/>
        <v>46025</v>
      </c>
      <c r="D59" s="171" t="str">
        <f t="shared" si="61"/>
        <v/>
      </c>
      <c r="E59" s="171" t="str">
        <f t="shared" si="65"/>
        <v/>
      </c>
      <c r="F59" s="1531" t="str">
        <f t="shared" si="62"/>
        <v/>
      </c>
      <c r="G59" s="1531" t="str">
        <f t="shared" si="63"/>
        <v/>
      </c>
      <c r="H59" s="1531" t="str">
        <f t="shared" si="64"/>
        <v/>
      </c>
      <c r="BA59" s="328"/>
      <c r="BH59" s="29" t="s">
        <v>779</v>
      </c>
      <c r="BI59" s="58">
        <f>+BJ45+BJ29</f>
        <v>0</v>
      </c>
      <c r="CD59" s="328"/>
    </row>
    <row r="60" spans="2:139" x14ac:dyDescent="0.2">
      <c r="B60" s="107">
        <f t="shared" si="60"/>
        <v>46026</v>
      </c>
      <c r="C60" s="170">
        <f t="shared" si="60"/>
        <v>46026</v>
      </c>
      <c r="D60" s="171" t="str">
        <f t="shared" si="61"/>
        <v/>
      </c>
      <c r="E60" s="171" t="str">
        <f t="shared" si="65"/>
        <v/>
      </c>
      <c r="F60" s="1531" t="str">
        <f t="shared" si="62"/>
        <v/>
      </c>
      <c r="G60" s="1531" t="str">
        <f t="shared" si="63"/>
        <v/>
      </c>
      <c r="H60" s="1531" t="str">
        <f t="shared" si="64"/>
        <v/>
      </c>
      <c r="AM60" s="1329"/>
      <c r="AN60" s="1329"/>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0"/>
        <v>46027</v>
      </c>
      <c r="C61" s="170">
        <f t="shared" si="60"/>
        <v>46027</v>
      </c>
      <c r="D61" s="171" t="str">
        <f t="shared" si="61"/>
        <v/>
      </c>
      <c r="E61" s="171" t="str">
        <f t="shared" si="65"/>
        <v/>
      </c>
      <c r="F61" s="1531" t="str">
        <f t="shared" si="62"/>
        <v/>
      </c>
      <c r="G61" s="1531" t="str">
        <f t="shared" si="63"/>
        <v/>
      </c>
      <c r="H61" s="1531" t="str">
        <f t="shared" si="64"/>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0"/>
        <v>46028</v>
      </c>
      <c r="C62" s="170">
        <f t="shared" si="60"/>
        <v>46028</v>
      </c>
      <c r="D62" s="171" t="str">
        <f t="shared" si="61"/>
        <v/>
      </c>
      <c r="E62" s="171" t="str">
        <f t="shared" si="65"/>
        <v/>
      </c>
      <c r="F62" s="1531" t="str">
        <f t="shared" si="62"/>
        <v/>
      </c>
      <c r="G62" s="1531" t="str">
        <f t="shared" si="63"/>
        <v/>
      </c>
      <c r="H62" s="1531" t="str">
        <f t="shared" si="64"/>
        <v/>
      </c>
      <c r="BA62" s="328"/>
      <c r="BH62" s="425"/>
      <c r="BI62" s="425"/>
      <c r="BJ62" s="425"/>
      <c r="BK62" s="425"/>
      <c r="CD62" s="328"/>
    </row>
    <row r="63" spans="2:139" x14ac:dyDescent="0.2">
      <c r="B63" s="107">
        <f t="shared" si="60"/>
        <v>46029</v>
      </c>
      <c r="C63" s="170">
        <f t="shared" si="60"/>
        <v>46029</v>
      </c>
      <c r="D63" s="171" t="str">
        <f t="shared" si="61"/>
        <v/>
      </c>
      <c r="E63" s="171" t="str">
        <f t="shared" si="65"/>
        <v/>
      </c>
      <c r="F63" s="1531" t="str">
        <f t="shared" si="62"/>
        <v/>
      </c>
      <c r="G63" s="1531" t="str">
        <f t="shared" si="63"/>
        <v/>
      </c>
      <c r="H63" s="1531" t="str">
        <f t="shared" si="64"/>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0"/>
        <v>46030</v>
      </c>
      <c r="C64" s="170">
        <f t="shared" si="60"/>
        <v>46030</v>
      </c>
      <c r="D64" s="171" t="str">
        <f t="shared" si="61"/>
        <v/>
      </c>
      <c r="E64" s="171" t="str">
        <f t="shared" si="65"/>
        <v/>
      </c>
      <c r="F64" s="1531" t="str">
        <f t="shared" si="62"/>
        <v/>
      </c>
      <c r="G64" s="1531" t="str">
        <f t="shared" si="63"/>
        <v/>
      </c>
      <c r="H64" s="1531" t="str">
        <f t="shared" si="64"/>
        <v/>
      </c>
      <c r="AO64" s="1331"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0"/>
        <v>46031</v>
      </c>
      <c r="C65" s="170">
        <f t="shared" si="60"/>
        <v>46031</v>
      </c>
      <c r="D65" s="171" t="str">
        <f t="shared" si="61"/>
        <v/>
      </c>
      <c r="E65" s="171" t="str">
        <f t="shared" si="65"/>
        <v/>
      </c>
      <c r="F65" s="1531" t="str">
        <f t="shared" si="62"/>
        <v/>
      </c>
      <c r="G65" s="1531" t="str">
        <f t="shared" si="63"/>
        <v/>
      </c>
      <c r="H65" s="1531" t="str">
        <f t="shared" si="64"/>
        <v/>
      </c>
      <c r="BA65" s="328"/>
      <c r="CD65" s="328"/>
    </row>
    <row r="66" spans="2:82" ht="12.75" customHeight="1" x14ac:dyDescent="0.2">
      <c r="B66" s="107">
        <f t="shared" si="60"/>
        <v>46032</v>
      </c>
      <c r="C66" s="170">
        <f t="shared" si="60"/>
        <v>46032</v>
      </c>
      <c r="D66" s="171" t="str">
        <f t="shared" si="61"/>
        <v/>
      </c>
      <c r="E66" s="171" t="str">
        <f t="shared" si="65"/>
        <v/>
      </c>
      <c r="F66" s="1531" t="str">
        <f t="shared" si="62"/>
        <v/>
      </c>
      <c r="G66" s="1531" t="str">
        <f t="shared" si="63"/>
        <v/>
      </c>
      <c r="H66" s="1531" t="str">
        <f t="shared" si="64"/>
        <v/>
      </c>
      <c r="BA66" s="328"/>
      <c r="CD66" s="328"/>
    </row>
    <row r="67" spans="2:82" ht="12.75" customHeight="1" x14ac:dyDescent="0.2">
      <c r="B67" s="107">
        <f t="shared" si="60"/>
        <v>46033</v>
      </c>
      <c r="C67" s="170">
        <f t="shared" si="60"/>
        <v>46033</v>
      </c>
      <c r="D67" s="171" t="str">
        <f t="shared" si="61"/>
        <v/>
      </c>
      <c r="E67" s="171" t="str">
        <f t="shared" si="65"/>
        <v/>
      </c>
      <c r="F67" s="1531" t="str">
        <f t="shared" si="62"/>
        <v/>
      </c>
      <c r="G67" s="1531" t="str">
        <f t="shared" si="63"/>
        <v/>
      </c>
      <c r="H67" s="1531" t="str">
        <f t="shared" si="64"/>
        <v/>
      </c>
      <c r="BA67" s="328"/>
      <c r="CD67" s="328"/>
    </row>
    <row r="68" spans="2:82" ht="12.75" customHeight="1" x14ac:dyDescent="0.2">
      <c r="B68" s="107">
        <f t="shared" si="60"/>
        <v>46034</v>
      </c>
      <c r="C68" s="170">
        <f t="shared" si="60"/>
        <v>46034</v>
      </c>
      <c r="D68" s="171" t="str">
        <f t="shared" si="61"/>
        <v/>
      </c>
      <c r="E68" s="171" t="str">
        <f t="shared" si="65"/>
        <v/>
      </c>
      <c r="F68" s="1531" t="str">
        <f t="shared" si="62"/>
        <v/>
      </c>
      <c r="G68" s="1531" t="str">
        <f t="shared" si="63"/>
        <v/>
      </c>
      <c r="H68" s="1531" t="str">
        <f t="shared" si="64"/>
        <v/>
      </c>
      <c r="AI68" s="1332" t="s">
        <v>329</v>
      </c>
      <c r="BA68" s="328"/>
      <c r="CD68" s="328"/>
    </row>
    <row r="69" spans="2:82" ht="12.75" customHeight="1" x14ac:dyDescent="0.2">
      <c r="B69" s="107">
        <f t="shared" si="60"/>
        <v>46035</v>
      </c>
      <c r="C69" s="170">
        <f t="shared" si="60"/>
        <v>46035</v>
      </c>
      <c r="D69" s="171" t="str">
        <f t="shared" si="61"/>
        <v/>
      </c>
      <c r="E69" s="171" t="str">
        <f t="shared" si="65"/>
        <v/>
      </c>
      <c r="F69" s="1531" t="str">
        <f t="shared" si="62"/>
        <v/>
      </c>
      <c r="G69" s="1531" t="str">
        <f t="shared" si="63"/>
        <v/>
      </c>
      <c r="H69" s="1531" t="str">
        <f t="shared" si="64"/>
        <v/>
      </c>
      <c r="BA69" s="328"/>
      <c r="CD69" s="328"/>
    </row>
    <row r="70" spans="2:82" ht="12.75" customHeight="1" x14ac:dyDescent="0.2">
      <c r="B70" s="107">
        <f t="shared" si="60"/>
        <v>46036</v>
      </c>
      <c r="C70" s="170">
        <f t="shared" si="60"/>
        <v>46036</v>
      </c>
      <c r="D70" s="171" t="str">
        <f t="shared" si="61"/>
        <v/>
      </c>
      <c r="E70" s="171" t="str">
        <f t="shared" si="65"/>
        <v/>
      </c>
      <c r="F70" s="1531" t="str">
        <f t="shared" si="62"/>
        <v/>
      </c>
      <c r="G70" s="1531" t="str">
        <f t="shared" si="63"/>
        <v/>
      </c>
      <c r="H70" s="1531" t="str">
        <f t="shared" si="64"/>
        <v/>
      </c>
      <c r="AI70" s="563" t="s">
        <v>330</v>
      </c>
      <c r="BA70" s="328"/>
      <c r="CD70" s="328"/>
    </row>
    <row r="71" spans="2:82" ht="12.75" customHeight="1" x14ac:dyDescent="0.2">
      <c r="B71" s="107">
        <f t="shared" si="60"/>
        <v>46037</v>
      </c>
      <c r="C71" s="170">
        <f t="shared" si="60"/>
        <v>46037</v>
      </c>
      <c r="D71" s="171" t="str">
        <f t="shared" si="61"/>
        <v/>
      </c>
      <c r="E71" s="171" t="str">
        <f t="shared" si="65"/>
        <v/>
      </c>
      <c r="F71" s="1531" t="str">
        <f t="shared" si="62"/>
        <v/>
      </c>
      <c r="G71" s="1531" t="str">
        <f t="shared" si="63"/>
        <v/>
      </c>
      <c r="H71" s="1531" t="str">
        <f t="shared" si="64"/>
        <v/>
      </c>
      <c r="AI71" s="1333" t="s">
        <v>331</v>
      </c>
      <c r="BA71" s="328"/>
      <c r="CD71" s="328"/>
    </row>
    <row r="72" spans="2:82" ht="12.75" customHeight="1" x14ac:dyDescent="0.2">
      <c r="B72" s="107">
        <f t="shared" si="60"/>
        <v>46038</v>
      </c>
      <c r="C72" s="170">
        <f t="shared" si="60"/>
        <v>46038</v>
      </c>
      <c r="D72" s="171" t="str">
        <f t="shared" si="61"/>
        <v/>
      </c>
      <c r="E72" s="171" t="str">
        <f t="shared" si="65"/>
        <v/>
      </c>
      <c r="F72" s="1531" t="str">
        <f t="shared" si="62"/>
        <v/>
      </c>
      <c r="G72" s="1531" t="str">
        <f t="shared" si="63"/>
        <v/>
      </c>
      <c r="H72" s="1531" t="str">
        <f t="shared" si="64"/>
        <v/>
      </c>
      <c r="AI72" s="563" t="e">
        <f>ROUND(AL24,2)&amp;" / "&amp;AL22&amp;" ="&amp;ROUND(AL25,2)&amp;" hrs"</f>
        <v>#VALUE!</v>
      </c>
      <c r="BA72" s="328"/>
      <c r="CD72" s="328"/>
    </row>
    <row r="73" spans="2:82" ht="12.75" customHeight="1" x14ac:dyDescent="0.2">
      <c r="B73" s="107">
        <f t="shared" ref="B73:C87" si="66">B34</f>
        <v>46039</v>
      </c>
      <c r="C73" s="170">
        <f t="shared" si="66"/>
        <v>46039</v>
      </c>
      <c r="D73" s="171" t="str">
        <f t="shared" si="61"/>
        <v/>
      </c>
      <c r="E73" s="171" t="str">
        <f t="shared" si="65"/>
        <v/>
      </c>
      <c r="F73" s="1531" t="str">
        <f t="shared" si="62"/>
        <v/>
      </c>
      <c r="G73" s="1531" t="str">
        <f t="shared" si="63"/>
        <v/>
      </c>
      <c r="H73" s="1531" t="str">
        <f t="shared" si="64"/>
        <v/>
      </c>
      <c r="BA73" s="328"/>
      <c r="CD73" s="328"/>
    </row>
    <row r="74" spans="2:82" ht="12.75" customHeight="1" x14ac:dyDescent="0.2">
      <c r="B74" s="107">
        <f t="shared" si="66"/>
        <v>46040</v>
      </c>
      <c r="C74" s="170">
        <f t="shared" si="66"/>
        <v>46040</v>
      </c>
      <c r="D74" s="171" t="str">
        <f t="shared" si="61"/>
        <v/>
      </c>
      <c r="E74" s="171" t="str">
        <f t="shared" si="65"/>
        <v/>
      </c>
      <c r="F74" s="1531" t="str">
        <f t="shared" si="62"/>
        <v/>
      </c>
      <c r="G74" s="1531" t="str">
        <f t="shared" si="63"/>
        <v/>
      </c>
      <c r="H74" s="1531" t="str">
        <f t="shared" si="64"/>
        <v/>
      </c>
      <c r="AI74" s="563" t="s">
        <v>332</v>
      </c>
      <c r="BA74" s="328"/>
      <c r="CD74" s="328"/>
    </row>
    <row r="75" spans="2:82" x14ac:dyDescent="0.2">
      <c r="B75" s="107">
        <f t="shared" si="66"/>
        <v>46041</v>
      </c>
      <c r="C75" s="170">
        <f t="shared" si="66"/>
        <v>46041</v>
      </c>
      <c r="D75" s="171" t="str">
        <f t="shared" si="61"/>
        <v/>
      </c>
      <c r="E75" s="171" t="str">
        <f t="shared" si="65"/>
        <v/>
      </c>
      <c r="F75" s="1531" t="str">
        <f t="shared" si="62"/>
        <v/>
      </c>
      <c r="G75" s="1531" t="str">
        <f t="shared" si="63"/>
        <v/>
      </c>
      <c r="H75" s="1531" t="str">
        <f t="shared" si="64"/>
        <v/>
      </c>
      <c r="AI75" s="1333" t="s">
        <v>333</v>
      </c>
      <c r="BA75" s="328"/>
      <c r="CD75" s="328"/>
    </row>
    <row r="76" spans="2:82" ht="12.75" customHeight="1" x14ac:dyDescent="0.2">
      <c r="B76" s="107">
        <f t="shared" si="66"/>
        <v>46042</v>
      </c>
      <c r="C76" s="170">
        <f t="shared" si="66"/>
        <v>46042</v>
      </c>
      <c r="D76" s="171" t="str">
        <f t="shared" si="61"/>
        <v/>
      </c>
      <c r="E76" s="171" t="str">
        <f t="shared" si="65"/>
        <v/>
      </c>
      <c r="F76" s="1531" t="str">
        <f t="shared" si="62"/>
        <v/>
      </c>
      <c r="G76" s="1531" t="str">
        <f t="shared" si="63"/>
        <v/>
      </c>
      <c r="H76" s="1531" t="str">
        <f t="shared" si="64"/>
        <v/>
      </c>
      <c r="BA76" s="328"/>
      <c r="CD76" s="328"/>
    </row>
    <row r="77" spans="2:82" ht="12.75" customHeight="1" x14ac:dyDescent="0.2">
      <c r="B77" s="107">
        <f t="shared" si="66"/>
        <v>46043</v>
      </c>
      <c r="C77" s="170">
        <f t="shared" si="66"/>
        <v>46043</v>
      </c>
      <c r="D77" s="171" t="str">
        <f t="shared" si="61"/>
        <v/>
      </c>
      <c r="E77" s="171" t="str">
        <f t="shared" si="65"/>
        <v/>
      </c>
      <c r="F77" s="1531" t="str">
        <f t="shared" si="62"/>
        <v/>
      </c>
      <c r="G77" s="1531" t="str">
        <f t="shared" si="63"/>
        <v/>
      </c>
      <c r="H77" s="1531" t="str">
        <f t="shared" si="64"/>
        <v/>
      </c>
      <c r="AI77" s="563" t="s">
        <v>334</v>
      </c>
      <c r="BA77" s="328"/>
      <c r="CD77" s="328"/>
    </row>
    <row r="78" spans="2:82" ht="12.75" customHeight="1" x14ac:dyDescent="0.2">
      <c r="B78" s="107">
        <f t="shared" si="66"/>
        <v>46044</v>
      </c>
      <c r="C78" s="170">
        <f t="shared" si="66"/>
        <v>46044</v>
      </c>
      <c r="D78" s="171" t="str">
        <f t="shared" si="61"/>
        <v/>
      </c>
      <c r="E78" s="171" t="str">
        <f t="shared" si="65"/>
        <v/>
      </c>
      <c r="F78" s="1531" t="str">
        <f t="shared" si="62"/>
        <v/>
      </c>
      <c r="G78" s="1531" t="str">
        <f t="shared" si="63"/>
        <v/>
      </c>
      <c r="H78" s="1531" t="str">
        <f t="shared" si="64"/>
        <v/>
      </c>
      <c r="AI78" s="1333" t="s">
        <v>680</v>
      </c>
      <c r="BA78" s="328"/>
      <c r="CD78" s="328"/>
    </row>
    <row r="79" spans="2:82" ht="12.75" customHeight="1" x14ac:dyDescent="0.2">
      <c r="B79" s="107">
        <f t="shared" si="66"/>
        <v>46045</v>
      </c>
      <c r="C79" s="170">
        <f t="shared" si="66"/>
        <v>46045</v>
      </c>
      <c r="D79" s="171" t="str">
        <f t="shared" si="61"/>
        <v/>
      </c>
      <c r="E79" s="171" t="str">
        <f t="shared" si="65"/>
        <v/>
      </c>
      <c r="F79" s="1531" t="str">
        <f t="shared" si="62"/>
        <v/>
      </c>
      <c r="G79" s="1531" t="str">
        <f t="shared" si="63"/>
        <v/>
      </c>
      <c r="H79" s="1531" t="str">
        <f t="shared" si="64"/>
        <v/>
      </c>
      <c r="AI79" s="563" t="e">
        <f>ROUND(AT21,2)&amp;" /"&amp; AS21&amp;" = "&amp;ROUND(AL26,2)&amp;" hrs"</f>
        <v>#VALUE!</v>
      </c>
      <c r="BA79" s="328"/>
      <c r="CD79" s="328"/>
    </row>
    <row r="80" spans="2:82" ht="12.75" customHeight="1" x14ac:dyDescent="0.2">
      <c r="B80" s="107">
        <f t="shared" si="66"/>
        <v>46046</v>
      </c>
      <c r="C80" s="170">
        <f t="shared" si="66"/>
        <v>46046</v>
      </c>
      <c r="D80" s="171" t="str">
        <f t="shared" si="61"/>
        <v/>
      </c>
      <c r="E80" s="171" t="str">
        <f t="shared" si="65"/>
        <v/>
      </c>
      <c r="F80" s="1531" t="str">
        <f t="shared" si="62"/>
        <v/>
      </c>
      <c r="G80" s="1531" t="str">
        <f t="shared" si="63"/>
        <v/>
      </c>
      <c r="H80" s="1531" t="str">
        <f t="shared" si="64"/>
        <v/>
      </c>
      <c r="BA80" s="328"/>
      <c r="CD80" s="328"/>
    </row>
    <row r="81" spans="2:82" ht="12.75" customHeight="1" x14ac:dyDescent="0.2">
      <c r="B81" s="107">
        <f t="shared" si="66"/>
        <v>46047</v>
      </c>
      <c r="C81" s="170">
        <f t="shared" si="66"/>
        <v>46047</v>
      </c>
      <c r="D81" s="171" t="str">
        <f t="shared" si="61"/>
        <v/>
      </c>
      <c r="E81" s="171" t="str">
        <f t="shared" si="65"/>
        <v/>
      </c>
      <c r="F81" s="1531" t="str">
        <f t="shared" si="62"/>
        <v/>
      </c>
      <c r="G81" s="1531" t="str">
        <f t="shared" si="63"/>
        <v/>
      </c>
      <c r="H81" s="1531" t="str">
        <f t="shared" si="64"/>
        <v/>
      </c>
      <c r="AI81" s="563" t="s">
        <v>518</v>
      </c>
      <c r="BA81" s="328"/>
      <c r="CD81" s="328"/>
    </row>
    <row r="82" spans="2:82" ht="12.75" customHeight="1" x14ac:dyDescent="0.2">
      <c r="B82" s="107">
        <f t="shared" si="66"/>
        <v>46048</v>
      </c>
      <c r="C82" s="170">
        <f t="shared" si="66"/>
        <v>46048</v>
      </c>
      <c r="D82" s="171" t="str">
        <f t="shared" si="61"/>
        <v/>
      </c>
      <c r="E82" s="171" t="str">
        <f t="shared" si="65"/>
        <v/>
      </c>
      <c r="F82" s="1531" t="str">
        <f t="shared" si="62"/>
        <v/>
      </c>
      <c r="G82" s="1531" t="str">
        <f t="shared" si="63"/>
        <v/>
      </c>
      <c r="H82" s="1531" t="str">
        <f t="shared" si="64"/>
        <v/>
      </c>
      <c r="AI82" s="1333" t="s">
        <v>681</v>
      </c>
      <c r="BA82" s="328"/>
      <c r="CD82" s="328"/>
    </row>
    <row r="83" spans="2:82" ht="12.75" customHeight="1" x14ac:dyDescent="0.2">
      <c r="B83" s="107">
        <f t="shared" si="66"/>
        <v>46049</v>
      </c>
      <c r="C83" s="170">
        <f t="shared" si="66"/>
        <v>46049</v>
      </c>
      <c r="D83" s="171" t="str">
        <f t="shared" si="61"/>
        <v/>
      </c>
      <c r="E83" s="171" t="str">
        <f t="shared" si="65"/>
        <v/>
      </c>
      <c r="F83" s="1531" t="str">
        <f t="shared" si="62"/>
        <v/>
      </c>
      <c r="G83" s="1531" t="str">
        <f t="shared" si="63"/>
        <v/>
      </c>
      <c r="H83" s="1531" t="str">
        <f t="shared" si="64"/>
        <v/>
      </c>
      <c r="AI83" s="563" t="e">
        <f>AV21&amp;" / "&amp;AS21&amp;" = "&amp;ROUND(AL27,2)&amp;" jrs"</f>
        <v>#VALUE!</v>
      </c>
      <c r="BA83" s="328"/>
      <c r="CD83" s="328"/>
    </row>
    <row r="84" spans="2:82" ht="12.75" customHeight="1" x14ac:dyDescent="0.2">
      <c r="B84" s="107">
        <f t="shared" si="66"/>
        <v>46050</v>
      </c>
      <c r="C84" s="170">
        <f t="shared" si="66"/>
        <v>46050</v>
      </c>
      <c r="D84" s="171" t="str">
        <f t="shared" si="61"/>
        <v/>
      </c>
      <c r="E84" s="171" t="str">
        <f t="shared" si="65"/>
        <v/>
      </c>
      <c r="F84" s="1531" t="str">
        <f t="shared" si="62"/>
        <v/>
      </c>
      <c r="G84" s="1531" t="str">
        <f t="shared" si="63"/>
        <v/>
      </c>
      <c r="H84" s="1531" t="str">
        <f t="shared" si="64"/>
        <v/>
      </c>
      <c r="BA84" s="328"/>
      <c r="CD84" s="328"/>
    </row>
    <row r="85" spans="2:82" ht="12.75" customHeight="1" x14ac:dyDescent="0.2">
      <c r="B85" s="107">
        <f t="shared" si="66"/>
        <v>46051</v>
      </c>
      <c r="C85" s="170">
        <f t="shared" si="66"/>
        <v>46051</v>
      </c>
      <c r="D85" s="171" t="str">
        <f t="shared" si="61"/>
        <v/>
      </c>
      <c r="E85" s="171" t="str">
        <f t="shared" si="65"/>
        <v/>
      </c>
      <c r="F85" s="1531" t="str">
        <f t="shared" si="62"/>
        <v/>
      </c>
      <c r="G85" s="1531" t="str">
        <f t="shared" si="63"/>
        <v/>
      </c>
      <c r="H85" s="1531" t="str">
        <f t="shared" si="64"/>
        <v/>
      </c>
      <c r="AI85" s="1333" t="s">
        <v>335</v>
      </c>
      <c r="BA85" s="328"/>
      <c r="CD85" s="328"/>
    </row>
    <row r="86" spans="2:82" ht="12.75" customHeight="1" x14ac:dyDescent="0.2">
      <c r="B86" s="107">
        <f t="shared" si="66"/>
        <v>46052</v>
      </c>
      <c r="C86" s="170">
        <f t="shared" si="66"/>
        <v>46052</v>
      </c>
      <c r="D86" s="171" t="str">
        <f t="shared" si="61"/>
        <v/>
      </c>
      <c r="E86" s="171" t="str">
        <f t="shared" si="65"/>
        <v/>
      </c>
      <c r="F86" s="1531" t="str">
        <f t="shared" si="62"/>
        <v/>
      </c>
      <c r="G86" s="1531" t="str">
        <f t="shared" si="63"/>
        <v/>
      </c>
      <c r="H86" s="1531" t="str">
        <f t="shared" si="64"/>
        <v/>
      </c>
      <c r="AI86" s="1333" t="s">
        <v>336</v>
      </c>
      <c r="BA86" s="328"/>
      <c r="CD86" s="328"/>
    </row>
    <row r="87" spans="2:82" ht="13.5" customHeight="1" thickBot="1" x14ac:dyDescent="0.25">
      <c r="B87" s="110">
        <f t="shared" si="66"/>
        <v>46053</v>
      </c>
      <c r="C87" s="190">
        <f t="shared" si="66"/>
        <v>46053</v>
      </c>
      <c r="D87" s="191" t="str">
        <f t="shared" si="61"/>
        <v/>
      </c>
      <c r="E87" s="191" t="str">
        <f t="shared" si="65"/>
        <v/>
      </c>
      <c r="F87" s="1532" t="str">
        <f t="shared" si="62"/>
        <v/>
      </c>
      <c r="G87" s="1532" t="str">
        <f t="shared" si="63"/>
        <v/>
      </c>
      <c r="H87" s="1532" t="str">
        <f t="shared" si="64"/>
        <v/>
      </c>
      <c r="AI87" s="563" t="e">
        <f>ROUND(AL26,2)&amp;" / "&amp;ROUND(AL27,3)&amp;" ="&amp;ROUND(AL28,3)&amp;" hrs"</f>
        <v>#VALUE!</v>
      </c>
      <c r="BA87" s="328"/>
      <c r="CD87" s="328"/>
    </row>
    <row r="88" spans="2:82" ht="13.5" customHeight="1" thickBot="1" x14ac:dyDescent="0.25">
      <c r="D88" s="192">
        <f>SUM(D57:D87)</f>
        <v>0</v>
      </c>
      <c r="F88" s="192">
        <f>SUM(F57:F87)</f>
        <v>0</v>
      </c>
      <c r="G88" s="192">
        <f>SUM(G57:G87)</f>
        <v>0</v>
      </c>
      <c r="H88" s="192">
        <f>SUM(H57:H87)</f>
        <v>0</v>
      </c>
      <c r="BA88" s="328"/>
      <c r="CD88" s="328"/>
    </row>
    <row r="89" spans="2:82" ht="12.75" customHeight="1" x14ac:dyDescent="0.2">
      <c r="AI89" s="563" t="s">
        <v>337</v>
      </c>
      <c r="BA89" s="328"/>
      <c r="CD89" s="328"/>
    </row>
    <row r="90" spans="2:82" ht="12.75" customHeight="1" x14ac:dyDescent="0.2">
      <c r="E90" s="29" t="s">
        <v>1650</v>
      </c>
      <c r="F90" s="337" t="e">
        <f>+(Q16+Q17)/D50*F88</f>
        <v>#DIV/0!</v>
      </c>
      <c r="G90" s="337" t="e">
        <f>+(Q16+Q17)/D50*G88*0.8</f>
        <v>#DIV/0!</v>
      </c>
      <c r="H90" s="337" t="e">
        <f>+(R16+R17)/D50*H88</f>
        <v>#DIV/0!</v>
      </c>
      <c r="AI90" s="1333" t="s">
        <v>519</v>
      </c>
      <c r="BA90" s="328"/>
      <c r="CD90" s="328"/>
    </row>
    <row r="91" spans="2:82" ht="12.75" customHeight="1" x14ac:dyDescent="0.2">
      <c r="AI91" s="563" t="e">
        <f>ROUND(AL30,2)&amp;" X "&amp;ROUND(AL28,2)&amp;" = "&amp;ROUND(AL32,2)&amp;" hrs"</f>
        <v>#VALUE!</v>
      </c>
      <c r="BA91" s="328"/>
      <c r="CD91" s="328"/>
    </row>
    <row r="92" spans="2:82" ht="12.75" customHeight="1" x14ac:dyDescent="0.2">
      <c r="B92" s="16" t="s">
        <v>1651</v>
      </c>
      <c r="BA92" s="328"/>
      <c r="CD92" s="328"/>
    </row>
    <row r="93" spans="2:82" ht="12.75" customHeight="1" x14ac:dyDescent="0.2">
      <c r="B93" s="16" t="e">
        <f>" ( "&amp;Q16&amp;" € + "&amp;Q17&amp;" € ) / "&amp;D50&amp;" X "&amp;F88&amp;" = "&amp;ROUND(F90,2)&amp;" €"</f>
        <v>#DIV/0!</v>
      </c>
      <c r="AI93" s="563" t="s">
        <v>338</v>
      </c>
      <c r="BA93" s="328"/>
      <c r="CD93" s="328"/>
    </row>
    <row r="94" spans="2:82" ht="12.75" customHeight="1"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sAbrAOPIvl8UHbGCz/KvRgWCOR9eOe6qyeNmPQ2YMHjxm5QOw2TESbfoPMZMURW9m6iuPKyXVHAEBeN2y5uI2A==" saltValue="KzwLBmCA09dMcauUY9HXCQ==" spinCount="100000" sheet="1" objects="1" scenarios="1" formatCells="0" formatColumns="0" formatRows="0" insertColumns="0" insertRows="0" insertHyperlinks="0" sort="0" autoFilter="0" pivotTables="0"/>
  <mergeCells count="73">
    <mergeCell ref="B55:E55"/>
    <mergeCell ref="BN8:BO8"/>
    <mergeCell ref="BP26:BP27"/>
    <mergeCell ref="BQ26:BQ27"/>
    <mergeCell ref="BF15:BF16"/>
    <mergeCell ref="BB17:BG17"/>
    <mergeCell ref="BG15:BG16"/>
    <mergeCell ref="BD8:BE8"/>
    <mergeCell ref="BD15:BD16"/>
    <mergeCell ref="BE15:BE16"/>
    <mergeCell ref="AJ8:AK8"/>
    <mergeCell ref="D15:D16"/>
    <mergeCell ref="E15:E16"/>
    <mergeCell ref="AA19:AB19"/>
    <mergeCell ref="AA21:AB21"/>
    <mergeCell ref="S19:V19"/>
    <mergeCell ref="S21:V21"/>
    <mergeCell ref="W53:Y53"/>
    <mergeCell ref="Z46:Z47"/>
    <mergeCell ref="D8:E8"/>
    <mergeCell ref="B17:E17"/>
    <mergeCell ref="W39:Y39"/>
    <mergeCell ref="W48:Y48"/>
    <mergeCell ref="W49:Y49"/>
    <mergeCell ref="W34:Y34"/>
    <mergeCell ref="W35:Y35"/>
    <mergeCell ref="W36:Y36"/>
    <mergeCell ref="W37:Y37"/>
    <mergeCell ref="W38:Y38"/>
    <mergeCell ref="Z32:Z33"/>
    <mergeCell ref="U8:V8"/>
    <mergeCell ref="BT26:BT27"/>
    <mergeCell ref="BX26:BX27"/>
    <mergeCell ref="BY26:BY27"/>
    <mergeCell ref="W51:Y51"/>
    <mergeCell ref="W52:Y52"/>
    <mergeCell ref="CR46:CR47"/>
    <mergeCell ref="CI48:CK48"/>
    <mergeCell ref="CH15:CH16"/>
    <mergeCell ref="CE17:CG17"/>
    <mergeCell ref="AA46:AA47"/>
    <mergeCell ref="AB46:AB47"/>
    <mergeCell ref="AF46:AF47"/>
    <mergeCell ref="AL37:AL38"/>
    <mergeCell ref="AM37:AM38"/>
    <mergeCell ref="AN37:AN38"/>
    <mergeCell ref="AO30:AQ30"/>
    <mergeCell ref="AN39:AN46"/>
    <mergeCell ref="AO37:AO38"/>
    <mergeCell ref="AP37:AP38"/>
    <mergeCell ref="AQ37:AQ38"/>
    <mergeCell ref="BH45:BI45"/>
    <mergeCell ref="CI52:CK52"/>
    <mergeCell ref="CI53:CK53"/>
    <mergeCell ref="CL46:CL47"/>
    <mergeCell ref="CM46:CM47"/>
    <mergeCell ref="CN46:CN47"/>
    <mergeCell ref="A6:R6"/>
    <mergeCell ref="T6:AF6"/>
    <mergeCell ref="CI49:CK49"/>
    <mergeCell ref="CI50:CK50"/>
    <mergeCell ref="CI51:CK51"/>
    <mergeCell ref="BH29:BI29"/>
    <mergeCell ref="W50:Y50"/>
    <mergeCell ref="AA32:AA33"/>
    <mergeCell ref="AB32:AB33"/>
    <mergeCell ref="AF32:AF33"/>
    <mergeCell ref="CG15:CG16"/>
    <mergeCell ref="BZ26:BZ27"/>
    <mergeCell ref="CA26:CA27"/>
    <mergeCell ref="CB26:CB27"/>
    <mergeCell ref="BR26:BR27"/>
    <mergeCell ref="BS26:BS27"/>
  </mergeCells>
  <conditionalFormatting sqref="A7:R7">
    <cfRule type="expression" dxfId="3792" priority="10">
      <formula>$R$3=$A$5</formula>
    </cfRule>
  </conditionalFormatting>
  <conditionalFormatting sqref="M19:Q23">
    <cfRule type="expression" dxfId="3791" priority="4">
      <formula>$E$11&gt;0</formula>
    </cfRule>
  </conditionalFormatting>
  <conditionalFormatting sqref="M26:R46">
    <cfRule type="expression" dxfId="3790" priority="3">
      <formula>$E$11=0</formula>
    </cfRule>
  </conditionalFormatting>
  <conditionalFormatting sqref="P17">
    <cfRule type="expression" dxfId="3789" priority="7">
      <formula>$E$11=0</formula>
    </cfRule>
  </conditionalFormatting>
  <conditionalFormatting sqref="P30">
    <cfRule type="expression" dxfId="3788" priority="35">
      <formula>AND($R$3="Méthode 1",$E$11&lt;0)</formula>
    </cfRule>
  </conditionalFormatting>
  <conditionalFormatting sqref="P33">
    <cfRule type="expression" dxfId="3787" priority="33">
      <formula>AND($R$3="Méthode 1",$E$11&lt;0)</formula>
    </cfRule>
  </conditionalFormatting>
  <conditionalFormatting sqref="Q17">
    <cfRule type="cellIs" dxfId="3786" priority="6" operator="equal">
      <formula>0</formula>
    </cfRule>
  </conditionalFormatting>
  <conditionalFormatting sqref="Q42">
    <cfRule type="expression" dxfId="3785" priority="16">
      <formula>AND($R$3="Méthode 1",$E$11&lt;0)</formula>
    </cfRule>
  </conditionalFormatting>
  <conditionalFormatting sqref="Q45">
    <cfRule type="expression" dxfId="3784" priority="15">
      <formula>AND($R$3="Méthode 1",$E$11&lt;0)</formula>
    </cfRule>
  </conditionalFormatting>
  <conditionalFormatting sqref="S7:AF7">
    <cfRule type="expression" dxfId="3783" priority="9">
      <formula>$R$3=$T$5</formula>
    </cfRule>
  </conditionalFormatting>
  <conditionalFormatting sqref="W19">
    <cfRule type="expression" dxfId="3782" priority="14">
      <formula>$EF$14=1</formula>
    </cfRule>
  </conditionalFormatting>
  <conditionalFormatting sqref="W21">
    <cfRule type="expression" dxfId="3781" priority="13">
      <formula>$EF$14=1</formula>
    </cfRule>
  </conditionalFormatting>
  <conditionalFormatting sqref="AC19">
    <cfRule type="expression" dxfId="3780" priority="12">
      <formula>$EF$14=1</formula>
    </cfRule>
  </conditionalFormatting>
  <conditionalFormatting sqref="AC21">
    <cfRule type="expression" dxfId="3779" priority="11">
      <formula>$EF$14=1</formula>
    </cfRule>
  </conditionalFormatting>
  <conditionalFormatting sqref="AH7:AZ7">
    <cfRule type="expression" dxfId="3778" priority="8">
      <formula>$R$3=$AI$5</formula>
    </cfRule>
  </conditionalFormatting>
  <conditionalFormatting sqref="AP50">
    <cfRule type="expression" dxfId="3777" priority="34">
      <formula>$R$3="Méthode 2"</formula>
    </cfRule>
  </conditionalFormatting>
  <conditionalFormatting sqref="AP52">
    <cfRule type="expression" dxfId="3776" priority="32">
      <formula>$R$3="Méthode 2"</formula>
    </cfRule>
  </conditionalFormatting>
  <conditionalFormatting sqref="AP61">
    <cfRule type="expression" dxfId="3775" priority="18">
      <formula>$R$3="Méthode 2"</formula>
    </cfRule>
  </conditionalFormatting>
  <conditionalFormatting sqref="AP64">
    <cfRule type="expression" dxfId="3774" priority="17">
      <formula>$R$3="Méthode 2"</formula>
    </cfRule>
  </conditionalFormatting>
  <conditionalFormatting sqref="BI50">
    <cfRule type="expression" dxfId="3773" priority="29">
      <formula>$BK$3="Méthode 1"</formula>
    </cfRule>
  </conditionalFormatting>
  <conditionalFormatting sqref="BJ29">
    <cfRule type="expression" dxfId="3772" priority="37">
      <formula>$BK$3="Méthode 1"</formula>
    </cfRule>
  </conditionalFormatting>
  <conditionalFormatting sqref="BJ45">
    <cfRule type="expression" dxfId="3771" priority="31">
      <formula>$BK$3="Méthode 1"</formula>
    </cfRule>
  </conditionalFormatting>
  <conditionalFormatting sqref="BR46">
    <cfRule type="expression" dxfId="3770" priority="27">
      <formula>$BK$3="Méthode 2"</formula>
    </cfRule>
  </conditionalFormatting>
  <conditionalFormatting sqref="BR49">
    <cfRule type="expression" dxfId="3769" priority="28">
      <formula>$BK$3="Méthode 2"</formula>
    </cfRule>
  </conditionalFormatting>
  <conditionalFormatting sqref="BW52">
    <cfRule type="expression" dxfId="3768" priority="24">
      <formula>$BK$3="Méthode 2"</formula>
    </cfRule>
  </conditionalFormatting>
  <conditionalFormatting sqref="BW54">
    <cfRule type="expression" dxfId="3767" priority="19">
      <formula>$BK$3="Méthode 2"</formula>
    </cfRule>
  </conditionalFormatting>
  <conditionalFormatting sqref="BZ46">
    <cfRule type="expression" dxfId="3766" priority="25">
      <formula>$BK$3="Méthode 2"</formula>
    </cfRule>
  </conditionalFormatting>
  <conditionalFormatting sqref="BZ49">
    <cfRule type="expression" dxfId="3765" priority="26">
      <formula>$BK$3="Méthode 2"</formula>
    </cfRule>
  </conditionalFormatting>
  <conditionalFormatting sqref="CG18:CG48">
    <cfRule type="cellIs" dxfId="3764"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6" man="1"/>
    <brk id="63" max="106"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42" width="11.42578125" style="16" hidden="1" customWidth="1"/>
    <col min="143" max="143" width="17.28515625" style="16" hidden="1" customWidth="1"/>
    <col min="144" max="144" width="13" style="16" hidden="1" customWidth="1"/>
    <col min="145" max="158" width="11.42578125" style="16" hidden="1" customWidth="1"/>
    <col min="159" max="209" width="0" style="16" hidden="1" customWidth="1"/>
    <col min="210" max="253" width="11.42578125" style="16"/>
    <col min="254" max="254" width="11" style="16" customWidth="1"/>
    <col min="255" max="256" width="6.28515625" style="16" customWidth="1"/>
    <col min="257" max="257" width="18.28515625" style="16" customWidth="1"/>
    <col min="258" max="258" width="13.85546875" style="16" customWidth="1"/>
    <col min="259" max="259" width="6.28515625" style="16" customWidth="1"/>
    <col min="260" max="260" width="4.5703125" style="16" customWidth="1"/>
    <col min="261" max="509" width="11.42578125" style="16"/>
    <col min="510" max="510" width="11" style="16" customWidth="1"/>
    <col min="511" max="512" width="6.28515625" style="16" customWidth="1"/>
    <col min="513" max="513" width="18.28515625" style="16" customWidth="1"/>
    <col min="514" max="514" width="13.85546875" style="16" customWidth="1"/>
    <col min="515" max="515" width="6.28515625" style="16" customWidth="1"/>
    <col min="516" max="516" width="4.5703125" style="16" customWidth="1"/>
    <col min="517" max="765" width="11.42578125" style="16"/>
    <col min="766" max="766" width="11" style="16" customWidth="1"/>
    <col min="767" max="768" width="6.28515625" style="16" customWidth="1"/>
    <col min="769" max="769" width="18.28515625" style="16" customWidth="1"/>
    <col min="770" max="770" width="13.85546875" style="16" customWidth="1"/>
    <col min="771" max="771" width="6.28515625" style="16" customWidth="1"/>
    <col min="772" max="772" width="4.5703125" style="16" customWidth="1"/>
    <col min="773" max="1021" width="11.42578125" style="16"/>
    <col min="1022" max="1022" width="11" style="16" customWidth="1"/>
    <col min="1023" max="1024" width="6.28515625" style="16" customWidth="1"/>
    <col min="1025" max="1025" width="18.28515625" style="16" customWidth="1"/>
    <col min="1026" max="1026" width="13.85546875" style="16" customWidth="1"/>
    <col min="1027" max="1027" width="6.28515625" style="16" customWidth="1"/>
    <col min="1028" max="1028" width="4.5703125" style="16" customWidth="1"/>
    <col min="1029" max="1277" width="11.42578125" style="16"/>
    <col min="1278" max="1278" width="11" style="16" customWidth="1"/>
    <col min="1279" max="1280" width="6.28515625" style="16" customWidth="1"/>
    <col min="1281" max="1281" width="18.28515625" style="16" customWidth="1"/>
    <col min="1282" max="1282" width="13.85546875" style="16" customWidth="1"/>
    <col min="1283" max="1283" width="6.28515625" style="16" customWidth="1"/>
    <col min="1284" max="1284" width="4.5703125" style="16" customWidth="1"/>
    <col min="1285" max="1533" width="11.42578125" style="16"/>
    <col min="1534" max="1534" width="11" style="16" customWidth="1"/>
    <col min="1535" max="1536" width="6.28515625" style="16" customWidth="1"/>
    <col min="1537" max="1537" width="18.28515625" style="16" customWidth="1"/>
    <col min="1538" max="1538" width="13.85546875" style="16" customWidth="1"/>
    <col min="1539" max="1539" width="6.28515625" style="16" customWidth="1"/>
    <col min="1540" max="1540" width="4.5703125" style="16" customWidth="1"/>
    <col min="1541" max="1789" width="11.42578125" style="16"/>
    <col min="1790" max="1790" width="11" style="16" customWidth="1"/>
    <col min="1791" max="1792" width="6.28515625" style="16" customWidth="1"/>
    <col min="1793" max="1793" width="18.28515625" style="16" customWidth="1"/>
    <col min="1794" max="1794" width="13.85546875" style="16" customWidth="1"/>
    <col min="1795" max="1795" width="6.28515625" style="16" customWidth="1"/>
    <col min="1796" max="1796" width="4.5703125" style="16" customWidth="1"/>
    <col min="1797" max="2045" width="11.42578125" style="16"/>
    <col min="2046" max="2046" width="11" style="16" customWidth="1"/>
    <col min="2047" max="2048" width="6.28515625" style="16" customWidth="1"/>
    <col min="2049" max="2049" width="18.28515625" style="16" customWidth="1"/>
    <col min="2050" max="2050" width="13.85546875" style="16" customWidth="1"/>
    <col min="2051" max="2051" width="6.28515625" style="16" customWidth="1"/>
    <col min="2052" max="2052" width="4.5703125" style="16" customWidth="1"/>
    <col min="2053" max="2301" width="11.42578125" style="16"/>
    <col min="2302" max="2302" width="11" style="16" customWidth="1"/>
    <col min="2303" max="2304" width="6.28515625" style="16" customWidth="1"/>
    <col min="2305" max="2305" width="18.28515625" style="16" customWidth="1"/>
    <col min="2306" max="2306" width="13.85546875" style="16" customWidth="1"/>
    <col min="2307" max="2307" width="6.28515625" style="16" customWidth="1"/>
    <col min="2308" max="2308" width="4.5703125" style="16" customWidth="1"/>
    <col min="2309" max="2557" width="11.42578125" style="16"/>
    <col min="2558" max="2558" width="11" style="16" customWidth="1"/>
    <col min="2559" max="2560" width="6.28515625" style="16" customWidth="1"/>
    <col min="2561" max="2561" width="18.28515625" style="16" customWidth="1"/>
    <col min="2562" max="2562" width="13.85546875" style="16" customWidth="1"/>
    <col min="2563" max="2563" width="6.28515625" style="16" customWidth="1"/>
    <col min="2564" max="2564" width="4.5703125" style="16" customWidth="1"/>
    <col min="2565" max="2813" width="11.42578125" style="16"/>
    <col min="2814" max="2814" width="11" style="16" customWidth="1"/>
    <col min="2815" max="2816" width="6.28515625" style="16" customWidth="1"/>
    <col min="2817" max="2817" width="18.28515625" style="16" customWidth="1"/>
    <col min="2818" max="2818" width="13.85546875" style="16" customWidth="1"/>
    <col min="2819" max="2819" width="6.28515625" style="16" customWidth="1"/>
    <col min="2820" max="2820" width="4.5703125" style="16" customWidth="1"/>
    <col min="2821" max="3069" width="11.42578125" style="16"/>
    <col min="3070" max="3070" width="11" style="16" customWidth="1"/>
    <col min="3071" max="3072" width="6.28515625" style="16" customWidth="1"/>
    <col min="3073" max="3073" width="18.28515625" style="16" customWidth="1"/>
    <col min="3074" max="3074" width="13.85546875" style="16" customWidth="1"/>
    <col min="3075" max="3075" width="6.28515625" style="16" customWidth="1"/>
    <col min="3076" max="3076" width="4.5703125" style="16" customWidth="1"/>
    <col min="3077" max="3325" width="11.42578125" style="16"/>
    <col min="3326" max="3326" width="11" style="16" customWidth="1"/>
    <col min="3327" max="3328" width="6.28515625" style="16" customWidth="1"/>
    <col min="3329" max="3329" width="18.28515625" style="16" customWidth="1"/>
    <col min="3330" max="3330" width="13.85546875" style="16" customWidth="1"/>
    <col min="3331" max="3331" width="6.28515625" style="16" customWidth="1"/>
    <col min="3332" max="3332" width="4.5703125" style="16" customWidth="1"/>
    <col min="3333" max="3581" width="11.42578125" style="16"/>
    <col min="3582" max="3582" width="11" style="16" customWidth="1"/>
    <col min="3583" max="3584" width="6.28515625" style="16" customWidth="1"/>
    <col min="3585" max="3585" width="18.28515625" style="16" customWidth="1"/>
    <col min="3586" max="3586" width="13.85546875" style="16" customWidth="1"/>
    <col min="3587" max="3587" width="6.28515625" style="16" customWidth="1"/>
    <col min="3588" max="3588" width="4.5703125" style="16" customWidth="1"/>
    <col min="3589" max="3837" width="11.42578125" style="16"/>
    <col min="3838" max="3838" width="11" style="16" customWidth="1"/>
    <col min="3839" max="3840" width="6.28515625" style="16" customWidth="1"/>
    <col min="3841" max="3841" width="18.28515625" style="16" customWidth="1"/>
    <col min="3842" max="3842" width="13.85546875" style="16" customWidth="1"/>
    <col min="3843" max="3843" width="6.28515625" style="16" customWidth="1"/>
    <col min="3844" max="3844" width="4.5703125" style="16" customWidth="1"/>
    <col min="3845" max="4093" width="11.42578125" style="16"/>
    <col min="4094" max="4094" width="11" style="16" customWidth="1"/>
    <col min="4095" max="4096" width="6.28515625" style="16" customWidth="1"/>
    <col min="4097" max="4097" width="18.28515625" style="16" customWidth="1"/>
    <col min="4098" max="4098" width="13.85546875" style="16" customWidth="1"/>
    <col min="4099" max="4099" width="6.28515625" style="16" customWidth="1"/>
    <col min="4100" max="4100" width="4.5703125" style="16" customWidth="1"/>
    <col min="4101" max="4349" width="11.42578125" style="16"/>
    <col min="4350" max="4350" width="11" style="16" customWidth="1"/>
    <col min="4351" max="4352" width="6.28515625" style="16" customWidth="1"/>
    <col min="4353" max="4353" width="18.28515625" style="16" customWidth="1"/>
    <col min="4354" max="4354" width="13.85546875" style="16" customWidth="1"/>
    <col min="4355" max="4355" width="6.28515625" style="16" customWidth="1"/>
    <col min="4356" max="4356" width="4.5703125" style="16" customWidth="1"/>
    <col min="4357" max="4605" width="11.42578125" style="16"/>
    <col min="4606" max="4606" width="11" style="16" customWidth="1"/>
    <col min="4607" max="4608" width="6.28515625" style="16" customWidth="1"/>
    <col min="4609" max="4609" width="18.28515625" style="16" customWidth="1"/>
    <col min="4610" max="4610" width="13.85546875" style="16" customWidth="1"/>
    <col min="4611" max="4611" width="6.28515625" style="16" customWidth="1"/>
    <col min="4612" max="4612" width="4.5703125" style="16" customWidth="1"/>
    <col min="4613" max="4861" width="11.42578125" style="16"/>
    <col min="4862" max="4862" width="11" style="16" customWidth="1"/>
    <col min="4863" max="4864" width="6.28515625" style="16" customWidth="1"/>
    <col min="4865" max="4865" width="18.28515625" style="16" customWidth="1"/>
    <col min="4866" max="4866" width="13.85546875" style="16" customWidth="1"/>
    <col min="4867" max="4867" width="6.28515625" style="16" customWidth="1"/>
    <col min="4868" max="4868" width="4.5703125" style="16" customWidth="1"/>
    <col min="4869" max="5117" width="11.42578125" style="16"/>
    <col min="5118" max="5118" width="11" style="16" customWidth="1"/>
    <col min="5119" max="5120" width="6.28515625" style="16" customWidth="1"/>
    <col min="5121" max="5121" width="18.28515625" style="16" customWidth="1"/>
    <col min="5122" max="5122" width="13.85546875" style="16" customWidth="1"/>
    <col min="5123" max="5123" width="6.28515625" style="16" customWidth="1"/>
    <col min="5124" max="5124" width="4.5703125" style="16" customWidth="1"/>
    <col min="5125" max="5373" width="11.42578125" style="16"/>
    <col min="5374" max="5374" width="11" style="16" customWidth="1"/>
    <col min="5375" max="5376" width="6.28515625" style="16" customWidth="1"/>
    <col min="5377" max="5377" width="18.28515625" style="16" customWidth="1"/>
    <col min="5378" max="5378" width="13.85546875" style="16" customWidth="1"/>
    <col min="5379" max="5379" width="6.28515625" style="16" customWidth="1"/>
    <col min="5380" max="5380" width="4.5703125" style="16" customWidth="1"/>
    <col min="5381" max="5629" width="11.42578125" style="16"/>
    <col min="5630" max="5630" width="11" style="16" customWidth="1"/>
    <col min="5631" max="5632" width="6.28515625" style="16" customWidth="1"/>
    <col min="5633" max="5633" width="18.28515625" style="16" customWidth="1"/>
    <col min="5634" max="5634" width="13.85546875" style="16" customWidth="1"/>
    <col min="5635" max="5635" width="6.28515625" style="16" customWidth="1"/>
    <col min="5636" max="5636" width="4.5703125" style="16" customWidth="1"/>
    <col min="5637" max="5885" width="11.42578125" style="16"/>
    <col min="5886" max="5886" width="11" style="16" customWidth="1"/>
    <col min="5887" max="5888" width="6.28515625" style="16" customWidth="1"/>
    <col min="5889" max="5889" width="18.28515625" style="16" customWidth="1"/>
    <col min="5890" max="5890" width="13.85546875" style="16" customWidth="1"/>
    <col min="5891" max="5891" width="6.28515625" style="16" customWidth="1"/>
    <col min="5892" max="5892" width="4.5703125" style="16" customWidth="1"/>
    <col min="5893" max="6141" width="11.42578125" style="16"/>
    <col min="6142" max="6142" width="11" style="16" customWidth="1"/>
    <col min="6143" max="6144" width="6.28515625" style="16" customWidth="1"/>
    <col min="6145" max="6145" width="18.28515625" style="16" customWidth="1"/>
    <col min="6146" max="6146" width="13.85546875" style="16" customWidth="1"/>
    <col min="6147" max="6147" width="6.28515625" style="16" customWidth="1"/>
    <col min="6148" max="6148" width="4.5703125" style="16" customWidth="1"/>
    <col min="6149" max="6397" width="11.42578125" style="16"/>
    <col min="6398" max="6398" width="11" style="16" customWidth="1"/>
    <col min="6399" max="6400" width="6.28515625" style="16" customWidth="1"/>
    <col min="6401" max="6401" width="18.28515625" style="16" customWidth="1"/>
    <col min="6402" max="6402" width="13.85546875" style="16" customWidth="1"/>
    <col min="6403" max="6403" width="6.28515625" style="16" customWidth="1"/>
    <col min="6404" max="6404" width="4.5703125" style="16" customWidth="1"/>
    <col min="6405" max="6653" width="11.42578125" style="16"/>
    <col min="6654" max="6654" width="11" style="16" customWidth="1"/>
    <col min="6655" max="6656" width="6.28515625" style="16" customWidth="1"/>
    <col min="6657" max="6657" width="18.28515625" style="16" customWidth="1"/>
    <col min="6658" max="6658" width="13.85546875" style="16" customWidth="1"/>
    <col min="6659" max="6659" width="6.28515625" style="16" customWidth="1"/>
    <col min="6660" max="6660" width="4.5703125" style="16" customWidth="1"/>
    <col min="6661" max="6909" width="11.42578125" style="16"/>
    <col min="6910" max="6910" width="11" style="16" customWidth="1"/>
    <col min="6911" max="6912" width="6.28515625" style="16" customWidth="1"/>
    <col min="6913" max="6913" width="18.28515625" style="16" customWidth="1"/>
    <col min="6914" max="6914" width="13.85546875" style="16" customWidth="1"/>
    <col min="6915" max="6915" width="6.28515625" style="16" customWidth="1"/>
    <col min="6916" max="6916" width="4.5703125" style="16" customWidth="1"/>
    <col min="6917" max="7165" width="11.42578125" style="16"/>
    <col min="7166" max="7166" width="11" style="16" customWidth="1"/>
    <col min="7167" max="7168" width="6.28515625" style="16" customWidth="1"/>
    <col min="7169" max="7169" width="18.28515625" style="16" customWidth="1"/>
    <col min="7170" max="7170" width="13.85546875" style="16" customWidth="1"/>
    <col min="7171" max="7171" width="6.28515625" style="16" customWidth="1"/>
    <col min="7172" max="7172" width="4.5703125" style="16" customWidth="1"/>
    <col min="7173" max="7421" width="11.42578125" style="16"/>
    <col min="7422" max="7422" width="11" style="16" customWidth="1"/>
    <col min="7423" max="7424" width="6.28515625" style="16" customWidth="1"/>
    <col min="7425" max="7425" width="18.28515625" style="16" customWidth="1"/>
    <col min="7426" max="7426" width="13.85546875" style="16" customWidth="1"/>
    <col min="7427" max="7427" width="6.28515625" style="16" customWidth="1"/>
    <col min="7428" max="7428" width="4.5703125" style="16" customWidth="1"/>
    <col min="7429" max="7677" width="11.42578125" style="16"/>
    <col min="7678" max="7678" width="11" style="16" customWidth="1"/>
    <col min="7679" max="7680" width="6.28515625" style="16" customWidth="1"/>
    <col min="7681" max="7681" width="18.28515625" style="16" customWidth="1"/>
    <col min="7682" max="7682" width="13.85546875" style="16" customWidth="1"/>
    <col min="7683" max="7683" width="6.28515625" style="16" customWidth="1"/>
    <col min="7684" max="7684" width="4.5703125" style="16" customWidth="1"/>
    <col min="7685" max="7933" width="11.42578125" style="16"/>
    <col min="7934" max="7934" width="11" style="16" customWidth="1"/>
    <col min="7935" max="7936" width="6.28515625" style="16" customWidth="1"/>
    <col min="7937" max="7937" width="18.28515625" style="16" customWidth="1"/>
    <col min="7938" max="7938" width="13.85546875" style="16" customWidth="1"/>
    <col min="7939" max="7939" width="6.28515625" style="16" customWidth="1"/>
    <col min="7940" max="7940" width="4.5703125" style="16" customWidth="1"/>
    <col min="7941" max="8189" width="11.42578125" style="16"/>
    <col min="8190" max="8190" width="11" style="16" customWidth="1"/>
    <col min="8191" max="8192" width="6.28515625" style="16" customWidth="1"/>
    <col min="8193" max="8193" width="18.28515625" style="16" customWidth="1"/>
    <col min="8194" max="8194" width="13.85546875" style="16" customWidth="1"/>
    <col min="8195" max="8195" width="6.28515625" style="16" customWidth="1"/>
    <col min="8196" max="8196" width="4.5703125" style="16" customWidth="1"/>
    <col min="8197" max="8445" width="11.42578125" style="16"/>
    <col min="8446" max="8446" width="11" style="16" customWidth="1"/>
    <col min="8447" max="8448" width="6.28515625" style="16" customWidth="1"/>
    <col min="8449" max="8449" width="18.28515625" style="16" customWidth="1"/>
    <col min="8450" max="8450" width="13.85546875" style="16" customWidth="1"/>
    <col min="8451" max="8451" width="6.28515625" style="16" customWidth="1"/>
    <col min="8452" max="8452" width="4.5703125" style="16" customWidth="1"/>
    <col min="8453" max="8701" width="11.42578125" style="16"/>
    <col min="8702" max="8702" width="11" style="16" customWidth="1"/>
    <col min="8703" max="8704" width="6.28515625" style="16" customWidth="1"/>
    <col min="8705" max="8705" width="18.28515625" style="16" customWidth="1"/>
    <col min="8706" max="8706" width="13.85546875" style="16" customWidth="1"/>
    <col min="8707" max="8707" width="6.28515625" style="16" customWidth="1"/>
    <col min="8708" max="8708" width="4.5703125" style="16" customWidth="1"/>
    <col min="8709" max="8957" width="11.42578125" style="16"/>
    <col min="8958" max="8958" width="11" style="16" customWidth="1"/>
    <col min="8959" max="8960" width="6.28515625" style="16" customWidth="1"/>
    <col min="8961" max="8961" width="18.28515625" style="16" customWidth="1"/>
    <col min="8962" max="8962" width="13.85546875" style="16" customWidth="1"/>
    <col min="8963" max="8963" width="6.28515625" style="16" customWidth="1"/>
    <col min="8964" max="8964" width="4.5703125" style="16" customWidth="1"/>
    <col min="8965" max="9213" width="11.42578125" style="16"/>
    <col min="9214" max="9214" width="11" style="16" customWidth="1"/>
    <col min="9215" max="9216" width="6.28515625" style="16" customWidth="1"/>
    <col min="9217" max="9217" width="18.28515625" style="16" customWidth="1"/>
    <col min="9218" max="9218" width="13.85546875" style="16" customWidth="1"/>
    <col min="9219" max="9219" width="6.28515625" style="16" customWidth="1"/>
    <col min="9220" max="9220" width="4.5703125" style="16" customWidth="1"/>
    <col min="9221" max="9469" width="11.42578125" style="16"/>
    <col min="9470" max="9470" width="11" style="16" customWidth="1"/>
    <col min="9471" max="9472" width="6.28515625" style="16" customWidth="1"/>
    <col min="9473" max="9473" width="18.28515625" style="16" customWidth="1"/>
    <col min="9474" max="9474" width="13.85546875" style="16" customWidth="1"/>
    <col min="9475" max="9475" width="6.28515625" style="16" customWidth="1"/>
    <col min="9476" max="9476" width="4.5703125" style="16" customWidth="1"/>
    <col min="9477" max="9725" width="11.42578125" style="16"/>
    <col min="9726" max="9726" width="11" style="16" customWidth="1"/>
    <col min="9727" max="9728" width="6.28515625" style="16" customWidth="1"/>
    <col min="9729" max="9729" width="18.28515625" style="16" customWidth="1"/>
    <col min="9730" max="9730" width="13.85546875" style="16" customWidth="1"/>
    <col min="9731" max="9731" width="6.28515625" style="16" customWidth="1"/>
    <col min="9732" max="9732" width="4.5703125" style="16" customWidth="1"/>
    <col min="9733" max="9981" width="11.42578125" style="16"/>
    <col min="9982" max="9982" width="11" style="16" customWidth="1"/>
    <col min="9983" max="9984" width="6.28515625" style="16" customWidth="1"/>
    <col min="9985" max="9985" width="18.28515625" style="16" customWidth="1"/>
    <col min="9986" max="9986" width="13.85546875" style="16" customWidth="1"/>
    <col min="9987" max="9987" width="6.28515625" style="16" customWidth="1"/>
    <col min="9988" max="9988" width="4.5703125" style="16" customWidth="1"/>
    <col min="9989" max="10237" width="11.42578125" style="16"/>
    <col min="10238" max="10238" width="11" style="16" customWidth="1"/>
    <col min="10239" max="10240" width="6.28515625" style="16" customWidth="1"/>
    <col min="10241" max="10241" width="18.28515625" style="16" customWidth="1"/>
    <col min="10242" max="10242" width="13.85546875" style="16" customWidth="1"/>
    <col min="10243" max="10243" width="6.28515625" style="16" customWidth="1"/>
    <col min="10244" max="10244" width="4.5703125" style="16" customWidth="1"/>
    <col min="10245" max="10493" width="11.42578125" style="16"/>
    <col min="10494" max="10494" width="11" style="16" customWidth="1"/>
    <col min="10495" max="10496" width="6.28515625" style="16" customWidth="1"/>
    <col min="10497" max="10497" width="18.28515625" style="16" customWidth="1"/>
    <col min="10498" max="10498" width="13.85546875" style="16" customWidth="1"/>
    <col min="10499" max="10499" width="6.28515625" style="16" customWidth="1"/>
    <col min="10500" max="10500" width="4.5703125" style="16" customWidth="1"/>
    <col min="10501" max="10749" width="11.42578125" style="16"/>
    <col min="10750" max="10750" width="11" style="16" customWidth="1"/>
    <col min="10751" max="10752" width="6.28515625" style="16" customWidth="1"/>
    <col min="10753" max="10753" width="18.28515625" style="16" customWidth="1"/>
    <col min="10754" max="10754" width="13.85546875" style="16" customWidth="1"/>
    <col min="10755" max="10755" width="6.28515625" style="16" customWidth="1"/>
    <col min="10756" max="10756" width="4.5703125" style="16" customWidth="1"/>
    <col min="10757" max="11005" width="11.42578125" style="16"/>
    <col min="11006" max="11006" width="11" style="16" customWidth="1"/>
    <col min="11007" max="11008" width="6.28515625" style="16" customWidth="1"/>
    <col min="11009" max="11009" width="18.28515625" style="16" customWidth="1"/>
    <col min="11010" max="11010" width="13.85546875" style="16" customWidth="1"/>
    <col min="11011" max="11011" width="6.28515625" style="16" customWidth="1"/>
    <col min="11012" max="11012" width="4.5703125" style="16" customWidth="1"/>
    <col min="11013" max="11261" width="11.42578125" style="16"/>
    <col min="11262" max="11262" width="11" style="16" customWidth="1"/>
    <col min="11263" max="11264" width="6.28515625" style="16" customWidth="1"/>
    <col min="11265" max="11265" width="18.28515625" style="16" customWidth="1"/>
    <col min="11266" max="11266" width="13.85546875" style="16" customWidth="1"/>
    <col min="11267" max="11267" width="6.28515625" style="16" customWidth="1"/>
    <col min="11268" max="11268" width="4.5703125" style="16" customWidth="1"/>
    <col min="11269" max="11517" width="11.42578125" style="16"/>
    <col min="11518" max="11518" width="11" style="16" customWidth="1"/>
    <col min="11519" max="11520" width="6.28515625" style="16" customWidth="1"/>
    <col min="11521" max="11521" width="18.28515625" style="16" customWidth="1"/>
    <col min="11522" max="11522" width="13.85546875" style="16" customWidth="1"/>
    <col min="11523" max="11523" width="6.28515625" style="16" customWidth="1"/>
    <col min="11524" max="11524" width="4.5703125" style="16" customWidth="1"/>
    <col min="11525" max="11773" width="11.42578125" style="16"/>
    <col min="11774" max="11774" width="11" style="16" customWidth="1"/>
    <col min="11775" max="11776" width="6.28515625" style="16" customWidth="1"/>
    <col min="11777" max="11777" width="18.28515625" style="16" customWidth="1"/>
    <col min="11778" max="11778" width="13.85546875" style="16" customWidth="1"/>
    <col min="11779" max="11779" width="6.28515625" style="16" customWidth="1"/>
    <col min="11780" max="11780" width="4.5703125" style="16" customWidth="1"/>
    <col min="11781" max="12029" width="11.42578125" style="16"/>
    <col min="12030" max="12030" width="11" style="16" customWidth="1"/>
    <col min="12031" max="12032" width="6.28515625" style="16" customWidth="1"/>
    <col min="12033" max="12033" width="18.28515625" style="16" customWidth="1"/>
    <col min="12034" max="12034" width="13.85546875" style="16" customWidth="1"/>
    <col min="12035" max="12035" width="6.28515625" style="16" customWidth="1"/>
    <col min="12036" max="12036" width="4.5703125" style="16" customWidth="1"/>
    <col min="12037" max="12285" width="11.42578125" style="16"/>
    <col min="12286" max="12286" width="11" style="16" customWidth="1"/>
    <col min="12287" max="12288" width="6.28515625" style="16" customWidth="1"/>
    <col min="12289" max="12289" width="18.28515625" style="16" customWidth="1"/>
    <col min="12290" max="12290" width="13.85546875" style="16" customWidth="1"/>
    <col min="12291" max="12291" width="6.28515625" style="16" customWidth="1"/>
    <col min="12292" max="12292" width="4.5703125" style="16" customWidth="1"/>
    <col min="12293" max="12541" width="11.42578125" style="16"/>
    <col min="12542" max="12542" width="11" style="16" customWidth="1"/>
    <col min="12543" max="12544" width="6.28515625" style="16" customWidth="1"/>
    <col min="12545" max="12545" width="18.28515625" style="16" customWidth="1"/>
    <col min="12546" max="12546" width="13.85546875" style="16" customWidth="1"/>
    <col min="12547" max="12547" width="6.28515625" style="16" customWidth="1"/>
    <col min="12548" max="12548" width="4.5703125" style="16" customWidth="1"/>
    <col min="12549" max="12797" width="11.42578125" style="16"/>
    <col min="12798" max="12798" width="11" style="16" customWidth="1"/>
    <col min="12799" max="12800" width="6.28515625" style="16" customWidth="1"/>
    <col min="12801" max="12801" width="18.28515625" style="16" customWidth="1"/>
    <col min="12802" max="12802" width="13.85546875" style="16" customWidth="1"/>
    <col min="12803" max="12803" width="6.28515625" style="16" customWidth="1"/>
    <col min="12804" max="12804" width="4.5703125" style="16" customWidth="1"/>
    <col min="12805" max="13053" width="11.42578125" style="16"/>
    <col min="13054" max="13054" width="11" style="16" customWidth="1"/>
    <col min="13055" max="13056" width="6.28515625" style="16" customWidth="1"/>
    <col min="13057" max="13057" width="18.28515625" style="16" customWidth="1"/>
    <col min="13058" max="13058" width="13.85546875" style="16" customWidth="1"/>
    <col min="13059" max="13059" width="6.28515625" style="16" customWidth="1"/>
    <col min="13060" max="13060" width="4.5703125" style="16" customWidth="1"/>
    <col min="13061" max="13309" width="11.42578125" style="16"/>
    <col min="13310" max="13310" width="11" style="16" customWidth="1"/>
    <col min="13311" max="13312" width="6.28515625" style="16" customWidth="1"/>
    <col min="13313" max="13313" width="18.28515625" style="16" customWidth="1"/>
    <col min="13314" max="13314" width="13.85546875" style="16" customWidth="1"/>
    <col min="13315" max="13315" width="6.28515625" style="16" customWidth="1"/>
    <col min="13316" max="13316" width="4.5703125" style="16" customWidth="1"/>
    <col min="13317" max="13565" width="11.42578125" style="16"/>
    <col min="13566" max="13566" width="11" style="16" customWidth="1"/>
    <col min="13567" max="13568" width="6.28515625" style="16" customWidth="1"/>
    <col min="13569" max="13569" width="18.28515625" style="16" customWidth="1"/>
    <col min="13570" max="13570" width="13.85546875" style="16" customWidth="1"/>
    <col min="13571" max="13571" width="6.28515625" style="16" customWidth="1"/>
    <col min="13572" max="13572" width="4.5703125" style="16" customWidth="1"/>
    <col min="13573" max="13821" width="11.42578125" style="16"/>
    <col min="13822" max="13822" width="11" style="16" customWidth="1"/>
    <col min="13823" max="13824" width="6.28515625" style="16" customWidth="1"/>
    <col min="13825" max="13825" width="18.28515625" style="16" customWidth="1"/>
    <col min="13826" max="13826" width="13.85546875" style="16" customWidth="1"/>
    <col min="13827" max="13827" width="6.28515625" style="16" customWidth="1"/>
    <col min="13828" max="13828" width="4.5703125" style="16" customWidth="1"/>
    <col min="13829" max="14077" width="11.42578125" style="16"/>
    <col min="14078" max="14078" width="11" style="16" customWidth="1"/>
    <col min="14079" max="14080" width="6.28515625" style="16" customWidth="1"/>
    <col min="14081" max="14081" width="18.28515625" style="16" customWidth="1"/>
    <col min="14082" max="14082" width="13.85546875" style="16" customWidth="1"/>
    <col min="14083" max="14083" width="6.28515625" style="16" customWidth="1"/>
    <col min="14084" max="14084" width="4.5703125" style="16" customWidth="1"/>
    <col min="14085" max="14333" width="11.42578125" style="16"/>
    <col min="14334" max="14334" width="11" style="16" customWidth="1"/>
    <col min="14335" max="14336" width="6.28515625" style="16" customWidth="1"/>
    <col min="14337" max="14337" width="18.28515625" style="16" customWidth="1"/>
    <col min="14338" max="14338" width="13.85546875" style="16" customWidth="1"/>
    <col min="14339" max="14339" width="6.28515625" style="16" customWidth="1"/>
    <col min="14340" max="14340" width="4.5703125" style="16" customWidth="1"/>
    <col min="14341" max="14589" width="11.42578125" style="16"/>
    <col min="14590" max="14590" width="11" style="16" customWidth="1"/>
    <col min="14591" max="14592" width="6.28515625" style="16" customWidth="1"/>
    <col min="14593" max="14593" width="18.28515625" style="16" customWidth="1"/>
    <col min="14594" max="14594" width="13.85546875" style="16" customWidth="1"/>
    <col min="14595" max="14595" width="6.28515625" style="16" customWidth="1"/>
    <col min="14596" max="14596" width="4.5703125" style="16" customWidth="1"/>
    <col min="14597" max="14845" width="11.42578125" style="16"/>
    <col min="14846" max="14846" width="11" style="16" customWidth="1"/>
    <col min="14847" max="14848" width="6.28515625" style="16" customWidth="1"/>
    <col min="14849" max="14849" width="18.28515625" style="16" customWidth="1"/>
    <col min="14850" max="14850" width="13.85546875" style="16" customWidth="1"/>
    <col min="14851" max="14851" width="6.28515625" style="16" customWidth="1"/>
    <col min="14852" max="14852" width="4.5703125" style="16" customWidth="1"/>
    <col min="14853" max="15101" width="11.42578125" style="16"/>
    <col min="15102" max="15102" width="11" style="16" customWidth="1"/>
    <col min="15103" max="15104" width="6.28515625" style="16" customWidth="1"/>
    <col min="15105" max="15105" width="18.28515625" style="16" customWidth="1"/>
    <col min="15106" max="15106" width="13.85546875" style="16" customWidth="1"/>
    <col min="15107" max="15107" width="6.28515625" style="16" customWidth="1"/>
    <col min="15108" max="15108" width="4.5703125" style="16" customWidth="1"/>
    <col min="15109" max="15357" width="11.42578125" style="16"/>
    <col min="15358" max="15358" width="11" style="16" customWidth="1"/>
    <col min="15359" max="15360" width="6.28515625" style="16" customWidth="1"/>
    <col min="15361" max="15361" width="18.28515625" style="16" customWidth="1"/>
    <col min="15362" max="15362" width="13.85546875" style="16" customWidth="1"/>
    <col min="15363" max="15363" width="6.28515625" style="16" customWidth="1"/>
    <col min="15364" max="15364" width="4.5703125" style="16" customWidth="1"/>
    <col min="15365" max="15613" width="11.42578125" style="16"/>
    <col min="15614" max="15614" width="11" style="16" customWidth="1"/>
    <col min="15615" max="15616" width="6.28515625" style="16" customWidth="1"/>
    <col min="15617" max="15617" width="18.28515625" style="16" customWidth="1"/>
    <col min="15618" max="15618" width="13.85546875" style="16" customWidth="1"/>
    <col min="15619" max="15619" width="6.28515625" style="16" customWidth="1"/>
    <col min="15620" max="15620" width="4.5703125" style="16" customWidth="1"/>
    <col min="15621" max="15869" width="11.42578125" style="16"/>
    <col min="15870" max="15870" width="11" style="16" customWidth="1"/>
    <col min="15871" max="15872" width="6.28515625" style="16" customWidth="1"/>
    <col min="15873" max="15873" width="18.28515625" style="16" customWidth="1"/>
    <col min="15874" max="15874" width="13.85546875" style="16" customWidth="1"/>
    <col min="15875" max="15875" width="6.28515625" style="16" customWidth="1"/>
    <col min="15876" max="15876" width="4.5703125" style="16" customWidth="1"/>
    <col min="15877" max="16125" width="11.42578125" style="16"/>
    <col min="16126" max="16126" width="11" style="16" customWidth="1"/>
    <col min="16127" max="16128" width="6.28515625" style="16" customWidth="1"/>
    <col min="16129" max="16129" width="18.28515625" style="16" customWidth="1"/>
    <col min="16130" max="16130" width="13.85546875" style="16" customWidth="1"/>
    <col min="16131" max="16131" width="6.28515625" style="16" customWidth="1"/>
    <col min="16132" max="16132" width="4.5703125" style="16" customWidth="1"/>
    <col min="16133"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+Février!DP4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+Février!AR13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+Février!AI3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+Février!I14</f>
        <v>0</v>
      </c>
      <c r="F10" s="149"/>
      <c r="G10" s="149"/>
      <c r="H10" s="149"/>
      <c r="I10" s="149"/>
      <c r="J10" s="149"/>
      <c r="K10" s="149"/>
      <c r="L10" s="149"/>
      <c r="P10" s="29" t="s">
        <v>1441</v>
      </c>
      <c r="Q10" s="338">
        <f>+Février!P18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+Février!T18+Février!T19</f>
        <v>0</v>
      </c>
      <c r="BI10" s="29" t="s">
        <v>1449</v>
      </c>
      <c r="BJ10" s="338">
        <f>+Février!AL14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+Février!U14</f>
        <v>0</v>
      </c>
      <c r="F11" s="149"/>
      <c r="G11" s="149"/>
      <c r="H11" s="149"/>
      <c r="I11" s="149"/>
      <c r="J11" s="149"/>
      <c r="K11" s="149"/>
      <c r="L11" s="149"/>
      <c r="M11" s="1179"/>
      <c r="N11" s="181"/>
      <c r="O11" s="1180"/>
      <c r="P11" s="181" t="s">
        <v>1104</v>
      </c>
      <c r="Q11" s="1181">
        <f>+Février!P19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+BJ10*(1+Février!N15)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+Février!X3</f>
        <v>46054</v>
      </c>
      <c r="M13" s="152"/>
      <c r="N13" s="153">
        <f>DATE(YEAR($D$13),MONTH($D$13)+1,DAY($D$13))</f>
        <v>46082</v>
      </c>
      <c r="O13" s="154">
        <f>N13</f>
        <v>46082</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46054</v>
      </c>
      <c r="BF13" s="152"/>
      <c r="BG13" s="153">
        <f>DATE(YEAR($D$13),MONTH($D$13)+1,DAY($D$13))</f>
        <v>46082</v>
      </c>
      <c r="BH13" s="154">
        <f>BG13</f>
        <v>46082</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46082</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F16" s="16" t="s">
        <v>1259</v>
      </c>
      <c r="EM16" s="825"/>
      <c r="EN16" s="825"/>
    </row>
    <row r="17" spans="1:147" ht="18" customHeight="1" thickBot="1" x14ac:dyDescent="0.25">
      <c r="A17" s="24" t="s">
        <v>248</v>
      </c>
      <c r="B17" s="2559">
        <f>+$D$13</f>
        <v>46054</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46054</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46054</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+Février!BJ20</f>
        <v>Fiche infoA7</v>
      </c>
      <c r="B18" s="168">
        <f>+D13</f>
        <v>46054</v>
      </c>
      <c r="C18" s="169">
        <f>+$D$13</f>
        <v>46054</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Février!BC20</f>
        <v>0</v>
      </c>
      <c r="J18" s="34">
        <f>Février!BE20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infoA7</v>
      </c>
      <c r="BB18" s="168">
        <f>+BD13</f>
        <v>46054</v>
      </c>
      <c r="BC18" s="169">
        <f>+$D$13</f>
        <v>46054</v>
      </c>
      <c r="BD18" s="171" t="str">
        <f>+D18</f>
        <v/>
      </c>
      <c r="BE18" s="335" t="str">
        <f>+IF(OR(BF18=S.CAL!$BJ$3,BF18=S.CAL!$BJ$4),BD18,"")</f>
        <v/>
      </c>
      <c r="BF18" s="332">
        <f>IF($DY$5=S.CAL!$CU$2,Février!AR20,IF($DY$5=S.CAL!$CU$3,VLOOKUP(BC18,planning_fp,7,FALSE),""))</f>
        <v>0</v>
      </c>
      <c r="BG18" s="344" t="str">
        <f>Février!BL20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46054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IF(+Février!AG20="",0,Février!AG20)</f>
        <v>0</v>
      </c>
      <c r="DZ18" s="16">
        <f>+IF(Février!AJ20="",0,Février!AJ20)</f>
        <v>0</v>
      </c>
      <c r="EA18" s="16">
        <f>+IF(Février!AM20="",0,Février!AM20)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46054</v>
      </c>
      <c r="EM18" s="16" t="str">
        <f>A18&amp;C18</f>
        <v>Fiche infoA746054</v>
      </c>
      <c r="EN18" s="16">
        <f t="shared" ref="EN18:EN48" si="20">+VLOOKUP(EM18,Base_feuille_présence_heure_potentiel,11,FALSE)</f>
        <v>0</v>
      </c>
      <c r="EQ18" s="16" t="str">
        <f>Février!FS20</f>
        <v/>
      </c>
    </row>
    <row r="19" spans="1:147" ht="18" customHeight="1" x14ac:dyDescent="0.2">
      <c r="A19" s="24" t="str">
        <f>+Février!BJ21</f>
        <v>Fiche infoA1</v>
      </c>
      <c r="B19" s="107">
        <f>C19</f>
        <v>46055</v>
      </c>
      <c r="C19" s="170">
        <f>+$D$13+1</f>
        <v>46055</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Février!BC21</f>
        <v>0</v>
      </c>
      <c r="J19" s="34">
        <f>Février!BE21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infoA1</v>
      </c>
      <c r="BB19" s="107">
        <f>BC19</f>
        <v>46055</v>
      </c>
      <c r="BC19" s="170">
        <f>+$D$13+1</f>
        <v>46055</v>
      </c>
      <c r="BD19" s="171" t="str">
        <f>+D19</f>
        <v/>
      </c>
      <c r="BE19" s="171" t="str">
        <f>+IF(OR(BF19=S.CAL!$BJ$3,BF19=S.CAL!$BJ$4),BD19,"")</f>
        <v/>
      </c>
      <c r="BF19" s="333">
        <f>IF($DY$5=S.CAL!$CU$2,Février!AR21,IF($DY$5=S.CAL!$CU$3,VLOOKUP(BC19,planning_fp,7,FALSE),""))</f>
        <v>0</v>
      </c>
      <c r="BG19" s="345" t="str">
        <f>Février!BL21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46055</v>
      </c>
      <c r="CF19" s="170">
        <f>+$D$13+1</f>
        <v>46055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IF(+Février!AG21="",0,Février!AG21)</f>
        <v>0</v>
      </c>
      <c r="DZ19" s="16">
        <f>+IF(Février!AJ21="",0,Février!AJ21)</f>
        <v>0</v>
      </c>
      <c r="EA19" s="16">
        <f>+IF(Février!AM21="",0,Février!AM21)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46055</v>
      </c>
      <c r="EM19" s="16" t="str">
        <f t="shared" ref="EM19:EM48" si="29">A19&amp;C19</f>
        <v>Fiche infoA146055</v>
      </c>
      <c r="EN19" s="16">
        <f t="shared" si="20"/>
        <v>0</v>
      </c>
      <c r="EQ19" s="16" t="str">
        <f>Février!FS21</f>
        <v/>
      </c>
    </row>
    <row r="20" spans="1:147" ht="18" customHeight="1" x14ac:dyDescent="0.2">
      <c r="A20" s="24" t="str">
        <f>+Février!BJ22</f>
        <v>Fiche infoA2</v>
      </c>
      <c r="B20" s="107">
        <f t="shared" ref="B20:B48" si="30">C20</f>
        <v>46056</v>
      </c>
      <c r="C20" s="170">
        <f>+$D$13+2</f>
        <v>46056</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Février!BC22</f>
        <v>0</v>
      </c>
      <c r="J20" s="34">
        <f>Février!BE22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infoA2</v>
      </c>
      <c r="BB20" s="107">
        <f t="shared" ref="BB20:BB48" si="31">BC20</f>
        <v>46056</v>
      </c>
      <c r="BC20" s="170">
        <f>+$D$13+2</f>
        <v>46056</v>
      </c>
      <c r="BD20" s="171" t="str">
        <f t="shared" ref="BD20:BD48" si="32">+D20</f>
        <v/>
      </c>
      <c r="BE20" s="171" t="str">
        <f>+IF(OR(BF20=S.CAL!$BJ$3,BF20=S.CAL!$BJ$4),BD20,"")</f>
        <v/>
      </c>
      <c r="BF20" s="333">
        <f>IF($DY$5=S.CAL!$CU$2,Février!AR22,IF($DY$5=S.CAL!$CU$3,VLOOKUP(BC20,planning_fp,7,FALSE),""))</f>
        <v>0</v>
      </c>
      <c r="BG20" s="345" t="str">
        <f>Février!BL22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46056</v>
      </c>
      <c r="CF20" s="170">
        <f>+$D$13+2</f>
        <v>46056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IF(+Février!AG22="",0,Février!AG22)</f>
        <v>0</v>
      </c>
      <c r="DZ20" s="16">
        <f>+IF(Février!AJ22="",0,Février!AJ22)</f>
        <v>0</v>
      </c>
      <c r="EA20" s="16">
        <f>+IF(Février!AM22="",0,Février!AM22)</f>
        <v>0</v>
      </c>
      <c r="EB20" s="16">
        <f t="shared" si="25"/>
        <v>0</v>
      </c>
      <c r="ED20" s="16">
        <f t="shared" si="26"/>
        <v>0</v>
      </c>
      <c r="EE20" s="16">
        <f t="shared" si="17"/>
        <v>0</v>
      </c>
      <c r="EF20" s="30" t="str">
        <f t="shared" si="18"/>
        <v/>
      </c>
      <c r="EG20" s="30" t="str">
        <f t="shared" si="27"/>
        <v/>
      </c>
      <c r="EH20" s="16">
        <f t="shared" si="28"/>
        <v>0</v>
      </c>
      <c r="EI20" s="30"/>
      <c r="EJ20" s="30">
        <f t="shared" si="19"/>
        <v>46056</v>
      </c>
      <c r="EM20" s="16" t="str">
        <f t="shared" si="29"/>
        <v>Fiche infoA246056</v>
      </c>
      <c r="EN20" s="16">
        <f t="shared" si="20"/>
        <v>0</v>
      </c>
      <c r="EQ20" s="16" t="str">
        <f>Février!FS22</f>
        <v/>
      </c>
    </row>
    <row r="21" spans="1:147" ht="18" customHeight="1" x14ac:dyDescent="0.2">
      <c r="A21" s="24" t="str">
        <f>+Février!BJ23</f>
        <v>Fiche infoA3</v>
      </c>
      <c r="B21" s="107">
        <f t="shared" si="30"/>
        <v>46057</v>
      </c>
      <c r="C21" s="170">
        <f>+$D$13+3</f>
        <v>46057</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Février!BC23</f>
        <v>0</v>
      </c>
      <c r="J21" s="34">
        <f>Février!BE23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infoA3</v>
      </c>
      <c r="BB21" s="107">
        <f t="shared" si="31"/>
        <v>46057</v>
      </c>
      <c r="BC21" s="170">
        <f>+$D$13+3</f>
        <v>46057</v>
      </c>
      <c r="BD21" s="171" t="str">
        <f t="shared" si="32"/>
        <v/>
      </c>
      <c r="BE21" s="171" t="str">
        <f>+IF(OR(BF21=S.CAL!$BJ$3,BF21=S.CAL!$BJ$4),BD21,"")</f>
        <v/>
      </c>
      <c r="BF21" s="333">
        <f>IF($DY$5=S.CAL!$CU$2,Février!AR23,IF($DY$5=S.CAL!$CU$3,VLOOKUP(BC21,planning_fp,7,FALSE),""))</f>
        <v>0</v>
      </c>
      <c r="BG21" s="345" t="str">
        <f>Février!BL23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46057</v>
      </c>
      <c r="CF21" s="170">
        <f>+$D$13+3</f>
        <v>46057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IF(+Février!AG23="",0,Février!AG23)</f>
        <v>0</v>
      </c>
      <c r="DZ21" s="16">
        <f>+IF(Février!AJ23="",0,Février!AJ23)</f>
        <v>0</v>
      </c>
      <c r="EA21" s="16">
        <f>+IF(Février!AM23="",0,Février!AM23)</f>
        <v>0</v>
      </c>
      <c r="EB21" s="16">
        <f t="shared" si="25"/>
        <v>0</v>
      </c>
      <c r="ED21" s="16">
        <f t="shared" si="26"/>
        <v>0</v>
      </c>
      <c r="EE21" s="16">
        <f t="shared" si="17"/>
        <v>0</v>
      </c>
      <c r="EF21" s="30" t="str">
        <f t="shared" si="18"/>
        <v/>
      </c>
      <c r="EG21" s="30" t="str">
        <f t="shared" si="27"/>
        <v/>
      </c>
      <c r="EH21" s="16">
        <f t="shared" si="28"/>
        <v>0</v>
      </c>
      <c r="EI21" s="30"/>
      <c r="EJ21" s="30">
        <f t="shared" si="19"/>
        <v>46057</v>
      </c>
      <c r="EM21" s="16" t="str">
        <f t="shared" si="29"/>
        <v>Fiche infoA346057</v>
      </c>
      <c r="EN21" s="16">
        <f t="shared" si="20"/>
        <v>0</v>
      </c>
      <c r="EQ21" s="16" t="str">
        <f>Février!FS23</f>
        <v/>
      </c>
    </row>
    <row r="22" spans="1:147" ht="18" customHeight="1" x14ac:dyDescent="0.25">
      <c r="A22" s="24" t="str">
        <f>+Février!BJ24</f>
        <v>Fiche infoA4</v>
      </c>
      <c r="B22" s="107">
        <f t="shared" si="30"/>
        <v>46058</v>
      </c>
      <c r="C22" s="170">
        <f>+$D$13+4</f>
        <v>46058</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Février!BC24</f>
        <v>0</v>
      </c>
      <c r="J22" s="34">
        <f>Février!BE24</f>
        <v>0</v>
      </c>
      <c r="K22" s="34">
        <f t="shared" si="15"/>
        <v>0</v>
      </c>
      <c r="L22" s="34" t="str">
        <f t="shared" si="21"/>
        <v/>
      </c>
      <c r="O22" s="19"/>
      <c r="AK22" s="1189" t="s">
        <v>37</v>
      </c>
      <c r="AL22" s="1318">
        <f>+Février!AL14</f>
        <v>0</v>
      </c>
      <c r="BA22" s="331" t="str">
        <f t="shared" si="16"/>
        <v>Fiche infoA4</v>
      </c>
      <c r="BB22" s="107">
        <f t="shared" si="31"/>
        <v>46058</v>
      </c>
      <c r="BC22" s="170">
        <f>+$D$13+4</f>
        <v>46058</v>
      </c>
      <c r="BD22" s="171" t="str">
        <f t="shared" si="32"/>
        <v/>
      </c>
      <c r="BE22" s="171" t="str">
        <f>+IF(OR(BF22=S.CAL!$BJ$3,BF22=S.CAL!$BJ$4),BD22,"")</f>
        <v/>
      </c>
      <c r="BF22" s="333">
        <f>IF($DY$5=S.CAL!$CU$2,Février!AR24,IF($DY$5=S.CAL!$CU$3,VLOOKUP(BC22,planning_fp,7,FALSE),""))</f>
        <v>0</v>
      </c>
      <c r="BG22" s="345" t="str">
        <f>Février!BL24</f>
        <v>A</v>
      </c>
      <c r="BH22" s="148"/>
      <c r="BL22" s="144"/>
      <c r="BM22" s="195"/>
      <c r="CD22" s="328"/>
      <c r="CE22" s="107">
        <f t="shared" si="33"/>
        <v>46058</v>
      </c>
      <c r="CF22" s="170">
        <f>+$D$13+4</f>
        <v>46058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IF(+Février!AG24="",0,Février!AG24)</f>
        <v>0</v>
      </c>
      <c r="DZ22" s="16">
        <f>+IF(Février!AJ24="",0,Février!AJ24)</f>
        <v>0</v>
      </c>
      <c r="EA22" s="16">
        <f>+IF(Février!AM24="",0,Février!AM24)</f>
        <v>0</v>
      </c>
      <c r="EB22" s="16">
        <f t="shared" si="25"/>
        <v>0</v>
      </c>
      <c r="ED22" s="16">
        <f t="shared" si="26"/>
        <v>0</v>
      </c>
      <c r="EE22" s="16">
        <f t="shared" si="17"/>
        <v>0</v>
      </c>
      <c r="EF22" s="30" t="str">
        <f t="shared" si="18"/>
        <v/>
      </c>
      <c r="EG22" s="30" t="str">
        <f t="shared" si="27"/>
        <v/>
      </c>
      <c r="EH22" s="16">
        <f t="shared" si="28"/>
        <v>0</v>
      </c>
      <c r="EI22" s="30"/>
      <c r="EJ22" s="30">
        <f t="shared" si="19"/>
        <v>46058</v>
      </c>
      <c r="EM22" s="16" t="str">
        <f t="shared" si="29"/>
        <v>Fiche infoA446058</v>
      </c>
      <c r="EN22" s="16">
        <f t="shared" si="20"/>
        <v>0</v>
      </c>
      <c r="EQ22" s="16" t="str">
        <f>Février!FS24</f>
        <v/>
      </c>
    </row>
    <row r="23" spans="1:147" ht="18" customHeight="1" x14ac:dyDescent="0.2">
      <c r="A23" s="24" t="str">
        <f>+Février!BJ25</f>
        <v>Fiche infoA5</v>
      </c>
      <c r="B23" s="107">
        <f t="shared" si="30"/>
        <v>46059</v>
      </c>
      <c r="C23" s="170">
        <f>+$D$13+5</f>
        <v>46059</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Février!BC25</f>
        <v>0</v>
      </c>
      <c r="J23" s="34">
        <f>Février!BE25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46059</v>
      </c>
      <c r="BC23" s="170">
        <f>+$D$13+5</f>
        <v>46059</v>
      </c>
      <c r="BD23" s="171" t="str">
        <f t="shared" si="32"/>
        <v/>
      </c>
      <c r="BE23" s="171" t="str">
        <f>+IF(OR(BF23=S.CAL!$BJ$3,BF23=S.CAL!$BJ$4),BD23,"")</f>
        <v/>
      </c>
      <c r="BF23" s="333">
        <f>IF($DY$5=S.CAL!$CU$2,Février!AR25,IF($DY$5=S.CAL!$CU$3,VLOOKUP(BC23,planning_fp,7,FALSE),""))</f>
        <v>0</v>
      </c>
      <c r="BG23" s="345" t="str">
        <f>Février!BL25</f>
        <v>A</v>
      </c>
      <c r="BH23" s="29"/>
      <c r="BI23" s="336"/>
      <c r="BL23" s="147"/>
      <c r="CD23" s="328"/>
      <c r="CE23" s="107">
        <f t="shared" si="33"/>
        <v>46059</v>
      </c>
      <c r="CF23" s="170">
        <f>+$D$13+5</f>
        <v>46059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IF(+Février!AG25="",0,Février!AG25)</f>
        <v>0</v>
      </c>
      <c r="DZ23" s="16">
        <f>+IF(Février!AJ25="",0,Février!AJ25)</f>
        <v>0</v>
      </c>
      <c r="EA23" s="16">
        <f>+IF(Février!AM25="",0,Février!AM25)</f>
        <v>0</v>
      </c>
      <c r="EB23" s="16">
        <f t="shared" si="25"/>
        <v>0</v>
      </c>
      <c r="ED23" s="16">
        <f t="shared" si="26"/>
        <v>0</v>
      </c>
      <c r="EE23" s="16">
        <f t="shared" si="17"/>
        <v>0</v>
      </c>
      <c r="EF23" s="30" t="str">
        <f t="shared" si="18"/>
        <v/>
      </c>
      <c r="EG23" s="30" t="str">
        <f t="shared" si="27"/>
        <v/>
      </c>
      <c r="EH23" s="16">
        <f t="shared" si="28"/>
        <v>0</v>
      </c>
      <c r="EI23" s="30"/>
      <c r="EJ23" s="30">
        <f t="shared" si="19"/>
        <v>46059</v>
      </c>
      <c r="EM23" s="16" t="str">
        <f t="shared" si="29"/>
        <v>Fiche infoA546059</v>
      </c>
      <c r="EN23" s="16">
        <f t="shared" si="20"/>
        <v>0</v>
      </c>
      <c r="EQ23" s="16" t="str">
        <f>Février!FS25</f>
        <v/>
      </c>
    </row>
    <row r="24" spans="1:147" ht="18" customHeight="1" x14ac:dyDescent="0.2">
      <c r="A24" s="24" t="str">
        <f>+Février!BJ26</f>
        <v>Fiche infoA6</v>
      </c>
      <c r="B24" s="107">
        <f t="shared" si="30"/>
        <v>46060</v>
      </c>
      <c r="C24" s="170">
        <f>+$D$13+6</f>
        <v>46060</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Février!BC26</f>
        <v>0</v>
      </c>
      <c r="J24" s="34">
        <f>Février!BE26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infoA6</v>
      </c>
      <c r="BB24" s="107">
        <f t="shared" si="31"/>
        <v>46060</v>
      </c>
      <c r="BC24" s="170">
        <f>+$D$13+6</f>
        <v>46060</v>
      </c>
      <c r="BD24" s="171" t="str">
        <f t="shared" si="32"/>
        <v/>
      </c>
      <c r="BE24" s="171" t="str">
        <f>+IF(OR(BF24=S.CAL!$BJ$3,BF24=S.CAL!$BJ$4),BD24,"")</f>
        <v/>
      </c>
      <c r="BF24" s="333">
        <f>IF($DY$5=S.CAL!$CU$2,Février!AR26,IF($DY$5=S.CAL!$CU$3,VLOOKUP(BC24,planning_fp,7,FALSE),""))</f>
        <v>0</v>
      </c>
      <c r="BG24" s="345" t="str">
        <f>Février!BL26</f>
        <v>A</v>
      </c>
      <c r="BL24" s="35"/>
      <c r="BM24" s="195"/>
      <c r="BO24" s="29"/>
      <c r="BP24" s="182"/>
      <c r="BR24" s="16" t="s">
        <v>746</v>
      </c>
      <c r="BV24" s="355"/>
      <c r="BW24" s="355"/>
      <c r="BX24" s="355"/>
      <c r="BY24" s="355" t="s">
        <v>696</v>
      </c>
      <c r="BZ24" s="355"/>
      <c r="CA24" s="355"/>
      <c r="CB24" s="355"/>
      <c r="CD24" s="328"/>
      <c r="CE24" s="107">
        <f t="shared" si="33"/>
        <v>46060</v>
      </c>
      <c r="CF24" s="170">
        <f>+$D$13+6</f>
        <v>46060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IF(+Février!AG26="",0,Février!AG26)</f>
        <v>0</v>
      </c>
      <c r="DZ24" s="16">
        <f>+IF(Février!AJ26="",0,Février!AJ26)</f>
        <v>0</v>
      </c>
      <c r="EA24" s="16">
        <f>+IF(Février!AM26="",0,Février!AM26)</f>
        <v>0</v>
      </c>
      <c r="EB24" s="16">
        <f t="shared" si="25"/>
        <v>0</v>
      </c>
      <c r="ED24" s="16">
        <f t="shared" si="26"/>
        <v>0</v>
      </c>
      <c r="EE24" s="16">
        <f t="shared" si="17"/>
        <v>0</v>
      </c>
      <c r="EF24" s="30" t="str">
        <f t="shared" si="18"/>
        <v/>
      </c>
      <c r="EG24" s="30" t="str">
        <f t="shared" si="27"/>
        <v/>
      </c>
      <c r="EH24" s="16">
        <f t="shared" si="28"/>
        <v>0</v>
      </c>
      <c r="EI24" s="30"/>
      <c r="EJ24" s="30">
        <f t="shared" si="19"/>
        <v>46060</v>
      </c>
      <c r="EM24" s="16" t="str">
        <f t="shared" si="29"/>
        <v>Fiche infoA646060</v>
      </c>
      <c r="EN24" s="16">
        <f t="shared" si="20"/>
        <v>0</v>
      </c>
      <c r="EQ24" s="16" t="str">
        <f>Février!FS26</f>
        <v/>
      </c>
    </row>
    <row r="25" spans="1:147" ht="18" customHeight="1" x14ac:dyDescent="0.2">
      <c r="A25" s="24" t="str">
        <f>+Février!BJ27</f>
        <v>Fiche infoA7</v>
      </c>
      <c r="B25" s="107">
        <f t="shared" si="30"/>
        <v>46061</v>
      </c>
      <c r="C25" s="170">
        <f>+$D$13+7</f>
        <v>46061</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Février!BC27</f>
        <v>0</v>
      </c>
      <c r="J25" s="34">
        <f>Février!BE27</f>
        <v>0</v>
      </c>
      <c r="K25" s="34">
        <f t="shared" si="15"/>
        <v>0</v>
      </c>
      <c r="L25" s="34" t="str">
        <f t="shared" si="21"/>
        <v/>
      </c>
      <c r="AK25" s="1189" t="s">
        <v>320</v>
      </c>
      <c r="AL25" s="1313">
        <f>+IF(AL22,AL24/AL22,0)</f>
        <v>0</v>
      </c>
      <c r="BA25" s="331" t="str">
        <f t="shared" si="16"/>
        <v>Fiche infoA7</v>
      </c>
      <c r="BB25" s="107">
        <f t="shared" si="31"/>
        <v>46061</v>
      </c>
      <c r="BC25" s="170">
        <f>+$D$13+7</f>
        <v>46061</v>
      </c>
      <c r="BD25" s="171" t="str">
        <f t="shared" si="32"/>
        <v/>
      </c>
      <c r="BE25" s="171" t="str">
        <f>+IF(OR(BF25=S.CAL!$BJ$3,BF25=S.CAL!$BJ$4),BD25,"")</f>
        <v/>
      </c>
      <c r="BF25" s="333">
        <f>IF($DY$5=S.CAL!$CU$2,Février!AR27,IF($DY$5=S.CAL!$CU$3,VLOOKUP(BC25,planning_fp,7,FALSE),""))</f>
        <v>0</v>
      </c>
      <c r="BG25" s="345" t="str">
        <f>Février!BL27</f>
        <v>A</v>
      </c>
      <c r="BH25" s="148"/>
      <c r="BL25" s="35"/>
      <c r="BO25" s="29"/>
      <c r="BP25" s="182"/>
      <c r="BV25" s="355"/>
      <c r="BW25" s="355"/>
      <c r="BX25" s="355"/>
      <c r="BY25" s="355"/>
      <c r="BZ25" s="355"/>
      <c r="CA25" s="355"/>
      <c r="CB25" s="355"/>
      <c r="CD25" s="328"/>
      <c r="CE25" s="107">
        <f t="shared" si="33"/>
        <v>46061</v>
      </c>
      <c r="CF25" s="170">
        <f>+$D$13+7</f>
        <v>46061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IF(+Février!AG27="",0,Février!AG27)</f>
        <v>0</v>
      </c>
      <c r="DZ25" s="16">
        <f>+IF(Février!AJ27="",0,Février!AJ27)</f>
        <v>0</v>
      </c>
      <c r="EA25" s="16">
        <f>+IF(Février!AM27="",0,Février!AM27)</f>
        <v>0</v>
      </c>
      <c r="EB25" s="16">
        <f t="shared" si="25"/>
        <v>0</v>
      </c>
      <c r="ED25" s="16">
        <f t="shared" si="26"/>
        <v>0</v>
      </c>
      <c r="EE25" s="16">
        <f t="shared" si="17"/>
        <v>0</v>
      </c>
      <c r="EF25" s="30" t="str">
        <f t="shared" si="18"/>
        <v/>
      </c>
      <c r="EG25" s="30" t="str">
        <f t="shared" si="27"/>
        <v/>
      </c>
      <c r="EH25" s="16">
        <f t="shared" si="28"/>
        <v>0</v>
      </c>
      <c r="EI25" s="30"/>
      <c r="EJ25" s="30">
        <f t="shared" si="19"/>
        <v>46061</v>
      </c>
      <c r="EM25" s="16" t="str">
        <f t="shared" si="29"/>
        <v>Fiche infoA746061</v>
      </c>
      <c r="EN25" s="16">
        <f t="shared" si="20"/>
        <v>0</v>
      </c>
      <c r="EQ25" s="16" t="str">
        <f>Février!FS27</f>
        <v/>
      </c>
    </row>
    <row r="26" spans="1:147" ht="18" customHeight="1" x14ac:dyDescent="0.2">
      <c r="A26" s="24" t="str">
        <f>+Février!BJ28</f>
        <v>Fiche infoA1</v>
      </c>
      <c r="B26" s="107">
        <f t="shared" si="30"/>
        <v>46062</v>
      </c>
      <c r="C26" s="170">
        <f>+$D$13+8</f>
        <v>46062</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Février!BC28</f>
        <v>0</v>
      </c>
      <c r="J26" s="34">
        <f>Février!BE28</f>
        <v>0</v>
      </c>
      <c r="K26" s="34">
        <f t="shared" si="15"/>
        <v>0</v>
      </c>
      <c r="L26" s="34" t="str">
        <f t="shared" si="21"/>
        <v/>
      </c>
      <c r="O26" s="16" t="s">
        <v>1197</v>
      </c>
      <c r="AK26" s="1189" t="s">
        <v>321</v>
      </c>
      <c r="AL26" s="1313">
        <f>IF(AS21,SUM(AT13:AT20)/AS21,0)</f>
        <v>0</v>
      </c>
      <c r="BA26" s="331" t="str">
        <f t="shared" si="16"/>
        <v>Fiche infoA1</v>
      </c>
      <c r="BB26" s="107">
        <f t="shared" si="31"/>
        <v>46062</v>
      </c>
      <c r="BC26" s="170">
        <f>+$D$13+8</f>
        <v>46062</v>
      </c>
      <c r="BD26" s="171" t="str">
        <f t="shared" si="32"/>
        <v/>
      </c>
      <c r="BE26" s="171" t="str">
        <f>+IF(OR(BF26=S.CAL!$BJ$3,BF26=S.CAL!$BJ$4),BD26,"")</f>
        <v/>
      </c>
      <c r="BF26" s="333">
        <f>IF($DY$5=S.CAL!$CU$2,Février!AR28,IF($DY$5=S.CAL!$CU$3,VLOOKUP(BC26,planning_fp,7,FALSE),""))</f>
        <v>0</v>
      </c>
      <c r="BG26" s="345" t="str">
        <f>Février!BL28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46062</v>
      </c>
      <c r="CF26" s="170">
        <f>+$D$13+8</f>
        <v>46062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IF(+Février!AG28="",0,Février!AG28)</f>
        <v>0</v>
      </c>
      <c r="DZ26" s="16">
        <f>+IF(Février!AJ28="",0,Février!AJ28)</f>
        <v>0</v>
      </c>
      <c r="EA26" s="16">
        <f>+IF(Février!AM28="",0,Février!AM28)</f>
        <v>0</v>
      </c>
      <c r="EB26" s="16">
        <f t="shared" si="25"/>
        <v>0</v>
      </c>
      <c r="ED26" s="16">
        <f t="shared" si="26"/>
        <v>0</v>
      </c>
      <c r="EE26" s="16">
        <f t="shared" si="17"/>
        <v>0</v>
      </c>
      <c r="EF26" s="30" t="str">
        <f t="shared" si="18"/>
        <v/>
      </c>
      <c r="EG26" s="30" t="str">
        <f t="shared" si="27"/>
        <v/>
      </c>
      <c r="EH26" s="16">
        <f t="shared" si="28"/>
        <v>0</v>
      </c>
      <c r="EI26" s="30"/>
      <c r="EJ26" s="30">
        <f t="shared" si="19"/>
        <v>46062</v>
      </c>
      <c r="EM26" s="16" t="str">
        <f t="shared" si="29"/>
        <v>Fiche infoA146062</v>
      </c>
      <c r="EN26" s="16">
        <f t="shared" si="20"/>
        <v>0</v>
      </c>
      <c r="EQ26" s="16" t="str">
        <f>Février!FS28</f>
        <v/>
      </c>
    </row>
    <row r="27" spans="1:147" ht="21.75" customHeight="1" x14ac:dyDescent="0.2">
      <c r="A27" s="24" t="str">
        <f>+Février!BJ29</f>
        <v>Fiche infoA2</v>
      </c>
      <c r="B27" s="107">
        <f t="shared" si="30"/>
        <v>46063</v>
      </c>
      <c r="C27" s="170">
        <f>+$D$13+9</f>
        <v>46063</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Février!BC29</f>
        <v>0</v>
      </c>
      <c r="J27" s="34">
        <f>Février!BE29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infoA2</v>
      </c>
      <c r="BB27" s="107">
        <f t="shared" si="31"/>
        <v>46063</v>
      </c>
      <c r="BC27" s="170">
        <f>+$D$13+9</f>
        <v>46063</v>
      </c>
      <c r="BD27" s="171" t="str">
        <f t="shared" si="32"/>
        <v/>
      </c>
      <c r="BE27" s="171" t="str">
        <f>+IF(OR(BF27=S.CAL!$BJ$3,BF27=S.CAL!$BJ$4),BD27,"")</f>
        <v/>
      </c>
      <c r="BF27" s="333">
        <f>IF($DY$5=S.CAL!$CU$2,Février!AR29,IF($DY$5=S.CAL!$CU$3,VLOOKUP(BC27,planning_fp,7,FALSE),""))</f>
        <v>0</v>
      </c>
      <c r="BG27" s="345" t="str">
        <f>Février!BL29</f>
        <v>A</v>
      </c>
      <c r="BI27" s="16" t="s">
        <v>746</v>
      </c>
      <c r="BL27" s="35"/>
      <c r="BP27" s="2465"/>
      <c r="BQ27" s="2465"/>
      <c r="BR27" s="2465"/>
      <c r="BS27" s="2465"/>
      <c r="BT27" s="2464"/>
      <c r="BV27" s="355"/>
      <c r="BW27" s="355"/>
      <c r="BX27" s="2543"/>
      <c r="BY27" s="2543"/>
      <c r="BZ27" s="2543"/>
      <c r="CA27" s="2543"/>
      <c r="CB27" s="2542"/>
      <c r="CD27" s="328"/>
      <c r="CE27" s="107">
        <f t="shared" si="33"/>
        <v>46063</v>
      </c>
      <c r="CF27" s="170">
        <f>+$D$13+9</f>
        <v>46063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IF(+Février!AG29="",0,Février!AG29)</f>
        <v>0</v>
      </c>
      <c r="DZ27" s="16">
        <f>+IF(Février!AJ29="",0,Février!AJ29)</f>
        <v>0</v>
      </c>
      <c r="EA27" s="16">
        <f>+IF(Février!AM29="",0,Février!AM29)</f>
        <v>0</v>
      </c>
      <c r="EB27" s="16">
        <f t="shared" si="25"/>
        <v>0</v>
      </c>
      <c r="ED27" s="16">
        <f t="shared" si="26"/>
        <v>0</v>
      </c>
      <c r="EE27" s="16">
        <f t="shared" si="17"/>
        <v>0</v>
      </c>
      <c r="EF27" s="30" t="str">
        <f t="shared" si="18"/>
        <v/>
      </c>
      <c r="EG27" s="30" t="str">
        <f t="shared" si="27"/>
        <v/>
      </c>
      <c r="EH27" s="16">
        <f t="shared" si="28"/>
        <v>0</v>
      </c>
      <c r="EI27" s="30"/>
      <c r="EJ27" s="30">
        <f t="shared" si="19"/>
        <v>46063</v>
      </c>
      <c r="EM27" s="16" t="str">
        <f t="shared" si="29"/>
        <v>Fiche infoA246063</v>
      </c>
      <c r="EN27" s="16">
        <f t="shared" si="20"/>
        <v>0</v>
      </c>
      <c r="EQ27" s="16" t="str">
        <f>Février!FS29</f>
        <v/>
      </c>
    </row>
    <row r="28" spans="1:147" ht="18" customHeight="1" x14ac:dyDescent="0.2">
      <c r="A28" s="24" t="str">
        <f>+Février!BJ30</f>
        <v>Fiche infoA3</v>
      </c>
      <c r="B28" s="107">
        <f t="shared" si="30"/>
        <v>46064</v>
      </c>
      <c r="C28" s="170">
        <f>+$D$13+10</f>
        <v>46064</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Février!BC30</f>
        <v>0</v>
      </c>
      <c r="J28" s="34">
        <f>Février!BE30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infoA3</v>
      </c>
      <c r="BB28" s="107">
        <f t="shared" si="31"/>
        <v>46064</v>
      </c>
      <c r="BC28" s="170">
        <f>+$D$13+10</f>
        <v>46064</v>
      </c>
      <c r="BD28" s="171" t="str">
        <f t="shared" si="32"/>
        <v/>
      </c>
      <c r="BE28" s="171" t="str">
        <f>+IF(OR(BF28=S.CAL!$BJ$3,BF28=S.CAL!$BJ$4),BD28,"")</f>
        <v/>
      </c>
      <c r="BF28" s="333">
        <f>IF($DY$5=S.CAL!$CU$2,Février!AR30,IF($DY$5=S.CAL!$CU$3,VLOOKUP(BC28,planning_fp,7,FALSE),""))</f>
        <v>0</v>
      </c>
      <c r="BG28" s="345" t="str">
        <f>Février!BL30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46064</v>
      </c>
      <c r="CF28" s="170">
        <f>+$D$13+10</f>
        <v>46064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IF(+Février!AG30="",0,Février!AG30)</f>
        <v>0</v>
      </c>
      <c r="DZ28" s="16">
        <f>+IF(Février!AJ30="",0,Février!AJ30)</f>
        <v>0</v>
      </c>
      <c r="EA28" s="16">
        <f>+IF(Février!AM30="",0,Février!AM30)</f>
        <v>0</v>
      </c>
      <c r="EB28" s="16">
        <f t="shared" si="25"/>
        <v>0</v>
      </c>
      <c r="ED28" s="16">
        <f t="shared" si="26"/>
        <v>0</v>
      </c>
      <c r="EE28" s="16">
        <f t="shared" si="17"/>
        <v>0</v>
      </c>
      <c r="EF28" s="30" t="str">
        <f t="shared" si="18"/>
        <v/>
      </c>
      <c r="EG28" s="30" t="str">
        <f t="shared" si="27"/>
        <v/>
      </c>
      <c r="EH28" s="16">
        <f t="shared" si="28"/>
        <v>0</v>
      </c>
      <c r="EI28" s="30"/>
      <c r="EJ28" s="30">
        <f t="shared" si="19"/>
        <v>46064</v>
      </c>
      <c r="EM28" s="16" t="str">
        <f t="shared" si="29"/>
        <v>Fiche infoA346064</v>
      </c>
      <c r="EN28" s="16">
        <f t="shared" si="20"/>
        <v>0</v>
      </c>
      <c r="EQ28" s="16" t="str">
        <f>Février!FS30</f>
        <v/>
      </c>
    </row>
    <row r="29" spans="1:147" ht="18" customHeight="1" x14ac:dyDescent="0.2">
      <c r="A29" s="24" t="str">
        <f>+Février!BJ31</f>
        <v>Fiche infoA4</v>
      </c>
      <c r="B29" s="107">
        <f t="shared" si="30"/>
        <v>46065</v>
      </c>
      <c r="C29" s="170">
        <f>+$D$13+11</f>
        <v>46065</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Février!BC31</f>
        <v>0</v>
      </c>
      <c r="J29" s="34">
        <f>Février!BE31</f>
        <v>0</v>
      </c>
      <c r="K29" s="34">
        <f t="shared" si="15"/>
        <v>0</v>
      </c>
      <c r="L29" s="34" t="str">
        <f t="shared" si="21"/>
        <v/>
      </c>
      <c r="O29" s="859" t="s">
        <v>1444</v>
      </c>
      <c r="P29" s="859"/>
      <c r="Q29" s="859"/>
      <c r="R29" s="859"/>
      <c r="BA29" s="331" t="str">
        <f t="shared" si="16"/>
        <v>Fiche infoA4</v>
      </c>
      <c r="BB29" s="107">
        <f t="shared" si="31"/>
        <v>46065</v>
      </c>
      <c r="BC29" s="170">
        <f>+$D$13+11</f>
        <v>46065</v>
      </c>
      <c r="BD29" s="171" t="str">
        <f t="shared" si="32"/>
        <v/>
      </c>
      <c r="BE29" s="171" t="str">
        <f>+IF(OR(BF29=S.CAL!$BJ$3,BF29=S.CAL!$BJ$4),BD29,"")</f>
        <v/>
      </c>
      <c r="BF29" s="333">
        <f>IF($DY$5=S.CAL!$CU$2,Février!AR31,IF($DY$5=S.CAL!$CU$3,VLOOKUP(BC29,planning_fp,7,FALSE),""))</f>
        <v>0</v>
      </c>
      <c r="BG29" s="345" t="str">
        <f>Février!BL31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46065</v>
      </c>
      <c r="CF29" s="170">
        <f>+$D$13+11</f>
        <v>46065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IF(+Février!AG31="",0,Février!AG31)</f>
        <v>0</v>
      </c>
      <c r="DZ29" s="16">
        <f>+IF(Février!AJ31="",0,Février!AJ31)</f>
        <v>0</v>
      </c>
      <c r="EA29" s="16">
        <f>+IF(Février!AM31="",0,Février!AM31)</f>
        <v>0</v>
      </c>
      <c r="EB29" s="16">
        <f t="shared" si="25"/>
        <v>0</v>
      </c>
      <c r="ED29" s="16">
        <f t="shared" si="26"/>
        <v>0</v>
      </c>
      <c r="EE29" s="16">
        <f t="shared" si="17"/>
        <v>0</v>
      </c>
      <c r="EF29" s="30" t="str">
        <f t="shared" si="18"/>
        <v/>
      </c>
      <c r="EG29" s="30" t="str">
        <f t="shared" si="27"/>
        <v/>
      </c>
      <c r="EH29" s="16">
        <f t="shared" si="28"/>
        <v>0</v>
      </c>
      <c r="EI29" s="30"/>
      <c r="EJ29" s="30">
        <f t="shared" si="19"/>
        <v>46065</v>
      </c>
      <c r="EM29" s="16" t="str">
        <f t="shared" si="29"/>
        <v>Fiche infoA446065</v>
      </c>
      <c r="EN29" s="16">
        <f t="shared" si="20"/>
        <v>0</v>
      </c>
      <c r="EQ29" s="16" t="str">
        <f>Février!FS31</f>
        <v/>
      </c>
    </row>
    <row r="30" spans="1:147" ht="18" customHeight="1" x14ac:dyDescent="0.25">
      <c r="A30" s="24" t="str">
        <f>+Février!BJ32</f>
        <v>Fiche infoA5</v>
      </c>
      <c r="B30" s="107">
        <f t="shared" si="30"/>
        <v>46066</v>
      </c>
      <c r="C30" s="170">
        <f>+$D$13+12</f>
        <v>46066</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Février!BC32</f>
        <v>0</v>
      </c>
      <c r="J30" s="34">
        <f>Février!BE32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46054</v>
      </c>
      <c r="AP30" s="2555"/>
      <c r="AQ30" s="2555"/>
      <c r="BA30" s="331" t="str">
        <f t="shared" si="16"/>
        <v>Fiche infoA5</v>
      </c>
      <c r="BB30" s="107">
        <f t="shared" si="31"/>
        <v>46066</v>
      </c>
      <c r="BC30" s="170">
        <f>+$D$13+12</f>
        <v>46066</v>
      </c>
      <c r="BD30" s="171" t="str">
        <f t="shared" si="32"/>
        <v/>
      </c>
      <c r="BE30" s="171" t="str">
        <f>+IF(OR(BF30=S.CAL!$BJ$3,BF30=S.CAL!$BJ$4),BD30,"")</f>
        <v/>
      </c>
      <c r="BF30" s="333">
        <f>IF($DY$5=S.CAL!$CU$2,Février!AR32,IF($DY$5=S.CAL!$CU$3,VLOOKUP(BC30,planning_fp,7,FALSE),""))</f>
        <v>0</v>
      </c>
      <c r="BG30" s="345" t="str">
        <f>Février!BL32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46066</v>
      </c>
      <c r="CF30" s="170">
        <f>+$D$13+12</f>
        <v>46066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IF(+Février!AG32="",0,Février!AG32)</f>
        <v>0</v>
      </c>
      <c r="DZ30" s="16">
        <f>+IF(Février!AJ32="",0,Février!AJ32)</f>
        <v>0</v>
      </c>
      <c r="EA30" s="16">
        <f>+IF(Février!AM32="",0,Février!AM32)</f>
        <v>0</v>
      </c>
      <c r="EB30" s="16">
        <f t="shared" si="25"/>
        <v>0</v>
      </c>
      <c r="ED30" s="16">
        <f t="shared" si="26"/>
        <v>0</v>
      </c>
      <c r="EE30" s="16">
        <f t="shared" si="17"/>
        <v>0</v>
      </c>
      <c r="EF30" s="30" t="str">
        <f t="shared" si="18"/>
        <v/>
      </c>
      <c r="EG30" s="30" t="str">
        <f t="shared" si="27"/>
        <v/>
      </c>
      <c r="EH30" s="16">
        <f t="shared" si="28"/>
        <v>0</v>
      </c>
      <c r="EI30" s="30"/>
      <c r="EJ30" s="30">
        <f t="shared" si="19"/>
        <v>46066</v>
      </c>
      <c r="EM30" s="16" t="str">
        <f t="shared" si="29"/>
        <v>Fiche infoA546066</v>
      </c>
      <c r="EN30" s="16">
        <f t="shared" si="20"/>
        <v>0</v>
      </c>
      <c r="EQ30" s="16" t="str">
        <f>Février!FS32</f>
        <v/>
      </c>
    </row>
    <row r="31" spans="1:147" ht="18" customHeight="1" x14ac:dyDescent="0.2">
      <c r="A31" s="24" t="str">
        <f>+Février!BJ33</f>
        <v>Fiche infoA6</v>
      </c>
      <c r="B31" s="107">
        <f t="shared" si="30"/>
        <v>46067</v>
      </c>
      <c r="C31" s="170">
        <f>+$D$13+13</f>
        <v>46067</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Février!BC33</f>
        <v>0</v>
      </c>
      <c r="J31" s="34">
        <f>Février!BE33</f>
        <v>0</v>
      </c>
      <c r="K31" s="34">
        <f t="shared" si="15"/>
        <v>0</v>
      </c>
      <c r="L31" s="34" t="str">
        <f t="shared" si="21"/>
        <v/>
      </c>
      <c r="AL31" s="563" t="s">
        <v>342</v>
      </c>
      <c r="BA31" s="331" t="str">
        <f t="shared" si="16"/>
        <v>Fiche infoA6</v>
      </c>
      <c r="BB31" s="107">
        <f t="shared" si="31"/>
        <v>46067</v>
      </c>
      <c r="BC31" s="170">
        <f>+$D$13+13</f>
        <v>46067</v>
      </c>
      <c r="BD31" s="171" t="str">
        <f t="shared" si="32"/>
        <v/>
      </c>
      <c r="BE31" s="171" t="str">
        <f>+IF(OR(BF31=S.CAL!$BJ$3,BF31=S.CAL!$BJ$4),BD31,"")</f>
        <v/>
      </c>
      <c r="BF31" s="333">
        <f>IF($DY$5=S.CAL!$CU$2,Février!AR33,IF($DY$5=S.CAL!$CU$3,VLOOKUP(BC31,planning_fp,7,FALSE),""))</f>
        <v>0</v>
      </c>
      <c r="BG31" s="345" t="str">
        <f>Février!BL33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46067</v>
      </c>
      <c r="CF31" s="170">
        <f>+$D$13+13</f>
        <v>46067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IF(+Février!AG33="",0,Février!AG33)</f>
        <v>0</v>
      </c>
      <c r="DZ31" s="16">
        <f>+IF(Février!AJ33="",0,Février!AJ33)</f>
        <v>0</v>
      </c>
      <c r="EA31" s="16">
        <f>+IF(Février!AM33="",0,Février!AM33)</f>
        <v>0</v>
      </c>
      <c r="EB31" s="16">
        <f t="shared" si="25"/>
        <v>0</v>
      </c>
      <c r="ED31" s="16">
        <f t="shared" si="26"/>
        <v>0</v>
      </c>
      <c r="EE31" s="16">
        <f t="shared" si="17"/>
        <v>0</v>
      </c>
      <c r="EF31" s="30" t="str">
        <f t="shared" si="18"/>
        <v/>
      </c>
      <c r="EG31" s="30" t="str">
        <f t="shared" si="27"/>
        <v/>
      </c>
      <c r="EH31" s="16">
        <f t="shared" si="28"/>
        <v>0</v>
      </c>
      <c r="EI31" s="30"/>
      <c r="EJ31" s="30">
        <f t="shared" si="19"/>
        <v>46067</v>
      </c>
      <c r="EM31" s="16" t="str">
        <f t="shared" si="29"/>
        <v>Fiche infoA646067</v>
      </c>
      <c r="EN31" s="16">
        <f t="shared" si="20"/>
        <v>0</v>
      </c>
      <c r="EQ31" s="16" t="str">
        <f>Février!FS33</f>
        <v/>
      </c>
    </row>
    <row r="32" spans="1:147" ht="18" customHeight="1" x14ac:dyDescent="0.2">
      <c r="A32" s="24" t="str">
        <f>+Février!BJ34</f>
        <v>Fiche infoA7</v>
      </c>
      <c r="B32" s="107">
        <f t="shared" si="30"/>
        <v>46068</v>
      </c>
      <c r="C32" s="170">
        <f>+$D$13+14</f>
        <v>46068</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Février!BC34</f>
        <v>0</v>
      </c>
      <c r="J32" s="34">
        <f>Février!BE34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infoA7</v>
      </c>
      <c r="BB32" s="107">
        <f t="shared" si="31"/>
        <v>46068</v>
      </c>
      <c r="BC32" s="170">
        <f>+$D$13+14</f>
        <v>46068</v>
      </c>
      <c r="BD32" s="171" t="str">
        <f t="shared" si="32"/>
        <v/>
      </c>
      <c r="BE32" s="171" t="str">
        <f>+IF(OR(BF32=S.CAL!$BJ$3,BF32=S.CAL!$BJ$4),BD32,"")</f>
        <v/>
      </c>
      <c r="BF32" s="333">
        <f>IF($DY$5=S.CAL!$CU$2,Février!AR34,IF($DY$5=S.CAL!$CU$3,VLOOKUP(BC32,planning_fp,7,FALSE),""))</f>
        <v>0</v>
      </c>
      <c r="BG32" s="345" t="str">
        <f>Février!BL34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46068</v>
      </c>
      <c r="CF32" s="170">
        <f>+$D$13+14</f>
        <v>46068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IF(+Février!AG34="",0,Février!AG34)</f>
        <v>0</v>
      </c>
      <c r="DZ32" s="16">
        <f>+IF(Février!AJ34="",0,Février!AJ34)</f>
        <v>0</v>
      </c>
      <c r="EA32" s="16">
        <f>+IF(Février!AM34="",0,Février!AM34)</f>
        <v>0</v>
      </c>
      <c r="EB32" s="16">
        <f t="shared" si="25"/>
        <v>0</v>
      </c>
      <c r="ED32" s="16">
        <f t="shared" si="26"/>
        <v>0</v>
      </c>
      <c r="EE32" s="16">
        <f t="shared" si="17"/>
        <v>0</v>
      </c>
      <c r="EF32" s="30" t="str">
        <f t="shared" si="18"/>
        <v/>
      </c>
      <c r="EG32" s="30" t="str">
        <f t="shared" si="27"/>
        <v/>
      </c>
      <c r="EH32" s="16">
        <f t="shared" si="28"/>
        <v>0</v>
      </c>
      <c r="EI32" s="30"/>
      <c r="EJ32" s="30">
        <f t="shared" si="19"/>
        <v>46068</v>
      </c>
      <c r="EM32" s="16" t="str">
        <f t="shared" si="29"/>
        <v>Fiche infoA746068</v>
      </c>
      <c r="EN32" s="16">
        <f t="shared" si="20"/>
        <v>0</v>
      </c>
      <c r="EQ32" s="16" t="str">
        <f>Février!FS34</f>
        <v/>
      </c>
    </row>
    <row r="33" spans="1:147" ht="18" customHeight="1" x14ac:dyDescent="0.2">
      <c r="A33" s="24" t="str">
        <f>+Février!BJ35</f>
        <v>Fiche infoA1</v>
      </c>
      <c r="B33" s="107">
        <f t="shared" si="30"/>
        <v>46069</v>
      </c>
      <c r="C33" s="170">
        <f>+$D$13+15</f>
        <v>46069</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Février!BC35</f>
        <v>0</v>
      </c>
      <c r="J33" s="34">
        <f>Février!BE35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infoA1</v>
      </c>
      <c r="BB33" s="107">
        <f t="shared" si="31"/>
        <v>46069</v>
      </c>
      <c r="BC33" s="170">
        <f>+$D$13+15</f>
        <v>46069</v>
      </c>
      <c r="BD33" s="171" t="str">
        <f t="shared" si="32"/>
        <v/>
      </c>
      <c r="BE33" s="171" t="str">
        <f>+IF(OR(BF33=S.CAL!$BJ$3,BF33=S.CAL!$BJ$4),BD33,"")</f>
        <v/>
      </c>
      <c r="BF33" s="333">
        <f>IF($DY$5=S.CAL!$CU$2,Février!AR35,IF($DY$5=S.CAL!$CU$3,VLOOKUP(BC33,planning_fp,7,FALSE),""))</f>
        <v>0</v>
      </c>
      <c r="BG33" s="345" t="str">
        <f>Février!BL35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46069</v>
      </c>
      <c r="CF33" s="170">
        <f>+$D$13+15</f>
        <v>46069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IF(+Février!AG35="",0,Février!AG35)</f>
        <v>0</v>
      </c>
      <c r="DZ33" s="16">
        <f>+IF(Février!AJ35="",0,Février!AJ35)</f>
        <v>0</v>
      </c>
      <c r="EA33" s="16">
        <f>+IF(Février!AM35="",0,Février!AM35)</f>
        <v>0</v>
      </c>
      <c r="EB33" s="16">
        <f t="shared" si="25"/>
        <v>0</v>
      </c>
      <c r="ED33" s="16">
        <f t="shared" si="26"/>
        <v>0</v>
      </c>
      <c r="EE33" s="16">
        <f t="shared" si="17"/>
        <v>0</v>
      </c>
      <c r="EF33" s="30" t="str">
        <f t="shared" si="18"/>
        <v/>
      </c>
      <c r="EG33" s="30" t="str">
        <f t="shared" si="27"/>
        <v/>
      </c>
      <c r="EH33" s="16">
        <f t="shared" si="28"/>
        <v>0</v>
      </c>
      <c r="EI33" s="30"/>
      <c r="EJ33" s="30">
        <f t="shared" si="19"/>
        <v>46069</v>
      </c>
      <c r="EM33" s="16" t="str">
        <f t="shared" si="29"/>
        <v>Fiche infoA146069</v>
      </c>
      <c r="EN33" s="16">
        <f t="shared" si="20"/>
        <v>0</v>
      </c>
      <c r="EQ33" s="16" t="str">
        <f>Février!FS35</f>
        <v/>
      </c>
    </row>
    <row r="34" spans="1:147" ht="18" customHeight="1" x14ac:dyDescent="0.2">
      <c r="A34" s="24" t="str">
        <f>+Février!BJ36</f>
        <v>Fiche infoA2</v>
      </c>
      <c r="B34" s="107">
        <f t="shared" si="30"/>
        <v>46070</v>
      </c>
      <c r="C34" s="170">
        <f>+$D$13+16</f>
        <v>46070</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Février!BC36</f>
        <v>0</v>
      </c>
      <c r="J34" s="34">
        <f>Février!BE36</f>
        <v>0</v>
      </c>
      <c r="K34" s="34">
        <f t="shared" si="15"/>
        <v>0</v>
      </c>
      <c r="L34" s="34" t="str">
        <f t="shared" si="21"/>
        <v/>
      </c>
      <c r="N34" s="377"/>
      <c r="O34" s="377"/>
      <c r="P34" s="377"/>
      <c r="Q34" s="377"/>
      <c r="R34" s="377"/>
      <c r="T34" s="563">
        <f>+IF(AD34=0,V34,0)</f>
        <v>0</v>
      </c>
      <c r="U34" s="1301" t="str">
        <f>+Février!AU4</f>
        <v>A</v>
      </c>
      <c r="V34" s="1301">
        <f>IFERROR(+VLOOKUP(U34,U35:AB39,7,FALSE),"")</f>
        <v>0</v>
      </c>
      <c r="W34" s="2538" t="str">
        <f>Février!BS28</f>
        <v>Semaine numéro : 5</v>
      </c>
      <c r="X34" s="2538"/>
      <c r="Y34" s="2538"/>
      <c r="Z34" s="1323"/>
      <c r="AA34" s="1316">
        <f>+IF(Z34&lt;&gt;"",Z34,IF(T34&gt;0,T34,IF(AND(AD34&gt;0,AC34&gt;0),AD34+AC34,IF(AE34&gt;0,0,AC34))))</f>
        <v>0</v>
      </c>
      <c r="AB34" s="1316">
        <f>IF(AND(AA34&gt;45,AD34=AD48),AA34-45,0)</f>
        <v>0</v>
      </c>
      <c r="AC34" s="1322">
        <f>+SUMIF(Février!$BK$20:$BK$50,Février!AT4,$D$18:$D$48)</f>
        <v>0</v>
      </c>
      <c r="AD34" s="1322">
        <f>+SUMIF(Janvier!$BK$20:$BK$50,Février!AT4,'Retenue Janv'!$D$18:$D$48)</f>
        <v>0</v>
      </c>
      <c r="AE34" s="1322">
        <f>+SUMIF(Mars!$BK$20:$BK$50,Février!AT4,'Retenue Mars'!$D$18:$D$48)</f>
        <v>0</v>
      </c>
      <c r="AF34" s="1316">
        <f>+AC34-AB34</f>
        <v>0</v>
      </c>
      <c r="AK34" s="1189" t="s">
        <v>324</v>
      </c>
      <c r="AL34" s="1302" t="e">
        <f>IF(AL32,+AL24/AL32,0)</f>
        <v>#VALUE!</v>
      </c>
      <c r="BA34" s="331" t="str">
        <f t="shared" si="16"/>
        <v>Fiche infoA2</v>
      </c>
      <c r="BB34" s="107">
        <f t="shared" si="31"/>
        <v>46070</v>
      </c>
      <c r="BC34" s="170">
        <f>+$D$13+16</f>
        <v>46070</v>
      </c>
      <c r="BD34" s="171" t="str">
        <f t="shared" si="32"/>
        <v/>
      </c>
      <c r="BE34" s="171" t="str">
        <f>+IF(OR(BF34=S.CAL!$BJ$3,BF34=S.CAL!$BJ$4),BD34,"")</f>
        <v/>
      </c>
      <c r="BF34" s="333">
        <f>IF($DY$5=S.CAL!$CU$2,Février!AR36,IF($DY$5=S.CAL!$CU$3,VLOOKUP(BC34,planning_fp,7,FALSE),""))</f>
        <v>0</v>
      </c>
      <c r="BG34" s="345" t="str">
        <f>Février!BL36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46070</v>
      </c>
      <c r="CF34" s="170">
        <f>+$D$13+16</f>
        <v>46070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IF(+Février!AG36="",0,Février!AG36)</f>
        <v>0</v>
      </c>
      <c r="DZ34" s="16">
        <f>+IF(Février!AJ36="",0,Février!AJ36)</f>
        <v>0</v>
      </c>
      <c r="EA34" s="16">
        <f>+IF(Février!AM36="",0,Février!AM36)</f>
        <v>0</v>
      </c>
      <c r="EB34" s="16">
        <f t="shared" si="25"/>
        <v>0</v>
      </c>
      <c r="ED34" s="16">
        <f t="shared" si="26"/>
        <v>0</v>
      </c>
      <c r="EE34" s="16">
        <f t="shared" si="17"/>
        <v>0</v>
      </c>
      <c r="EF34" s="30" t="str">
        <f t="shared" si="18"/>
        <v/>
      </c>
      <c r="EG34" s="30" t="str">
        <f t="shared" si="27"/>
        <v/>
      </c>
      <c r="EH34" s="16">
        <f t="shared" si="28"/>
        <v>0</v>
      </c>
      <c r="EI34" s="30"/>
      <c r="EJ34" s="30">
        <f t="shared" si="19"/>
        <v>46070</v>
      </c>
      <c r="EM34" s="16" t="str">
        <f t="shared" si="29"/>
        <v>Fiche infoA246070</v>
      </c>
      <c r="EN34" s="16">
        <f t="shared" si="20"/>
        <v>0</v>
      </c>
      <c r="EQ34" s="16" t="str">
        <f>Février!FS36</f>
        <v/>
      </c>
    </row>
    <row r="35" spans="1:147" ht="18" customHeight="1" x14ac:dyDescent="0.2">
      <c r="A35" s="24" t="str">
        <f>+Février!BJ37</f>
        <v>Fiche infoA3</v>
      </c>
      <c r="B35" s="107">
        <f t="shared" si="30"/>
        <v>46071</v>
      </c>
      <c r="C35" s="170">
        <f>+$D$13+17</f>
        <v>46071</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Février!BC37</f>
        <v>0</v>
      </c>
      <c r="J35" s="34">
        <f>Février!BE37</f>
        <v>0</v>
      </c>
      <c r="K35" s="34">
        <f t="shared" si="15"/>
        <v>0</v>
      </c>
      <c r="L35" s="34" t="str">
        <f t="shared" si="21"/>
        <v/>
      </c>
      <c r="N35" s="377"/>
      <c r="O35" s="861" t="s">
        <v>1198</v>
      </c>
      <c r="P35" s="862"/>
      <c r="Q35" s="862"/>
      <c r="R35" s="858"/>
      <c r="T35" s="563">
        <f>+IF(AD35=0,V35,0)</f>
        <v>0</v>
      </c>
      <c r="U35" s="1301" t="str">
        <f>+Février!AU5</f>
        <v>A</v>
      </c>
      <c r="V35" s="1301">
        <f>IFERROR(+VLOOKUP(U35,U36:AB39,7,FALSE),"")</f>
        <v>0</v>
      </c>
      <c r="W35" s="2538" t="str">
        <f>Février!BS29</f>
        <v>Semaine numéro : 6</v>
      </c>
      <c r="X35" s="2538"/>
      <c r="Y35" s="2538"/>
      <c r="Z35" s="1323"/>
      <c r="AA35" s="1316">
        <f>+IF(Z35&lt;&gt;"",Z35,IF(T35&gt;0,T35,IF(AND(AD35&gt;0,AC35&gt;0),AD35+AC35,IF(AE35&gt;0,0,AC35))))</f>
        <v>0</v>
      </c>
      <c r="AB35" s="1316">
        <f t="shared" ref="AB35:AB39" si="44">IF(AND(AA35&gt;45,AD35=AD49),AA35-45,0)</f>
        <v>0</v>
      </c>
      <c r="AC35" s="1322">
        <f>+SUMIF(Février!$BK$20:$BK$50,Février!AT5,$D$18:$D$48)</f>
        <v>0</v>
      </c>
      <c r="AD35" s="1322">
        <f>+SUMIF(Janvier!$BK$20:$BK$50,Février!AT5,'Retenue Janv'!$D$18:$D$48)</f>
        <v>0</v>
      </c>
      <c r="AE35" s="1322">
        <f>+SUMIF(Mars!$BK$20:$BK$50,Février!AT5,'Retenue Mars'!$D$18:$D$48)</f>
        <v>0</v>
      </c>
      <c r="AF35" s="1316">
        <f t="shared" ref="AF35:AF39" si="45">+AC35-AB35</f>
        <v>0</v>
      </c>
      <c r="AK35" s="1189"/>
      <c r="AL35" s="1302"/>
      <c r="BA35" s="331" t="str">
        <f t="shared" si="16"/>
        <v>Fiche infoA3</v>
      </c>
      <c r="BB35" s="107">
        <f t="shared" si="31"/>
        <v>46071</v>
      </c>
      <c r="BC35" s="170">
        <f>+$D$13+17</f>
        <v>46071</v>
      </c>
      <c r="BD35" s="171" t="str">
        <f t="shared" si="32"/>
        <v/>
      </c>
      <c r="BE35" s="171" t="str">
        <f>+IF(OR(BF35=S.CAL!$BJ$3,BF35=S.CAL!$BJ$4),BD35,"")</f>
        <v/>
      </c>
      <c r="BF35" s="333">
        <f>IF($DY$5=S.CAL!$CU$2,Février!AR37,IF($DY$5=S.CAL!$CU$3,VLOOKUP(BC35,planning_fp,7,FALSE),""))</f>
        <v>0</v>
      </c>
      <c r="BG35" s="345" t="str">
        <f>Février!BL37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46071</v>
      </c>
      <c r="CF35" s="170">
        <f>+$D$13+17</f>
        <v>46071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IF(+Février!AG37="",0,Février!AG37)</f>
        <v>0</v>
      </c>
      <c r="DZ35" s="16">
        <f>+IF(Février!AJ37="",0,Février!AJ37)</f>
        <v>0</v>
      </c>
      <c r="EA35" s="16">
        <f>+IF(Février!AM37="",0,Février!AM37)</f>
        <v>0</v>
      </c>
      <c r="EB35" s="16">
        <f t="shared" si="25"/>
        <v>0</v>
      </c>
      <c r="ED35" s="16">
        <f t="shared" si="26"/>
        <v>0</v>
      </c>
      <c r="EE35" s="16">
        <f t="shared" si="17"/>
        <v>0</v>
      </c>
      <c r="EF35" s="30" t="str">
        <f t="shared" si="18"/>
        <v/>
      </c>
      <c r="EG35" s="30" t="str">
        <f t="shared" si="27"/>
        <v/>
      </c>
      <c r="EH35" s="16">
        <f t="shared" si="28"/>
        <v>0</v>
      </c>
      <c r="EI35" s="30"/>
      <c r="EJ35" s="30">
        <f t="shared" si="19"/>
        <v>46071</v>
      </c>
      <c r="EM35" s="16" t="str">
        <f t="shared" si="29"/>
        <v>Fiche infoA346071</v>
      </c>
      <c r="EN35" s="16">
        <f t="shared" si="20"/>
        <v>0</v>
      </c>
      <c r="EQ35" s="16" t="str">
        <f>Février!FS37</f>
        <v/>
      </c>
    </row>
    <row r="36" spans="1:147" ht="18" customHeight="1" x14ac:dyDescent="0.2">
      <c r="A36" s="24" t="str">
        <f>+Février!BJ38</f>
        <v>Fiche infoA4</v>
      </c>
      <c r="B36" s="107">
        <f t="shared" si="30"/>
        <v>46072</v>
      </c>
      <c r="C36" s="170">
        <f>+$D$13+18</f>
        <v>46072</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Février!BC38</f>
        <v>0</v>
      </c>
      <c r="J36" s="34">
        <f>Février!BE38</f>
        <v>0</v>
      </c>
      <c r="K36" s="34">
        <f t="shared" si="15"/>
        <v>0</v>
      </c>
      <c r="L36" s="34" t="str">
        <f t="shared" si="21"/>
        <v/>
      </c>
      <c r="N36" s="377"/>
      <c r="O36" s="468"/>
      <c r="P36" s="469" t="str">
        <f>+E11&amp;" / ( "&amp;E10&amp;" + "&amp;E11&amp;" ) ="</f>
        <v>0 / ( 0 + 0 ) =</v>
      </c>
      <c r="Q36" s="468" t="e">
        <f>+ROUND(E11/(E11+E10),6)</f>
        <v>#DIV/0!</v>
      </c>
      <c r="R36" s="377"/>
      <c r="U36" s="1301" t="str">
        <f>+Février!AU6</f>
        <v>A</v>
      </c>
      <c r="V36" s="1301"/>
      <c r="W36" s="2538" t="str">
        <f>Février!BS30</f>
        <v>Semaine numéro : 7</v>
      </c>
      <c r="X36" s="2538"/>
      <c r="Y36" s="2538"/>
      <c r="Z36" s="1323"/>
      <c r="AA36" s="1316">
        <f t="shared" ref="AA36:AA39" si="46">+IF(Z36="",IF(AND(AD36&gt;0,AC36&gt;0),AD36+AC36,IF(AE36&gt;0,0,AC36)),Z36)</f>
        <v>0</v>
      </c>
      <c r="AB36" s="1316">
        <f t="shared" si="44"/>
        <v>0</v>
      </c>
      <c r="AC36" s="1322">
        <f>+SUMIF(Février!$BK$20:$BK$50,Février!AT6,$D$18:$D$48)</f>
        <v>0</v>
      </c>
      <c r="AD36" s="1322">
        <f>+SUMIF(Janvier!$BK$20:$BK$50,Février!AT6,'Retenue Janv'!$D$18:$D$48)</f>
        <v>0</v>
      </c>
      <c r="AE36" s="1322">
        <f>+SUMIF(Mars!$BK$20:$BK$50,Février!AT6,'Retenue Mars'!$D$18:$D$48)</f>
        <v>0</v>
      </c>
      <c r="AF36" s="1316">
        <f t="shared" si="45"/>
        <v>0</v>
      </c>
      <c r="AK36" s="1189"/>
      <c r="AL36" s="1302"/>
      <c r="BA36" s="331" t="str">
        <f t="shared" si="16"/>
        <v>Fiche infoA4</v>
      </c>
      <c r="BB36" s="107">
        <f t="shared" si="31"/>
        <v>46072</v>
      </c>
      <c r="BC36" s="170">
        <f>+$D$13+18</f>
        <v>46072</v>
      </c>
      <c r="BD36" s="171" t="str">
        <f t="shared" si="32"/>
        <v/>
      </c>
      <c r="BE36" s="171" t="str">
        <f>+IF(OR(BF36=S.CAL!$BJ$3,BF36=S.CAL!$BJ$4),BD36,"")</f>
        <v/>
      </c>
      <c r="BF36" s="333">
        <f>IF($DY$5=S.CAL!$CU$2,Février!AR38,IF($DY$5=S.CAL!$CU$3,VLOOKUP(BC36,planning_fp,7,FALSE),""))</f>
        <v>0</v>
      </c>
      <c r="BG36" s="345" t="str">
        <f>Février!BL38</f>
        <v>A</v>
      </c>
      <c r="BH36" s="356"/>
      <c r="BI36" s="357"/>
      <c r="BJ36" s="355"/>
      <c r="BK36" s="355"/>
      <c r="BL36" s="35"/>
      <c r="BS36" s="189"/>
      <c r="BT36" s="342"/>
      <c r="BU36" s="342"/>
      <c r="BV36" s="355"/>
      <c r="BW36" s="355"/>
      <c r="BX36" s="355"/>
      <c r="BY36" s="355"/>
      <c r="BZ36" s="355"/>
      <c r="CA36" s="355"/>
      <c r="CB36" s="355"/>
      <c r="CD36" s="328"/>
      <c r="CE36" s="107">
        <f t="shared" si="33"/>
        <v>46072</v>
      </c>
      <c r="CF36" s="170">
        <f>+$D$13+18</f>
        <v>46072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IF(+Février!AG38="",0,Février!AG38)</f>
        <v>0</v>
      </c>
      <c r="DZ36" s="16">
        <f>+IF(Février!AJ38="",0,Février!AJ38)</f>
        <v>0</v>
      </c>
      <c r="EA36" s="16">
        <f>+IF(Février!AM38="",0,Février!AM38)</f>
        <v>0</v>
      </c>
      <c r="EB36" s="16">
        <f t="shared" si="25"/>
        <v>0</v>
      </c>
      <c r="ED36" s="16">
        <f t="shared" si="26"/>
        <v>0</v>
      </c>
      <c r="EE36" s="16">
        <f t="shared" si="17"/>
        <v>0</v>
      </c>
      <c r="EF36" s="30" t="str">
        <f t="shared" si="18"/>
        <v/>
      </c>
      <c r="EG36" s="30" t="str">
        <f t="shared" si="27"/>
        <v/>
      </c>
      <c r="EH36" s="16">
        <f t="shared" si="28"/>
        <v>0</v>
      </c>
      <c r="EI36" s="30"/>
      <c r="EJ36" s="30">
        <f t="shared" si="19"/>
        <v>46072</v>
      </c>
      <c r="EM36" s="16" t="str">
        <f t="shared" si="29"/>
        <v>Fiche infoA446072</v>
      </c>
      <c r="EN36" s="16">
        <f t="shared" si="20"/>
        <v>0</v>
      </c>
      <c r="EQ36" s="16" t="str">
        <f>Février!FS38</f>
        <v/>
      </c>
    </row>
    <row r="37" spans="1:147" ht="18" customHeight="1" x14ac:dyDescent="0.2">
      <c r="A37" s="24" t="str">
        <f>+Février!BJ39</f>
        <v>Fiche infoA5</v>
      </c>
      <c r="B37" s="107">
        <f t="shared" si="30"/>
        <v>46073</v>
      </c>
      <c r="C37" s="170">
        <f>+$D$13+19</f>
        <v>46073</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Février!BC39</f>
        <v>0</v>
      </c>
      <c r="J37" s="34">
        <f>Février!BE39</f>
        <v>0</v>
      </c>
      <c r="K37" s="34">
        <f t="shared" si="15"/>
        <v>0</v>
      </c>
      <c r="L37" s="34" t="str">
        <f t="shared" si="21"/>
        <v/>
      </c>
      <c r="N37" s="377"/>
      <c r="O37" s="863"/>
      <c r="P37" s="863"/>
      <c r="Q37" s="863"/>
      <c r="R37" s="377"/>
      <c r="U37" s="1301" t="str">
        <f>+Février!AU7</f>
        <v>A</v>
      </c>
      <c r="V37" s="1301"/>
      <c r="W37" s="2538" t="str">
        <f>Février!BS31</f>
        <v>Semaine numéro : 8</v>
      </c>
      <c r="X37" s="2538"/>
      <c r="Y37" s="2538"/>
      <c r="Z37" s="1323"/>
      <c r="AA37" s="1316">
        <f t="shared" si="46"/>
        <v>0</v>
      </c>
      <c r="AB37" s="1316">
        <f t="shared" si="44"/>
        <v>0</v>
      </c>
      <c r="AC37" s="1322">
        <f>+SUMIF(Février!$BK$20:$BK$50,Février!AT7,$D$18:$D$48)</f>
        <v>0</v>
      </c>
      <c r="AD37" s="1322">
        <f>+SUMIF(Janvier!$BK$20:$BK$50,Février!AT7,'Retenue Janv'!$D$18:$D$48)</f>
        <v>0</v>
      </c>
      <c r="AE37" s="1322">
        <f>+SUMIF(Mars!$BK$20:$BK$50,Février!AT7,'Retenue Mars'!$D$18:$D$48)</f>
        <v>0</v>
      </c>
      <c r="AF37" s="1316">
        <f t="shared" si="45"/>
        <v>0</v>
      </c>
      <c r="AK37" s="1189"/>
      <c r="AL37" s="2553" t="s">
        <v>325</v>
      </c>
      <c r="AM37" s="2553" t="s">
        <v>326</v>
      </c>
      <c r="AN37" s="2554" t="s">
        <v>327</v>
      </c>
      <c r="AO37" s="2553" t="s">
        <v>328</v>
      </c>
      <c r="AP37" s="2553" t="s">
        <v>348</v>
      </c>
      <c r="AQ37" s="2553" t="s">
        <v>349</v>
      </c>
      <c r="BA37" s="331" t="str">
        <f t="shared" si="16"/>
        <v>Fiche infoA5</v>
      </c>
      <c r="BB37" s="107">
        <f t="shared" si="31"/>
        <v>46073</v>
      </c>
      <c r="BC37" s="170">
        <f>+$D$13+19</f>
        <v>46073</v>
      </c>
      <c r="BD37" s="171" t="str">
        <f t="shared" si="32"/>
        <v/>
      </c>
      <c r="BE37" s="171" t="str">
        <f>+IF(OR(BF37=S.CAL!$BJ$3,BF37=S.CAL!$BJ$4),BD37,"")</f>
        <v/>
      </c>
      <c r="BF37" s="333">
        <f>IF($DY$5=S.CAL!$CU$2,Février!AR39,IF($DY$5=S.CAL!$CU$3,VLOOKUP(BC37,planning_fp,7,FALSE),""))</f>
        <v>0</v>
      </c>
      <c r="BG37" s="345" t="str">
        <f>Février!BL39</f>
        <v>A</v>
      </c>
      <c r="BH37" s="355"/>
      <c r="BI37" s="355"/>
      <c r="BJ37" s="355"/>
      <c r="BK37" s="355"/>
      <c r="BL37" s="35"/>
      <c r="BO37" s="29"/>
      <c r="BP37" s="34"/>
      <c r="BS37" s="189"/>
      <c r="BT37" s="189"/>
      <c r="BV37" s="355"/>
      <c r="BW37" s="355"/>
      <c r="BX37" s="355"/>
      <c r="BY37" s="355"/>
      <c r="BZ37" s="355"/>
      <c r="CA37" s="355"/>
      <c r="CB37" s="355"/>
      <c r="CD37" s="328"/>
      <c r="CE37" s="107">
        <f t="shared" si="33"/>
        <v>46073</v>
      </c>
      <c r="CF37" s="170">
        <f>+$D$13+19</f>
        <v>46073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IF(+Février!AG39="",0,Février!AG39)</f>
        <v>0</v>
      </c>
      <c r="DZ37" s="16">
        <f>+IF(Février!AJ39="",0,Février!AJ39)</f>
        <v>0</v>
      </c>
      <c r="EA37" s="16">
        <f>+IF(Février!AM39="",0,Février!AM39)</f>
        <v>0</v>
      </c>
      <c r="EB37" s="16">
        <f t="shared" si="25"/>
        <v>0</v>
      </c>
      <c r="ED37" s="16">
        <f t="shared" si="26"/>
        <v>0</v>
      </c>
      <c r="EE37" s="16">
        <f t="shared" si="17"/>
        <v>0</v>
      </c>
      <c r="EF37" s="30" t="str">
        <f t="shared" si="18"/>
        <v/>
      </c>
      <c r="EG37" s="30" t="str">
        <f t="shared" si="27"/>
        <v/>
      </c>
      <c r="EH37" s="16">
        <f t="shared" si="28"/>
        <v>0</v>
      </c>
      <c r="EI37" s="30"/>
      <c r="EJ37" s="30">
        <f t="shared" si="19"/>
        <v>46073</v>
      </c>
      <c r="EM37" s="16" t="str">
        <f t="shared" si="29"/>
        <v>Fiche infoA546073</v>
      </c>
      <c r="EN37" s="16">
        <f t="shared" si="20"/>
        <v>0</v>
      </c>
      <c r="EQ37" s="16" t="str">
        <f>Février!FS39</f>
        <v/>
      </c>
    </row>
    <row r="38" spans="1:147" ht="18" customHeight="1" x14ac:dyDescent="0.2">
      <c r="A38" s="24" t="str">
        <f>+Février!BJ40</f>
        <v>Fiche infoA6</v>
      </c>
      <c r="B38" s="107">
        <f t="shared" si="30"/>
        <v>46074</v>
      </c>
      <c r="C38" s="170">
        <f>+$D$13+20</f>
        <v>46074</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Février!BC40</f>
        <v>0</v>
      </c>
      <c r="J38" s="34">
        <f>Février!BE40</f>
        <v>0</v>
      </c>
      <c r="K38" s="34">
        <f t="shared" si="15"/>
        <v>0</v>
      </c>
      <c r="L38" s="34" t="str">
        <f t="shared" si="21"/>
        <v/>
      </c>
      <c r="N38" s="377"/>
      <c r="O38" s="864" t="s">
        <v>1445</v>
      </c>
      <c r="P38" s="864"/>
      <c r="Q38" s="864"/>
      <c r="R38" s="860"/>
      <c r="U38" s="1301" t="str">
        <f>+Février!AU8</f>
        <v>A</v>
      </c>
      <c r="V38" s="1301"/>
      <c r="W38" s="2538" t="str">
        <f>Février!BS32</f>
        <v>Semaine numéro : 9</v>
      </c>
      <c r="X38" s="2538"/>
      <c r="Y38" s="2538"/>
      <c r="Z38" s="1323"/>
      <c r="AA38" s="1316">
        <f t="shared" si="46"/>
        <v>0</v>
      </c>
      <c r="AB38" s="1316">
        <f t="shared" si="44"/>
        <v>0</v>
      </c>
      <c r="AC38" s="1322">
        <f>+SUMIF(Février!$BK$20:$BK$50,Février!AT8,$D$18:$D$48)</f>
        <v>0</v>
      </c>
      <c r="AD38" s="1322">
        <f>+SUMIF(Janvier!$BK$20:$BK$50,Février!AT8,'Retenue Janv'!$D$18:$D$48)</f>
        <v>0</v>
      </c>
      <c r="AE38" s="1322">
        <f>+SUMIF(Mars!$BK$20:$BK$50,Février!AT8,'Retenue Mars'!$D$18:$D$48)</f>
        <v>0</v>
      </c>
      <c r="AF38" s="1316">
        <f t="shared" si="45"/>
        <v>0</v>
      </c>
      <c r="AL38" s="2553"/>
      <c r="AM38" s="2553"/>
      <c r="AN38" s="2554"/>
      <c r="AO38" s="2553"/>
      <c r="AP38" s="2553"/>
      <c r="AQ38" s="2553"/>
      <c r="BA38" s="331" t="str">
        <f t="shared" si="16"/>
        <v>Fiche infoA6</v>
      </c>
      <c r="BB38" s="107">
        <f t="shared" si="31"/>
        <v>46074</v>
      </c>
      <c r="BC38" s="170">
        <f>+$D$13+20</f>
        <v>46074</v>
      </c>
      <c r="BD38" s="171" t="str">
        <f t="shared" si="32"/>
        <v/>
      </c>
      <c r="BE38" s="171" t="str">
        <f>+IF(OR(BF38=S.CAL!$BJ$3,BF38=S.CAL!$BJ$4),BD38,"")</f>
        <v/>
      </c>
      <c r="BF38" s="333">
        <f>IF($DY$5=S.CAL!$CU$2,Février!AR40,IF($DY$5=S.CAL!$CU$3,VLOOKUP(BC38,planning_fp,7,FALSE),""))</f>
        <v>0</v>
      </c>
      <c r="BG38" s="345" t="str">
        <f>Février!BL40</f>
        <v>A</v>
      </c>
      <c r="BH38" s="355"/>
      <c r="BI38" s="355"/>
      <c r="BJ38" s="355"/>
      <c r="BK38" s="355"/>
      <c r="BL38" s="35"/>
      <c r="BO38" s="29"/>
      <c r="BP38" s="34"/>
      <c r="BS38" s="189"/>
      <c r="BT38" s="189"/>
      <c r="BV38" s="355"/>
      <c r="BW38" s="355"/>
      <c r="BX38" s="355"/>
      <c r="BY38" s="355"/>
      <c r="BZ38" s="355"/>
      <c r="CA38" s="355"/>
      <c r="CB38" s="355"/>
      <c r="CD38" s="328"/>
      <c r="CE38" s="107">
        <f t="shared" si="33"/>
        <v>46074</v>
      </c>
      <c r="CF38" s="170">
        <f>+$D$13+20</f>
        <v>46074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IF(+Février!AG40="",0,Février!AG40)</f>
        <v>0</v>
      </c>
      <c r="DZ38" s="16">
        <f>+IF(Février!AJ40="",0,Février!AJ40)</f>
        <v>0</v>
      </c>
      <c r="EA38" s="16">
        <f>+IF(Février!AM40="",0,Février!AM40)</f>
        <v>0</v>
      </c>
      <c r="EB38" s="16">
        <f t="shared" si="25"/>
        <v>0</v>
      </c>
      <c r="ED38" s="16">
        <f t="shared" si="26"/>
        <v>0</v>
      </c>
      <c r="EE38" s="16">
        <f t="shared" si="17"/>
        <v>0</v>
      </c>
      <c r="EF38" s="30" t="str">
        <f t="shared" si="18"/>
        <v/>
      </c>
      <c r="EG38" s="30" t="str">
        <f t="shared" si="27"/>
        <v/>
      </c>
      <c r="EH38" s="16">
        <f t="shared" si="28"/>
        <v>0</v>
      </c>
      <c r="EI38" s="30"/>
      <c r="EJ38" s="30">
        <f t="shared" si="19"/>
        <v>46074</v>
      </c>
      <c r="EM38" s="16" t="str">
        <f t="shared" si="29"/>
        <v>Fiche infoA646074</v>
      </c>
      <c r="EN38" s="16">
        <f t="shared" si="20"/>
        <v>0</v>
      </c>
      <c r="EQ38" s="16" t="str">
        <f>Février!FS40</f>
        <v/>
      </c>
    </row>
    <row r="39" spans="1:147" ht="18" customHeight="1" x14ac:dyDescent="0.2">
      <c r="A39" s="24" t="str">
        <f>+Février!BJ41</f>
        <v>Fiche infoA7</v>
      </c>
      <c r="B39" s="107">
        <f t="shared" si="30"/>
        <v>46075</v>
      </c>
      <c r="C39" s="170">
        <f>+$D$13+21</f>
        <v>46075</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Février!BC41</f>
        <v>0</v>
      </c>
      <c r="J39" s="34">
        <f>Février!BE41</f>
        <v>0</v>
      </c>
      <c r="K39" s="34">
        <f t="shared" si="15"/>
        <v>0</v>
      </c>
      <c r="L39" s="34" t="str">
        <f t="shared" si="21"/>
        <v/>
      </c>
      <c r="N39" s="377"/>
      <c r="O39" s="468"/>
      <c r="P39" s="469" t="str">
        <f>+E10&amp;" / ( "&amp;E10&amp;" + "&amp;E11&amp;" ) ="</f>
        <v>0 / ( 0 + 0 ) =</v>
      </c>
      <c r="Q39" s="468" t="e">
        <f>ROUND(+E10/(E11+E10),6)</f>
        <v>#DIV/0!</v>
      </c>
      <c r="R39" s="377"/>
      <c r="U39" s="1301" t="str">
        <f>+Février!AU9</f>
        <v>A</v>
      </c>
      <c r="V39" s="1301"/>
      <c r="W39" s="2538" t="str">
        <f>Février!BS33</f>
        <v xml:space="preserve">Semaine numéro : </v>
      </c>
      <c r="X39" s="2538"/>
      <c r="Y39" s="2538"/>
      <c r="Z39" s="1323"/>
      <c r="AA39" s="1316">
        <f t="shared" si="46"/>
        <v>0</v>
      </c>
      <c r="AB39" s="1316">
        <f t="shared" si="44"/>
        <v>0</v>
      </c>
      <c r="AC39" s="1322">
        <f>+SUMIF(Février!$BK$20:$BK$50,Février!AT9,$D$18:$D$48)</f>
        <v>0</v>
      </c>
      <c r="AD39" s="1322">
        <f>+SUMIF(Janvier!$BK$20:$BK$50,Février!AT9,'Retenue Janv'!$D$18:$D$48)</f>
        <v>0</v>
      </c>
      <c r="AE39" s="1322">
        <f>+SUMIF(Mars!$BK$20:$BK$50,Février!AT9,'Retenue Mars'!$D$18:$D$48)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infoA7</v>
      </c>
      <c r="BB39" s="107">
        <f t="shared" si="31"/>
        <v>46075</v>
      </c>
      <c r="BC39" s="170">
        <f>+$D$13+21</f>
        <v>46075</v>
      </c>
      <c r="BD39" s="171" t="str">
        <f t="shared" si="32"/>
        <v/>
      </c>
      <c r="BE39" s="171" t="str">
        <f>+IF(OR(BF39=S.CAL!$BJ$3,BF39=S.CAL!$BJ$4),BD39,"")</f>
        <v/>
      </c>
      <c r="BF39" s="333">
        <f>IF($DY$5=S.CAL!$CU$2,Février!AR41,IF($DY$5=S.CAL!$CU$3,VLOOKUP(BC39,planning_fp,7,FALSE),""))</f>
        <v>0</v>
      </c>
      <c r="BG39" s="345" t="str">
        <f>Février!BL41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46075</v>
      </c>
      <c r="CF39" s="170">
        <f>+$D$13+21</f>
        <v>46075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IF(+Février!AG41="",0,Février!AG41)</f>
        <v>0</v>
      </c>
      <c r="DZ39" s="16">
        <f>+IF(Février!AJ41="",0,Février!AJ41)</f>
        <v>0</v>
      </c>
      <c r="EA39" s="16">
        <f>+IF(Février!AM41="",0,Février!AM41)</f>
        <v>0</v>
      </c>
      <c r="EB39" s="16">
        <f t="shared" si="25"/>
        <v>0</v>
      </c>
      <c r="ED39" s="16">
        <f t="shared" si="26"/>
        <v>0</v>
      </c>
      <c r="EE39" s="16">
        <f t="shared" si="17"/>
        <v>0</v>
      </c>
      <c r="EF39" s="30" t="str">
        <f t="shared" si="18"/>
        <v/>
      </c>
      <c r="EG39" s="30" t="str">
        <f t="shared" si="27"/>
        <v/>
      </c>
      <c r="EH39" s="16">
        <f t="shared" si="28"/>
        <v>0</v>
      </c>
      <c r="EI39" s="30"/>
      <c r="EJ39" s="30">
        <f t="shared" si="19"/>
        <v>46075</v>
      </c>
      <c r="EM39" s="16" t="str">
        <f t="shared" si="29"/>
        <v>Fiche infoA746075</v>
      </c>
      <c r="EN39" s="16">
        <f t="shared" si="20"/>
        <v>0</v>
      </c>
      <c r="EQ39" s="16" t="str">
        <f>Février!FS41</f>
        <v/>
      </c>
    </row>
    <row r="40" spans="1:147" ht="18" customHeight="1" x14ac:dyDescent="0.2">
      <c r="A40" s="24" t="str">
        <f>+Février!BJ42</f>
        <v>Fiche infoA1</v>
      </c>
      <c r="B40" s="107">
        <f t="shared" si="30"/>
        <v>46076</v>
      </c>
      <c r="C40" s="170">
        <f>+$D$13+22</f>
        <v>46076</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Février!BC42</f>
        <v>0</v>
      </c>
      <c r="J40" s="34">
        <f>Février!BE42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infoA1</v>
      </c>
      <c r="BB40" s="107">
        <f t="shared" si="31"/>
        <v>46076</v>
      </c>
      <c r="BC40" s="170">
        <f>+$D$13+22</f>
        <v>46076</v>
      </c>
      <c r="BD40" s="171" t="str">
        <f t="shared" si="32"/>
        <v/>
      </c>
      <c r="BE40" s="171" t="str">
        <f>+IF(OR(BF40=S.CAL!$BJ$3,BF40=S.CAL!$BJ$4),BD40,"")</f>
        <v/>
      </c>
      <c r="BF40" s="333">
        <f>IF($DY$5=S.CAL!$CU$2,Février!AR42,IF($DY$5=S.CAL!$CU$3,VLOOKUP(BC40,planning_fp,7,FALSE),""))</f>
        <v>0</v>
      </c>
      <c r="BG40" s="345" t="str">
        <f>Février!BL42</f>
        <v>A</v>
      </c>
      <c r="BH40" s="355"/>
      <c r="BI40" s="355"/>
      <c r="BJ40" s="355"/>
      <c r="BK40" s="355"/>
      <c r="BL40" s="35"/>
      <c r="BN40" s="19"/>
      <c r="BO40" s="39"/>
      <c r="BP40" s="194"/>
      <c r="BV40" s="355"/>
      <c r="BW40" s="355"/>
      <c r="BX40" s="372"/>
      <c r="BY40" s="355"/>
      <c r="BZ40" s="355"/>
      <c r="CA40" s="355"/>
      <c r="CB40" s="355"/>
      <c r="CD40" s="328"/>
      <c r="CE40" s="107">
        <f t="shared" si="33"/>
        <v>46076</v>
      </c>
      <c r="CF40" s="170">
        <f>+$D$13+22</f>
        <v>46076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IF(+Février!AG42="",0,Février!AG42)</f>
        <v>0</v>
      </c>
      <c r="DZ40" s="16">
        <f>+IF(Février!AJ42="",0,Février!AJ42)</f>
        <v>0</v>
      </c>
      <c r="EA40" s="16">
        <f>+IF(Février!AM42="",0,Février!AM42)</f>
        <v>0</v>
      </c>
      <c r="EB40" s="16">
        <f t="shared" si="25"/>
        <v>0</v>
      </c>
      <c r="ED40" s="16">
        <f t="shared" si="26"/>
        <v>0</v>
      </c>
      <c r="EE40" s="16">
        <f t="shared" si="17"/>
        <v>0</v>
      </c>
      <c r="EF40" s="30" t="str">
        <f t="shared" si="18"/>
        <v/>
      </c>
      <c r="EG40" s="30" t="str">
        <f t="shared" si="27"/>
        <v/>
      </c>
      <c r="EH40" s="16">
        <f t="shared" si="28"/>
        <v>0</v>
      </c>
      <c r="EI40" s="30"/>
      <c r="EJ40" s="30">
        <f t="shared" si="19"/>
        <v>46076</v>
      </c>
      <c r="EM40" s="16" t="str">
        <f t="shared" si="29"/>
        <v>Fiche infoA146076</v>
      </c>
      <c r="EN40" s="16">
        <f t="shared" si="20"/>
        <v>0</v>
      </c>
      <c r="EQ40" s="16" t="str">
        <f>Février!FS42</f>
        <v/>
      </c>
    </row>
    <row r="41" spans="1:147" ht="18" customHeight="1" x14ac:dyDescent="0.2">
      <c r="A41" s="24" t="str">
        <f>+Février!BJ43</f>
        <v>Fiche infoA2</v>
      </c>
      <c r="B41" s="107">
        <f t="shared" si="30"/>
        <v>46077</v>
      </c>
      <c r="C41" s="170">
        <f>+$D$13+23</f>
        <v>46077</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Février!BC43</f>
        <v>0</v>
      </c>
      <c r="J41" s="34">
        <f>Février!BE43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infoA2</v>
      </c>
      <c r="BB41" s="107">
        <f t="shared" si="31"/>
        <v>46077</v>
      </c>
      <c r="BC41" s="170">
        <f>+$D$13+23</f>
        <v>46077</v>
      </c>
      <c r="BD41" s="171" t="str">
        <f t="shared" si="32"/>
        <v/>
      </c>
      <c r="BE41" s="171" t="str">
        <f>+IF(OR(BF41=S.CAL!$BJ$3,BF41=S.CAL!$BJ$4),BD41,"")</f>
        <v/>
      </c>
      <c r="BF41" s="333">
        <f>IF($DY$5=S.CAL!$CU$2,Février!AR43,IF($DY$5=S.CAL!$CU$3,VLOOKUP(BC41,planning_fp,7,FALSE),""))</f>
        <v>0</v>
      </c>
      <c r="BG41" s="345" t="str">
        <f>Février!BL43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46077</v>
      </c>
      <c r="CF41" s="170">
        <f>+$D$13+23</f>
        <v>46077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IF(+Février!AG43="",0,Février!AG43)</f>
        <v>0</v>
      </c>
      <c r="DZ41" s="16">
        <f>+IF(Février!AJ43="",0,Février!AJ43)</f>
        <v>0</v>
      </c>
      <c r="EA41" s="16">
        <f>+IF(Février!AM43="",0,Février!AM43)</f>
        <v>0</v>
      </c>
      <c r="EB41" s="16">
        <f t="shared" si="25"/>
        <v>0</v>
      </c>
      <c r="ED41" s="16">
        <f t="shared" si="26"/>
        <v>0</v>
      </c>
      <c r="EE41" s="16">
        <f t="shared" si="17"/>
        <v>0</v>
      </c>
      <c r="EF41" s="30" t="str">
        <f t="shared" si="18"/>
        <v/>
      </c>
      <c r="EG41" s="30" t="str">
        <f t="shared" si="27"/>
        <v/>
      </c>
      <c r="EH41" s="16">
        <f t="shared" si="28"/>
        <v>0</v>
      </c>
      <c r="EI41" s="30"/>
      <c r="EJ41" s="30">
        <f t="shared" si="19"/>
        <v>46077</v>
      </c>
      <c r="EM41" s="16" t="str">
        <f t="shared" si="29"/>
        <v>Fiche infoA246077</v>
      </c>
      <c r="EN41" s="16">
        <f t="shared" si="20"/>
        <v>0</v>
      </c>
      <c r="EQ41" s="16" t="str">
        <f>Février!FS43</f>
        <v/>
      </c>
    </row>
    <row r="42" spans="1:147" ht="18" customHeight="1" x14ac:dyDescent="0.2">
      <c r="A42" s="24" t="str">
        <f>+Février!BJ44</f>
        <v>Fiche infoA3</v>
      </c>
      <c r="B42" s="107">
        <f t="shared" si="30"/>
        <v>46078</v>
      </c>
      <c r="C42" s="170">
        <f>+$D$13+24</f>
        <v>46078</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Février!BC44</f>
        <v>0</v>
      </c>
      <c r="J42" s="34">
        <f>Février!BE44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infoA3</v>
      </c>
      <c r="BB42" s="107">
        <f t="shared" si="31"/>
        <v>46078</v>
      </c>
      <c r="BC42" s="170">
        <f>+$D$13+24</f>
        <v>46078</v>
      </c>
      <c r="BD42" s="171" t="str">
        <f t="shared" si="32"/>
        <v/>
      </c>
      <c r="BE42" s="171" t="str">
        <f>+IF(OR(BF42=S.CAL!$BJ$3,BF42=S.CAL!$BJ$4),BD42,"")</f>
        <v/>
      </c>
      <c r="BF42" s="333">
        <f>IF($DY$5=S.CAL!$CU$2,Février!AR44,IF($DY$5=S.CAL!$CU$3,VLOOKUP(BC42,planning_fp,7,FALSE),""))</f>
        <v>0</v>
      </c>
      <c r="BG42" s="345" t="str">
        <f>Février!BL44</f>
        <v>A</v>
      </c>
      <c r="BH42" s="356"/>
      <c r="BI42" s="358"/>
      <c r="BJ42" s="355"/>
      <c r="BK42" s="355"/>
      <c r="BL42" s="35"/>
      <c r="BV42" s="355"/>
      <c r="BW42" s="355"/>
      <c r="BX42" s="355"/>
      <c r="BY42" s="355"/>
      <c r="BZ42" s="355"/>
      <c r="CA42" s="355"/>
      <c r="CB42" s="355"/>
      <c r="CD42" s="328"/>
      <c r="CE42" s="107">
        <f t="shared" si="33"/>
        <v>46078</v>
      </c>
      <c r="CF42" s="170">
        <f>+$D$13+24</f>
        <v>46078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IF(+Février!AG44="",0,Février!AG44)</f>
        <v>0</v>
      </c>
      <c r="DZ42" s="16">
        <f>+IF(Février!AJ44="",0,Février!AJ44)</f>
        <v>0</v>
      </c>
      <c r="EA42" s="16">
        <f>+IF(Février!AM44="",0,Février!AM44)</f>
        <v>0</v>
      </c>
      <c r="EB42" s="16">
        <f t="shared" si="25"/>
        <v>0</v>
      </c>
      <c r="ED42" s="16">
        <f t="shared" si="26"/>
        <v>0</v>
      </c>
      <c r="EE42" s="16">
        <f t="shared" si="17"/>
        <v>0</v>
      </c>
      <c r="EF42" s="30" t="str">
        <f t="shared" si="18"/>
        <v/>
      </c>
      <c r="EG42" s="30" t="str">
        <f t="shared" si="27"/>
        <v/>
      </c>
      <c r="EH42" s="16">
        <f t="shared" si="28"/>
        <v>0</v>
      </c>
      <c r="EI42" s="30"/>
      <c r="EJ42" s="30">
        <f t="shared" si="19"/>
        <v>46078</v>
      </c>
      <c r="EM42" s="16" t="str">
        <f t="shared" si="29"/>
        <v>Fiche infoA346078</v>
      </c>
      <c r="EN42" s="16">
        <f t="shared" si="20"/>
        <v>0</v>
      </c>
      <c r="EQ42" s="16" t="str">
        <f>Février!FS44</f>
        <v/>
      </c>
    </row>
    <row r="43" spans="1:147" ht="18" customHeight="1" x14ac:dyDescent="0.2">
      <c r="A43" s="24" t="str">
        <f>+Février!BJ45</f>
        <v>Fiche infoA4</v>
      </c>
      <c r="B43" s="107">
        <f t="shared" si="30"/>
        <v>46079</v>
      </c>
      <c r="C43" s="170">
        <f>+$D$13+25</f>
        <v>46079</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Février!BC45</f>
        <v>0</v>
      </c>
      <c r="J43" s="34">
        <f>Février!BE45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infoA4</v>
      </c>
      <c r="BB43" s="107">
        <f t="shared" si="31"/>
        <v>46079</v>
      </c>
      <c r="BC43" s="170">
        <f>+$D$13+25</f>
        <v>46079</v>
      </c>
      <c r="BD43" s="171" t="str">
        <f t="shared" si="32"/>
        <v/>
      </c>
      <c r="BE43" s="171" t="str">
        <f>+IF(OR(BF43=S.CAL!$BJ$3,BF43=S.CAL!$BJ$4),BD43,"")</f>
        <v/>
      </c>
      <c r="BF43" s="333">
        <f>IF($DY$5=S.CAL!$CU$2,Février!AR45,IF($DY$5=S.CAL!$CU$3,VLOOKUP(BC43,planning_fp,7,FALSE),""))</f>
        <v>0</v>
      </c>
      <c r="BG43" s="345" t="str">
        <f>Février!BL45</f>
        <v>A</v>
      </c>
      <c r="BH43" s="24"/>
      <c r="BI43" s="24" t="s">
        <v>696</v>
      </c>
      <c r="BJ43" s="24"/>
      <c r="BK43" s="355"/>
      <c r="BL43" s="35"/>
      <c r="BV43" s="355"/>
      <c r="BW43" s="355"/>
      <c r="BX43" s="355"/>
      <c r="BY43" s="355"/>
      <c r="BZ43" s="355"/>
      <c r="CA43" s="355"/>
      <c r="CB43" s="355"/>
      <c r="CD43" s="328"/>
      <c r="CE43" s="107">
        <f t="shared" si="33"/>
        <v>46079</v>
      </c>
      <c r="CF43" s="170">
        <f>+$D$13+25</f>
        <v>46079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IF(+Février!AG45="",0,Février!AG45)</f>
        <v>0</v>
      </c>
      <c r="DZ43" s="16">
        <f>+IF(Février!AJ45="",0,Février!AJ45)</f>
        <v>0</v>
      </c>
      <c r="EA43" s="16">
        <f>+IF(Février!AM45="",0,Février!AM45)</f>
        <v>0</v>
      </c>
      <c r="EB43" s="16">
        <f t="shared" si="25"/>
        <v>0</v>
      </c>
      <c r="ED43" s="16">
        <f t="shared" si="26"/>
        <v>0</v>
      </c>
      <c r="EE43" s="16">
        <f t="shared" si="17"/>
        <v>0</v>
      </c>
      <c r="EF43" s="30" t="str">
        <f t="shared" si="18"/>
        <v/>
      </c>
      <c r="EG43" s="30" t="str">
        <f t="shared" si="27"/>
        <v/>
      </c>
      <c r="EH43" s="16">
        <f t="shared" si="28"/>
        <v>0</v>
      </c>
      <c r="EI43" s="30"/>
      <c r="EJ43" s="30">
        <f t="shared" si="19"/>
        <v>46079</v>
      </c>
      <c r="EM43" s="16" t="str">
        <f t="shared" si="29"/>
        <v>Fiche infoA446079</v>
      </c>
      <c r="EN43" s="16">
        <f t="shared" si="20"/>
        <v>0</v>
      </c>
      <c r="EQ43" s="16" t="str">
        <f>Février!FS45</f>
        <v/>
      </c>
    </row>
    <row r="44" spans="1:147" ht="18" customHeight="1" x14ac:dyDescent="0.25">
      <c r="A44" s="24" t="str">
        <f>+Février!BJ46</f>
        <v>Fiche infoA5</v>
      </c>
      <c r="B44" s="107">
        <f t="shared" si="30"/>
        <v>46080</v>
      </c>
      <c r="C44" s="170">
        <f>+$D$13+26</f>
        <v>46080</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Février!BC46</f>
        <v>0</v>
      </c>
      <c r="J44" s="34">
        <f>Février!BE46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infoA5</v>
      </c>
      <c r="BB44" s="107">
        <f t="shared" si="31"/>
        <v>46080</v>
      </c>
      <c r="BC44" s="170">
        <f>+$D$13+26</f>
        <v>46080</v>
      </c>
      <c r="BD44" s="171" t="str">
        <f t="shared" si="32"/>
        <v/>
      </c>
      <c r="BE44" s="171" t="str">
        <f>+IF(OR(BF44=S.CAL!$BJ$3,BF44=S.CAL!$BJ$4),BD44,"")</f>
        <v/>
      </c>
      <c r="BF44" s="333">
        <f>IF($DY$5=S.CAL!$CU$2,Février!AR46,IF($DY$5=S.CAL!$CU$3,VLOOKUP(BC44,planning_fp,7,FALSE),""))</f>
        <v>0</v>
      </c>
      <c r="BG44" s="345" t="str">
        <f>Février!BL46</f>
        <v>A</v>
      </c>
      <c r="BH44" s="24" t="s">
        <v>788</v>
      </c>
      <c r="BI44" s="24"/>
      <c r="BJ44" s="24"/>
      <c r="BK44" s="355"/>
      <c r="BL44" s="35"/>
      <c r="BV44" s="355"/>
      <c r="BW44" s="355"/>
      <c r="BX44" s="355"/>
      <c r="BY44" s="355"/>
      <c r="BZ44" s="355"/>
      <c r="CA44" s="355"/>
      <c r="CB44" s="355"/>
      <c r="CD44" s="328"/>
      <c r="CE44" s="107">
        <f t="shared" si="33"/>
        <v>46080</v>
      </c>
      <c r="CF44" s="170">
        <f>+$D$13+26</f>
        <v>46080</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IF(+Février!AG46="",0,Février!AG46)</f>
        <v>0</v>
      </c>
      <c r="DZ44" s="16">
        <f>+IF(Février!AJ46="",0,Février!AJ46)</f>
        <v>0</v>
      </c>
      <c r="EA44" s="16">
        <f>+IF(Février!AM46="",0,Février!AM46)</f>
        <v>0</v>
      </c>
      <c r="EB44" s="16">
        <f t="shared" si="25"/>
        <v>0</v>
      </c>
      <c r="ED44" s="16">
        <f t="shared" si="26"/>
        <v>0</v>
      </c>
      <c r="EE44" s="16">
        <f t="shared" si="17"/>
        <v>0</v>
      </c>
      <c r="EF44" s="30" t="str">
        <f t="shared" si="18"/>
        <v/>
      </c>
      <c r="EG44" s="30" t="str">
        <f t="shared" si="27"/>
        <v/>
      </c>
      <c r="EH44" s="16">
        <f t="shared" si="28"/>
        <v>0</v>
      </c>
      <c r="EI44" s="30"/>
      <c r="EJ44" s="30">
        <f t="shared" si="19"/>
        <v>46080</v>
      </c>
      <c r="EM44" s="16" t="str">
        <f t="shared" si="29"/>
        <v>Fiche infoA546080</v>
      </c>
      <c r="EN44" s="16">
        <f t="shared" si="20"/>
        <v>0</v>
      </c>
      <c r="EQ44" s="16" t="str">
        <f>Février!FS46</f>
        <v/>
      </c>
    </row>
    <row r="45" spans="1:147" ht="18" customHeight="1" x14ac:dyDescent="0.2">
      <c r="A45" s="24" t="str">
        <f>+Février!BJ47</f>
        <v>Fiche infoA6</v>
      </c>
      <c r="B45" s="107">
        <f t="shared" si="30"/>
        <v>46081</v>
      </c>
      <c r="C45" s="170">
        <f>IF(C$18+27&lt;DATE(YEAR(O$13),MONTH(O$13),DAY(O$13)),C$18+27,"")</f>
        <v>46081</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Février!BC47</f>
        <v>0</v>
      </c>
      <c r="J45" s="34">
        <f>Février!BE47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infoA6</v>
      </c>
      <c r="BB45" s="107">
        <f t="shared" si="31"/>
        <v>46081</v>
      </c>
      <c r="BC45" s="170">
        <f>IF(BC$18+27&lt;DATE(YEAR(BH$13),MONTH(BH$13),DAY(BH$13)),BC$18+27,"")</f>
        <v>46081</v>
      </c>
      <c r="BD45" s="171" t="str">
        <f t="shared" si="32"/>
        <v/>
      </c>
      <c r="BE45" s="171" t="str">
        <f>+IF(OR(BF45=S.CAL!$BJ$3,BF45=S.CAL!$BJ$4),BD45,"")</f>
        <v/>
      </c>
      <c r="BF45" s="333">
        <f>IF($DY$5=S.CAL!$CU$2,Février!AR47,IF($DY$5=S.CAL!$CU$3,VLOOKUP(BC45,planning_fp,7,FALSE),""))</f>
        <v>0</v>
      </c>
      <c r="BG45" s="345" t="str">
        <f>Février!BL47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46081</v>
      </c>
      <c r="CF45" s="170">
        <f>IF(CF$18+27&lt;DATE(YEAR(CQ$13),MONTH(CQ$13),DAY(CQ$13)),CF$18+27,"")</f>
        <v>46081</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IF(+Février!AG47="",0,Février!AG47)</f>
        <v>0</v>
      </c>
      <c r="DZ45" s="16">
        <f>+IF(Février!AJ47="",0,Février!AJ47)</f>
        <v>0</v>
      </c>
      <c r="EA45" s="16">
        <f>+IF(Février!AM47="",0,Février!AM47)</f>
        <v>0</v>
      </c>
      <c r="EB45" s="16">
        <f t="shared" si="25"/>
        <v>0</v>
      </c>
      <c r="ED45" s="16">
        <f t="shared" si="26"/>
        <v>0</v>
      </c>
      <c r="EE45" s="16">
        <f t="shared" si="17"/>
        <v>0</v>
      </c>
      <c r="EF45" s="30" t="str">
        <f t="shared" si="18"/>
        <v/>
      </c>
      <c r="EG45" s="30" t="str">
        <f t="shared" si="27"/>
        <v/>
      </c>
      <c r="EH45" s="16">
        <f t="shared" si="28"/>
        <v>0</v>
      </c>
      <c r="EI45" s="30"/>
      <c r="EJ45" s="30">
        <f t="shared" si="19"/>
        <v>46081</v>
      </c>
      <c r="EM45" s="16" t="str">
        <f t="shared" si="29"/>
        <v>Fiche infoA646081</v>
      </c>
      <c r="EN45" s="16">
        <f t="shared" si="20"/>
        <v>0</v>
      </c>
      <c r="EQ45" s="16" t="str">
        <f>Février!FS47</f>
        <v/>
      </c>
    </row>
    <row r="46" spans="1:147" ht="18" customHeight="1" x14ac:dyDescent="0.2">
      <c r="A46" s="24" t="str">
        <f>+Février!BJ48</f>
        <v>Fiche infoA0</v>
      </c>
      <c r="B46" s="107" t="str">
        <f t="shared" si="30"/>
        <v/>
      </c>
      <c r="C46" s="170" t="str">
        <f>IF(C$18+28&lt;DATE(YEAR(O$13),MONTH(O$13),DAY(O$13)),C$18+28,"")</f>
        <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f t="shared" si="14"/>
        <v>0</v>
      </c>
      <c r="I46" s="34">
        <f>Février!BC48</f>
        <v>0</v>
      </c>
      <c r="J46" s="34">
        <f>Février!BE48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infoA0</v>
      </c>
      <c r="BB46" s="107" t="str">
        <f t="shared" si="31"/>
        <v/>
      </c>
      <c r="BC46" s="170" t="str">
        <f>IF(BC$18+28&lt;DATE(YEAR(BH$13),MONTH(BH$13),DAY(BH$13)),BC$18+28,"")</f>
        <v/>
      </c>
      <c r="BD46" s="171" t="str">
        <f t="shared" si="32"/>
        <v/>
      </c>
      <c r="BE46" s="171" t="str">
        <f>+IF(OR(BF46=S.CAL!$BJ$3,BF46=S.CAL!$BJ$4),BD46,"")</f>
        <v/>
      </c>
      <c r="BF46" s="333">
        <f>IF($DY$5=S.CAL!$CU$2,Février!AR48,IF($DY$5=S.CAL!$CU$3,VLOOKUP(BC46,planning_fp,7,FALSE),""))</f>
        <v>0</v>
      </c>
      <c r="BG46" s="345" t="str">
        <f>Février!BL48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t="str">
        <f t="shared" si="33"/>
        <v/>
      </c>
      <c r="CF46" s="170" t="str">
        <f>IF(CF$18+28&lt;DATE(YEAR(CQ$13),MONTH(CQ$13),DAY(CQ$13)),CF$18+28,"")</f>
        <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IF(+Février!AG48="",0,Février!AG48)</f>
        <v>0</v>
      </c>
      <c r="DZ46" s="16">
        <f>+IF(Février!AJ48="",0,Février!AJ48)</f>
        <v>0</v>
      </c>
      <c r="EA46" s="16">
        <f>+IF(Février!AM48="",0,Février!AM48)</f>
        <v>0</v>
      </c>
      <c r="EB46" s="16">
        <f t="shared" si="25"/>
        <v>0</v>
      </c>
      <c r="ED46" s="16">
        <f t="shared" si="26"/>
        <v>0</v>
      </c>
      <c r="EE46" s="16">
        <f t="shared" si="17"/>
        <v>0</v>
      </c>
      <c r="EF46" s="30" t="str">
        <f t="shared" si="18"/>
        <v/>
      </c>
      <c r="EG46" s="30" t="str">
        <f t="shared" si="27"/>
        <v/>
      </c>
      <c r="EH46" s="16">
        <f t="shared" si="28"/>
        <v>0</v>
      </c>
      <c r="EI46" s="30"/>
      <c r="EJ46" s="30" t="str">
        <f t="shared" si="19"/>
        <v/>
      </c>
      <c r="EM46" s="16" t="str">
        <f t="shared" si="29"/>
        <v>Fiche infoA0</v>
      </c>
      <c r="EN46" s="16">
        <f t="shared" si="20"/>
        <v>0</v>
      </c>
      <c r="EQ46" s="16" t="str">
        <f>Février!FS48</f>
        <v/>
      </c>
    </row>
    <row r="47" spans="1:147" ht="18" customHeight="1" x14ac:dyDescent="0.2">
      <c r="A47" s="24" t="str">
        <f>+Février!BJ49</f>
        <v>Fiche infoA0</v>
      </c>
      <c r="B47" s="107" t="str">
        <f t="shared" si="30"/>
        <v/>
      </c>
      <c r="C47" s="170" t="str">
        <f>IF(C$18+29&lt;DATE(YEAR(O$13),MONTH(O$13),DAY(O$13)),C$18+29,"")</f>
        <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f t="shared" si="14"/>
        <v>0</v>
      </c>
      <c r="I47" s="34">
        <f>Février!BC49</f>
        <v>0</v>
      </c>
      <c r="J47" s="34">
        <f>Février!BE49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infoA0</v>
      </c>
      <c r="BB47" s="107" t="str">
        <f t="shared" si="31"/>
        <v/>
      </c>
      <c r="BC47" s="170" t="str">
        <f>IF(BC$18+29&lt;DATE(YEAR(BH$13),MONTH(BH$13),DAY(BH$13)),BC$18+29,"")</f>
        <v/>
      </c>
      <c r="BD47" s="171" t="str">
        <f t="shared" si="32"/>
        <v/>
      </c>
      <c r="BE47" s="171" t="str">
        <f>+IF(OR(BF47=S.CAL!$BJ$3,BF47=S.CAL!$BJ$4),BD47,"")</f>
        <v/>
      </c>
      <c r="BF47" s="333">
        <f>IF($DY$5=S.CAL!$CU$2,Février!AR49,IF($DY$5=S.CAL!$CU$3,VLOOKUP(BC47,planning_fp,7,FALSE),""))</f>
        <v>0</v>
      </c>
      <c r="BG47" s="345" t="str">
        <f>Février!BL49</f>
        <v>A</v>
      </c>
      <c r="BH47" s="355"/>
      <c r="BI47" s="355"/>
      <c r="BJ47" s="355"/>
      <c r="BK47" s="355"/>
      <c r="BL47" s="35"/>
      <c r="BV47" s="355"/>
      <c r="BW47" s="355"/>
      <c r="BX47" s="355"/>
      <c r="BY47" s="355"/>
      <c r="BZ47" s="355"/>
      <c r="CA47" s="355"/>
      <c r="CB47" s="355"/>
      <c r="CD47" s="328"/>
      <c r="CE47" s="107" t="str">
        <f t="shared" si="33"/>
        <v/>
      </c>
      <c r="CF47" s="170" t="str">
        <f>IF(CF$18+29&lt;DATE(YEAR(CQ$13),MONTH(CQ$13),DAY(CQ$13)),CF$18+29,"")</f>
        <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IF(+Février!AG49="",0,Février!AG49)</f>
        <v>0</v>
      </c>
      <c r="DZ47" s="16">
        <f>+IF(Février!AJ49="",0,Février!AJ49)</f>
        <v>0</v>
      </c>
      <c r="EA47" s="16">
        <f>+IF(Février!AM49="",0,Février!AM49)</f>
        <v>0</v>
      </c>
      <c r="EB47" s="16">
        <f t="shared" si="25"/>
        <v>0</v>
      </c>
      <c r="ED47" s="16">
        <f t="shared" si="26"/>
        <v>0</v>
      </c>
      <c r="EE47" s="16">
        <f t="shared" si="17"/>
        <v>0</v>
      </c>
      <c r="EF47" s="30" t="str">
        <f t="shared" si="18"/>
        <v/>
      </c>
      <c r="EG47" s="30" t="str">
        <f t="shared" si="27"/>
        <v/>
      </c>
      <c r="EH47" s="16">
        <f t="shared" si="28"/>
        <v>0</v>
      </c>
      <c r="EI47" s="30"/>
      <c r="EJ47" s="30" t="str">
        <f t="shared" si="19"/>
        <v/>
      </c>
      <c r="EM47" s="16" t="str">
        <f t="shared" si="29"/>
        <v>Fiche infoA0</v>
      </c>
      <c r="EN47" s="16">
        <f t="shared" si="20"/>
        <v>0</v>
      </c>
      <c r="EQ47" s="16" t="str">
        <f>Février!FS49</f>
        <v/>
      </c>
    </row>
    <row r="48" spans="1:147" ht="18" customHeight="1" thickBot="1" x14ac:dyDescent="0.25">
      <c r="A48" s="24" t="str">
        <f>+Février!BJ50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Février!BC50</f>
        <v>0</v>
      </c>
      <c r="J48" s="34">
        <f>Février!BE50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5</v>
      </c>
      <c r="X48" s="2538"/>
      <c r="Y48" s="2538"/>
      <c r="Z48" s="1323" t="str">
        <f>+IF(Z34="","",Z34)</f>
        <v/>
      </c>
      <c r="AA48" s="1316">
        <f>+IF(Z48="",IF(AND(AD48&gt;0,AC48&gt;0),AD48+AC48,IF(AE48&gt;0,0,AC48)),Z48)</f>
        <v>0</v>
      </c>
      <c r="AB48" s="1316">
        <f>IF(AA48&gt;45,AA48-45,0)</f>
        <v>0</v>
      </c>
      <c r="AC48" s="1322">
        <f>+SUMIF(Février!$BK$20:$BK$50,Février!AT4,$D$18:$D$48)-SUMIF(Février!$BK$20:$BK$50,Février!AT4,$E$18:$E$48)</f>
        <v>0</v>
      </c>
      <c r="AD48" s="1322">
        <f>+SUMIF(Janvier!$BK$20:$BK$50,Février!AT4,'Retenue Janv'!$D$18:$D$48)-SUMIF(Janvier!$BK$20:$BK$50,Février!AT4,'Retenue Janv'!$E$18:$E$48)</f>
        <v>0</v>
      </c>
      <c r="AE48" s="1322">
        <f>+SUMIF(Mars!$BK$20:$BK$50,Février!AT4,'Retenue Mars'!$D$18:$D$48)-SUMIF(Mars!$BK$20:$BK$50,Février!AT4,'Retenue Mars'!$E$18:$E$48)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IF($DY$5=S.CAL!$CU$2,Février!AR50,IF($DY$5=S.CAL!$CU$3,VLOOKUP(BC48,planning_fp,7,FALSE),""))</f>
        <v>0</v>
      </c>
      <c r="BG48" s="346" t="str">
        <f>Février!BL50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534" t="str">
        <f t="shared" ref="CI48:CI53" si="56">W48</f>
        <v>Semaine numéro : 5</v>
      </c>
      <c r="CJ48" s="2535"/>
      <c r="CK48" s="2536"/>
      <c r="CL48" s="875" t="str">
        <f>+IF(CL34="","",CL34)</f>
        <v/>
      </c>
      <c r="CM48" s="656">
        <f>+IF(CL48="",IF(AND(CP48&gt;0,CO48&gt;0),CP48+CO48,IF(CQ48&gt;0,0,CO48)),CL48)</f>
        <v>0</v>
      </c>
      <c r="CN48" s="655">
        <f>IF(CM48&gt;45,CM48-45,0)</f>
        <v>0</v>
      </c>
      <c r="CO48" s="884">
        <f>+SUMIF(Février!$BK$20:$BK$50,Février!AT4,$CG$18:$CG$48)</f>
        <v>0</v>
      </c>
      <c r="CP48" s="884">
        <f>+SUMIF(Janvier!$BK$20:$BK$50,Février!AT4,'Retenue Janv'!$CG$18:$CG$48)</f>
        <v>0</v>
      </c>
      <c r="CQ48" s="884">
        <f>+SUMIF(Mars!$BK$20:$BK$50,Février!AT4,'Retenue Mars'!$CG$18:$CG$48)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IF(+Février!AG50="",0,Février!AG50)</f>
        <v>0</v>
      </c>
      <c r="DZ48" s="16">
        <f>+IF(Février!AJ50="",0,Février!AJ50)</f>
        <v>0</v>
      </c>
      <c r="EA48" s="16">
        <f>+IF(Février!AM50="",0,Février!AM50)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Février!FS50</f>
        <v/>
      </c>
    </row>
    <row r="49" spans="2:139" ht="18" customHeight="1" thickBot="1" x14ac:dyDescent="0.25">
      <c r="N49" s="24"/>
      <c r="O49" s="24"/>
      <c r="P49" s="24"/>
      <c r="Q49" s="24"/>
      <c r="R49" s="24"/>
      <c r="S49" s="1325"/>
      <c r="U49" s="1301"/>
      <c r="V49" s="1301"/>
      <c r="W49" s="2538" t="str">
        <f t="shared" si="55"/>
        <v>Semaine numéro : 6</v>
      </c>
      <c r="X49" s="2538"/>
      <c r="Y49" s="2538"/>
      <c r="Z49" s="1323" t="str">
        <f t="shared" ref="Z49:Z53" si="57">+IF(Z35="","",Z35)</f>
        <v/>
      </c>
      <c r="AA49" s="1316">
        <f t="shared" ref="AA49:AA53" si="58">+IF(Z49="",IF(AND(AD49&gt;0,AC49&gt;0),AD49+AC49,IF(AE49&gt;0,0,AC49)),Z49)</f>
        <v>0</v>
      </c>
      <c r="AB49" s="1316">
        <f t="shared" ref="AB49:AB53" si="59">IF(AA49&gt;45,AA49-45,0)</f>
        <v>0</v>
      </c>
      <c r="AC49" s="1322">
        <f>+SUMIF(Février!$BK$20:$BK$50,Février!AT5,$D$18:$D$48)-SUMIF(Février!$BK$20:$BK$50,Février!AT5,$E$18:$E$48)</f>
        <v>0</v>
      </c>
      <c r="AD49" s="1322">
        <f>+SUMIF(Janvier!$BK$20:$BK$50,Février!AT5,'Retenue Janv'!$D$18:$D$48)-SUMIF(Janvier!$BK$20:$BK$50,Février!AT5,'Retenue Janv'!$E$18:$E$48)</f>
        <v>0</v>
      </c>
      <c r="AE49" s="1322">
        <f>+SUMIF(Mars!$BK$20:$BK$50,Février!AT5,'Retenue Mars'!$D$18:$D$48)-SUMIF(Mars!$BK$20:$BK$50,Février!AT5,'Retenue Mars'!$E$18:$E$48)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6</v>
      </c>
      <c r="CJ49" s="2535"/>
      <c r="CK49" s="2536"/>
      <c r="CL49" s="875" t="str">
        <f t="shared" ref="CL49:CL53" si="61">+IF(CL35="","",CL35)</f>
        <v/>
      </c>
      <c r="CM49" s="656">
        <f t="shared" ref="CM49:CM53" si="62">+IF(CL49="",IF(AND(CP49&gt;0,CO49&gt;0),CP49+CO49,IF(CQ49&gt;0,0,CO49)),CL49)</f>
        <v>0</v>
      </c>
      <c r="CN49" s="655">
        <f t="shared" ref="CN49:CN53" si="63">IF(CM49&gt;45,CM49-45,0)</f>
        <v>0</v>
      </c>
      <c r="CO49" s="884">
        <f>+SUMIF(Février!$BK$20:$BK$50,Février!AT5,$CG$18:$CG$48)</f>
        <v>0</v>
      </c>
      <c r="CP49" s="884">
        <f>+SUMIF(Janvier!$BK$20:$BK$50,Février!AT5,'Retenue Janv'!$CG$18:$CG$48)</f>
        <v>0</v>
      </c>
      <c r="CQ49" s="884">
        <f>+SUMIF(Mars!$BK$20:$BK$50,Février!AT5,'Retenue Mars'!$CG$18:$CG$48)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7</v>
      </c>
      <c r="X50" s="2538"/>
      <c r="Y50" s="2538"/>
      <c r="Z50" s="1323" t="str">
        <f t="shared" si="57"/>
        <v/>
      </c>
      <c r="AA50" s="1316">
        <f t="shared" si="58"/>
        <v>0</v>
      </c>
      <c r="AB50" s="1316">
        <f t="shared" si="59"/>
        <v>0</v>
      </c>
      <c r="AC50" s="1322">
        <f>+SUMIF(Février!$BK$20:$BK$50,Février!AT6,$D$18:$D$48)-SUMIF(Février!$BK$20:$BK$50,Février!AT6,$E$18:$E$48)</f>
        <v>0</v>
      </c>
      <c r="AD50" s="1322">
        <f>+SUMIF(Janvier!$BK$20:$BK$50,Février!AT6,'Retenue Janv'!$D$18:$D$48)-SUMIF(Janvier!$BK$20:$BK$50,Février!AT6,'Retenue Janv'!$E$18:$E$48)</f>
        <v>0</v>
      </c>
      <c r="AE50" s="1322">
        <f>+SUMIF(Mars!$BK$20:$BK$50,Février!AT6,'Retenue Mars'!$D$18:$D$48)-SUMIF(Mars!$BK$20:$BK$50,Février!AT6,'Retenue Mars'!$E$18:$E$48)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7</v>
      </c>
      <c r="CJ50" s="2535"/>
      <c r="CK50" s="2536"/>
      <c r="CL50" s="875" t="str">
        <f t="shared" si="61"/>
        <v/>
      </c>
      <c r="CM50" s="656">
        <f t="shared" si="62"/>
        <v>0</v>
      </c>
      <c r="CN50" s="655">
        <f t="shared" si="63"/>
        <v>0</v>
      </c>
      <c r="CO50" s="884">
        <f>+SUMIF(Février!$BK$20:$BK$50,Février!AT6,$CG$18:$CG$48)</f>
        <v>0</v>
      </c>
      <c r="CP50" s="884">
        <f>+SUMIF(Janvier!$BK$20:$BK$50,Février!AT6,'Retenue Janv'!$CG$18:$CG$48)</f>
        <v>0</v>
      </c>
      <c r="CQ50" s="884">
        <f>+SUMIF(Mars!$BK$20:$BK$50,Février!AT6,'Retenue Mars'!$CG$18:$CG$48)</f>
        <v>0</v>
      </c>
      <c r="CR50" s="656">
        <f t="shared" si="64"/>
        <v>0</v>
      </c>
    </row>
    <row r="51" spans="2:139" ht="19.5" customHeight="1" thickBot="1" x14ac:dyDescent="0.25">
      <c r="B51" s="24"/>
      <c r="C51" s="24"/>
      <c r="D51" s="181" t="s">
        <v>1205</v>
      </c>
      <c r="E51" s="24">
        <f>+COUNTIF(C18:C48,"&gt;0")-E52</f>
        <v>28</v>
      </c>
      <c r="N51" s="24"/>
      <c r="O51" s="24"/>
      <c r="P51" s="24"/>
      <c r="Q51" s="24"/>
      <c r="R51" s="24"/>
      <c r="S51" s="1327"/>
      <c r="U51" s="1301"/>
      <c r="V51" s="1301"/>
      <c r="W51" s="2538" t="str">
        <f t="shared" si="55"/>
        <v>Semaine numéro : 8</v>
      </c>
      <c r="X51" s="2538"/>
      <c r="Y51" s="2538"/>
      <c r="Z51" s="1323" t="str">
        <f t="shared" si="57"/>
        <v/>
      </c>
      <c r="AA51" s="1316">
        <f t="shared" si="58"/>
        <v>0</v>
      </c>
      <c r="AB51" s="1316">
        <f t="shared" si="59"/>
        <v>0</v>
      </c>
      <c r="AC51" s="1322">
        <f>+SUMIF(Février!$BK$20:$BK$50,Février!AT7,$D$18:$D$48)-SUMIF(Février!$BK$20:$BK$50,Février!AT7,$E$18:$E$48)</f>
        <v>0</v>
      </c>
      <c r="AD51" s="1322">
        <f>+SUMIF(Janvier!$BK$20:$BK$50,Février!AT7,'Retenue Janv'!$D$18:$D$48)-SUMIF(Janvier!$BK$20:$BK$50,Février!AT7,'Retenue Janv'!$E$18:$E$48)</f>
        <v>0</v>
      </c>
      <c r="AE51" s="1322">
        <f>+SUMIF(Mars!$BK$20:$BK$50,Février!AT7,'Retenue Mars'!$D$18:$D$48)-SUMIF(Mars!$BK$20:$BK$50,Février!AT7,'Retenue Mars'!$E$18:$E$48)</f>
        <v>0</v>
      </c>
      <c r="AF51" s="1316">
        <f t="shared" si="60"/>
        <v>0</v>
      </c>
      <c r="AG51" s="1327"/>
      <c r="AJ51" s="1304"/>
      <c r="AK51" s="1305"/>
      <c r="AL51" s="1307"/>
      <c r="BA51" s="328"/>
      <c r="BD51" s="351" t="s">
        <v>746</v>
      </c>
      <c r="BE51" s="192">
        <f>+SUMIFS(BE18:BE48,BF18:BF48,S.CAL!BJ3)</f>
        <v>0</v>
      </c>
      <c r="BF51" s="352">
        <f>IF(Février!AZ90="",+COUNTIF(BF18:BF48,S.CAL!BJ3),Février!AZ90)</f>
        <v>0</v>
      </c>
      <c r="BL51" s="35"/>
      <c r="CD51" s="328"/>
      <c r="CI51" s="2534" t="str">
        <f t="shared" si="56"/>
        <v>Semaine numéro : 8</v>
      </c>
      <c r="CJ51" s="2535"/>
      <c r="CK51" s="2536"/>
      <c r="CL51" s="875" t="str">
        <f t="shared" si="61"/>
        <v/>
      </c>
      <c r="CM51" s="656">
        <f t="shared" si="62"/>
        <v>0</v>
      </c>
      <c r="CN51" s="655">
        <f t="shared" si="63"/>
        <v>0</v>
      </c>
      <c r="CO51" s="884">
        <f>+SUMIF(Février!$BK$20:$BK$50,Février!AT7,$CG$18:$CG$48)</f>
        <v>0</v>
      </c>
      <c r="CP51" s="884">
        <f>+SUMIF(Janvier!$BK$20:$BK$50,Février!AT7,'Retenue Janv'!$CG$18:$CG$48)</f>
        <v>0</v>
      </c>
      <c r="CQ51" s="884">
        <f>+SUMIF(Mars!$BK$20:$BK$50,Février!AT7,'Retenue Mars'!$CG$18:$CG$48)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9</v>
      </c>
      <c r="X52" s="2538"/>
      <c r="Y52" s="2538"/>
      <c r="Z52" s="1323" t="str">
        <f t="shared" si="57"/>
        <v/>
      </c>
      <c r="AA52" s="1316">
        <f t="shared" si="58"/>
        <v>0</v>
      </c>
      <c r="AB52" s="1316">
        <f t="shared" si="59"/>
        <v>0</v>
      </c>
      <c r="AC52" s="1322">
        <f>+SUMIF(Février!$BK$20:$BK$50,Février!AT8,$D$18:$D$48)-SUMIF(Février!$BK$20:$BK$50,Février!AT8,$E$18:$E$48)</f>
        <v>0</v>
      </c>
      <c r="AD52" s="1322">
        <f>+SUMIF(Janvier!$BK$20:$BK$50,Février!AT8,'Retenue Janv'!$D$18:$D$48)-SUMIF(Janvier!$BK$20:$BK$50,Février!AT8,'Retenue Janv'!$E$18:$E$48)</f>
        <v>0</v>
      </c>
      <c r="AE52" s="1322">
        <f>+SUMIF(Mars!$BK$20:$BK$50,Février!AT8,'Retenue Mars'!$D$18:$D$48)-SUMIF(Mars!$BK$20:$BK$50,Février!AT8,'Retenue Mars'!$E$18:$E$48)</f>
        <v>0</v>
      </c>
      <c r="AF52" s="1316">
        <f t="shared" si="60"/>
        <v>0</v>
      </c>
      <c r="AO52" s="1189" t="s">
        <v>1110</v>
      </c>
      <c r="AP52" s="1326">
        <f>IF(AL22,+ROUND((AQ48+SUM(AQ39:AQ46))*AL34/AL22*Q11,2),0)</f>
        <v>0</v>
      </c>
      <c r="BA52" s="328"/>
      <c r="BD52" s="1341" t="s">
        <v>696</v>
      </c>
      <c r="BE52" s="1342">
        <f>+SUMIFS(BE18:BE48,BF18:BF48,S.CAL!BJ4)</f>
        <v>0</v>
      </c>
      <c r="BF52" s="1343">
        <f>IF(Février!BA90="",+COUNTIF(BF18:BF48,S.CAL!BJ4),Février!BA90)</f>
        <v>0</v>
      </c>
      <c r="BL52" s="35"/>
      <c r="BU52" s="16" t="s">
        <v>776</v>
      </c>
      <c r="BW52" s="339">
        <f>+BR46+BR49+BZ46+BZ49</f>
        <v>0</v>
      </c>
      <c r="CD52" s="328"/>
      <c r="CI52" s="2534" t="str">
        <f t="shared" si="56"/>
        <v>Semaine numéro : 9</v>
      </c>
      <c r="CJ52" s="2535"/>
      <c r="CK52" s="2536"/>
      <c r="CL52" s="875" t="str">
        <f t="shared" si="61"/>
        <v/>
      </c>
      <c r="CM52" s="656">
        <f t="shared" si="62"/>
        <v>0</v>
      </c>
      <c r="CN52" s="655">
        <f t="shared" si="63"/>
        <v>0</v>
      </c>
      <c r="CO52" s="884">
        <f>+SUMIF(Février!$BK$20:$BK$50,Février!AT8,$CG$18:$CG$48)</f>
        <v>0</v>
      </c>
      <c r="CP52" s="884">
        <f>+SUMIF(Janvier!$BK$20:$BK$50,Février!AT8,'Retenue Janv'!$CG$18:$CG$48)</f>
        <v>0</v>
      </c>
      <c r="CQ52" s="884">
        <f>+SUMIF(Mars!$BK$20:$BK$50,Février!AT8,'Retenue Mars'!$CG$18:$CG$48)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 xml:space="preserve">Semaine numéro : </v>
      </c>
      <c r="X53" s="2538"/>
      <c r="Y53" s="2538"/>
      <c r="Z53" s="1323" t="str">
        <f t="shared" si="57"/>
        <v/>
      </c>
      <c r="AA53" s="1316">
        <f t="shared" si="58"/>
        <v>0</v>
      </c>
      <c r="AB53" s="1316">
        <f t="shared" si="59"/>
        <v>0</v>
      </c>
      <c r="AC53" s="1322">
        <f>+SUMIF(Février!$BK$20:$BK$50,Février!AT9,$D$18:$D$48)-SUMIF(Février!$BK$20:$BK$50,Février!AT9,$E$18:$E$48)</f>
        <v>0</v>
      </c>
      <c r="AD53" s="1322">
        <f>+SUMIF(Janvier!$BK$20:$BK$50,Février!AT9,'Retenue Janv'!$D$18:$D$48)-SUMIF(Janvier!$BK$20:$BK$50,Février!AT9,'Retenue Janv'!$E$18:$E$48)</f>
        <v>0</v>
      </c>
      <c r="AE53" s="1322">
        <f>+SUMIF(Mars!$BK$20:$BK$50,Février!AT9,'Retenue Mars'!$D$18:$D$48)-SUMIF(Mars!$BK$20:$BK$50,Février!AT9,'Retenue Mars'!$E$18:$E$48)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 xml:space="preserve">Semaine numéro : </v>
      </c>
      <c r="CJ53" s="2535"/>
      <c r="CK53" s="2536"/>
      <c r="CL53" s="875" t="str">
        <f t="shared" si="61"/>
        <v/>
      </c>
      <c r="CM53" s="656">
        <f t="shared" si="62"/>
        <v>0</v>
      </c>
      <c r="CN53" s="655">
        <f t="shared" si="63"/>
        <v>0</v>
      </c>
      <c r="CO53" s="884">
        <f>+SUMIF(Février!$BK$20:$BK$50,Février!AT9,$CG$18:$CG$48)</f>
        <v>0</v>
      </c>
      <c r="CP53" s="884">
        <f>+SUMIF(Janvier!$BK$20:$BK$50,Février!AT9,'Retenue Janv'!$CG$18:$CG$48)</f>
        <v>0</v>
      </c>
      <c r="CQ53" s="884">
        <f>+SUMIF(Mars!$BK$20:$BK$50,Février!AT9,'Retenue Mars'!$CG$18:$CG$48)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63">
        <f>B17</f>
        <v>46054</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46054</v>
      </c>
      <c r="C57" s="169">
        <f t="shared" si="65"/>
        <v>46054</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46055</v>
      </c>
      <c r="C58" s="170">
        <f t="shared" si="65"/>
        <v>46055</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46056</v>
      </c>
      <c r="C59" s="170">
        <f t="shared" si="65"/>
        <v>46056</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46057</v>
      </c>
      <c r="C60" s="170">
        <f t="shared" si="65"/>
        <v>46057</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46058</v>
      </c>
      <c r="C61" s="170">
        <f t="shared" si="65"/>
        <v>46058</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46059</v>
      </c>
      <c r="C62" s="170">
        <f t="shared" si="65"/>
        <v>46059</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46060</v>
      </c>
      <c r="C63" s="170">
        <f t="shared" si="65"/>
        <v>46060</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46061</v>
      </c>
      <c r="C64" s="170">
        <f t="shared" si="65"/>
        <v>46061</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46062</v>
      </c>
      <c r="C65" s="170">
        <f t="shared" si="65"/>
        <v>46062</v>
      </c>
      <c r="D65" s="171" t="str">
        <f t="shared" si="66"/>
        <v/>
      </c>
      <c r="E65" s="171" t="str">
        <f t="shared" si="69"/>
        <v/>
      </c>
      <c r="F65" s="1531" t="str">
        <f t="shared" si="67"/>
        <v/>
      </c>
      <c r="G65" s="1531" t="str">
        <f t="shared" si="68"/>
        <v/>
      </c>
      <c r="BA65" s="328"/>
      <c r="CD65" s="328"/>
    </row>
    <row r="66" spans="2:82" x14ac:dyDescent="0.2">
      <c r="B66" s="107">
        <f t="shared" si="65"/>
        <v>46063</v>
      </c>
      <c r="C66" s="170">
        <f t="shared" si="65"/>
        <v>46063</v>
      </c>
      <c r="D66" s="171" t="str">
        <f t="shared" si="66"/>
        <v/>
      </c>
      <c r="E66" s="171" t="str">
        <f t="shared" si="69"/>
        <v/>
      </c>
      <c r="F66" s="1531" t="str">
        <f t="shared" si="67"/>
        <v/>
      </c>
      <c r="G66" s="1531" t="str">
        <f t="shared" si="68"/>
        <v/>
      </c>
      <c r="BA66" s="328"/>
      <c r="CD66" s="328"/>
    </row>
    <row r="67" spans="2:82" x14ac:dyDescent="0.2">
      <c r="B67" s="107">
        <f t="shared" si="65"/>
        <v>46064</v>
      </c>
      <c r="C67" s="170">
        <f t="shared" si="65"/>
        <v>46064</v>
      </c>
      <c r="D67" s="171" t="str">
        <f t="shared" si="66"/>
        <v/>
      </c>
      <c r="E67" s="171" t="str">
        <f t="shared" si="69"/>
        <v/>
      </c>
      <c r="F67" s="1531" t="str">
        <f t="shared" si="67"/>
        <v/>
      </c>
      <c r="G67" s="1531" t="str">
        <f t="shared" si="68"/>
        <v/>
      </c>
      <c r="BA67" s="328"/>
      <c r="CD67" s="328"/>
    </row>
    <row r="68" spans="2:82" x14ac:dyDescent="0.2">
      <c r="B68" s="107">
        <f t="shared" si="65"/>
        <v>46065</v>
      </c>
      <c r="C68" s="170">
        <f t="shared" si="65"/>
        <v>46065</v>
      </c>
      <c r="D68" s="171" t="str">
        <f t="shared" si="66"/>
        <v/>
      </c>
      <c r="E68" s="171" t="str">
        <f t="shared" si="69"/>
        <v/>
      </c>
      <c r="F68" s="1531" t="str">
        <f t="shared" si="67"/>
        <v/>
      </c>
      <c r="G68" s="1531" t="str">
        <f t="shared" si="68"/>
        <v/>
      </c>
      <c r="AI68" s="1332" t="s">
        <v>329</v>
      </c>
      <c r="BA68" s="328"/>
      <c r="CD68" s="328"/>
    </row>
    <row r="69" spans="2:82" x14ac:dyDescent="0.2">
      <c r="B69" s="107">
        <f t="shared" si="65"/>
        <v>46066</v>
      </c>
      <c r="C69" s="170">
        <f t="shared" si="65"/>
        <v>46066</v>
      </c>
      <c r="D69" s="171" t="str">
        <f t="shared" si="66"/>
        <v/>
      </c>
      <c r="E69" s="171" t="str">
        <f t="shared" si="69"/>
        <v/>
      </c>
      <c r="F69" s="1531" t="str">
        <f t="shared" si="67"/>
        <v/>
      </c>
      <c r="G69" s="1531" t="str">
        <f t="shared" si="68"/>
        <v/>
      </c>
      <c r="BA69" s="328"/>
      <c r="CD69" s="328"/>
    </row>
    <row r="70" spans="2:82" x14ac:dyDescent="0.2">
      <c r="B70" s="107">
        <f t="shared" si="65"/>
        <v>46067</v>
      </c>
      <c r="C70" s="170">
        <f t="shared" si="65"/>
        <v>46067</v>
      </c>
      <c r="D70" s="171" t="str">
        <f t="shared" si="66"/>
        <v/>
      </c>
      <c r="E70" s="171" t="str">
        <f t="shared" si="69"/>
        <v/>
      </c>
      <c r="F70" s="1531" t="str">
        <f t="shared" si="67"/>
        <v/>
      </c>
      <c r="G70" s="1531" t="str">
        <f t="shared" si="68"/>
        <v/>
      </c>
      <c r="AI70" s="563" t="s">
        <v>330</v>
      </c>
      <c r="BA70" s="328"/>
      <c r="CD70" s="328"/>
    </row>
    <row r="71" spans="2:82" x14ac:dyDescent="0.2">
      <c r="B71" s="107">
        <f t="shared" si="65"/>
        <v>46068</v>
      </c>
      <c r="C71" s="170">
        <f t="shared" si="65"/>
        <v>46068</v>
      </c>
      <c r="D71" s="171" t="str">
        <f t="shared" si="66"/>
        <v/>
      </c>
      <c r="E71" s="171" t="str">
        <f t="shared" si="69"/>
        <v/>
      </c>
      <c r="F71" s="1531" t="str">
        <f t="shared" si="67"/>
        <v/>
      </c>
      <c r="G71" s="1531" t="str">
        <f t="shared" si="68"/>
        <v/>
      </c>
      <c r="AI71" s="1333" t="s">
        <v>331</v>
      </c>
      <c r="BA71" s="328"/>
      <c r="CD71" s="328"/>
    </row>
    <row r="72" spans="2:82" x14ac:dyDescent="0.2">
      <c r="B72" s="107">
        <f t="shared" si="65"/>
        <v>46069</v>
      </c>
      <c r="C72" s="170">
        <f t="shared" si="65"/>
        <v>46069</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46070</v>
      </c>
      <c r="C73" s="170">
        <f t="shared" si="70"/>
        <v>46070</v>
      </c>
      <c r="D73" s="171" t="str">
        <f t="shared" si="66"/>
        <v/>
      </c>
      <c r="E73" s="171" t="str">
        <f t="shared" si="69"/>
        <v/>
      </c>
      <c r="F73" s="1531" t="str">
        <f t="shared" si="67"/>
        <v/>
      </c>
      <c r="G73" s="1531" t="str">
        <f t="shared" si="68"/>
        <v/>
      </c>
      <c r="BA73" s="328"/>
      <c r="CD73" s="328"/>
    </row>
    <row r="74" spans="2:82" x14ac:dyDescent="0.2">
      <c r="B74" s="107">
        <f t="shared" si="70"/>
        <v>46071</v>
      </c>
      <c r="C74" s="170">
        <f t="shared" si="70"/>
        <v>46071</v>
      </c>
      <c r="D74" s="171" t="str">
        <f t="shared" si="66"/>
        <v/>
      </c>
      <c r="E74" s="171" t="str">
        <f t="shared" si="69"/>
        <v/>
      </c>
      <c r="F74" s="1531" t="str">
        <f t="shared" si="67"/>
        <v/>
      </c>
      <c r="G74" s="1531" t="str">
        <f t="shared" si="68"/>
        <v/>
      </c>
      <c r="AI74" s="563" t="s">
        <v>332</v>
      </c>
      <c r="BA74" s="328"/>
      <c r="CD74" s="328"/>
    </row>
    <row r="75" spans="2:82" x14ac:dyDescent="0.2">
      <c r="B75" s="107">
        <f t="shared" si="70"/>
        <v>46072</v>
      </c>
      <c r="C75" s="170">
        <f t="shared" si="70"/>
        <v>46072</v>
      </c>
      <c r="D75" s="171" t="str">
        <f t="shared" si="66"/>
        <v/>
      </c>
      <c r="E75" s="171" t="str">
        <f t="shared" si="69"/>
        <v/>
      </c>
      <c r="F75" s="1531" t="str">
        <f t="shared" si="67"/>
        <v/>
      </c>
      <c r="G75" s="1531" t="str">
        <f t="shared" si="68"/>
        <v/>
      </c>
      <c r="AI75" s="1333" t="s">
        <v>333</v>
      </c>
      <c r="BA75" s="328"/>
      <c r="CD75" s="328"/>
    </row>
    <row r="76" spans="2:82" x14ac:dyDescent="0.2">
      <c r="B76" s="107">
        <f t="shared" si="70"/>
        <v>46073</v>
      </c>
      <c r="C76" s="170">
        <f t="shared" si="70"/>
        <v>46073</v>
      </c>
      <c r="D76" s="171" t="str">
        <f t="shared" si="66"/>
        <v/>
      </c>
      <c r="E76" s="171" t="str">
        <f t="shared" si="69"/>
        <v/>
      </c>
      <c r="F76" s="1531" t="str">
        <f t="shared" si="67"/>
        <v/>
      </c>
      <c r="G76" s="1531" t="str">
        <f t="shared" si="68"/>
        <v/>
      </c>
      <c r="BA76" s="328"/>
      <c r="CD76" s="328"/>
    </row>
    <row r="77" spans="2:82" x14ac:dyDescent="0.2">
      <c r="B77" s="107">
        <f t="shared" si="70"/>
        <v>46074</v>
      </c>
      <c r="C77" s="170">
        <f t="shared" si="70"/>
        <v>46074</v>
      </c>
      <c r="D77" s="171" t="str">
        <f t="shared" si="66"/>
        <v/>
      </c>
      <c r="E77" s="171" t="str">
        <f t="shared" si="69"/>
        <v/>
      </c>
      <c r="F77" s="1531" t="str">
        <f t="shared" si="67"/>
        <v/>
      </c>
      <c r="G77" s="1531" t="str">
        <f t="shared" si="68"/>
        <v/>
      </c>
      <c r="AI77" s="563" t="s">
        <v>334</v>
      </c>
      <c r="BA77" s="328"/>
      <c r="CD77" s="328"/>
    </row>
    <row r="78" spans="2:82" x14ac:dyDescent="0.2">
      <c r="B78" s="107">
        <f t="shared" si="70"/>
        <v>46075</v>
      </c>
      <c r="C78" s="170">
        <f t="shared" si="70"/>
        <v>46075</v>
      </c>
      <c r="D78" s="171" t="str">
        <f t="shared" si="66"/>
        <v/>
      </c>
      <c r="E78" s="171" t="str">
        <f t="shared" si="69"/>
        <v/>
      </c>
      <c r="F78" s="1531" t="str">
        <f t="shared" si="67"/>
        <v/>
      </c>
      <c r="G78" s="1531" t="str">
        <f t="shared" si="68"/>
        <v/>
      </c>
      <c r="AI78" s="1333" t="s">
        <v>680</v>
      </c>
      <c r="BA78" s="328"/>
      <c r="CD78" s="328"/>
    </row>
    <row r="79" spans="2:82" x14ac:dyDescent="0.2">
      <c r="B79" s="107">
        <f t="shared" si="70"/>
        <v>46076</v>
      </c>
      <c r="C79" s="170">
        <f t="shared" si="70"/>
        <v>46076</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46077</v>
      </c>
      <c r="C80" s="170">
        <f t="shared" si="70"/>
        <v>46077</v>
      </c>
      <c r="D80" s="171" t="str">
        <f t="shared" si="66"/>
        <v/>
      </c>
      <c r="E80" s="171" t="str">
        <f t="shared" si="69"/>
        <v/>
      </c>
      <c r="F80" s="1531" t="str">
        <f t="shared" si="67"/>
        <v/>
      </c>
      <c r="G80" s="1531" t="str">
        <f t="shared" si="68"/>
        <v/>
      </c>
      <c r="BA80" s="328"/>
      <c r="CD80" s="328"/>
    </row>
    <row r="81" spans="2:82" x14ac:dyDescent="0.2">
      <c r="B81" s="107">
        <f t="shared" si="70"/>
        <v>46078</v>
      </c>
      <c r="C81" s="170">
        <f t="shared" si="70"/>
        <v>46078</v>
      </c>
      <c r="D81" s="171" t="str">
        <f t="shared" si="66"/>
        <v/>
      </c>
      <c r="E81" s="171" t="str">
        <f t="shared" si="69"/>
        <v/>
      </c>
      <c r="F81" s="1531" t="str">
        <f t="shared" si="67"/>
        <v/>
      </c>
      <c r="G81" s="1531" t="str">
        <f t="shared" si="68"/>
        <v/>
      </c>
      <c r="AI81" s="563" t="s">
        <v>518</v>
      </c>
      <c r="BA81" s="328"/>
      <c r="CD81" s="328"/>
    </row>
    <row r="82" spans="2:82" x14ac:dyDescent="0.2">
      <c r="B82" s="107">
        <f t="shared" si="70"/>
        <v>46079</v>
      </c>
      <c r="C82" s="170">
        <f t="shared" si="70"/>
        <v>46079</v>
      </c>
      <c r="D82" s="171" t="str">
        <f t="shared" si="66"/>
        <v/>
      </c>
      <c r="E82" s="171" t="str">
        <f t="shared" si="69"/>
        <v/>
      </c>
      <c r="F82" s="1531" t="str">
        <f t="shared" si="67"/>
        <v/>
      </c>
      <c r="G82" s="1531" t="str">
        <f t="shared" si="68"/>
        <v/>
      </c>
      <c r="AI82" s="1333" t="s">
        <v>681</v>
      </c>
      <c r="BA82" s="328"/>
      <c r="CD82" s="328"/>
    </row>
    <row r="83" spans="2:82" x14ac:dyDescent="0.2">
      <c r="B83" s="107">
        <f t="shared" si="70"/>
        <v>46080</v>
      </c>
      <c r="C83" s="170">
        <f t="shared" si="70"/>
        <v>46080</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46081</v>
      </c>
      <c r="C84" s="170">
        <f t="shared" si="70"/>
        <v>46081</v>
      </c>
      <c r="D84" s="171" t="str">
        <f t="shared" si="66"/>
        <v/>
      </c>
      <c r="E84" s="171" t="str">
        <f t="shared" si="69"/>
        <v/>
      </c>
      <c r="F84" s="1531" t="str">
        <f t="shared" si="67"/>
        <v/>
      </c>
      <c r="G84" s="1531" t="str">
        <f t="shared" si="68"/>
        <v/>
      </c>
      <c r="BA84" s="328"/>
      <c r="CD84" s="328"/>
    </row>
    <row r="85" spans="2:82" x14ac:dyDescent="0.2">
      <c r="B85" s="107" t="str">
        <f t="shared" si="70"/>
        <v/>
      </c>
      <c r="C85" s="170" t="str">
        <f t="shared" si="70"/>
        <v/>
      </c>
      <c r="D85" s="171" t="str">
        <f t="shared" si="66"/>
        <v/>
      </c>
      <c r="E85" s="171" t="str">
        <f t="shared" si="69"/>
        <v/>
      </c>
      <c r="F85" s="1531" t="str">
        <f t="shared" si="67"/>
        <v/>
      </c>
      <c r="G85" s="1531" t="str">
        <f t="shared" si="68"/>
        <v/>
      </c>
      <c r="AI85" s="1333" t="s">
        <v>335</v>
      </c>
      <c r="BA85" s="328"/>
      <c r="CD85" s="328"/>
    </row>
    <row r="86" spans="2:82" x14ac:dyDescent="0.2">
      <c r="B86" s="107" t="str">
        <f t="shared" si="70"/>
        <v/>
      </c>
      <c r="C86" s="170" t="str">
        <f t="shared" si="70"/>
        <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eFjI5xchmg+ny/A+d043IcQ+Z/QMT12R7XCN8A4R0NN5NMyN8bXCdu4MlC7riZ5ZaSeKNoSjf0Shxx43yaqLrQ==" saltValue="5/5xyzpNsYU+z+0RlmbH0Q==" spinCount="100000" sheet="1" objects="1" scenarios="1" formatCells="0" formatColumns="0" formatRows="0" insertColumns="0" insertRows="0" insertHyperlinks="0" sort="0" autoFilter="0" pivotTables="0"/>
  <mergeCells count="73">
    <mergeCell ref="B55:E55"/>
    <mergeCell ref="AN39:AN46"/>
    <mergeCell ref="AL37:AL38"/>
    <mergeCell ref="AM37:AM38"/>
    <mergeCell ref="AN37:AN38"/>
    <mergeCell ref="W51:Y51"/>
    <mergeCell ref="W52:Y52"/>
    <mergeCell ref="W53:Y53"/>
    <mergeCell ref="AO37:AO38"/>
    <mergeCell ref="BB17:BG17"/>
    <mergeCell ref="BH29:BI29"/>
    <mergeCell ref="CA26:CA27"/>
    <mergeCell ref="CB26:CB27"/>
    <mergeCell ref="BS26:BS27"/>
    <mergeCell ref="BT26:BT27"/>
    <mergeCell ref="BX26:BX27"/>
    <mergeCell ref="BY26:BY27"/>
    <mergeCell ref="BZ26:BZ27"/>
    <mergeCell ref="BQ26:BQ27"/>
    <mergeCell ref="BR26:BR27"/>
    <mergeCell ref="BN8:BO8"/>
    <mergeCell ref="BD15:BD16"/>
    <mergeCell ref="BE15:BE16"/>
    <mergeCell ref="BF15:BF16"/>
    <mergeCell ref="U8:V8"/>
    <mergeCell ref="BG15:BG16"/>
    <mergeCell ref="BD8:BE8"/>
    <mergeCell ref="AJ8:AK8"/>
    <mergeCell ref="D8:E8"/>
    <mergeCell ref="B17:E17"/>
    <mergeCell ref="AA19:AB19"/>
    <mergeCell ref="AA21:AB21"/>
    <mergeCell ref="D15:D16"/>
    <mergeCell ref="E15:E16"/>
    <mergeCell ref="S19:V19"/>
    <mergeCell ref="S21:V21"/>
    <mergeCell ref="Z32:Z33"/>
    <mergeCell ref="AA32:AA33"/>
    <mergeCell ref="W48:Y48"/>
    <mergeCell ref="Z46:Z47"/>
    <mergeCell ref="AA46:AA47"/>
    <mergeCell ref="W39:Y39"/>
    <mergeCell ref="W34:Y34"/>
    <mergeCell ref="W35:Y35"/>
    <mergeCell ref="W36:Y36"/>
    <mergeCell ref="W37:Y37"/>
    <mergeCell ref="W38:Y38"/>
    <mergeCell ref="CR46:CR47"/>
    <mergeCell ref="CI48:CK48"/>
    <mergeCell ref="CG15:CG16"/>
    <mergeCell ref="CH15:CH16"/>
    <mergeCell ref="CE17:CG17"/>
    <mergeCell ref="CI52:CK52"/>
    <mergeCell ref="CI53:CK53"/>
    <mergeCell ref="CL46:CL47"/>
    <mergeCell ref="CM46:CM47"/>
    <mergeCell ref="CN46:CN47"/>
    <mergeCell ref="A6:R6"/>
    <mergeCell ref="T6:AF6"/>
    <mergeCell ref="CI49:CK49"/>
    <mergeCell ref="CI50:CK50"/>
    <mergeCell ref="CI51:CK51"/>
    <mergeCell ref="W49:Y49"/>
    <mergeCell ref="W50:Y50"/>
    <mergeCell ref="AB32:AB33"/>
    <mergeCell ref="AF32:AF33"/>
    <mergeCell ref="AB46:AB47"/>
    <mergeCell ref="AF46:AF47"/>
    <mergeCell ref="AQ37:AQ38"/>
    <mergeCell ref="AO30:AQ30"/>
    <mergeCell ref="AP37:AP38"/>
    <mergeCell ref="BH45:BI45"/>
    <mergeCell ref="BP26:BP27"/>
  </mergeCells>
  <conditionalFormatting sqref="A7:R7">
    <cfRule type="expression" dxfId="3763" priority="32">
      <formula>$R$3=$A$5</formula>
    </cfRule>
  </conditionalFormatting>
  <conditionalFormatting sqref="M19:Q23">
    <cfRule type="expression" dxfId="3762" priority="8">
      <formula>$E$11&gt;0</formula>
    </cfRule>
  </conditionalFormatting>
  <conditionalFormatting sqref="M26:R46">
    <cfRule type="expression" dxfId="3761" priority="3">
      <formula>$E$11=0</formula>
    </cfRule>
  </conditionalFormatting>
  <conditionalFormatting sqref="P17">
    <cfRule type="expression" dxfId="3760" priority="11">
      <formula>$E$11=0</formula>
    </cfRule>
  </conditionalFormatting>
  <conditionalFormatting sqref="P30">
    <cfRule type="expression" dxfId="3759" priority="7">
      <formula>AND($R$3="Méthode 1",$E$11&lt;0)</formula>
    </cfRule>
  </conditionalFormatting>
  <conditionalFormatting sqref="P33">
    <cfRule type="expression" dxfId="3758" priority="6">
      <formula>AND($R$3="Méthode 1",$E$11&lt;0)</formula>
    </cfRule>
  </conditionalFormatting>
  <conditionalFormatting sqref="Q17">
    <cfRule type="cellIs" dxfId="3757" priority="10" operator="equal">
      <formula>0</formula>
    </cfRule>
  </conditionalFormatting>
  <conditionalFormatting sqref="Q42">
    <cfRule type="expression" dxfId="3756" priority="5">
      <formula>AND($R$3="Méthode 1",$E$11&lt;0)</formula>
    </cfRule>
  </conditionalFormatting>
  <conditionalFormatting sqref="Q45">
    <cfRule type="expression" dxfId="3755" priority="4">
      <formula>AND($R$3="Méthode 1",$E$11&lt;0)</formula>
    </cfRule>
  </conditionalFormatting>
  <conditionalFormatting sqref="S7:AF7">
    <cfRule type="expression" dxfId="3754" priority="31">
      <formula>$R$3=$T$5</formula>
    </cfRule>
  </conditionalFormatting>
  <conditionalFormatting sqref="W19">
    <cfRule type="expression" dxfId="3753" priority="40">
      <formula>$EF$14=1</formula>
    </cfRule>
  </conditionalFormatting>
  <conditionalFormatting sqref="W21">
    <cfRule type="expression" dxfId="3752" priority="39">
      <formula>$EF$14=1</formula>
    </cfRule>
  </conditionalFormatting>
  <conditionalFormatting sqref="AC19">
    <cfRule type="expression" dxfId="3751" priority="38">
      <formula>$EF$14=1</formula>
    </cfRule>
  </conditionalFormatting>
  <conditionalFormatting sqref="AC21">
    <cfRule type="expression" dxfId="3750" priority="37">
      <formula>$EF$14=1</formula>
    </cfRule>
  </conditionalFormatting>
  <conditionalFormatting sqref="AH7:AZ7">
    <cfRule type="expression" dxfId="3749" priority="16">
      <formula>$R$3=$AI$5</formula>
    </cfRule>
  </conditionalFormatting>
  <conditionalFormatting sqref="AP50">
    <cfRule type="expression" dxfId="3748" priority="15">
      <formula>$R$3="Méthode 2"</formula>
    </cfRule>
  </conditionalFormatting>
  <conditionalFormatting sqref="AP52">
    <cfRule type="expression" dxfId="3747" priority="14">
      <formula>$R$3="Méthode 2"</formula>
    </cfRule>
  </conditionalFormatting>
  <conditionalFormatting sqref="AP61">
    <cfRule type="expression" dxfId="3746" priority="13">
      <formula>$R$3="Méthode 2"</formula>
    </cfRule>
  </conditionalFormatting>
  <conditionalFormatting sqref="AP64">
    <cfRule type="expression" dxfId="3745" priority="12">
      <formula>$R$3="Méthode 2"</formula>
    </cfRule>
  </conditionalFormatting>
  <conditionalFormatting sqref="BI50">
    <cfRule type="expression" dxfId="3744" priority="23">
      <formula>$BK$3="Méthode 1"</formula>
    </cfRule>
  </conditionalFormatting>
  <conditionalFormatting sqref="BJ29">
    <cfRule type="expression" dxfId="3743" priority="25">
      <formula>$BK$3="Méthode 1"</formula>
    </cfRule>
  </conditionalFormatting>
  <conditionalFormatting sqref="BJ45">
    <cfRule type="expression" dxfId="3742" priority="24">
      <formula>$BK$3="Méthode 1"</formula>
    </cfRule>
  </conditionalFormatting>
  <conditionalFormatting sqref="BR46">
    <cfRule type="expression" dxfId="3741" priority="22">
      <formula>$BK$3="Méthode 2"</formula>
    </cfRule>
  </conditionalFormatting>
  <conditionalFormatting sqref="BR49">
    <cfRule type="expression" dxfId="3740" priority="21">
      <formula>$BK$3="Méthode 2"</formula>
    </cfRule>
  </conditionalFormatting>
  <conditionalFormatting sqref="BW52">
    <cfRule type="expression" dxfId="3739" priority="18">
      <formula>$BK$3="Méthode 2"</formula>
    </cfRule>
  </conditionalFormatting>
  <conditionalFormatting sqref="BW54">
    <cfRule type="expression" dxfId="3738" priority="17">
      <formula>$BK$3="Méthode 2"</formula>
    </cfRule>
  </conditionalFormatting>
  <conditionalFormatting sqref="BZ46">
    <cfRule type="expression" dxfId="3737" priority="20">
      <formula>$BK$3="Méthode 2"</formula>
    </cfRule>
  </conditionalFormatting>
  <conditionalFormatting sqref="BZ49">
    <cfRule type="expression" dxfId="3736" priority="19">
      <formula>$BK$3="Méthode 2"</formula>
    </cfRule>
  </conditionalFormatting>
  <conditionalFormatting sqref="CG18:CG48">
    <cfRule type="cellIs" dxfId="3735" priority="1" operator="equal">
      <formula>0</formula>
    </cfRule>
  </conditionalFormatting>
  <pageMargins left="0.23622047244094491" right="0.23622047244094491" top="0.74803149606299213" bottom="0.74803149606299213" header="0.31496062992125984" footer="0.31496062992125984"/>
  <pageSetup paperSize="9" scale="51" orientation="portrait" horizontalDpi="1200" verticalDpi="1200" r:id="rId1"/>
  <rowBreaks count="1" manualBreakCount="1">
    <brk id="106" max="79" man="1"/>
  </rowBreaks>
  <colBreaks count="2" manualBreakCount="2">
    <brk id="52" max="105" man="1"/>
    <brk id="63" max="1048575" man="1"/>
  </col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+Mars!DP4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+Mars!AR13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+Mars!AI3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+Mars!I14</f>
        <v>0</v>
      </c>
      <c r="F10" s="149"/>
      <c r="G10" s="149"/>
      <c r="H10" s="149"/>
      <c r="I10" s="149"/>
      <c r="J10" s="149"/>
      <c r="K10" s="149"/>
      <c r="L10" s="149"/>
      <c r="P10" s="29" t="s">
        <v>1441</v>
      </c>
      <c r="Q10" s="338">
        <f>+Mars!P18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+Mars!T18+Mars!T19</f>
        <v>0</v>
      </c>
      <c r="BI10" s="29" t="s">
        <v>1449</v>
      </c>
      <c r="BJ10" s="338">
        <f>+Mars!AL14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+Mars!U14</f>
        <v>0</v>
      </c>
      <c r="F11" s="149"/>
      <c r="G11" s="149"/>
      <c r="H11" s="149"/>
      <c r="I11" s="149"/>
      <c r="J11" s="149"/>
      <c r="K11" s="149"/>
      <c r="L11" s="149"/>
      <c r="M11" s="1179"/>
      <c r="N11" s="181"/>
      <c r="O11" s="1180"/>
      <c r="P11" s="181" t="s">
        <v>1104</v>
      </c>
      <c r="Q11" s="1181">
        <f>+Mars!P19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+BJ10*(1+Mars!N15)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+Mars!X3</f>
        <v>46082</v>
      </c>
      <c r="M13" s="152"/>
      <c r="N13" s="153">
        <f>DATE(YEAR($D$13),MONTH($D$13)+1,DAY($D$13))</f>
        <v>46113</v>
      </c>
      <c r="O13" s="154">
        <f>N13</f>
        <v>46113</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46082</v>
      </c>
      <c r="BF13" s="152"/>
      <c r="BG13" s="153">
        <f>DATE(YEAR($D$13),MONTH($D$13)+1,DAY($D$13))</f>
        <v>46113</v>
      </c>
      <c r="BH13" s="154">
        <f>BG13</f>
        <v>46113</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46113</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46082</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46082</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46082</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+Mars!BJ20</f>
        <v>Fiche infoA7</v>
      </c>
      <c r="B18" s="168">
        <f>+D13</f>
        <v>46082</v>
      </c>
      <c r="C18" s="169">
        <f>+$D$13</f>
        <v>46082</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Mars!BC20</f>
        <v>0</v>
      </c>
      <c r="J18" s="34">
        <f>Mars!BE20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infoA7</v>
      </c>
      <c r="BB18" s="168">
        <f>+BD13</f>
        <v>46082</v>
      </c>
      <c r="BC18" s="169">
        <f>+$D$13</f>
        <v>46082</v>
      </c>
      <c r="BD18" s="171" t="str">
        <f>+D18</f>
        <v/>
      </c>
      <c r="BE18" s="335" t="str">
        <f>+IF(OR(BF18=S.CAL!$BJ$3,BF18=S.CAL!$BJ$4),BD18,"")</f>
        <v/>
      </c>
      <c r="BF18" s="332">
        <f>IF($DY$5=S.CAL!$CU$2,Mars!AR20,IF($DY$5=S.CAL!$CU$3,VLOOKUP(BC18,planning_fp,7,FALSE),""))</f>
        <v>0</v>
      </c>
      <c r="BG18" s="344" t="str">
        <f>Mars!BL20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46082</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IF(+Mars!AG20="",0,Mars!AG20)</f>
        <v>0</v>
      </c>
      <c r="DZ18" s="16">
        <f>+IF(Mars!AJ20="",0,Mars!AJ20)</f>
        <v>0</v>
      </c>
      <c r="EA18" s="16">
        <f>+IF(Mars!AM20="",0,Mars!AM20)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46082</v>
      </c>
      <c r="EM18" s="16" t="str">
        <f>A18&amp;C18</f>
        <v>Fiche infoA746082</v>
      </c>
      <c r="EN18" s="16">
        <f t="shared" ref="EN18:EN48" si="20">+VLOOKUP(EM18,Base_feuille_présence_heure_potentiel,11,FALSE)</f>
        <v>0</v>
      </c>
      <c r="EQ18" s="16" t="str">
        <f>Mars!FS20</f>
        <v/>
      </c>
    </row>
    <row r="19" spans="1:147" ht="18" customHeight="1" x14ac:dyDescent="0.2">
      <c r="A19" s="24" t="str">
        <f>+Mars!BJ21</f>
        <v>Fiche infoA1</v>
      </c>
      <c r="B19" s="107">
        <f>C19</f>
        <v>46083</v>
      </c>
      <c r="C19" s="170">
        <f>+$D$13+1</f>
        <v>46083</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Mars!BC21</f>
        <v>0</v>
      </c>
      <c r="J19" s="34">
        <f>Mars!BE21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infoA1</v>
      </c>
      <c r="BB19" s="107">
        <f>BC19</f>
        <v>46083</v>
      </c>
      <c r="BC19" s="170">
        <f>+$D$13+1</f>
        <v>46083</v>
      </c>
      <c r="BD19" s="171" t="str">
        <f>+D19</f>
        <v/>
      </c>
      <c r="BE19" s="171" t="str">
        <f>+IF(OR(BF19=S.CAL!$BJ$3,BF19=S.CAL!$BJ$4),BD19,"")</f>
        <v/>
      </c>
      <c r="BF19" s="333">
        <f>IF($DY$5=S.CAL!$CU$2,Mars!AR21,IF($DY$5=S.CAL!$CU$3,VLOOKUP(BC19,planning_fp,7,FALSE),""))</f>
        <v>0</v>
      </c>
      <c r="BG19" s="345" t="str">
        <f>Mars!BL21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46083</v>
      </c>
      <c r="CF19" s="170">
        <f>+$D$13+1</f>
        <v>46083</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IF(+Mars!AG21="",0,Mars!AG21)</f>
        <v>0</v>
      </c>
      <c r="DZ19" s="16">
        <f>+IF(Mars!AJ21="",0,Mars!AJ21)</f>
        <v>0</v>
      </c>
      <c r="EA19" s="16">
        <f>+IF(Mars!AM21="",0,Mars!AM21)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46083</v>
      </c>
      <c r="EM19" s="16" t="str">
        <f t="shared" ref="EM19:EM48" si="29">A19&amp;C19</f>
        <v>Fiche infoA146083</v>
      </c>
      <c r="EN19" s="16">
        <f t="shared" si="20"/>
        <v>0</v>
      </c>
      <c r="EQ19" s="16" t="str">
        <f>Mars!FS21</f>
        <v/>
      </c>
    </row>
    <row r="20" spans="1:147" ht="18" customHeight="1" x14ac:dyDescent="0.2">
      <c r="A20" s="24" t="str">
        <f>+Mars!BJ22</f>
        <v>Fiche infoA2</v>
      </c>
      <c r="B20" s="107">
        <f t="shared" ref="B20:B48" si="30">C20</f>
        <v>46084</v>
      </c>
      <c r="C20" s="170">
        <f>+$D$13+2</f>
        <v>46084</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Mars!BC22</f>
        <v>0</v>
      </c>
      <c r="J20" s="34">
        <f>Mars!BE22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infoA2</v>
      </c>
      <c r="BB20" s="107">
        <f t="shared" ref="BB20:BB48" si="31">BC20</f>
        <v>46084</v>
      </c>
      <c r="BC20" s="170">
        <f>+$D$13+2</f>
        <v>46084</v>
      </c>
      <c r="BD20" s="171" t="str">
        <f t="shared" ref="BD20:BD48" si="32">+D20</f>
        <v/>
      </c>
      <c r="BE20" s="171" t="str">
        <f>+IF(OR(BF20=S.CAL!$BJ$3,BF20=S.CAL!$BJ$4),BD20,"")</f>
        <v/>
      </c>
      <c r="BF20" s="333">
        <f>IF($DY$5=S.CAL!$CU$2,Mars!AR22,IF($DY$5=S.CAL!$CU$3,VLOOKUP(BC20,planning_fp,7,FALSE),""))</f>
        <v>0</v>
      </c>
      <c r="BG20" s="345" t="str">
        <f>Mars!BL22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46084</v>
      </c>
      <c r="CF20" s="170">
        <f>+$D$13+2</f>
        <v>46084</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IF(+Mars!AG22="",0,Mars!AG22)</f>
        <v>0</v>
      </c>
      <c r="DZ20" s="16">
        <f>+IF(Mars!AJ22="",0,Mars!AJ22)</f>
        <v>0</v>
      </c>
      <c r="EA20" s="16">
        <f>+IF(Mars!AM22="",0,Mars!AM22)</f>
        <v>0</v>
      </c>
      <c r="EB20" s="16">
        <f t="shared" si="25"/>
        <v>0</v>
      </c>
      <c r="ED20" s="16">
        <f t="shared" si="26"/>
        <v>0</v>
      </c>
      <c r="EE20" s="16">
        <f t="shared" si="17"/>
        <v>0</v>
      </c>
      <c r="EF20" s="30" t="str">
        <f t="shared" si="18"/>
        <v/>
      </c>
      <c r="EG20" s="30" t="str">
        <f t="shared" si="27"/>
        <v/>
      </c>
      <c r="EH20" s="16">
        <f t="shared" si="28"/>
        <v>0</v>
      </c>
      <c r="EI20" s="30"/>
      <c r="EJ20" s="30">
        <f t="shared" si="19"/>
        <v>46084</v>
      </c>
      <c r="EM20" s="16" t="str">
        <f t="shared" si="29"/>
        <v>Fiche infoA246084</v>
      </c>
      <c r="EN20" s="16">
        <f t="shared" si="20"/>
        <v>0</v>
      </c>
      <c r="EQ20" s="16" t="str">
        <f>Mars!FS22</f>
        <v/>
      </c>
    </row>
    <row r="21" spans="1:147" ht="18" customHeight="1" x14ac:dyDescent="0.2">
      <c r="A21" s="24" t="str">
        <f>+Mars!BJ23</f>
        <v>Fiche infoA3</v>
      </c>
      <c r="B21" s="107">
        <f t="shared" si="30"/>
        <v>46085</v>
      </c>
      <c r="C21" s="170">
        <f>+$D$13+3</f>
        <v>46085</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Mars!BC23</f>
        <v>0</v>
      </c>
      <c r="J21" s="34">
        <f>Mars!BE23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infoA3</v>
      </c>
      <c r="BB21" s="107">
        <f t="shared" si="31"/>
        <v>46085</v>
      </c>
      <c r="BC21" s="170">
        <f>+$D$13+3</f>
        <v>46085</v>
      </c>
      <c r="BD21" s="171" t="str">
        <f t="shared" si="32"/>
        <v/>
      </c>
      <c r="BE21" s="171" t="str">
        <f>+IF(OR(BF21=S.CAL!$BJ$3,BF21=S.CAL!$BJ$4),BD21,"")</f>
        <v/>
      </c>
      <c r="BF21" s="333">
        <f>IF($DY$5=S.CAL!$CU$2,Mars!AR23,IF($DY$5=S.CAL!$CU$3,VLOOKUP(BC21,planning_fp,7,FALSE),""))</f>
        <v>0</v>
      </c>
      <c r="BG21" s="345" t="str">
        <f>Mars!BL23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46085</v>
      </c>
      <c r="CF21" s="170">
        <f>+$D$13+3</f>
        <v>46085</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IF(+Mars!AG23="",0,Mars!AG23)</f>
        <v>0</v>
      </c>
      <c r="DZ21" s="16">
        <f>+IF(Mars!AJ23="",0,Mars!AJ23)</f>
        <v>0</v>
      </c>
      <c r="EA21" s="16">
        <f>+IF(Mars!AM23="",0,Mars!AM23)</f>
        <v>0</v>
      </c>
      <c r="EB21" s="16">
        <f t="shared" si="25"/>
        <v>0</v>
      </c>
      <c r="ED21" s="16">
        <f t="shared" si="26"/>
        <v>0</v>
      </c>
      <c r="EE21" s="16">
        <f t="shared" si="17"/>
        <v>0</v>
      </c>
      <c r="EF21" s="30" t="str">
        <f t="shared" si="18"/>
        <v/>
      </c>
      <c r="EG21" s="30" t="str">
        <f t="shared" si="27"/>
        <v/>
      </c>
      <c r="EH21" s="16">
        <f t="shared" si="28"/>
        <v>0</v>
      </c>
      <c r="EI21" s="30"/>
      <c r="EJ21" s="30">
        <f t="shared" si="19"/>
        <v>46085</v>
      </c>
      <c r="EM21" s="16" t="str">
        <f t="shared" si="29"/>
        <v>Fiche infoA346085</v>
      </c>
      <c r="EN21" s="16">
        <f t="shared" si="20"/>
        <v>0</v>
      </c>
      <c r="EQ21" s="16" t="str">
        <f>Mars!FS23</f>
        <v/>
      </c>
    </row>
    <row r="22" spans="1:147" ht="18" customHeight="1" x14ac:dyDescent="0.25">
      <c r="A22" s="24" t="str">
        <f>+Mars!BJ24</f>
        <v>Fiche infoA4</v>
      </c>
      <c r="B22" s="107">
        <f t="shared" si="30"/>
        <v>46086</v>
      </c>
      <c r="C22" s="170">
        <f>+$D$13+4</f>
        <v>46086</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Mars!BC24</f>
        <v>0</v>
      </c>
      <c r="J22" s="34">
        <f>Mars!BE24</f>
        <v>0</v>
      </c>
      <c r="K22" s="34">
        <f t="shared" si="15"/>
        <v>0</v>
      </c>
      <c r="L22" s="34" t="str">
        <f t="shared" si="21"/>
        <v/>
      </c>
      <c r="O22" s="19"/>
      <c r="AK22" s="1189" t="s">
        <v>37</v>
      </c>
      <c r="AL22" s="1318">
        <f>+Mars!AL14</f>
        <v>0</v>
      </c>
      <c r="BA22" s="331" t="str">
        <f t="shared" si="16"/>
        <v>Fiche infoA4</v>
      </c>
      <c r="BB22" s="107">
        <f t="shared" si="31"/>
        <v>46086</v>
      </c>
      <c r="BC22" s="170">
        <f>+$D$13+4</f>
        <v>46086</v>
      </c>
      <c r="BD22" s="171" t="str">
        <f t="shared" si="32"/>
        <v/>
      </c>
      <c r="BE22" s="171" t="str">
        <f>+IF(OR(BF22=S.CAL!$BJ$3,BF22=S.CAL!$BJ$4),BD22,"")</f>
        <v/>
      </c>
      <c r="BF22" s="333">
        <f>IF($DY$5=S.CAL!$CU$2,Mars!AR24,IF($DY$5=S.CAL!$CU$3,VLOOKUP(BC22,planning_fp,7,FALSE),""))</f>
        <v>0</v>
      </c>
      <c r="BG22" s="345" t="str">
        <f>Mars!BL24</f>
        <v>A</v>
      </c>
      <c r="BH22" s="148"/>
      <c r="BL22" s="144"/>
      <c r="BM22" s="195"/>
      <c r="CD22" s="328"/>
      <c r="CE22" s="107">
        <f t="shared" si="33"/>
        <v>46086</v>
      </c>
      <c r="CF22" s="170">
        <f>+$D$13+4</f>
        <v>46086</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IF(+Mars!AG24="",0,Mars!AG24)</f>
        <v>0</v>
      </c>
      <c r="DZ22" s="16">
        <f>+IF(Mars!AJ24="",0,Mars!AJ24)</f>
        <v>0</v>
      </c>
      <c r="EA22" s="16">
        <f>+IF(Mars!AM24="",0,Mars!AM24)</f>
        <v>0</v>
      </c>
      <c r="EB22" s="16">
        <f t="shared" si="25"/>
        <v>0</v>
      </c>
      <c r="ED22" s="16">
        <f t="shared" si="26"/>
        <v>0</v>
      </c>
      <c r="EE22" s="16">
        <f t="shared" si="17"/>
        <v>0</v>
      </c>
      <c r="EF22" s="30" t="str">
        <f t="shared" si="18"/>
        <v/>
      </c>
      <c r="EG22" s="30" t="str">
        <f t="shared" si="27"/>
        <v/>
      </c>
      <c r="EH22" s="16">
        <f t="shared" si="28"/>
        <v>0</v>
      </c>
      <c r="EI22" s="30"/>
      <c r="EJ22" s="30">
        <f t="shared" si="19"/>
        <v>46086</v>
      </c>
      <c r="EM22" s="16" t="str">
        <f t="shared" si="29"/>
        <v>Fiche infoA446086</v>
      </c>
      <c r="EN22" s="16">
        <f t="shared" si="20"/>
        <v>0</v>
      </c>
      <c r="EQ22" s="16" t="str">
        <f>Mars!FS24</f>
        <v/>
      </c>
    </row>
    <row r="23" spans="1:147" ht="18" customHeight="1" x14ac:dyDescent="0.2">
      <c r="A23" s="24" t="str">
        <f>+Mars!BJ25</f>
        <v>Fiche infoA5</v>
      </c>
      <c r="B23" s="107">
        <f t="shared" si="30"/>
        <v>46087</v>
      </c>
      <c r="C23" s="170">
        <f>+$D$13+5</f>
        <v>46087</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Mars!BC25</f>
        <v>0</v>
      </c>
      <c r="J23" s="34">
        <f>Mars!BE25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46087</v>
      </c>
      <c r="BC23" s="170">
        <f>+$D$13+5</f>
        <v>46087</v>
      </c>
      <c r="BD23" s="171" t="str">
        <f t="shared" si="32"/>
        <v/>
      </c>
      <c r="BE23" s="171" t="str">
        <f>+IF(OR(BF23=S.CAL!$BJ$3,BF23=S.CAL!$BJ$4),BD23,"")</f>
        <v/>
      </c>
      <c r="BF23" s="333">
        <f>IF($DY$5=S.CAL!$CU$2,Mars!AR25,IF($DY$5=S.CAL!$CU$3,VLOOKUP(BC23,planning_fp,7,FALSE),""))</f>
        <v>0</v>
      </c>
      <c r="BG23" s="345" t="str">
        <f>Mars!BL25</f>
        <v>A</v>
      </c>
      <c r="BH23" s="29"/>
      <c r="BI23" s="336"/>
      <c r="BL23" s="147"/>
      <c r="CD23" s="328"/>
      <c r="CE23" s="107">
        <f t="shared" si="33"/>
        <v>46087</v>
      </c>
      <c r="CF23" s="170">
        <f>+$D$13+5</f>
        <v>46087</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IF(+Mars!AG25="",0,Mars!AG25)</f>
        <v>0</v>
      </c>
      <c r="DZ23" s="16">
        <f>+IF(Mars!AJ25="",0,Mars!AJ25)</f>
        <v>0</v>
      </c>
      <c r="EA23" s="16">
        <f>+IF(Mars!AM25="",0,Mars!AM25)</f>
        <v>0</v>
      </c>
      <c r="EB23" s="16">
        <f t="shared" si="25"/>
        <v>0</v>
      </c>
      <c r="ED23" s="16">
        <f t="shared" si="26"/>
        <v>0</v>
      </c>
      <c r="EE23" s="16">
        <f t="shared" si="17"/>
        <v>0</v>
      </c>
      <c r="EF23" s="30" t="str">
        <f t="shared" si="18"/>
        <v/>
      </c>
      <c r="EG23" s="30" t="str">
        <f t="shared" si="27"/>
        <v/>
      </c>
      <c r="EH23" s="16">
        <f t="shared" si="28"/>
        <v>0</v>
      </c>
      <c r="EI23" s="30"/>
      <c r="EJ23" s="30">
        <f t="shared" si="19"/>
        <v>46087</v>
      </c>
      <c r="EM23" s="16" t="str">
        <f t="shared" si="29"/>
        <v>Fiche infoA546087</v>
      </c>
      <c r="EN23" s="16">
        <f t="shared" si="20"/>
        <v>0</v>
      </c>
      <c r="EQ23" s="16" t="str">
        <f>Mars!FS25</f>
        <v/>
      </c>
    </row>
    <row r="24" spans="1:147" ht="18" customHeight="1" x14ac:dyDescent="0.2">
      <c r="A24" s="24" t="str">
        <f>+Mars!BJ26</f>
        <v>Fiche infoA6</v>
      </c>
      <c r="B24" s="107">
        <f t="shared" si="30"/>
        <v>46088</v>
      </c>
      <c r="C24" s="170">
        <f>+$D$13+6</f>
        <v>46088</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Mars!BC26</f>
        <v>0</v>
      </c>
      <c r="J24" s="34">
        <f>Mars!BE26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infoA6</v>
      </c>
      <c r="BB24" s="107">
        <f t="shared" si="31"/>
        <v>46088</v>
      </c>
      <c r="BC24" s="170">
        <f>+$D$13+6</f>
        <v>46088</v>
      </c>
      <c r="BD24" s="171" t="str">
        <f t="shared" si="32"/>
        <v/>
      </c>
      <c r="BE24" s="171" t="str">
        <f>+IF(OR(BF24=S.CAL!$BJ$3,BF24=S.CAL!$BJ$4),BD24,"")</f>
        <v/>
      </c>
      <c r="BF24" s="333">
        <f>IF($DY$5=S.CAL!$CU$2,Mars!AR26,IF($DY$5=S.CAL!$CU$3,VLOOKUP(BC24,planning_fp,7,FALSE),""))</f>
        <v>0</v>
      </c>
      <c r="BG24" s="345" t="str">
        <f>Mars!BL26</f>
        <v>A</v>
      </c>
      <c r="BL24" s="35"/>
      <c r="BM24" s="195"/>
      <c r="BO24" s="29"/>
      <c r="BP24" s="182"/>
      <c r="BR24" s="16" t="s">
        <v>746</v>
      </c>
      <c r="BV24" s="355"/>
      <c r="BW24" s="355"/>
      <c r="BX24" s="355"/>
      <c r="BY24" s="355" t="s">
        <v>696</v>
      </c>
      <c r="BZ24" s="355"/>
      <c r="CA24" s="355"/>
      <c r="CB24" s="355"/>
      <c r="CD24" s="328"/>
      <c r="CE24" s="107">
        <f t="shared" si="33"/>
        <v>46088</v>
      </c>
      <c r="CF24" s="170">
        <f>+$D$13+6</f>
        <v>46088</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IF(+Mars!AG26="",0,Mars!AG26)</f>
        <v>0</v>
      </c>
      <c r="DZ24" s="16">
        <f>+IF(Mars!AJ26="",0,Mars!AJ26)</f>
        <v>0</v>
      </c>
      <c r="EA24" s="16">
        <f>+IF(Mars!AM26="",0,Mars!AM26)</f>
        <v>0</v>
      </c>
      <c r="EB24" s="16">
        <f t="shared" si="25"/>
        <v>0</v>
      </c>
      <c r="ED24" s="16">
        <f t="shared" si="26"/>
        <v>0</v>
      </c>
      <c r="EE24" s="16">
        <f t="shared" si="17"/>
        <v>0</v>
      </c>
      <c r="EF24" s="30" t="str">
        <f t="shared" si="18"/>
        <v/>
      </c>
      <c r="EG24" s="30" t="str">
        <f t="shared" si="27"/>
        <v/>
      </c>
      <c r="EH24" s="16">
        <f t="shared" si="28"/>
        <v>0</v>
      </c>
      <c r="EI24" s="30"/>
      <c r="EJ24" s="30">
        <f t="shared" si="19"/>
        <v>46088</v>
      </c>
      <c r="EM24" s="16" t="str">
        <f t="shared" si="29"/>
        <v>Fiche infoA646088</v>
      </c>
      <c r="EN24" s="16">
        <f t="shared" si="20"/>
        <v>0</v>
      </c>
      <c r="EQ24" s="16" t="str">
        <f>Mars!FS26</f>
        <v/>
      </c>
    </row>
    <row r="25" spans="1:147" ht="18" customHeight="1" x14ac:dyDescent="0.2">
      <c r="A25" s="24" t="str">
        <f>+Mars!BJ27</f>
        <v>Fiche infoA7</v>
      </c>
      <c r="B25" s="107">
        <f t="shared" si="30"/>
        <v>46089</v>
      </c>
      <c r="C25" s="170">
        <f>+$D$13+7</f>
        <v>46089</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Mars!BC27</f>
        <v>0</v>
      </c>
      <c r="J25" s="34">
        <f>Mars!BE27</f>
        <v>0</v>
      </c>
      <c r="K25" s="34">
        <f t="shared" si="15"/>
        <v>0</v>
      </c>
      <c r="L25" s="34" t="str">
        <f t="shared" si="21"/>
        <v/>
      </c>
      <c r="AK25" s="1189" t="s">
        <v>320</v>
      </c>
      <c r="AL25" s="1313">
        <f>+IF(AL22,AL24/AL22,0)</f>
        <v>0</v>
      </c>
      <c r="BA25" s="331" t="str">
        <f t="shared" si="16"/>
        <v>Fiche infoA7</v>
      </c>
      <c r="BB25" s="107">
        <f t="shared" si="31"/>
        <v>46089</v>
      </c>
      <c r="BC25" s="170">
        <f>+$D$13+7</f>
        <v>46089</v>
      </c>
      <c r="BD25" s="171" t="str">
        <f t="shared" si="32"/>
        <v/>
      </c>
      <c r="BE25" s="171" t="str">
        <f>+IF(OR(BF25=S.CAL!$BJ$3,BF25=S.CAL!$BJ$4),BD25,"")</f>
        <v/>
      </c>
      <c r="BF25" s="333">
        <f>IF($DY$5=S.CAL!$CU$2,Mars!AR27,IF($DY$5=S.CAL!$CU$3,VLOOKUP(BC25,planning_fp,7,FALSE),""))</f>
        <v>0</v>
      </c>
      <c r="BG25" s="345" t="str">
        <f>Mars!BL27</f>
        <v>A</v>
      </c>
      <c r="BH25" s="148"/>
      <c r="BL25" s="35"/>
      <c r="BO25" s="29"/>
      <c r="BP25" s="182"/>
      <c r="BV25" s="355"/>
      <c r="BW25" s="355"/>
      <c r="BX25" s="355"/>
      <c r="BY25" s="355"/>
      <c r="BZ25" s="355"/>
      <c r="CA25" s="355"/>
      <c r="CB25" s="355"/>
      <c r="CD25" s="328"/>
      <c r="CE25" s="107">
        <f t="shared" si="33"/>
        <v>46089</v>
      </c>
      <c r="CF25" s="170">
        <f>+$D$13+7</f>
        <v>46089</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IF(+Mars!AG27="",0,Mars!AG27)</f>
        <v>0</v>
      </c>
      <c r="DZ25" s="16">
        <f>+IF(Mars!AJ27="",0,Mars!AJ27)</f>
        <v>0</v>
      </c>
      <c r="EA25" s="16">
        <f>+IF(Mars!AM27="",0,Mars!AM27)</f>
        <v>0</v>
      </c>
      <c r="EB25" s="16">
        <f t="shared" si="25"/>
        <v>0</v>
      </c>
      <c r="ED25" s="16">
        <f t="shared" si="26"/>
        <v>0</v>
      </c>
      <c r="EE25" s="16">
        <f t="shared" si="17"/>
        <v>0</v>
      </c>
      <c r="EF25" s="30" t="str">
        <f t="shared" si="18"/>
        <v/>
      </c>
      <c r="EG25" s="30" t="str">
        <f t="shared" si="27"/>
        <v/>
      </c>
      <c r="EH25" s="16">
        <f t="shared" si="28"/>
        <v>0</v>
      </c>
      <c r="EI25" s="30"/>
      <c r="EJ25" s="30">
        <f t="shared" si="19"/>
        <v>46089</v>
      </c>
      <c r="EM25" s="16" t="str">
        <f t="shared" si="29"/>
        <v>Fiche infoA746089</v>
      </c>
      <c r="EN25" s="16">
        <f t="shared" si="20"/>
        <v>0</v>
      </c>
      <c r="EQ25" s="16" t="str">
        <f>Mars!FS27</f>
        <v/>
      </c>
    </row>
    <row r="26" spans="1:147" ht="18" customHeight="1" x14ac:dyDescent="0.2">
      <c r="A26" s="24" t="str">
        <f>+Mars!BJ28</f>
        <v>Fiche infoA1</v>
      </c>
      <c r="B26" s="107">
        <f t="shared" si="30"/>
        <v>46090</v>
      </c>
      <c r="C26" s="170">
        <f>+$D$13+8</f>
        <v>46090</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Mars!BC28</f>
        <v>0</v>
      </c>
      <c r="J26" s="34">
        <f>Mars!BE28</f>
        <v>0</v>
      </c>
      <c r="K26" s="34">
        <f t="shared" si="15"/>
        <v>0</v>
      </c>
      <c r="L26" s="34" t="str">
        <f t="shared" si="21"/>
        <v/>
      </c>
      <c r="O26" s="16" t="s">
        <v>1197</v>
      </c>
      <c r="AK26" s="1189" t="s">
        <v>321</v>
      </c>
      <c r="AL26" s="1313">
        <f>IF(AS21,SUM(AT13:AT20)/AS21,0)</f>
        <v>0</v>
      </c>
      <c r="BA26" s="331" t="str">
        <f t="shared" si="16"/>
        <v>Fiche infoA1</v>
      </c>
      <c r="BB26" s="107">
        <f t="shared" si="31"/>
        <v>46090</v>
      </c>
      <c r="BC26" s="170">
        <f>+$D$13+8</f>
        <v>46090</v>
      </c>
      <c r="BD26" s="171" t="str">
        <f t="shared" si="32"/>
        <v/>
      </c>
      <c r="BE26" s="171" t="str">
        <f>+IF(OR(BF26=S.CAL!$BJ$3,BF26=S.CAL!$BJ$4),BD26,"")</f>
        <v/>
      </c>
      <c r="BF26" s="333">
        <f>IF($DY$5=S.CAL!$CU$2,Mars!AR28,IF($DY$5=S.CAL!$CU$3,VLOOKUP(BC26,planning_fp,7,FALSE),""))</f>
        <v>0</v>
      </c>
      <c r="BG26" s="345" t="str">
        <f>Mars!BL28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46090</v>
      </c>
      <c r="CF26" s="170">
        <f>+$D$13+8</f>
        <v>46090</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IF(+Mars!AG28="",0,Mars!AG28)</f>
        <v>0</v>
      </c>
      <c r="DZ26" s="16">
        <f>+IF(Mars!AJ28="",0,Mars!AJ28)</f>
        <v>0</v>
      </c>
      <c r="EA26" s="16">
        <f>+IF(Mars!AM28="",0,Mars!AM28)</f>
        <v>0</v>
      </c>
      <c r="EB26" s="16">
        <f t="shared" si="25"/>
        <v>0</v>
      </c>
      <c r="ED26" s="16">
        <f t="shared" si="26"/>
        <v>0</v>
      </c>
      <c r="EE26" s="16">
        <f t="shared" si="17"/>
        <v>0</v>
      </c>
      <c r="EF26" s="30" t="str">
        <f t="shared" si="18"/>
        <v/>
      </c>
      <c r="EG26" s="30" t="str">
        <f t="shared" si="27"/>
        <v/>
      </c>
      <c r="EH26" s="16">
        <f t="shared" si="28"/>
        <v>0</v>
      </c>
      <c r="EI26" s="30"/>
      <c r="EJ26" s="30">
        <f t="shared" si="19"/>
        <v>46090</v>
      </c>
      <c r="EM26" s="16" t="str">
        <f t="shared" si="29"/>
        <v>Fiche infoA146090</v>
      </c>
      <c r="EN26" s="16">
        <f t="shared" si="20"/>
        <v>0</v>
      </c>
      <c r="EQ26" s="16" t="str">
        <f>Mars!FS28</f>
        <v/>
      </c>
    </row>
    <row r="27" spans="1:147" ht="18" customHeight="1" x14ac:dyDescent="0.2">
      <c r="A27" s="24" t="str">
        <f>+Mars!BJ29</f>
        <v>Fiche infoA2</v>
      </c>
      <c r="B27" s="107">
        <f t="shared" si="30"/>
        <v>46091</v>
      </c>
      <c r="C27" s="170">
        <f>+$D$13+9</f>
        <v>46091</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Mars!BC29</f>
        <v>0</v>
      </c>
      <c r="J27" s="34">
        <f>Mars!BE29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infoA2</v>
      </c>
      <c r="BB27" s="107">
        <f t="shared" si="31"/>
        <v>46091</v>
      </c>
      <c r="BC27" s="170">
        <f>+$D$13+9</f>
        <v>46091</v>
      </c>
      <c r="BD27" s="171" t="str">
        <f t="shared" si="32"/>
        <v/>
      </c>
      <c r="BE27" s="171" t="str">
        <f>+IF(OR(BF27=S.CAL!$BJ$3,BF27=S.CAL!$BJ$4),BD27,"")</f>
        <v/>
      </c>
      <c r="BF27" s="333">
        <f>IF($DY$5=S.CAL!$CU$2,Mars!AR29,IF($DY$5=S.CAL!$CU$3,VLOOKUP(BC27,planning_fp,7,FALSE),""))</f>
        <v>0</v>
      </c>
      <c r="BG27" s="345" t="str">
        <f>Mars!BL29</f>
        <v>A</v>
      </c>
      <c r="BI27" s="16" t="s">
        <v>746</v>
      </c>
      <c r="BL27" s="35"/>
      <c r="BP27" s="2465"/>
      <c r="BQ27" s="2465"/>
      <c r="BR27" s="2465"/>
      <c r="BS27" s="2465"/>
      <c r="BT27" s="2464"/>
      <c r="BV27" s="355"/>
      <c r="BW27" s="355"/>
      <c r="BX27" s="2543"/>
      <c r="BY27" s="2543"/>
      <c r="BZ27" s="2543"/>
      <c r="CA27" s="2543"/>
      <c r="CB27" s="2542"/>
      <c r="CD27" s="328"/>
      <c r="CE27" s="107">
        <f t="shared" si="33"/>
        <v>46091</v>
      </c>
      <c r="CF27" s="170">
        <f>+$D$13+9</f>
        <v>46091</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IF(+Mars!AG29="",0,Mars!AG29)</f>
        <v>0</v>
      </c>
      <c r="DZ27" s="16">
        <f>+IF(Mars!AJ29="",0,Mars!AJ29)</f>
        <v>0</v>
      </c>
      <c r="EA27" s="16">
        <f>+IF(Mars!AM29="",0,Mars!AM29)</f>
        <v>0</v>
      </c>
      <c r="EB27" s="16">
        <f t="shared" si="25"/>
        <v>0</v>
      </c>
      <c r="ED27" s="16">
        <f t="shared" si="26"/>
        <v>0</v>
      </c>
      <c r="EE27" s="16">
        <f t="shared" si="17"/>
        <v>0</v>
      </c>
      <c r="EF27" s="30" t="str">
        <f t="shared" si="18"/>
        <v/>
      </c>
      <c r="EG27" s="30" t="str">
        <f t="shared" si="27"/>
        <v/>
      </c>
      <c r="EH27" s="16">
        <f t="shared" si="28"/>
        <v>0</v>
      </c>
      <c r="EI27" s="30"/>
      <c r="EJ27" s="30">
        <f t="shared" si="19"/>
        <v>46091</v>
      </c>
      <c r="EM27" s="16" t="str">
        <f t="shared" si="29"/>
        <v>Fiche infoA246091</v>
      </c>
      <c r="EN27" s="16">
        <f t="shared" si="20"/>
        <v>0</v>
      </c>
      <c r="EQ27" s="16" t="str">
        <f>Mars!FS29</f>
        <v/>
      </c>
    </row>
    <row r="28" spans="1:147" ht="18" customHeight="1" x14ac:dyDescent="0.2">
      <c r="A28" s="24" t="str">
        <f>+Mars!BJ30</f>
        <v>Fiche infoA3</v>
      </c>
      <c r="B28" s="107">
        <f t="shared" si="30"/>
        <v>46092</v>
      </c>
      <c r="C28" s="170">
        <f>+$D$13+10</f>
        <v>46092</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Mars!BC30</f>
        <v>0</v>
      </c>
      <c r="J28" s="34">
        <f>Mars!BE30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infoA3</v>
      </c>
      <c r="BB28" s="107">
        <f t="shared" si="31"/>
        <v>46092</v>
      </c>
      <c r="BC28" s="170">
        <f>+$D$13+10</f>
        <v>46092</v>
      </c>
      <c r="BD28" s="171" t="str">
        <f t="shared" si="32"/>
        <v/>
      </c>
      <c r="BE28" s="171" t="str">
        <f>+IF(OR(BF28=S.CAL!$BJ$3,BF28=S.CAL!$BJ$4),BD28,"")</f>
        <v/>
      </c>
      <c r="BF28" s="333">
        <f>IF($DY$5=S.CAL!$CU$2,Mars!AR30,IF($DY$5=S.CAL!$CU$3,VLOOKUP(BC28,planning_fp,7,FALSE),""))</f>
        <v>0</v>
      </c>
      <c r="BG28" s="345" t="str">
        <f>Mars!BL30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46092</v>
      </c>
      <c r="CF28" s="170">
        <f>+$D$13+10</f>
        <v>46092</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IF(+Mars!AG30="",0,Mars!AG30)</f>
        <v>0</v>
      </c>
      <c r="DZ28" s="16">
        <f>+IF(Mars!AJ30="",0,Mars!AJ30)</f>
        <v>0</v>
      </c>
      <c r="EA28" s="16">
        <f>+IF(Mars!AM30="",0,Mars!AM30)</f>
        <v>0</v>
      </c>
      <c r="EB28" s="16">
        <f t="shared" si="25"/>
        <v>0</v>
      </c>
      <c r="ED28" s="16">
        <f t="shared" si="26"/>
        <v>0</v>
      </c>
      <c r="EE28" s="16">
        <f t="shared" si="17"/>
        <v>0</v>
      </c>
      <c r="EF28" s="30" t="str">
        <f t="shared" si="18"/>
        <v/>
      </c>
      <c r="EG28" s="30" t="str">
        <f t="shared" si="27"/>
        <v/>
      </c>
      <c r="EH28" s="16">
        <f t="shared" si="28"/>
        <v>0</v>
      </c>
      <c r="EI28" s="30"/>
      <c r="EJ28" s="30">
        <f t="shared" si="19"/>
        <v>46092</v>
      </c>
      <c r="EM28" s="16" t="str">
        <f t="shared" si="29"/>
        <v>Fiche infoA346092</v>
      </c>
      <c r="EN28" s="16">
        <f t="shared" si="20"/>
        <v>0</v>
      </c>
      <c r="EQ28" s="16" t="str">
        <f>Mars!FS30</f>
        <v/>
      </c>
    </row>
    <row r="29" spans="1:147" ht="18" customHeight="1" x14ac:dyDescent="0.2">
      <c r="A29" s="24" t="str">
        <f>+Mars!BJ31</f>
        <v>Fiche infoA4</v>
      </c>
      <c r="B29" s="107">
        <f t="shared" si="30"/>
        <v>46093</v>
      </c>
      <c r="C29" s="170">
        <f>+$D$13+11</f>
        <v>46093</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Mars!BC31</f>
        <v>0</v>
      </c>
      <c r="J29" s="34">
        <f>Mars!BE31</f>
        <v>0</v>
      </c>
      <c r="K29" s="34">
        <f t="shared" si="15"/>
        <v>0</v>
      </c>
      <c r="L29" s="34" t="str">
        <f t="shared" si="21"/>
        <v/>
      </c>
      <c r="O29" s="859" t="s">
        <v>1444</v>
      </c>
      <c r="P29" s="859"/>
      <c r="Q29" s="859"/>
      <c r="R29" s="859"/>
      <c r="BA29" s="331" t="str">
        <f t="shared" si="16"/>
        <v>Fiche infoA4</v>
      </c>
      <c r="BB29" s="107">
        <f t="shared" si="31"/>
        <v>46093</v>
      </c>
      <c r="BC29" s="170">
        <f>+$D$13+11</f>
        <v>46093</v>
      </c>
      <c r="BD29" s="171" t="str">
        <f t="shared" si="32"/>
        <v/>
      </c>
      <c r="BE29" s="171" t="str">
        <f>+IF(OR(BF29=S.CAL!$BJ$3,BF29=S.CAL!$BJ$4),BD29,"")</f>
        <v/>
      </c>
      <c r="BF29" s="333">
        <f>IF($DY$5=S.CAL!$CU$2,Mars!AR31,IF($DY$5=S.CAL!$CU$3,VLOOKUP(BC29,planning_fp,7,FALSE),""))</f>
        <v>0</v>
      </c>
      <c r="BG29" s="345" t="str">
        <f>Mars!BL31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46093</v>
      </c>
      <c r="CF29" s="170">
        <f>+$D$13+11</f>
        <v>46093</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IF(+Mars!AG31="",0,Mars!AG31)</f>
        <v>0</v>
      </c>
      <c r="DZ29" s="16">
        <f>+IF(Mars!AJ31="",0,Mars!AJ31)</f>
        <v>0</v>
      </c>
      <c r="EA29" s="16">
        <f>+IF(Mars!AM31="",0,Mars!AM31)</f>
        <v>0</v>
      </c>
      <c r="EB29" s="16">
        <f t="shared" si="25"/>
        <v>0</v>
      </c>
      <c r="ED29" s="16">
        <f t="shared" si="26"/>
        <v>0</v>
      </c>
      <c r="EE29" s="16">
        <f t="shared" si="17"/>
        <v>0</v>
      </c>
      <c r="EF29" s="30" t="str">
        <f t="shared" si="18"/>
        <v/>
      </c>
      <c r="EG29" s="30" t="str">
        <f t="shared" si="27"/>
        <v/>
      </c>
      <c r="EH29" s="16">
        <f t="shared" si="28"/>
        <v>0</v>
      </c>
      <c r="EI29" s="30"/>
      <c r="EJ29" s="30">
        <f t="shared" si="19"/>
        <v>46093</v>
      </c>
      <c r="EM29" s="16" t="str">
        <f t="shared" si="29"/>
        <v>Fiche infoA446093</v>
      </c>
      <c r="EN29" s="16">
        <f t="shared" si="20"/>
        <v>0</v>
      </c>
      <c r="EQ29" s="16" t="str">
        <f>Mars!FS31</f>
        <v/>
      </c>
    </row>
    <row r="30" spans="1:147" ht="18" customHeight="1" x14ac:dyDescent="0.25">
      <c r="A30" s="24" t="str">
        <f>+Mars!BJ32</f>
        <v>Fiche infoA5</v>
      </c>
      <c r="B30" s="107">
        <f t="shared" si="30"/>
        <v>46094</v>
      </c>
      <c r="C30" s="170">
        <f>+$D$13+12</f>
        <v>46094</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Mars!BC32</f>
        <v>0</v>
      </c>
      <c r="J30" s="34">
        <f>Mars!BE32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46082</v>
      </c>
      <c r="AP30" s="2555"/>
      <c r="AQ30" s="2555"/>
      <c r="BA30" s="331" t="str">
        <f t="shared" si="16"/>
        <v>Fiche infoA5</v>
      </c>
      <c r="BB30" s="107">
        <f t="shared" si="31"/>
        <v>46094</v>
      </c>
      <c r="BC30" s="170">
        <f>+$D$13+12</f>
        <v>46094</v>
      </c>
      <c r="BD30" s="171" t="str">
        <f t="shared" si="32"/>
        <v/>
      </c>
      <c r="BE30" s="171" t="str">
        <f>+IF(OR(BF30=S.CAL!$BJ$3,BF30=S.CAL!$BJ$4),BD30,"")</f>
        <v/>
      </c>
      <c r="BF30" s="333">
        <f>IF($DY$5=S.CAL!$CU$2,Mars!AR32,IF($DY$5=S.CAL!$CU$3,VLOOKUP(BC30,planning_fp,7,FALSE),""))</f>
        <v>0</v>
      </c>
      <c r="BG30" s="345" t="str">
        <f>Mars!BL32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46094</v>
      </c>
      <c r="CF30" s="170">
        <f>+$D$13+12</f>
        <v>46094</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IF(+Mars!AG32="",0,Mars!AG32)</f>
        <v>0</v>
      </c>
      <c r="DZ30" s="16">
        <f>+IF(Mars!AJ32="",0,Mars!AJ32)</f>
        <v>0</v>
      </c>
      <c r="EA30" s="16">
        <f>+IF(Mars!AM32="",0,Mars!AM32)</f>
        <v>0</v>
      </c>
      <c r="EB30" s="16">
        <f t="shared" si="25"/>
        <v>0</v>
      </c>
      <c r="ED30" s="16">
        <f t="shared" si="26"/>
        <v>0</v>
      </c>
      <c r="EE30" s="16">
        <f t="shared" si="17"/>
        <v>0</v>
      </c>
      <c r="EF30" s="30" t="str">
        <f t="shared" si="18"/>
        <v/>
      </c>
      <c r="EG30" s="30" t="str">
        <f t="shared" si="27"/>
        <v/>
      </c>
      <c r="EH30" s="16">
        <f t="shared" si="28"/>
        <v>0</v>
      </c>
      <c r="EI30" s="30"/>
      <c r="EJ30" s="30">
        <f t="shared" si="19"/>
        <v>46094</v>
      </c>
      <c r="EM30" s="16" t="str">
        <f t="shared" si="29"/>
        <v>Fiche infoA546094</v>
      </c>
      <c r="EN30" s="16">
        <f t="shared" si="20"/>
        <v>0</v>
      </c>
      <c r="EQ30" s="16" t="str">
        <f>Mars!FS32</f>
        <v/>
      </c>
    </row>
    <row r="31" spans="1:147" ht="18" customHeight="1" x14ac:dyDescent="0.2">
      <c r="A31" s="24" t="str">
        <f>+Mars!BJ33</f>
        <v>Fiche infoA6</v>
      </c>
      <c r="B31" s="107">
        <f t="shared" si="30"/>
        <v>46095</v>
      </c>
      <c r="C31" s="170">
        <f>+$D$13+13</f>
        <v>46095</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Mars!BC33</f>
        <v>0</v>
      </c>
      <c r="J31" s="34">
        <f>Mars!BE33</f>
        <v>0</v>
      </c>
      <c r="K31" s="34">
        <f t="shared" si="15"/>
        <v>0</v>
      </c>
      <c r="L31" s="34" t="str">
        <f t="shared" si="21"/>
        <v/>
      </c>
      <c r="AL31" s="563" t="s">
        <v>342</v>
      </c>
      <c r="BA31" s="331" t="str">
        <f t="shared" si="16"/>
        <v>Fiche infoA6</v>
      </c>
      <c r="BB31" s="107">
        <f t="shared" si="31"/>
        <v>46095</v>
      </c>
      <c r="BC31" s="170">
        <f>+$D$13+13</f>
        <v>46095</v>
      </c>
      <c r="BD31" s="171" t="str">
        <f t="shared" si="32"/>
        <v/>
      </c>
      <c r="BE31" s="171" t="str">
        <f>+IF(OR(BF31=S.CAL!$BJ$3,BF31=S.CAL!$BJ$4),BD31,"")</f>
        <v/>
      </c>
      <c r="BF31" s="333">
        <f>IF($DY$5=S.CAL!$CU$2,Mars!AR33,IF($DY$5=S.CAL!$CU$3,VLOOKUP(BC31,planning_fp,7,FALSE),""))</f>
        <v>0</v>
      </c>
      <c r="BG31" s="345" t="str">
        <f>Mars!BL33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46095</v>
      </c>
      <c r="CF31" s="170">
        <f>+$D$13+13</f>
        <v>46095</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IF(+Mars!AG33="",0,Mars!AG33)</f>
        <v>0</v>
      </c>
      <c r="DZ31" s="16">
        <f>+IF(Mars!AJ33="",0,Mars!AJ33)</f>
        <v>0</v>
      </c>
      <c r="EA31" s="16">
        <f>+IF(Mars!AM33="",0,Mars!AM33)</f>
        <v>0</v>
      </c>
      <c r="EB31" s="16">
        <f t="shared" si="25"/>
        <v>0</v>
      </c>
      <c r="ED31" s="16">
        <f t="shared" si="26"/>
        <v>0</v>
      </c>
      <c r="EE31" s="16">
        <f t="shared" si="17"/>
        <v>0</v>
      </c>
      <c r="EF31" s="30" t="str">
        <f t="shared" si="18"/>
        <v/>
      </c>
      <c r="EG31" s="30" t="str">
        <f t="shared" si="27"/>
        <v/>
      </c>
      <c r="EH31" s="16">
        <f t="shared" si="28"/>
        <v>0</v>
      </c>
      <c r="EI31" s="30"/>
      <c r="EJ31" s="30">
        <f t="shared" si="19"/>
        <v>46095</v>
      </c>
      <c r="EM31" s="16" t="str">
        <f t="shared" si="29"/>
        <v>Fiche infoA646095</v>
      </c>
      <c r="EN31" s="16">
        <f t="shared" si="20"/>
        <v>0</v>
      </c>
      <c r="EQ31" s="16" t="str">
        <f>Mars!FS33</f>
        <v/>
      </c>
    </row>
    <row r="32" spans="1:147" ht="18" customHeight="1" x14ac:dyDescent="0.2">
      <c r="A32" s="24" t="str">
        <f>+Mars!BJ34</f>
        <v>Fiche infoA7</v>
      </c>
      <c r="B32" s="107">
        <f t="shared" si="30"/>
        <v>46096</v>
      </c>
      <c r="C32" s="170">
        <f>+$D$13+14</f>
        <v>46096</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Mars!BC34</f>
        <v>0</v>
      </c>
      <c r="J32" s="34">
        <f>Mars!BE34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infoA7</v>
      </c>
      <c r="BB32" s="107">
        <f t="shared" si="31"/>
        <v>46096</v>
      </c>
      <c r="BC32" s="170">
        <f>+$D$13+14</f>
        <v>46096</v>
      </c>
      <c r="BD32" s="171" t="str">
        <f t="shared" si="32"/>
        <v/>
      </c>
      <c r="BE32" s="171" t="str">
        <f>+IF(OR(BF32=S.CAL!$BJ$3,BF32=S.CAL!$BJ$4),BD32,"")</f>
        <v/>
      </c>
      <c r="BF32" s="333">
        <f>IF($DY$5=S.CAL!$CU$2,Mars!AR34,IF($DY$5=S.CAL!$CU$3,VLOOKUP(BC32,planning_fp,7,FALSE),""))</f>
        <v>0</v>
      </c>
      <c r="BG32" s="345" t="str">
        <f>Mars!BL34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46096</v>
      </c>
      <c r="CF32" s="170">
        <f>+$D$13+14</f>
        <v>46096</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IF(+Mars!AG34="",0,Mars!AG34)</f>
        <v>0</v>
      </c>
      <c r="DZ32" s="16">
        <f>+IF(Mars!AJ34="",0,Mars!AJ34)</f>
        <v>0</v>
      </c>
      <c r="EA32" s="16">
        <f>+IF(Mars!AM34="",0,Mars!AM34)</f>
        <v>0</v>
      </c>
      <c r="EB32" s="16">
        <f t="shared" si="25"/>
        <v>0</v>
      </c>
      <c r="ED32" s="16">
        <f t="shared" si="26"/>
        <v>0</v>
      </c>
      <c r="EE32" s="16">
        <f t="shared" si="17"/>
        <v>0</v>
      </c>
      <c r="EF32" s="30" t="str">
        <f t="shared" si="18"/>
        <v/>
      </c>
      <c r="EG32" s="30" t="str">
        <f t="shared" si="27"/>
        <v/>
      </c>
      <c r="EH32" s="16">
        <f t="shared" si="28"/>
        <v>0</v>
      </c>
      <c r="EI32" s="30"/>
      <c r="EJ32" s="30">
        <f t="shared" si="19"/>
        <v>46096</v>
      </c>
      <c r="EM32" s="16" t="str">
        <f t="shared" si="29"/>
        <v>Fiche infoA746096</v>
      </c>
      <c r="EN32" s="16">
        <f t="shared" si="20"/>
        <v>0</v>
      </c>
      <c r="EQ32" s="16" t="str">
        <f>Mars!FS34</f>
        <v/>
      </c>
    </row>
    <row r="33" spans="1:147" ht="18" customHeight="1" x14ac:dyDescent="0.2">
      <c r="A33" s="24" t="str">
        <f>+Mars!BJ35</f>
        <v>Fiche infoA1</v>
      </c>
      <c r="B33" s="107">
        <f t="shared" si="30"/>
        <v>46097</v>
      </c>
      <c r="C33" s="170">
        <f>+$D$13+15</f>
        <v>46097</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Mars!BC35</f>
        <v>0</v>
      </c>
      <c r="J33" s="34">
        <f>Mars!BE35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infoA1</v>
      </c>
      <c r="BB33" s="107">
        <f t="shared" si="31"/>
        <v>46097</v>
      </c>
      <c r="BC33" s="170">
        <f>+$D$13+15</f>
        <v>46097</v>
      </c>
      <c r="BD33" s="171" t="str">
        <f t="shared" si="32"/>
        <v/>
      </c>
      <c r="BE33" s="171" t="str">
        <f>+IF(OR(BF33=S.CAL!$BJ$3,BF33=S.CAL!$BJ$4),BD33,"")</f>
        <v/>
      </c>
      <c r="BF33" s="333">
        <f>IF($DY$5=S.CAL!$CU$2,Mars!AR35,IF($DY$5=S.CAL!$CU$3,VLOOKUP(BC33,planning_fp,7,FALSE),""))</f>
        <v>0</v>
      </c>
      <c r="BG33" s="345" t="str">
        <f>Mars!BL35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46097</v>
      </c>
      <c r="CF33" s="170">
        <f>+$D$13+15</f>
        <v>46097</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IF(+Mars!AG35="",0,Mars!AG35)</f>
        <v>0</v>
      </c>
      <c r="DZ33" s="16">
        <f>+IF(Mars!AJ35="",0,Mars!AJ35)</f>
        <v>0</v>
      </c>
      <c r="EA33" s="16">
        <f>+IF(Mars!AM35="",0,Mars!AM35)</f>
        <v>0</v>
      </c>
      <c r="EB33" s="16">
        <f t="shared" si="25"/>
        <v>0</v>
      </c>
      <c r="ED33" s="16">
        <f t="shared" si="26"/>
        <v>0</v>
      </c>
      <c r="EE33" s="16">
        <f t="shared" si="17"/>
        <v>0</v>
      </c>
      <c r="EF33" s="30" t="str">
        <f t="shared" si="18"/>
        <v/>
      </c>
      <c r="EG33" s="30" t="str">
        <f t="shared" si="27"/>
        <v/>
      </c>
      <c r="EH33" s="16">
        <f t="shared" si="28"/>
        <v>0</v>
      </c>
      <c r="EI33" s="30"/>
      <c r="EJ33" s="30">
        <f t="shared" si="19"/>
        <v>46097</v>
      </c>
      <c r="EM33" s="16" t="str">
        <f t="shared" si="29"/>
        <v>Fiche infoA146097</v>
      </c>
      <c r="EN33" s="16">
        <f t="shared" si="20"/>
        <v>0</v>
      </c>
      <c r="EQ33" s="16" t="str">
        <f>Mars!FS35</f>
        <v/>
      </c>
    </row>
    <row r="34" spans="1:147" ht="18" customHeight="1" x14ac:dyDescent="0.2">
      <c r="A34" s="24" t="str">
        <f>+Mars!BJ36</f>
        <v>Fiche infoA2</v>
      </c>
      <c r="B34" s="107">
        <f t="shared" si="30"/>
        <v>46098</v>
      </c>
      <c r="C34" s="170">
        <f>+$D$13+16</f>
        <v>46098</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Mars!BC36</f>
        <v>0</v>
      </c>
      <c r="J34" s="34">
        <f>Mars!BE36</f>
        <v>0</v>
      </c>
      <c r="K34" s="34">
        <f t="shared" si="15"/>
        <v>0</v>
      </c>
      <c r="L34" s="34" t="str">
        <f t="shared" si="21"/>
        <v/>
      </c>
      <c r="N34" s="377"/>
      <c r="O34" s="377"/>
      <c r="P34" s="377"/>
      <c r="Q34" s="377"/>
      <c r="R34" s="377"/>
      <c r="T34" s="563">
        <f>+IF(AD34=0,V34,0)</f>
        <v>0</v>
      </c>
      <c r="U34" s="1301" t="str">
        <f>+Mars!AU4</f>
        <v>A</v>
      </c>
      <c r="V34" s="1301">
        <f>IFERROR(+VLOOKUP(U34,U35:AB39,7,FALSE),"")</f>
        <v>0</v>
      </c>
      <c r="W34" s="2538" t="str">
        <f>Mars!BS28</f>
        <v>Semaine numéro : 9</v>
      </c>
      <c r="X34" s="2538"/>
      <c r="Y34" s="2538"/>
      <c r="Z34" s="1323"/>
      <c r="AA34" s="1316">
        <f>+IF(Z34&lt;&gt;"",Z34,IF(T34&gt;0,T34,IF(AND(AD34&gt;0,AC34&gt;0),AD34+AC34,IF(AE34&gt;0,0,AC34))))</f>
        <v>0</v>
      </c>
      <c r="AB34" s="1316">
        <f>IF(AND(AA34&gt;45,AD34=AD48),AA34-45,0)</f>
        <v>0</v>
      </c>
      <c r="AC34" s="1322">
        <f>+SUMIF(Mars!$BK$20:$BK$50,Mars!AT4,$D$18:$D$48)</f>
        <v>0</v>
      </c>
      <c r="AD34" s="1322">
        <f>+SUMIF(Février!$BK$20:$BK$50,Mars!AT4,'Retenue Fev'!$D$18:$D$48)</f>
        <v>0</v>
      </c>
      <c r="AE34" s="1322">
        <f>+SUMIF(Avril!$BK$20:$BK$50,Mars!AT4,'Retenue Avril'!$D$18:$D$48)</f>
        <v>0</v>
      </c>
      <c r="AF34" s="1316">
        <f>+AC34-AB34</f>
        <v>0</v>
      </c>
      <c r="AK34" s="1189" t="s">
        <v>324</v>
      </c>
      <c r="AL34" s="1302" t="e">
        <f>IF(AL32,+AL24/AL32,0)</f>
        <v>#VALUE!</v>
      </c>
      <c r="BA34" s="331" t="str">
        <f t="shared" si="16"/>
        <v>Fiche infoA2</v>
      </c>
      <c r="BB34" s="107">
        <f t="shared" si="31"/>
        <v>46098</v>
      </c>
      <c r="BC34" s="170">
        <f>+$D$13+16</f>
        <v>46098</v>
      </c>
      <c r="BD34" s="171" t="str">
        <f t="shared" si="32"/>
        <v/>
      </c>
      <c r="BE34" s="171" t="str">
        <f>+IF(OR(BF34=S.CAL!$BJ$3,BF34=S.CAL!$BJ$4),BD34,"")</f>
        <v/>
      </c>
      <c r="BF34" s="333">
        <f>IF($DY$5=S.CAL!$CU$2,Mars!AR36,IF($DY$5=S.CAL!$CU$3,VLOOKUP(BC34,planning_fp,7,FALSE),""))</f>
        <v>0</v>
      </c>
      <c r="BG34" s="345" t="str">
        <f>Mars!BL36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46098</v>
      </c>
      <c r="CF34" s="170">
        <f>+$D$13+16</f>
        <v>46098</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IF(+Mars!AG36="",0,Mars!AG36)</f>
        <v>0</v>
      </c>
      <c r="DZ34" s="16">
        <f>+IF(Mars!AJ36="",0,Mars!AJ36)</f>
        <v>0</v>
      </c>
      <c r="EA34" s="16">
        <f>+IF(Mars!AM36="",0,Mars!AM36)</f>
        <v>0</v>
      </c>
      <c r="EB34" s="16">
        <f t="shared" si="25"/>
        <v>0</v>
      </c>
      <c r="ED34" s="16">
        <f t="shared" si="26"/>
        <v>0</v>
      </c>
      <c r="EE34" s="16">
        <f t="shared" si="17"/>
        <v>0</v>
      </c>
      <c r="EF34" s="30" t="str">
        <f t="shared" si="18"/>
        <v/>
      </c>
      <c r="EG34" s="30" t="str">
        <f t="shared" si="27"/>
        <v/>
      </c>
      <c r="EH34" s="16">
        <f t="shared" si="28"/>
        <v>0</v>
      </c>
      <c r="EI34" s="30"/>
      <c r="EJ34" s="30">
        <f t="shared" si="19"/>
        <v>46098</v>
      </c>
      <c r="EM34" s="16" t="str">
        <f t="shared" si="29"/>
        <v>Fiche infoA246098</v>
      </c>
      <c r="EN34" s="16">
        <f t="shared" si="20"/>
        <v>0</v>
      </c>
      <c r="EQ34" s="16" t="str">
        <f>Mars!FS36</f>
        <v/>
      </c>
    </row>
    <row r="35" spans="1:147" ht="18" customHeight="1" x14ac:dyDescent="0.2">
      <c r="A35" s="24" t="str">
        <f>+Mars!BJ37</f>
        <v>Fiche infoA3</v>
      </c>
      <c r="B35" s="107">
        <f t="shared" si="30"/>
        <v>46099</v>
      </c>
      <c r="C35" s="170">
        <f>+$D$13+17</f>
        <v>46099</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Mars!BC37</f>
        <v>0</v>
      </c>
      <c r="J35" s="34">
        <f>Mars!BE37</f>
        <v>0</v>
      </c>
      <c r="K35" s="34">
        <f t="shared" si="15"/>
        <v>0</v>
      </c>
      <c r="L35" s="34" t="str">
        <f t="shared" si="21"/>
        <v/>
      </c>
      <c r="N35" s="377"/>
      <c r="O35" s="861" t="s">
        <v>1198</v>
      </c>
      <c r="P35" s="862"/>
      <c r="Q35" s="862"/>
      <c r="R35" s="858"/>
      <c r="T35" s="563">
        <f>+IF(AD35=0,V35,0)</f>
        <v>0</v>
      </c>
      <c r="U35" s="1301" t="str">
        <f>+Mars!AU5</f>
        <v>A</v>
      </c>
      <c r="V35" s="1301">
        <f>IFERROR(+VLOOKUP(U35,U36:AB39,7,FALSE),"")</f>
        <v>0</v>
      </c>
      <c r="W35" s="2538" t="str">
        <f>Mars!BS29</f>
        <v>Semaine numéro : 10</v>
      </c>
      <c r="X35" s="2538"/>
      <c r="Y35" s="2538"/>
      <c r="Z35" s="1323"/>
      <c r="AA35" s="1316">
        <f>+IF(Z35&lt;&gt;"",Z35,IF(T35&gt;0,T35,IF(AND(AD35&gt;0,AC35&gt;0),AD35+AC35,IF(AE35&gt;0,0,AC35))))</f>
        <v>0</v>
      </c>
      <c r="AB35" s="1316">
        <f t="shared" ref="AB35:AB39" si="44">IF(AND(AA35&gt;45,AD35=AD49),AA35-45,0)</f>
        <v>0</v>
      </c>
      <c r="AC35" s="1322">
        <f>+SUMIF(Mars!$BK$20:$BK$50,Mars!AT5,$D$18:$D$48)</f>
        <v>0</v>
      </c>
      <c r="AD35" s="1322">
        <f>+SUMIF(Février!$BK$20:$BK$50,Mars!AT5,'Retenue Fev'!$D$18:$D$48)</f>
        <v>0</v>
      </c>
      <c r="AE35" s="1322">
        <f>+SUMIF(Avril!$BK$20:$BK$50,Mars!AT5,'Retenue Avril'!$D$18:$D$48)</f>
        <v>0</v>
      </c>
      <c r="AF35" s="1316">
        <f t="shared" ref="AF35:AF39" si="45">+AC35-AB35</f>
        <v>0</v>
      </c>
      <c r="AK35" s="1189"/>
      <c r="AL35" s="1302"/>
      <c r="BA35" s="331" t="str">
        <f t="shared" si="16"/>
        <v>Fiche infoA3</v>
      </c>
      <c r="BB35" s="107">
        <f t="shared" si="31"/>
        <v>46099</v>
      </c>
      <c r="BC35" s="170">
        <f>+$D$13+17</f>
        <v>46099</v>
      </c>
      <c r="BD35" s="171" t="str">
        <f t="shared" si="32"/>
        <v/>
      </c>
      <c r="BE35" s="171" t="str">
        <f>+IF(OR(BF35=S.CAL!$BJ$3,BF35=S.CAL!$BJ$4),BD35,"")</f>
        <v/>
      </c>
      <c r="BF35" s="333">
        <f>IF($DY$5=S.CAL!$CU$2,Mars!AR37,IF($DY$5=S.CAL!$CU$3,VLOOKUP(BC35,planning_fp,7,FALSE),""))</f>
        <v>0</v>
      </c>
      <c r="BG35" s="345" t="str">
        <f>Mars!BL37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46099</v>
      </c>
      <c r="CF35" s="170">
        <f>+$D$13+17</f>
        <v>46099</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IF(+Mars!AG37="",0,Mars!AG37)</f>
        <v>0</v>
      </c>
      <c r="DZ35" s="16">
        <f>+IF(Mars!AJ37="",0,Mars!AJ37)</f>
        <v>0</v>
      </c>
      <c r="EA35" s="16">
        <f>+IF(Mars!AM37="",0,Mars!AM37)</f>
        <v>0</v>
      </c>
      <c r="EB35" s="16">
        <f t="shared" si="25"/>
        <v>0</v>
      </c>
      <c r="ED35" s="16">
        <f t="shared" si="26"/>
        <v>0</v>
      </c>
      <c r="EE35" s="16">
        <f t="shared" si="17"/>
        <v>0</v>
      </c>
      <c r="EF35" s="30" t="str">
        <f t="shared" si="18"/>
        <v/>
      </c>
      <c r="EG35" s="30" t="str">
        <f t="shared" si="27"/>
        <v/>
      </c>
      <c r="EH35" s="16">
        <f t="shared" si="28"/>
        <v>0</v>
      </c>
      <c r="EI35" s="30"/>
      <c r="EJ35" s="30">
        <f t="shared" si="19"/>
        <v>46099</v>
      </c>
      <c r="EM35" s="16" t="str">
        <f t="shared" si="29"/>
        <v>Fiche infoA346099</v>
      </c>
      <c r="EN35" s="16">
        <f t="shared" si="20"/>
        <v>0</v>
      </c>
      <c r="EQ35" s="16" t="str">
        <f>Mars!FS37</f>
        <v/>
      </c>
    </row>
    <row r="36" spans="1:147" ht="18" customHeight="1" x14ac:dyDescent="0.2">
      <c r="A36" s="24" t="str">
        <f>+Mars!BJ38</f>
        <v>Fiche infoA4</v>
      </c>
      <c r="B36" s="107">
        <f t="shared" si="30"/>
        <v>46100</v>
      </c>
      <c r="C36" s="170">
        <f>+$D$13+18</f>
        <v>46100</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Mars!BC38</f>
        <v>0</v>
      </c>
      <c r="J36" s="34">
        <f>Mars!BE38</f>
        <v>0</v>
      </c>
      <c r="K36" s="34">
        <f t="shared" si="15"/>
        <v>0</v>
      </c>
      <c r="L36" s="34" t="str">
        <f t="shared" si="21"/>
        <v/>
      </c>
      <c r="N36" s="377"/>
      <c r="O36" s="468"/>
      <c r="P36" s="469" t="str">
        <f>+E11&amp;" / ( "&amp;E10&amp;" + "&amp;E11&amp;" ) ="</f>
        <v>0 / ( 0 + 0 ) =</v>
      </c>
      <c r="Q36" s="468" t="e">
        <f>+ROUND(E11/(E11+E10),6)</f>
        <v>#DIV/0!</v>
      </c>
      <c r="R36" s="377"/>
      <c r="U36" s="1301" t="str">
        <f>+Mars!AU6</f>
        <v>A</v>
      </c>
      <c r="V36" s="1301"/>
      <c r="W36" s="2538" t="str">
        <f>Mars!BS30</f>
        <v>Semaine numéro : 11</v>
      </c>
      <c r="X36" s="2538"/>
      <c r="Y36" s="2538"/>
      <c r="Z36" s="1323"/>
      <c r="AA36" s="1316">
        <f t="shared" ref="AA36:AA39" si="46">+IF(Z36="",IF(AND(AD36&gt;0,AC36&gt;0),AD36+AC36,IF(AE36&gt;0,0,AC36)),Z36)</f>
        <v>0</v>
      </c>
      <c r="AB36" s="1316">
        <f t="shared" si="44"/>
        <v>0</v>
      </c>
      <c r="AC36" s="1322">
        <f>+SUMIF(Mars!$BK$20:$BK$50,Mars!AT6,$D$18:$D$48)</f>
        <v>0</v>
      </c>
      <c r="AD36" s="1322">
        <f>+SUMIF(Février!$BK$20:$BK$50,Mars!AT6,'Retenue Fev'!$D$18:$D$48)</f>
        <v>0</v>
      </c>
      <c r="AE36" s="1322">
        <f>+SUMIF(Avril!$BK$20:$BK$50,Mars!AT6,'Retenue Avril'!$D$18:$D$48)</f>
        <v>0</v>
      </c>
      <c r="AF36" s="1316">
        <f t="shared" si="45"/>
        <v>0</v>
      </c>
      <c r="AK36" s="1189"/>
      <c r="AL36" s="1302"/>
      <c r="BA36" s="331" t="str">
        <f t="shared" si="16"/>
        <v>Fiche infoA4</v>
      </c>
      <c r="BB36" s="107">
        <f t="shared" si="31"/>
        <v>46100</v>
      </c>
      <c r="BC36" s="170">
        <f>+$D$13+18</f>
        <v>46100</v>
      </c>
      <c r="BD36" s="171" t="str">
        <f t="shared" si="32"/>
        <v/>
      </c>
      <c r="BE36" s="171" t="str">
        <f>+IF(OR(BF36=S.CAL!$BJ$3,BF36=S.CAL!$BJ$4),BD36,"")</f>
        <v/>
      </c>
      <c r="BF36" s="333">
        <f>IF($DY$5=S.CAL!$CU$2,Mars!AR38,IF($DY$5=S.CAL!$CU$3,VLOOKUP(BC36,planning_fp,7,FALSE),""))</f>
        <v>0</v>
      </c>
      <c r="BG36" s="345" t="str">
        <f>Mars!BL38</f>
        <v>A</v>
      </c>
      <c r="BH36" s="356"/>
      <c r="BI36" s="357"/>
      <c r="BJ36" s="355"/>
      <c r="BK36" s="355"/>
      <c r="BL36" s="35"/>
      <c r="BS36" s="189"/>
      <c r="BT36" s="342"/>
      <c r="BU36" s="342"/>
      <c r="BV36" s="355"/>
      <c r="BW36" s="355"/>
      <c r="BX36" s="355"/>
      <c r="BY36" s="355"/>
      <c r="BZ36" s="355"/>
      <c r="CA36" s="355"/>
      <c r="CB36" s="355"/>
      <c r="CD36" s="328"/>
      <c r="CE36" s="107">
        <f t="shared" si="33"/>
        <v>46100</v>
      </c>
      <c r="CF36" s="170">
        <f>+$D$13+18</f>
        <v>46100</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IF(+Mars!AG38="",0,Mars!AG38)</f>
        <v>0</v>
      </c>
      <c r="DZ36" s="16">
        <f>+IF(Mars!AJ38="",0,Mars!AJ38)</f>
        <v>0</v>
      </c>
      <c r="EA36" s="16">
        <f>+IF(Mars!AM38="",0,Mars!AM38)</f>
        <v>0</v>
      </c>
      <c r="EB36" s="16">
        <f t="shared" si="25"/>
        <v>0</v>
      </c>
      <c r="ED36" s="16">
        <f t="shared" si="26"/>
        <v>0</v>
      </c>
      <c r="EE36" s="16">
        <f t="shared" si="17"/>
        <v>0</v>
      </c>
      <c r="EF36" s="30" t="str">
        <f t="shared" si="18"/>
        <v/>
      </c>
      <c r="EG36" s="30" t="str">
        <f t="shared" si="27"/>
        <v/>
      </c>
      <c r="EH36" s="16">
        <f t="shared" si="28"/>
        <v>0</v>
      </c>
      <c r="EI36" s="30"/>
      <c r="EJ36" s="30">
        <f t="shared" si="19"/>
        <v>46100</v>
      </c>
      <c r="EM36" s="16" t="str">
        <f t="shared" si="29"/>
        <v>Fiche infoA446100</v>
      </c>
      <c r="EN36" s="16">
        <f t="shared" si="20"/>
        <v>0</v>
      </c>
      <c r="EQ36" s="16" t="str">
        <f>Mars!FS38</f>
        <v/>
      </c>
    </row>
    <row r="37" spans="1:147" ht="18" customHeight="1" x14ac:dyDescent="0.2">
      <c r="A37" s="24" t="str">
        <f>+Mars!BJ39</f>
        <v>Fiche infoA5</v>
      </c>
      <c r="B37" s="107">
        <f t="shared" si="30"/>
        <v>46101</v>
      </c>
      <c r="C37" s="170">
        <f>+$D$13+19</f>
        <v>46101</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Mars!BC39</f>
        <v>0</v>
      </c>
      <c r="J37" s="34">
        <f>Mars!BE39</f>
        <v>0</v>
      </c>
      <c r="K37" s="34">
        <f t="shared" si="15"/>
        <v>0</v>
      </c>
      <c r="L37" s="34" t="str">
        <f t="shared" si="21"/>
        <v/>
      </c>
      <c r="N37" s="377"/>
      <c r="O37" s="863"/>
      <c r="P37" s="863"/>
      <c r="Q37" s="863"/>
      <c r="R37" s="377"/>
      <c r="U37" s="1301" t="str">
        <f>+Mars!AU7</f>
        <v>A</v>
      </c>
      <c r="V37" s="1301"/>
      <c r="W37" s="2538" t="str">
        <f>Mars!BS31</f>
        <v>Semaine numéro : 12</v>
      </c>
      <c r="X37" s="2538"/>
      <c r="Y37" s="2538"/>
      <c r="Z37" s="1323"/>
      <c r="AA37" s="1316">
        <f t="shared" si="46"/>
        <v>0</v>
      </c>
      <c r="AB37" s="1316">
        <f t="shared" si="44"/>
        <v>0</v>
      </c>
      <c r="AC37" s="1322">
        <f>+SUMIF(Mars!$BK$20:$BK$50,Mars!AT7,$D$18:$D$48)</f>
        <v>0</v>
      </c>
      <c r="AD37" s="1322">
        <f>+SUMIF(Février!$BK$20:$BK$50,Mars!AT7,'Retenue Fev'!$D$18:$D$48)</f>
        <v>0</v>
      </c>
      <c r="AE37" s="1322">
        <f>+SUMIF(Avril!$BK$20:$BK$50,Mars!AT7,'Retenue Avril'!$D$18:$D$48)</f>
        <v>0</v>
      </c>
      <c r="AF37" s="1316">
        <f t="shared" si="45"/>
        <v>0</v>
      </c>
      <c r="AK37" s="1189"/>
      <c r="AL37" s="2553" t="s">
        <v>325</v>
      </c>
      <c r="AM37" s="2553" t="s">
        <v>326</v>
      </c>
      <c r="AN37" s="2554" t="s">
        <v>327</v>
      </c>
      <c r="AO37" s="2553" t="s">
        <v>328</v>
      </c>
      <c r="AP37" s="2553" t="s">
        <v>348</v>
      </c>
      <c r="AQ37" s="2553" t="s">
        <v>349</v>
      </c>
      <c r="BA37" s="331" t="str">
        <f t="shared" si="16"/>
        <v>Fiche infoA5</v>
      </c>
      <c r="BB37" s="107">
        <f t="shared" si="31"/>
        <v>46101</v>
      </c>
      <c r="BC37" s="170">
        <f>+$D$13+19</f>
        <v>46101</v>
      </c>
      <c r="BD37" s="171" t="str">
        <f t="shared" si="32"/>
        <v/>
      </c>
      <c r="BE37" s="171" t="str">
        <f>+IF(OR(BF37=S.CAL!$BJ$3,BF37=S.CAL!$BJ$4),BD37,"")</f>
        <v/>
      </c>
      <c r="BF37" s="333">
        <f>IF($DY$5=S.CAL!$CU$2,Mars!AR39,IF($DY$5=S.CAL!$CU$3,VLOOKUP(BC37,planning_fp,7,FALSE),""))</f>
        <v>0</v>
      </c>
      <c r="BG37" s="345" t="str">
        <f>Mars!BL39</f>
        <v>A</v>
      </c>
      <c r="BH37" s="355"/>
      <c r="BI37" s="355"/>
      <c r="BJ37" s="355"/>
      <c r="BK37" s="355"/>
      <c r="BL37" s="35"/>
      <c r="BO37" s="29"/>
      <c r="BP37" s="34"/>
      <c r="BS37" s="189"/>
      <c r="BT37" s="189"/>
      <c r="BV37" s="355"/>
      <c r="BW37" s="355"/>
      <c r="BX37" s="355"/>
      <c r="BY37" s="355"/>
      <c r="BZ37" s="355"/>
      <c r="CA37" s="355"/>
      <c r="CB37" s="355"/>
      <c r="CD37" s="328"/>
      <c r="CE37" s="107">
        <f t="shared" si="33"/>
        <v>46101</v>
      </c>
      <c r="CF37" s="170">
        <f>+$D$13+19</f>
        <v>46101</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IF(+Mars!AG39="",0,Mars!AG39)</f>
        <v>0</v>
      </c>
      <c r="DZ37" s="16">
        <f>+IF(Mars!AJ39="",0,Mars!AJ39)</f>
        <v>0</v>
      </c>
      <c r="EA37" s="16">
        <f>+IF(Mars!AM39="",0,Mars!AM39)</f>
        <v>0</v>
      </c>
      <c r="EB37" s="16">
        <f t="shared" si="25"/>
        <v>0</v>
      </c>
      <c r="ED37" s="16">
        <f t="shared" si="26"/>
        <v>0</v>
      </c>
      <c r="EE37" s="16">
        <f t="shared" si="17"/>
        <v>0</v>
      </c>
      <c r="EF37" s="30" t="str">
        <f t="shared" si="18"/>
        <v/>
      </c>
      <c r="EG37" s="30" t="str">
        <f t="shared" si="27"/>
        <v/>
      </c>
      <c r="EH37" s="16">
        <f t="shared" si="28"/>
        <v>0</v>
      </c>
      <c r="EI37" s="30"/>
      <c r="EJ37" s="30">
        <f t="shared" si="19"/>
        <v>46101</v>
      </c>
      <c r="EM37" s="16" t="str">
        <f t="shared" si="29"/>
        <v>Fiche infoA546101</v>
      </c>
      <c r="EN37" s="16">
        <f t="shared" si="20"/>
        <v>0</v>
      </c>
      <c r="EQ37" s="16" t="str">
        <f>Mars!FS39</f>
        <v/>
      </c>
    </row>
    <row r="38" spans="1:147" ht="18" customHeight="1" x14ac:dyDescent="0.2">
      <c r="A38" s="24" t="str">
        <f>+Mars!BJ40</f>
        <v>Fiche infoA6</v>
      </c>
      <c r="B38" s="107">
        <f t="shared" si="30"/>
        <v>46102</v>
      </c>
      <c r="C38" s="170">
        <f>+$D$13+20</f>
        <v>46102</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Mars!BC40</f>
        <v>0</v>
      </c>
      <c r="J38" s="34">
        <f>Mars!BE40</f>
        <v>0</v>
      </c>
      <c r="K38" s="34">
        <f t="shared" si="15"/>
        <v>0</v>
      </c>
      <c r="L38" s="34" t="str">
        <f t="shared" si="21"/>
        <v/>
      </c>
      <c r="N38" s="377"/>
      <c r="O38" s="864" t="s">
        <v>1445</v>
      </c>
      <c r="P38" s="864"/>
      <c r="Q38" s="864"/>
      <c r="R38" s="860"/>
      <c r="U38" s="1301" t="str">
        <f>+Mars!AU8</f>
        <v>A</v>
      </c>
      <c r="V38" s="1301"/>
      <c r="W38" s="2538" t="str">
        <f>Mars!BS32</f>
        <v>Semaine numéro : 13</v>
      </c>
      <c r="X38" s="2538"/>
      <c r="Y38" s="2538"/>
      <c r="Z38" s="1323"/>
      <c r="AA38" s="1316">
        <f t="shared" si="46"/>
        <v>0</v>
      </c>
      <c r="AB38" s="1316">
        <f t="shared" si="44"/>
        <v>0</v>
      </c>
      <c r="AC38" s="1322">
        <f>+SUMIF(Mars!$BK$20:$BK$50,Mars!AT8,$D$18:$D$48)</f>
        <v>0</v>
      </c>
      <c r="AD38" s="1322">
        <f>+SUMIF(Février!$BK$20:$BK$50,Mars!AT8,'Retenue Fev'!$D$18:$D$48)</f>
        <v>0</v>
      </c>
      <c r="AE38" s="1322">
        <f>+SUMIF(Avril!$BK$20:$BK$50,Mars!AT8,'Retenue Avril'!$D$18:$D$48)</f>
        <v>0</v>
      </c>
      <c r="AF38" s="1316">
        <f t="shared" si="45"/>
        <v>0</v>
      </c>
      <c r="AL38" s="2553"/>
      <c r="AM38" s="2553"/>
      <c r="AN38" s="2554"/>
      <c r="AO38" s="2553"/>
      <c r="AP38" s="2553"/>
      <c r="AQ38" s="2553"/>
      <c r="BA38" s="331" t="str">
        <f t="shared" si="16"/>
        <v>Fiche infoA6</v>
      </c>
      <c r="BB38" s="107">
        <f t="shared" si="31"/>
        <v>46102</v>
      </c>
      <c r="BC38" s="170">
        <f>+$D$13+20</f>
        <v>46102</v>
      </c>
      <c r="BD38" s="171" t="str">
        <f t="shared" si="32"/>
        <v/>
      </c>
      <c r="BE38" s="171" t="str">
        <f>+IF(OR(BF38=S.CAL!$BJ$3,BF38=S.CAL!$BJ$4),BD38,"")</f>
        <v/>
      </c>
      <c r="BF38" s="333">
        <f>IF($DY$5=S.CAL!$CU$2,Mars!AR40,IF($DY$5=S.CAL!$CU$3,VLOOKUP(BC38,planning_fp,7,FALSE),""))</f>
        <v>0</v>
      </c>
      <c r="BG38" s="345" t="str">
        <f>Mars!BL40</f>
        <v>A</v>
      </c>
      <c r="BH38" s="355"/>
      <c r="BI38" s="355"/>
      <c r="BJ38" s="355"/>
      <c r="BK38" s="355"/>
      <c r="BL38" s="35"/>
      <c r="BO38" s="29"/>
      <c r="BP38" s="34"/>
      <c r="BS38" s="189"/>
      <c r="BT38" s="189"/>
      <c r="BV38" s="355"/>
      <c r="BW38" s="355"/>
      <c r="BX38" s="355"/>
      <c r="BY38" s="355"/>
      <c r="BZ38" s="355"/>
      <c r="CA38" s="355"/>
      <c r="CB38" s="355"/>
      <c r="CD38" s="328"/>
      <c r="CE38" s="107">
        <f t="shared" si="33"/>
        <v>46102</v>
      </c>
      <c r="CF38" s="170">
        <f>+$D$13+20</f>
        <v>46102</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IF(+Mars!AG40="",0,Mars!AG40)</f>
        <v>0</v>
      </c>
      <c r="DZ38" s="16">
        <f>+IF(Mars!AJ40="",0,Mars!AJ40)</f>
        <v>0</v>
      </c>
      <c r="EA38" s="16">
        <f>+IF(Mars!AM40="",0,Mars!AM40)</f>
        <v>0</v>
      </c>
      <c r="EB38" s="16">
        <f t="shared" si="25"/>
        <v>0</v>
      </c>
      <c r="ED38" s="16">
        <f t="shared" si="26"/>
        <v>0</v>
      </c>
      <c r="EE38" s="16">
        <f t="shared" si="17"/>
        <v>0</v>
      </c>
      <c r="EF38" s="30" t="str">
        <f t="shared" si="18"/>
        <v/>
      </c>
      <c r="EG38" s="30" t="str">
        <f t="shared" si="27"/>
        <v/>
      </c>
      <c r="EH38" s="16">
        <f t="shared" si="28"/>
        <v>0</v>
      </c>
      <c r="EI38" s="30"/>
      <c r="EJ38" s="30">
        <f t="shared" si="19"/>
        <v>46102</v>
      </c>
      <c r="EM38" s="16" t="str">
        <f t="shared" si="29"/>
        <v>Fiche infoA646102</v>
      </c>
      <c r="EN38" s="16">
        <f t="shared" si="20"/>
        <v>0</v>
      </c>
      <c r="EQ38" s="16" t="str">
        <f>Mars!FS40</f>
        <v/>
      </c>
    </row>
    <row r="39" spans="1:147" ht="18" customHeight="1" x14ac:dyDescent="0.2">
      <c r="A39" s="24" t="str">
        <f>+Mars!BJ41</f>
        <v>Fiche infoA7</v>
      </c>
      <c r="B39" s="107">
        <f t="shared" si="30"/>
        <v>46103</v>
      </c>
      <c r="C39" s="170">
        <f>+$D$13+21</f>
        <v>46103</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Mars!BC41</f>
        <v>0</v>
      </c>
      <c r="J39" s="34">
        <f>Mars!BE41</f>
        <v>0</v>
      </c>
      <c r="K39" s="34">
        <f t="shared" si="15"/>
        <v>0</v>
      </c>
      <c r="L39" s="34" t="str">
        <f t="shared" si="21"/>
        <v/>
      </c>
      <c r="N39" s="377"/>
      <c r="O39" s="468"/>
      <c r="P39" s="469" t="str">
        <f>+E10&amp;" / ( "&amp;E10&amp;" + "&amp;E11&amp;" ) ="</f>
        <v>0 / ( 0 + 0 ) =</v>
      </c>
      <c r="Q39" s="468" t="e">
        <f>ROUND(+E10/(E11+E10),6)</f>
        <v>#DIV/0!</v>
      </c>
      <c r="R39" s="377"/>
      <c r="U39" s="1301" t="str">
        <f>+Mars!AU9</f>
        <v>A</v>
      </c>
      <c r="V39" s="1301"/>
      <c r="W39" s="2538" t="str">
        <f>Mars!BS33</f>
        <v>Semaine numéro : 14</v>
      </c>
      <c r="X39" s="2538"/>
      <c r="Y39" s="2538"/>
      <c r="Z39" s="1323"/>
      <c r="AA39" s="1316">
        <f t="shared" si="46"/>
        <v>0</v>
      </c>
      <c r="AB39" s="1316">
        <f t="shared" si="44"/>
        <v>0</v>
      </c>
      <c r="AC39" s="1322">
        <f>+SUMIF(Mars!$BK$20:$BK$50,Mars!AT9,$D$18:$D$48)</f>
        <v>0</v>
      </c>
      <c r="AD39" s="1322">
        <f>+SUMIF(Février!$BK$20:$BK$50,Mars!AT9,'Retenue Fev'!$D$18:$D$48)</f>
        <v>0</v>
      </c>
      <c r="AE39" s="1322">
        <f>+SUMIF(Avril!$BK$20:$BK$50,Mars!AT9,'Retenue Avril'!$D$18:$D$48)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infoA7</v>
      </c>
      <c r="BB39" s="107">
        <f t="shared" si="31"/>
        <v>46103</v>
      </c>
      <c r="BC39" s="170">
        <f>+$D$13+21</f>
        <v>46103</v>
      </c>
      <c r="BD39" s="171" t="str">
        <f t="shared" si="32"/>
        <v/>
      </c>
      <c r="BE39" s="171" t="str">
        <f>+IF(OR(BF39=S.CAL!$BJ$3,BF39=S.CAL!$BJ$4),BD39,"")</f>
        <v/>
      </c>
      <c r="BF39" s="333">
        <f>IF($DY$5=S.CAL!$CU$2,Mars!AR41,IF($DY$5=S.CAL!$CU$3,VLOOKUP(BC39,planning_fp,7,FALSE),""))</f>
        <v>0</v>
      </c>
      <c r="BG39" s="345" t="str">
        <f>Mars!BL41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46103</v>
      </c>
      <c r="CF39" s="170">
        <f>+$D$13+21</f>
        <v>46103</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IF(+Mars!AG41="",0,Mars!AG41)</f>
        <v>0</v>
      </c>
      <c r="DZ39" s="16">
        <f>+IF(Mars!AJ41="",0,Mars!AJ41)</f>
        <v>0</v>
      </c>
      <c r="EA39" s="16">
        <f>+IF(Mars!AM41="",0,Mars!AM41)</f>
        <v>0</v>
      </c>
      <c r="EB39" s="16">
        <f t="shared" si="25"/>
        <v>0</v>
      </c>
      <c r="ED39" s="16">
        <f t="shared" si="26"/>
        <v>0</v>
      </c>
      <c r="EE39" s="16">
        <f t="shared" si="17"/>
        <v>0</v>
      </c>
      <c r="EF39" s="30" t="str">
        <f t="shared" si="18"/>
        <v/>
      </c>
      <c r="EG39" s="30" t="str">
        <f t="shared" si="27"/>
        <v/>
      </c>
      <c r="EH39" s="16">
        <f t="shared" si="28"/>
        <v>0</v>
      </c>
      <c r="EI39" s="30"/>
      <c r="EJ39" s="30">
        <f t="shared" si="19"/>
        <v>46103</v>
      </c>
      <c r="EM39" s="16" t="str">
        <f t="shared" si="29"/>
        <v>Fiche infoA746103</v>
      </c>
      <c r="EN39" s="16">
        <f t="shared" si="20"/>
        <v>0</v>
      </c>
      <c r="EQ39" s="16" t="str">
        <f>Mars!FS41</f>
        <v/>
      </c>
    </row>
    <row r="40" spans="1:147" ht="18" customHeight="1" x14ac:dyDescent="0.2">
      <c r="A40" s="24" t="str">
        <f>+Mars!BJ42</f>
        <v>Fiche infoA1</v>
      </c>
      <c r="B40" s="107">
        <f t="shared" si="30"/>
        <v>46104</v>
      </c>
      <c r="C40" s="170">
        <f>+$D$13+22</f>
        <v>46104</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Mars!BC42</f>
        <v>0</v>
      </c>
      <c r="J40" s="34">
        <f>Mars!BE42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infoA1</v>
      </c>
      <c r="BB40" s="107">
        <f t="shared" si="31"/>
        <v>46104</v>
      </c>
      <c r="BC40" s="170">
        <f>+$D$13+22</f>
        <v>46104</v>
      </c>
      <c r="BD40" s="171" t="str">
        <f t="shared" si="32"/>
        <v/>
      </c>
      <c r="BE40" s="171" t="str">
        <f>+IF(OR(BF40=S.CAL!$BJ$3,BF40=S.CAL!$BJ$4),BD40,"")</f>
        <v/>
      </c>
      <c r="BF40" s="333">
        <f>IF($DY$5=S.CAL!$CU$2,Mars!AR42,IF($DY$5=S.CAL!$CU$3,VLOOKUP(BC40,planning_fp,7,FALSE),""))</f>
        <v>0</v>
      </c>
      <c r="BG40" s="345" t="str">
        <f>Mars!BL42</f>
        <v>A</v>
      </c>
      <c r="BH40" s="355"/>
      <c r="BI40" s="355"/>
      <c r="BJ40" s="355"/>
      <c r="BK40" s="355"/>
      <c r="BL40" s="35"/>
      <c r="BN40" s="19"/>
      <c r="BO40" s="39"/>
      <c r="BP40" s="194"/>
      <c r="BV40" s="355"/>
      <c r="BW40" s="355"/>
      <c r="BX40" s="372"/>
      <c r="BY40" s="355"/>
      <c r="BZ40" s="355"/>
      <c r="CA40" s="355"/>
      <c r="CB40" s="355"/>
      <c r="CD40" s="328"/>
      <c r="CE40" s="107">
        <f t="shared" si="33"/>
        <v>46104</v>
      </c>
      <c r="CF40" s="170">
        <f>+$D$13+22</f>
        <v>46104</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IF(+Mars!AG42="",0,Mars!AG42)</f>
        <v>0</v>
      </c>
      <c r="DZ40" s="16">
        <f>+IF(Mars!AJ42="",0,Mars!AJ42)</f>
        <v>0</v>
      </c>
      <c r="EA40" s="16">
        <f>+IF(Mars!AM42="",0,Mars!AM42)</f>
        <v>0</v>
      </c>
      <c r="EB40" s="16">
        <f t="shared" si="25"/>
        <v>0</v>
      </c>
      <c r="ED40" s="16">
        <f t="shared" si="26"/>
        <v>0</v>
      </c>
      <c r="EE40" s="16">
        <f t="shared" si="17"/>
        <v>0</v>
      </c>
      <c r="EF40" s="30" t="str">
        <f t="shared" si="18"/>
        <v/>
      </c>
      <c r="EG40" s="30" t="str">
        <f t="shared" si="27"/>
        <v/>
      </c>
      <c r="EH40" s="16">
        <f t="shared" si="28"/>
        <v>0</v>
      </c>
      <c r="EI40" s="30"/>
      <c r="EJ40" s="30">
        <f t="shared" si="19"/>
        <v>46104</v>
      </c>
      <c r="EM40" s="16" t="str">
        <f t="shared" si="29"/>
        <v>Fiche infoA146104</v>
      </c>
      <c r="EN40" s="16">
        <f t="shared" si="20"/>
        <v>0</v>
      </c>
      <c r="EQ40" s="16" t="str">
        <f>Mars!FS42</f>
        <v/>
      </c>
    </row>
    <row r="41" spans="1:147" ht="18" customHeight="1" x14ac:dyDescent="0.2">
      <c r="A41" s="24" t="str">
        <f>+Mars!BJ43</f>
        <v>Fiche infoA2</v>
      </c>
      <c r="B41" s="107">
        <f t="shared" si="30"/>
        <v>46105</v>
      </c>
      <c r="C41" s="170">
        <f>+$D$13+23</f>
        <v>46105</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Mars!BC43</f>
        <v>0</v>
      </c>
      <c r="J41" s="34">
        <f>Mars!BE43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infoA2</v>
      </c>
      <c r="BB41" s="107">
        <f t="shared" si="31"/>
        <v>46105</v>
      </c>
      <c r="BC41" s="170">
        <f>+$D$13+23</f>
        <v>46105</v>
      </c>
      <c r="BD41" s="171" t="str">
        <f t="shared" si="32"/>
        <v/>
      </c>
      <c r="BE41" s="171" t="str">
        <f>+IF(OR(BF41=S.CAL!$BJ$3,BF41=S.CAL!$BJ$4),BD41,"")</f>
        <v/>
      </c>
      <c r="BF41" s="333">
        <f>IF($DY$5=S.CAL!$CU$2,Mars!AR43,IF($DY$5=S.CAL!$CU$3,VLOOKUP(BC41,planning_fp,7,FALSE),""))</f>
        <v>0</v>
      </c>
      <c r="BG41" s="345" t="str">
        <f>Mars!BL43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46105</v>
      </c>
      <c r="CF41" s="170">
        <f>+$D$13+23</f>
        <v>46105</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IF(+Mars!AG43="",0,Mars!AG43)</f>
        <v>0</v>
      </c>
      <c r="DZ41" s="16">
        <f>+IF(Mars!AJ43="",0,Mars!AJ43)</f>
        <v>0</v>
      </c>
      <c r="EA41" s="16">
        <f>+IF(Mars!AM43="",0,Mars!AM43)</f>
        <v>0</v>
      </c>
      <c r="EB41" s="16">
        <f t="shared" si="25"/>
        <v>0</v>
      </c>
      <c r="ED41" s="16">
        <f t="shared" si="26"/>
        <v>0</v>
      </c>
      <c r="EE41" s="16">
        <f t="shared" si="17"/>
        <v>0</v>
      </c>
      <c r="EF41" s="30" t="str">
        <f t="shared" si="18"/>
        <v/>
      </c>
      <c r="EG41" s="30" t="str">
        <f t="shared" si="27"/>
        <v/>
      </c>
      <c r="EH41" s="16">
        <f t="shared" si="28"/>
        <v>0</v>
      </c>
      <c r="EI41" s="30"/>
      <c r="EJ41" s="30">
        <f t="shared" si="19"/>
        <v>46105</v>
      </c>
      <c r="EM41" s="16" t="str">
        <f t="shared" si="29"/>
        <v>Fiche infoA246105</v>
      </c>
      <c r="EN41" s="16">
        <f t="shared" si="20"/>
        <v>0</v>
      </c>
      <c r="EQ41" s="16" t="str">
        <f>Mars!FS43</f>
        <v/>
      </c>
    </row>
    <row r="42" spans="1:147" ht="18" customHeight="1" x14ac:dyDescent="0.2">
      <c r="A42" s="24" t="str">
        <f>+Mars!BJ44</f>
        <v>Fiche infoA3</v>
      </c>
      <c r="B42" s="107">
        <f t="shared" si="30"/>
        <v>46106</v>
      </c>
      <c r="C42" s="170">
        <f>+$D$13+24</f>
        <v>46106</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Mars!BC44</f>
        <v>0</v>
      </c>
      <c r="J42" s="34">
        <f>Mars!BE44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infoA3</v>
      </c>
      <c r="BB42" s="107">
        <f t="shared" si="31"/>
        <v>46106</v>
      </c>
      <c r="BC42" s="170">
        <f>+$D$13+24</f>
        <v>46106</v>
      </c>
      <c r="BD42" s="171" t="str">
        <f t="shared" si="32"/>
        <v/>
      </c>
      <c r="BE42" s="171" t="str">
        <f>+IF(OR(BF42=S.CAL!$BJ$3,BF42=S.CAL!$BJ$4),BD42,"")</f>
        <v/>
      </c>
      <c r="BF42" s="333">
        <f>IF($DY$5=S.CAL!$CU$2,Mars!AR44,IF($DY$5=S.CAL!$CU$3,VLOOKUP(BC42,planning_fp,7,FALSE),""))</f>
        <v>0</v>
      </c>
      <c r="BG42" s="345" t="str">
        <f>Mars!BL44</f>
        <v>A</v>
      </c>
      <c r="BH42" s="356"/>
      <c r="BI42" s="358"/>
      <c r="BJ42" s="355"/>
      <c r="BK42" s="355"/>
      <c r="BL42" s="35"/>
      <c r="BV42" s="355"/>
      <c r="BW42" s="355"/>
      <c r="BX42" s="355"/>
      <c r="BY42" s="355"/>
      <c r="BZ42" s="355"/>
      <c r="CA42" s="355"/>
      <c r="CB42" s="355"/>
      <c r="CD42" s="328"/>
      <c r="CE42" s="107">
        <f t="shared" si="33"/>
        <v>46106</v>
      </c>
      <c r="CF42" s="170">
        <f>+$D$13+24</f>
        <v>46106</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IF(+Mars!AG44="",0,Mars!AG44)</f>
        <v>0</v>
      </c>
      <c r="DZ42" s="16">
        <f>+IF(Mars!AJ44="",0,Mars!AJ44)</f>
        <v>0</v>
      </c>
      <c r="EA42" s="16">
        <f>+IF(Mars!AM44="",0,Mars!AM44)</f>
        <v>0</v>
      </c>
      <c r="EB42" s="16">
        <f t="shared" si="25"/>
        <v>0</v>
      </c>
      <c r="ED42" s="16">
        <f t="shared" si="26"/>
        <v>0</v>
      </c>
      <c r="EE42" s="16">
        <f t="shared" si="17"/>
        <v>0</v>
      </c>
      <c r="EF42" s="30" t="str">
        <f t="shared" si="18"/>
        <v/>
      </c>
      <c r="EG42" s="30" t="str">
        <f t="shared" si="27"/>
        <v/>
      </c>
      <c r="EH42" s="16">
        <f t="shared" si="28"/>
        <v>0</v>
      </c>
      <c r="EI42" s="30"/>
      <c r="EJ42" s="30">
        <f t="shared" si="19"/>
        <v>46106</v>
      </c>
      <c r="EM42" s="16" t="str">
        <f t="shared" si="29"/>
        <v>Fiche infoA346106</v>
      </c>
      <c r="EN42" s="16">
        <f t="shared" si="20"/>
        <v>0</v>
      </c>
      <c r="EQ42" s="16" t="str">
        <f>Mars!FS44</f>
        <v/>
      </c>
    </row>
    <row r="43" spans="1:147" ht="18" customHeight="1" x14ac:dyDescent="0.2">
      <c r="A43" s="24" t="str">
        <f>+Mars!BJ45</f>
        <v>Fiche infoA4</v>
      </c>
      <c r="B43" s="107">
        <f t="shared" si="30"/>
        <v>46107</v>
      </c>
      <c r="C43" s="170">
        <f>+$D$13+25</f>
        <v>46107</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Mars!BC45</f>
        <v>0</v>
      </c>
      <c r="J43" s="34">
        <f>Mars!BE45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infoA4</v>
      </c>
      <c r="BB43" s="107">
        <f t="shared" si="31"/>
        <v>46107</v>
      </c>
      <c r="BC43" s="170">
        <f>+$D$13+25</f>
        <v>46107</v>
      </c>
      <c r="BD43" s="171" t="str">
        <f t="shared" si="32"/>
        <v/>
      </c>
      <c r="BE43" s="171" t="str">
        <f>+IF(OR(BF43=S.CAL!$BJ$3,BF43=S.CAL!$BJ$4),BD43,"")</f>
        <v/>
      </c>
      <c r="BF43" s="333">
        <f>IF($DY$5=S.CAL!$CU$2,Mars!AR45,IF($DY$5=S.CAL!$CU$3,VLOOKUP(BC43,planning_fp,7,FALSE),""))</f>
        <v>0</v>
      </c>
      <c r="BG43" s="345" t="str">
        <f>Mars!BL45</f>
        <v>A</v>
      </c>
      <c r="BH43" s="24"/>
      <c r="BI43" s="24" t="s">
        <v>696</v>
      </c>
      <c r="BJ43" s="24"/>
      <c r="BK43" s="355"/>
      <c r="BL43" s="35"/>
      <c r="BV43" s="355"/>
      <c r="BW43" s="355"/>
      <c r="BX43" s="355"/>
      <c r="BY43" s="355"/>
      <c r="BZ43" s="355"/>
      <c r="CA43" s="355"/>
      <c r="CB43" s="355"/>
      <c r="CD43" s="328"/>
      <c r="CE43" s="107">
        <f t="shared" si="33"/>
        <v>46107</v>
      </c>
      <c r="CF43" s="170">
        <f>+$D$13+25</f>
        <v>46107</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IF(+Mars!AG45="",0,Mars!AG45)</f>
        <v>0</v>
      </c>
      <c r="DZ43" s="16">
        <f>+IF(Mars!AJ45="",0,Mars!AJ45)</f>
        <v>0</v>
      </c>
      <c r="EA43" s="16">
        <f>+IF(Mars!AM45="",0,Mars!AM45)</f>
        <v>0</v>
      </c>
      <c r="EB43" s="16">
        <f t="shared" si="25"/>
        <v>0</v>
      </c>
      <c r="ED43" s="16">
        <f t="shared" si="26"/>
        <v>0</v>
      </c>
      <c r="EE43" s="16">
        <f t="shared" si="17"/>
        <v>0</v>
      </c>
      <c r="EF43" s="30" t="str">
        <f t="shared" si="18"/>
        <v/>
      </c>
      <c r="EG43" s="30" t="str">
        <f t="shared" si="27"/>
        <v/>
      </c>
      <c r="EH43" s="16">
        <f t="shared" si="28"/>
        <v>0</v>
      </c>
      <c r="EI43" s="30"/>
      <c r="EJ43" s="30">
        <f t="shared" si="19"/>
        <v>46107</v>
      </c>
      <c r="EM43" s="16" t="str">
        <f t="shared" si="29"/>
        <v>Fiche infoA446107</v>
      </c>
      <c r="EN43" s="16">
        <f t="shared" si="20"/>
        <v>0</v>
      </c>
      <c r="EQ43" s="16" t="str">
        <f>Mars!FS45</f>
        <v/>
      </c>
    </row>
    <row r="44" spans="1:147" ht="18" customHeight="1" x14ac:dyDescent="0.25">
      <c r="A44" s="24" t="str">
        <f>+Mars!BJ46</f>
        <v>Fiche infoA5</v>
      </c>
      <c r="B44" s="107">
        <f t="shared" si="30"/>
        <v>46108</v>
      </c>
      <c r="C44" s="170">
        <f>+$D$13+26</f>
        <v>46108</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Mars!BC46</f>
        <v>0</v>
      </c>
      <c r="J44" s="34">
        <f>Mars!BE46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infoA5</v>
      </c>
      <c r="BB44" s="107">
        <f t="shared" si="31"/>
        <v>46108</v>
      </c>
      <c r="BC44" s="170">
        <f>+$D$13+26</f>
        <v>46108</v>
      </c>
      <c r="BD44" s="171" t="str">
        <f t="shared" si="32"/>
        <v/>
      </c>
      <c r="BE44" s="171" t="str">
        <f>+IF(OR(BF44=S.CAL!$BJ$3,BF44=S.CAL!$BJ$4),BD44,"")</f>
        <v/>
      </c>
      <c r="BF44" s="333">
        <f>IF($DY$5=S.CAL!$CU$2,Mars!AR46,IF($DY$5=S.CAL!$CU$3,VLOOKUP(BC44,planning_fp,7,FALSE),""))</f>
        <v>0</v>
      </c>
      <c r="BG44" s="345" t="str">
        <f>Mars!BL46</f>
        <v>A</v>
      </c>
      <c r="BH44" s="24" t="s">
        <v>788</v>
      </c>
      <c r="BI44" s="24"/>
      <c r="BJ44" s="24"/>
      <c r="BK44" s="355"/>
      <c r="BL44" s="35"/>
      <c r="BV44" s="355"/>
      <c r="BW44" s="355"/>
      <c r="BX44" s="355"/>
      <c r="BY44" s="355"/>
      <c r="BZ44" s="355"/>
      <c r="CA44" s="355"/>
      <c r="CB44" s="355"/>
      <c r="CD44" s="328"/>
      <c r="CE44" s="107">
        <f t="shared" si="33"/>
        <v>46108</v>
      </c>
      <c r="CF44" s="170">
        <f>+$D$13+26</f>
        <v>46108</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IF(+Mars!AG46="",0,Mars!AG46)</f>
        <v>0</v>
      </c>
      <c r="DZ44" s="16">
        <f>+IF(Mars!AJ46="",0,Mars!AJ46)</f>
        <v>0</v>
      </c>
      <c r="EA44" s="16">
        <f>+IF(Mars!AM46="",0,Mars!AM46)</f>
        <v>0</v>
      </c>
      <c r="EB44" s="16">
        <f t="shared" si="25"/>
        <v>0</v>
      </c>
      <c r="ED44" s="16">
        <f t="shared" si="26"/>
        <v>0</v>
      </c>
      <c r="EE44" s="16">
        <f t="shared" si="17"/>
        <v>0</v>
      </c>
      <c r="EF44" s="30" t="str">
        <f t="shared" si="18"/>
        <v/>
      </c>
      <c r="EG44" s="30" t="str">
        <f t="shared" si="27"/>
        <v/>
      </c>
      <c r="EH44" s="16">
        <f t="shared" si="28"/>
        <v>0</v>
      </c>
      <c r="EI44" s="30"/>
      <c r="EJ44" s="30">
        <f t="shared" si="19"/>
        <v>46108</v>
      </c>
      <c r="EM44" s="16" t="str">
        <f t="shared" si="29"/>
        <v>Fiche infoA546108</v>
      </c>
      <c r="EN44" s="16">
        <f t="shared" si="20"/>
        <v>0</v>
      </c>
      <c r="EQ44" s="16" t="str">
        <f>Mars!FS46</f>
        <v/>
      </c>
    </row>
    <row r="45" spans="1:147" ht="18" customHeight="1" x14ac:dyDescent="0.2">
      <c r="A45" s="24" t="str">
        <f>+Mars!BJ47</f>
        <v>Fiche infoA6</v>
      </c>
      <c r="B45" s="107">
        <f t="shared" si="30"/>
        <v>46109</v>
      </c>
      <c r="C45" s="170">
        <f>IF(C$18+27&lt;DATE(YEAR(O$13),MONTH(O$13),DAY(O$13)),C$18+27,"")</f>
        <v>46109</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Mars!BC47</f>
        <v>0</v>
      </c>
      <c r="J45" s="34">
        <f>Mars!BE47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infoA6</v>
      </c>
      <c r="BB45" s="107">
        <f t="shared" si="31"/>
        <v>46109</v>
      </c>
      <c r="BC45" s="170">
        <f>IF(BC$18+27&lt;DATE(YEAR(BH$13),MONTH(BH$13),DAY(BH$13)),BC$18+27,"")</f>
        <v>46109</v>
      </c>
      <c r="BD45" s="171" t="str">
        <f t="shared" si="32"/>
        <v/>
      </c>
      <c r="BE45" s="171" t="str">
        <f>+IF(OR(BF45=S.CAL!$BJ$3,BF45=S.CAL!$BJ$4),BD45,"")</f>
        <v/>
      </c>
      <c r="BF45" s="333">
        <f>IF($DY$5=S.CAL!$CU$2,Mars!AR47,IF($DY$5=S.CAL!$CU$3,VLOOKUP(BC45,planning_fp,7,FALSE),""))</f>
        <v>0</v>
      </c>
      <c r="BG45" s="345" t="str">
        <f>Mars!BL47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46109</v>
      </c>
      <c r="CF45" s="170">
        <f>IF(CF$18+27&lt;DATE(YEAR(CQ$13),MONTH(CQ$13),DAY(CQ$13)),CF$18+27,"")</f>
        <v>46109</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IF(+Mars!AG47="",0,Mars!AG47)</f>
        <v>0</v>
      </c>
      <c r="DZ45" s="16">
        <f>+IF(Mars!AJ47="",0,Mars!AJ47)</f>
        <v>0</v>
      </c>
      <c r="EA45" s="16">
        <f>+IF(Mars!AM47="",0,Mars!AM47)</f>
        <v>0</v>
      </c>
      <c r="EB45" s="16">
        <f t="shared" si="25"/>
        <v>0</v>
      </c>
      <c r="ED45" s="16">
        <f t="shared" si="26"/>
        <v>0</v>
      </c>
      <c r="EE45" s="16">
        <f t="shared" si="17"/>
        <v>0</v>
      </c>
      <c r="EF45" s="30" t="str">
        <f t="shared" si="18"/>
        <v/>
      </c>
      <c r="EG45" s="30" t="str">
        <f t="shared" si="27"/>
        <v/>
      </c>
      <c r="EH45" s="16">
        <f t="shared" si="28"/>
        <v>0</v>
      </c>
      <c r="EI45" s="30"/>
      <c r="EJ45" s="30">
        <f t="shared" si="19"/>
        <v>46109</v>
      </c>
      <c r="EM45" s="16" t="str">
        <f t="shared" si="29"/>
        <v>Fiche infoA646109</v>
      </c>
      <c r="EN45" s="16">
        <f t="shared" si="20"/>
        <v>0</v>
      </c>
      <c r="EQ45" s="16" t="str">
        <f>Mars!FS47</f>
        <v/>
      </c>
    </row>
    <row r="46" spans="1:147" ht="18" customHeight="1" x14ac:dyDescent="0.2">
      <c r="A46" s="24" t="str">
        <f>+Mars!BJ48</f>
        <v>Fiche infoA7</v>
      </c>
      <c r="B46" s="107">
        <f t="shared" si="30"/>
        <v>46110</v>
      </c>
      <c r="C46" s="170">
        <f>IF(C$18+28&lt;DATE(YEAR(O$13),MONTH(O$13),DAY(O$13)),C$18+28,"")</f>
        <v>46110</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Mars!BC48</f>
        <v>0</v>
      </c>
      <c r="J46" s="34">
        <f>Mars!BE48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infoA7</v>
      </c>
      <c r="BB46" s="107">
        <f t="shared" si="31"/>
        <v>46110</v>
      </c>
      <c r="BC46" s="170">
        <f>IF(BC$18+28&lt;DATE(YEAR(BH$13),MONTH(BH$13),DAY(BH$13)),BC$18+28,"")</f>
        <v>46110</v>
      </c>
      <c r="BD46" s="171" t="str">
        <f t="shared" si="32"/>
        <v/>
      </c>
      <c r="BE46" s="171" t="str">
        <f>+IF(OR(BF46=S.CAL!$BJ$3,BF46=S.CAL!$BJ$4),BD46,"")</f>
        <v/>
      </c>
      <c r="BF46" s="333">
        <f>IF($DY$5=S.CAL!$CU$2,Mars!AR48,IF($DY$5=S.CAL!$CU$3,VLOOKUP(BC46,planning_fp,7,FALSE),""))</f>
        <v>0</v>
      </c>
      <c r="BG46" s="345" t="str">
        <f>Mars!BL48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46110</v>
      </c>
      <c r="CF46" s="170">
        <f>IF(CF$18+28&lt;DATE(YEAR(CQ$13),MONTH(CQ$13),DAY(CQ$13)),CF$18+28,"")</f>
        <v>46110</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IF(+Mars!AG48="",0,Mars!AG48)</f>
        <v>0</v>
      </c>
      <c r="DZ46" s="16">
        <f>+IF(Mars!AJ48="",0,Mars!AJ48)</f>
        <v>0</v>
      </c>
      <c r="EA46" s="16">
        <f>+IF(Mars!AM48="",0,Mars!AM48)</f>
        <v>0</v>
      </c>
      <c r="EB46" s="16">
        <f t="shared" si="25"/>
        <v>0</v>
      </c>
      <c r="ED46" s="16">
        <f t="shared" si="26"/>
        <v>0</v>
      </c>
      <c r="EE46" s="16">
        <f t="shared" si="17"/>
        <v>0</v>
      </c>
      <c r="EF46" s="30" t="str">
        <f t="shared" si="18"/>
        <v/>
      </c>
      <c r="EG46" s="30" t="str">
        <f t="shared" si="27"/>
        <v/>
      </c>
      <c r="EH46" s="16">
        <f t="shared" si="28"/>
        <v>0</v>
      </c>
      <c r="EI46" s="30"/>
      <c r="EJ46" s="30">
        <f t="shared" si="19"/>
        <v>46110</v>
      </c>
      <c r="EM46" s="16" t="str">
        <f t="shared" si="29"/>
        <v>Fiche infoA746110</v>
      </c>
      <c r="EN46" s="16">
        <f t="shared" si="20"/>
        <v>0</v>
      </c>
      <c r="EQ46" s="16" t="str">
        <f>Mars!FS48</f>
        <v/>
      </c>
    </row>
    <row r="47" spans="1:147" ht="18" customHeight="1" x14ac:dyDescent="0.2">
      <c r="A47" s="24" t="str">
        <f>+Mars!BJ49</f>
        <v>Fiche infoA1</v>
      </c>
      <c r="B47" s="107">
        <f t="shared" si="30"/>
        <v>46111</v>
      </c>
      <c r="C47" s="170">
        <f>IF(C$18+29&lt;DATE(YEAR(O$13),MONTH(O$13),DAY(O$13)),C$18+29,"")</f>
        <v>46111</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Mars!BC49</f>
        <v>0</v>
      </c>
      <c r="J47" s="34">
        <f>Mars!BE49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infoA1</v>
      </c>
      <c r="BB47" s="107">
        <f t="shared" si="31"/>
        <v>46111</v>
      </c>
      <c r="BC47" s="170">
        <f>IF(BC$18+29&lt;DATE(YEAR(BH$13),MONTH(BH$13),DAY(BH$13)),BC$18+29,"")</f>
        <v>46111</v>
      </c>
      <c r="BD47" s="171" t="str">
        <f t="shared" si="32"/>
        <v/>
      </c>
      <c r="BE47" s="171" t="str">
        <f>+IF(OR(BF47=S.CAL!$BJ$3,BF47=S.CAL!$BJ$4),BD47,"")</f>
        <v/>
      </c>
      <c r="BF47" s="333">
        <f>IF($DY$5=S.CAL!$CU$2,Mars!AR49,IF($DY$5=S.CAL!$CU$3,VLOOKUP(BC47,planning_fp,7,FALSE),""))</f>
        <v>0</v>
      </c>
      <c r="BG47" s="345" t="str">
        <f>Mars!BL49</f>
        <v>A</v>
      </c>
      <c r="BH47" s="355"/>
      <c r="BI47" s="355"/>
      <c r="BJ47" s="355"/>
      <c r="BK47" s="355"/>
      <c r="BL47" s="35"/>
      <c r="BV47" s="355"/>
      <c r="BW47" s="355"/>
      <c r="BX47" s="355"/>
      <c r="BY47" s="355"/>
      <c r="BZ47" s="355"/>
      <c r="CA47" s="355"/>
      <c r="CB47" s="355"/>
      <c r="CD47" s="328"/>
      <c r="CE47" s="107">
        <f t="shared" si="33"/>
        <v>46111</v>
      </c>
      <c r="CF47" s="170">
        <f>IF(CF$18+29&lt;DATE(YEAR(CQ$13),MONTH(CQ$13),DAY(CQ$13)),CF$18+29,"")</f>
        <v>46111</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IF(+Mars!AG49="",0,Mars!AG49)</f>
        <v>0</v>
      </c>
      <c r="DZ47" s="16">
        <f>+IF(Mars!AJ49="",0,Mars!AJ49)</f>
        <v>0</v>
      </c>
      <c r="EA47" s="16">
        <f>+IF(Mars!AM49="",0,Mars!AM49)</f>
        <v>0</v>
      </c>
      <c r="EB47" s="16">
        <f t="shared" si="25"/>
        <v>0</v>
      </c>
      <c r="ED47" s="16">
        <f t="shared" si="26"/>
        <v>0</v>
      </c>
      <c r="EE47" s="16">
        <f t="shared" si="17"/>
        <v>0</v>
      </c>
      <c r="EF47" s="30" t="str">
        <f t="shared" si="18"/>
        <v/>
      </c>
      <c r="EG47" s="30" t="str">
        <f t="shared" si="27"/>
        <v/>
      </c>
      <c r="EH47" s="16">
        <f t="shared" si="28"/>
        <v>0</v>
      </c>
      <c r="EI47" s="30"/>
      <c r="EJ47" s="30">
        <f t="shared" si="19"/>
        <v>46111</v>
      </c>
      <c r="EM47" s="16" t="str">
        <f t="shared" si="29"/>
        <v>Fiche infoA146111</v>
      </c>
      <c r="EN47" s="16">
        <f t="shared" si="20"/>
        <v>0</v>
      </c>
      <c r="EQ47" s="16" t="str">
        <f>Mars!FS49</f>
        <v/>
      </c>
    </row>
    <row r="48" spans="1:147" ht="18" customHeight="1" thickBot="1" x14ac:dyDescent="0.25">
      <c r="A48" s="24" t="str">
        <f>+Mars!BJ50</f>
        <v>Fiche infoA2</v>
      </c>
      <c r="B48" s="110">
        <f t="shared" si="30"/>
        <v>46112</v>
      </c>
      <c r="C48" s="190">
        <f>IF(C$18+30&lt;DATE(YEAR(O$13),MONTH(O$13),DAY(O$13)),C$18+30,"")</f>
        <v>46112</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Mars!BC50</f>
        <v>0</v>
      </c>
      <c r="J48" s="34">
        <f>Mars!BE50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9</v>
      </c>
      <c r="X48" s="2538"/>
      <c r="Y48" s="2538"/>
      <c r="Z48" s="1323" t="str">
        <f>+IF(Z34="","",Z34)</f>
        <v/>
      </c>
      <c r="AA48" s="1316">
        <f>+IF(Z48="",IF(AND(AD48&gt;0,AC48&gt;0),AD48+AC48,IF(AE48&gt;0,0,AC48)),Z48)</f>
        <v>0</v>
      </c>
      <c r="AB48" s="1316">
        <f>IF(AA48&gt;45,AA48-45,0)</f>
        <v>0</v>
      </c>
      <c r="AC48" s="1322">
        <f>+SUMIF(Mars!$BK$20:$BK$50,Mars!AT4,$D$18:$D$48)-SUMIF(Mars!$BK$20:$BK$50,Mars!AT4,$E$18:$E$48)</f>
        <v>0</v>
      </c>
      <c r="AD48" s="1322">
        <f>+SUMIF(Février!$BK$20:$BK$50,Mars!AT4,'Retenue Fev'!$D$18:$D$48)-SUMIF(Février!$BK$20:$BK$50,Mars!AT4,'Retenue Fev'!$E$18:$E$48)</f>
        <v>0</v>
      </c>
      <c r="AE48" s="1322">
        <f>+SUMIF(Avril!$BK$20:$BK$50,Mars!AT4,'Retenue Avril'!$D$18:$D$48)-SUMIF(Avril!$BK$20:$BK$50,Mars!AT4,'Retenue Avril'!$E$18:$E$48)</f>
        <v>0</v>
      </c>
      <c r="AF48" s="1316">
        <f>+AC48-AB48</f>
        <v>0</v>
      </c>
      <c r="AK48" s="1189"/>
      <c r="AL48" s="1202"/>
      <c r="AO48" s="1202">
        <f>+AN39*AL26</f>
        <v>0</v>
      </c>
      <c r="AP48" s="1202">
        <f>+AO48*(1-AX21)</f>
        <v>0</v>
      </c>
      <c r="AQ48" s="1202">
        <f>+AO48-AP48</f>
        <v>0</v>
      </c>
      <c r="BA48" s="331" t="str">
        <f t="shared" si="16"/>
        <v>Fiche infoA2</v>
      </c>
      <c r="BB48" s="110">
        <f t="shared" si="31"/>
        <v>46112</v>
      </c>
      <c r="BC48" s="190">
        <f>IF(BC$18+30&lt;DATE(YEAR(BH$13),MONTH(BH$13),DAY(BH$13)),BC$18+30,"")</f>
        <v>46112</v>
      </c>
      <c r="BD48" s="191" t="str">
        <f t="shared" si="32"/>
        <v/>
      </c>
      <c r="BE48" s="191" t="str">
        <f>+IF(OR(BF48=S.CAL!$BJ$3,BF48=S.CAL!$BJ$4),BD48,"")</f>
        <v/>
      </c>
      <c r="BF48" s="334">
        <f>IF($DY$5=S.CAL!$CU$2,Mars!AR50,IF($DY$5=S.CAL!$CU$3,VLOOKUP(BC48,planning_fp,7,FALSE),""))</f>
        <v>0</v>
      </c>
      <c r="BG48" s="346" t="str">
        <f>Mars!BL50</f>
        <v>A</v>
      </c>
      <c r="BH48" s="356"/>
      <c r="BI48" s="355"/>
      <c r="BJ48" s="355"/>
      <c r="BK48" s="355"/>
      <c r="BL48" s="35"/>
      <c r="BQ48" s="16" t="s">
        <v>834</v>
      </c>
      <c r="BV48" s="355"/>
      <c r="BW48" s="355"/>
      <c r="BX48" s="355" t="s">
        <v>834</v>
      </c>
      <c r="BZ48" s="355"/>
      <c r="CA48" s="355"/>
      <c r="CB48" s="355"/>
      <c r="CD48" s="328"/>
      <c r="CE48" s="110">
        <f t="shared" si="33"/>
        <v>46112</v>
      </c>
      <c r="CF48" s="190">
        <f>IF(CF$18+30&lt;DATE(YEAR(CQ$13),MONTH(CQ$13),DAY(CQ$13)),CF$18+30,"")</f>
        <v>46112</v>
      </c>
      <c r="CG48" s="191">
        <f t="shared" si="22"/>
        <v>0</v>
      </c>
      <c r="CH48" s="34"/>
      <c r="CI48" s="2534" t="str">
        <f t="shared" ref="CI48:CI53" si="56">W48</f>
        <v>Semaine numéro : 9</v>
      </c>
      <c r="CJ48" s="2535"/>
      <c r="CK48" s="2536"/>
      <c r="CL48" s="875" t="str">
        <f>+IF(CL34="","",CL34)</f>
        <v/>
      </c>
      <c r="CM48" s="656">
        <f>+IF(CL48="",IF(AND(CP48&gt;0,CO48&gt;0),CP48+CO48,IF(CQ48&gt;0,0,CO48)),CL48)</f>
        <v>0</v>
      </c>
      <c r="CN48" s="655">
        <f>IF(CM48&gt;45,CM48-45,0)</f>
        <v>0</v>
      </c>
      <c r="CO48" s="196">
        <f>+SUMIF(Mars!$BK$20:$BK$50,Mars!AT4,$CG$18:$CG$48)</f>
        <v>0</v>
      </c>
      <c r="CP48" s="196">
        <f>+SUMIF(Février!$BK$20:$BK$50,Mars!AT4,'Retenue Fev'!$CG$18:$CG$48)</f>
        <v>0</v>
      </c>
      <c r="CQ48" s="196">
        <f>+SUMIF(Avril!$BK$20:$BK$50,Mars!AT4,'Retenue Avril'!$CG$18:$CG$48)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IF(+Mars!AG50="",0,Mars!AG50)</f>
        <v>0</v>
      </c>
      <c r="DZ48" s="16">
        <f>+IF(Mars!AJ50="",0,Mars!AJ50)</f>
        <v>0</v>
      </c>
      <c r="EA48" s="16">
        <f>+IF(Mars!AM50="",0,Mars!AM50)</f>
        <v>0</v>
      </c>
      <c r="EB48" s="16">
        <f t="shared" si="25"/>
        <v>0</v>
      </c>
      <c r="ED48" s="16">
        <f t="shared" si="26"/>
        <v>0</v>
      </c>
      <c r="EE48" s="16">
        <f t="shared" si="17"/>
        <v>0</v>
      </c>
      <c r="EF48" s="30" t="str">
        <f t="shared" si="18"/>
        <v/>
      </c>
      <c r="EG48" s="30" t="str">
        <f t="shared" si="27"/>
        <v/>
      </c>
      <c r="EH48" s="16">
        <f t="shared" si="28"/>
        <v>0</v>
      </c>
      <c r="EI48" s="30"/>
      <c r="EJ48" s="30">
        <f t="shared" si="19"/>
        <v>46112</v>
      </c>
      <c r="EM48" s="16" t="str">
        <f t="shared" si="29"/>
        <v>Fiche infoA246112</v>
      </c>
      <c r="EN48" s="16">
        <f t="shared" si="20"/>
        <v>0</v>
      </c>
      <c r="EQ48" s="16" t="str">
        <f>Mars!FS50</f>
        <v/>
      </c>
    </row>
    <row r="49" spans="2:139" ht="18" customHeight="1" thickBot="1" x14ac:dyDescent="0.25">
      <c r="N49" s="24"/>
      <c r="O49" s="24"/>
      <c r="P49" s="24"/>
      <c r="Q49" s="24"/>
      <c r="R49" s="24"/>
      <c r="S49" s="1325"/>
      <c r="U49" s="1301"/>
      <c r="V49" s="1301"/>
      <c r="W49" s="2538" t="str">
        <f t="shared" si="55"/>
        <v>Semaine numéro : 10</v>
      </c>
      <c r="X49" s="2538"/>
      <c r="Y49" s="2538"/>
      <c r="Z49" s="1323" t="str">
        <f t="shared" ref="Z49:Z53" si="57">+IF(Z35="","",Z35)</f>
        <v/>
      </c>
      <c r="AA49" s="1316">
        <f t="shared" ref="AA49:AA53" si="58">+IF(Z49="",IF(AND(AD49&gt;0,AC49&gt;0),AD49+AC49,IF(AE49&gt;0,0,AC49)),Z49)</f>
        <v>0</v>
      </c>
      <c r="AB49" s="1316">
        <f t="shared" ref="AB49:AB53" si="59">IF(AA49&gt;45,AA49-45,0)</f>
        <v>0</v>
      </c>
      <c r="AC49" s="1322">
        <f>+SUMIF(Mars!$BK$20:$BK$50,Mars!AT5,$D$18:$D$48)-SUMIF(Mars!$BK$20:$BK$50,Mars!AT5,$E$18:$E$48)</f>
        <v>0</v>
      </c>
      <c r="AD49" s="1322">
        <f>+SUMIF(Février!$BK$20:$BK$50,Mars!AT5,'Retenue Fev'!$D$18:$D$48)-SUMIF(Février!$BK$20:$BK$50,Mars!AT5,'Retenue Fev'!$E$18:$E$48)</f>
        <v>0</v>
      </c>
      <c r="AE49" s="1322">
        <f>+SUMIF(Avril!$BK$20:$BK$50,Mars!AT5,'Retenue Avril'!$D$18:$D$48)-SUMIF(Avril!$BK$20:$BK$50,Mars!AT5,'Retenue Avril'!$E$18:$E$48)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10</v>
      </c>
      <c r="CJ49" s="2535"/>
      <c r="CK49" s="2536"/>
      <c r="CL49" s="875" t="str">
        <f t="shared" ref="CL49:CL53" si="61">+IF(CL35="","",CL35)</f>
        <v/>
      </c>
      <c r="CM49" s="656">
        <f t="shared" ref="CM49:CM53" si="62">+IF(CL49="",IF(AND(CP49&gt;0,CO49&gt;0),CP49+CO49,IF(CQ49&gt;0,0,CO49)),CL49)</f>
        <v>0</v>
      </c>
      <c r="CN49" s="655">
        <f t="shared" ref="CN49:CN53" si="63">IF(CM49&gt;45,CM49-45,0)</f>
        <v>0</v>
      </c>
      <c r="CO49" s="196">
        <f>+SUMIF(Mars!$BK$20:$BK$50,Mars!AT5,$CG$18:$CG$48)</f>
        <v>0</v>
      </c>
      <c r="CP49" s="196">
        <f>+SUMIF(Février!$BK$20:$BK$50,Mars!AT5,'Retenue Fev'!$CG$18:$CG$48)</f>
        <v>0</v>
      </c>
      <c r="CQ49" s="196">
        <f>+SUMIF(Avril!$BK$20:$BK$50,Mars!AT5,'Retenue Avril'!$CG$18:$CG$48)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11</v>
      </c>
      <c r="X50" s="2538"/>
      <c r="Y50" s="2538"/>
      <c r="Z50" s="1323" t="str">
        <f t="shared" si="57"/>
        <v/>
      </c>
      <c r="AA50" s="1316">
        <f t="shared" si="58"/>
        <v>0</v>
      </c>
      <c r="AB50" s="1316">
        <f t="shared" si="59"/>
        <v>0</v>
      </c>
      <c r="AC50" s="1322">
        <f>+SUMIF(Mars!$BK$20:$BK$50,Mars!AT6,$D$18:$D$48)-SUMIF(Mars!$BK$20:$BK$50,Mars!AT6,$E$18:$E$48)</f>
        <v>0</v>
      </c>
      <c r="AD50" s="1322">
        <f>+SUMIF(Février!$BK$20:$BK$50,Mars!AT6,'Retenue Fev'!$D$18:$D$48)-SUMIF(Février!$BK$20:$BK$50,Mars!AT6,'Retenue Fev'!$E$18:$E$48)</f>
        <v>0</v>
      </c>
      <c r="AE50" s="1322">
        <f>+SUMIF(Avril!$BK$20:$BK$50,Mars!AT6,'Retenue Avril'!$D$18:$D$48)-SUMIF(Avril!$BK$20:$BK$50,Mars!AT6,'Retenue Avril'!$E$18:$E$48)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11</v>
      </c>
      <c r="CJ50" s="2535"/>
      <c r="CK50" s="2536"/>
      <c r="CL50" s="875" t="str">
        <f t="shared" si="61"/>
        <v/>
      </c>
      <c r="CM50" s="656">
        <f t="shared" si="62"/>
        <v>0</v>
      </c>
      <c r="CN50" s="655">
        <f t="shared" si="63"/>
        <v>0</v>
      </c>
      <c r="CO50" s="196">
        <f>+SUMIF(Mars!$BK$20:$BK$50,Mars!AT6,$CG$18:$CG$48)</f>
        <v>0</v>
      </c>
      <c r="CP50" s="196">
        <f>+SUMIF(Février!$BK$20:$BK$50,Mars!AT6,'Retenue Fev'!$CG$18:$CG$48)</f>
        <v>0</v>
      </c>
      <c r="CQ50" s="196">
        <f>+SUMIF(Avril!$BK$20:$BK$50,Mars!AT6,'Retenue Avril'!$CG$18:$CG$48)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5"/>
        <v>Semaine numéro : 12</v>
      </c>
      <c r="X51" s="2538"/>
      <c r="Y51" s="2538"/>
      <c r="Z51" s="1323" t="str">
        <f t="shared" si="57"/>
        <v/>
      </c>
      <c r="AA51" s="1316">
        <f t="shared" si="58"/>
        <v>0</v>
      </c>
      <c r="AB51" s="1316">
        <f t="shared" si="59"/>
        <v>0</v>
      </c>
      <c r="AC51" s="1322">
        <f>+SUMIF(Mars!$BK$20:$BK$50,Mars!AT7,$D$18:$D$48)-SUMIF(Mars!$BK$20:$BK$50,Mars!AT7,$E$18:$E$48)</f>
        <v>0</v>
      </c>
      <c r="AD51" s="1322">
        <f>+SUMIF(Février!$BK$20:$BK$50,Mars!AT7,'Retenue Fev'!$D$18:$D$48)-SUMIF(Février!$BK$20:$BK$50,Mars!AT7,'Retenue Fev'!$E$18:$E$48)</f>
        <v>0</v>
      </c>
      <c r="AE51" s="1322">
        <f>+SUMIF(Avril!$BK$20:$BK$50,Mars!AT7,'Retenue Avril'!$D$18:$D$48)-SUMIF(Avril!$BK$20:$BK$50,Mars!AT7,'Retenue Avril'!$E$18:$E$48)</f>
        <v>0</v>
      </c>
      <c r="AF51" s="1316">
        <f t="shared" si="60"/>
        <v>0</v>
      </c>
      <c r="AG51" s="1327"/>
      <c r="AJ51" s="1304"/>
      <c r="AK51" s="1305"/>
      <c r="AL51" s="1307"/>
      <c r="BA51" s="328"/>
      <c r="BD51" s="351" t="s">
        <v>746</v>
      </c>
      <c r="BE51" s="192">
        <f>+SUMIFS(BE18:BE48,BF18:BF48,S.CAL!BJ3)</f>
        <v>0</v>
      </c>
      <c r="BF51" s="352">
        <f>IF(Mars!AZ90="",+COUNTIF(BF18:BF48,S.CAL!BJ3),Mars!AZ90)</f>
        <v>0</v>
      </c>
      <c r="BL51" s="35"/>
      <c r="CD51" s="328"/>
      <c r="CI51" s="2534" t="str">
        <f t="shared" si="56"/>
        <v>Semaine numéro : 12</v>
      </c>
      <c r="CJ51" s="2535"/>
      <c r="CK51" s="2536"/>
      <c r="CL51" s="875" t="str">
        <f t="shared" si="61"/>
        <v/>
      </c>
      <c r="CM51" s="656">
        <f t="shared" si="62"/>
        <v>0</v>
      </c>
      <c r="CN51" s="655">
        <f t="shared" si="63"/>
        <v>0</v>
      </c>
      <c r="CO51" s="196">
        <f>+SUMIF(Mars!$BK$20:$BK$50,Mars!AT7,$CG$18:$CG$48)</f>
        <v>0</v>
      </c>
      <c r="CP51" s="196">
        <f>+SUMIF(Février!$BK$20:$BK$50,Mars!AT7,'Retenue Fev'!$CG$18:$CG$48)</f>
        <v>0</v>
      </c>
      <c r="CQ51" s="196">
        <f>+SUMIF(Avril!$BK$20:$BK$50,Mars!AT7,'Retenue Avril'!$CG$18:$CG$48)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13</v>
      </c>
      <c r="X52" s="2538"/>
      <c r="Y52" s="2538"/>
      <c r="Z52" s="1323" t="str">
        <f t="shared" si="57"/>
        <v/>
      </c>
      <c r="AA52" s="1316">
        <f t="shared" si="58"/>
        <v>0</v>
      </c>
      <c r="AB52" s="1316">
        <f t="shared" si="59"/>
        <v>0</v>
      </c>
      <c r="AC52" s="1322">
        <f>+SUMIF(Mars!$BK$20:$BK$50,Mars!AT8,$D$18:$D$48)-SUMIF(Mars!$BK$20:$BK$50,Mars!AT8,$E$18:$E$48)</f>
        <v>0</v>
      </c>
      <c r="AD52" s="1322">
        <f>+SUMIF(Février!$BK$20:$BK$50,Mars!AT8,'Retenue Fev'!$D$18:$D$48)-SUMIF(Février!$BK$20:$BK$50,Mars!AT8,'Retenue Fev'!$E$18:$E$48)</f>
        <v>0</v>
      </c>
      <c r="AE52" s="1322">
        <f>+SUMIF(Avril!$BK$20:$BK$50,Mars!AT8,'Retenue Avril'!$D$18:$D$48)-SUMIF(Avril!$BK$20:$BK$50,Mars!AT8,'Retenue Avril'!$E$18:$E$48)</f>
        <v>0</v>
      </c>
      <c r="AF52" s="1316">
        <f t="shared" si="60"/>
        <v>0</v>
      </c>
      <c r="AO52" s="1189" t="s">
        <v>1110</v>
      </c>
      <c r="AP52" s="1326">
        <f>IF(AL22,+ROUND((AQ48+SUM(AQ39:AQ46))*AL34/AL22*Q11,2),0)</f>
        <v>0</v>
      </c>
      <c r="BA52" s="328"/>
      <c r="BD52" s="1341" t="s">
        <v>696</v>
      </c>
      <c r="BE52" s="1342">
        <f>+SUMIFS(BE18:BE48,BF18:BF48,S.CAL!BJ4)</f>
        <v>0</v>
      </c>
      <c r="BF52" s="1343">
        <f>IF(Mars!BA90="",+COUNTIF(BF18:BF48,S.CAL!BJ4),Mars!BA90)</f>
        <v>0</v>
      </c>
      <c r="BL52" s="35"/>
      <c r="BU52" s="16" t="s">
        <v>776</v>
      </c>
      <c r="BW52" s="339">
        <f>+BR46+BR49+BZ46+BZ49</f>
        <v>0</v>
      </c>
      <c r="CD52" s="328"/>
      <c r="CI52" s="2534" t="str">
        <f t="shared" si="56"/>
        <v>Semaine numéro : 13</v>
      </c>
      <c r="CJ52" s="2535"/>
      <c r="CK52" s="2536"/>
      <c r="CL52" s="875" t="str">
        <f t="shared" si="61"/>
        <v/>
      </c>
      <c r="CM52" s="656">
        <f t="shared" si="62"/>
        <v>0</v>
      </c>
      <c r="CN52" s="655">
        <f t="shared" si="63"/>
        <v>0</v>
      </c>
      <c r="CO52" s="196">
        <f>+SUMIF(Mars!$BK$20:$BK$50,Mars!AT8,$CG$18:$CG$48)</f>
        <v>0</v>
      </c>
      <c r="CP52" s="196">
        <f>+SUMIF(Février!$BK$20:$BK$50,Mars!AT8,'Retenue Fev'!$CG$18:$CG$48)</f>
        <v>0</v>
      </c>
      <c r="CQ52" s="196">
        <f>+SUMIF(Avril!$BK$20:$BK$50,Mars!AT8,'Retenue Avril'!$CG$18:$CG$48)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Semaine numéro : 14</v>
      </c>
      <c r="X53" s="2538"/>
      <c r="Y53" s="2538"/>
      <c r="Z53" s="1323" t="str">
        <f t="shared" si="57"/>
        <v/>
      </c>
      <c r="AA53" s="1316">
        <f t="shared" si="58"/>
        <v>0</v>
      </c>
      <c r="AB53" s="1316">
        <f t="shared" si="59"/>
        <v>0</v>
      </c>
      <c r="AC53" s="1322">
        <f>+SUMIF(Mars!$BK$20:$BK$50,Mars!AT9,$D$18:$D$48)-SUMIF(Mars!$BK$20:$BK$50,Mars!AT9,$E$18:$E$48)</f>
        <v>0</v>
      </c>
      <c r="AD53" s="1322">
        <f>+SUMIF(Février!$BK$20:$BK$50,Mars!AT9,'Retenue Fev'!$D$18:$D$48)-SUMIF(Février!$BK$20:$BK$50,Mars!AT9,'Retenue Fev'!$E$18:$E$48)</f>
        <v>0</v>
      </c>
      <c r="AE53" s="1322">
        <f>+SUMIF(Avril!$BK$20:$BK$50,Mars!AT9,'Retenue Avril'!$D$18:$D$48)-SUMIF(Avril!$BK$20:$BK$50,Mars!AT9,'Retenue Avril'!$E$18:$E$48)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Semaine numéro : 14</v>
      </c>
      <c r="CJ53" s="2535"/>
      <c r="CK53" s="2536"/>
      <c r="CL53" s="875" t="str">
        <f t="shared" si="61"/>
        <v/>
      </c>
      <c r="CM53" s="656">
        <f t="shared" si="62"/>
        <v>0</v>
      </c>
      <c r="CN53" s="655">
        <f t="shared" si="63"/>
        <v>0</v>
      </c>
      <c r="CO53" s="196">
        <f>+SUMIF(Mars!$BK$20:$BK$50,Mars!AT9,$CG$18:$CG$48)</f>
        <v>0</v>
      </c>
      <c r="CP53" s="196">
        <f>+SUMIF(Février!$BK$20:$BK$50,Mars!AT9,'Retenue Fev'!$CG$18:$CG$48)</f>
        <v>0</v>
      </c>
      <c r="CQ53" s="196">
        <f>+SUMIF(Avril!$BK$20:$BK$50,Mars!AT9,'Retenue Avril'!$CG$18:$CG$48)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63">
        <f>B17</f>
        <v>46082</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46082</v>
      </c>
      <c r="C57" s="169">
        <f t="shared" si="65"/>
        <v>46082</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46083</v>
      </c>
      <c r="C58" s="170">
        <f t="shared" si="65"/>
        <v>46083</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46084</v>
      </c>
      <c r="C59" s="170">
        <f t="shared" si="65"/>
        <v>46084</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46085</v>
      </c>
      <c r="C60" s="170">
        <f t="shared" si="65"/>
        <v>46085</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46086</v>
      </c>
      <c r="C61" s="170">
        <f t="shared" si="65"/>
        <v>46086</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46087</v>
      </c>
      <c r="C62" s="170">
        <f t="shared" si="65"/>
        <v>46087</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46088</v>
      </c>
      <c r="C63" s="170">
        <f t="shared" si="65"/>
        <v>46088</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46089</v>
      </c>
      <c r="C64" s="170">
        <f t="shared" si="65"/>
        <v>46089</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46090</v>
      </c>
      <c r="C65" s="170">
        <f t="shared" si="65"/>
        <v>46090</v>
      </c>
      <c r="D65" s="171" t="str">
        <f t="shared" si="66"/>
        <v/>
      </c>
      <c r="E65" s="171" t="str">
        <f t="shared" si="69"/>
        <v/>
      </c>
      <c r="F65" s="1531" t="str">
        <f t="shared" si="67"/>
        <v/>
      </c>
      <c r="G65" s="1531" t="str">
        <f t="shared" si="68"/>
        <v/>
      </c>
      <c r="BA65" s="328"/>
      <c r="CD65" s="328"/>
    </row>
    <row r="66" spans="2:82" x14ac:dyDescent="0.2">
      <c r="B66" s="107">
        <f t="shared" si="65"/>
        <v>46091</v>
      </c>
      <c r="C66" s="170">
        <f t="shared" si="65"/>
        <v>46091</v>
      </c>
      <c r="D66" s="171" t="str">
        <f t="shared" si="66"/>
        <v/>
      </c>
      <c r="E66" s="171" t="str">
        <f t="shared" si="69"/>
        <v/>
      </c>
      <c r="F66" s="1531" t="str">
        <f t="shared" si="67"/>
        <v/>
      </c>
      <c r="G66" s="1531" t="str">
        <f t="shared" si="68"/>
        <v/>
      </c>
      <c r="BA66" s="328"/>
      <c r="CD66" s="328"/>
    </row>
    <row r="67" spans="2:82" x14ac:dyDescent="0.2">
      <c r="B67" s="107">
        <f t="shared" si="65"/>
        <v>46092</v>
      </c>
      <c r="C67" s="170">
        <f t="shared" si="65"/>
        <v>46092</v>
      </c>
      <c r="D67" s="171" t="str">
        <f t="shared" si="66"/>
        <v/>
      </c>
      <c r="E67" s="171" t="str">
        <f t="shared" si="69"/>
        <v/>
      </c>
      <c r="F67" s="1531" t="str">
        <f t="shared" si="67"/>
        <v/>
      </c>
      <c r="G67" s="1531" t="str">
        <f t="shared" si="68"/>
        <v/>
      </c>
      <c r="BA67" s="328"/>
      <c r="CD67" s="328"/>
    </row>
    <row r="68" spans="2:82" x14ac:dyDescent="0.2">
      <c r="B68" s="107">
        <f t="shared" si="65"/>
        <v>46093</v>
      </c>
      <c r="C68" s="170">
        <f t="shared" si="65"/>
        <v>46093</v>
      </c>
      <c r="D68" s="171" t="str">
        <f t="shared" si="66"/>
        <v/>
      </c>
      <c r="E68" s="171" t="str">
        <f t="shared" si="69"/>
        <v/>
      </c>
      <c r="F68" s="1531" t="str">
        <f t="shared" si="67"/>
        <v/>
      </c>
      <c r="G68" s="1531" t="str">
        <f t="shared" si="68"/>
        <v/>
      </c>
      <c r="AI68" s="1332" t="s">
        <v>329</v>
      </c>
      <c r="BA68" s="328"/>
      <c r="CD68" s="328"/>
    </row>
    <row r="69" spans="2:82" x14ac:dyDescent="0.2">
      <c r="B69" s="107">
        <f t="shared" si="65"/>
        <v>46094</v>
      </c>
      <c r="C69" s="170">
        <f t="shared" si="65"/>
        <v>46094</v>
      </c>
      <c r="D69" s="171" t="str">
        <f t="shared" si="66"/>
        <v/>
      </c>
      <c r="E69" s="171" t="str">
        <f t="shared" si="69"/>
        <v/>
      </c>
      <c r="F69" s="1531" t="str">
        <f t="shared" si="67"/>
        <v/>
      </c>
      <c r="G69" s="1531" t="str">
        <f t="shared" si="68"/>
        <v/>
      </c>
      <c r="BA69" s="328"/>
      <c r="CD69" s="328"/>
    </row>
    <row r="70" spans="2:82" x14ac:dyDescent="0.2">
      <c r="B70" s="107">
        <f t="shared" si="65"/>
        <v>46095</v>
      </c>
      <c r="C70" s="170">
        <f t="shared" si="65"/>
        <v>46095</v>
      </c>
      <c r="D70" s="171" t="str">
        <f t="shared" si="66"/>
        <v/>
      </c>
      <c r="E70" s="171" t="str">
        <f t="shared" si="69"/>
        <v/>
      </c>
      <c r="F70" s="1531" t="str">
        <f t="shared" si="67"/>
        <v/>
      </c>
      <c r="G70" s="1531" t="str">
        <f t="shared" si="68"/>
        <v/>
      </c>
      <c r="AI70" s="563" t="s">
        <v>330</v>
      </c>
      <c r="BA70" s="328"/>
      <c r="CD70" s="328"/>
    </row>
    <row r="71" spans="2:82" x14ac:dyDescent="0.2">
      <c r="B71" s="107">
        <f t="shared" si="65"/>
        <v>46096</v>
      </c>
      <c r="C71" s="170">
        <f t="shared" si="65"/>
        <v>46096</v>
      </c>
      <c r="D71" s="171" t="str">
        <f t="shared" si="66"/>
        <v/>
      </c>
      <c r="E71" s="171" t="str">
        <f t="shared" si="69"/>
        <v/>
      </c>
      <c r="F71" s="1531" t="str">
        <f t="shared" si="67"/>
        <v/>
      </c>
      <c r="G71" s="1531" t="str">
        <f t="shared" si="68"/>
        <v/>
      </c>
      <c r="AI71" s="1333" t="s">
        <v>331</v>
      </c>
      <c r="BA71" s="328"/>
      <c r="CD71" s="328"/>
    </row>
    <row r="72" spans="2:82" x14ac:dyDescent="0.2">
      <c r="B72" s="107">
        <f t="shared" si="65"/>
        <v>46097</v>
      </c>
      <c r="C72" s="170">
        <f t="shared" si="65"/>
        <v>46097</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46098</v>
      </c>
      <c r="C73" s="170">
        <f t="shared" si="70"/>
        <v>46098</v>
      </c>
      <c r="D73" s="171" t="str">
        <f t="shared" si="66"/>
        <v/>
      </c>
      <c r="E73" s="171" t="str">
        <f t="shared" si="69"/>
        <v/>
      </c>
      <c r="F73" s="1531" t="str">
        <f t="shared" si="67"/>
        <v/>
      </c>
      <c r="G73" s="1531" t="str">
        <f t="shared" si="68"/>
        <v/>
      </c>
      <c r="BA73" s="328"/>
      <c r="CD73" s="328"/>
    </row>
    <row r="74" spans="2:82" x14ac:dyDescent="0.2">
      <c r="B74" s="107">
        <f t="shared" si="70"/>
        <v>46099</v>
      </c>
      <c r="C74" s="170">
        <f t="shared" si="70"/>
        <v>46099</v>
      </c>
      <c r="D74" s="171" t="str">
        <f t="shared" si="66"/>
        <v/>
      </c>
      <c r="E74" s="171" t="str">
        <f t="shared" si="69"/>
        <v/>
      </c>
      <c r="F74" s="1531" t="str">
        <f t="shared" si="67"/>
        <v/>
      </c>
      <c r="G74" s="1531" t="str">
        <f t="shared" si="68"/>
        <v/>
      </c>
      <c r="AI74" s="563" t="s">
        <v>332</v>
      </c>
      <c r="BA74" s="328"/>
      <c r="CD74" s="328"/>
    </row>
    <row r="75" spans="2:82" x14ac:dyDescent="0.2">
      <c r="B75" s="107">
        <f t="shared" si="70"/>
        <v>46100</v>
      </c>
      <c r="C75" s="170">
        <f t="shared" si="70"/>
        <v>46100</v>
      </c>
      <c r="D75" s="171" t="str">
        <f t="shared" si="66"/>
        <v/>
      </c>
      <c r="E75" s="171" t="str">
        <f t="shared" si="69"/>
        <v/>
      </c>
      <c r="F75" s="1531" t="str">
        <f t="shared" si="67"/>
        <v/>
      </c>
      <c r="G75" s="1531" t="str">
        <f t="shared" si="68"/>
        <v/>
      </c>
      <c r="AI75" s="1333" t="s">
        <v>333</v>
      </c>
      <c r="BA75" s="328"/>
      <c r="CD75" s="328"/>
    </row>
    <row r="76" spans="2:82" x14ac:dyDescent="0.2">
      <c r="B76" s="107">
        <f t="shared" si="70"/>
        <v>46101</v>
      </c>
      <c r="C76" s="170">
        <f t="shared" si="70"/>
        <v>46101</v>
      </c>
      <c r="D76" s="171" t="str">
        <f t="shared" si="66"/>
        <v/>
      </c>
      <c r="E76" s="171" t="str">
        <f t="shared" si="69"/>
        <v/>
      </c>
      <c r="F76" s="1531" t="str">
        <f t="shared" si="67"/>
        <v/>
      </c>
      <c r="G76" s="1531" t="str">
        <f t="shared" si="68"/>
        <v/>
      </c>
      <c r="BA76" s="328"/>
      <c r="CD76" s="328"/>
    </row>
    <row r="77" spans="2:82" x14ac:dyDescent="0.2">
      <c r="B77" s="107">
        <f t="shared" si="70"/>
        <v>46102</v>
      </c>
      <c r="C77" s="170">
        <f t="shared" si="70"/>
        <v>46102</v>
      </c>
      <c r="D77" s="171" t="str">
        <f t="shared" si="66"/>
        <v/>
      </c>
      <c r="E77" s="171" t="str">
        <f t="shared" si="69"/>
        <v/>
      </c>
      <c r="F77" s="1531" t="str">
        <f t="shared" si="67"/>
        <v/>
      </c>
      <c r="G77" s="1531" t="str">
        <f t="shared" si="68"/>
        <v/>
      </c>
      <c r="AI77" s="563" t="s">
        <v>334</v>
      </c>
      <c r="BA77" s="328"/>
      <c r="CD77" s="328"/>
    </row>
    <row r="78" spans="2:82" x14ac:dyDescent="0.2">
      <c r="B78" s="107">
        <f t="shared" si="70"/>
        <v>46103</v>
      </c>
      <c r="C78" s="170">
        <f t="shared" si="70"/>
        <v>46103</v>
      </c>
      <c r="D78" s="171" t="str">
        <f t="shared" si="66"/>
        <v/>
      </c>
      <c r="E78" s="171" t="str">
        <f t="shared" si="69"/>
        <v/>
      </c>
      <c r="F78" s="1531" t="str">
        <f t="shared" si="67"/>
        <v/>
      </c>
      <c r="G78" s="1531" t="str">
        <f t="shared" si="68"/>
        <v/>
      </c>
      <c r="AI78" s="1333" t="s">
        <v>680</v>
      </c>
      <c r="BA78" s="328"/>
      <c r="CD78" s="328"/>
    </row>
    <row r="79" spans="2:82" x14ac:dyDescent="0.2">
      <c r="B79" s="107">
        <f t="shared" si="70"/>
        <v>46104</v>
      </c>
      <c r="C79" s="170">
        <f t="shared" si="70"/>
        <v>46104</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46105</v>
      </c>
      <c r="C80" s="170">
        <f t="shared" si="70"/>
        <v>46105</v>
      </c>
      <c r="D80" s="171" t="str">
        <f t="shared" si="66"/>
        <v/>
      </c>
      <c r="E80" s="171" t="str">
        <f t="shared" si="69"/>
        <v/>
      </c>
      <c r="F80" s="1531" t="str">
        <f t="shared" si="67"/>
        <v/>
      </c>
      <c r="G80" s="1531" t="str">
        <f t="shared" si="68"/>
        <v/>
      </c>
      <c r="BA80" s="328"/>
      <c r="CD80" s="328"/>
    </row>
    <row r="81" spans="2:82" x14ac:dyDescent="0.2">
      <c r="B81" s="107">
        <f t="shared" si="70"/>
        <v>46106</v>
      </c>
      <c r="C81" s="170">
        <f t="shared" si="70"/>
        <v>46106</v>
      </c>
      <c r="D81" s="171" t="str">
        <f t="shared" si="66"/>
        <v/>
      </c>
      <c r="E81" s="171" t="str">
        <f t="shared" si="69"/>
        <v/>
      </c>
      <c r="F81" s="1531" t="str">
        <f t="shared" si="67"/>
        <v/>
      </c>
      <c r="G81" s="1531" t="str">
        <f t="shared" si="68"/>
        <v/>
      </c>
      <c r="AI81" s="563" t="s">
        <v>518</v>
      </c>
      <c r="BA81" s="328"/>
      <c r="CD81" s="328"/>
    </row>
    <row r="82" spans="2:82" x14ac:dyDescent="0.2">
      <c r="B82" s="107">
        <f t="shared" si="70"/>
        <v>46107</v>
      </c>
      <c r="C82" s="170">
        <f t="shared" si="70"/>
        <v>46107</v>
      </c>
      <c r="D82" s="171" t="str">
        <f t="shared" si="66"/>
        <v/>
      </c>
      <c r="E82" s="171" t="str">
        <f t="shared" si="69"/>
        <v/>
      </c>
      <c r="F82" s="1531" t="str">
        <f t="shared" si="67"/>
        <v/>
      </c>
      <c r="G82" s="1531" t="str">
        <f t="shared" si="68"/>
        <v/>
      </c>
      <c r="AI82" s="1333" t="s">
        <v>681</v>
      </c>
      <c r="BA82" s="328"/>
      <c r="CD82" s="328"/>
    </row>
    <row r="83" spans="2:82" x14ac:dyDescent="0.2">
      <c r="B83" s="107">
        <f t="shared" si="70"/>
        <v>46108</v>
      </c>
      <c r="C83" s="170">
        <f t="shared" si="70"/>
        <v>46108</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46109</v>
      </c>
      <c r="C84" s="170">
        <f t="shared" si="70"/>
        <v>46109</v>
      </c>
      <c r="D84" s="171" t="str">
        <f t="shared" si="66"/>
        <v/>
      </c>
      <c r="E84" s="171" t="str">
        <f t="shared" si="69"/>
        <v/>
      </c>
      <c r="F84" s="1531" t="str">
        <f t="shared" si="67"/>
        <v/>
      </c>
      <c r="G84" s="1531" t="str">
        <f t="shared" si="68"/>
        <v/>
      </c>
      <c r="BA84" s="328"/>
      <c r="CD84" s="328"/>
    </row>
    <row r="85" spans="2:82" x14ac:dyDescent="0.2">
      <c r="B85" s="107">
        <f t="shared" si="70"/>
        <v>46110</v>
      </c>
      <c r="C85" s="170">
        <f t="shared" si="70"/>
        <v>46110</v>
      </c>
      <c r="D85" s="171" t="str">
        <f t="shared" si="66"/>
        <v/>
      </c>
      <c r="E85" s="171" t="str">
        <f t="shared" si="69"/>
        <v/>
      </c>
      <c r="F85" s="1531" t="str">
        <f t="shared" si="67"/>
        <v/>
      </c>
      <c r="G85" s="1531" t="str">
        <f t="shared" si="68"/>
        <v/>
      </c>
      <c r="AI85" s="1333" t="s">
        <v>335</v>
      </c>
      <c r="BA85" s="328"/>
      <c r="CD85" s="328"/>
    </row>
    <row r="86" spans="2:82" x14ac:dyDescent="0.2">
      <c r="B86" s="107">
        <f t="shared" si="70"/>
        <v>46111</v>
      </c>
      <c r="C86" s="170">
        <f t="shared" si="70"/>
        <v>46111</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46112</v>
      </c>
      <c r="C87" s="190">
        <f t="shared" si="70"/>
        <v>46112</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zOhGtATtL3rTg+3UXsrf6kaxLQouX8vkB21c/o0fMUWDzvXUmSw2vPtb07hkg7PxvT8+6yb5V60zzUC4vTC5Ow==" saltValue="AOU3IltUx/OYlbB/sd7cL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734" priority="31">
      <formula>$R$3=$A$5</formula>
    </cfRule>
  </conditionalFormatting>
  <conditionalFormatting sqref="M19:Q23">
    <cfRule type="expression" dxfId="3733" priority="8">
      <formula>$E$11&gt;0</formula>
    </cfRule>
  </conditionalFormatting>
  <conditionalFormatting sqref="M26:R46">
    <cfRule type="expression" dxfId="3732" priority="3">
      <formula>$E$11=0</formula>
    </cfRule>
  </conditionalFormatting>
  <conditionalFormatting sqref="P17">
    <cfRule type="expression" dxfId="3731" priority="11">
      <formula>$E$11=0</formula>
    </cfRule>
  </conditionalFormatting>
  <conditionalFormatting sqref="P30">
    <cfRule type="expression" dxfId="3730" priority="7">
      <formula>AND($R$3="Méthode 1",$E$11&lt;0)</formula>
    </cfRule>
  </conditionalFormatting>
  <conditionalFormatting sqref="P33">
    <cfRule type="expression" dxfId="3729" priority="6">
      <formula>AND($R$3="Méthode 1",$E$11&lt;0)</formula>
    </cfRule>
  </conditionalFormatting>
  <conditionalFormatting sqref="Q17">
    <cfRule type="cellIs" dxfId="3728" priority="10" operator="equal">
      <formula>0</formula>
    </cfRule>
  </conditionalFormatting>
  <conditionalFormatting sqref="Q42">
    <cfRule type="expression" dxfId="3727" priority="5">
      <formula>AND($R$3="Méthode 1",$E$11&lt;0)</formula>
    </cfRule>
  </conditionalFormatting>
  <conditionalFormatting sqref="Q45">
    <cfRule type="expression" dxfId="3726" priority="4">
      <formula>AND($R$3="Méthode 1",$E$11&lt;0)</formula>
    </cfRule>
  </conditionalFormatting>
  <conditionalFormatting sqref="S7:AF7">
    <cfRule type="expression" dxfId="3725" priority="30">
      <formula>$R$3=$T$5</formula>
    </cfRule>
  </conditionalFormatting>
  <conditionalFormatting sqref="W19">
    <cfRule type="expression" dxfId="3724" priority="35">
      <formula>$EF$14=1</formula>
    </cfRule>
  </conditionalFormatting>
  <conditionalFormatting sqref="W21">
    <cfRule type="expression" dxfId="3723" priority="34">
      <formula>$EF$14=1</formula>
    </cfRule>
  </conditionalFormatting>
  <conditionalFormatting sqref="AC19">
    <cfRule type="expression" dxfId="3722" priority="33">
      <formula>$EF$14=1</formula>
    </cfRule>
  </conditionalFormatting>
  <conditionalFormatting sqref="AC21">
    <cfRule type="expression" dxfId="3721" priority="32">
      <formula>$EF$14=1</formula>
    </cfRule>
  </conditionalFormatting>
  <conditionalFormatting sqref="AH7:AZ7">
    <cfRule type="expression" dxfId="3720" priority="16">
      <formula>$R$3=$AI$5</formula>
    </cfRule>
  </conditionalFormatting>
  <conditionalFormatting sqref="AP50">
    <cfRule type="expression" dxfId="3719" priority="15">
      <formula>$R$3="Méthode 2"</formula>
    </cfRule>
  </conditionalFormatting>
  <conditionalFormatting sqref="AP52">
    <cfRule type="expression" dxfId="3718" priority="14">
      <formula>$R$3="Méthode 2"</formula>
    </cfRule>
  </conditionalFormatting>
  <conditionalFormatting sqref="AP61">
    <cfRule type="expression" dxfId="3717" priority="13">
      <formula>$R$3="Méthode 2"</formula>
    </cfRule>
  </conditionalFormatting>
  <conditionalFormatting sqref="AP64">
    <cfRule type="expression" dxfId="3716" priority="12">
      <formula>$R$3="Méthode 2"</formula>
    </cfRule>
  </conditionalFormatting>
  <conditionalFormatting sqref="BI50">
    <cfRule type="expression" dxfId="3715" priority="23">
      <formula>$BK$3="Méthode 1"</formula>
    </cfRule>
  </conditionalFormatting>
  <conditionalFormatting sqref="BJ29">
    <cfRule type="expression" dxfId="3714" priority="25">
      <formula>$BK$3="Méthode 1"</formula>
    </cfRule>
  </conditionalFormatting>
  <conditionalFormatting sqref="BJ45">
    <cfRule type="expression" dxfId="3713" priority="24">
      <formula>$BK$3="Méthode 1"</formula>
    </cfRule>
  </conditionalFormatting>
  <conditionalFormatting sqref="BR46">
    <cfRule type="expression" dxfId="3712" priority="22">
      <formula>$BK$3="Méthode 2"</formula>
    </cfRule>
  </conditionalFormatting>
  <conditionalFormatting sqref="BR49">
    <cfRule type="expression" dxfId="3711" priority="21">
      <formula>$BK$3="Méthode 2"</formula>
    </cfRule>
  </conditionalFormatting>
  <conditionalFormatting sqref="BW52">
    <cfRule type="expression" dxfId="3710" priority="18">
      <formula>$BK$3="Méthode 2"</formula>
    </cfRule>
  </conditionalFormatting>
  <conditionalFormatting sqref="BW54">
    <cfRule type="expression" dxfId="3709" priority="17">
      <formula>$BK$3="Méthode 2"</formula>
    </cfRule>
  </conditionalFormatting>
  <conditionalFormatting sqref="BZ46">
    <cfRule type="expression" dxfId="3708" priority="20">
      <formula>$BK$3="Méthode 2"</formula>
    </cfRule>
  </conditionalFormatting>
  <conditionalFormatting sqref="BZ49">
    <cfRule type="expression" dxfId="3707" priority="19">
      <formula>$BK$3="Méthode 2"</formula>
    </cfRule>
  </conditionalFormatting>
  <conditionalFormatting sqref="CG18:CG48">
    <cfRule type="cellIs" dxfId="3706" priority="1" operator="equal">
      <formula>0</formula>
    </cfRule>
  </conditionalFormatting>
  <pageMargins left="0.23622047244094491" right="0.23622047244094491" top="0.74803149606299213" bottom="0.74803149606299213" header="0.31496062992125984" footer="0.31496062992125984"/>
  <pageSetup paperSize="9" scale="48" orientation="portrait" horizontalDpi="1200" verticalDpi="1200" r:id="rId1"/>
  <colBreaks count="2" manualBreakCount="2">
    <brk id="52" max="105" man="1"/>
    <brk id="63"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BL139"/>
  <sheetViews>
    <sheetView showGridLines="0" zoomScale="90" zoomScaleNormal="90" workbookViewId="0">
      <selection activeCell="B72" sqref="B72"/>
    </sheetView>
  </sheetViews>
  <sheetFormatPr baseColWidth="10" defaultColWidth="11.42578125" defaultRowHeight="12.75" x14ac:dyDescent="0.2"/>
  <cols>
    <col min="1" max="1" width="47.85546875" style="129" customWidth="1"/>
    <col min="2" max="2" width="38.85546875" style="129" customWidth="1"/>
    <col min="3" max="61" width="11.42578125" style="129"/>
    <col min="62" max="65" width="0" style="129" hidden="1" customWidth="1"/>
    <col min="66" max="16384" width="11.42578125" style="129"/>
  </cols>
  <sheetData>
    <row r="1" spans="1:64" x14ac:dyDescent="0.2">
      <c r="A1" s="1359"/>
      <c r="B1" s="16" t="str">
        <f>+'Mode d''utilisation'!B2</f>
        <v>Version V6.24 Janvier 2026</v>
      </c>
      <c r="AC1" s="131"/>
    </row>
    <row r="2" spans="1:64" ht="25.5" x14ac:dyDescent="0.2">
      <c r="A2" s="1036" t="s">
        <v>1740</v>
      </c>
      <c r="B2" s="1360" t="str">
        <f>+'Mode d''utilisation'!M2</f>
        <v>Année : 2026</v>
      </c>
    </row>
    <row r="3" spans="1:64" ht="60" hidden="1" customHeight="1" x14ac:dyDescent="0.2">
      <c r="A3" s="1166" t="s">
        <v>442</v>
      </c>
      <c r="B3" s="1167" t="s">
        <v>443</v>
      </c>
    </row>
    <row r="4" spans="1:64" x14ac:dyDescent="0.2">
      <c r="B4" s="16"/>
    </row>
    <row r="5" spans="1:64" ht="18" x14ac:dyDescent="0.25">
      <c r="A5" s="1207" t="s">
        <v>0</v>
      </c>
    </row>
    <row r="7" spans="1:64" x14ac:dyDescent="0.2">
      <c r="A7" s="988" t="s">
        <v>1</v>
      </c>
      <c r="B7" s="295">
        <f>+IF(B8="",Report!D8,Identification!B8)</f>
        <v>0</v>
      </c>
    </row>
    <row r="8" spans="1:64" x14ac:dyDescent="0.2">
      <c r="A8" s="131" t="s">
        <v>492</v>
      </c>
      <c r="B8" s="1054"/>
    </row>
    <row r="9" spans="1:64" x14ac:dyDescent="0.2">
      <c r="A9" s="131"/>
      <c r="B9" s="217"/>
    </row>
    <row r="10" spans="1:64" x14ac:dyDescent="0.2">
      <c r="A10" s="131" t="s">
        <v>2</v>
      </c>
      <c r="B10" s="295">
        <f>+IF(B11="",Report!D9,Identification!B11)</f>
        <v>0</v>
      </c>
    </row>
    <row r="11" spans="1:64" x14ac:dyDescent="0.2">
      <c r="A11" s="131" t="s">
        <v>492</v>
      </c>
      <c r="B11" s="1054"/>
    </row>
    <row r="12" spans="1:64" x14ac:dyDescent="0.2">
      <c r="A12" s="131"/>
      <c r="B12" s="217"/>
    </row>
    <row r="13" spans="1:64" x14ac:dyDescent="0.2">
      <c r="A13" s="131" t="s">
        <v>3</v>
      </c>
      <c r="B13" s="295">
        <f>+IF(B14="",Report!D10,Identification!B14)</f>
        <v>0</v>
      </c>
    </row>
    <row r="14" spans="1:64" x14ac:dyDescent="0.2">
      <c r="A14" s="131" t="s">
        <v>492</v>
      </c>
      <c r="B14" s="1054"/>
    </row>
    <row r="15" spans="1:64" x14ac:dyDescent="0.2">
      <c r="A15" s="131"/>
      <c r="B15" s="217"/>
      <c r="BK15" s="129" t="s">
        <v>640</v>
      </c>
      <c r="BL15" s="129" t="e">
        <f>+BL13/BL11*12/BL8*BL11/6</f>
        <v>#DIV/0!</v>
      </c>
    </row>
    <row r="16" spans="1:64" x14ac:dyDescent="0.2">
      <c r="A16" s="131" t="s">
        <v>4</v>
      </c>
      <c r="B16" s="295">
        <f>+IF(B17="",Report!D11,Identification!B17)</f>
        <v>0</v>
      </c>
    </row>
    <row r="17" spans="1:2" x14ac:dyDescent="0.2">
      <c r="A17" s="131" t="s">
        <v>492</v>
      </c>
      <c r="B17" s="1054"/>
    </row>
    <row r="18" spans="1:2" x14ac:dyDescent="0.2">
      <c r="A18" s="131"/>
      <c r="B18" s="217"/>
    </row>
    <row r="19" spans="1:2" x14ac:dyDescent="0.2">
      <c r="A19" s="131" t="s">
        <v>5</v>
      </c>
      <c r="B19" s="296">
        <f>+IF(B20="",Report!D12,Identification!B20)</f>
        <v>0</v>
      </c>
    </row>
    <row r="20" spans="1:2" x14ac:dyDescent="0.2">
      <c r="A20" s="131" t="s">
        <v>492</v>
      </c>
      <c r="B20" s="1055"/>
    </row>
    <row r="21" spans="1:2" x14ac:dyDescent="0.2">
      <c r="A21" s="131"/>
      <c r="B21" s="297"/>
    </row>
    <row r="22" spans="1:2" x14ac:dyDescent="0.2">
      <c r="A22" s="131" t="s">
        <v>6</v>
      </c>
      <c r="B22" s="295" t="str">
        <f>+IF(B23="",Report!D13,Identification!B23)</f>
        <v>Le Puy-en-Velay</v>
      </c>
    </row>
    <row r="23" spans="1:2" x14ac:dyDescent="0.2">
      <c r="A23" s="131" t="s">
        <v>492</v>
      </c>
      <c r="B23" s="1054" t="s">
        <v>1321</v>
      </c>
    </row>
    <row r="24" spans="1:2" x14ac:dyDescent="0.2">
      <c r="A24" s="131"/>
      <c r="B24" s="217"/>
    </row>
    <row r="25" spans="1:2" x14ac:dyDescent="0.2">
      <c r="A25" s="131" t="s">
        <v>7</v>
      </c>
      <c r="B25" s="295">
        <f>+IF(B26="",Report!D14,Identification!B26)</f>
        <v>0</v>
      </c>
    </row>
    <row r="26" spans="1:2" x14ac:dyDescent="0.2">
      <c r="A26" s="131" t="s">
        <v>492</v>
      </c>
      <c r="B26" s="1054"/>
    </row>
    <row r="27" spans="1:2" x14ac:dyDescent="0.2">
      <c r="A27" s="131"/>
      <c r="B27" s="217"/>
    </row>
    <row r="28" spans="1:2" ht="15.75" x14ac:dyDescent="0.25">
      <c r="A28" s="986" t="s">
        <v>8</v>
      </c>
      <c r="B28" s="987">
        <f>+IF(B29="",Report!D15,Identification!B29)</f>
        <v>0</v>
      </c>
    </row>
    <row r="29" spans="1:2" x14ac:dyDescent="0.2">
      <c r="A29" s="131" t="s">
        <v>492</v>
      </c>
      <c r="B29" s="1056"/>
    </row>
    <row r="30" spans="1:2" x14ac:dyDescent="0.2">
      <c r="B30" s="217"/>
    </row>
    <row r="31" spans="1:2" x14ac:dyDescent="0.2">
      <c r="B31" s="217"/>
    </row>
    <row r="32" spans="1:2" ht="18" x14ac:dyDescent="0.25">
      <c r="A32" s="1207" t="s">
        <v>9</v>
      </c>
      <c r="B32" s="217"/>
    </row>
    <row r="33" spans="1:2" x14ac:dyDescent="0.2">
      <c r="B33" s="217"/>
    </row>
    <row r="34" spans="1:2" x14ac:dyDescent="0.2">
      <c r="A34" s="131" t="s">
        <v>1</v>
      </c>
      <c r="B34" s="295">
        <f>+IF(B35="",Report!D16,Identification!B35)</f>
        <v>0</v>
      </c>
    </row>
    <row r="35" spans="1:2" x14ac:dyDescent="0.2">
      <c r="A35" s="131" t="s">
        <v>492</v>
      </c>
      <c r="B35" s="1054"/>
    </row>
    <row r="36" spans="1:2" x14ac:dyDescent="0.2">
      <c r="A36" s="131"/>
      <c r="B36" s="217"/>
    </row>
    <row r="37" spans="1:2" x14ac:dyDescent="0.2">
      <c r="A37" s="131" t="s">
        <v>2</v>
      </c>
      <c r="B37" s="295">
        <f>+IF(B38="",Report!D17,Identification!B38)</f>
        <v>0</v>
      </c>
    </row>
    <row r="38" spans="1:2" x14ac:dyDescent="0.2">
      <c r="A38" s="131" t="s">
        <v>492</v>
      </c>
      <c r="B38" s="1054"/>
    </row>
    <row r="39" spans="1:2" x14ac:dyDescent="0.2">
      <c r="A39" s="131"/>
      <c r="B39" s="217"/>
    </row>
    <row r="40" spans="1:2" x14ac:dyDescent="0.2">
      <c r="A40" s="131" t="s">
        <v>3</v>
      </c>
      <c r="B40" s="295">
        <f>+IF(B41="",Report!D18,Identification!B41)</f>
        <v>0</v>
      </c>
    </row>
    <row r="41" spans="1:2" x14ac:dyDescent="0.2">
      <c r="A41" s="131" t="s">
        <v>492</v>
      </c>
      <c r="B41" s="1054"/>
    </row>
    <row r="42" spans="1:2" x14ac:dyDescent="0.2">
      <c r="A42" s="131"/>
      <c r="B42" s="217"/>
    </row>
    <row r="43" spans="1:2" x14ac:dyDescent="0.2">
      <c r="A43" s="131" t="s">
        <v>4</v>
      </c>
      <c r="B43" s="295">
        <f>+IF(B44="",Report!D19,Identification!B44)</f>
        <v>0</v>
      </c>
    </row>
    <row r="44" spans="1:2" x14ac:dyDescent="0.2">
      <c r="A44" s="131" t="s">
        <v>492</v>
      </c>
      <c r="B44" s="1054"/>
    </row>
    <row r="45" spans="1:2" x14ac:dyDescent="0.2">
      <c r="A45" s="131"/>
      <c r="B45" s="217"/>
    </row>
    <row r="46" spans="1:2" x14ac:dyDescent="0.2">
      <c r="A46" s="131" t="s">
        <v>10</v>
      </c>
      <c r="B46" s="296">
        <f>+IF(B47="",Report!D20,Identification!B47)</f>
        <v>0</v>
      </c>
    </row>
    <row r="47" spans="1:2" x14ac:dyDescent="0.2">
      <c r="A47" s="131" t="s">
        <v>492</v>
      </c>
      <c r="B47" s="1055"/>
    </row>
    <row r="48" spans="1:2" x14ac:dyDescent="0.2">
      <c r="A48" s="131"/>
      <c r="B48" s="217"/>
    </row>
    <row r="49" spans="1:3" x14ac:dyDescent="0.2">
      <c r="A49" s="131" t="s">
        <v>1310</v>
      </c>
      <c r="B49" s="298">
        <f>+IF(B50="",Report!D39,Identification!B50)</f>
        <v>0</v>
      </c>
    </row>
    <row r="50" spans="1:3" x14ac:dyDescent="0.2">
      <c r="A50" s="131" t="s">
        <v>492</v>
      </c>
      <c r="B50" s="1056"/>
    </row>
    <row r="51" spans="1:3" x14ac:dyDescent="0.2">
      <c r="A51" s="131"/>
      <c r="B51" s="217"/>
    </row>
    <row r="52" spans="1:3" ht="25.5" x14ac:dyDescent="0.2">
      <c r="A52" s="955" t="s">
        <v>1311</v>
      </c>
      <c r="B52" s="956" t="str">
        <f>+IF(B53="",Report!D40,Identification!B53)</f>
        <v>NON</v>
      </c>
    </row>
    <row r="53" spans="1:3" x14ac:dyDescent="0.2">
      <c r="A53" s="131" t="s">
        <v>492</v>
      </c>
      <c r="B53" s="1057"/>
    </row>
    <row r="54" spans="1:3" x14ac:dyDescent="0.2">
      <c r="A54" s="131"/>
    </row>
    <row r="55" spans="1:3" ht="42" customHeight="1" x14ac:dyDescent="0.2">
      <c r="A55" s="957" t="str">
        <f>+"Nombre d'enfant(s) de l'assistant(e) maternel(le) qui auront moins de 15 ans au "&amp;TEXT(DATE(YEAR(B61),4,30),"jj/mm/aaaa")&amp;" ou en situation de handicap"</f>
        <v>Nombre d'enfant(s) de l'assistant(e) maternel(le) qui auront moins de 15 ans au 30/04/2026 ou en situation de handicap</v>
      </c>
      <c r="B55" s="1058"/>
      <c r="C55" s="1578" t="str">
        <f>+IF(AND(DATE(YEAR(B61),5,31)&lt;$B$28,$B$55&lt;&gt;0),"Vous devez mettre 0 car la date de votre contrat est supérieure au 31/05/"&amp;B60,"")</f>
        <v/>
      </c>
    </row>
    <row r="56" spans="1:3" x14ac:dyDescent="0.2">
      <c r="A56" s="958"/>
    </row>
    <row r="57" spans="1:3" x14ac:dyDescent="0.2">
      <c r="A57" s="131" t="s">
        <v>11</v>
      </c>
      <c r="B57" s="295">
        <f>+IF(B58="",Report!D21,Identification!B58)</f>
        <v>0</v>
      </c>
    </row>
    <row r="58" spans="1:3" x14ac:dyDescent="0.2">
      <c r="A58" s="131" t="s">
        <v>492</v>
      </c>
      <c r="B58" s="1054"/>
    </row>
    <row r="59" spans="1:3" x14ac:dyDescent="0.2">
      <c r="A59" s="131"/>
    </row>
    <row r="60" spans="1:3" x14ac:dyDescent="0.2">
      <c r="A60" s="131" t="s">
        <v>12</v>
      </c>
      <c r="B60" s="299">
        <v>2026</v>
      </c>
    </row>
    <row r="61" spans="1:3" x14ac:dyDescent="0.2">
      <c r="A61" s="131" t="s">
        <v>13</v>
      </c>
      <c r="B61" s="298">
        <v>46023</v>
      </c>
    </row>
    <row r="62" spans="1:3" x14ac:dyDescent="0.2">
      <c r="A62" s="131"/>
    </row>
    <row r="63" spans="1:3" x14ac:dyDescent="0.2">
      <c r="A63" s="131" t="s">
        <v>14</v>
      </c>
      <c r="B63" s="300">
        <f>+IF(B64="",Report!D22,Identification!B64)</f>
        <v>0</v>
      </c>
    </row>
    <row r="64" spans="1:3" x14ac:dyDescent="0.2">
      <c r="A64" s="131" t="s">
        <v>492</v>
      </c>
      <c r="B64" s="1059"/>
    </row>
    <row r="66" spans="1:2" hidden="1" x14ac:dyDescent="0.2">
      <c r="A66" s="131" t="s">
        <v>491</v>
      </c>
      <c r="B66" s="301" t="str">
        <f>IF(AND(B67="",Report!D23&lt;&gt;0,Report!D23&lt;&gt;""),Report!D23,IF(AND(B67="",OR(Report!D23=0,Report!D23="")),"NON",Identification!B67))</f>
        <v>NON</v>
      </c>
    </row>
    <row r="67" spans="1:2" hidden="1" x14ac:dyDescent="0.2">
      <c r="A67" s="131" t="s">
        <v>492</v>
      </c>
      <c r="B67" s="1057"/>
    </row>
    <row r="70" spans="1:2" x14ac:dyDescent="0.2">
      <c r="A70" s="1656" t="s">
        <v>461</v>
      </c>
      <c r="B70" s="1656"/>
    </row>
    <row r="71" spans="1:2" x14ac:dyDescent="0.2">
      <c r="A71" s="869">
        <f>+B61</f>
        <v>46023</v>
      </c>
      <c r="B71" s="993">
        <v>0.88200000000000001</v>
      </c>
    </row>
    <row r="72" spans="1:2" x14ac:dyDescent="0.2">
      <c r="A72" s="1060"/>
      <c r="B72" s="1061"/>
    </row>
    <row r="73" spans="1:2" x14ac:dyDescent="0.2">
      <c r="A73" s="1060"/>
      <c r="B73" s="1061"/>
    </row>
    <row r="74" spans="1:2" x14ac:dyDescent="0.2">
      <c r="A74" s="1060"/>
      <c r="B74" s="1061"/>
    </row>
    <row r="75" spans="1:2" x14ac:dyDescent="0.2">
      <c r="A75" s="958"/>
      <c r="B75" s="27"/>
    </row>
    <row r="77" spans="1:2" hidden="1" x14ac:dyDescent="0.2">
      <c r="A77" s="1655" t="s">
        <v>462</v>
      </c>
      <c r="B77" s="1655"/>
    </row>
    <row r="78" spans="1:2" hidden="1" x14ac:dyDescent="0.2">
      <c r="A78" s="869">
        <f>+B61</f>
        <v>46023</v>
      </c>
      <c r="B78" s="993">
        <v>0.76819999999999999</v>
      </c>
    </row>
    <row r="79" spans="1:2" hidden="1" x14ac:dyDescent="0.2">
      <c r="A79" s="1060"/>
      <c r="B79" s="1061"/>
    </row>
    <row r="80" spans="1:2" hidden="1" x14ac:dyDescent="0.2">
      <c r="A80" s="1060"/>
      <c r="B80" s="1061"/>
    </row>
    <row r="81" spans="1:2" hidden="1" x14ac:dyDescent="0.2">
      <c r="A81" s="1060"/>
      <c r="B81" s="1061"/>
    </row>
    <row r="82" spans="1:2" hidden="1" x14ac:dyDescent="0.2"/>
    <row r="83" spans="1:2" hidden="1" x14ac:dyDescent="0.2">
      <c r="A83" s="1655" t="s">
        <v>148</v>
      </c>
      <c r="B83" s="1655"/>
    </row>
    <row r="84" spans="1:2" hidden="1" x14ac:dyDescent="0.2">
      <c r="A84" s="869">
        <f>+B61</f>
        <v>46023</v>
      </c>
      <c r="B84" s="962">
        <v>1.2999999999999999E-2</v>
      </c>
    </row>
    <row r="85" spans="1:2" hidden="1" x14ac:dyDescent="0.2">
      <c r="A85" s="1060"/>
      <c r="B85" s="1062"/>
    </row>
    <row r="86" spans="1:2" hidden="1" x14ac:dyDescent="0.2">
      <c r="A86" s="1060"/>
      <c r="B86" s="1062"/>
    </row>
    <row r="87" spans="1:2" hidden="1" x14ac:dyDescent="0.2">
      <c r="A87" s="1060"/>
      <c r="B87" s="1062"/>
    </row>
    <row r="89" spans="1:2" x14ac:dyDescent="0.2">
      <c r="A89" s="1657" t="s">
        <v>1339</v>
      </c>
      <c r="B89" s="1657"/>
    </row>
    <row r="90" spans="1:2" x14ac:dyDescent="0.2">
      <c r="A90" s="995">
        <f>+A78</f>
        <v>46023</v>
      </c>
      <c r="B90" s="994">
        <v>3022</v>
      </c>
    </row>
    <row r="91" spans="1:2" x14ac:dyDescent="0.2">
      <c r="A91" s="1060"/>
      <c r="B91" s="1063"/>
    </row>
    <row r="92" spans="1:2" x14ac:dyDescent="0.2">
      <c r="A92" s="1060"/>
      <c r="B92" s="1063"/>
    </row>
    <row r="95" spans="1:2" x14ac:dyDescent="0.2">
      <c r="A95" s="1659" t="s">
        <v>624</v>
      </c>
      <c r="B95" s="1660">
        <f>+Janvier!CE5+Février!CE5+Mars!CE5+Avril!CE5+Mai!CE5+Juin!CE5+Juillet!CE5+Aout!CE5+Septembre!CE5+Octobre!CE5+Novembre!CE5+Décembre!CE5</f>
        <v>0</v>
      </c>
    </row>
    <row r="96" spans="1:2" x14ac:dyDescent="0.2">
      <c r="A96" s="1659"/>
      <c r="B96" s="1660"/>
    </row>
    <row r="99" spans="1:2" x14ac:dyDescent="0.2">
      <c r="A99" s="1662" t="s">
        <v>1035</v>
      </c>
      <c r="B99" s="1661">
        <f>+Janvier!CE8+Février!CE8+Mars!CE8+Avril!CE8+Mai!CE8+Juin!CE8+Juillet!CE8+Aout!CE8+Septembre!CE8+Octobre!CE8+Novembre!CE8+Décembre!CE8</f>
        <v>0</v>
      </c>
    </row>
    <row r="100" spans="1:2" x14ac:dyDescent="0.2">
      <c r="A100" s="1663"/>
      <c r="B100" s="1661"/>
    </row>
    <row r="102" spans="1:2" x14ac:dyDescent="0.2">
      <c r="A102" s="131" t="s">
        <v>1397</v>
      </c>
      <c r="B102" s="956" t="str">
        <f>IF(Janvier!CG3+Février!CG3+Mars!CG3+Avril!CG3+Mai!CG3+Juin!CG3+Juillet!CG3+Aout!CG3+Septembre!CG3+Octobre!CG3+Novembre!CG3+Décembre!CG3=S.CAL!FP1,S.CAL!FO1,IF(Janvier!CG3+Février!CG3+Mars!CG3+Avril!CG3+Mai!CG3+Juin!CG3+Juillet!CG3+Aout!CG3+Septembre!CG3+Octobre!CG3+Novembre!CG3+Décembre!CG3=S.CAL!FP2,S.CAL!FO2,IF(Janvier!CG3+Février!CG3+Mars!CG3+Avril!CG3+Mai!CG3+Juin!CG3+Juillet!CG3+Aout!CG3+Septembre!CG3+Octobre!CG3+Novembre!CG3+Décembre!CG3=S.CAL!FP3,S.CAL!FO3,"")))</f>
        <v/>
      </c>
    </row>
    <row r="105" spans="1:2" x14ac:dyDescent="0.2">
      <c r="A105" s="1658" t="s">
        <v>1201</v>
      </c>
      <c r="B105" s="1658"/>
    </row>
    <row r="106" spans="1:2" x14ac:dyDescent="0.2">
      <c r="A106" s="868" t="s">
        <v>1200</v>
      </c>
      <c r="B106" s="868" t="s">
        <v>42</v>
      </c>
    </row>
    <row r="107" spans="1:2" x14ac:dyDescent="0.2">
      <c r="A107" s="869">
        <f>+B61</f>
        <v>46023</v>
      </c>
      <c r="B107" s="996">
        <v>12.02</v>
      </c>
    </row>
    <row r="108" spans="1:2" x14ac:dyDescent="0.2">
      <c r="A108" s="1060"/>
      <c r="B108" s="1064"/>
    </row>
    <row r="109" spans="1:2" x14ac:dyDescent="0.2">
      <c r="A109" s="1060"/>
      <c r="B109" s="1064"/>
    </row>
    <row r="110" spans="1:2" x14ac:dyDescent="0.2">
      <c r="A110" s="1060"/>
      <c r="B110" s="1064"/>
    </row>
    <row r="111" spans="1:2" x14ac:dyDescent="0.2">
      <c r="A111" s="1060"/>
      <c r="B111" s="1064"/>
    </row>
    <row r="112" spans="1:2" x14ac:dyDescent="0.2">
      <c r="A112" s="1060"/>
      <c r="B112" s="1064"/>
    </row>
    <row r="113" spans="1:2" x14ac:dyDescent="0.2">
      <c r="A113" s="1060"/>
      <c r="B113" s="1064"/>
    </row>
    <row r="116" spans="1:2" x14ac:dyDescent="0.2">
      <c r="A116" s="198" t="s">
        <v>1238</v>
      </c>
    </row>
    <row r="117" spans="1:2" x14ac:dyDescent="0.2">
      <c r="A117" s="131" t="s">
        <v>1239</v>
      </c>
      <c r="B117" s="1065" t="s">
        <v>1241</v>
      </c>
    </row>
    <row r="120" spans="1:2" x14ac:dyDescent="0.2">
      <c r="A120" s="198" t="s">
        <v>1340</v>
      </c>
    </row>
    <row r="121" spans="1:2" x14ac:dyDescent="0.2">
      <c r="A121" s="895" t="s">
        <v>1341</v>
      </c>
      <c r="B121" s="1066">
        <v>0</v>
      </c>
    </row>
    <row r="122" spans="1:2" x14ac:dyDescent="0.2">
      <c r="A122" s="895" t="s">
        <v>1342</v>
      </c>
      <c r="B122" s="1066">
        <v>0</v>
      </c>
    </row>
    <row r="123" spans="1:2" x14ac:dyDescent="0.2">
      <c r="A123" s="895" t="s">
        <v>1343</v>
      </c>
      <c r="B123" s="1066">
        <v>0</v>
      </c>
    </row>
    <row r="124" spans="1:2" x14ac:dyDescent="0.2">
      <c r="A124" s="895" t="s">
        <v>1344</v>
      </c>
      <c r="B124" s="1066">
        <v>2</v>
      </c>
    </row>
    <row r="125" spans="1:2" x14ac:dyDescent="0.2">
      <c r="A125" s="895" t="s">
        <v>1345</v>
      </c>
      <c r="B125" s="1066" t="s">
        <v>1319</v>
      </c>
    </row>
    <row r="126" spans="1:2" x14ac:dyDescent="0.2">
      <c r="A126" s="895" t="s">
        <v>1346</v>
      </c>
      <c r="B126" s="1066" t="s">
        <v>1319</v>
      </c>
    </row>
    <row r="129" spans="1:2" x14ac:dyDescent="0.2">
      <c r="A129" s="198" t="s">
        <v>1685</v>
      </c>
    </row>
    <row r="130" spans="1:2" x14ac:dyDescent="0.2">
      <c r="A130" s="895" t="s">
        <v>1686</v>
      </c>
      <c r="B130" s="1584" t="s">
        <v>427</v>
      </c>
    </row>
    <row r="131" spans="1:2" x14ac:dyDescent="0.2">
      <c r="A131" s="895" t="s">
        <v>1687</v>
      </c>
      <c r="B131" s="1584" t="s">
        <v>427</v>
      </c>
    </row>
    <row r="132" spans="1:2" x14ac:dyDescent="0.2">
      <c r="A132" s="895" t="s">
        <v>1702</v>
      </c>
      <c r="B132" s="1584" t="s">
        <v>32</v>
      </c>
    </row>
    <row r="133" spans="1:2" x14ac:dyDescent="0.2">
      <c r="A133" s="895" t="s">
        <v>1712</v>
      </c>
      <c r="B133" s="1584" t="s">
        <v>32</v>
      </c>
    </row>
    <row r="135" spans="1:2" x14ac:dyDescent="0.2">
      <c r="A135" s="1654"/>
      <c r="B135" s="1654"/>
    </row>
    <row r="136" spans="1:2" x14ac:dyDescent="0.2">
      <c r="A136" s="958"/>
      <c r="B136" s="1639"/>
    </row>
    <row r="137" spans="1:2" x14ac:dyDescent="0.2">
      <c r="A137" s="1640"/>
      <c r="B137" s="1639"/>
    </row>
    <row r="138" spans="1:2" x14ac:dyDescent="0.2">
      <c r="A138" s="1640"/>
      <c r="B138" s="1639"/>
    </row>
    <row r="139" spans="1:2" x14ac:dyDescent="0.2">
      <c r="A139" s="1640"/>
      <c r="B139" s="1639"/>
    </row>
  </sheetData>
  <sheetProtection algorithmName="SHA-512" hashValue="oSFoPOfQkWwKPE81aiGX8PDB7hHb21/YkxTqg5Ixx+kAyCxYB7PLId/L1gb93t4BUD5IWxg/R92ttUAevphrPw==" saltValue="S+AYMtjgxl1JyLQJMs7fCA==" spinCount="100000" sheet="1" objects="1" scenarios="1" formatCells="0" formatColumns="0" formatRows="0" insertColumns="0" insertRows="0" insertHyperlinks="0" sort="0" autoFilter="0" pivotTables="0"/>
  <mergeCells count="10">
    <mergeCell ref="A135:B135"/>
    <mergeCell ref="A77:B77"/>
    <mergeCell ref="A70:B70"/>
    <mergeCell ref="A89:B89"/>
    <mergeCell ref="A83:B83"/>
    <mergeCell ref="A105:B105"/>
    <mergeCell ref="A95:A96"/>
    <mergeCell ref="B95:B96"/>
    <mergeCell ref="B99:B100"/>
    <mergeCell ref="A99:A100"/>
  </mergeCells>
  <conditionalFormatting sqref="A108:A113">
    <cfRule type="expression" dxfId="3429" priority="3">
      <formula>B108=""</formula>
    </cfRule>
    <cfRule type="cellIs" dxfId="3428" priority="4" operator="between">
      <formula>1</formula>
      <formula>A107</formula>
    </cfRule>
  </conditionalFormatting>
  <conditionalFormatting sqref="B3">
    <cfRule type="expression" dxfId="3427" priority="45">
      <formula>$B$3=""</formula>
    </cfRule>
  </conditionalFormatting>
  <conditionalFormatting sqref="B8">
    <cfRule type="notContainsBlanks" dxfId="3426" priority="154">
      <formula>LEN(TRIM(B8))&gt;0</formula>
    </cfRule>
  </conditionalFormatting>
  <conditionalFormatting sqref="B11 B14 B17 B20 B23 B26 B29 B35 B38 B41 B44 B47 B58 B64 B67">
    <cfRule type="notContainsBlanks" dxfId="3425" priority="155">
      <formula>LEN(TRIM(B11))&gt;0</formula>
    </cfRule>
  </conditionalFormatting>
  <conditionalFormatting sqref="B28">
    <cfRule type="cellIs" dxfId="3424" priority="36" operator="equal">
      <formula>0</formula>
    </cfRule>
  </conditionalFormatting>
  <conditionalFormatting sqref="B50">
    <cfRule type="notContainsBlanks" dxfId="3423" priority="27">
      <formula>LEN(TRIM(B50))&gt;0</formula>
    </cfRule>
  </conditionalFormatting>
  <conditionalFormatting sqref="B53">
    <cfRule type="notContainsBlanks" dxfId="3422" priority="25">
      <formula>LEN(TRIM(B53))&gt;0</formula>
    </cfRule>
  </conditionalFormatting>
  <conditionalFormatting sqref="B55">
    <cfRule type="expression" dxfId="3421" priority="18">
      <formula>AND(DATE(YEAR(B61),4,30)&lt;$B$28,$B$55&lt;&gt;0)</formula>
    </cfRule>
    <cfRule type="containsText" dxfId="3420" priority="21" operator="containsText" text="e">
      <formula>NOT(ISERROR(SEARCH("e",B55)))</formula>
    </cfRule>
  </conditionalFormatting>
  <conditionalFormatting sqref="B66">
    <cfRule type="cellIs" dxfId="3419" priority="44" operator="equal">
      <formula>0</formula>
    </cfRule>
  </conditionalFormatting>
  <conditionalFormatting sqref="B125:B126">
    <cfRule type="containsBlanks" dxfId="3418" priority="19">
      <formula>LEN(TRIM(B125))=0</formula>
    </cfRule>
  </conditionalFormatting>
  <conditionalFormatting sqref="B130:B133">
    <cfRule type="containsBlanks" dxfId="3417" priority="1">
      <formula>LEN(TRIM(B130))=0</formula>
    </cfRule>
  </conditionalFormatting>
  <dataValidations count="7">
    <dataValidation type="list" allowBlank="1" showInputMessage="1" showErrorMessage="1" sqref="B67 B53" xr:uid="{00000000-0002-0000-0400-000000000000}">
      <formula1>"OUI,NON"</formula1>
    </dataValidation>
    <dataValidation type="list" showInputMessage="1" showErrorMessage="1" errorTitle="Faire choix obligatoire" error="Choisir soit la méthode 1 ou soit la méthode 2" promptTitle="choix" prompt="Merci de choisir la méthode 1 ou la méthode 2 (obligatoire) en cliquant sur la petite flèche de la cellule en bas à droite" sqref="B3" xr:uid="{00000000-0002-0000-0400-000001000000}">
      <formula1>Base_methode_HS</formula1>
    </dataValidation>
    <dataValidation type="list" showInputMessage="1" sqref="B58" xr:uid="{00000000-0002-0000-0400-000002000000}">
      <formula1>"Assistante Maternelle,Assistant Maternel"</formula1>
    </dataValidation>
    <dataValidation type="list" allowBlank="1" showInputMessage="1" sqref="B23" xr:uid="{00000000-0002-0000-0400-000003000000}">
      <formula1>"Le Puy-en-Velay"</formula1>
    </dataValidation>
    <dataValidation type="list" allowBlank="1" showInputMessage="1" showErrorMessage="1" sqref="B121:B124" xr:uid="{00000000-0002-0000-0400-000004000000}">
      <formula1>"0,1,2,3"</formula1>
    </dataValidation>
    <dataValidation type="list" showInputMessage="1" showErrorMessage="1" sqref="B125:B126" xr:uid="{00000000-0002-0000-0400-000005000000}">
      <formula1>"Net,Brut"</formula1>
    </dataValidation>
    <dataValidation type="list" showInputMessage="1" showErrorMessage="1" sqref="B130:B133" xr:uid="{85744195-A9B9-41F4-93E5-0FB20EA2E3AB}">
      <formula1>"Oui,Non"</formula1>
    </dataValidation>
  </dataValidations>
  <pageMargins left="0.78749999999999998" right="0.78749999999999998"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6000000}">
          <x14:formula1>
            <xm:f>S.CAL!$EP$1:$EP$2</xm:f>
          </x14:formula1>
          <xm:sqref>B117</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+Avril!DP4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+Avril!AR13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+Avril!AI3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+Avril!I14</f>
        <v>0</v>
      </c>
      <c r="F10" s="149"/>
      <c r="G10" s="149"/>
      <c r="H10" s="149"/>
      <c r="I10" s="149"/>
      <c r="J10" s="149"/>
      <c r="K10" s="149"/>
      <c r="L10" s="149"/>
      <c r="P10" s="29" t="s">
        <v>1441</v>
      </c>
      <c r="Q10" s="338">
        <f>+Avril!P18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+Avril!T18+Avril!T19</f>
        <v>0</v>
      </c>
      <c r="BI10" s="29" t="s">
        <v>1449</v>
      </c>
      <c r="BJ10" s="338">
        <f>+Avril!AL14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+Avril!U14</f>
        <v>0</v>
      </c>
      <c r="F11" s="149"/>
      <c r="G11" s="149"/>
      <c r="H11" s="149"/>
      <c r="I11" s="149"/>
      <c r="J11" s="149"/>
      <c r="K11" s="149"/>
      <c r="L11" s="149"/>
      <c r="M11" s="1179"/>
      <c r="N11" s="181"/>
      <c r="O11" s="1180"/>
      <c r="P11" s="181" t="s">
        <v>1104</v>
      </c>
      <c r="Q11" s="1181">
        <f>+Avril!P19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+BJ10*(1+Avril!N15)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+Avril!X3</f>
        <v>46113</v>
      </c>
      <c r="M13" s="152"/>
      <c r="N13" s="153">
        <f>DATE(YEAR($D$13),MONTH($D$13)+1,DAY($D$13))</f>
        <v>46143</v>
      </c>
      <c r="O13" s="154">
        <f>N13</f>
        <v>46143</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46113</v>
      </c>
      <c r="BF13" s="152"/>
      <c r="BG13" s="153">
        <f>DATE(YEAR($D$13),MONTH($D$13)+1,DAY($D$13))</f>
        <v>46143</v>
      </c>
      <c r="BH13" s="154">
        <f>BG13</f>
        <v>46143</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46143</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46113</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46113</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46113</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+Avril!BJ20</f>
        <v>Fiche infoA3</v>
      </c>
      <c r="B18" s="168">
        <f>+D13</f>
        <v>46113</v>
      </c>
      <c r="C18" s="169">
        <f>+$D$13</f>
        <v>46113</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Avril!BC20</f>
        <v>0</v>
      </c>
      <c r="J18" s="34">
        <f>Avril!BE20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infoA3</v>
      </c>
      <c r="BB18" s="168">
        <f>+BD13</f>
        <v>46113</v>
      </c>
      <c r="BC18" s="169">
        <f>+$D$13</f>
        <v>46113</v>
      </c>
      <c r="BD18" s="171" t="str">
        <f>+D18</f>
        <v/>
      </c>
      <c r="BE18" s="335" t="str">
        <f>+IF(OR(BF18=S.CAL!$BJ$3,BF18=S.CAL!$BJ$4),BD18,"")</f>
        <v/>
      </c>
      <c r="BF18" s="332">
        <f>IF($DY$5=S.CAL!$CU$2,Avril!AR20,IF($DY$5=S.CAL!$CU$3,VLOOKUP(BC18,planning_fp,7,FALSE),""))</f>
        <v>0</v>
      </c>
      <c r="BG18" s="344" t="str">
        <f>Avril!BL20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46113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IF(+Avril!AG20="",0,Avril!AG20)</f>
        <v>0</v>
      </c>
      <c r="DZ18" s="16">
        <f>+IF(Avril!AJ20="",0,Avril!AJ20)</f>
        <v>0</v>
      </c>
      <c r="EA18" s="16">
        <f>+IF(Avril!AM20="",0,Avril!AM20)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46113</v>
      </c>
      <c r="EM18" s="16" t="str">
        <f>A18&amp;C18</f>
        <v>Fiche infoA346113</v>
      </c>
      <c r="EN18" s="16">
        <f t="shared" ref="EN18:EN48" si="20">+VLOOKUP(EM18,Base_feuille_présence_heure_potentiel,11,FALSE)</f>
        <v>0</v>
      </c>
      <c r="EQ18" s="16" t="str">
        <f>Avril!FS20</f>
        <v/>
      </c>
    </row>
    <row r="19" spans="1:147" ht="18" customHeight="1" x14ac:dyDescent="0.2">
      <c r="A19" s="24" t="str">
        <f>+Avril!BJ21</f>
        <v>Fiche infoA4</v>
      </c>
      <c r="B19" s="107">
        <f>C19</f>
        <v>46114</v>
      </c>
      <c r="C19" s="170">
        <f>+$D$13+1</f>
        <v>46114</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Avril!BC21</f>
        <v>0</v>
      </c>
      <c r="J19" s="34">
        <f>Avril!BE21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infoA4</v>
      </c>
      <c r="BB19" s="107">
        <f>BC19</f>
        <v>46114</v>
      </c>
      <c r="BC19" s="170">
        <f>+$D$13+1</f>
        <v>46114</v>
      </c>
      <c r="BD19" s="171" t="str">
        <f>+D19</f>
        <v/>
      </c>
      <c r="BE19" s="171" t="str">
        <f>+IF(OR(BF19=S.CAL!$BJ$3,BF19=S.CAL!$BJ$4),BD19,"")</f>
        <v/>
      </c>
      <c r="BF19" s="333">
        <f>IF($DY$5=S.CAL!$CU$2,Avril!AR21,IF($DY$5=S.CAL!$CU$3,VLOOKUP(BC19,planning_fp,7,FALSE),""))</f>
        <v>0</v>
      </c>
      <c r="BG19" s="345" t="str">
        <f>Avril!BL21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46114</v>
      </c>
      <c r="CF19" s="170">
        <f>+$D$13+1</f>
        <v>46114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IF(+Avril!AG21="",0,Avril!AG21)</f>
        <v>0</v>
      </c>
      <c r="DZ19" s="16">
        <f>+IF(Avril!AJ21="",0,Avril!AJ21)</f>
        <v>0</v>
      </c>
      <c r="EA19" s="16">
        <f>+IF(Avril!AM21="",0,Avril!AM21)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46114</v>
      </c>
      <c r="EM19" s="16" t="str">
        <f t="shared" ref="EM19:EM48" si="29">A19&amp;C19</f>
        <v>Fiche infoA446114</v>
      </c>
      <c r="EN19" s="16">
        <f t="shared" si="20"/>
        <v>0</v>
      </c>
      <c r="EQ19" s="16" t="str">
        <f>Avril!FS21</f>
        <v/>
      </c>
    </row>
    <row r="20" spans="1:147" ht="18" customHeight="1" x14ac:dyDescent="0.2">
      <c r="A20" s="24" t="str">
        <f>+Avril!BJ22</f>
        <v>Fiche infoA5</v>
      </c>
      <c r="B20" s="107">
        <f t="shared" ref="B20:B48" si="30">C20</f>
        <v>46115</v>
      </c>
      <c r="C20" s="170">
        <f>+$D$13+2</f>
        <v>46115</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Avril!BC22</f>
        <v>0</v>
      </c>
      <c r="J20" s="34">
        <f>Avril!BE22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infoA5</v>
      </c>
      <c r="BB20" s="107">
        <f t="shared" ref="BB20:BB48" si="31">BC20</f>
        <v>46115</v>
      </c>
      <c r="BC20" s="170">
        <f>+$D$13+2</f>
        <v>46115</v>
      </c>
      <c r="BD20" s="171" t="str">
        <f t="shared" ref="BD20:BD48" si="32">+D20</f>
        <v/>
      </c>
      <c r="BE20" s="171" t="str">
        <f>+IF(OR(BF20=S.CAL!$BJ$3,BF20=S.CAL!$BJ$4),BD20,"")</f>
        <v/>
      </c>
      <c r="BF20" s="333">
        <f>IF($DY$5=S.CAL!$CU$2,Avril!AR22,IF($DY$5=S.CAL!$CU$3,VLOOKUP(BC20,planning_fp,7,FALSE),""))</f>
        <v>0</v>
      </c>
      <c r="BG20" s="345" t="str">
        <f>Avril!BL22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46115</v>
      </c>
      <c r="CF20" s="170">
        <f>+$D$13+2</f>
        <v>46115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IF(+Avril!AG22="",0,Avril!AG22)</f>
        <v>0</v>
      </c>
      <c r="DZ20" s="16">
        <f>+IF(Avril!AJ22="",0,Avril!AJ22)</f>
        <v>0</v>
      </c>
      <c r="EA20" s="16">
        <f>+IF(Avril!AM22="",0,Avril!AM22)</f>
        <v>0</v>
      </c>
      <c r="EB20" s="16">
        <f t="shared" si="25"/>
        <v>0</v>
      </c>
      <c r="ED20" s="16">
        <f t="shared" si="26"/>
        <v>0</v>
      </c>
      <c r="EE20" s="16">
        <f t="shared" si="17"/>
        <v>0</v>
      </c>
      <c r="EF20" s="30" t="str">
        <f t="shared" si="18"/>
        <v/>
      </c>
      <c r="EG20" s="30" t="str">
        <f t="shared" si="27"/>
        <v/>
      </c>
      <c r="EH20" s="16">
        <f t="shared" si="28"/>
        <v>0</v>
      </c>
      <c r="EI20" s="30"/>
      <c r="EJ20" s="30">
        <f t="shared" si="19"/>
        <v>46115</v>
      </c>
      <c r="EM20" s="16" t="str">
        <f t="shared" si="29"/>
        <v>Fiche infoA546115</v>
      </c>
      <c r="EN20" s="16">
        <f t="shared" si="20"/>
        <v>0</v>
      </c>
      <c r="EQ20" s="16" t="str">
        <f>Avril!FS22</f>
        <v/>
      </c>
    </row>
    <row r="21" spans="1:147" ht="18" customHeight="1" x14ac:dyDescent="0.2">
      <c r="A21" s="24" t="str">
        <f>+Avril!BJ23</f>
        <v>Fiche infoA6</v>
      </c>
      <c r="B21" s="107">
        <f t="shared" si="30"/>
        <v>46116</v>
      </c>
      <c r="C21" s="170">
        <f>+$D$13+3</f>
        <v>46116</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Avril!BC23</f>
        <v>0</v>
      </c>
      <c r="J21" s="34">
        <f>Avril!BE23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infoA6</v>
      </c>
      <c r="BB21" s="107">
        <f t="shared" si="31"/>
        <v>46116</v>
      </c>
      <c r="BC21" s="170">
        <f>+$D$13+3</f>
        <v>46116</v>
      </c>
      <c r="BD21" s="171" t="str">
        <f t="shared" si="32"/>
        <v/>
      </c>
      <c r="BE21" s="171" t="str">
        <f>+IF(OR(BF21=S.CAL!$BJ$3,BF21=S.CAL!$BJ$4),BD21,"")</f>
        <v/>
      </c>
      <c r="BF21" s="333">
        <f>IF($DY$5=S.CAL!$CU$2,Avril!AR23,IF($DY$5=S.CAL!$CU$3,VLOOKUP(BC21,planning_fp,7,FALSE),""))</f>
        <v>0</v>
      </c>
      <c r="BG21" s="345" t="str">
        <f>Avril!BL23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46116</v>
      </c>
      <c r="CF21" s="170">
        <f>+$D$13+3</f>
        <v>46116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IF(+Avril!AG23="",0,Avril!AG23)</f>
        <v>0</v>
      </c>
      <c r="DZ21" s="16">
        <f>+IF(Avril!AJ23="",0,Avril!AJ23)</f>
        <v>0</v>
      </c>
      <c r="EA21" s="16">
        <f>+IF(Avril!AM23="",0,Avril!AM23)</f>
        <v>0</v>
      </c>
      <c r="EB21" s="16">
        <f t="shared" si="25"/>
        <v>0</v>
      </c>
      <c r="ED21" s="16">
        <f t="shared" si="26"/>
        <v>0</v>
      </c>
      <c r="EE21" s="16">
        <f t="shared" si="17"/>
        <v>0</v>
      </c>
      <c r="EF21" s="30" t="str">
        <f t="shared" si="18"/>
        <v/>
      </c>
      <c r="EG21" s="30" t="str">
        <f t="shared" si="27"/>
        <v/>
      </c>
      <c r="EH21" s="16">
        <f t="shared" si="28"/>
        <v>0</v>
      </c>
      <c r="EI21" s="30"/>
      <c r="EJ21" s="30">
        <f t="shared" si="19"/>
        <v>46116</v>
      </c>
      <c r="EM21" s="16" t="str">
        <f t="shared" si="29"/>
        <v>Fiche infoA646116</v>
      </c>
      <c r="EN21" s="16">
        <f t="shared" si="20"/>
        <v>0</v>
      </c>
      <c r="EQ21" s="16" t="str">
        <f>Avril!FS23</f>
        <v/>
      </c>
    </row>
    <row r="22" spans="1:147" ht="18" customHeight="1" x14ac:dyDescent="0.25">
      <c r="A22" s="24" t="str">
        <f>+Avril!BJ24</f>
        <v>Fiche infoA7</v>
      </c>
      <c r="B22" s="107">
        <f t="shared" si="30"/>
        <v>46117</v>
      </c>
      <c r="C22" s="170">
        <f>+$D$13+4</f>
        <v>46117</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Avril!BC24</f>
        <v>0</v>
      </c>
      <c r="J22" s="34">
        <f>Avril!BE24</f>
        <v>0</v>
      </c>
      <c r="K22" s="34">
        <f t="shared" si="15"/>
        <v>0</v>
      </c>
      <c r="L22" s="34" t="str">
        <f t="shared" si="21"/>
        <v/>
      </c>
      <c r="O22" s="19"/>
      <c r="AK22" s="1189" t="s">
        <v>37</v>
      </c>
      <c r="AL22" s="1318">
        <f>+Avril!AL14</f>
        <v>0</v>
      </c>
      <c r="BA22" s="331" t="str">
        <f t="shared" si="16"/>
        <v>Fiche infoA7</v>
      </c>
      <c r="BB22" s="107">
        <f t="shared" si="31"/>
        <v>46117</v>
      </c>
      <c r="BC22" s="170">
        <f>+$D$13+4</f>
        <v>46117</v>
      </c>
      <c r="BD22" s="171" t="str">
        <f t="shared" si="32"/>
        <v/>
      </c>
      <c r="BE22" s="171" t="str">
        <f>+IF(OR(BF22=S.CAL!$BJ$3,BF22=S.CAL!$BJ$4),BD22,"")</f>
        <v/>
      </c>
      <c r="BF22" s="333">
        <f>IF($DY$5=S.CAL!$CU$2,Avril!AR24,IF($DY$5=S.CAL!$CU$3,VLOOKUP(BC22,planning_fp,7,FALSE),""))</f>
        <v>0</v>
      </c>
      <c r="BG22" s="345" t="str">
        <f>Avril!BL24</f>
        <v>A</v>
      </c>
      <c r="BH22" s="148"/>
      <c r="BL22" s="144"/>
      <c r="BM22" s="195"/>
      <c r="CD22" s="328"/>
      <c r="CE22" s="107">
        <f t="shared" si="33"/>
        <v>46117</v>
      </c>
      <c r="CF22" s="170">
        <f>+$D$13+4</f>
        <v>46117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IF(+Avril!AG24="",0,Avril!AG24)</f>
        <v>0</v>
      </c>
      <c r="DZ22" s="16">
        <f>+IF(Avril!AJ24="",0,Avril!AJ24)</f>
        <v>0</v>
      </c>
      <c r="EA22" s="16">
        <f>+IF(Avril!AM24="",0,Avril!AM24)</f>
        <v>0</v>
      </c>
      <c r="EB22" s="16">
        <f t="shared" si="25"/>
        <v>0</v>
      </c>
      <c r="ED22" s="16">
        <f t="shared" si="26"/>
        <v>0</v>
      </c>
      <c r="EE22" s="16">
        <f t="shared" si="17"/>
        <v>0</v>
      </c>
      <c r="EF22" s="30" t="str">
        <f t="shared" si="18"/>
        <v/>
      </c>
      <c r="EG22" s="30" t="str">
        <f t="shared" si="27"/>
        <v/>
      </c>
      <c r="EH22" s="16">
        <f t="shared" si="28"/>
        <v>0</v>
      </c>
      <c r="EI22" s="30"/>
      <c r="EJ22" s="30">
        <f t="shared" si="19"/>
        <v>46117</v>
      </c>
      <c r="EM22" s="16" t="str">
        <f t="shared" si="29"/>
        <v>Fiche infoA746117</v>
      </c>
      <c r="EN22" s="16">
        <f t="shared" si="20"/>
        <v>0</v>
      </c>
      <c r="EQ22" s="16" t="str">
        <f>Avril!FS24</f>
        <v/>
      </c>
    </row>
    <row r="23" spans="1:147" ht="18" customHeight="1" x14ac:dyDescent="0.2">
      <c r="A23" s="24" t="str">
        <f>+Avril!BJ25</f>
        <v>Fiche infoA1</v>
      </c>
      <c r="B23" s="107">
        <f t="shared" si="30"/>
        <v>46118</v>
      </c>
      <c r="C23" s="170">
        <f>+$D$13+5</f>
        <v>46118</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Avril!BC25</f>
        <v>0</v>
      </c>
      <c r="J23" s="34">
        <f>Avril!BE25</f>
        <v>0</v>
      </c>
      <c r="K23" s="34">
        <f t="shared" si="15"/>
        <v>0</v>
      </c>
      <c r="L23" s="34" t="str">
        <f t="shared" si="21"/>
        <v/>
      </c>
      <c r="O23" s="39" t="str">
        <f>+O21</f>
        <v xml:space="preserve">Retenue sur salaire = </v>
      </c>
      <c r="P23" s="671">
        <f>+P30+P33</f>
        <v>0</v>
      </c>
      <c r="T23" s="563" t="s">
        <v>1107</v>
      </c>
      <c r="Z23" s="563" t="s">
        <v>1107</v>
      </c>
      <c r="BA23" s="331" t="str">
        <f t="shared" si="16"/>
        <v>Fiche infoA1</v>
      </c>
      <c r="BB23" s="107">
        <f t="shared" si="31"/>
        <v>46118</v>
      </c>
      <c r="BC23" s="170">
        <f>+$D$13+5</f>
        <v>46118</v>
      </c>
      <c r="BD23" s="171" t="str">
        <f t="shared" si="32"/>
        <v/>
      </c>
      <c r="BE23" s="171" t="str">
        <f>+IF(OR(BF23=S.CAL!$BJ$3,BF23=S.CAL!$BJ$4),BD23,"")</f>
        <v/>
      </c>
      <c r="BF23" s="333">
        <f>IF($DY$5=S.CAL!$CU$2,Avril!AR25,IF($DY$5=S.CAL!$CU$3,VLOOKUP(BC23,planning_fp,7,FALSE),""))</f>
        <v>0</v>
      </c>
      <c r="BG23" s="345" t="str">
        <f>Avril!BL25</f>
        <v>A</v>
      </c>
      <c r="BH23" s="29"/>
      <c r="BI23" s="336"/>
      <c r="BL23" s="147"/>
      <c r="CD23" s="328"/>
      <c r="CE23" s="107">
        <f t="shared" si="33"/>
        <v>46118</v>
      </c>
      <c r="CF23" s="170">
        <f>+$D$13+5</f>
        <v>46118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IF(+Avril!AG25="",0,Avril!AG25)</f>
        <v>0</v>
      </c>
      <c r="DZ23" s="16">
        <f>+IF(Avril!AJ25="",0,Avril!AJ25)</f>
        <v>0</v>
      </c>
      <c r="EA23" s="16">
        <f>+IF(Avril!AM25="",0,Avril!AM25)</f>
        <v>0</v>
      </c>
      <c r="EB23" s="16">
        <f t="shared" si="25"/>
        <v>0</v>
      </c>
      <c r="ED23" s="16">
        <f t="shared" si="26"/>
        <v>0</v>
      </c>
      <c r="EE23" s="16">
        <f t="shared" si="17"/>
        <v>0</v>
      </c>
      <c r="EF23" s="30" t="str">
        <f t="shared" si="18"/>
        <v/>
      </c>
      <c r="EG23" s="30" t="str">
        <f t="shared" si="27"/>
        <v/>
      </c>
      <c r="EH23" s="16">
        <f t="shared" si="28"/>
        <v>0</v>
      </c>
      <c r="EI23" s="30"/>
      <c r="EJ23" s="30">
        <f t="shared" si="19"/>
        <v>46118</v>
      </c>
      <c r="EM23" s="16" t="str">
        <f t="shared" si="29"/>
        <v>Fiche infoA146118</v>
      </c>
      <c r="EN23" s="16">
        <f t="shared" si="20"/>
        <v>0</v>
      </c>
      <c r="EQ23" s="16" t="str">
        <f>Avril!FS25</f>
        <v/>
      </c>
    </row>
    <row r="24" spans="1:147" ht="18" customHeight="1" x14ac:dyDescent="0.2">
      <c r="A24" s="24" t="str">
        <f>+Avril!BJ26</f>
        <v>Fiche infoA2</v>
      </c>
      <c r="B24" s="107">
        <f t="shared" si="30"/>
        <v>46119</v>
      </c>
      <c r="C24" s="170">
        <f>+$D$13+6</f>
        <v>46119</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Avril!BC26</f>
        <v>0</v>
      </c>
      <c r="J24" s="34">
        <f>Avril!BE26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infoA2</v>
      </c>
      <c r="BB24" s="107">
        <f t="shared" si="31"/>
        <v>46119</v>
      </c>
      <c r="BC24" s="170">
        <f>+$D$13+6</f>
        <v>46119</v>
      </c>
      <c r="BD24" s="171" t="str">
        <f t="shared" si="32"/>
        <v/>
      </c>
      <c r="BE24" s="171" t="str">
        <f>+IF(OR(BF24=S.CAL!$BJ$3,BF24=S.CAL!$BJ$4),BD24,"")</f>
        <v/>
      </c>
      <c r="BF24" s="333">
        <f>IF($DY$5=S.CAL!$CU$2,Avril!AR26,IF($DY$5=S.CAL!$CU$3,VLOOKUP(BC24,planning_fp,7,FALSE),""))</f>
        <v>0</v>
      </c>
      <c r="BG24" s="345" t="str">
        <f>Avril!BL26</f>
        <v>A</v>
      </c>
      <c r="BL24" s="35"/>
      <c r="BM24" s="195"/>
      <c r="BO24" s="29"/>
      <c r="BP24" s="182"/>
      <c r="BR24" s="16" t="s">
        <v>746</v>
      </c>
      <c r="BV24" s="355"/>
      <c r="BW24" s="355"/>
      <c r="BX24" s="355"/>
      <c r="BY24" s="355" t="s">
        <v>696</v>
      </c>
      <c r="BZ24" s="355"/>
      <c r="CA24" s="355"/>
      <c r="CB24" s="355"/>
      <c r="CD24" s="328"/>
      <c r="CE24" s="107">
        <f t="shared" si="33"/>
        <v>46119</v>
      </c>
      <c r="CF24" s="170">
        <f>+$D$13+6</f>
        <v>46119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IF(+Avril!AG26="",0,Avril!AG26)</f>
        <v>0</v>
      </c>
      <c r="DZ24" s="16">
        <f>+IF(Avril!AJ26="",0,Avril!AJ26)</f>
        <v>0</v>
      </c>
      <c r="EA24" s="16">
        <f>+IF(Avril!AM26="",0,Avril!AM26)</f>
        <v>0</v>
      </c>
      <c r="EB24" s="16">
        <f t="shared" si="25"/>
        <v>0</v>
      </c>
      <c r="ED24" s="16">
        <f t="shared" si="26"/>
        <v>0</v>
      </c>
      <c r="EE24" s="16">
        <f t="shared" si="17"/>
        <v>0</v>
      </c>
      <c r="EF24" s="30" t="str">
        <f t="shared" si="18"/>
        <v/>
      </c>
      <c r="EG24" s="30" t="str">
        <f t="shared" si="27"/>
        <v/>
      </c>
      <c r="EH24" s="16">
        <f t="shared" si="28"/>
        <v>0</v>
      </c>
      <c r="EI24" s="30"/>
      <c r="EJ24" s="30">
        <f t="shared" si="19"/>
        <v>46119</v>
      </c>
      <c r="EM24" s="16" t="str">
        <f t="shared" si="29"/>
        <v>Fiche infoA246119</v>
      </c>
      <c r="EN24" s="16">
        <f t="shared" si="20"/>
        <v>0</v>
      </c>
      <c r="EQ24" s="16" t="str">
        <f>Avril!FS26</f>
        <v/>
      </c>
    </row>
    <row r="25" spans="1:147" ht="18" customHeight="1" x14ac:dyDescent="0.2">
      <c r="A25" s="24" t="str">
        <f>+Avril!BJ27</f>
        <v>Fiche infoA3</v>
      </c>
      <c r="B25" s="107">
        <f t="shared" si="30"/>
        <v>46120</v>
      </c>
      <c r="C25" s="170">
        <f>+$D$13+7</f>
        <v>46120</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Avril!BC27</f>
        <v>0</v>
      </c>
      <c r="J25" s="34">
        <f>Avril!BE27</f>
        <v>0</v>
      </c>
      <c r="K25" s="34">
        <f t="shared" si="15"/>
        <v>0</v>
      </c>
      <c r="L25" s="34" t="str">
        <f t="shared" si="21"/>
        <v/>
      </c>
      <c r="AK25" s="1189" t="s">
        <v>320</v>
      </c>
      <c r="AL25" s="1313">
        <f>+IF(AL22,AL24/AL22,0)</f>
        <v>0</v>
      </c>
      <c r="BA25" s="331" t="str">
        <f t="shared" si="16"/>
        <v>Fiche infoA3</v>
      </c>
      <c r="BB25" s="107">
        <f t="shared" si="31"/>
        <v>46120</v>
      </c>
      <c r="BC25" s="170">
        <f>+$D$13+7</f>
        <v>46120</v>
      </c>
      <c r="BD25" s="171" t="str">
        <f t="shared" si="32"/>
        <v/>
      </c>
      <c r="BE25" s="171" t="str">
        <f>+IF(OR(BF25=S.CAL!$BJ$3,BF25=S.CAL!$BJ$4),BD25,"")</f>
        <v/>
      </c>
      <c r="BF25" s="333">
        <f>IF($DY$5=S.CAL!$CU$2,Avril!AR27,IF($DY$5=S.CAL!$CU$3,VLOOKUP(BC25,planning_fp,7,FALSE),""))</f>
        <v>0</v>
      </c>
      <c r="BG25" s="345" t="str">
        <f>Avril!BL27</f>
        <v>A</v>
      </c>
      <c r="BH25" s="148"/>
      <c r="BL25" s="35"/>
      <c r="BO25" s="29"/>
      <c r="BP25" s="182"/>
      <c r="BV25" s="355"/>
      <c r="BW25" s="355"/>
      <c r="BX25" s="355"/>
      <c r="BY25" s="355"/>
      <c r="BZ25" s="355"/>
      <c r="CA25" s="355"/>
      <c r="CB25" s="355"/>
      <c r="CD25" s="328"/>
      <c r="CE25" s="107">
        <f t="shared" si="33"/>
        <v>46120</v>
      </c>
      <c r="CF25" s="170">
        <f>+$D$13+7</f>
        <v>46120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IF(+Avril!AG27="",0,Avril!AG27)</f>
        <v>0</v>
      </c>
      <c r="DZ25" s="16">
        <f>+IF(Avril!AJ27="",0,Avril!AJ27)</f>
        <v>0</v>
      </c>
      <c r="EA25" s="16">
        <f>+IF(Avril!AM27="",0,Avril!AM27)</f>
        <v>0</v>
      </c>
      <c r="EB25" s="16">
        <f t="shared" si="25"/>
        <v>0</v>
      </c>
      <c r="ED25" s="16">
        <f t="shared" si="26"/>
        <v>0</v>
      </c>
      <c r="EE25" s="16">
        <f t="shared" si="17"/>
        <v>0</v>
      </c>
      <c r="EF25" s="30" t="str">
        <f t="shared" si="18"/>
        <v/>
      </c>
      <c r="EG25" s="30" t="str">
        <f t="shared" si="27"/>
        <v/>
      </c>
      <c r="EH25" s="16">
        <f t="shared" si="28"/>
        <v>0</v>
      </c>
      <c r="EI25" s="30"/>
      <c r="EJ25" s="30">
        <f t="shared" si="19"/>
        <v>46120</v>
      </c>
      <c r="EM25" s="16" t="str">
        <f t="shared" si="29"/>
        <v>Fiche infoA346120</v>
      </c>
      <c r="EN25" s="16">
        <f t="shared" si="20"/>
        <v>0</v>
      </c>
      <c r="EQ25" s="16" t="str">
        <f>Avril!FS27</f>
        <v/>
      </c>
    </row>
    <row r="26" spans="1:147" ht="18" customHeight="1" x14ac:dyDescent="0.2">
      <c r="A26" s="24" t="str">
        <f>+Avril!BJ28</f>
        <v>Fiche infoA4</v>
      </c>
      <c r="B26" s="107">
        <f t="shared" si="30"/>
        <v>46121</v>
      </c>
      <c r="C26" s="170">
        <f>+$D$13+8</f>
        <v>46121</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Avril!BC28</f>
        <v>0</v>
      </c>
      <c r="J26" s="34">
        <f>Avril!BE28</f>
        <v>0</v>
      </c>
      <c r="K26" s="34">
        <f t="shared" si="15"/>
        <v>0</v>
      </c>
      <c r="L26" s="34" t="str">
        <f t="shared" si="21"/>
        <v/>
      </c>
      <c r="O26" s="16" t="s">
        <v>1197</v>
      </c>
      <c r="AK26" s="1189" t="s">
        <v>321</v>
      </c>
      <c r="AL26" s="1313">
        <f>IF(AS21,SUM(AT13:AT20)/AS21,0)</f>
        <v>0</v>
      </c>
      <c r="BA26" s="331" t="str">
        <f t="shared" si="16"/>
        <v>Fiche infoA4</v>
      </c>
      <c r="BB26" s="107">
        <f t="shared" si="31"/>
        <v>46121</v>
      </c>
      <c r="BC26" s="170">
        <f>+$D$13+8</f>
        <v>46121</v>
      </c>
      <c r="BD26" s="171" t="str">
        <f t="shared" si="32"/>
        <v/>
      </c>
      <c r="BE26" s="171" t="str">
        <f>+IF(OR(BF26=S.CAL!$BJ$3,BF26=S.CAL!$BJ$4),BD26,"")</f>
        <v/>
      </c>
      <c r="BF26" s="333">
        <f>IF($DY$5=S.CAL!$CU$2,Avril!AR28,IF($DY$5=S.CAL!$CU$3,VLOOKUP(BC26,planning_fp,7,FALSE),""))</f>
        <v>0</v>
      </c>
      <c r="BG26" s="345" t="str">
        <f>Avril!BL28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46121</v>
      </c>
      <c r="CF26" s="170">
        <f>+$D$13+8</f>
        <v>46121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IF(+Avril!AG28="",0,Avril!AG28)</f>
        <v>0</v>
      </c>
      <c r="DZ26" s="16">
        <f>+IF(Avril!AJ28="",0,Avril!AJ28)</f>
        <v>0</v>
      </c>
      <c r="EA26" s="16">
        <f>+IF(Avril!AM28="",0,Avril!AM28)</f>
        <v>0</v>
      </c>
      <c r="EB26" s="16">
        <f t="shared" si="25"/>
        <v>0</v>
      </c>
      <c r="ED26" s="16">
        <f t="shared" si="26"/>
        <v>0</v>
      </c>
      <c r="EE26" s="16">
        <f t="shared" si="17"/>
        <v>0</v>
      </c>
      <c r="EF26" s="30" t="str">
        <f t="shared" si="18"/>
        <v/>
      </c>
      <c r="EG26" s="30" t="str">
        <f t="shared" si="27"/>
        <v/>
      </c>
      <c r="EH26" s="16">
        <f t="shared" si="28"/>
        <v>0</v>
      </c>
      <c r="EI26" s="30"/>
      <c r="EJ26" s="30">
        <f t="shared" si="19"/>
        <v>46121</v>
      </c>
      <c r="EM26" s="16" t="str">
        <f t="shared" si="29"/>
        <v>Fiche infoA446121</v>
      </c>
      <c r="EN26" s="16">
        <f t="shared" si="20"/>
        <v>0</v>
      </c>
      <c r="EQ26" s="16" t="str">
        <f>Avril!FS28</f>
        <v/>
      </c>
    </row>
    <row r="27" spans="1:147" ht="18" customHeight="1" x14ac:dyDescent="0.2">
      <c r="A27" s="24" t="str">
        <f>+Avril!BJ29</f>
        <v>Fiche infoA5</v>
      </c>
      <c r="B27" s="107">
        <f t="shared" si="30"/>
        <v>46122</v>
      </c>
      <c r="C27" s="170">
        <f>+$D$13+9</f>
        <v>46122</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Avril!BC29</f>
        <v>0</v>
      </c>
      <c r="J27" s="34">
        <f>Avril!BE29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infoA5</v>
      </c>
      <c r="BB27" s="107">
        <f t="shared" si="31"/>
        <v>46122</v>
      </c>
      <c r="BC27" s="170">
        <f>+$D$13+9</f>
        <v>46122</v>
      </c>
      <c r="BD27" s="171" t="str">
        <f t="shared" si="32"/>
        <v/>
      </c>
      <c r="BE27" s="171" t="str">
        <f>+IF(OR(BF27=S.CAL!$BJ$3,BF27=S.CAL!$BJ$4),BD27,"")</f>
        <v/>
      </c>
      <c r="BF27" s="333">
        <f>IF($DY$5=S.CAL!$CU$2,Avril!AR29,IF($DY$5=S.CAL!$CU$3,VLOOKUP(BC27,planning_fp,7,FALSE),""))</f>
        <v>0</v>
      </c>
      <c r="BG27" s="345" t="str">
        <f>Avril!BL29</f>
        <v>A</v>
      </c>
      <c r="BI27" s="16" t="s">
        <v>746</v>
      </c>
      <c r="BL27" s="35"/>
      <c r="BP27" s="2465"/>
      <c r="BQ27" s="2465"/>
      <c r="BR27" s="2465"/>
      <c r="BS27" s="2465"/>
      <c r="BT27" s="2464"/>
      <c r="BV27" s="355"/>
      <c r="BW27" s="355"/>
      <c r="BX27" s="2543"/>
      <c r="BY27" s="2543"/>
      <c r="BZ27" s="2543"/>
      <c r="CA27" s="2543"/>
      <c r="CB27" s="2542"/>
      <c r="CD27" s="328"/>
      <c r="CE27" s="107">
        <f t="shared" si="33"/>
        <v>46122</v>
      </c>
      <c r="CF27" s="170">
        <f>+$D$13+9</f>
        <v>46122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IF(+Avril!AG29="",0,Avril!AG29)</f>
        <v>0</v>
      </c>
      <c r="DZ27" s="16">
        <f>+IF(Avril!AJ29="",0,Avril!AJ29)</f>
        <v>0</v>
      </c>
      <c r="EA27" s="16">
        <f>+IF(Avril!AM29="",0,Avril!AM29)</f>
        <v>0</v>
      </c>
      <c r="EB27" s="16">
        <f t="shared" si="25"/>
        <v>0</v>
      </c>
      <c r="ED27" s="16">
        <f t="shared" si="26"/>
        <v>0</v>
      </c>
      <c r="EE27" s="16">
        <f t="shared" si="17"/>
        <v>0</v>
      </c>
      <c r="EF27" s="30" t="str">
        <f t="shared" si="18"/>
        <v/>
      </c>
      <c r="EG27" s="30" t="str">
        <f t="shared" si="27"/>
        <v/>
      </c>
      <c r="EH27" s="16">
        <f t="shared" si="28"/>
        <v>0</v>
      </c>
      <c r="EI27" s="30"/>
      <c r="EJ27" s="30">
        <f t="shared" si="19"/>
        <v>46122</v>
      </c>
      <c r="EM27" s="16" t="str">
        <f t="shared" si="29"/>
        <v>Fiche infoA546122</v>
      </c>
      <c r="EN27" s="16">
        <f t="shared" si="20"/>
        <v>0</v>
      </c>
      <c r="EQ27" s="16" t="str">
        <f>Avril!FS29</f>
        <v/>
      </c>
    </row>
    <row r="28" spans="1:147" ht="18" customHeight="1" x14ac:dyDescent="0.2">
      <c r="A28" s="24" t="str">
        <f>+Avril!BJ30</f>
        <v>Fiche infoA6</v>
      </c>
      <c r="B28" s="107">
        <f t="shared" si="30"/>
        <v>46123</v>
      </c>
      <c r="C28" s="170">
        <f>+$D$13+10</f>
        <v>46123</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Avril!BC30</f>
        <v>0</v>
      </c>
      <c r="J28" s="34">
        <f>Avril!BE30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infoA6</v>
      </c>
      <c r="BB28" s="107">
        <f t="shared" si="31"/>
        <v>46123</v>
      </c>
      <c r="BC28" s="170">
        <f>+$D$13+10</f>
        <v>46123</v>
      </c>
      <c r="BD28" s="171" t="str">
        <f t="shared" si="32"/>
        <v/>
      </c>
      <c r="BE28" s="171" t="str">
        <f>+IF(OR(BF28=S.CAL!$BJ$3,BF28=S.CAL!$BJ$4),BD28,"")</f>
        <v/>
      </c>
      <c r="BF28" s="333">
        <f>IF($DY$5=S.CAL!$CU$2,Avril!AR30,IF($DY$5=S.CAL!$CU$3,VLOOKUP(BC28,planning_fp,7,FALSE),""))</f>
        <v>0</v>
      </c>
      <c r="BG28" s="345" t="str">
        <f>Avril!BL30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46123</v>
      </c>
      <c r="CF28" s="170">
        <f>+$D$13+10</f>
        <v>46123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IF(+Avril!AG30="",0,Avril!AG30)</f>
        <v>0</v>
      </c>
      <c r="DZ28" s="16">
        <f>+IF(Avril!AJ30="",0,Avril!AJ30)</f>
        <v>0</v>
      </c>
      <c r="EA28" s="16">
        <f>+IF(Avril!AM30="",0,Avril!AM30)</f>
        <v>0</v>
      </c>
      <c r="EB28" s="16">
        <f t="shared" si="25"/>
        <v>0</v>
      </c>
      <c r="ED28" s="16">
        <f t="shared" si="26"/>
        <v>0</v>
      </c>
      <c r="EE28" s="16">
        <f t="shared" si="17"/>
        <v>0</v>
      </c>
      <c r="EF28" s="30" t="str">
        <f t="shared" si="18"/>
        <v/>
      </c>
      <c r="EG28" s="30" t="str">
        <f t="shared" si="27"/>
        <v/>
      </c>
      <c r="EH28" s="16">
        <f t="shared" si="28"/>
        <v>0</v>
      </c>
      <c r="EI28" s="30"/>
      <c r="EJ28" s="30">
        <f t="shared" si="19"/>
        <v>46123</v>
      </c>
      <c r="EM28" s="16" t="str">
        <f t="shared" si="29"/>
        <v>Fiche infoA646123</v>
      </c>
      <c r="EN28" s="16">
        <f t="shared" si="20"/>
        <v>0</v>
      </c>
      <c r="EQ28" s="16" t="str">
        <f>Avril!FS30</f>
        <v/>
      </c>
    </row>
    <row r="29" spans="1:147" ht="18" customHeight="1" x14ac:dyDescent="0.2">
      <c r="A29" s="24" t="str">
        <f>+Avril!BJ31</f>
        <v>Fiche infoA7</v>
      </c>
      <c r="B29" s="107">
        <f t="shared" si="30"/>
        <v>46124</v>
      </c>
      <c r="C29" s="170">
        <f>+$D$13+11</f>
        <v>46124</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Avril!BC31</f>
        <v>0</v>
      </c>
      <c r="J29" s="34">
        <f>Avril!BE31</f>
        <v>0</v>
      </c>
      <c r="K29" s="34">
        <f t="shared" si="15"/>
        <v>0</v>
      </c>
      <c r="L29" s="34" t="str">
        <f t="shared" si="21"/>
        <v/>
      </c>
      <c r="O29" s="859" t="s">
        <v>1444</v>
      </c>
      <c r="P29" s="859"/>
      <c r="Q29" s="859"/>
      <c r="R29" s="859"/>
      <c r="BA29" s="331" t="str">
        <f t="shared" si="16"/>
        <v>Fiche infoA7</v>
      </c>
      <c r="BB29" s="107">
        <f t="shared" si="31"/>
        <v>46124</v>
      </c>
      <c r="BC29" s="170">
        <f>+$D$13+11</f>
        <v>46124</v>
      </c>
      <c r="BD29" s="171" t="str">
        <f t="shared" si="32"/>
        <v/>
      </c>
      <c r="BE29" s="171" t="str">
        <f>+IF(OR(BF29=S.CAL!$BJ$3,BF29=S.CAL!$BJ$4),BD29,"")</f>
        <v/>
      </c>
      <c r="BF29" s="333">
        <f>IF($DY$5=S.CAL!$CU$2,Avril!AR31,IF($DY$5=S.CAL!$CU$3,VLOOKUP(BC29,planning_fp,7,FALSE),""))</f>
        <v>0</v>
      </c>
      <c r="BG29" s="345" t="str">
        <f>Avril!BL31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46124</v>
      </c>
      <c r="CF29" s="170">
        <f>+$D$13+11</f>
        <v>46124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IF(+Avril!AG31="",0,Avril!AG31)</f>
        <v>0</v>
      </c>
      <c r="DZ29" s="16">
        <f>+IF(Avril!AJ31="",0,Avril!AJ31)</f>
        <v>0</v>
      </c>
      <c r="EA29" s="16">
        <f>+IF(Avril!AM31="",0,Avril!AM31)</f>
        <v>0</v>
      </c>
      <c r="EB29" s="16">
        <f t="shared" si="25"/>
        <v>0</v>
      </c>
      <c r="ED29" s="16">
        <f t="shared" si="26"/>
        <v>0</v>
      </c>
      <c r="EE29" s="16">
        <f t="shared" si="17"/>
        <v>0</v>
      </c>
      <c r="EF29" s="30" t="str">
        <f t="shared" si="18"/>
        <v/>
      </c>
      <c r="EG29" s="30" t="str">
        <f t="shared" si="27"/>
        <v/>
      </c>
      <c r="EH29" s="16">
        <f t="shared" si="28"/>
        <v>0</v>
      </c>
      <c r="EI29" s="30"/>
      <c r="EJ29" s="30">
        <f t="shared" si="19"/>
        <v>46124</v>
      </c>
      <c r="EM29" s="16" t="str">
        <f t="shared" si="29"/>
        <v>Fiche infoA746124</v>
      </c>
      <c r="EN29" s="16">
        <f t="shared" si="20"/>
        <v>0</v>
      </c>
      <c r="EQ29" s="16" t="str">
        <f>Avril!FS31</f>
        <v/>
      </c>
    </row>
    <row r="30" spans="1:147" ht="18" customHeight="1" x14ac:dyDescent="0.25">
      <c r="A30" s="24" t="str">
        <f>+Avril!BJ32</f>
        <v>Fiche infoA1</v>
      </c>
      <c r="B30" s="107">
        <f t="shared" si="30"/>
        <v>46125</v>
      </c>
      <c r="C30" s="170">
        <f>+$D$13+12</f>
        <v>46125</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Avril!BC32</f>
        <v>0</v>
      </c>
      <c r="J30" s="34">
        <f>Avril!BE32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46113</v>
      </c>
      <c r="AP30" s="2555"/>
      <c r="AQ30" s="2555"/>
      <c r="BA30" s="331" t="str">
        <f t="shared" si="16"/>
        <v>Fiche infoA1</v>
      </c>
      <c r="BB30" s="107">
        <f t="shared" si="31"/>
        <v>46125</v>
      </c>
      <c r="BC30" s="170">
        <f>+$D$13+12</f>
        <v>46125</v>
      </c>
      <c r="BD30" s="171" t="str">
        <f t="shared" si="32"/>
        <v/>
      </c>
      <c r="BE30" s="171" t="str">
        <f>+IF(OR(BF30=S.CAL!$BJ$3,BF30=S.CAL!$BJ$4),BD30,"")</f>
        <v/>
      </c>
      <c r="BF30" s="333">
        <f>IF($DY$5=S.CAL!$CU$2,Avril!AR32,IF($DY$5=S.CAL!$CU$3,VLOOKUP(BC30,planning_fp,7,FALSE),""))</f>
        <v>0</v>
      </c>
      <c r="BG30" s="345" t="str">
        <f>Avril!BL32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46125</v>
      </c>
      <c r="CF30" s="170">
        <f>+$D$13+12</f>
        <v>46125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IF(+Avril!AG32="",0,Avril!AG32)</f>
        <v>0</v>
      </c>
      <c r="DZ30" s="16">
        <f>+IF(Avril!AJ32="",0,Avril!AJ32)</f>
        <v>0</v>
      </c>
      <c r="EA30" s="16">
        <f>+IF(Avril!AM32="",0,Avril!AM32)</f>
        <v>0</v>
      </c>
      <c r="EB30" s="16">
        <f t="shared" si="25"/>
        <v>0</v>
      </c>
      <c r="ED30" s="16">
        <f t="shared" si="26"/>
        <v>0</v>
      </c>
      <c r="EE30" s="16">
        <f t="shared" si="17"/>
        <v>0</v>
      </c>
      <c r="EF30" s="30" t="str">
        <f t="shared" si="18"/>
        <v/>
      </c>
      <c r="EG30" s="30" t="str">
        <f t="shared" si="27"/>
        <v/>
      </c>
      <c r="EH30" s="16">
        <f t="shared" si="28"/>
        <v>0</v>
      </c>
      <c r="EI30" s="30"/>
      <c r="EJ30" s="30">
        <f t="shared" si="19"/>
        <v>46125</v>
      </c>
      <c r="EM30" s="16" t="str">
        <f t="shared" si="29"/>
        <v>Fiche infoA146125</v>
      </c>
      <c r="EN30" s="16">
        <f t="shared" si="20"/>
        <v>0</v>
      </c>
      <c r="EQ30" s="16" t="str">
        <f>Avril!FS32</f>
        <v/>
      </c>
    </row>
    <row r="31" spans="1:147" ht="18" customHeight="1" x14ac:dyDescent="0.2">
      <c r="A31" s="24" t="str">
        <f>+Avril!BJ33</f>
        <v>Fiche infoA2</v>
      </c>
      <c r="B31" s="107">
        <f t="shared" si="30"/>
        <v>46126</v>
      </c>
      <c r="C31" s="170">
        <f>+$D$13+13</f>
        <v>46126</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Avril!BC33</f>
        <v>0</v>
      </c>
      <c r="J31" s="34">
        <f>Avril!BE33</f>
        <v>0</v>
      </c>
      <c r="K31" s="34">
        <f t="shared" si="15"/>
        <v>0</v>
      </c>
      <c r="L31" s="34" t="str">
        <f t="shared" si="21"/>
        <v/>
      </c>
      <c r="AL31" s="563" t="s">
        <v>342</v>
      </c>
      <c r="BA31" s="331" t="str">
        <f t="shared" si="16"/>
        <v>Fiche infoA2</v>
      </c>
      <c r="BB31" s="107">
        <f t="shared" si="31"/>
        <v>46126</v>
      </c>
      <c r="BC31" s="170">
        <f>+$D$13+13</f>
        <v>46126</v>
      </c>
      <c r="BD31" s="171" t="str">
        <f t="shared" si="32"/>
        <v/>
      </c>
      <c r="BE31" s="171" t="str">
        <f>+IF(OR(BF31=S.CAL!$BJ$3,BF31=S.CAL!$BJ$4),BD31,"")</f>
        <v/>
      </c>
      <c r="BF31" s="333">
        <f>IF($DY$5=S.CAL!$CU$2,Avril!AR33,IF($DY$5=S.CAL!$CU$3,VLOOKUP(BC31,planning_fp,7,FALSE),""))</f>
        <v>0</v>
      </c>
      <c r="BG31" s="345" t="str">
        <f>Avril!BL33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46126</v>
      </c>
      <c r="CF31" s="170">
        <f>+$D$13+13</f>
        <v>46126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IF(+Avril!AG33="",0,Avril!AG33)</f>
        <v>0</v>
      </c>
      <c r="DZ31" s="16">
        <f>+IF(Avril!AJ33="",0,Avril!AJ33)</f>
        <v>0</v>
      </c>
      <c r="EA31" s="16">
        <f>+IF(Avril!AM33="",0,Avril!AM33)</f>
        <v>0</v>
      </c>
      <c r="EB31" s="16">
        <f t="shared" si="25"/>
        <v>0</v>
      </c>
      <c r="ED31" s="16">
        <f t="shared" si="26"/>
        <v>0</v>
      </c>
      <c r="EE31" s="16">
        <f t="shared" si="17"/>
        <v>0</v>
      </c>
      <c r="EF31" s="30" t="str">
        <f t="shared" si="18"/>
        <v/>
      </c>
      <c r="EG31" s="30" t="str">
        <f t="shared" si="27"/>
        <v/>
      </c>
      <c r="EH31" s="16">
        <f t="shared" si="28"/>
        <v>0</v>
      </c>
      <c r="EI31" s="30"/>
      <c r="EJ31" s="30">
        <f t="shared" si="19"/>
        <v>46126</v>
      </c>
      <c r="EM31" s="16" t="str">
        <f t="shared" si="29"/>
        <v>Fiche infoA246126</v>
      </c>
      <c r="EN31" s="16">
        <f t="shared" si="20"/>
        <v>0</v>
      </c>
      <c r="EQ31" s="16" t="str">
        <f>Avril!FS33</f>
        <v/>
      </c>
    </row>
    <row r="32" spans="1:147" ht="18" customHeight="1" x14ac:dyDescent="0.2">
      <c r="A32" s="24" t="str">
        <f>+Avril!BJ34</f>
        <v>Fiche infoA3</v>
      </c>
      <c r="B32" s="107">
        <f t="shared" si="30"/>
        <v>46127</v>
      </c>
      <c r="C32" s="170">
        <f>+$D$13+14</f>
        <v>46127</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Avril!BC34</f>
        <v>0</v>
      </c>
      <c r="J32" s="34">
        <f>Avril!BE34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infoA3</v>
      </c>
      <c r="BB32" s="107">
        <f t="shared" si="31"/>
        <v>46127</v>
      </c>
      <c r="BC32" s="170">
        <f>+$D$13+14</f>
        <v>46127</v>
      </c>
      <c r="BD32" s="171" t="str">
        <f t="shared" si="32"/>
        <v/>
      </c>
      <c r="BE32" s="171" t="str">
        <f>+IF(OR(BF32=S.CAL!$BJ$3,BF32=S.CAL!$BJ$4),BD32,"")</f>
        <v/>
      </c>
      <c r="BF32" s="333">
        <f>IF($DY$5=S.CAL!$CU$2,Avril!AR34,IF($DY$5=S.CAL!$CU$3,VLOOKUP(BC32,planning_fp,7,FALSE),""))</f>
        <v>0</v>
      </c>
      <c r="BG32" s="345" t="str">
        <f>Avril!BL34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46127</v>
      </c>
      <c r="CF32" s="170">
        <f>+$D$13+14</f>
        <v>46127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IF(+Avril!AG34="",0,Avril!AG34)</f>
        <v>0</v>
      </c>
      <c r="DZ32" s="16">
        <f>+IF(Avril!AJ34="",0,Avril!AJ34)</f>
        <v>0</v>
      </c>
      <c r="EA32" s="16">
        <f>+IF(Avril!AM34="",0,Avril!AM34)</f>
        <v>0</v>
      </c>
      <c r="EB32" s="16">
        <f t="shared" si="25"/>
        <v>0</v>
      </c>
      <c r="ED32" s="16">
        <f t="shared" si="26"/>
        <v>0</v>
      </c>
      <c r="EE32" s="16">
        <f t="shared" si="17"/>
        <v>0</v>
      </c>
      <c r="EF32" s="30" t="str">
        <f t="shared" si="18"/>
        <v/>
      </c>
      <c r="EG32" s="30" t="str">
        <f t="shared" si="27"/>
        <v/>
      </c>
      <c r="EH32" s="16">
        <f t="shared" si="28"/>
        <v>0</v>
      </c>
      <c r="EI32" s="30"/>
      <c r="EJ32" s="30">
        <f t="shared" si="19"/>
        <v>46127</v>
      </c>
      <c r="EM32" s="16" t="str">
        <f t="shared" si="29"/>
        <v>Fiche infoA346127</v>
      </c>
      <c r="EN32" s="16">
        <f t="shared" si="20"/>
        <v>0</v>
      </c>
      <c r="EQ32" s="16" t="str">
        <f>Avril!FS34</f>
        <v/>
      </c>
    </row>
    <row r="33" spans="1:147" ht="18" customHeight="1" x14ac:dyDescent="0.2">
      <c r="A33" s="24" t="str">
        <f>+Avril!BJ35</f>
        <v>Fiche infoA4</v>
      </c>
      <c r="B33" s="107">
        <f t="shared" si="30"/>
        <v>46128</v>
      </c>
      <c r="C33" s="170">
        <f>+$D$13+15</f>
        <v>46128</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Avril!BC35</f>
        <v>0</v>
      </c>
      <c r="J33" s="34">
        <f>Avril!BE35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infoA4</v>
      </c>
      <c r="BB33" s="107">
        <f t="shared" si="31"/>
        <v>46128</v>
      </c>
      <c r="BC33" s="170">
        <f>+$D$13+15</f>
        <v>46128</v>
      </c>
      <c r="BD33" s="171" t="str">
        <f t="shared" si="32"/>
        <v/>
      </c>
      <c r="BE33" s="171" t="str">
        <f>+IF(OR(BF33=S.CAL!$BJ$3,BF33=S.CAL!$BJ$4),BD33,"")</f>
        <v/>
      </c>
      <c r="BF33" s="333">
        <f>IF($DY$5=S.CAL!$CU$2,Avril!AR35,IF($DY$5=S.CAL!$CU$3,VLOOKUP(BC33,planning_fp,7,FALSE),""))</f>
        <v>0</v>
      </c>
      <c r="BG33" s="345" t="str">
        <f>Avril!BL35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46128</v>
      </c>
      <c r="CF33" s="170">
        <f>+$D$13+15</f>
        <v>46128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IF(+Avril!AG35="",0,Avril!AG35)</f>
        <v>0</v>
      </c>
      <c r="DZ33" s="16">
        <f>+IF(Avril!AJ35="",0,Avril!AJ35)</f>
        <v>0</v>
      </c>
      <c r="EA33" s="16">
        <f>+IF(Avril!AM35="",0,Avril!AM35)</f>
        <v>0</v>
      </c>
      <c r="EB33" s="16">
        <f t="shared" si="25"/>
        <v>0</v>
      </c>
      <c r="ED33" s="16">
        <f t="shared" si="26"/>
        <v>0</v>
      </c>
      <c r="EE33" s="16">
        <f t="shared" si="17"/>
        <v>0</v>
      </c>
      <c r="EF33" s="30" t="str">
        <f t="shared" si="18"/>
        <v/>
      </c>
      <c r="EG33" s="30" t="str">
        <f t="shared" si="27"/>
        <v/>
      </c>
      <c r="EH33" s="16">
        <f t="shared" si="28"/>
        <v>0</v>
      </c>
      <c r="EI33" s="30"/>
      <c r="EJ33" s="30">
        <f t="shared" si="19"/>
        <v>46128</v>
      </c>
      <c r="EM33" s="16" t="str">
        <f t="shared" si="29"/>
        <v>Fiche infoA446128</v>
      </c>
      <c r="EN33" s="16">
        <f t="shared" si="20"/>
        <v>0</v>
      </c>
      <c r="EQ33" s="16" t="str">
        <f>Avril!FS35</f>
        <v/>
      </c>
    </row>
    <row r="34" spans="1:147" ht="18" customHeight="1" x14ac:dyDescent="0.2">
      <c r="A34" s="24" t="str">
        <f>+Avril!BJ36</f>
        <v>Fiche infoA5</v>
      </c>
      <c r="B34" s="107">
        <f t="shared" si="30"/>
        <v>46129</v>
      </c>
      <c r="C34" s="170">
        <f>+$D$13+16</f>
        <v>46129</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Avril!BC36</f>
        <v>0</v>
      </c>
      <c r="J34" s="34">
        <f>Avril!BE36</f>
        <v>0</v>
      </c>
      <c r="K34" s="34">
        <f t="shared" si="15"/>
        <v>0</v>
      </c>
      <c r="L34" s="34" t="str">
        <f t="shared" si="21"/>
        <v/>
      </c>
      <c r="N34" s="377"/>
      <c r="O34" s="377"/>
      <c r="P34" s="377"/>
      <c r="Q34" s="377"/>
      <c r="R34" s="377"/>
      <c r="T34" s="563">
        <f>+IF(AD34=0,V34,0)</f>
        <v>0</v>
      </c>
      <c r="U34" s="1301" t="str">
        <f>+Avril!AU4</f>
        <v>A</v>
      </c>
      <c r="V34" s="1301">
        <f>IFERROR(+VLOOKUP(U34,U35:AB39,7,FALSE),"")</f>
        <v>0</v>
      </c>
      <c r="W34" s="2538" t="str">
        <f>Avril!BS28</f>
        <v>Semaine numéro : 14</v>
      </c>
      <c r="X34" s="2538"/>
      <c r="Y34" s="2538"/>
      <c r="Z34" s="1323"/>
      <c r="AA34" s="1316">
        <f>+IF(Z34&lt;&gt;"",Z34,IF(T34&gt;0,T34,IF(AND(AD34&gt;0,AC34&gt;0),AD34+AC34,IF(AE34&gt;0,0,AC34))))</f>
        <v>0</v>
      </c>
      <c r="AB34" s="1316">
        <f>IF(AND(AA34&gt;45,AD34=AD48),AA34-45,0)</f>
        <v>0</v>
      </c>
      <c r="AC34" s="1322">
        <f>+SUMIF(Avril!$BK$20:$BK$50,Avril!AT4,$D$18:$D$48)</f>
        <v>0</v>
      </c>
      <c r="AD34" s="1322">
        <f>+SUMIF(Mars!$BK$20:$BK$50,Avril!AT4,'Retenue Mars'!$D$18:$D$48)</f>
        <v>0</v>
      </c>
      <c r="AE34" s="1322">
        <f>+SUMIF(Mai!$BK$20:$BK$50,Avril!AT4,'Retenue Mai'!$D$18:$D$48)</f>
        <v>0</v>
      </c>
      <c r="AF34" s="1316">
        <f>+AC34-AB34</f>
        <v>0</v>
      </c>
      <c r="AK34" s="1189" t="s">
        <v>324</v>
      </c>
      <c r="AL34" s="1302" t="e">
        <f>IF(AL32,+AL24/AL32,0)</f>
        <v>#VALUE!</v>
      </c>
      <c r="BA34" s="331" t="str">
        <f t="shared" si="16"/>
        <v>Fiche infoA5</v>
      </c>
      <c r="BB34" s="107">
        <f t="shared" si="31"/>
        <v>46129</v>
      </c>
      <c r="BC34" s="170">
        <f>+$D$13+16</f>
        <v>46129</v>
      </c>
      <c r="BD34" s="171" t="str">
        <f t="shared" si="32"/>
        <v/>
      </c>
      <c r="BE34" s="171" t="str">
        <f>+IF(OR(BF34=S.CAL!$BJ$3,BF34=S.CAL!$BJ$4),BD34,"")</f>
        <v/>
      </c>
      <c r="BF34" s="333">
        <f>IF($DY$5=S.CAL!$CU$2,Avril!AR36,IF($DY$5=S.CAL!$CU$3,VLOOKUP(BC34,planning_fp,7,FALSE),""))</f>
        <v>0</v>
      </c>
      <c r="BG34" s="345" t="str">
        <f>Avril!BL36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46129</v>
      </c>
      <c r="CF34" s="170">
        <f>+$D$13+16</f>
        <v>46129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IF(+Avril!AG36="",0,Avril!AG36)</f>
        <v>0</v>
      </c>
      <c r="DZ34" s="16">
        <f>+IF(Avril!AJ36="",0,Avril!AJ36)</f>
        <v>0</v>
      </c>
      <c r="EA34" s="16">
        <f>+IF(Avril!AM36="",0,Avril!AM36)</f>
        <v>0</v>
      </c>
      <c r="EB34" s="16">
        <f t="shared" si="25"/>
        <v>0</v>
      </c>
      <c r="ED34" s="16">
        <f t="shared" si="26"/>
        <v>0</v>
      </c>
      <c r="EE34" s="16">
        <f t="shared" si="17"/>
        <v>0</v>
      </c>
      <c r="EF34" s="30" t="str">
        <f t="shared" si="18"/>
        <v/>
      </c>
      <c r="EG34" s="30" t="str">
        <f t="shared" si="27"/>
        <v/>
      </c>
      <c r="EH34" s="16">
        <f t="shared" si="28"/>
        <v>0</v>
      </c>
      <c r="EI34" s="30"/>
      <c r="EJ34" s="30">
        <f t="shared" si="19"/>
        <v>46129</v>
      </c>
      <c r="EM34" s="16" t="str">
        <f t="shared" si="29"/>
        <v>Fiche infoA546129</v>
      </c>
      <c r="EN34" s="16">
        <f t="shared" si="20"/>
        <v>0</v>
      </c>
      <c r="EQ34" s="16" t="str">
        <f>Avril!FS36</f>
        <v/>
      </c>
    </row>
    <row r="35" spans="1:147" ht="18" customHeight="1" x14ac:dyDescent="0.2">
      <c r="A35" s="24" t="str">
        <f>+Avril!BJ37</f>
        <v>Fiche infoA6</v>
      </c>
      <c r="B35" s="107">
        <f t="shared" si="30"/>
        <v>46130</v>
      </c>
      <c r="C35" s="170">
        <f>+$D$13+17</f>
        <v>46130</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Avril!BC37</f>
        <v>0</v>
      </c>
      <c r="J35" s="34">
        <f>Avril!BE37</f>
        <v>0</v>
      </c>
      <c r="K35" s="34">
        <f t="shared" si="15"/>
        <v>0</v>
      </c>
      <c r="L35" s="34" t="str">
        <f t="shared" si="21"/>
        <v/>
      </c>
      <c r="N35" s="377"/>
      <c r="O35" s="861" t="s">
        <v>1198</v>
      </c>
      <c r="P35" s="862"/>
      <c r="Q35" s="862"/>
      <c r="R35" s="858"/>
      <c r="T35" s="563">
        <f>+IF(AD35=0,V35,0)</f>
        <v>0</v>
      </c>
      <c r="U35" s="1301" t="str">
        <f>+Avril!AU5</f>
        <v>A</v>
      </c>
      <c r="V35" s="1301">
        <f>IFERROR(+VLOOKUP(U35,U36:AB39,7,FALSE),"")</f>
        <v>0</v>
      </c>
      <c r="W35" s="2538" t="str">
        <f>Avril!BS29</f>
        <v>Semaine numéro : 15</v>
      </c>
      <c r="X35" s="2538"/>
      <c r="Y35" s="2538"/>
      <c r="Z35" s="1323"/>
      <c r="AA35" s="1316">
        <f>+IF(Z35&lt;&gt;"",Z35,IF(T35&gt;0,T35,IF(AND(AD35&gt;0,AC35&gt;0),AD35+AC35,IF(AE35&gt;0,0,AC35))))</f>
        <v>0</v>
      </c>
      <c r="AB35" s="1316">
        <f t="shared" ref="AB35:AB39" si="44">IF(AND(AA35&gt;45,AD35=AD49),AA35-45,0)</f>
        <v>0</v>
      </c>
      <c r="AC35" s="1322">
        <f>+SUMIF(Avril!$BK$20:$BK$50,Avril!AT5,$D$18:$D$48)</f>
        <v>0</v>
      </c>
      <c r="AD35" s="1322">
        <f>+SUMIF(Mars!$BK$20:$BK$50,Avril!AT5,'Retenue Mars'!$D$18:$D$48)</f>
        <v>0</v>
      </c>
      <c r="AE35" s="1322">
        <f>+SUMIF(Mai!$BK$20:$BK$50,Avril!AT5,'Retenue Mai'!$D$18:$D$48)</f>
        <v>0</v>
      </c>
      <c r="AF35" s="1316">
        <f t="shared" ref="AF35:AF39" si="45">+AC35-AB35</f>
        <v>0</v>
      </c>
      <c r="AK35" s="1189"/>
      <c r="AL35" s="1302"/>
      <c r="BA35" s="331" t="str">
        <f t="shared" si="16"/>
        <v>Fiche infoA6</v>
      </c>
      <c r="BB35" s="107">
        <f t="shared" si="31"/>
        <v>46130</v>
      </c>
      <c r="BC35" s="170">
        <f>+$D$13+17</f>
        <v>46130</v>
      </c>
      <c r="BD35" s="171" t="str">
        <f t="shared" si="32"/>
        <v/>
      </c>
      <c r="BE35" s="171" t="str">
        <f>+IF(OR(BF35=S.CAL!$BJ$3,BF35=S.CAL!$BJ$4),BD35,"")</f>
        <v/>
      </c>
      <c r="BF35" s="333">
        <f>IF($DY$5=S.CAL!$CU$2,Avril!AR37,IF($DY$5=S.CAL!$CU$3,VLOOKUP(BC35,planning_fp,7,FALSE),""))</f>
        <v>0</v>
      </c>
      <c r="BG35" s="345" t="str">
        <f>Avril!BL37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46130</v>
      </c>
      <c r="CF35" s="170">
        <f>+$D$13+17</f>
        <v>46130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IF(+Avril!AG37="",0,Avril!AG37)</f>
        <v>0</v>
      </c>
      <c r="DZ35" s="16">
        <f>+IF(Avril!AJ37="",0,Avril!AJ37)</f>
        <v>0</v>
      </c>
      <c r="EA35" s="16">
        <f>+IF(Avril!AM37="",0,Avril!AM37)</f>
        <v>0</v>
      </c>
      <c r="EB35" s="16">
        <f t="shared" si="25"/>
        <v>0</v>
      </c>
      <c r="ED35" s="16">
        <f t="shared" si="26"/>
        <v>0</v>
      </c>
      <c r="EE35" s="16">
        <f t="shared" si="17"/>
        <v>0</v>
      </c>
      <c r="EF35" s="30" t="str">
        <f t="shared" si="18"/>
        <v/>
      </c>
      <c r="EG35" s="30" t="str">
        <f t="shared" si="27"/>
        <v/>
      </c>
      <c r="EH35" s="16">
        <f t="shared" si="28"/>
        <v>0</v>
      </c>
      <c r="EI35" s="30"/>
      <c r="EJ35" s="30">
        <f t="shared" si="19"/>
        <v>46130</v>
      </c>
      <c r="EM35" s="16" t="str">
        <f t="shared" si="29"/>
        <v>Fiche infoA646130</v>
      </c>
      <c r="EN35" s="16">
        <f t="shared" si="20"/>
        <v>0</v>
      </c>
      <c r="EQ35" s="16" t="str">
        <f>Avril!FS37</f>
        <v/>
      </c>
    </row>
    <row r="36" spans="1:147" ht="18" customHeight="1" x14ac:dyDescent="0.2">
      <c r="A36" s="24" t="str">
        <f>+Avril!BJ38</f>
        <v>Fiche infoA7</v>
      </c>
      <c r="B36" s="107">
        <f t="shared" si="30"/>
        <v>46131</v>
      </c>
      <c r="C36" s="170">
        <f>+$D$13+18</f>
        <v>46131</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Avril!BC38</f>
        <v>0</v>
      </c>
      <c r="J36" s="34">
        <f>Avril!BE38</f>
        <v>0</v>
      </c>
      <c r="K36" s="34">
        <f t="shared" si="15"/>
        <v>0</v>
      </c>
      <c r="L36" s="34" t="str">
        <f t="shared" si="21"/>
        <v/>
      </c>
      <c r="N36" s="377"/>
      <c r="O36" s="468"/>
      <c r="P36" s="469" t="str">
        <f>+E11&amp;" / ( "&amp;E10&amp;" + "&amp;E11&amp;" ) ="</f>
        <v>0 / ( 0 + 0 ) =</v>
      </c>
      <c r="Q36" s="468" t="e">
        <f>+ROUND(E11/(E11+E10),6)</f>
        <v>#DIV/0!</v>
      </c>
      <c r="R36" s="377"/>
      <c r="U36" s="1301" t="str">
        <f>+Avril!AU6</f>
        <v>A</v>
      </c>
      <c r="V36" s="1301"/>
      <c r="W36" s="2538" t="str">
        <f>Avril!BS30</f>
        <v>Semaine numéro : 16</v>
      </c>
      <c r="X36" s="2538"/>
      <c r="Y36" s="2538"/>
      <c r="Z36" s="1323"/>
      <c r="AA36" s="1316">
        <f t="shared" ref="AA36:AA39" si="46">+IF(Z36="",IF(AND(AD36&gt;0,AC36&gt;0),AD36+AC36,IF(AE36&gt;0,0,AC36)),Z36)</f>
        <v>0</v>
      </c>
      <c r="AB36" s="1316">
        <f t="shared" si="44"/>
        <v>0</v>
      </c>
      <c r="AC36" s="1322">
        <f>+SUMIF(Avril!$BK$20:$BK$50,Avril!AT6,$D$18:$D$48)</f>
        <v>0</v>
      </c>
      <c r="AD36" s="1322">
        <f>+SUMIF(Mars!$BK$20:$BK$50,Avril!AT6,'Retenue Mars'!$D$18:$D$48)</f>
        <v>0</v>
      </c>
      <c r="AE36" s="1322">
        <f>+SUMIF(Mai!$BK$20:$BK$50,Avril!AT6,'Retenue Mai'!$D$18:$D$48)</f>
        <v>0</v>
      </c>
      <c r="AF36" s="1316">
        <f t="shared" si="45"/>
        <v>0</v>
      </c>
      <c r="AK36" s="1189"/>
      <c r="AL36" s="1302"/>
      <c r="BA36" s="331" t="str">
        <f t="shared" si="16"/>
        <v>Fiche infoA7</v>
      </c>
      <c r="BB36" s="107">
        <f t="shared" si="31"/>
        <v>46131</v>
      </c>
      <c r="BC36" s="170">
        <f>+$D$13+18</f>
        <v>46131</v>
      </c>
      <c r="BD36" s="171" t="str">
        <f t="shared" si="32"/>
        <v/>
      </c>
      <c r="BE36" s="171" t="str">
        <f>+IF(OR(BF36=S.CAL!$BJ$3,BF36=S.CAL!$BJ$4),BD36,"")</f>
        <v/>
      </c>
      <c r="BF36" s="333">
        <f>IF($DY$5=S.CAL!$CU$2,Avril!AR38,IF($DY$5=S.CAL!$CU$3,VLOOKUP(BC36,planning_fp,7,FALSE),""))</f>
        <v>0</v>
      </c>
      <c r="BG36" s="345" t="str">
        <f>Avril!BL38</f>
        <v>A</v>
      </c>
      <c r="BH36" s="356"/>
      <c r="BI36" s="357"/>
      <c r="BJ36" s="355"/>
      <c r="BK36" s="355"/>
      <c r="BL36" s="35"/>
      <c r="BS36" s="189"/>
      <c r="BT36" s="342"/>
      <c r="BU36" s="342"/>
      <c r="BV36" s="355"/>
      <c r="BW36" s="355"/>
      <c r="BX36" s="355"/>
      <c r="BY36" s="355"/>
      <c r="BZ36" s="355"/>
      <c r="CA36" s="355"/>
      <c r="CB36" s="355"/>
      <c r="CD36" s="328"/>
      <c r="CE36" s="107">
        <f t="shared" si="33"/>
        <v>46131</v>
      </c>
      <c r="CF36" s="170">
        <f>+$D$13+18</f>
        <v>46131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IF(+Avril!AG38="",0,Avril!AG38)</f>
        <v>0</v>
      </c>
      <c r="DZ36" s="16">
        <f>+IF(Avril!AJ38="",0,Avril!AJ38)</f>
        <v>0</v>
      </c>
      <c r="EA36" s="16">
        <f>+IF(Avril!AM38="",0,Avril!AM38)</f>
        <v>0</v>
      </c>
      <c r="EB36" s="16">
        <f t="shared" si="25"/>
        <v>0</v>
      </c>
      <c r="ED36" s="16">
        <f t="shared" si="26"/>
        <v>0</v>
      </c>
      <c r="EE36" s="16">
        <f t="shared" si="17"/>
        <v>0</v>
      </c>
      <c r="EF36" s="30" t="str">
        <f t="shared" si="18"/>
        <v/>
      </c>
      <c r="EG36" s="30" t="str">
        <f t="shared" si="27"/>
        <v/>
      </c>
      <c r="EH36" s="16">
        <f t="shared" si="28"/>
        <v>0</v>
      </c>
      <c r="EI36" s="30"/>
      <c r="EJ36" s="30">
        <f t="shared" si="19"/>
        <v>46131</v>
      </c>
      <c r="EM36" s="16" t="str">
        <f t="shared" si="29"/>
        <v>Fiche infoA746131</v>
      </c>
      <c r="EN36" s="16">
        <f t="shared" si="20"/>
        <v>0</v>
      </c>
      <c r="EQ36" s="16" t="str">
        <f>Avril!FS38</f>
        <v/>
      </c>
    </row>
    <row r="37" spans="1:147" ht="18" customHeight="1" x14ac:dyDescent="0.2">
      <c r="A37" s="24" t="str">
        <f>+Avril!BJ39</f>
        <v>Fiche infoA1</v>
      </c>
      <c r="B37" s="107">
        <f t="shared" si="30"/>
        <v>46132</v>
      </c>
      <c r="C37" s="170">
        <f>+$D$13+19</f>
        <v>46132</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Avril!BC39</f>
        <v>0</v>
      </c>
      <c r="J37" s="34">
        <f>Avril!BE39</f>
        <v>0</v>
      </c>
      <c r="K37" s="34">
        <f t="shared" si="15"/>
        <v>0</v>
      </c>
      <c r="L37" s="34" t="str">
        <f t="shared" si="21"/>
        <v/>
      </c>
      <c r="N37" s="377"/>
      <c r="O37" s="863"/>
      <c r="P37" s="863"/>
      <c r="Q37" s="863"/>
      <c r="R37" s="377"/>
      <c r="U37" s="1301" t="str">
        <f>+Avril!AU7</f>
        <v>A</v>
      </c>
      <c r="V37" s="1301"/>
      <c r="W37" s="2538" t="str">
        <f>Avril!BS31</f>
        <v>Semaine numéro : 17</v>
      </c>
      <c r="X37" s="2538"/>
      <c r="Y37" s="2538"/>
      <c r="Z37" s="1323"/>
      <c r="AA37" s="1316">
        <f t="shared" si="46"/>
        <v>0</v>
      </c>
      <c r="AB37" s="1316">
        <f t="shared" si="44"/>
        <v>0</v>
      </c>
      <c r="AC37" s="1322">
        <f>+SUMIF(Avril!$BK$20:$BK$50,Avril!AT7,$D$18:$D$48)</f>
        <v>0</v>
      </c>
      <c r="AD37" s="1322">
        <f>+SUMIF(Mars!$BK$20:$BK$50,Avril!AT7,'Retenue Mars'!$D$18:$D$48)</f>
        <v>0</v>
      </c>
      <c r="AE37" s="1322">
        <f>+SUMIF(Mai!$BK$20:$BK$50,Avril!AT7,'Retenue Mai'!$D$18:$D$48)</f>
        <v>0</v>
      </c>
      <c r="AF37" s="1316">
        <f t="shared" si="45"/>
        <v>0</v>
      </c>
      <c r="AK37" s="1189"/>
      <c r="AL37" s="2553" t="s">
        <v>325</v>
      </c>
      <c r="AM37" s="2553" t="s">
        <v>326</v>
      </c>
      <c r="AN37" s="2554" t="s">
        <v>327</v>
      </c>
      <c r="AO37" s="2553" t="s">
        <v>328</v>
      </c>
      <c r="AP37" s="2553" t="s">
        <v>348</v>
      </c>
      <c r="AQ37" s="2553" t="s">
        <v>349</v>
      </c>
      <c r="BA37" s="331" t="str">
        <f t="shared" si="16"/>
        <v>Fiche infoA1</v>
      </c>
      <c r="BB37" s="107">
        <f t="shared" si="31"/>
        <v>46132</v>
      </c>
      <c r="BC37" s="170">
        <f>+$D$13+19</f>
        <v>46132</v>
      </c>
      <c r="BD37" s="171" t="str">
        <f t="shared" si="32"/>
        <v/>
      </c>
      <c r="BE37" s="171" t="str">
        <f>+IF(OR(BF37=S.CAL!$BJ$3,BF37=S.CAL!$BJ$4),BD37,"")</f>
        <v/>
      </c>
      <c r="BF37" s="333">
        <f>IF($DY$5=S.CAL!$CU$2,Avril!AR39,IF($DY$5=S.CAL!$CU$3,VLOOKUP(BC37,planning_fp,7,FALSE),""))</f>
        <v>0</v>
      </c>
      <c r="BG37" s="345" t="str">
        <f>Avril!BL39</f>
        <v>A</v>
      </c>
      <c r="BH37" s="355"/>
      <c r="BI37" s="355"/>
      <c r="BJ37" s="355"/>
      <c r="BK37" s="355"/>
      <c r="BL37" s="35"/>
      <c r="BO37" s="29"/>
      <c r="BP37" s="34"/>
      <c r="BS37" s="189"/>
      <c r="BT37" s="189"/>
      <c r="BV37" s="355"/>
      <c r="BW37" s="355"/>
      <c r="BX37" s="355"/>
      <c r="BY37" s="355"/>
      <c r="BZ37" s="355"/>
      <c r="CA37" s="355"/>
      <c r="CB37" s="355"/>
      <c r="CD37" s="328"/>
      <c r="CE37" s="107">
        <f t="shared" si="33"/>
        <v>46132</v>
      </c>
      <c r="CF37" s="170">
        <f>+$D$13+19</f>
        <v>46132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IF(+Avril!AG39="",0,Avril!AG39)</f>
        <v>0</v>
      </c>
      <c r="DZ37" s="16">
        <f>+IF(Avril!AJ39="",0,Avril!AJ39)</f>
        <v>0</v>
      </c>
      <c r="EA37" s="16">
        <f>+IF(Avril!AM39="",0,Avril!AM39)</f>
        <v>0</v>
      </c>
      <c r="EB37" s="16">
        <f t="shared" si="25"/>
        <v>0</v>
      </c>
      <c r="ED37" s="16">
        <f t="shared" si="26"/>
        <v>0</v>
      </c>
      <c r="EE37" s="16">
        <f t="shared" si="17"/>
        <v>0</v>
      </c>
      <c r="EF37" s="30" t="str">
        <f t="shared" si="18"/>
        <v/>
      </c>
      <c r="EG37" s="30" t="str">
        <f t="shared" si="27"/>
        <v/>
      </c>
      <c r="EH37" s="16">
        <f t="shared" si="28"/>
        <v>0</v>
      </c>
      <c r="EI37" s="30"/>
      <c r="EJ37" s="30">
        <f t="shared" si="19"/>
        <v>46132</v>
      </c>
      <c r="EM37" s="16" t="str">
        <f t="shared" si="29"/>
        <v>Fiche infoA146132</v>
      </c>
      <c r="EN37" s="16">
        <f t="shared" si="20"/>
        <v>0</v>
      </c>
      <c r="EQ37" s="16" t="str">
        <f>Avril!FS39</f>
        <v/>
      </c>
    </row>
    <row r="38" spans="1:147" ht="18" customHeight="1" x14ac:dyDescent="0.2">
      <c r="A38" s="24" t="str">
        <f>+Avril!BJ40</f>
        <v>Fiche infoA2</v>
      </c>
      <c r="B38" s="107">
        <f t="shared" si="30"/>
        <v>46133</v>
      </c>
      <c r="C38" s="170">
        <f>+$D$13+20</f>
        <v>46133</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Avril!BC40</f>
        <v>0</v>
      </c>
      <c r="J38" s="34">
        <f>Avril!BE40</f>
        <v>0</v>
      </c>
      <c r="K38" s="34">
        <f t="shared" si="15"/>
        <v>0</v>
      </c>
      <c r="L38" s="34" t="str">
        <f t="shared" si="21"/>
        <v/>
      </c>
      <c r="N38" s="377"/>
      <c r="O38" s="864" t="s">
        <v>1445</v>
      </c>
      <c r="P38" s="864"/>
      <c r="Q38" s="864"/>
      <c r="R38" s="860"/>
      <c r="U38" s="1301" t="str">
        <f>+Avril!AU8</f>
        <v>A</v>
      </c>
      <c r="V38" s="1301"/>
      <c r="W38" s="2538" t="str">
        <f>Avril!BS32</f>
        <v>Semaine numéro : 18</v>
      </c>
      <c r="X38" s="2538"/>
      <c r="Y38" s="2538"/>
      <c r="Z38" s="1323"/>
      <c r="AA38" s="1316">
        <f t="shared" si="46"/>
        <v>0</v>
      </c>
      <c r="AB38" s="1316">
        <f t="shared" si="44"/>
        <v>0</v>
      </c>
      <c r="AC38" s="1322">
        <f>+SUMIF(Avril!$BK$20:$BK$50,Avril!AT8,$D$18:$D$48)</f>
        <v>0</v>
      </c>
      <c r="AD38" s="1322">
        <f>+SUMIF(Mars!$BK$20:$BK$50,Avril!AT8,'Retenue Mars'!$D$18:$D$48)</f>
        <v>0</v>
      </c>
      <c r="AE38" s="1322">
        <f>+SUMIF(Mai!$BK$20:$BK$50,Avril!AT8,'Retenue Mai'!$D$18:$D$48)</f>
        <v>0</v>
      </c>
      <c r="AF38" s="1316">
        <f t="shared" si="45"/>
        <v>0</v>
      </c>
      <c r="AL38" s="2553"/>
      <c r="AM38" s="2553"/>
      <c r="AN38" s="2554"/>
      <c r="AO38" s="2553"/>
      <c r="AP38" s="2553"/>
      <c r="AQ38" s="2553"/>
      <c r="BA38" s="331" t="str">
        <f t="shared" si="16"/>
        <v>Fiche infoA2</v>
      </c>
      <c r="BB38" s="107">
        <f t="shared" si="31"/>
        <v>46133</v>
      </c>
      <c r="BC38" s="170">
        <f>+$D$13+20</f>
        <v>46133</v>
      </c>
      <c r="BD38" s="171" t="str">
        <f t="shared" si="32"/>
        <v/>
      </c>
      <c r="BE38" s="171" t="str">
        <f>+IF(OR(BF38=S.CAL!$BJ$3,BF38=S.CAL!$BJ$4),BD38,"")</f>
        <v/>
      </c>
      <c r="BF38" s="333">
        <f>IF($DY$5=S.CAL!$CU$2,Avril!AR40,IF($DY$5=S.CAL!$CU$3,VLOOKUP(BC38,planning_fp,7,FALSE),""))</f>
        <v>0</v>
      </c>
      <c r="BG38" s="345" t="str">
        <f>Avril!BL40</f>
        <v>A</v>
      </c>
      <c r="BH38" s="355"/>
      <c r="BI38" s="355"/>
      <c r="BJ38" s="355"/>
      <c r="BK38" s="355"/>
      <c r="BL38" s="35"/>
      <c r="BO38" s="29"/>
      <c r="BP38" s="34"/>
      <c r="BS38" s="189"/>
      <c r="BT38" s="189"/>
      <c r="BV38" s="355"/>
      <c r="BW38" s="355"/>
      <c r="BX38" s="355"/>
      <c r="BY38" s="355"/>
      <c r="BZ38" s="355"/>
      <c r="CA38" s="355"/>
      <c r="CB38" s="355"/>
      <c r="CD38" s="328"/>
      <c r="CE38" s="107">
        <f t="shared" si="33"/>
        <v>46133</v>
      </c>
      <c r="CF38" s="170">
        <f>+$D$13+20</f>
        <v>46133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IF(+Avril!AG40="",0,Avril!AG40)</f>
        <v>0</v>
      </c>
      <c r="DZ38" s="16">
        <f>+IF(Avril!AJ40="",0,Avril!AJ40)</f>
        <v>0</v>
      </c>
      <c r="EA38" s="16">
        <f>+IF(Avril!AM40="",0,Avril!AM40)</f>
        <v>0</v>
      </c>
      <c r="EB38" s="16">
        <f t="shared" si="25"/>
        <v>0</v>
      </c>
      <c r="ED38" s="16">
        <f t="shared" si="26"/>
        <v>0</v>
      </c>
      <c r="EE38" s="16">
        <f t="shared" si="17"/>
        <v>0</v>
      </c>
      <c r="EF38" s="30" t="str">
        <f t="shared" si="18"/>
        <v/>
      </c>
      <c r="EG38" s="30" t="str">
        <f t="shared" si="27"/>
        <v/>
      </c>
      <c r="EH38" s="16">
        <f t="shared" si="28"/>
        <v>0</v>
      </c>
      <c r="EI38" s="30"/>
      <c r="EJ38" s="30">
        <f t="shared" si="19"/>
        <v>46133</v>
      </c>
      <c r="EM38" s="16" t="str">
        <f t="shared" si="29"/>
        <v>Fiche infoA246133</v>
      </c>
      <c r="EN38" s="16">
        <f t="shared" si="20"/>
        <v>0</v>
      </c>
      <c r="EQ38" s="16" t="str">
        <f>Avril!FS40</f>
        <v/>
      </c>
    </row>
    <row r="39" spans="1:147" ht="18" customHeight="1" x14ac:dyDescent="0.2">
      <c r="A39" s="24" t="str">
        <f>+Avril!BJ41</f>
        <v>Fiche infoA3</v>
      </c>
      <c r="B39" s="107">
        <f t="shared" si="30"/>
        <v>46134</v>
      </c>
      <c r="C39" s="170">
        <f>+$D$13+21</f>
        <v>46134</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Avril!BC41</f>
        <v>0</v>
      </c>
      <c r="J39" s="34">
        <f>Avril!BE41</f>
        <v>0</v>
      </c>
      <c r="K39" s="34">
        <f t="shared" si="15"/>
        <v>0</v>
      </c>
      <c r="L39" s="34" t="str">
        <f t="shared" si="21"/>
        <v/>
      </c>
      <c r="N39" s="377"/>
      <c r="O39" s="468"/>
      <c r="P39" s="469" t="str">
        <f>+E10&amp;" / ( "&amp;E10&amp;" + "&amp;E11&amp;" ) ="</f>
        <v>0 / ( 0 + 0 ) =</v>
      </c>
      <c r="Q39" s="468" t="e">
        <f>ROUND(+E10/(E11+E10),6)</f>
        <v>#DIV/0!</v>
      </c>
      <c r="R39" s="377"/>
      <c r="U39" s="1301" t="str">
        <f>+Avril!AU9</f>
        <v>A</v>
      </c>
      <c r="V39" s="1301"/>
      <c r="W39" s="2538" t="str">
        <f>Avril!BS33</f>
        <v xml:space="preserve">Semaine numéro : </v>
      </c>
      <c r="X39" s="2538"/>
      <c r="Y39" s="2538"/>
      <c r="Z39" s="1323"/>
      <c r="AA39" s="1316">
        <f t="shared" si="46"/>
        <v>0</v>
      </c>
      <c r="AB39" s="1316">
        <f t="shared" si="44"/>
        <v>0</v>
      </c>
      <c r="AC39" s="1322">
        <f>+SUMIF(Avril!$BK$20:$BK$50,Avril!AT9,$D$18:$D$48)</f>
        <v>0</v>
      </c>
      <c r="AD39" s="1322">
        <f>+SUMIF(Mars!$BK$20:$BK$50,Avril!AT9,'Retenue Mars'!$D$18:$D$48)</f>
        <v>0</v>
      </c>
      <c r="AE39" s="1322">
        <f>+SUMIF(Mai!$BK$20:$BK$50,Avril!AT9,'Retenue Mai'!$D$18:$D$48)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infoA3</v>
      </c>
      <c r="BB39" s="107">
        <f t="shared" si="31"/>
        <v>46134</v>
      </c>
      <c r="BC39" s="170">
        <f>+$D$13+21</f>
        <v>46134</v>
      </c>
      <c r="BD39" s="171" t="str">
        <f t="shared" si="32"/>
        <v/>
      </c>
      <c r="BE39" s="171" t="str">
        <f>+IF(OR(BF39=S.CAL!$BJ$3,BF39=S.CAL!$BJ$4),BD39,"")</f>
        <v/>
      </c>
      <c r="BF39" s="333">
        <f>IF($DY$5=S.CAL!$CU$2,Avril!AR41,IF($DY$5=S.CAL!$CU$3,VLOOKUP(BC39,planning_fp,7,FALSE),""))</f>
        <v>0</v>
      </c>
      <c r="BG39" s="345" t="str">
        <f>Avril!BL41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46134</v>
      </c>
      <c r="CF39" s="170">
        <f>+$D$13+21</f>
        <v>46134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IF(+Avril!AG41="",0,Avril!AG41)</f>
        <v>0</v>
      </c>
      <c r="DZ39" s="16">
        <f>+IF(Avril!AJ41="",0,Avril!AJ41)</f>
        <v>0</v>
      </c>
      <c r="EA39" s="16">
        <f>+IF(Avril!AM41="",0,Avril!AM41)</f>
        <v>0</v>
      </c>
      <c r="EB39" s="16">
        <f t="shared" si="25"/>
        <v>0</v>
      </c>
      <c r="ED39" s="16">
        <f t="shared" si="26"/>
        <v>0</v>
      </c>
      <c r="EE39" s="16">
        <f t="shared" si="17"/>
        <v>0</v>
      </c>
      <c r="EF39" s="30" t="str">
        <f t="shared" si="18"/>
        <v/>
      </c>
      <c r="EG39" s="30" t="str">
        <f t="shared" si="27"/>
        <v/>
      </c>
      <c r="EH39" s="16">
        <f t="shared" si="28"/>
        <v>0</v>
      </c>
      <c r="EI39" s="30"/>
      <c r="EJ39" s="30">
        <f t="shared" si="19"/>
        <v>46134</v>
      </c>
      <c r="EM39" s="16" t="str">
        <f t="shared" si="29"/>
        <v>Fiche infoA346134</v>
      </c>
      <c r="EN39" s="16">
        <f t="shared" si="20"/>
        <v>0</v>
      </c>
      <c r="EQ39" s="16" t="str">
        <f>Avril!FS41</f>
        <v/>
      </c>
    </row>
    <row r="40" spans="1:147" ht="18" customHeight="1" x14ac:dyDescent="0.2">
      <c r="A40" s="24" t="str">
        <f>+Avril!BJ42</f>
        <v>Fiche infoA4</v>
      </c>
      <c r="B40" s="107">
        <f t="shared" si="30"/>
        <v>46135</v>
      </c>
      <c r="C40" s="170">
        <f>+$D$13+22</f>
        <v>46135</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Avril!BC42</f>
        <v>0</v>
      </c>
      <c r="J40" s="34">
        <f>Avril!BE42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infoA4</v>
      </c>
      <c r="BB40" s="107">
        <f t="shared" si="31"/>
        <v>46135</v>
      </c>
      <c r="BC40" s="170">
        <f>+$D$13+22</f>
        <v>46135</v>
      </c>
      <c r="BD40" s="171" t="str">
        <f t="shared" si="32"/>
        <v/>
      </c>
      <c r="BE40" s="171" t="str">
        <f>+IF(OR(BF40=S.CAL!$BJ$3,BF40=S.CAL!$BJ$4),BD40,"")</f>
        <v/>
      </c>
      <c r="BF40" s="333">
        <f>IF($DY$5=S.CAL!$CU$2,Avril!AR42,IF($DY$5=S.CAL!$CU$3,VLOOKUP(BC40,planning_fp,7,FALSE),""))</f>
        <v>0</v>
      </c>
      <c r="BG40" s="345" t="str">
        <f>Avril!BL42</f>
        <v>A</v>
      </c>
      <c r="BH40" s="355"/>
      <c r="BI40" s="355"/>
      <c r="BJ40" s="355"/>
      <c r="BK40" s="355"/>
      <c r="BL40" s="35"/>
      <c r="BN40" s="19"/>
      <c r="BO40" s="39"/>
      <c r="BP40" s="194"/>
      <c r="BV40" s="355"/>
      <c r="BW40" s="355"/>
      <c r="BX40" s="372"/>
      <c r="BY40" s="355"/>
      <c r="BZ40" s="355"/>
      <c r="CA40" s="355"/>
      <c r="CB40" s="355"/>
      <c r="CD40" s="328"/>
      <c r="CE40" s="107">
        <f t="shared" si="33"/>
        <v>46135</v>
      </c>
      <c r="CF40" s="170">
        <f>+$D$13+22</f>
        <v>46135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IF(+Avril!AG42="",0,Avril!AG42)</f>
        <v>0</v>
      </c>
      <c r="DZ40" s="16">
        <f>+IF(Avril!AJ42="",0,Avril!AJ42)</f>
        <v>0</v>
      </c>
      <c r="EA40" s="16">
        <f>+IF(Avril!AM42="",0,Avril!AM42)</f>
        <v>0</v>
      </c>
      <c r="EB40" s="16">
        <f t="shared" si="25"/>
        <v>0</v>
      </c>
      <c r="ED40" s="16">
        <f t="shared" si="26"/>
        <v>0</v>
      </c>
      <c r="EE40" s="16">
        <f t="shared" si="17"/>
        <v>0</v>
      </c>
      <c r="EF40" s="30" t="str">
        <f t="shared" si="18"/>
        <v/>
      </c>
      <c r="EG40" s="30" t="str">
        <f t="shared" si="27"/>
        <v/>
      </c>
      <c r="EH40" s="16">
        <f t="shared" si="28"/>
        <v>0</v>
      </c>
      <c r="EI40" s="30"/>
      <c r="EJ40" s="30">
        <f t="shared" si="19"/>
        <v>46135</v>
      </c>
      <c r="EM40" s="16" t="str">
        <f t="shared" si="29"/>
        <v>Fiche infoA446135</v>
      </c>
      <c r="EN40" s="16">
        <f t="shared" si="20"/>
        <v>0</v>
      </c>
      <c r="EQ40" s="16" t="str">
        <f>Avril!FS42</f>
        <v/>
      </c>
    </row>
    <row r="41" spans="1:147" ht="18" customHeight="1" x14ac:dyDescent="0.2">
      <c r="A41" s="24" t="str">
        <f>+Avril!BJ43</f>
        <v>Fiche infoA5</v>
      </c>
      <c r="B41" s="107">
        <f t="shared" si="30"/>
        <v>46136</v>
      </c>
      <c r="C41" s="170">
        <f>+$D$13+23</f>
        <v>46136</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Avril!BC43</f>
        <v>0</v>
      </c>
      <c r="J41" s="34">
        <f>Avril!BE43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infoA5</v>
      </c>
      <c r="BB41" s="107">
        <f t="shared" si="31"/>
        <v>46136</v>
      </c>
      <c r="BC41" s="170">
        <f>+$D$13+23</f>
        <v>46136</v>
      </c>
      <c r="BD41" s="171" t="str">
        <f t="shared" si="32"/>
        <v/>
      </c>
      <c r="BE41" s="171" t="str">
        <f>+IF(OR(BF41=S.CAL!$BJ$3,BF41=S.CAL!$BJ$4),BD41,"")</f>
        <v/>
      </c>
      <c r="BF41" s="333">
        <f>IF($DY$5=S.CAL!$CU$2,Avril!AR43,IF($DY$5=S.CAL!$CU$3,VLOOKUP(BC41,planning_fp,7,FALSE),""))</f>
        <v>0</v>
      </c>
      <c r="BG41" s="345" t="str">
        <f>Avril!BL43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46136</v>
      </c>
      <c r="CF41" s="170">
        <f>+$D$13+23</f>
        <v>46136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IF(+Avril!AG43="",0,Avril!AG43)</f>
        <v>0</v>
      </c>
      <c r="DZ41" s="16">
        <f>+IF(Avril!AJ43="",0,Avril!AJ43)</f>
        <v>0</v>
      </c>
      <c r="EA41" s="16">
        <f>+IF(Avril!AM43="",0,Avril!AM43)</f>
        <v>0</v>
      </c>
      <c r="EB41" s="16">
        <f t="shared" si="25"/>
        <v>0</v>
      </c>
      <c r="ED41" s="16">
        <f t="shared" si="26"/>
        <v>0</v>
      </c>
      <c r="EE41" s="16">
        <f t="shared" si="17"/>
        <v>0</v>
      </c>
      <c r="EF41" s="30" t="str">
        <f t="shared" si="18"/>
        <v/>
      </c>
      <c r="EG41" s="30" t="str">
        <f t="shared" si="27"/>
        <v/>
      </c>
      <c r="EH41" s="16">
        <f t="shared" si="28"/>
        <v>0</v>
      </c>
      <c r="EI41" s="30"/>
      <c r="EJ41" s="30">
        <f t="shared" si="19"/>
        <v>46136</v>
      </c>
      <c r="EM41" s="16" t="str">
        <f t="shared" si="29"/>
        <v>Fiche infoA546136</v>
      </c>
      <c r="EN41" s="16">
        <f t="shared" si="20"/>
        <v>0</v>
      </c>
      <c r="EQ41" s="16" t="str">
        <f>Avril!FS43</f>
        <v/>
      </c>
    </row>
    <row r="42" spans="1:147" ht="18" customHeight="1" x14ac:dyDescent="0.2">
      <c r="A42" s="24" t="str">
        <f>+Avril!BJ44</f>
        <v>Fiche infoA6</v>
      </c>
      <c r="B42" s="107">
        <f t="shared" si="30"/>
        <v>46137</v>
      </c>
      <c r="C42" s="170">
        <f>+$D$13+24</f>
        <v>46137</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Avril!BC44</f>
        <v>0</v>
      </c>
      <c r="J42" s="34">
        <f>Avril!BE44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infoA6</v>
      </c>
      <c r="BB42" s="107">
        <f t="shared" si="31"/>
        <v>46137</v>
      </c>
      <c r="BC42" s="170">
        <f>+$D$13+24</f>
        <v>46137</v>
      </c>
      <c r="BD42" s="171" t="str">
        <f t="shared" si="32"/>
        <v/>
      </c>
      <c r="BE42" s="171" t="str">
        <f>+IF(OR(BF42=S.CAL!$BJ$3,BF42=S.CAL!$BJ$4),BD42,"")</f>
        <v/>
      </c>
      <c r="BF42" s="333">
        <f>IF($DY$5=S.CAL!$CU$2,Avril!AR44,IF($DY$5=S.CAL!$CU$3,VLOOKUP(BC42,planning_fp,7,FALSE),""))</f>
        <v>0</v>
      </c>
      <c r="BG42" s="345" t="str">
        <f>Avril!BL44</f>
        <v>A</v>
      </c>
      <c r="BH42" s="356"/>
      <c r="BI42" s="358"/>
      <c r="BJ42" s="355"/>
      <c r="BK42" s="355"/>
      <c r="BL42" s="35"/>
      <c r="BV42" s="355"/>
      <c r="BW42" s="355"/>
      <c r="BX42" s="355"/>
      <c r="BY42" s="355"/>
      <c r="BZ42" s="355"/>
      <c r="CA42" s="355"/>
      <c r="CB42" s="355"/>
      <c r="CD42" s="328"/>
      <c r="CE42" s="107">
        <f t="shared" si="33"/>
        <v>46137</v>
      </c>
      <c r="CF42" s="170">
        <f>+$D$13+24</f>
        <v>46137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IF(+Avril!AG44="",0,Avril!AG44)</f>
        <v>0</v>
      </c>
      <c r="DZ42" s="16">
        <f>+IF(Avril!AJ44="",0,Avril!AJ44)</f>
        <v>0</v>
      </c>
      <c r="EA42" s="16">
        <f>+IF(Avril!AM44="",0,Avril!AM44)</f>
        <v>0</v>
      </c>
      <c r="EB42" s="16">
        <f t="shared" si="25"/>
        <v>0</v>
      </c>
      <c r="ED42" s="16">
        <f t="shared" si="26"/>
        <v>0</v>
      </c>
      <c r="EE42" s="16">
        <f t="shared" si="17"/>
        <v>0</v>
      </c>
      <c r="EF42" s="30" t="str">
        <f t="shared" si="18"/>
        <v/>
      </c>
      <c r="EG42" s="30" t="str">
        <f t="shared" si="27"/>
        <v/>
      </c>
      <c r="EH42" s="16">
        <f t="shared" si="28"/>
        <v>0</v>
      </c>
      <c r="EI42" s="30"/>
      <c r="EJ42" s="30">
        <f t="shared" si="19"/>
        <v>46137</v>
      </c>
      <c r="EM42" s="16" t="str">
        <f t="shared" si="29"/>
        <v>Fiche infoA646137</v>
      </c>
      <c r="EN42" s="16">
        <f t="shared" si="20"/>
        <v>0</v>
      </c>
      <c r="EQ42" s="16" t="str">
        <f>Avril!FS44</f>
        <v/>
      </c>
    </row>
    <row r="43" spans="1:147" ht="18" customHeight="1" x14ac:dyDescent="0.2">
      <c r="A43" s="24" t="str">
        <f>+Avril!BJ45</f>
        <v>Fiche infoA7</v>
      </c>
      <c r="B43" s="107">
        <f t="shared" si="30"/>
        <v>46138</v>
      </c>
      <c r="C43" s="170">
        <f>+$D$13+25</f>
        <v>46138</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Avril!BC45</f>
        <v>0</v>
      </c>
      <c r="J43" s="34">
        <f>Avril!BE45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infoA7</v>
      </c>
      <c r="BB43" s="107">
        <f t="shared" si="31"/>
        <v>46138</v>
      </c>
      <c r="BC43" s="170">
        <f>+$D$13+25</f>
        <v>46138</v>
      </c>
      <c r="BD43" s="171" t="str">
        <f t="shared" si="32"/>
        <v/>
      </c>
      <c r="BE43" s="171" t="str">
        <f>+IF(OR(BF43=S.CAL!$BJ$3,BF43=S.CAL!$BJ$4),BD43,"")</f>
        <v/>
      </c>
      <c r="BF43" s="333">
        <f>IF($DY$5=S.CAL!$CU$2,Avril!AR45,IF($DY$5=S.CAL!$CU$3,VLOOKUP(BC43,planning_fp,7,FALSE),""))</f>
        <v>0</v>
      </c>
      <c r="BG43" s="345" t="str">
        <f>Avril!BL45</f>
        <v>A</v>
      </c>
      <c r="BH43" s="24"/>
      <c r="BI43" s="24" t="s">
        <v>696</v>
      </c>
      <c r="BJ43" s="24"/>
      <c r="BK43" s="355"/>
      <c r="BL43" s="35"/>
      <c r="BV43" s="355"/>
      <c r="BW43" s="355"/>
      <c r="BX43" s="355"/>
      <c r="BY43" s="355"/>
      <c r="BZ43" s="355"/>
      <c r="CA43" s="355"/>
      <c r="CB43" s="355"/>
      <c r="CD43" s="328"/>
      <c r="CE43" s="107">
        <f t="shared" si="33"/>
        <v>46138</v>
      </c>
      <c r="CF43" s="170">
        <f>+$D$13+25</f>
        <v>46138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IF(+Avril!AG45="",0,Avril!AG45)</f>
        <v>0</v>
      </c>
      <c r="DZ43" s="16">
        <f>+IF(Avril!AJ45="",0,Avril!AJ45)</f>
        <v>0</v>
      </c>
      <c r="EA43" s="16">
        <f>+IF(Avril!AM45="",0,Avril!AM45)</f>
        <v>0</v>
      </c>
      <c r="EB43" s="16">
        <f t="shared" si="25"/>
        <v>0</v>
      </c>
      <c r="ED43" s="16">
        <f t="shared" si="26"/>
        <v>0</v>
      </c>
      <c r="EE43" s="16">
        <f t="shared" si="17"/>
        <v>0</v>
      </c>
      <c r="EF43" s="30" t="str">
        <f t="shared" si="18"/>
        <v/>
      </c>
      <c r="EG43" s="30" t="str">
        <f t="shared" si="27"/>
        <v/>
      </c>
      <c r="EH43" s="16">
        <f t="shared" si="28"/>
        <v>0</v>
      </c>
      <c r="EI43" s="30"/>
      <c r="EJ43" s="30">
        <f t="shared" si="19"/>
        <v>46138</v>
      </c>
      <c r="EM43" s="16" t="str">
        <f t="shared" si="29"/>
        <v>Fiche infoA746138</v>
      </c>
      <c r="EN43" s="16">
        <f t="shared" si="20"/>
        <v>0</v>
      </c>
      <c r="EQ43" s="16" t="str">
        <f>Avril!FS45</f>
        <v/>
      </c>
    </row>
    <row r="44" spans="1:147" ht="18" customHeight="1" x14ac:dyDescent="0.25">
      <c r="A44" s="24" t="str">
        <f>+Avril!BJ46</f>
        <v>Fiche infoA1</v>
      </c>
      <c r="B44" s="107">
        <f t="shared" si="30"/>
        <v>46139</v>
      </c>
      <c r="C44" s="170">
        <f>+$D$13+26</f>
        <v>46139</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Avril!BC46</f>
        <v>0</v>
      </c>
      <c r="J44" s="34">
        <f>Avril!BE46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infoA1</v>
      </c>
      <c r="BB44" s="107">
        <f t="shared" si="31"/>
        <v>46139</v>
      </c>
      <c r="BC44" s="170">
        <f>+$D$13+26</f>
        <v>46139</v>
      </c>
      <c r="BD44" s="171" t="str">
        <f t="shared" si="32"/>
        <v/>
      </c>
      <c r="BE44" s="171" t="str">
        <f>+IF(OR(BF44=S.CAL!$BJ$3,BF44=S.CAL!$BJ$4),BD44,"")</f>
        <v/>
      </c>
      <c r="BF44" s="333">
        <f>IF($DY$5=S.CAL!$CU$2,Avril!AR46,IF($DY$5=S.CAL!$CU$3,VLOOKUP(BC44,planning_fp,7,FALSE),""))</f>
        <v>0</v>
      </c>
      <c r="BG44" s="345" t="str">
        <f>Avril!BL46</f>
        <v>A</v>
      </c>
      <c r="BH44" s="24" t="s">
        <v>788</v>
      </c>
      <c r="BI44" s="24"/>
      <c r="BJ44" s="24"/>
      <c r="BK44" s="355"/>
      <c r="BL44" s="35"/>
      <c r="BV44" s="355"/>
      <c r="BW44" s="355"/>
      <c r="BX44" s="355"/>
      <c r="BY44" s="355"/>
      <c r="BZ44" s="355"/>
      <c r="CA44" s="355"/>
      <c r="CB44" s="355"/>
      <c r="CD44" s="328"/>
      <c r="CE44" s="107">
        <f t="shared" si="33"/>
        <v>46139</v>
      </c>
      <c r="CF44" s="170">
        <f>+$D$13+26</f>
        <v>46139</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IF(+Avril!AG46="",0,Avril!AG46)</f>
        <v>0</v>
      </c>
      <c r="DZ44" s="16">
        <f>+IF(Avril!AJ46="",0,Avril!AJ46)</f>
        <v>0</v>
      </c>
      <c r="EA44" s="16">
        <f>+IF(Avril!AM46="",0,Avril!AM46)</f>
        <v>0</v>
      </c>
      <c r="EB44" s="16">
        <f t="shared" si="25"/>
        <v>0</v>
      </c>
      <c r="ED44" s="16">
        <f t="shared" si="26"/>
        <v>0</v>
      </c>
      <c r="EE44" s="16">
        <f t="shared" si="17"/>
        <v>0</v>
      </c>
      <c r="EF44" s="30" t="str">
        <f t="shared" si="18"/>
        <v/>
      </c>
      <c r="EG44" s="30" t="str">
        <f t="shared" si="27"/>
        <v/>
      </c>
      <c r="EH44" s="16">
        <f t="shared" si="28"/>
        <v>0</v>
      </c>
      <c r="EI44" s="30"/>
      <c r="EJ44" s="30">
        <f t="shared" si="19"/>
        <v>46139</v>
      </c>
      <c r="EM44" s="16" t="str">
        <f t="shared" si="29"/>
        <v>Fiche infoA146139</v>
      </c>
      <c r="EN44" s="16">
        <f t="shared" si="20"/>
        <v>0</v>
      </c>
      <c r="EQ44" s="16" t="str">
        <f>Avril!FS46</f>
        <v/>
      </c>
    </row>
    <row r="45" spans="1:147" ht="18" customHeight="1" x14ac:dyDescent="0.2">
      <c r="A45" s="24" t="str">
        <f>+Avril!BJ47</f>
        <v>Fiche infoA2</v>
      </c>
      <c r="B45" s="107">
        <f t="shared" si="30"/>
        <v>46140</v>
      </c>
      <c r="C45" s="170">
        <f>IF(C$18+27&lt;DATE(YEAR(O$13),MONTH(O$13),DAY(O$13)),C$18+27,"")</f>
        <v>46140</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Avril!BC47</f>
        <v>0</v>
      </c>
      <c r="J45" s="34">
        <f>Avril!BE47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infoA2</v>
      </c>
      <c r="BB45" s="107">
        <f t="shared" si="31"/>
        <v>46140</v>
      </c>
      <c r="BC45" s="170">
        <f>IF(BC$18+27&lt;DATE(YEAR(BH$13),MONTH(BH$13),DAY(BH$13)),BC$18+27,"")</f>
        <v>46140</v>
      </c>
      <c r="BD45" s="171" t="str">
        <f t="shared" si="32"/>
        <v/>
      </c>
      <c r="BE45" s="171" t="str">
        <f>+IF(OR(BF45=S.CAL!$BJ$3,BF45=S.CAL!$BJ$4),BD45,"")</f>
        <v/>
      </c>
      <c r="BF45" s="333">
        <f>IF($DY$5=S.CAL!$CU$2,Avril!AR47,IF($DY$5=S.CAL!$CU$3,VLOOKUP(BC45,planning_fp,7,FALSE),""))</f>
        <v>0</v>
      </c>
      <c r="BG45" s="345" t="str">
        <f>Avril!BL47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46140</v>
      </c>
      <c r="CF45" s="170">
        <f>IF(CF$18+27&lt;DATE(YEAR(CQ$13),MONTH(CQ$13),DAY(CQ$13)),CF$18+27,"")</f>
        <v>46140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IF(+Avril!AG47="",0,Avril!AG47)</f>
        <v>0</v>
      </c>
      <c r="DZ45" s="16">
        <f>+IF(Avril!AJ47="",0,Avril!AJ47)</f>
        <v>0</v>
      </c>
      <c r="EA45" s="16">
        <f>+IF(Avril!AM47="",0,Avril!AM47)</f>
        <v>0</v>
      </c>
      <c r="EB45" s="16">
        <f t="shared" si="25"/>
        <v>0</v>
      </c>
      <c r="ED45" s="16">
        <f t="shared" si="26"/>
        <v>0</v>
      </c>
      <c r="EE45" s="16">
        <f t="shared" si="17"/>
        <v>0</v>
      </c>
      <c r="EF45" s="30" t="str">
        <f t="shared" si="18"/>
        <v/>
      </c>
      <c r="EG45" s="30" t="str">
        <f t="shared" si="27"/>
        <v/>
      </c>
      <c r="EH45" s="16">
        <f t="shared" si="28"/>
        <v>0</v>
      </c>
      <c r="EI45" s="30"/>
      <c r="EJ45" s="30">
        <f t="shared" si="19"/>
        <v>46140</v>
      </c>
      <c r="EM45" s="16" t="str">
        <f t="shared" si="29"/>
        <v>Fiche infoA246140</v>
      </c>
      <c r="EN45" s="16">
        <f t="shared" si="20"/>
        <v>0</v>
      </c>
      <c r="EQ45" s="16" t="str">
        <f>Avril!FS47</f>
        <v/>
      </c>
    </row>
    <row r="46" spans="1:147" ht="18" customHeight="1" x14ac:dyDescent="0.2">
      <c r="A46" s="24" t="str">
        <f>+Avril!BJ48</f>
        <v>Fiche infoA3</v>
      </c>
      <c r="B46" s="107">
        <f t="shared" si="30"/>
        <v>46141</v>
      </c>
      <c r="C46" s="170">
        <f>IF(C$18+28&lt;DATE(YEAR(O$13),MONTH(O$13),DAY(O$13)),C$18+28,"")</f>
        <v>46141</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Avril!BC48</f>
        <v>0</v>
      </c>
      <c r="J46" s="34">
        <f>Avril!BE48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infoA3</v>
      </c>
      <c r="BB46" s="107">
        <f t="shared" si="31"/>
        <v>46141</v>
      </c>
      <c r="BC46" s="170">
        <f>IF(BC$18+28&lt;DATE(YEAR(BH$13),MONTH(BH$13),DAY(BH$13)),BC$18+28,"")</f>
        <v>46141</v>
      </c>
      <c r="BD46" s="171" t="str">
        <f t="shared" si="32"/>
        <v/>
      </c>
      <c r="BE46" s="171" t="str">
        <f>+IF(OR(BF46=S.CAL!$BJ$3,BF46=S.CAL!$BJ$4),BD46,"")</f>
        <v/>
      </c>
      <c r="BF46" s="333">
        <f>IF($DY$5=S.CAL!$CU$2,Avril!AR48,IF($DY$5=S.CAL!$CU$3,VLOOKUP(BC46,planning_fp,7,FALSE),""))</f>
        <v>0</v>
      </c>
      <c r="BG46" s="345" t="str">
        <f>Avril!BL48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46141</v>
      </c>
      <c r="CF46" s="170">
        <f>IF(CF$18+28&lt;DATE(YEAR(CQ$13),MONTH(CQ$13),DAY(CQ$13)),CF$18+28,"")</f>
        <v>46141</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IF(+Avril!AG48="",0,Avril!AG48)</f>
        <v>0</v>
      </c>
      <c r="DZ46" s="16">
        <f>+IF(Avril!AJ48="",0,Avril!AJ48)</f>
        <v>0</v>
      </c>
      <c r="EA46" s="16">
        <f>+IF(Avril!AM48="",0,Avril!AM48)</f>
        <v>0</v>
      </c>
      <c r="EB46" s="16">
        <f t="shared" si="25"/>
        <v>0</v>
      </c>
      <c r="ED46" s="16">
        <f t="shared" si="26"/>
        <v>0</v>
      </c>
      <c r="EE46" s="16">
        <f t="shared" si="17"/>
        <v>0</v>
      </c>
      <c r="EF46" s="30" t="str">
        <f t="shared" si="18"/>
        <v/>
      </c>
      <c r="EG46" s="30" t="str">
        <f t="shared" si="27"/>
        <v/>
      </c>
      <c r="EH46" s="16">
        <f t="shared" si="28"/>
        <v>0</v>
      </c>
      <c r="EI46" s="30"/>
      <c r="EJ46" s="30">
        <f t="shared" si="19"/>
        <v>46141</v>
      </c>
      <c r="EM46" s="16" t="str">
        <f t="shared" si="29"/>
        <v>Fiche infoA346141</v>
      </c>
      <c r="EN46" s="16">
        <f t="shared" si="20"/>
        <v>0</v>
      </c>
      <c r="EQ46" s="16" t="str">
        <f>Avril!FS48</f>
        <v/>
      </c>
    </row>
    <row r="47" spans="1:147" ht="18" customHeight="1" x14ac:dyDescent="0.2">
      <c r="A47" s="24" t="str">
        <f>+Avril!BJ49</f>
        <v>Fiche infoA4</v>
      </c>
      <c r="B47" s="107">
        <f t="shared" si="30"/>
        <v>46142</v>
      </c>
      <c r="C47" s="170">
        <f>IF(C$18+29&lt;DATE(YEAR(O$13),MONTH(O$13),DAY(O$13)),C$18+29,"")</f>
        <v>46142</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Avril!BC49</f>
        <v>0</v>
      </c>
      <c r="J47" s="34">
        <f>Avril!BE49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infoA4</v>
      </c>
      <c r="BB47" s="107">
        <f t="shared" si="31"/>
        <v>46142</v>
      </c>
      <c r="BC47" s="170">
        <f>IF(BC$18+29&lt;DATE(YEAR(BH$13),MONTH(BH$13),DAY(BH$13)),BC$18+29,"")</f>
        <v>46142</v>
      </c>
      <c r="BD47" s="171" t="str">
        <f t="shared" si="32"/>
        <v/>
      </c>
      <c r="BE47" s="171" t="str">
        <f>+IF(OR(BF47=S.CAL!$BJ$3,BF47=S.CAL!$BJ$4),BD47,"")</f>
        <v/>
      </c>
      <c r="BF47" s="333">
        <f>IF($DY$5=S.CAL!$CU$2,Avril!AR49,IF($DY$5=S.CAL!$CU$3,VLOOKUP(BC47,planning_fp,7,FALSE),""))</f>
        <v>0</v>
      </c>
      <c r="BG47" s="345" t="str">
        <f>Avril!BL49</f>
        <v>A</v>
      </c>
      <c r="BH47" s="355"/>
      <c r="BI47" s="355"/>
      <c r="BJ47" s="355"/>
      <c r="BK47" s="355"/>
      <c r="BL47" s="35"/>
      <c r="BV47" s="355"/>
      <c r="BW47" s="355"/>
      <c r="BX47" s="355"/>
      <c r="BY47" s="355"/>
      <c r="BZ47" s="355"/>
      <c r="CA47" s="355"/>
      <c r="CB47" s="355"/>
      <c r="CD47" s="328"/>
      <c r="CE47" s="107">
        <f t="shared" si="33"/>
        <v>46142</v>
      </c>
      <c r="CF47" s="170">
        <f>IF(CF$18+29&lt;DATE(YEAR(CQ$13),MONTH(CQ$13),DAY(CQ$13)),CF$18+29,"")</f>
        <v>46142</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IF(+Avril!AG49="",0,Avril!AG49)</f>
        <v>0</v>
      </c>
      <c r="DZ47" s="16">
        <f>+IF(Avril!AJ49="",0,Avril!AJ49)</f>
        <v>0</v>
      </c>
      <c r="EA47" s="16">
        <f>+IF(Avril!AM49="",0,Avril!AM49)</f>
        <v>0</v>
      </c>
      <c r="EB47" s="16">
        <f t="shared" si="25"/>
        <v>0</v>
      </c>
      <c r="ED47" s="16">
        <f t="shared" si="26"/>
        <v>0</v>
      </c>
      <c r="EE47" s="16">
        <f t="shared" si="17"/>
        <v>0</v>
      </c>
      <c r="EF47" s="30" t="str">
        <f t="shared" si="18"/>
        <v/>
      </c>
      <c r="EG47" s="30" t="str">
        <f t="shared" si="27"/>
        <v/>
      </c>
      <c r="EH47" s="16">
        <f t="shared" si="28"/>
        <v>0</v>
      </c>
      <c r="EI47" s="30"/>
      <c r="EJ47" s="30">
        <f t="shared" si="19"/>
        <v>46142</v>
      </c>
      <c r="EM47" s="16" t="str">
        <f t="shared" si="29"/>
        <v>Fiche infoA446142</v>
      </c>
      <c r="EN47" s="16">
        <f t="shared" si="20"/>
        <v>0</v>
      </c>
      <c r="EQ47" s="16" t="str">
        <f>Avril!FS49</f>
        <v/>
      </c>
    </row>
    <row r="48" spans="1:147" ht="18" customHeight="1" thickBot="1" x14ac:dyDescent="0.25">
      <c r="A48" s="24" t="str">
        <f>+Avril!BJ50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Avril!BC50</f>
        <v>0</v>
      </c>
      <c r="J48" s="34">
        <f>Avril!BE50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14</v>
      </c>
      <c r="X48" s="2538"/>
      <c r="Y48" s="2538"/>
      <c r="Z48" s="1323" t="str">
        <f>+IF(Z34="","",Z34)</f>
        <v/>
      </c>
      <c r="AA48" s="1316">
        <f>+IF(Z48="",IF(AND(AD48&gt;0,AC48&gt;0),AD48+AC48,IF(AE48&gt;0,0,AC48)),Z48)</f>
        <v>0</v>
      </c>
      <c r="AB48" s="1316">
        <f>IF(AA48&gt;45,AA48-45,0)</f>
        <v>0</v>
      </c>
      <c r="AC48" s="1322">
        <f>+SUMIF(Avril!$BK$20:$BK$50,Avril!AT4,$D$18:$D$48)-SUMIF(Avril!$BK$20:$BK$50,Avril!AT4,$E$18:$E$48)</f>
        <v>0</v>
      </c>
      <c r="AD48" s="1322">
        <f>+SUMIF(Mars!$BK$20:$BK$50,Avril!AT4,'Retenue Mars'!$D$18:$D$48)-SUMIF(Mars!$BK$20:$BK$50,Avril!AT4,'Retenue Mars'!$E$18:$E$48)</f>
        <v>0</v>
      </c>
      <c r="AE48" s="1322">
        <f>+SUMIF(Mai!$BK$20:$BK$50,Avril!AT4,'Retenue Mai'!$D$18:$D$48)-SUMIF(Mai!$BK$20:$BK$50,Avril!AT4,'Retenue Mai'!$E$18:$E$48)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IF($DY$5=S.CAL!$CU$2,Avril!AR50,IF($DY$5=S.CAL!$CU$3,VLOOKUP(BC48,planning_fp,7,FALSE),""))</f>
        <v>0</v>
      </c>
      <c r="BG48" s="346" t="str">
        <f>Avril!BL50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534" t="str">
        <f t="shared" ref="CI48:CI53" si="56">W48</f>
        <v>Semaine numéro : 14</v>
      </c>
      <c r="CJ48" s="2535"/>
      <c r="CK48" s="2536"/>
      <c r="CL48" s="875" t="str">
        <f>+IF(CL34="","",CL34)</f>
        <v/>
      </c>
      <c r="CM48" s="656">
        <f>+IF(CL48="",IF(AND(CP48&gt;0,CO48&gt;0),CP48+CO48,IF(CQ48&gt;0,0,CO48)),CL48)</f>
        <v>0</v>
      </c>
      <c r="CN48" s="655">
        <f>IF(CM48&gt;45,CM48-45,0)</f>
        <v>0</v>
      </c>
      <c r="CO48" s="196">
        <f>+SUMIF(Avril!$BK$20:$BK$50,Avril!AT4,$CG$18:$CG$48)</f>
        <v>0</v>
      </c>
      <c r="CP48" s="196">
        <f>+SUMIF(Mars!$BK$20:$BK$50,Avril!AT4,'Retenue Mars'!$CG$18:$CG$48)</f>
        <v>0</v>
      </c>
      <c r="CQ48" s="196">
        <f>+SUMIF(Mai!$BK$20:$BK$50,Avril!AT4,'Retenue Mai'!$CG$18:$CG$48)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IF(+Avril!AG50="",0,Avril!AG50)</f>
        <v>0</v>
      </c>
      <c r="DZ48" s="16">
        <f>+IF(Avril!AJ50="",0,Avril!AJ50)</f>
        <v>0</v>
      </c>
      <c r="EA48" s="16">
        <f>+IF(Avril!AM50="",0,Avril!AM50)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Avril!FS50</f>
        <v/>
      </c>
    </row>
    <row r="49" spans="2:139" ht="18" customHeight="1" thickBot="1" x14ac:dyDescent="0.25">
      <c r="N49" s="24"/>
      <c r="O49" s="24"/>
      <c r="P49" s="24"/>
      <c r="Q49" s="24"/>
      <c r="R49" s="24"/>
      <c r="S49" s="1325"/>
      <c r="U49" s="1301"/>
      <c r="V49" s="1301"/>
      <c r="W49" s="2538" t="str">
        <f t="shared" si="55"/>
        <v>Semaine numéro : 15</v>
      </c>
      <c r="X49" s="2538"/>
      <c r="Y49" s="2538"/>
      <c r="Z49" s="1323" t="str">
        <f t="shared" ref="Z49:Z53" si="57">+IF(Z35="","",Z35)</f>
        <v/>
      </c>
      <c r="AA49" s="1316">
        <f t="shared" ref="AA49:AA53" si="58">+IF(Z49="",IF(AND(AD49&gt;0,AC49&gt;0),AD49+AC49,IF(AE49&gt;0,0,AC49)),Z49)</f>
        <v>0</v>
      </c>
      <c r="AB49" s="1316">
        <f t="shared" ref="AB49:AB53" si="59">IF(AA49&gt;45,AA49-45,0)</f>
        <v>0</v>
      </c>
      <c r="AC49" s="1322">
        <f>+SUMIF(Avril!$BK$20:$BK$50,Avril!AT5,$D$18:$D$48)-SUMIF(Avril!$BK$20:$BK$50,Avril!AT5,$E$18:$E$48)</f>
        <v>0</v>
      </c>
      <c r="AD49" s="1322">
        <f>+SUMIF(Mars!$BK$20:$BK$50,Avril!AT5,'Retenue Mars'!$D$18:$D$48)-SUMIF(Mars!$BK$20:$BK$50,Avril!AT5,'Retenue Mars'!$E$18:$E$48)</f>
        <v>0</v>
      </c>
      <c r="AE49" s="1322">
        <f>+SUMIF(Mai!$BK$20:$BK$50,Avril!AT5,'Retenue Mai'!$D$18:$D$48)-SUMIF(Mai!$BK$20:$BK$50,Avril!AT5,'Retenue Mai'!$E$18:$E$48)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15</v>
      </c>
      <c r="CJ49" s="2535"/>
      <c r="CK49" s="2536"/>
      <c r="CL49" s="875" t="str">
        <f t="shared" ref="CL49:CL53" si="61">+IF(CL35="","",CL35)</f>
        <v/>
      </c>
      <c r="CM49" s="656">
        <f t="shared" ref="CM49:CM53" si="62">+IF(CL49="",IF(AND(CP49&gt;0,CO49&gt;0),CP49+CO49,IF(CQ49&gt;0,0,CO49)),CL49)</f>
        <v>0</v>
      </c>
      <c r="CN49" s="655">
        <f t="shared" ref="CN49:CN53" si="63">IF(CM49&gt;45,CM49-45,0)</f>
        <v>0</v>
      </c>
      <c r="CO49" s="196">
        <f>+SUMIF(Avril!$BK$20:$BK$50,Avril!AT5,$CG$18:$CG$48)</f>
        <v>0</v>
      </c>
      <c r="CP49" s="196">
        <f>+SUMIF(Mars!$BK$20:$BK$50,Avril!AT5,'Retenue Mars'!$CG$18:$CG$48)</f>
        <v>0</v>
      </c>
      <c r="CQ49" s="196">
        <f>+SUMIF(Mai!$BK$20:$BK$50,Avril!AT5,'Retenue Mai'!$CG$18:$CG$48)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16</v>
      </c>
      <c r="X50" s="2538"/>
      <c r="Y50" s="2538"/>
      <c r="Z50" s="1323" t="str">
        <f t="shared" si="57"/>
        <v/>
      </c>
      <c r="AA50" s="1316">
        <f t="shared" si="58"/>
        <v>0</v>
      </c>
      <c r="AB50" s="1316">
        <f t="shared" si="59"/>
        <v>0</v>
      </c>
      <c r="AC50" s="1322">
        <f>+SUMIF(Avril!$BK$20:$BK$50,Avril!AT6,$D$18:$D$48)-SUMIF(Avril!$BK$20:$BK$50,Avril!AT6,$E$18:$E$48)</f>
        <v>0</v>
      </c>
      <c r="AD50" s="1322">
        <f>+SUMIF(Mars!$BK$20:$BK$50,Avril!AT6,'Retenue Mars'!$D$18:$D$48)-SUMIF(Mars!$BK$20:$BK$50,Avril!AT6,'Retenue Mars'!$E$18:$E$48)</f>
        <v>0</v>
      </c>
      <c r="AE50" s="1322">
        <f>+SUMIF(Mai!$BK$20:$BK$50,Avril!AT6,'Retenue Mai'!$D$18:$D$48)-SUMIF(Mai!$BK$20:$BK$50,Avril!AT6,'Retenue Mai'!$E$18:$E$48)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16</v>
      </c>
      <c r="CJ50" s="2535"/>
      <c r="CK50" s="2536"/>
      <c r="CL50" s="875" t="str">
        <f t="shared" si="61"/>
        <v/>
      </c>
      <c r="CM50" s="656">
        <f t="shared" si="62"/>
        <v>0</v>
      </c>
      <c r="CN50" s="655">
        <f t="shared" si="63"/>
        <v>0</v>
      </c>
      <c r="CO50" s="196">
        <f>+SUMIF(Avril!$BK$20:$BK$50,Avril!AT6,$CG$18:$CG$48)</f>
        <v>0</v>
      </c>
      <c r="CP50" s="196">
        <f>+SUMIF(Mars!$BK$20:$BK$50,Avril!AT6,'Retenue Mars'!$CG$18:$CG$48)</f>
        <v>0</v>
      </c>
      <c r="CQ50" s="196">
        <f>+SUMIF(Mai!$BK$20:$BK$50,Avril!AT6,'Retenue Mai'!$CG$18:$CG$48)</f>
        <v>0</v>
      </c>
      <c r="CR50" s="656">
        <f t="shared" si="64"/>
        <v>0</v>
      </c>
    </row>
    <row r="51" spans="2:139" ht="19.5" customHeight="1" thickBot="1" x14ac:dyDescent="0.25">
      <c r="B51" s="24"/>
      <c r="C51" s="24"/>
      <c r="D51" s="181" t="s">
        <v>1205</v>
      </c>
      <c r="E51" s="24">
        <f>+COUNTIF(C18:C48,"&gt;0")-E52</f>
        <v>30</v>
      </c>
      <c r="N51" s="24"/>
      <c r="O51" s="24"/>
      <c r="P51" s="24"/>
      <c r="Q51" s="24"/>
      <c r="R51" s="24"/>
      <c r="S51" s="1327"/>
      <c r="U51" s="1301"/>
      <c r="V51" s="1301"/>
      <c r="W51" s="2538" t="str">
        <f t="shared" si="55"/>
        <v>Semaine numéro : 17</v>
      </c>
      <c r="X51" s="2538"/>
      <c r="Y51" s="2538"/>
      <c r="Z51" s="1323" t="str">
        <f t="shared" si="57"/>
        <v/>
      </c>
      <c r="AA51" s="1316">
        <f t="shared" si="58"/>
        <v>0</v>
      </c>
      <c r="AB51" s="1316">
        <f t="shared" si="59"/>
        <v>0</v>
      </c>
      <c r="AC51" s="1322">
        <f>+SUMIF(Avril!$BK$20:$BK$50,Avril!AT7,$D$18:$D$48)-SUMIF(Avril!$BK$20:$BK$50,Avril!AT7,$E$18:$E$48)</f>
        <v>0</v>
      </c>
      <c r="AD51" s="1322">
        <f>+SUMIF(Mars!$BK$20:$BK$50,Avril!AT7,'Retenue Mars'!$D$18:$D$48)-SUMIF(Mars!$BK$20:$BK$50,Avril!AT7,'Retenue Mars'!$E$18:$E$48)</f>
        <v>0</v>
      </c>
      <c r="AE51" s="1322">
        <f>+SUMIF(Mai!$BK$20:$BK$50,Avril!AT7,'Retenue Mai'!$D$18:$D$48)-SUMIF(Mai!$BK$20:$BK$50,Avril!AT7,'Retenue Mai'!$E$18:$E$48)</f>
        <v>0</v>
      </c>
      <c r="AF51" s="1316">
        <f t="shared" si="60"/>
        <v>0</v>
      </c>
      <c r="AG51" s="1327"/>
      <c r="AJ51" s="1304"/>
      <c r="AK51" s="1305"/>
      <c r="AL51" s="1307"/>
      <c r="BA51" s="328"/>
      <c r="BD51" s="351" t="s">
        <v>746</v>
      </c>
      <c r="BE51" s="192">
        <f>+SUMIFS(BE18:BE48,BF18:BF48,S.CAL!BJ3)</f>
        <v>0</v>
      </c>
      <c r="BF51" s="352">
        <f>IF(Avril!AZ90="",+COUNTIF(BF18:BF48,S.CAL!BJ3),Avril!AZ90)</f>
        <v>0</v>
      </c>
      <c r="BL51" s="35"/>
      <c r="CD51" s="328"/>
      <c r="CI51" s="2534" t="str">
        <f t="shared" si="56"/>
        <v>Semaine numéro : 17</v>
      </c>
      <c r="CJ51" s="2535"/>
      <c r="CK51" s="2536"/>
      <c r="CL51" s="875" t="str">
        <f t="shared" si="61"/>
        <v/>
      </c>
      <c r="CM51" s="656">
        <f t="shared" si="62"/>
        <v>0</v>
      </c>
      <c r="CN51" s="655">
        <f t="shared" si="63"/>
        <v>0</v>
      </c>
      <c r="CO51" s="196">
        <f>+SUMIF(Avril!$BK$20:$BK$50,Avril!AT7,$CG$18:$CG$48)</f>
        <v>0</v>
      </c>
      <c r="CP51" s="196">
        <f>+SUMIF(Mars!$BK$20:$BK$50,Avril!AT7,'Retenue Mars'!$CG$18:$CG$48)</f>
        <v>0</v>
      </c>
      <c r="CQ51" s="196">
        <f>+SUMIF(Mai!$BK$20:$BK$50,Avril!AT7,'Retenue Mai'!$CG$18:$CG$48)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18</v>
      </c>
      <c r="X52" s="2538"/>
      <c r="Y52" s="2538"/>
      <c r="Z52" s="1323" t="str">
        <f t="shared" si="57"/>
        <v/>
      </c>
      <c r="AA52" s="1316">
        <f t="shared" si="58"/>
        <v>0</v>
      </c>
      <c r="AB52" s="1316">
        <f t="shared" si="59"/>
        <v>0</v>
      </c>
      <c r="AC52" s="1322">
        <f>+SUMIF(Avril!$BK$20:$BK$50,Avril!AT8,$D$18:$D$48)-SUMIF(Avril!$BK$20:$BK$50,Avril!AT8,$E$18:$E$48)</f>
        <v>0</v>
      </c>
      <c r="AD52" s="1322">
        <f>+SUMIF(Mars!$BK$20:$BK$50,Avril!AT8,'Retenue Mars'!$D$18:$D$48)-SUMIF(Mars!$BK$20:$BK$50,Avril!AT8,'Retenue Mars'!$E$18:$E$48)</f>
        <v>0</v>
      </c>
      <c r="AE52" s="1322">
        <f>+SUMIF(Mai!$BK$20:$BK$50,Avril!AT8,'Retenue Mai'!$D$18:$D$48)-SUMIF(Mai!$BK$20:$BK$50,Avril!AT8,'Retenue Mai'!$E$18:$E$48)</f>
        <v>0</v>
      </c>
      <c r="AF52" s="1316">
        <f t="shared" si="60"/>
        <v>0</v>
      </c>
      <c r="AO52" s="1189" t="s">
        <v>1110</v>
      </c>
      <c r="AP52" s="1326">
        <f>IF(AL22,+ROUND((AQ48+SUM(AQ39:AQ46))*AL34/AL22*Q11,2),0)</f>
        <v>0</v>
      </c>
      <c r="BA52" s="328"/>
      <c r="BD52" s="1341" t="s">
        <v>696</v>
      </c>
      <c r="BE52" s="1342">
        <f>+SUMIFS(BE18:BE48,BF18:BF48,S.CAL!BJ4)</f>
        <v>0</v>
      </c>
      <c r="BF52" s="1343">
        <f>IF(Avril!BA90="",+COUNTIF(BF18:BF48,S.CAL!BJ4),Avril!BA90)</f>
        <v>0</v>
      </c>
      <c r="BL52" s="35"/>
      <c r="BU52" s="16" t="s">
        <v>776</v>
      </c>
      <c r="BW52" s="339">
        <f>+BR46+BR49+BZ46+BZ49</f>
        <v>0</v>
      </c>
      <c r="CD52" s="328"/>
      <c r="CI52" s="2534" t="str">
        <f t="shared" si="56"/>
        <v>Semaine numéro : 18</v>
      </c>
      <c r="CJ52" s="2535"/>
      <c r="CK52" s="2536"/>
      <c r="CL52" s="875" t="str">
        <f t="shared" si="61"/>
        <v/>
      </c>
      <c r="CM52" s="656">
        <f t="shared" si="62"/>
        <v>0</v>
      </c>
      <c r="CN52" s="655">
        <f t="shared" si="63"/>
        <v>0</v>
      </c>
      <c r="CO52" s="196">
        <f>+SUMIF(Avril!$BK$20:$BK$50,Avril!AT8,$CG$18:$CG$48)</f>
        <v>0</v>
      </c>
      <c r="CP52" s="196">
        <f>+SUMIF(Mars!$BK$20:$BK$50,Avril!AT8,'Retenue Mars'!$CG$18:$CG$48)</f>
        <v>0</v>
      </c>
      <c r="CQ52" s="196">
        <f>+SUMIF(Mai!$BK$20:$BK$50,Avril!AT8,'Retenue Mai'!$CG$18:$CG$48)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 xml:space="preserve">Semaine numéro : </v>
      </c>
      <c r="X53" s="2538"/>
      <c r="Y53" s="2538"/>
      <c r="Z53" s="1323" t="str">
        <f t="shared" si="57"/>
        <v/>
      </c>
      <c r="AA53" s="1316">
        <f t="shared" si="58"/>
        <v>0</v>
      </c>
      <c r="AB53" s="1316">
        <f t="shared" si="59"/>
        <v>0</v>
      </c>
      <c r="AC53" s="1322">
        <f>+SUMIF(Avril!$BK$20:$BK$50,Avril!AT9,$D$18:$D$48)-SUMIF(Avril!$BK$20:$BK$50,Avril!AT9,$E$18:$E$48)</f>
        <v>0</v>
      </c>
      <c r="AD53" s="1322">
        <f>+SUMIF(Mars!$BK$20:$BK$50,Avril!AT9,'Retenue Mars'!$D$18:$D$48)-SUMIF(Mars!$BK$20:$BK$50,Avril!AT9,'Retenue Mars'!$E$18:$E$48)</f>
        <v>0</v>
      </c>
      <c r="AE53" s="1322">
        <f>+SUMIF(Mai!$BK$20:$BK$50,Avril!AT9,'Retenue Mai'!$D$18:$D$48)-SUMIF(Mai!$BK$20:$BK$50,Avril!AT9,'Retenue Mai'!$E$18:$E$48)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 xml:space="preserve">Semaine numéro : </v>
      </c>
      <c r="CJ53" s="2535"/>
      <c r="CK53" s="2536"/>
      <c r="CL53" s="875" t="str">
        <f t="shared" si="61"/>
        <v/>
      </c>
      <c r="CM53" s="656">
        <f t="shared" si="62"/>
        <v>0</v>
      </c>
      <c r="CN53" s="655">
        <f t="shared" si="63"/>
        <v>0</v>
      </c>
      <c r="CO53" s="196">
        <f>+SUMIF(Avril!$BK$20:$BK$50,Avril!AT9,$CG$18:$CG$48)</f>
        <v>0</v>
      </c>
      <c r="CP53" s="196">
        <f>+SUMIF(Mars!$BK$20:$BK$50,Avril!AT9,'Retenue Mars'!$CG$18:$CG$48)</f>
        <v>0</v>
      </c>
      <c r="CQ53" s="196">
        <f>+SUMIF(Mai!$BK$20:$BK$50,Avril!AT9,'Retenue Mai'!$CG$18:$CG$48)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63">
        <f>B17</f>
        <v>46113</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46113</v>
      </c>
      <c r="C57" s="169">
        <f t="shared" si="65"/>
        <v>46113</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46114</v>
      </c>
      <c r="C58" s="170">
        <f t="shared" si="65"/>
        <v>46114</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46115</v>
      </c>
      <c r="C59" s="170">
        <f t="shared" si="65"/>
        <v>46115</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46116</v>
      </c>
      <c r="C60" s="170">
        <f t="shared" si="65"/>
        <v>46116</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46117</v>
      </c>
      <c r="C61" s="170">
        <f t="shared" si="65"/>
        <v>46117</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46118</v>
      </c>
      <c r="C62" s="170">
        <f t="shared" si="65"/>
        <v>46118</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46119</v>
      </c>
      <c r="C63" s="170">
        <f t="shared" si="65"/>
        <v>46119</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46120</v>
      </c>
      <c r="C64" s="170">
        <f t="shared" si="65"/>
        <v>46120</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46121</v>
      </c>
      <c r="C65" s="170">
        <f t="shared" si="65"/>
        <v>46121</v>
      </c>
      <c r="D65" s="171" t="str">
        <f t="shared" si="66"/>
        <v/>
      </c>
      <c r="E65" s="171" t="str">
        <f t="shared" si="69"/>
        <v/>
      </c>
      <c r="F65" s="1531" t="str">
        <f t="shared" si="67"/>
        <v/>
      </c>
      <c r="G65" s="1531" t="str">
        <f t="shared" si="68"/>
        <v/>
      </c>
      <c r="BA65" s="328"/>
      <c r="CD65" s="328"/>
    </row>
    <row r="66" spans="2:82" x14ac:dyDescent="0.2">
      <c r="B66" s="107">
        <f t="shared" si="65"/>
        <v>46122</v>
      </c>
      <c r="C66" s="170">
        <f t="shared" si="65"/>
        <v>46122</v>
      </c>
      <c r="D66" s="171" t="str">
        <f t="shared" si="66"/>
        <v/>
      </c>
      <c r="E66" s="171" t="str">
        <f t="shared" si="69"/>
        <v/>
      </c>
      <c r="F66" s="1531" t="str">
        <f t="shared" si="67"/>
        <v/>
      </c>
      <c r="G66" s="1531" t="str">
        <f t="shared" si="68"/>
        <v/>
      </c>
      <c r="BA66" s="328"/>
      <c r="CD66" s="328"/>
    </row>
    <row r="67" spans="2:82" x14ac:dyDescent="0.2">
      <c r="B67" s="107">
        <f t="shared" si="65"/>
        <v>46123</v>
      </c>
      <c r="C67" s="170">
        <f t="shared" si="65"/>
        <v>46123</v>
      </c>
      <c r="D67" s="171" t="str">
        <f t="shared" si="66"/>
        <v/>
      </c>
      <c r="E67" s="171" t="str">
        <f t="shared" si="69"/>
        <v/>
      </c>
      <c r="F67" s="1531" t="str">
        <f t="shared" si="67"/>
        <v/>
      </c>
      <c r="G67" s="1531" t="str">
        <f t="shared" si="68"/>
        <v/>
      </c>
      <c r="BA67" s="328"/>
      <c r="CD67" s="328"/>
    </row>
    <row r="68" spans="2:82" x14ac:dyDescent="0.2">
      <c r="B68" s="107">
        <f t="shared" si="65"/>
        <v>46124</v>
      </c>
      <c r="C68" s="170">
        <f t="shared" si="65"/>
        <v>46124</v>
      </c>
      <c r="D68" s="171" t="str">
        <f t="shared" si="66"/>
        <v/>
      </c>
      <c r="E68" s="171" t="str">
        <f t="shared" si="69"/>
        <v/>
      </c>
      <c r="F68" s="1531" t="str">
        <f t="shared" si="67"/>
        <v/>
      </c>
      <c r="G68" s="1531" t="str">
        <f t="shared" si="68"/>
        <v/>
      </c>
      <c r="AI68" s="1332" t="s">
        <v>329</v>
      </c>
      <c r="BA68" s="328"/>
      <c r="CD68" s="328"/>
    </row>
    <row r="69" spans="2:82" x14ac:dyDescent="0.2">
      <c r="B69" s="107">
        <f t="shared" si="65"/>
        <v>46125</v>
      </c>
      <c r="C69" s="170">
        <f t="shared" si="65"/>
        <v>46125</v>
      </c>
      <c r="D69" s="171" t="str">
        <f t="shared" si="66"/>
        <v/>
      </c>
      <c r="E69" s="171" t="str">
        <f t="shared" si="69"/>
        <v/>
      </c>
      <c r="F69" s="1531" t="str">
        <f t="shared" si="67"/>
        <v/>
      </c>
      <c r="G69" s="1531" t="str">
        <f t="shared" si="68"/>
        <v/>
      </c>
      <c r="BA69" s="328"/>
      <c r="CD69" s="328"/>
    </row>
    <row r="70" spans="2:82" x14ac:dyDescent="0.2">
      <c r="B70" s="107">
        <f t="shared" si="65"/>
        <v>46126</v>
      </c>
      <c r="C70" s="170">
        <f t="shared" si="65"/>
        <v>46126</v>
      </c>
      <c r="D70" s="171" t="str">
        <f t="shared" si="66"/>
        <v/>
      </c>
      <c r="E70" s="171" t="str">
        <f t="shared" si="69"/>
        <v/>
      </c>
      <c r="F70" s="1531" t="str">
        <f t="shared" si="67"/>
        <v/>
      </c>
      <c r="G70" s="1531" t="str">
        <f t="shared" si="68"/>
        <v/>
      </c>
      <c r="AI70" s="563" t="s">
        <v>330</v>
      </c>
      <c r="BA70" s="328"/>
      <c r="CD70" s="328"/>
    </row>
    <row r="71" spans="2:82" x14ac:dyDescent="0.2">
      <c r="B71" s="107">
        <f t="shared" si="65"/>
        <v>46127</v>
      </c>
      <c r="C71" s="170">
        <f t="shared" si="65"/>
        <v>46127</v>
      </c>
      <c r="D71" s="171" t="str">
        <f t="shared" si="66"/>
        <v/>
      </c>
      <c r="E71" s="171" t="str">
        <f t="shared" si="69"/>
        <v/>
      </c>
      <c r="F71" s="1531" t="str">
        <f t="shared" si="67"/>
        <v/>
      </c>
      <c r="G71" s="1531" t="str">
        <f t="shared" si="68"/>
        <v/>
      </c>
      <c r="AI71" s="1333" t="s">
        <v>331</v>
      </c>
      <c r="BA71" s="328"/>
      <c r="CD71" s="328"/>
    </row>
    <row r="72" spans="2:82" x14ac:dyDescent="0.2">
      <c r="B72" s="107">
        <f t="shared" si="65"/>
        <v>46128</v>
      </c>
      <c r="C72" s="170">
        <f t="shared" si="65"/>
        <v>46128</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46129</v>
      </c>
      <c r="C73" s="170">
        <f t="shared" si="70"/>
        <v>46129</v>
      </c>
      <c r="D73" s="171" t="str">
        <f t="shared" si="66"/>
        <v/>
      </c>
      <c r="E73" s="171" t="str">
        <f t="shared" si="69"/>
        <v/>
      </c>
      <c r="F73" s="1531" t="str">
        <f t="shared" si="67"/>
        <v/>
      </c>
      <c r="G73" s="1531" t="str">
        <f t="shared" si="68"/>
        <v/>
      </c>
      <c r="BA73" s="328"/>
      <c r="CD73" s="328"/>
    </row>
    <row r="74" spans="2:82" x14ac:dyDescent="0.2">
      <c r="B74" s="107">
        <f t="shared" si="70"/>
        <v>46130</v>
      </c>
      <c r="C74" s="170">
        <f t="shared" si="70"/>
        <v>46130</v>
      </c>
      <c r="D74" s="171" t="str">
        <f t="shared" si="66"/>
        <v/>
      </c>
      <c r="E74" s="171" t="str">
        <f t="shared" si="69"/>
        <v/>
      </c>
      <c r="F74" s="1531" t="str">
        <f t="shared" si="67"/>
        <v/>
      </c>
      <c r="G74" s="1531" t="str">
        <f t="shared" si="68"/>
        <v/>
      </c>
      <c r="AI74" s="563" t="s">
        <v>332</v>
      </c>
      <c r="BA74" s="328"/>
      <c r="CD74" s="328"/>
    </row>
    <row r="75" spans="2:82" x14ac:dyDescent="0.2">
      <c r="B75" s="107">
        <f t="shared" si="70"/>
        <v>46131</v>
      </c>
      <c r="C75" s="170">
        <f t="shared" si="70"/>
        <v>46131</v>
      </c>
      <c r="D75" s="171" t="str">
        <f t="shared" si="66"/>
        <v/>
      </c>
      <c r="E75" s="171" t="str">
        <f t="shared" si="69"/>
        <v/>
      </c>
      <c r="F75" s="1531" t="str">
        <f t="shared" si="67"/>
        <v/>
      </c>
      <c r="G75" s="1531" t="str">
        <f t="shared" si="68"/>
        <v/>
      </c>
      <c r="AI75" s="1333" t="s">
        <v>333</v>
      </c>
      <c r="BA75" s="328"/>
      <c r="CD75" s="328"/>
    </row>
    <row r="76" spans="2:82" x14ac:dyDescent="0.2">
      <c r="B76" s="107">
        <f t="shared" si="70"/>
        <v>46132</v>
      </c>
      <c r="C76" s="170">
        <f t="shared" si="70"/>
        <v>46132</v>
      </c>
      <c r="D76" s="171" t="str">
        <f t="shared" si="66"/>
        <v/>
      </c>
      <c r="E76" s="171" t="str">
        <f t="shared" si="69"/>
        <v/>
      </c>
      <c r="F76" s="1531" t="str">
        <f t="shared" si="67"/>
        <v/>
      </c>
      <c r="G76" s="1531" t="str">
        <f t="shared" si="68"/>
        <v/>
      </c>
      <c r="BA76" s="328"/>
      <c r="CD76" s="328"/>
    </row>
    <row r="77" spans="2:82" x14ac:dyDescent="0.2">
      <c r="B77" s="107">
        <f t="shared" si="70"/>
        <v>46133</v>
      </c>
      <c r="C77" s="170">
        <f t="shared" si="70"/>
        <v>46133</v>
      </c>
      <c r="D77" s="171" t="str">
        <f t="shared" si="66"/>
        <v/>
      </c>
      <c r="E77" s="171" t="str">
        <f t="shared" si="69"/>
        <v/>
      </c>
      <c r="F77" s="1531" t="str">
        <f t="shared" si="67"/>
        <v/>
      </c>
      <c r="G77" s="1531" t="str">
        <f t="shared" si="68"/>
        <v/>
      </c>
      <c r="AI77" s="563" t="s">
        <v>334</v>
      </c>
      <c r="BA77" s="328"/>
      <c r="CD77" s="328"/>
    </row>
    <row r="78" spans="2:82" x14ac:dyDescent="0.2">
      <c r="B78" s="107">
        <f t="shared" si="70"/>
        <v>46134</v>
      </c>
      <c r="C78" s="170">
        <f t="shared" si="70"/>
        <v>46134</v>
      </c>
      <c r="D78" s="171" t="str">
        <f t="shared" si="66"/>
        <v/>
      </c>
      <c r="E78" s="171" t="str">
        <f t="shared" si="69"/>
        <v/>
      </c>
      <c r="F78" s="1531" t="str">
        <f t="shared" si="67"/>
        <v/>
      </c>
      <c r="G78" s="1531" t="str">
        <f t="shared" si="68"/>
        <v/>
      </c>
      <c r="AI78" s="1333" t="s">
        <v>680</v>
      </c>
      <c r="BA78" s="328"/>
      <c r="CD78" s="328"/>
    </row>
    <row r="79" spans="2:82" x14ac:dyDescent="0.2">
      <c r="B79" s="107">
        <f t="shared" si="70"/>
        <v>46135</v>
      </c>
      <c r="C79" s="170">
        <f t="shared" si="70"/>
        <v>46135</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46136</v>
      </c>
      <c r="C80" s="170">
        <f t="shared" si="70"/>
        <v>46136</v>
      </c>
      <c r="D80" s="171" t="str">
        <f t="shared" si="66"/>
        <v/>
      </c>
      <c r="E80" s="171" t="str">
        <f t="shared" si="69"/>
        <v/>
      </c>
      <c r="F80" s="1531" t="str">
        <f t="shared" si="67"/>
        <v/>
      </c>
      <c r="G80" s="1531" t="str">
        <f t="shared" si="68"/>
        <v/>
      </c>
      <c r="BA80" s="328"/>
      <c r="CD80" s="328"/>
    </row>
    <row r="81" spans="2:82" x14ac:dyDescent="0.2">
      <c r="B81" s="107">
        <f t="shared" si="70"/>
        <v>46137</v>
      </c>
      <c r="C81" s="170">
        <f t="shared" si="70"/>
        <v>46137</v>
      </c>
      <c r="D81" s="171" t="str">
        <f t="shared" si="66"/>
        <v/>
      </c>
      <c r="E81" s="171" t="str">
        <f t="shared" si="69"/>
        <v/>
      </c>
      <c r="F81" s="1531" t="str">
        <f t="shared" si="67"/>
        <v/>
      </c>
      <c r="G81" s="1531" t="str">
        <f t="shared" si="68"/>
        <v/>
      </c>
      <c r="AI81" s="563" t="s">
        <v>518</v>
      </c>
      <c r="BA81" s="328"/>
      <c r="CD81" s="328"/>
    </row>
    <row r="82" spans="2:82" x14ac:dyDescent="0.2">
      <c r="B82" s="107">
        <f t="shared" si="70"/>
        <v>46138</v>
      </c>
      <c r="C82" s="170">
        <f t="shared" si="70"/>
        <v>46138</v>
      </c>
      <c r="D82" s="171" t="str">
        <f t="shared" si="66"/>
        <v/>
      </c>
      <c r="E82" s="171" t="str">
        <f t="shared" si="69"/>
        <v/>
      </c>
      <c r="F82" s="1531" t="str">
        <f t="shared" si="67"/>
        <v/>
      </c>
      <c r="G82" s="1531" t="str">
        <f t="shared" si="68"/>
        <v/>
      </c>
      <c r="AI82" s="1333" t="s">
        <v>681</v>
      </c>
      <c r="BA82" s="328"/>
      <c r="CD82" s="328"/>
    </row>
    <row r="83" spans="2:82" x14ac:dyDescent="0.2">
      <c r="B83" s="107">
        <f t="shared" si="70"/>
        <v>46139</v>
      </c>
      <c r="C83" s="170">
        <f t="shared" si="70"/>
        <v>46139</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46140</v>
      </c>
      <c r="C84" s="170">
        <f t="shared" si="70"/>
        <v>46140</v>
      </c>
      <c r="D84" s="171" t="str">
        <f t="shared" si="66"/>
        <v/>
      </c>
      <c r="E84" s="171" t="str">
        <f t="shared" si="69"/>
        <v/>
      </c>
      <c r="F84" s="1531" t="str">
        <f t="shared" si="67"/>
        <v/>
      </c>
      <c r="G84" s="1531" t="str">
        <f t="shared" si="68"/>
        <v/>
      </c>
      <c r="BA84" s="328"/>
      <c r="CD84" s="328"/>
    </row>
    <row r="85" spans="2:82" x14ac:dyDescent="0.2">
      <c r="B85" s="107">
        <f t="shared" si="70"/>
        <v>46141</v>
      </c>
      <c r="C85" s="170">
        <f t="shared" si="70"/>
        <v>46141</v>
      </c>
      <c r="D85" s="171" t="str">
        <f t="shared" si="66"/>
        <v/>
      </c>
      <c r="E85" s="171" t="str">
        <f t="shared" si="69"/>
        <v/>
      </c>
      <c r="F85" s="1531" t="str">
        <f t="shared" si="67"/>
        <v/>
      </c>
      <c r="G85" s="1531" t="str">
        <f t="shared" si="68"/>
        <v/>
      </c>
      <c r="AI85" s="1333" t="s">
        <v>335</v>
      </c>
      <c r="BA85" s="328"/>
      <c r="CD85" s="328"/>
    </row>
    <row r="86" spans="2:82" x14ac:dyDescent="0.2">
      <c r="B86" s="107">
        <f t="shared" si="70"/>
        <v>46142</v>
      </c>
      <c r="C86" s="170">
        <f t="shared" si="70"/>
        <v>46142</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3NMdqm5ieei+y0NCLaUix4fNph56CbdideitWhLpzGQQpqMmacmkbKQGf7bIYQrl6fcG1OB4/4hjH7sc5DMykg==" saltValue="B8W0NFQ1GE6ETDpsBdos7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705" priority="36">
      <formula>$R$3=$A$5</formula>
    </cfRule>
  </conditionalFormatting>
  <conditionalFormatting sqref="M19:Q23">
    <cfRule type="expression" dxfId="3704" priority="13">
      <formula>$E$11&gt;0</formula>
    </cfRule>
  </conditionalFormatting>
  <conditionalFormatting sqref="M26:R46">
    <cfRule type="expression" dxfId="3703" priority="3">
      <formula>$E$11=0</formula>
    </cfRule>
  </conditionalFormatting>
  <conditionalFormatting sqref="P17">
    <cfRule type="expression" dxfId="3702" priority="16">
      <formula>$E$11=0</formula>
    </cfRule>
  </conditionalFormatting>
  <conditionalFormatting sqref="P30">
    <cfRule type="expression" dxfId="3701" priority="7">
      <formula>AND($R$3="Méthode 1",$E$11&lt;0)</formula>
    </cfRule>
  </conditionalFormatting>
  <conditionalFormatting sqref="P33">
    <cfRule type="expression" dxfId="3700" priority="6">
      <formula>AND($R$3="Méthode 1",$E$11&lt;0)</formula>
    </cfRule>
  </conditionalFormatting>
  <conditionalFormatting sqref="Q17">
    <cfRule type="cellIs" dxfId="3699" priority="15" operator="equal">
      <formula>0</formula>
    </cfRule>
  </conditionalFormatting>
  <conditionalFormatting sqref="Q42">
    <cfRule type="expression" dxfId="3698" priority="5">
      <formula>AND($R$3="Méthode 1",$E$11&lt;0)</formula>
    </cfRule>
  </conditionalFormatting>
  <conditionalFormatting sqref="Q45">
    <cfRule type="expression" dxfId="3697" priority="4">
      <formula>AND($R$3="Méthode 1",$E$11&lt;0)</formula>
    </cfRule>
  </conditionalFormatting>
  <conditionalFormatting sqref="S7:AF7">
    <cfRule type="expression" dxfId="3696" priority="35">
      <formula>$R$3=$T$5</formula>
    </cfRule>
  </conditionalFormatting>
  <conditionalFormatting sqref="W19">
    <cfRule type="expression" dxfId="3695" priority="40">
      <formula>$EF$14=1</formula>
    </cfRule>
  </conditionalFormatting>
  <conditionalFormatting sqref="W21">
    <cfRule type="expression" dxfId="3694" priority="39">
      <formula>$EF$14=1</formula>
    </cfRule>
  </conditionalFormatting>
  <conditionalFormatting sqref="AC19">
    <cfRule type="expression" dxfId="3693" priority="38">
      <formula>$EF$14=1</formula>
    </cfRule>
  </conditionalFormatting>
  <conditionalFormatting sqref="AC21">
    <cfRule type="expression" dxfId="3692" priority="37">
      <formula>$EF$14=1</formula>
    </cfRule>
  </conditionalFormatting>
  <conditionalFormatting sqref="AH7:AZ7">
    <cfRule type="expression" dxfId="3691" priority="21">
      <formula>$R$3=$AI$5</formula>
    </cfRule>
  </conditionalFormatting>
  <conditionalFormatting sqref="AP50">
    <cfRule type="expression" dxfId="3690" priority="20">
      <formula>$R$3="Méthode 2"</formula>
    </cfRule>
  </conditionalFormatting>
  <conditionalFormatting sqref="AP52">
    <cfRule type="expression" dxfId="3689" priority="19">
      <formula>$R$3="Méthode 2"</formula>
    </cfRule>
  </conditionalFormatting>
  <conditionalFormatting sqref="AP61">
    <cfRule type="expression" dxfId="3688" priority="18">
      <formula>$R$3="Méthode 2"</formula>
    </cfRule>
  </conditionalFormatting>
  <conditionalFormatting sqref="AP64">
    <cfRule type="expression" dxfId="3687" priority="17">
      <formula>$R$3="Méthode 2"</formula>
    </cfRule>
  </conditionalFormatting>
  <conditionalFormatting sqref="BI50">
    <cfRule type="expression" dxfId="3686" priority="28">
      <formula>$BK$3="Méthode 1"</formula>
    </cfRule>
  </conditionalFormatting>
  <conditionalFormatting sqref="BJ29">
    <cfRule type="expression" dxfId="3685" priority="30">
      <formula>$BK$3="Méthode 1"</formula>
    </cfRule>
  </conditionalFormatting>
  <conditionalFormatting sqref="BJ45">
    <cfRule type="expression" dxfId="3684" priority="29">
      <formula>$BK$3="Méthode 1"</formula>
    </cfRule>
  </conditionalFormatting>
  <conditionalFormatting sqref="BR46">
    <cfRule type="expression" dxfId="3683" priority="27">
      <formula>$BK$3="Méthode 2"</formula>
    </cfRule>
  </conditionalFormatting>
  <conditionalFormatting sqref="BR49">
    <cfRule type="expression" dxfId="3682" priority="26">
      <formula>$BK$3="Méthode 2"</formula>
    </cfRule>
  </conditionalFormatting>
  <conditionalFormatting sqref="BW52">
    <cfRule type="expression" dxfId="3681" priority="23">
      <formula>$BK$3="Méthode 2"</formula>
    </cfRule>
  </conditionalFormatting>
  <conditionalFormatting sqref="BW54">
    <cfRule type="expression" dxfId="3680" priority="22">
      <formula>$BK$3="Méthode 2"</formula>
    </cfRule>
  </conditionalFormatting>
  <conditionalFormatting sqref="BZ46">
    <cfRule type="expression" dxfId="3679" priority="25">
      <formula>$BK$3="Méthode 2"</formula>
    </cfRule>
  </conditionalFormatting>
  <conditionalFormatting sqref="BZ49">
    <cfRule type="expression" dxfId="3678" priority="24">
      <formula>$BK$3="Méthode 2"</formula>
    </cfRule>
  </conditionalFormatting>
  <conditionalFormatting sqref="CG18:CG48">
    <cfRule type="cellIs" dxfId="3677" priority="1" operator="equal">
      <formula>0</formula>
    </cfRule>
  </conditionalFormatting>
  <pageMargins left="0.23622047244094491" right="0.23622047244094491" top="0.74803149606299213" bottom="0.74803149606299213" header="0.31496062992125984" footer="0.31496062992125984"/>
  <pageSetup paperSize="9" scale="70" orientation="portrait" horizontalDpi="1200" verticalDpi="1200" r:id="rId1"/>
  <colBreaks count="2" manualBreakCount="2">
    <brk id="52" max="1048575" man="1"/>
    <brk id="63" max="1048575" man="1"/>
  </col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+Mai!DP4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+Mai!AR13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+Mai!AI3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+Mai!I14</f>
        <v>0</v>
      </c>
      <c r="F10" s="149"/>
      <c r="G10" s="149"/>
      <c r="H10" s="149"/>
      <c r="I10" s="149"/>
      <c r="J10" s="149"/>
      <c r="K10" s="149"/>
      <c r="L10" s="149"/>
      <c r="P10" s="29" t="s">
        <v>1441</v>
      </c>
      <c r="Q10" s="338">
        <f>+Mai!P18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+Mai!T18+Mai!T19</f>
        <v>0</v>
      </c>
      <c r="BI10" s="29" t="s">
        <v>1449</v>
      </c>
      <c r="BJ10" s="338">
        <f>+Mai!AL14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+Mai!U14</f>
        <v>0</v>
      </c>
      <c r="F11" s="149"/>
      <c r="G11" s="149"/>
      <c r="H11" s="149"/>
      <c r="I11" s="149"/>
      <c r="J11" s="149"/>
      <c r="K11" s="149"/>
      <c r="L11" s="149"/>
      <c r="M11" s="1179"/>
      <c r="N11" s="181"/>
      <c r="O11" s="1180"/>
      <c r="P11" s="181" t="s">
        <v>1104</v>
      </c>
      <c r="Q11" s="1181">
        <f>+Mai!P19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+BJ10*(1+Mai!N15)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+Mai!X3</f>
        <v>46143</v>
      </c>
      <c r="M13" s="152"/>
      <c r="N13" s="153">
        <f>DATE(YEAR($D$13),MONTH($D$13)+1,DAY($D$13))</f>
        <v>46174</v>
      </c>
      <c r="O13" s="154">
        <f>N13</f>
        <v>46174</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46143</v>
      </c>
      <c r="BF13" s="152"/>
      <c r="BG13" s="153">
        <f>DATE(YEAR($D$13),MONTH($D$13)+1,DAY($D$13))</f>
        <v>46174</v>
      </c>
      <c r="BH13" s="154">
        <f>BG13</f>
        <v>46174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46174</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46143</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46143</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46143</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+Mai!BJ20</f>
        <v>Fiche infoA5</v>
      </c>
      <c r="B18" s="168">
        <f>+D13</f>
        <v>46143</v>
      </c>
      <c r="C18" s="169">
        <f>+$D$13</f>
        <v>46143</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Mai!BC20</f>
        <v>0</v>
      </c>
      <c r="J18" s="34">
        <f>Mai!BE20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infoA5</v>
      </c>
      <c r="BB18" s="168">
        <f>+BD13</f>
        <v>46143</v>
      </c>
      <c r="BC18" s="169">
        <f>+$D$13</f>
        <v>46143</v>
      </c>
      <c r="BD18" s="171" t="str">
        <f>+D18</f>
        <v/>
      </c>
      <c r="BE18" s="335" t="str">
        <f>+IF(OR(BF18=S.CAL!$BJ$3,BF18=S.CAL!$BJ$4),BD18,"")</f>
        <v/>
      </c>
      <c r="BF18" s="332">
        <f>IF($DY$5=S.CAL!$CU$2,Mai!AR20,IF($DY$5=S.CAL!$CU$3,VLOOKUP(BC18,planning_fp,7,FALSE),""))</f>
        <v>0</v>
      </c>
      <c r="BG18" s="344" t="str">
        <f>Mai!BL20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46143</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IF(+Mai!AG20="",0,Mai!AG20)</f>
        <v>0</v>
      </c>
      <c r="DZ18" s="16">
        <f>+IF(Mai!AJ20="",0,Mai!AJ20)</f>
        <v>0</v>
      </c>
      <c r="EA18" s="16">
        <f>+IF(Mai!AM20="",0,Mai!AM20)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46143</v>
      </c>
      <c r="EM18" s="16" t="str">
        <f>A18&amp;C18</f>
        <v>Fiche infoA546143</v>
      </c>
      <c r="EN18" s="16">
        <f t="shared" ref="EN18:EN48" si="20">+VLOOKUP(EM18,Base_feuille_présence_heure_potentiel,11,FALSE)</f>
        <v>0</v>
      </c>
      <c r="EQ18" s="16" t="str">
        <f>Mai!FS20</f>
        <v/>
      </c>
    </row>
    <row r="19" spans="1:147" ht="18" customHeight="1" x14ac:dyDescent="0.2">
      <c r="A19" s="24" t="str">
        <f>+Mai!BJ21</f>
        <v>Fiche infoA6</v>
      </c>
      <c r="B19" s="107">
        <f>C19</f>
        <v>46144</v>
      </c>
      <c r="C19" s="170">
        <f>+$D$13+1</f>
        <v>46144</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Mai!BC21</f>
        <v>0</v>
      </c>
      <c r="J19" s="34">
        <f>Mai!BE21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infoA6</v>
      </c>
      <c r="BB19" s="107">
        <f>BC19</f>
        <v>46144</v>
      </c>
      <c r="BC19" s="170">
        <f>+$D$13+1</f>
        <v>46144</v>
      </c>
      <c r="BD19" s="171" t="str">
        <f>+D19</f>
        <v/>
      </c>
      <c r="BE19" s="171" t="str">
        <f>+IF(OR(BF19=S.CAL!$BJ$3,BF19=S.CAL!$BJ$4),BD19,"")</f>
        <v/>
      </c>
      <c r="BF19" s="333">
        <f>IF($DY$5=S.CAL!$CU$2,Mai!AR21,IF($DY$5=S.CAL!$CU$3,VLOOKUP(BC19,planning_fp,7,FALSE),""))</f>
        <v>0</v>
      </c>
      <c r="BG19" s="345" t="str">
        <f>Mai!BL21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46144</v>
      </c>
      <c r="CF19" s="170">
        <f>+$D$13+1</f>
        <v>46144</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IF(+Mai!AG21="",0,Mai!AG21)</f>
        <v>0</v>
      </c>
      <c r="DZ19" s="16">
        <f>+IF(Mai!AJ21="",0,Mai!AJ21)</f>
        <v>0</v>
      </c>
      <c r="EA19" s="16">
        <f>+IF(Mai!AM21="",0,Mai!AM21)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46144</v>
      </c>
      <c r="EM19" s="16" t="str">
        <f t="shared" ref="EM19:EM48" si="29">A19&amp;C19</f>
        <v>Fiche infoA646144</v>
      </c>
      <c r="EN19" s="16">
        <f t="shared" si="20"/>
        <v>0</v>
      </c>
      <c r="EQ19" s="16" t="str">
        <f>Mai!FS21</f>
        <v/>
      </c>
    </row>
    <row r="20" spans="1:147" ht="18" customHeight="1" x14ac:dyDescent="0.2">
      <c r="A20" s="24" t="str">
        <f>+Mai!BJ22</f>
        <v>Fiche infoA7</v>
      </c>
      <c r="B20" s="107">
        <f t="shared" ref="B20:B48" si="30">C20</f>
        <v>46145</v>
      </c>
      <c r="C20" s="170">
        <f>+$D$13+2</f>
        <v>46145</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Mai!BC22</f>
        <v>0</v>
      </c>
      <c r="J20" s="34">
        <f>Mai!BE22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infoA7</v>
      </c>
      <c r="BB20" s="107">
        <f t="shared" ref="BB20:BB48" si="31">BC20</f>
        <v>46145</v>
      </c>
      <c r="BC20" s="170">
        <f>+$D$13+2</f>
        <v>46145</v>
      </c>
      <c r="BD20" s="171" t="str">
        <f t="shared" ref="BD20:BD48" si="32">+D20</f>
        <v/>
      </c>
      <c r="BE20" s="171" t="str">
        <f>+IF(OR(BF20=S.CAL!$BJ$3,BF20=S.CAL!$BJ$4),BD20,"")</f>
        <v/>
      </c>
      <c r="BF20" s="333">
        <f>IF($DY$5=S.CAL!$CU$2,Mai!AR22,IF($DY$5=S.CAL!$CU$3,VLOOKUP(BC20,planning_fp,7,FALSE),""))</f>
        <v>0</v>
      </c>
      <c r="BG20" s="345" t="str">
        <f>Mai!BL22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46145</v>
      </c>
      <c r="CF20" s="170">
        <f>+$D$13+2</f>
        <v>46145</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IF(+Mai!AG22="",0,Mai!AG22)</f>
        <v>0</v>
      </c>
      <c r="DZ20" s="16">
        <f>+IF(Mai!AJ22="",0,Mai!AJ22)</f>
        <v>0</v>
      </c>
      <c r="EA20" s="16">
        <f>+IF(Mai!AM22="",0,Mai!AM22)</f>
        <v>0</v>
      </c>
      <c r="EB20" s="16">
        <f t="shared" si="25"/>
        <v>0</v>
      </c>
      <c r="ED20" s="16">
        <f t="shared" si="26"/>
        <v>0</v>
      </c>
      <c r="EE20" s="16">
        <f t="shared" si="17"/>
        <v>0</v>
      </c>
      <c r="EF20" s="30" t="str">
        <f t="shared" si="18"/>
        <v/>
      </c>
      <c r="EG20" s="30" t="str">
        <f t="shared" si="27"/>
        <v/>
      </c>
      <c r="EH20" s="16">
        <f t="shared" si="28"/>
        <v>0</v>
      </c>
      <c r="EI20" s="30"/>
      <c r="EJ20" s="30">
        <f t="shared" si="19"/>
        <v>46145</v>
      </c>
      <c r="EM20" s="16" t="str">
        <f t="shared" si="29"/>
        <v>Fiche infoA746145</v>
      </c>
      <c r="EN20" s="16">
        <f t="shared" si="20"/>
        <v>0</v>
      </c>
      <c r="EQ20" s="16" t="str">
        <f>Mai!FS22</f>
        <v/>
      </c>
    </row>
    <row r="21" spans="1:147" ht="18" customHeight="1" x14ac:dyDescent="0.2">
      <c r="A21" s="24" t="str">
        <f>+Mai!BJ23</f>
        <v>Fiche infoA1</v>
      </c>
      <c r="B21" s="107">
        <f t="shared" si="30"/>
        <v>46146</v>
      </c>
      <c r="C21" s="170">
        <f>+$D$13+3</f>
        <v>46146</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Mai!BC23</f>
        <v>0</v>
      </c>
      <c r="J21" s="34">
        <f>Mai!BE23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infoA1</v>
      </c>
      <c r="BB21" s="107">
        <f t="shared" si="31"/>
        <v>46146</v>
      </c>
      <c r="BC21" s="170">
        <f>+$D$13+3</f>
        <v>46146</v>
      </c>
      <c r="BD21" s="171" t="str">
        <f t="shared" si="32"/>
        <v/>
      </c>
      <c r="BE21" s="171" t="str">
        <f>+IF(OR(BF21=S.CAL!$BJ$3,BF21=S.CAL!$BJ$4),BD21,"")</f>
        <v/>
      </c>
      <c r="BF21" s="333">
        <f>IF($DY$5=S.CAL!$CU$2,Mai!AR23,IF($DY$5=S.CAL!$CU$3,VLOOKUP(BC21,planning_fp,7,FALSE),""))</f>
        <v>0</v>
      </c>
      <c r="BG21" s="345" t="str">
        <f>Mai!BL23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46146</v>
      </c>
      <c r="CF21" s="170">
        <f>+$D$13+3</f>
        <v>46146</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IF(+Mai!AG23="",0,Mai!AG23)</f>
        <v>0</v>
      </c>
      <c r="DZ21" s="16">
        <f>+IF(Mai!AJ23="",0,Mai!AJ23)</f>
        <v>0</v>
      </c>
      <c r="EA21" s="16">
        <f>+IF(Mai!AM23="",0,Mai!AM23)</f>
        <v>0</v>
      </c>
      <c r="EB21" s="16">
        <f t="shared" si="25"/>
        <v>0</v>
      </c>
      <c r="ED21" s="16">
        <f t="shared" si="26"/>
        <v>0</v>
      </c>
      <c r="EE21" s="16">
        <f t="shared" si="17"/>
        <v>0</v>
      </c>
      <c r="EF21" s="30" t="str">
        <f t="shared" si="18"/>
        <v/>
      </c>
      <c r="EG21" s="30" t="str">
        <f t="shared" si="27"/>
        <v/>
      </c>
      <c r="EH21" s="16">
        <f t="shared" si="28"/>
        <v>0</v>
      </c>
      <c r="EI21" s="30"/>
      <c r="EJ21" s="30">
        <f t="shared" si="19"/>
        <v>46146</v>
      </c>
      <c r="EM21" s="16" t="str">
        <f t="shared" si="29"/>
        <v>Fiche infoA146146</v>
      </c>
      <c r="EN21" s="16">
        <f t="shared" si="20"/>
        <v>0</v>
      </c>
      <c r="EQ21" s="16" t="str">
        <f>Mai!FS23</f>
        <v/>
      </c>
    </row>
    <row r="22" spans="1:147" ht="18" customHeight="1" x14ac:dyDescent="0.25">
      <c r="A22" s="24" t="str">
        <f>+Mai!BJ24</f>
        <v>Fiche infoA2</v>
      </c>
      <c r="B22" s="107">
        <f t="shared" si="30"/>
        <v>46147</v>
      </c>
      <c r="C22" s="170">
        <f>+$D$13+4</f>
        <v>46147</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Mai!BC24</f>
        <v>0</v>
      </c>
      <c r="J22" s="34">
        <f>Mai!BE24</f>
        <v>0</v>
      </c>
      <c r="K22" s="34">
        <f t="shared" si="15"/>
        <v>0</v>
      </c>
      <c r="L22" s="34" t="str">
        <f t="shared" si="21"/>
        <v/>
      </c>
      <c r="O22" s="19"/>
      <c r="AK22" s="1189" t="s">
        <v>37</v>
      </c>
      <c r="AL22" s="1318">
        <f>+Mai!AL14</f>
        <v>0</v>
      </c>
      <c r="BA22" s="331" t="str">
        <f t="shared" si="16"/>
        <v>Fiche infoA2</v>
      </c>
      <c r="BB22" s="107">
        <f t="shared" si="31"/>
        <v>46147</v>
      </c>
      <c r="BC22" s="170">
        <f>+$D$13+4</f>
        <v>46147</v>
      </c>
      <c r="BD22" s="171" t="str">
        <f t="shared" si="32"/>
        <v/>
      </c>
      <c r="BE22" s="171" t="str">
        <f>+IF(OR(BF22=S.CAL!$BJ$3,BF22=S.CAL!$BJ$4),BD22,"")</f>
        <v/>
      </c>
      <c r="BF22" s="333">
        <f>IF($DY$5=S.CAL!$CU$2,Mai!AR24,IF($DY$5=S.CAL!$CU$3,VLOOKUP(BC22,planning_fp,7,FALSE),""))</f>
        <v>0</v>
      </c>
      <c r="BG22" s="345" t="str">
        <f>Mai!BL24</f>
        <v>A</v>
      </c>
      <c r="BH22" s="148"/>
      <c r="BL22" s="144"/>
      <c r="BM22" s="195"/>
      <c r="CD22" s="328"/>
      <c r="CE22" s="107">
        <f t="shared" si="33"/>
        <v>46147</v>
      </c>
      <c r="CF22" s="170">
        <f>+$D$13+4</f>
        <v>46147</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IF(+Mai!AG24="",0,Mai!AG24)</f>
        <v>0</v>
      </c>
      <c r="DZ22" s="16">
        <f>+IF(Mai!AJ24="",0,Mai!AJ24)</f>
        <v>0</v>
      </c>
      <c r="EA22" s="16">
        <f>+IF(Mai!AM24="",0,Mai!AM24)</f>
        <v>0</v>
      </c>
      <c r="EB22" s="16">
        <f t="shared" si="25"/>
        <v>0</v>
      </c>
      <c r="ED22" s="16">
        <f t="shared" si="26"/>
        <v>0</v>
      </c>
      <c r="EE22" s="16">
        <f t="shared" si="17"/>
        <v>0</v>
      </c>
      <c r="EF22" s="30" t="str">
        <f t="shared" si="18"/>
        <v/>
      </c>
      <c r="EG22" s="30" t="str">
        <f t="shared" si="27"/>
        <v/>
      </c>
      <c r="EH22" s="16">
        <f t="shared" si="28"/>
        <v>0</v>
      </c>
      <c r="EI22" s="30"/>
      <c r="EJ22" s="30">
        <f t="shared" si="19"/>
        <v>46147</v>
      </c>
      <c r="EM22" s="16" t="str">
        <f t="shared" si="29"/>
        <v>Fiche infoA246147</v>
      </c>
      <c r="EN22" s="16">
        <f t="shared" si="20"/>
        <v>0</v>
      </c>
      <c r="EQ22" s="16" t="str">
        <f>Mai!FS24</f>
        <v/>
      </c>
    </row>
    <row r="23" spans="1:147" ht="18" customHeight="1" x14ac:dyDescent="0.2">
      <c r="A23" s="24" t="str">
        <f>+Mai!BJ25</f>
        <v>Fiche infoA3</v>
      </c>
      <c r="B23" s="107">
        <f t="shared" si="30"/>
        <v>46148</v>
      </c>
      <c r="C23" s="170">
        <f>+$D$13+5</f>
        <v>46148</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Mai!BC25</f>
        <v>0</v>
      </c>
      <c r="J23" s="34">
        <f>Mai!BE25</f>
        <v>0</v>
      </c>
      <c r="K23" s="34">
        <f t="shared" si="15"/>
        <v>0</v>
      </c>
      <c r="L23" s="34" t="str">
        <f t="shared" si="21"/>
        <v/>
      </c>
      <c r="O23" s="39" t="str">
        <f>+O21</f>
        <v xml:space="preserve">Retenue sur salaire = </v>
      </c>
      <c r="P23" s="671">
        <f>+P30+P33</f>
        <v>0</v>
      </c>
      <c r="T23" s="563" t="s">
        <v>1107</v>
      </c>
      <c r="Z23" s="563" t="s">
        <v>1107</v>
      </c>
      <c r="BA23" s="331" t="str">
        <f t="shared" si="16"/>
        <v>Fiche infoA3</v>
      </c>
      <c r="BB23" s="107">
        <f t="shared" si="31"/>
        <v>46148</v>
      </c>
      <c r="BC23" s="170">
        <f>+$D$13+5</f>
        <v>46148</v>
      </c>
      <c r="BD23" s="171" t="str">
        <f t="shared" si="32"/>
        <v/>
      </c>
      <c r="BE23" s="171" t="str">
        <f>+IF(OR(BF23=S.CAL!$BJ$3,BF23=S.CAL!$BJ$4),BD23,"")</f>
        <v/>
      </c>
      <c r="BF23" s="333">
        <f>IF($DY$5=S.CAL!$CU$2,Mai!AR25,IF($DY$5=S.CAL!$CU$3,VLOOKUP(BC23,planning_fp,7,FALSE),""))</f>
        <v>0</v>
      </c>
      <c r="BG23" s="345" t="str">
        <f>Mai!BL25</f>
        <v>A</v>
      </c>
      <c r="BH23" s="29"/>
      <c r="BI23" s="336"/>
      <c r="BL23" s="147"/>
      <c r="CD23" s="328"/>
      <c r="CE23" s="107">
        <f t="shared" si="33"/>
        <v>46148</v>
      </c>
      <c r="CF23" s="170">
        <f>+$D$13+5</f>
        <v>46148</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IF(+Mai!AG25="",0,Mai!AG25)</f>
        <v>0</v>
      </c>
      <c r="DZ23" s="16">
        <f>+IF(Mai!AJ25="",0,Mai!AJ25)</f>
        <v>0</v>
      </c>
      <c r="EA23" s="16">
        <f>+IF(Mai!AM25="",0,Mai!AM25)</f>
        <v>0</v>
      </c>
      <c r="EB23" s="16">
        <f t="shared" si="25"/>
        <v>0</v>
      </c>
      <c r="ED23" s="16">
        <f t="shared" si="26"/>
        <v>0</v>
      </c>
      <c r="EE23" s="16">
        <f t="shared" si="17"/>
        <v>0</v>
      </c>
      <c r="EF23" s="30" t="str">
        <f t="shared" si="18"/>
        <v/>
      </c>
      <c r="EG23" s="30" t="str">
        <f t="shared" si="27"/>
        <v/>
      </c>
      <c r="EH23" s="16">
        <f t="shared" si="28"/>
        <v>0</v>
      </c>
      <c r="EI23" s="30"/>
      <c r="EJ23" s="30">
        <f t="shared" si="19"/>
        <v>46148</v>
      </c>
      <c r="EM23" s="16" t="str">
        <f t="shared" si="29"/>
        <v>Fiche infoA346148</v>
      </c>
      <c r="EN23" s="16">
        <f t="shared" si="20"/>
        <v>0</v>
      </c>
      <c r="EQ23" s="16" t="str">
        <f>Mai!FS25</f>
        <v/>
      </c>
    </row>
    <row r="24" spans="1:147" ht="18" customHeight="1" x14ac:dyDescent="0.2">
      <c r="A24" s="24" t="str">
        <f>+Mai!BJ26</f>
        <v>Fiche infoA4</v>
      </c>
      <c r="B24" s="107">
        <f t="shared" si="30"/>
        <v>46149</v>
      </c>
      <c r="C24" s="170">
        <f>+$D$13+6</f>
        <v>46149</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Mai!BC26</f>
        <v>0</v>
      </c>
      <c r="J24" s="34">
        <f>Mai!BE26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infoA4</v>
      </c>
      <c r="BB24" s="107">
        <f t="shared" si="31"/>
        <v>46149</v>
      </c>
      <c r="BC24" s="170">
        <f>+$D$13+6</f>
        <v>46149</v>
      </c>
      <c r="BD24" s="171" t="str">
        <f t="shared" si="32"/>
        <v/>
      </c>
      <c r="BE24" s="171" t="str">
        <f>+IF(OR(BF24=S.CAL!$BJ$3,BF24=S.CAL!$BJ$4),BD24,"")</f>
        <v/>
      </c>
      <c r="BF24" s="333">
        <f>IF($DY$5=S.CAL!$CU$2,Mai!AR26,IF($DY$5=S.CAL!$CU$3,VLOOKUP(BC24,planning_fp,7,FALSE),""))</f>
        <v>0</v>
      </c>
      <c r="BG24" s="345" t="str">
        <f>Mai!BL26</f>
        <v>A</v>
      </c>
      <c r="BL24" s="35"/>
      <c r="BM24" s="195"/>
      <c r="BO24" s="29"/>
      <c r="BP24" s="182"/>
      <c r="BR24" s="16" t="s">
        <v>746</v>
      </c>
      <c r="BV24" s="355"/>
      <c r="BW24" s="355"/>
      <c r="BX24" s="355"/>
      <c r="BY24" s="355" t="s">
        <v>696</v>
      </c>
      <c r="BZ24" s="355"/>
      <c r="CA24" s="355"/>
      <c r="CB24" s="355"/>
      <c r="CD24" s="328"/>
      <c r="CE24" s="107">
        <f t="shared" si="33"/>
        <v>46149</v>
      </c>
      <c r="CF24" s="170">
        <f>+$D$13+6</f>
        <v>46149</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IF(+Mai!AG26="",0,Mai!AG26)</f>
        <v>0</v>
      </c>
      <c r="DZ24" s="16">
        <f>+IF(Mai!AJ26="",0,Mai!AJ26)</f>
        <v>0</v>
      </c>
      <c r="EA24" s="16">
        <f>+IF(Mai!AM26="",0,Mai!AM26)</f>
        <v>0</v>
      </c>
      <c r="EB24" s="16">
        <f t="shared" si="25"/>
        <v>0</v>
      </c>
      <c r="ED24" s="16">
        <f t="shared" si="26"/>
        <v>0</v>
      </c>
      <c r="EE24" s="16">
        <f t="shared" si="17"/>
        <v>0</v>
      </c>
      <c r="EF24" s="30" t="str">
        <f t="shared" si="18"/>
        <v/>
      </c>
      <c r="EG24" s="30" t="str">
        <f t="shared" si="27"/>
        <v/>
      </c>
      <c r="EH24" s="16">
        <f t="shared" si="28"/>
        <v>0</v>
      </c>
      <c r="EI24" s="30"/>
      <c r="EJ24" s="30">
        <f t="shared" si="19"/>
        <v>46149</v>
      </c>
      <c r="EM24" s="16" t="str">
        <f t="shared" si="29"/>
        <v>Fiche infoA446149</v>
      </c>
      <c r="EN24" s="16">
        <f t="shared" si="20"/>
        <v>0</v>
      </c>
      <c r="EQ24" s="16" t="str">
        <f>Mai!FS26</f>
        <v/>
      </c>
    </row>
    <row r="25" spans="1:147" ht="18" customHeight="1" x14ac:dyDescent="0.2">
      <c r="A25" s="24" t="str">
        <f>+Mai!BJ27</f>
        <v>Fiche infoA5</v>
      </c>
      <c r="B25" s="107">
        <f t="shared" si="30"/>
        <v>46150</v>
      </c>
      <c r="C25" s="170">
        <f>+$D$13+7</f>
        <v>46150</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Mai!BC27</f>
        <v>0</v>
      </c>
      <c r="J25" s="34">
        <f>Mai!BE27</f>
        <v>0</v>
      </c>
      <c r="K25" s="34">
        <f t="shared" si="15"/>
        <v>0</v>
      </c>
      <c r="L25" s="34" t="str">
        <f t="shared" si="21"/>
        <v/>
      </c>
      <c r="AK25" s="1189" t="s">
        <v>320</v>
      </c>
      <c r="AL25" s="1313">
        <f>+IF(AL22,AL24/AL22,0)</f>
        <v>0</v>
      </c>
      <c r="BA25" s="331" t="str">
        <f t="shared" si="16"/>
        <v>Fiche infoA5</v>
      </c>
      <c r="BB25" s="107">
        <f t="shared" si="31"/>
        <v>46150</v>
      </c>
      <c r="BC25" s="170">
        <f>+$D$13+7</f>
        <v>46150</v>
      </c>
      <c r="BD25" s="171" t="str">
        <f t="shared" si="32"/>
        <v/>
      </c>
      <c r="BE25" s="171" t="str">
        <f>+IF(OR(BF25=S.CAL!$BJ$3,BF25=S.CAL!$BJ$4),BD25,"")</f>
        <v/>
      </c>
      <c r="BF25" s="333">
        <f>IF($DY$5=S.CAL!$CU$2,Mai!AR27,IF($DY$5=S.CAL!$CU$3,VLOOKUP(BC25,planning_fp,7,FALSE),""))</f>
        <v>0</v>
      </c>
      <c r="BG25" s="345" t="str">
        <f>Mai!BL27</f>
        <v>A</v>
      </c>
      <c r="BH25" s="148"/>
      <c r="BL25" s="35"/>
      <c r="BO25" s="29"/>
      <c r="BP25" s="182"/>
      <c r="BV25" s="355"/>
      <c r="BW25" s="355"/>
      <c r="BX25" s="355"/>
      <c r="BY25" s="355"/>
      <c r="BZ25" s="355"/>
      <c r="CA25" s="355"/>
      <c r="CB25" s="355"/>
      <c r="CD25" s="328"/>
      <c r="CE25" s="107">
        <f t="shared" si="33"/>
        <v>46150</v>
      </c>
      <c r="CF25" s="170">
        <f>+$D$13+7</f>
        <v>46150</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IF(+Mai!AG27="",0,Mai!AG27)</f>
        <v>0</v>
      </c>
      <c r="DZ25" s="16">
        <f>+IF(Mai!AJ27="",0,Mai!AJ27)</f>
        <v>0</v>
      </c>
      <c r="EA25" s="16">
        <f>+IF(Mai!AM27="",0,Mai!AM27)</f>
        <v>0</v>
      </c>
      <c r="EB25" s="16">
        <f t="shared" si="25"/>
        <v>0</v>
      </c>
      <c r="ED25" s="16">
        <f t="shared" si="26"/>
        <v>0</v>
      </c>
      <c r="EE25" s="16">
        <f t="shared" si="17"/>
        <v>0</v>
      </c>
      <c r="EF25" s="30" t="str">
        <f t="shared" si="18"/>
        <v/>
      </c>
      <c r="EG25" s="30" t="str">
        <f t="shared" si="27"/>
        <v/>
      </c>
      <c r="EH25" s="16">
        <f t="shared" si="28"/>
        <v>0</v>
      </c>
      <c r="EI25" s="30"/>
      <c r="EJ25" s="30">
        <f t="shared" si="19"/>
        <v>46150</v>
      </c>
      <c r="EM25" s="16" t="str">
        <f t="shared" si="29"/>
        <v>Fiche infoA546150</v>
      </c>
      <c r="EN25" s="16">
        <f t="shared" si="20"/>
        <v>0</v>
      </c>
      <c r="EQ25" s="16" t="str">
        <f>Mai!FS27</f>
        <v/>
      </c>
    </row>
    <row r="26" spans="1:147" ht="18" customHeight="1" x14ac:dyDescent="0.2">
      <c r="A26" s="24" t="str">
        <f>+Mai!BJ28</f>
        <v>Fiche infoA6</v>
      </c>
      <c r="B26" s="107">
        <f t="shared" si="30"/>
        <v>46151</v>
      </c>
      <c r="C26" s="170">
        <f>+$D$13+8</f>
        <v>46151</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Mai!BC28</f>
        <v>0</v>
      </c>
      <c r="J26" s="34">
        <f>Mai!BE28</f>
        <v>0</v>
      </c>
      <c r="K26" s="34">
        <f t="shared" si="15"/>
        <v>0</v>
      </c>
      <c r="L26" s="34" t="str">
        <f t="shared" si="21"/>
        <v/>
      </c>
      <c r="O26" s="16" t="s">
        <v>1197</v>
      </c>
      <c r="AK26" s="1189" t="s">
        <v>321</v>
      </c>
      <c r="AL26" s="1313">
        <f>IF(AS21,SUM(AT13:AT20)/AS21,0)</f>
        <v>0</v>
      </c>
      <c r="BA26" s="331" t="str">
        <f t="shared" si="16"/>
        <v>Fiche infoA6</v>
      </c>
      <c r="BB26" s="107">
        <f t="shared" si="31"/>
        <v>46151</v>
      </c>
      <c r="BC26" s="170">
        <f>+$D$13+8</f>
        <v>46151</v>
      </c>
      <c r="BD26" s="171" t="str">
        <f t="shared" si="32"/>
        <v/>
      </c>
      <c r="BE26" s="171" t="str">
        <f>+IF(OR(BF26=S.CAL!$BJ$3,BF26=S.CAL!$BJ$4),BD26,"")</f>
        <v/>
      </c>
      <c r="BF26" s="333">
        <f>IF($DY$5=S.CAL!$CU$2,Mai!AR28,IF($DY$5=S.CAL!$CU$3,VLOOKUP(BC26,planning_fp,7,FALSE),""))</f>
        <v>0</v>
      </c>
      <c r="BG26" s="345" t="str">
        <f>Mai!BL28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46151</v>
      </c>
      <c r="CF26" s="170">
        <f>+$D$13+8</f>
        <v>46151</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IF(+Mai!AG28="",0,Mai!AG28)</f>
        <v>0</v>
      </c>
      <c r="DZ26" s="16">
        <f>+IF(Mai!AJ28="",0,Mai!AJ28)</f>
        <v>0</v>
      </c>
      <c r="EA26" s="16">
        <f>+IF(Mai!AM28="",0,Mai!AM28)</f>
        <v>0</v>
      </c>
      <c r="EB26" s="16">
        <f t="shared" si="25"/>
        <v>0</v>
      </c>
      <c r="ED26" s="16">
        <f t="shared" si="26"/>
        <v>0</v>
      </c>
      <c r="EE26" s="16">
        <f t="shared" si="17"/>
        <v>0</v>
      </c>
      <c r="EF26" s="30" t="str">
        <f t="shared" si="18"/>
        <v/>
      </c>
      <c r="EG26" s="30" t="str">
        <f t="shared" si="27"/>
        <v/>
      </c>
      <c r="EH26" s="16">
        <f t="shared" si="28"/>
        <v>0</v>
      </c>
      <c r="EI26" s="30"/>
      <c r="EJ26" s="30">
        <f t="shared" si="19"/>
        <v>46151</v>
      </c>
      <c r="EM26" s="16" t="str">
        <f t="shared" si="29"/>
        <v>Fiche infoA646151</v>
      </c>
      <c r="EN26" s="16">
        <f t="shared" si="20"/>
        <v>0</v>
      </c>
      <c r="EQ26" s="16" t="str">
        <f>Mai!FS28</f>
        <v/>
      </c>
    </row>
    <row r="27" spans="1:147" ht="18" customHeight="1" x14ac:dyDescent="0.2">
      <c r="A27" s="24" t="str">
        <f>+Mai!BJ29</f>
        <v>Fiche infoA7</v>
      </c>
      <c r="B27" s="107">
        <f t="shared" si="30"/>
        <v>46152</v>
      </c>
      <c r="C27" s="170">
        <f>+$D$13+9</f>
        <v>46152</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Mai!BC29</f>
        <v>0</v>
      </c>
      <c r="J27" s="34">
        <f>Mai!BE29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infoA7</v>
      </c>
      <c r="BB27" s="107">
        <f t="shared" si="31"/>
        <v>46152</v>
      </c>
      <c r="BC27" s="170">
        <f>+$D$13+9</f>
        <v>46152</v>
      </c>
      <c r="BD27" s="171" t="str">
        <f t="shared" si="32"/>
        <v/>
      </c>
      <c r="BE27" s="171" t="str">
        <f>+IF(OR(BF27=S.CAL!$BJ$3,BF27=S.CAL!$BJ$4),BD27,"")</f>
        <v/>
      </c>
      <c r="BF27" s="333">
        <f>IF($DY$5=S.CAL!$CU$2,Mai!AR29,IF($DY$5=S.CAL!$CU$3,VLOOKUP(BC27,planning_fp,7,FALSE),""))</f>
        <v>0</v>
      </c>
      <c r="BG27" s="345" t="str">
        <f>Mai!BL29</f>
        <v>A</v>
      </c>
      <c r="BI27" s="16" t="s">
        <v>746</v>
      </c>
      <c r="BL27" s="35"/>
      <c r="BP27" s="2465"/>
      <c r="BQ27" s="2465"/>
      <c r="BR27" s="2465"/>
      <c r="BS27" s="2465"/>
      <c r="BT27" s="2464"/>
      <c r="BV27" s="355"/>
      <c r="BW27" s="355"/>
      <c r="BX27" s="2543"/>
      <c r="BY27" s="2543"/>
      <c r="BZ27" s="2543"/>
      <c r="CA27" s="2543"/>
      <c r="CB27" s="2542"/>
      <c r="CD27" s="328"/>
      <c r="CE27" s="107">
        <f t="shared" si="33"/>
        <v>46152</v>
      </c>
      <c r="CF27" s="170">
        <f>+$D$13+9</f>
        <v>46152</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IF(+Mai!AG29="",0,Mai!AG29)</f>
        <v>0</v>
      </c>
      <c r="DZ27" s="16">
        <f>+IF(Mai!AJ29="",0,Mai!AJ29)</f>
        <v>0</v>
      </c>
      <c r="EA27" s="16">
        <f>+IF(Mai!AM29="",0,Mai!AM29)</f>
        <v>0</v>
      </c>
      <c r="EB27" s="16">
        <f t="shared" si="25"/>
        <v>0</v>
      </c>
      <c r="ED27" s="16">
        <f t="shared" si="26"/>
        <v>0</v>
      </c>
      <c r="EE27" s="16">
        <f t="shared" si="17"/>
        <v>0</v>
      </c>
      <c r="EF27" s="30" t="str">
        <f t="shared" si="18"/>
        <v/>
      </c>
      <c r="EG27" s="30" t="str">
        <f t="shared" si="27"/>
        <v/>
      </c>
      <c r="EH27" s="16">
        <f t="shared" si="28"/>
        <v>0</v>
      </c>
      <c r="EI27" s="30"/>
      <c r="EJ27" s="30">
        <f t="shared" si="19"/>
        <v>46152</v>
      </c>
      <c r="EM27" s="16" t="str">
        <f t="shared" si="29"/>
        <v>Fiche infoA746152</v>
      </c>
      <c r="EN27" s="16">
        <f t="shared" si="20"/>
        <v>0</v>
      </c>
      <c r="EQ27" s="16" t="str">
        <f>Mai!FS29</f>
        <v/>
      </c>
    </row>
    <row r="28" spans="1:147" ht="18" customHeight="1" x14ac:dyDescent="0.2">
      <c r="A28" s="24" t="str">
        <f>+Mai!BJ30</f>
        <v>Fiche infoA1</v>
      </c>
      <c r="B28" s="107">
        <f t="shared" si="30"/>
        <v>46153</v>
      </c>
      <c r="C28" s="170">
        <f>+$D$13+10</f>
        <v>46153</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Mai!BC30</f>
        <v>0</v>
      </c>
      <c r="J28" s="34">
        <f>Mai!BE30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infoA1</v>
      </c>
      <c r="BB28" s="107">
        <f t="shared" si="31"/>
        <v>46153</v>
      </c>
      <c r="BC28" s="170">
        <f>+$D$13+10</f>
        <v>46153</v>
      </c>
      <c r="BD28" s="171" t="str">
        <f t="shared" si="32"/>
        <v/>
      </c>
      <c r="BE28" s="171" t="str">
        <f>+IF(OR(BF28=S.CAL!$BJ$3,BF28=S.CAL!$BJ$4),BD28,"")</f>
        <v/>
      </c>
      <c r="BF28" s="333">
        <f>IF($DY$5=S.CAL!$CU$2,Mai!AR30,IF($DY$5=S.CAL!$CU$3,VLOOKUP(BC28,planning_fp,7,FALSE),""))</f>
        <v>0</v>
      </c>
      <c r="BG28" s="345" t="str">
        <f>Mai!BL30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46153</v>
      </c>
      <c r="CF28" s="170">
        <f>+$D$13+10</f>
        <v>46153</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IF(+Mai!AG30="",0,Mai!AG30)</f>
        <v>0</v>
      </c>
      <c r="DZ28" s="16">
        <f>+IF(Mai!AJ30="",0,Mai!AJ30)</f>
        <v>0</v>
      </c>
      <c r="EA28" s="16">
        <f>+IF(Mai!AM30="",0,Mai!AM30)</f>
        <v>0</v>
      </c>
      <c r="EB28" s="16">
        <f t="shared" si="25"/>
        <v>0</v>
      </c>
      <c r="ED28" s="16">
        <f t="shared" si="26"/>
        <v>0</v>
      </c>
      <c r="EE28" s="16">
        <f t="shared" si="17"/>
        <v>0</v>
      </c>
      <c r="EF28" s="30" t="str">
        <f t="shared" si="18"/>
        <v/>
      </c>
      <c r="EG28" s="30" t="str">
        <f t="shared" si="27"/>
        <v/>
      </c>
      <c r="EH28" s="16">
        <f t="shared" si="28"/>
        <v>0</v>
      </c>
      <c r="EI28" s="30"/>
      <c r="EJ28" s="30">
        <f t="shared" si="19"/>
        <v>46153</v>
      </c>
      <c r="EM28" s="16" t="str">
        <f t="shared" si="29"/>
        <v>Fiche infoA146153</v>
      </c>
      <c r="EN28" s="16">
        <f t="shared" si="20"/>
        <v>0</v>
      </c>
      <c r="EQ28" s="16" t="str">
        <f>Mai!FS30</f>
        <v/>
      </c>
    </row>
    <row r="29" spans="1:147" ht="18" customHeight="1" x14ac:dyDescent="0.2">
      <c r="A29" s="24" t="str">
        <f>+Mai!BJ31</f>
        <v>Fiche infoA2</v>
      </c>
      <c r="B29" s="107">
        <f t="shared" si="30"/>
        <v>46154</v>
      </c>
      <c r="C29" s="170">
        <f>+$D$13+11</f>
        <v>46154</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Mai!BC31</f>
        <v>0</v>
      </c>
      <c r="J29" s="34">
        <f>Mai!BE31</f>
        <v>0</v>
      </c>
      <c r="K29" s="34">
        <f t="shared" si="15"/>
        <v>0</v>
      </c>
      <c r="L29" s="34" t="str">
        <f t="shared" si="21"/>
        <v/>
      </c>
      <c r="O29" s="859" t="s">
        <v>1444</v>
      </c>
      <c r="P29" s="859"/>
      <c r="Q29" s="859"/>
      <c r="R29" s="859"/>
      <c r="BA29" s="331" t="str">
        <f t="shared" si="16"/>
        <v>Fiche infoA2</v>
      </c>
      <c r="BB29" s="107">
        <f t="shared" si="31"/>
        <v>46154</v>
      </c>
      <c r="BC29" s="170">
        <f>+$D$13+11</f>
        <v>46154</v>
      </c>
      <c r="BD29" s="171" t="str">
        <f t="shared" si="32"/>
        <v/>
      </c>
      <c r="BE29" s="171" t="str">
        <f>+IF(OR(BF29=S.CAL!$BJ$3,BF29=S.CAL!$BJ$4),BD29,"")</f>
        <v/>
      </c>
      <c r="BF29" s="333">
        <f>IF($DY$5=S.CAL!$CU$2,Mai!AR31,IF($DY$5=S.CAL!$CU$3,VLOOKUP(BC29,planning_fp,7,FALSE),""))</f>
        <v>0</v>
      </c>
      <c r="BG29" s="345" t="str">
        <f>Mai!BL31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46154</v>
      </c>
      <c r="CF29" s="170">
        <f>+$D$13+11</f>
        <v>46154</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IF(+Mai!AG31="",0,Mai!AG31)</f>
        <v>0</v>
      </c>
      <c r="DZ29" s="16">
        <f>+IF(Mai!AJ31="",0,Mai!AJ31)</f>
        <v>0</v>
      </c>
      <c r="EA29" s="16">
        <f>+IF(Mai!AM31="",0,Mai!AM31)</f>
        <v>0</v>
      </c>
      <c r="EB29" s="16">
        <f t="shared" si="25"/>
        <v>0</v>
      </c>
      <c r="ED29" s="16">
        <f t="shared" si="26"/>
        <v>0</v>
      </c>
      <c r="EE29" s="16">
        <f t="shared" si="17"/>
        <v>0</v>
      </c>
      <c r="EF29" s="30" t="str">
        <f t="shared" si="18"/>
        <v/>
      </c>
      <c r="EG29" s="30" t="str">
        <f t="shared" si="27"/>
        <v/>
      </c>
      <c r="EH29" s="16">
        <f t="shared" si="28"/>
        <v>0</v>
      </c>
      <c r="EI29" s="30"/>
      <c r="EJ29" s="30">
        <f t="shared" si="19"/>
        <v>46154</v>
      </c>
      <c r="EM29" s="16" t="str">
        <f t="shared" si="29"/>
        <v>Fiche infoA246154</v>
      </c>
      <c r="EN29" s="16">
        <f t="shared" si="20"/>
        <v>0</v>
      </c>
      <c r="EQ29" s="16" t="str">
        <f>Mai!FS31</f>
        <v/>
      </c>
    </row>
    <row r="30" spans="1:147" ht="18" customHeight="1" x14ac:dyDescent="0.25">
      <c r="A30" s="24" t="str">
        <f>+Mai!BJ32</f>
        <v>Fiche infoA3</v>
      </c>
      <c r="B30" s="107">
        <f t="shared" si="30"/>
        <v>46155</v>
      </c>
      <c r="C30" s="170">
        <f>+$D$13+12</f>
        <v>46155</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Mai!BC32</f>
        <v>0</v>
      </c>
      <c r="J30" s="34">
        <f>Mai!BE32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46143</v>
      </c>
      <c r="AP30" s="2555"/>
      <c r="AQ30" s="2555"/>
      <c r="BA30" s="331" t="str">
        <f t="shared" si="16"/>
        <v>Fiche infoA3</v>
      </c>
      <c r="BB30" s="107">
        <f t="shared" si="31"/>
        <v>46155</v>
      </c>
      <c r="BC30" s="170">
        <f>+$D$13+12</f>
        <v>46155</v>
      </c>
      <c r="BD30" s="171" t="str">
        <f t="shared" si="32"/>
        <v/>
      </c>
      <c r="BE30" s="171" t="str">
        <f>+IF(OR(BF30=S.CAL!$BJ$3,BF30=S.CAL!$BJ$4),BD30,"")</f>
        <v/>
      </c>
      <c r="BF30" s="333">
        <f>IF($DY$5=S.CAL!$CU$2,Mai!AR32,IF($DY$5=S.CAL!$CU$3,VLOOKUP(BC30,planning_fp,7,FALSE),""))</f>
        <v>0</v>
      </c>
      <c r="BG30" s="345" t="str">
        <f>Mai!BL32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46155</v>
      </c>
      <c r="CF30" s="170">
        <f>+$D$13+12</f>
        <v>46155</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IF(+Mai!AG32="",0,Mai!AG32)</f>
        <v>0</v>
      </c>
      <c r="DZ30" s="16">
        <f>+IF(Mai!AJ32="",0,Mai!AJ32)</f>
        <v>0</v>
      </c>
      <c r="EA30" s="16">
        <f>+IF(Mai!AM32="",0,Mai!AM32)</f>
        <v>0</v>
      </c>
      <c r="EB30" s="16">
        <f t="shared" si="25"/>
        <v>0</v>
      </c>
      <c r="ED30" s="16">
        <f t="shared" si="26"/>
        <v>0</v>
      </c>
      <c r="EE30" s="16">
        <f t="shared" si="17"/>
        <v>0</v>
      </c>
      <c r="EF30" s="30" t="str">
        <f t="shared" si="18"/>
        <v/>
      </c>
      <c r="EG30" s="30" t="str">
        <f t="shared" si="27"/>
        <v/>
      </c>
      <c r="EH30" s="16">
        <f t="shared" si="28"/>
        <v>0</v>
      </c>
      <c r="EI30" s="30"/>
      <c r="EJ30" s="30">
        <f t="shared" si="19"/>
        <v>46155</v>
      </c>
      <c r="EM30" s="16" t="str">
        <f t="shared" si="29"/>
        <v>Fiche infoA346155</v>
      </c>
      <c r="EN30" s="16">
        <f t="shared" si="20"/>
        <v>0</v>
      </c>
      <c r="EQ30" s="16" t="str">
        <f>Mai!FS32</f>
        <v/>
      </c>
    </row>
    <row r="31" spans="1:147" ht="18" customHeight="1" x14ac:dyDescent="0.2">
      <c r="A31" s="24" t="str">
        <f>+Mai!BJ33</f>
        <v>Fiche infoA4</v>
      </c>
      <c r="B31" s="107">
        <f t="shared" si="30"/>
        <v>46156</v>
      </c>
      <c r="C31" s="170">
        <f>+$D$13+13</f>
        <v>46156</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Mai!BC33</f>
        <v>0</v>
      </c>
      <c r="J31" s="34">
        <f>Mai!BE33</f>
        <v>0</v>
      </c>
      <c r="K31" s="34">
        <f t="shared" si="15"/>
        <v>0</v>
      </c>
      <c r="L31" s="34" t="str">
        <f t="shared" si="21"/>
        <v/>
      </c>
      <c r="AL31" s="563" t="s">
        <v>342</v>
      </c>
      <c r="BA31" s="331" t="str">
        <f t="shared" si="16"/>
        <v>Fiche infoA4</v>
      </c>
      <c r="BB31" s="107">
        <f t="shared" si="31"/>
        <v>46156</v>
      </c>
      <c r="BC31" s="170">
        <f>+$D$13+13</f>
        <v>46156</v>
      </c>
      <c r="BD31" s="171" t="str">
        <f t="shared" si="32"/>
        <v/>
      </c>
      <c r="BE31" s="171" t="str">
        <f>+IF(OR(BF31=S.CAL!$BJ$3,BF31=S.CAL!$BJ$4),BD31,"")</f>
        <v/>
      </c>
      <c r="BF31" s="333">
        <f>IF($DY$5=S.CAL!$CU$2,Mai!AR33,IF($DY$5=S.CAL!$CU$3,VLOOKUP(BC31,planning_fp,7,FALSE),""))</f>
        <v>0</v>
      </c>
      <c r="BG31" s="345" t="str">
        <f>Mai!BL33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46156</v>
      </c>
      <c r="CF31" s="170">
        <f>+$D$13+13</f>
        <v>46156</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IF(+Mai!AG33="",0,Mai!AG33)</f>
        <v>0</v>
      </c>
      <c r="DZ31" s="16">
        <f>+IF(Mai!AJ33="",0,Mai!AJ33)</f>
        <v>0</v>
      </c>
      <c r="EA31" s="16">
        <f>+IF(Mai!AM33="",0,Mai!AM33)</f>
        <v>0</v>
      </c>
      <c r="EB31" s="16">
        <f t="shared" si="25"/>
        <v>0</v>
      </c>
      <c r="ED31" s="16">
        <f t="shared" si="26"/>
        <v>0</v>
      </c>
      <c r="EE31" s="16">
        <f t="shared" si="17"/>
        <v>0</v>
      </c>
      <c r="EF31" s="30" t="str">
        <f t="shared" si="18"/>
        <v/>
      </c>
      <c r="EG31" s="30" t="str">
        <f t="shared" si="27"/>
        <v/>
      </c>
      <c r="EH31" s="16">
        <f t="shared" si="28"/>
        <v>0</v>
      </c>
      <c r="EI31" s="30"/>
      <c r="EJ31" s="30">
        <f t="shared" si="19"/>
        <v>46156</v>
      </c>
      <c r="EM31" s="16" t="str">
        <f t="shared" si="29"/>
        <v>Fiche infoA446156</v>
      </c>
      <c r="EN31" s="16">
        <f t="shared" si="20"/>
        <v>0</v>
      </c>
      <c r="EQ31" s="16" t="str">
        <f>Mai!FS33</f>
        <v/>
      </c>
    </row>
    <row r="32" spans="1:147" ht="18" customHeight="1" x14ac:dyDescent="0.2">
      <c r="A32" s="24" t="str">
        <f>+Mai!BJ34</f>
        <v>Fiche infoA5</v>
      </c>
      <c r="B32" s="107">
        <f t="shared" si="30"/>
        <v>46157</v>
      </c>
      <c r="C32" s="170">
        <f>+$D$13+14</f>
        <v>46157</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Mai!BC34</f>
        <v>0</v>
      </c>
      <c r="J32" s="34">
        <f>Mai!BE34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infoA5</v>
      </c>
      <c r="BB32" s="107">
        <f t="shared" si="31"/>
        <v>46157</v>
      </c>
      <c r="BC32" s="170">
        <f>+$D$13+14</f>
        <v>46157</v>
      </c>
      <c r="BD32" s="171" t="str">
        <f t="shared" si="32"/>
        <v/>
      </c>
      <c r="BE32" s="171" t="str">
        <f>+IF(OR(BF32=S.CAL!$BJ$3,BF32=S.CAL!$BJ$4),BD32,"")</f>
        <v/>
      </c>
      <c r="BF32" s="333">
        <f>IF($DY$5=S.CAL!$CU$2,Mai!AR34,IF($DY$5=S.CAL!$CU$3,VLOOKUP(BC32,planning_fp,7,FALSE),""))</f>
        <v>0</v>
      </c>
      <c r="BG32" s="345" t="str">
        <f>Mai!BL34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46157</v>
      </c>
      <c r="CF32" s="170">
        <f>+$D$13+14</f>
        <v>46157</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IF(+Mai!AG34="",0,Mai!AG34)</f>
        <v>0</v>
      </c>
      <c r="DZ32" s="16">
        <f>+IF(Mai!AJ34="",0,Mai!AJ34)</f>
        <v>0</v>
      </c>
      <c r="EA32" s="16">
        <f>+IF(Mai!AM34="",0,Mai!AM34)</f>
        <v>0</v>
      </c>
      <c r="EB32" s="16">
        <f t="shared" si="25"/>
        <v>0</v>
      </c>
      <c r="ED32" s="16">
        <f t="shared" si="26"/>
        <v>0</v>
      </c>
      <c r="EE32" s="16">
        <f t="shared" si="17"/>
        <v>0</v>
      </c>
      <c r="EF32" s="30" t="str">
        <f t="shared" si="18"/>
        <v/>
      </c>
      <c r="EG32" s="30" t="str">
        <f t="shared" si="27"/>
        <v/>
      </c>
      <c r="EH32" s="16">
        <f t="shared" si="28"/>
        <v>0</v>
      </c>
      <c r="EI32" s="30"/>
      <c r="EJ32" s="30">
        <f t="shared" si="19"/>
        <v>46157</v>
      </c>
      <c r="EM32" s="16" t="str">
        <f t="shared" si="29"/>
        <v>Fiche infoA546157</v>
      </c>
      <c r="EN32" s="16">
        <f t="shared" si="20"/>
        <v>0</v>
      </c>
      <c r="EQ32" s="16" t="str">
        <f>Mai!FS34</f>
        <v/>
      </c>
    </row>
    <row r="33" spans="1:147" ht="18" customHeight="1" x14ac:dyDescent="0.2">
      <c r="A33" s="24" t="str">
        <f>+Mai!BJ35</f>
        <v>Fiche infoA6</v>
      </c>
      <c r="B33" s="107">
        <f t="shared" si="30"/>
        <v>46158</v>
      </c>
      <c r="C33" s="170">
        <f>+$D$13+15</f>
        <v>46158</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Mai!BC35</f>
        <v>0</v>
      </c>
      <c r="J33" s="34">
        <f>Mai!BE35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infoA6</v>
      </c>
      <c r="BB33" s="107">
        <f t="shared" si="31"/>
        <v>46158</v>
      </c>
      <c r="BC33" s="170">
        <f>+$D$13+15</f>
        <v>46158</v>
      </c>
      <c r="BD33" s="171" t="str">
        <f t="shared" si="32"/>
        <v/>
      </c>
      <c r="BE33" s="171" t="str">
        <f>+IF(OR(BF33=S.CAL!$BJ$3,BF33=S.CAL!$BJ$4),BD33,"")</f>
        <v/>
      </c>
      <c r="BF33" s="333">
        <f>IF($DY$5=S.CAL!$CU$2,Mai!AR35,IF($DY$5=S.CAL!$CU$3,VLOOKUP(BC33,planning_fp,7,FALSE),""))</f>
        <v>0</v>
      </c>
      <c r="BG33" s="345" t="str">
        <f>Mai!BL35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46158</v>
      </c>
      <c r="CF33" s="170">
        <f>+$D$13+15</f>
        <v>46158</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IF(+Mai!AG35="",0,Mai!AG35)</f>
        <v>0</v>
      </c>
      <c r="DZ33" s="16">
        <f>+IF(Mai!AJ35="",0,Mai!AJ35)</f>
        <v>0</v>
      </c>
      <c r="EA33" s="16">
        <f>+IF(Mai!AM35="",0,Mai!AM35)</f>
        <v>0</v>
      </c>
      <c r="EB33" s="16">
        <f t="shared" si="25"/>
        <v>0</v>
      </c>
      <c r="ED33" s="16">
        <f t="shared" si="26"/>
        <v>0</v>
      </c>
      <c r="EE33" s="16">
        <f t="shared" si="17"/>
        <v>0</v>
      </c>
      <c r="EF33" s="30" t="str">
        <f t="shared" si="18"/>
        <v/>
      </c>
      <c r="EG33" s="30" t="str">
        <f t="shared" si="27"/>
        <v/>
      </c>
      <c r="EH33" s="16">
        <f t="shared" si="28"/>
        <v>0</v>
      </c>
      <c r="EI33" s="30"/>
      <c r="EJ33" s="30">
        <f t="shared" si="19"/>
        <v>46158</v>
      </c>
      <c r="EM33" s="16" t="str">
        <f t="shared" si="29"/>
        <v>Fiche infoA646158</v>
      </c>
      <c r="EN33" s="16">
        <f t="shared" si="20"/>
        <v>0</v>
      </c>
      <c r="EQ33" s="16" t="str">
        <f>Mai!FS35</f>
        <v/>
      </c>
    </row>
    <row r="34" spans="1:147" ht="18" customHeight="1" x14ac:dyDescent="0.2">
      <c r="A34" s="24" t="str">
        <f>+Mai!BJ36</f>
        <v>Fiche infoA7</v>
      </c>
      <c r="B34" s="107">
        <f t="shared" si="30"/>
        <v>46159</v>
      </c>
      <c r="C34" s="170">
        <f>+$D$13+16</f>
        <v>46159</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Mai!BC36</f>
        <v>0</v>
      </c>
      <c r="J34" s="34">
        <f>Mai!BE36</f>
        <v>0</v>
      </c>
      <c r="K34" s="34">
        <f t="shared" si="15"/>
        <v>0</v>
      </c>
      <c r="L34" s="34" t="str">
        <f t="shared" si="21"/>
        <v/>
      </c>
      <c r="N34" s="377"/>
      <c r="O34" s="377"/>
      <c r="P34" s="377"/>
      <c r="Q34" s="377"/>
      <c r="R34" s="377"/>
      <c r="T34" s="563">
        <f>+IF(AD34=0,V34,0)</f>
        <v>0</v>
      </c>
      <c r="U34" s="1301" t="str">
        <f>+Mai!AU4</f>
        <v>A</v>
      </c>
      <c r="V34" s="1301">
        <f>IFERROR(+VLOOKUP(U34,U35:AB39,7,FALSE),"")</f>
        <v>0</v>
      </c>
      <c r="W34" s="2538" t="str">
        <f>Mai!BS28</f>
        <v>Semaine numéro : 18</v>
      </c>
      <c r="X34" s="2538"/>
      <c r="Y34" s="2538"/>
      <c r="Z34" s="1323"/>
      <c r="AA34" s="1316">
        <f>+IF(Z34&lt;&gt;"",Z34,IF(T34&gt;0,T34,IF(AND(AD34&gt;0,AC34&gt;0),AD34+AC34,IF(AE34&gt;0,0,AC34))))</f>
        <v>0</v>
      </c>
      <c r="AB34" s="1316">
        <f>IF(AND(AA34&gt;45,AD34=AD48),AA34-45,0)</f>
        <v>0</v>
      </c>
      <c r="AC34" s="1322">
        <f>+SUMIF(Mai!$BK$20:$BK$50,Mai!AT4,$D$18:$D$48)</f>
        <v>0</v>
      </c>
      <c r="AD34" s="1322">
        <f>+SUMIF(Avril!$BK$20:$BK$50,Mai!AT4,'Retenue Avril'!$D$18:$D$48)</f>
        <v>0</v>
      </c>
      <c r="AE34" s="1322">
        <f>+SUMIF(Juin!$BK$20:$BK$50,Mai!AT4,'Retenue Juin'!$D$18:$D$48)</f>
        <v>0</v>
      </c>
      <c r="AF34" s="1316">
        <f>+AC34-AB34</f>
        <v>0</v>
      </c>
      <c r="AK34" s="1189" t="s">
        <v>324</v>
      </c>
      <c r="AL34" s="1302" t="e">
        <f>IF(AL32,+AL24/AL32,0)</f>
        <v>#VALUE!</v>
      </c>
      <c r="BA34" s="331" t="str">
        <f t="shared" si="16"/>
        <v>Fiche infoA7</v>
      </c>
      <c r="BB34" s="107">
        <f t="shared" si="31"/>
        <v>46159</v>
      </c>
      <c r="BC34" s="170">
        <f>+$D$13+16</f>
        <v>46159</v>
      </c>
      <c r="BD34" s="171" t="str">
        <f t="shared" si="32"/>
        <v/>
      </c>
      <c r="BE34" s="171" t="str">
        <f>+IF(OR(BF34=S.CAL!$BJ$3,BF34=S.CAL!$BJ$4),BD34,"")</f>
        <v/>
      </c>
      <c r="BF34" s="333">
        <f>IF($DY$5=S.CAL!$CU$2,Mai!AR36,IF($DY$5=S.CAL!$CU$3,VLOOKUP(BC34,planning_fp,7,FALSE),""))</f>
        <v>0</v>
      </c>
      <c r="BG34" s="345" t="str">
        <f>Mai!BL36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46159</v>
      </c>
      <c r="CF34" s="170">
        <f>+$D$13+16</f>
        <v>46159</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IF(+Mai!AG36="",0,Mai!AG36)</f>
        <v>0</v>
      </c>
      <c r="DZ34" s="16">
        <f>+IF(Mai!AJ36="",0,Mai!AJ36)</f>
        <v>0</v>
      </c>
      <c r="EA34" s="16">
        <f>+IF(Mai!AM36="",0,Mai!AM36)</f>
        <v>0</v>
      </c>
      <c r="EB34" s="16">
        <f t="shared" si="25"/>
        <v>0</v>
      </c>
      <c r="ED34" s="16">
        <f t="shared" si="26"/>
        <v>0</v>
      </c>
      <c r="EE34" s="16">
        <f t="shared" si="17"/>
        <v>0</v>
      </c>
      <c r="EF34" s="30" t="str">
        <f t="shared" si="18"/>
        <v/>
      </c>
      <c r="EG34" s="30" t="str">
        <f t="shared" si="27"/>
        <v/>
      </c>
      <c r="EH34" s="16">
        <f t="shared" si="28"/>
        <v>0</v>
      </c>
      <c r="EI34" s="30"/>
      <c r="EJ34" s="30">
        <f t="shared" si="19"/>
        <v>46159</v>
      </c>
      <c r="EM34" s="16" t="str">
        <f t="shared" si="29"/>
        <v>Fiche infoA746159</v>
      </c>
      <c r="EN34" s="16">
        <f t="shared" si="20"/>
        <v>0</v>
      </c>
      <c r="EQ34" s="16" t="str">
        <f>Mai!FS36</f>
        <v/>
      </c>
    </row>
    <row r="35" spans="1:147" ht="18" customHeight="1" x14ac:dyDescent="0.2">
      <c r="A35" s="24" t="str">
        <f>+Mai!BJ37</f>
        <v>Fiche infoA1</v>
      </c>
      <c r="B35" s="107">
        <f t="shared" si="30"/>
        <v>46160</v>
      </c>
      <c r="C35" s="170">
        <f>+$D$13+17</f>
        <v>46160</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Mai!BC37</f>
        <v>0</v>
      </c>
      <c r="J35" s="34">
        <f>Mai!BE37</f>
        <v>0</v>
      </c>
      <c r="K35" s="34">
        <f t="shared" si="15"/>
        <v>0</v>
      </c>
      <c r="L35" s="34" t="str">
        <f t="shared" si="21"/>
        <v/>
      </c>
      <c r="N35" s="377"/>
      <c r="O35" s="861" t="s">
        <v>1198</v>
      </c>
      <c r="P35" s="862"/>
      <c r="Q35" s="862"/>
      <c r="R35" s="858"/>
      <c r="T35" s="563">
        <f>+IF(AD35=0,V35,0)</f>
        <v>0</v>
      </c>
      <c r="U35" s="1301" t="str">
        <f>+Mai!AU5</f>
        <v>A</v>
      </c>
      <c r="V35" s="1301">
        <f>IFERROR(+VLOOKUP(U35,U36:AB39,7,FALSE),"")</f>
        <v>0</v>
      </c>
      <c r="W35" s="2538" t="str">
        <f>Mai!BS29</f>
        <v>Semaine numéro : 19</v>
      </c>
      <c r="X35" s="2538"/>
      <c r="Y35" s="2538"/>
      <c r="Z35" s="1323"/>
      <c r="AA35" s="1316">
        <f>+IF(Z35&lt;&gt;"",Z35,IF(T35&gt;0,T35,IF(AND(AD35&gt;0,AC35&gt;0),AD35+AC35,IF(AE35&gt;0,0,AC35))))</f>
        <v>0</v>
      </c>
      <c r="AB35" s="1316">
        <f t="shared" ref="AB35:AB39" si="44">IF(AND(AA35&gt;45,AD35=AD49),AA35-45,0)</f>
        <v>0</v>
      </c>
      <c r="AC35" s="1322">
        <f>+SUMIF(Mai!$BK$20:$BK$50,Mai!AT5,$D$18:$D$48)</f>
        <v>0</v>
      </c>
      <c r="AD35" s="1322">
        <f>+SUMIF(Avril!$BK$20:$BK$50,Mai!AT5,'Retenue Avril'!$D$18:$D$48)</f>
        <v>0</v>
      </c>
      <c r="AE35" s="1322">
        <f>+SUMIF(Juin!$BK$20:$BK$50,Mai!AT5,'Retenue Juin'!$D$18:$D$48)</f>
        <v>0</v>
      </c>
      <c r="AF35" s="1316">
        <f t="shared" ref="AF35:AF39" si="45">+AC35-AB35</f>
        <v>0</v>
      </c>
      <c r="AK35" s="1189"/>
      <c r="AL35" s="1302"/>
      <c r="BA35" s="331" t="str">
        <f t="shared" si="16"/>
        <v>Fiche infoA1</v>
      </c>
      <c r="BB35" s="107">
        <f t="shared" si="31"/>
        <v>46160</v>
      </c>
      <c r="BC35" s="170">
        <f>+$D$13+17</f>
        <v>46160</v>
      </c>
      <c r="BD35" s="171" t="str">
        <f t="shared" si="32"/>
        <v/>
      </c>
      <c r="BE35" s="171" t="str">
        <f>+IF(OR(BF35=S.CAL!$BJ$3,BF35=S.CAL!$BJ$4),BD35,"")</f>
        <v/>
      </c>
      <c r="BF35" s="333">
        <f>IF($DY$5=S.CAL!$CU$2,Mai!AR37,IF($DY$5=S.CAL!$CU$3,VLOOKUP(BC35,planning_fp,7,FALSE),""))</f>
        <v>0</v>
      </c>
      <c r="BG35" s="345" t="str">
        <f>Mai!BL37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46160</v>
      </c>
      <c r="CF35" s="170">
        <f>+$D$13+17</f>
        <v>46160</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IF(+Mai!AG37="",0,Mai!AG37)</f>
        <v>0</v>
      </c>
      <c r="DZ35" s="16">
        <f>+IF(Mai!AJ37="",0,Mai!AJ37)</f>
        <v>0</v>
      </c>
      <c r="EA35" s="16">
        <f>+IF(Mai!AM37="",0,Mai!AM37)</f>
        <v>0</v>
      </c>
      <c r="EB35" s="16">
        <f t="shared" si="25"/>
        <v>0</v>
      </c>
      <c r="ED35" s="16">
        <f t="shared" si="26"/>
        <v>0</v>
      </c>
      <c r="EE35" s="16">
        <f t="shared" si="17"/>
        <v>0</v>
      </c>
      <c r="EF35" s="30" t="str">
        <f t="shared" si="18"/>
        <v/>
      </c>
      <c r="EG35" s="30" t="str">
        <f t="shared" si="27"/>
        <v/>
      </c>
      <c r="EH35" s="16">
        <f t="shared" si="28"/>
        <v>0</v>
      </c>
      <c r="EI35" s="30"/>
      <c r="EJ35" s="30">
        <f t="shared" si="19"/>
        <v>46160</v>
      </c>
      <c r="EM35" s="16" t="str">
        <f t="shared" si="29"/>
        <v>Fiche infoA146160</v>
      </c>
      <c r="EN35" s="16">
        <f t="shared" si="20"/>
        <v>0</v>
      </c>
      <c r="EQ35" s="16" t="str">
        <f>Mai!FS37</f>
        <v/>
      </c>
    </row>
    <row r="36" spans="1:147" ht="18" customHeight="1" x14ac:dyDescent="0.2">
      <c r="A36" s="24" t="str">
        <f>+Mai!BJ38</f>
        <v>Fiche infoA2</v>
      </c>
      <c r="B36" s="107">
        <f t="shared" si="30"/>
        <v>46161</v>
      </c>
      <c r="C36" s="170">
        <f>+$D$13+18</f>
        <v>46161</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Mai!BC38</f>
        <v>0</v>
      </c>
      <c r="J36" s="34">
        <f>Mai!BE38</f>
        <v>0</v>
      </c>
      <c r="K36" s="34">
        <f t="shared" si="15"/>
        <v>0</v>
      </c>
      <c r="L36" s="34" t="str">
        <f t="shared" si="21"/>
        <v/>
      </c>
      <c r="N36" s="377"/>
      <c r="O36" s="468"/>
      <c r="P36" s="469" t="str">
        <f>+E11&amp;" / ( "&amp;E10&amp;" + "&amp;E11&amp;" ) ="</f>
        <v>0 / ( 0 + 0 ) =</v>
      </c>
      <c r="Q36" s="468" t="e">
        <f>+ROUND(E11/(E11+E10),6)</f>
        <v>#DIV/0!</v>
      </c>
      <c r="R36" s="377"/>
      <c r="U36" s="1301" t="str">
        <f>+Mai!AU6</f>
        <v>A</v>
      </c>
      <c r="V36" s="1301"/>
      <c r="W36" s="2538" t="str">
        <f>Mai!BS30</f>
        <v>Semaine numéro : 20</v>
      </c>
      <c r="X36" s="2538"/>
      <c r="Y36" s="2538"/>
      <c r="Z36" s="1323"/>
      <c r="AA36" s="1316">
        <f t="shared" ref="AA36:AA39" si="46">+IF(Z36="",IF(AND(AD36&gt;0,AC36&gt;0),AD36+AC36,IF(AE36&gt;0,0,AC36)),Z36)</f>
        <v>0</v>
      </c>
      <c r="AB36" s="1316">
        <f t="shared" si="44"/>
        <v>0</v>
      </c>
      <c r="AC36" s="1322">
        <f>+SUMIF(Mai!$BK$20:$BK$50,Mai!AT6,$D$18:$D$48)</f>
        <v>0</v>
      </c>
      <c r="AD36" s="1322">
        <f>+SUMIF(Avril!$BK$20:$BK$50,Mai!AT6,'Retenue Avril'!$D$18:$D$48)</f>
        <v>0</v>
      </c>
      <c r="AE36" s="1322">
        <f>+SUMIF(Juin!$BK$20:$BK$50,Mai!AT6,'Retenue Juin'!$D$18:$D$48)</f>
        <v>0</v>
      </c>
      <c r="AF36" s="1316">
        <f t="shared" si="45"/>
        <v>0</v>
      </c>
      <c r="AK36" s="1189"/>
      <c r="AL36" s="1302"/>
      <c r="BA36" s="331" t="str">
        <f t="shared" si="16"/>
        <v>Fiche infoA2</v>
      </c>
      <c r="BB36" s="107">
        <f t="shared" si="31"/>
        <v>46161</v>
      </c>
      <c r="BC36" s="170">
        <f>+$D$13+18</f>
        <v>46161</v>
      </c>
      <c r="BD36" s="171" t="str">
        <f t="shared" si="32"/>
        <v/>
      </c>
      <c r="BE36" s="171" t="str">
        <f>+IF(OR(BF36=S.CAL!$BJ$3,BF36=S.CAL!$BJ$4),BD36,"")</f>
        <v/>
      </c>
      <c r="BF36" s="333">
        <f>IF($DY$5=S.CAL!$CU$2,Mai!AR38,IF($DY$5=S.CAL!$CU$3,VLOOKUP(BC36,planning_fp,7,FALSE),""))</f>
        <v>0</v>
      </c>
      <c r="BG36" s="345" t="str">
        <f>Mai!BL38</f>
        <v>A</v>
      </c>
      <c r="BH36" s="356"/>
      <c r="BI36" s="357"/>
      <c r="BJ36" s="355"/>
      <c r="BK36" s="355"/>
      <c r="BL36" s="35"/>
      <c r="BS36" s="189"/>
      <c r="BT36" s="342"/>
      <c r="BU36" s="342"/>
      <c r="BV36" s="355"/>
      <c r="BW36" s="355"/>
      <c r="BX36" s="355"/>
      <c r="BY36" s="355"/>
      <c r="BZ36" s="355"/>
      <c r="CA36" s="355"/>
      <c r="CB36" s="355"/>
      <c r="CD36" s="328"/>
      <c r="CE36" s="107">
        <f t="shared" si="33"/>
        <v>46161</v>
      </c>
      <c r="CF36" s="170">
        <f>+$D$13+18</f>
        <v>46161</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IF(+Mai!AG38="",0,Mai!AG38)</f>
        <v>0</v>
      </c>
      <c r="DZ36" s="16">
        <f>+IF(Mai!AJ38="",0,Mai!AJ38)</f>
        <v>0</v>
      </c>
      <c r="EA36" s="16">
        <f>+IF(Mai!AM38="",0,Mai!AM38)</f>
        <v>0</v>
      </c>
      <c r="EB36" s="16">
        <f t="shared" si="25"/>
        <v>0</v>
      </c>
      <c r="ED36" s="16">
        <f t="shared" si="26"/>
        <v>0</v>
      </c>
      <c r="EE36" s="16">
        <f t="shared" si="17"/>
        <v>0</v>
      </c>
      <c r="EF36" s="30" t="str">
        <f t="shared" si="18"/>
        <v/>
      </c>
      <c r="EG36" s="30" t="str">
        <f t="shared" si="27"/>
        <v/>
      </c>
      <c r="EH36" s="16">
        <f t="shared" si="28"/>
        <v>0</v>
      </c>
      <c r="EI36" s="30"/>
      <c r="EJ36" s="30">
        <f t="shared" si="19"/>
        <v>46161</v>
      </c>
      <c r="EM36" s="16" t="str">
        <f t="shared" si="29"/>
        <v>Fiche infoA246161</v>
      </c>
      <c r="EN36" s="16">
        <f t="shared" si="20"/>
        <v>0</v>
      </c>
      <c r="EQ36" s="16" t="str">
        <f>Mai!FS38</f>
        <v/>
      </c>
    </row>
    <row r="37" spans="1:147" ht="18" customHeight="1" x14ac:dyDescent="0.2">
      <c r="A37" s="24" t="str">
        <f>+Mai!BJ39</f>
        <v>Fiche infoA3</v>
      </c>
      <c r="B37" s="107">
        <f t="shared" si="30"/>
        <v>46162</v>
      </c>
      <c r="C37" s="170">
        <f>+$D$13+19</f>
        <v>46162</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Mai!BC39</f>
        <v>0</v>
      </c>
      <c r="J37" s="34">
        <f>Mai!BE39</f>
        <v>0</v>
      </c>
      <c r="K37" s="34">
        <f t="shared" si="15"/>
        <v>0</v>
      </c>
      <c r="L37" s="34" t="str">
        <f t="shared" si="21"/>
        <v/>
      </c>
      <c r="N37" s="377"/>
      <c r="O37" s="863"/>
      <c r="P37" s="863"/>
      <c r="Q37" s="863"/>
      <c r="R37" s="377"/>
      <c r="U37" s="1301" t="str">
        <f>+Mai!AU7</f>
        <v>A</v>
      </c>
      <c r="V37" s="1301"/>
      <c r="W37" s="2538" t="str">
        <f>Mai!BS31</f>
        <v>Semaine numéro : 21</v>
      </c>
      <c r="X37" s="2538"/>
      <c r="Y37" s="2538"/>
      <c r="Z37" s="1323"/>
      <c r="AA37" s="1316">
        <f t="shared" si="46"/>
        <v>0</v>
      </c>
      <c r="AB37" s="1316">
        <f t="shared" si="44"/>
        <v>0</v>
      </c>
      <c r="AC37" s="1322">
        <f>+SUMIF(Mai!$BK$20:$BK$50,Mai!AT7,$D$18:$D$48)</f>
        <v>0</v>
      </c>
      <c r="AD37" s="1322">
        <f>+SUMIF(Avril!$BK$20:$BK$50,Mai!AT7,'Retenue Avril'!$D$18:$D$48)</f>
        <v>0</v>
      </c>
      <c r="AE37" s="1322">
        <f>+SUMIF(Juin!$BK$20:$BK$50,Mai!AT7,'Retenue Juin'!$D$18:$D$48)</f>
        <v>0</v>
      </c>
      <c r="AF37" s="1316">
        <f t="shared" si="45"/>
        <v>0</v>
      </c>
      <c r="AK37" s="1189"/>
      <c r="AL37" s="2553" t="s">
        <v>325</v>
      </c>
      <c r="AM37" s="2553" t="s">
        <v>326</v>
      </c>
      <c r="AN37" s="2554" t="s">
        <v>327</v>
      </c>
      <c r="AO37" s="2553" t="s">
        <v>328</v>
      </c>
      <c r="AP37" s="2553" t="s">
        <v>348</v>
      </c>
      <c r="AQ37" s="2553" t="s">
        <v>349</v>
      </c>
      <c r="BA37" s="331" t="str">
        <f t="shared" si="16"/>
        <v>Fiche infoA3</v>
      </c>
      <c r="BB37" s="107">
        <f t="shared" si="31"/>
        <v>46162</v>
      </c>
      <c r="BC37" s="170">
        <f>+$D$13+19</f>
        <v>46162</v>
      </c>
      <c r="BD37" s="171" t="str">
        <f t="shared" si="32"/>
        <v/>
      </c>
      <c r="BE37" s="171" t="str">
        <f>+IF(OR(BF37=S.CAL!$BJ$3,BF37=S.CAL!$BJ$4),BD37,"")</f>
        <v/>
      </c>
      <c r="BF37" s="333">
        <f>IF($DY$5=S.CAL!$CU$2,Mai!AR39,IF($DY$5=S.CAL!$CU$3,VLOOKUP(BC37,planning_fp,7,FALSE),""))</f>
        <v>0</v>
      </c>
      <c r="BG37" s="345" t="str">
        <f>Mai!BL39</f>
        <v>A</v>
      </c>
      <c r="BH37" s="355"/>
      <c r="BI37" s="355"/>
      <c r="BJ37" s="355"/>
      <c r="BK37" s="355"/>
      <c r="BL37" s="35"/>
      <c r="BO37" s="29"/>
      <c r="BP37" s="34"/>
      <c r="BS37" s="189"/>
      <c r="BT37" s="189"/>
      <c r="BV37" s="355"/>
      <c r="BW37" s="355"/>
      <c r="BX37" s="355"/>
      <c r="BY37" s="355"/>
      <c r="BZ37" s="355"/>
      <c r="CA37" s="355"/>
      <c r="CB37" s="355"/>
      <c r="CD37" s="328"/>
      <c r="CE37" s="107">
        <f t="shared" si="33"/>
        <v>46162</v>
      </c>
      <c r="CF37" s="170">
        <f>+$D$13+19</f>
        <v>46162</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IF(+Mai!AG39="",0,Mai!AG39)</f>
        <v>0</v>
      </c>
      <c r="DZ37" s="16">
        <f>+IF(Mai!AJ39="",0,Mai!AJ39)</f>
        <v>0</v>
      </c>
      <c r="EA37" s="16">
        <f>+IF(Mai!AM39="",0,Mai!AM39)</f>
        <v>0</v>
      </c>
      <c r="EB37" s="16">
        <f t="shared" si="25"/>
        <v>0</v>
      </c>
      <c r="ED37" s="16">
        <f t="shared" si="26"/>
        <v>0</v>
      </c>
      <c r="EE37" s="16">
        <f t="shared" si="17"/>
        <v>0</v>
      </c>
      <c r="EF37" s="30" t="str">
        <f t="shared" si="18"/>
        <v/>
      </c>
      <c r="EG37" s="30" t="str">
        <f t="shared" si="27"/>
        <v/>
      </c>
      <c r="EH37" s="16">
        <f t="shared" si="28"/>
        <v>0</v>
      </c>
      <c r="EI37" s="30"/>
      <c r="EJ37" s="30">
        <f t="shared" si="19"/>
        <v>46162</v>
      </c>
      <c r="EM37" s="16" t="str">
        <f t="shared" si="29"/>
        <v>Fiche infoA346162</v>
      </c>
      <c r="EN37" s="16">
        <f t="shared" si="20"/>
        <v>0</v>
      </c>
      <c r="EQ37" s="16" t="str">
        <f>Mai!FS39</f>
        <v/>
      </c>
    </row>
    <row r="38" spans="1:147" ht="18" customHeight="1" x14ac:dyDescent="0.2">
      <c r="A38" s="24" t="str">
        <f>+Mai!BJ40</f>
        <v>Fiche infoA4</v>
      </c>
      <c r="B38" s="107">
        <f t="shared" si="30"/>
        <v>46163</v>
      </c>
      <c r="C38" s="170">
        <f>+$D$13+20</f>
        <v>46163</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Mai!BC40</f>
        <v>0</v>
      </c>
      <c r="J38" s="34">
        <f>Mai!BE40</f>
        <v>0</v>
      </c>
      <c r="K38" s="34">
        <f t="shared" si="15"/>
        <v>0</v>
      </c>
      <c r="L38" s="34" t="str">
        <f t="shared" si="21"/>
        <v/>
      </c>
      <c r="N38" s="377"/>
      <c r="O38" s="864" t="s">
        <v>1445</v>
      </c>
      <c r="P38" s="864"/>
      <c r="Q38" s="864"/>
      <c r="R38" s="860"/>
      <c r="U38" s="1301" t="str">
        <f>+Mai!AU8</f>
        <v>A</v>
      </c>
      <c r="V38" s="1301"/>
      <c r="W38" s="2538" t="str">
        <f>Mai!BS32</f>
        <v>Semaine numéro : 22</v>
      </c>
      <c r="X38" s="2538"/>
      <c r="Y38" s="2538"/>
      <c r="Z38" s="1323"/>
      <c r="AA38" s="1316">
        <f t="shared" si="46"/>
        <v>0</v>
      </c>
      <c r="AB38" s="1316">
        <f t="shared" si="44"/>
        <v>0</v>
      </c>
      <c r="AC38" s="1322">
        <f>+SUMIF(Mai!$BK$20:$BK$50,Mai!AT8,$D$18:$D$48)</f>
        <v>0</v>
      </c>
      <c r="AD38" s="1322">
        <f>+SUMIF(Avril!$BK$20:$BK$50,Mai!AT8,'Retenue Avril'!$D$18:$D$48)</f>
        <v>0</v>
      </c>
      <c r="AE38" s="1322">
        <f>+SUMIF(Juin!$BK$20:$BK$50,Mai!AT8,'Retenue Juin'!$D$18:$D$48)</f>
        <v>0</v>
      </c>
      <c r="AF38" s="1316">
        <f t="shared" si="45"/>
        <v>0</v>
      </c>
      <c r="AL38" s="2553"/>
      <c r="AM38" s="2553"/>
      <c r="AN38" s="2554"/>
      <c r="AO38" s="2553"/>
      <c r="AP38" s="2553"/>
      <c r="AQ38" s="2553"/>
      <c r="BA38" s="331" t="str">
        <f t="shared" si="16"/>
        <v>Fiche infoA4</v>
      </c>
      <c r="BB38" s="107">
        <f t="shared" si="31"/>
        <v>46163</v>
      </c>
      <c r="BC38" s="170">
        <f>+$D$13+20</f>
        <v>46163</v>
      </c>
      <c r="BD38" s="171" t="str">
        <f t="shared" si="32"/>
        <v/>
      </c>
      <c r="BE38" s="171" t="str">
        <f>+IF(OR(BF38=S.CAL!$BJ$3,BF38=S.CAL!$BJ$4),BD38,"")</f>
        <v/>
      </c>
      <c r="BF38" s="333">
        <f>IF($DY$5=S.CAL!$CU$2,Mai!AR40,IF($DY$5=S.CAL!$CU$3,VLOOKUP(BC38,planning_fp,7,FALSE),""))</f>
        <v>0</v>
      </c>
      <c r="BG38" s="345" t="str">
        <f>Mai!BL40</f>
        <v>A</v>
      </c>
      <c r="BH38" s="355"/>
      <c r="BI38" s="355"/>
      <c r="BJ38" s="355"/>
      <c r="BK38" s="355"/>
      <c r="BL38" s="35"/>
      <c r="BO38" s="29"/>
      <c r="BP38" s="34"/>
      <c r="BS38" s="189"/>
      <c r="BT38" s="189"/>
      <c r="BV38" s="355"/>
      <c r="BW38" s="355"/>
      <c r="BX38" s="355"/>
      <c r="BY38" s="355"/>
      <c r="BZ38" s="355"/>
      <c r="CA38" s="355"/>
      <c r="CB38" s="355"/>
      <c r="CD38" s="328"/>
      <c r="CE38" s="107">
        <f t="shared" si="33"/>
        <v>46163</v>
      </c>
      <c r="CF38" s="170">
        <f>+$D$13+20</f>
        <v>46163</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IF(+Mai!AG40="",0,Mai!AG40)</f>
        <v>0</v>
      </c>
      <c r="DZ38" s="16">
        <f>+IF(Mai!AJ40="",0,Mai!AJ40)</f>
        <v>0</v>
      </c>
      <c r="EA38" s="16">
        <f>+IF(Mai!AM40="",0,Mai!AM40)</f>
        <v>0</v>
      </c>
      <c r="EB38" s="16">
        <f t="shared" si="25"/>
        <v>0</v>
      </c>
      <c r="ED38" s="16">
        <f t="shared" si="26"/>
        <v>0</v>
      </c>
      <c r="EE38" s="16">
        <f t="shared" si="17"/>
        <v>0</v>
      </c>
      <c r="EF38" s="30" t="str">
        <f t="shared" si="18"/>
        <v/>
      </c>
      <c r="EG38" s="30" t="str">
        <f t="shared" si="27"/>
        <v/>
      </c>
      <c r="EH38" s="16">
        <f t="shared" si="28"/>
        <v>0</v>
      </c>
      <c r="EI38" s="30"/>
      <c r="EJ38" s="30">
        <f t="shared" si="19"/>
        <v>46163</v>
      </c>
      <c r="EM38" s="16" t="str">
        <f t="shared" si="29"/>
        <v>Fiche infoA446163</v>
      </c>
      <c r="EN38" s="16">
        <f t="shared" si="20"/>
        <v>0</v>
      </c>
      <c r="EQ38" s="16" t="str">
        <f>Mai!FS40</f>
        <v/>
      </c>
    </row>
    <row r="39" spans="1:147" ht="18" customHeight="1" x14ac:dyDescent="0.2">
      <c r="A39" s="24" t="str">
        <f>+Mai!BJ41</f>
        <v>Fiche infoA5</v>
      </c>
      <c r="B39" s="107">
        <f t="shared" si="30"/>
        <v>46164</v>
      </c>
      <c r="C39" s="170">
        <f>+$D$13+21</f>
        <v>46164</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Mai!BC41</f>
        <v>0</v>
      </c>
      <c r="J39" s="34">
        <f>Mai!BE41</f>
        <v>0</v>
      </c>
      <c r="K39" s="34">
        <f t="shared" si="15"/>
        <v>0</v>
      </c>
      <c r="L39" s="34" t="str">
        <f t="shared" si="21"/>
        <v/>
      </c>
      <c r="N39" s="377"/>
      <c r="O39" s="468"/>
      <c r="P39" s="469" t="str">
        <f>+E10&amp;" / ( "&amp;E10&amp;" + "&amp;E11&amp;" ) ="</f>
        <v>0 / ( 0 + 0 ) =</v>
      </c>
      <c r="Q39" s="468" t="e">
        <f>ROUND(+E10/(E11+E10),6)</f>
        <v>#DIV/0!</v>
      </c>
      <c r="R39" s="377"/>
      <c r="U39" s="1301" t="str">
        <f>+Mai!AU9</f>
        <v>A</v>
      </c>
      <c r="V39" s="1301"/>
      <c r="W39" s="2538" t="str">
        <f>Mai!BS33</f>
        <v xml:space="preserve">Semaine numéro : </v>
      </c>
      <c r="X39" s="2538"/>
      <c r="Y39" s="2538"/>
      <c r="Z39" s="1323"/>
      <c r="AA39" s="1316">
        <f t="shared" si="46"/>
        <v>0</v>
      </c>
      <c r="AB39" s="1316">
        <f t="shared" si="44"/>
        <v>0</v>
      </c>
      <c r="AC39" s="1322">
        <f>+SUMIF(Mai!$BK$20:$BK$50,Mai!AT9,$D$18:$D$48)</f>
        <v>0</v>
      </c>
      <c r="AD39" s="1322">
        <f>+SUMIF(Avril!$BK$20:$BK$50,Mai!AT9,'Retenue Avril'!$D$18:$D$48)</f>
        <v>0</v>
      </c>
      <c r="AE39" s="1322">
        <f>+SUMIF(Juin!$BK$20:$BK$50,Mai!AT9,'Retenue Juin'!$D$18:$D$48)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infoA5</v>
      </c>
      <c r="BB39" s="107">
        <f t="shared" si="31"/>
        <v>46164</v>
      </c>
      <c r="BC39" s="170">
        <f>+$D$13+21</f>
        <v>46164</v>
      </c>
      <c r="BD39" s="171" t="str">
        <f t="shared" si="32"/>
        <v/>
      </c>
      <c r="BE39" s="171" t="str">
        <f>+IF(OR(BF39=S.CAL!$BJ$3,BF39=S.CAL!$BJ$4),BD39,"")</f>
        <v/>
      </c>
      <c r="BF39" s="333">
        <f>IF($DY$5=S.CAL!$CU$2,Mai!AR41,IF($DY$5=S.CAL!$CU$3,VLOOKUP(BC39,planning_fp,7,FALSE),""))</f>
        <v>0</v>
      </c>
      <c r="BG39" s="345" t="str">
        <f>Mai!BL41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46164</v>
      </c>
      <c r="CF39" s="170">
        <f>+$D$13+21</f>
        <v>46164</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IF(+Mai!AG41="",0,Mai!AG41)</f>
        <v>0</v>
      </c>
      <c r="DZ39" s="16">
        <f>+IF(Mai!AJ41="",0,Mai!AJ41)</f>
        <v>0</v>
      </c>
      <c r="EA39" s="16">
        <f>+IF(Mai!AM41="",0,Mai!AM41)</f>
        <v>0</v>
      </c>
      <c r="EB39" s="16">
        <f t="shared" si="25"/>
        <v>0</v>
      </c>
      <c r="ED39" s="16">
        <f t="shared" si="26"/>
        <v>0</v>
      </c>
      <c r="EE39" s="16">
        <f t="shared" si="17"/>
        <v>0</v>
      </c>
      <c r="EF39" s="30" t="str">
        <f t="shared" si="18"/>
        <v/>
      </c>
      <c r="EG39" s="30" t="str">
        <f t="shared" si="27"/>
        <v/>
      </c>
      <c r="EH39" s="16">
        <f t="shared" si="28"/>
        <v>0</v>
      </c>
      <c r="EI39" s="30"/>
      <c r="EJ39" s="30">
        <f t="shared" si="19"/>
        <v>46164</v>
      </c>
      <c r="EM39" s="16" t="str">
        <f t="shared" si="29"/>
        <v>Fiche infoA546164</v>
      </c>
      <c r="EN39" s="16">
        <f t="shared" si="20"/>
        <v>0</v>
      </c>
      <c r="EQ39" s="16" t="str">
        <f>Mai!FS41</f>
        <v/>
      </c>
    </row>
    <row r="40" spans="1:147" ht="18" customHeight="1" x14ac:dyDescent="0.2">
      <c r="A40" s="24" t="str">
        <f>+Mai!BJ42</f>
        <v>Fiche infoA6</v>
      </c>
      <c r="B40" s="107">
        <f t="shared" si="30"/>
        <v>46165</v>
      </c>
      <c r="C40" s="170">
        <f>+$D$13+22</f>
        <v>46165</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Mai!BC42</f>
        <v>0</v>
      </c>
      <c r="J40" s="34">
        <f>Mai!BE42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infoA6</v>
      </c>
      <c r="BB40" s="107">
        <f t="shared" si="31"/>
        <v>46165</v>
      </c>
      <c r="BC40" s="170">
        <f>+$D$13+22</f>
        <v>46165</v>
      </c>
      <c r="BD40" s="171" t="str">
        <f t="shared" si="32"/>
        <v/>
      </c>
      <c r="BE40" s="171" t="str">
        <f>+IF(OR(BF40=S.CAL!$BJ$3,BF40=S.CAL!$BJ$4),BD40,"")</f>
        <v/>
      </c>
      <c r="BF40" s="333">
        <f>IF($DY$5=S.CAL!$CU$2,Mai!AR42,IF($DY$5=S.CAL!$CU$3,VLOOKUP(BC40,planning_fp,7,FALSE),""))</f>
        <v>0</v>
      </c>
      <c r="BG40" s="345" t="str">
        <f>Mai!BL42</f>
        <v>A</v>
      </c>
      <c r="BH40" s="355"/>
      <c r="BI40" s="355"/>
      <c r="BJ40" s="355"/>
      <c r="BK40" s="355"/>
      <c r="BL40" s="35"/>
      <c r="BN40" s="19"/>
      <c r="BO40" s="39"/>
      <c r="BP40" s="194"/>
      <c r="BV40" s="355"/>
      <c r="BW40" s="355"/>
      <c r="BX40" s="372"/>
      <c r="BY40" s="355"/>
      <c r="BZ40" s="355"/>
      <c r="CA40" s="355"/>
      <c r="CB40" s="355"/>
      <c r="CD40" s="328"/>
      <c r="CE40" s="107">
        <f t="shared" si="33"/>
        <v>46165</v>
      </c>
      <c r="CF40" s="170">
        <f>+$D$13+22</f>
        <v>46165</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IF(+Mai!AG42="",0,Mai!AG42)</f>
        <v>0</v>
      </c>
      <c r="DZ40" s="16">
        <f>+IF(Mai!AJ42="",0,Mai!AJ42)</f>
        <v>0</v>
      </c>
      <c r="EA40" s="16">
        <f>+IF(Mai!AM42="",0,Mai!AM42)</f>
        <v>0</v>
      </c>
      <c r="EB40" s="16">
        <f t="shared" si="25"/>
        <v>0</v>
      </c>
      <c r="ED40" s="16">
        <f t="shared" si="26"/>
        <v>0</v>
      </c>
      <c r="EE40" s="16">
        <f t="shared" si="17"/>
        <v>0</v>
      </c>
      <c r="EF40" s="30" t="str">
        <f t="shared" si="18"/>
        <v/>
      </c>
      <c r="EG40" s="30" t="str">
        <f t="shared" si="27"/>
        <v/>
      </c>
      <c r="EH40" s="16">
        <f t="shared" si="28"/>
        <v>0</v>
      </c>
      <c r="EI40" s="30"/>
      <c r="EJ40" s="30">
        <f t="shared" si="19"/>
        <v>46165</v>
      </c>
      <c r="EM40" s="16" t="str">
        <f t="shared" si="29"/>
        <v>Fiche infoA646165</v>
      </c>
      <c r="EN40" s="16">
        <f t="shared" si="20"/>
        <v>0</v>
      </c>
      <c r="EQ40" s="16" t="str">
        <f>Mai!FS42</f>
        <v/>
      </c>
    </row>
    <row r="41" spans="1:147" ht="18" customHeight="1" x14ac:dyDescent="0.2">
      <c r="A41" s="24" t="str">
        <f>+Mai!BJ43</f>
        <v>Fiche infoA7</v>
      </c>
      <c r="B41" s="107">
        <f t="shared" si="30"/>
        <v>46166</v>
      </c>
      <c r="C41" s="170">
        <f>+$D$13+23</f>
        <v>46166</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Mai!BC43</f>
        <v>0</v>
      </c>
      <c r="J41" s="34">
        <f>Mai!BE43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infoA7</v>
      </c>
      <c r="BB41" s="107">
        <f t="shared" si="31"/>
        <v>46166</v>
      </c>
      <c r="BC41" s="170">
        <f>+$D$13+23</f>
        <v>46166</v>
      </c>
      <c r="BD41" s="171" t="str">
        <f t="shared" si="32"/>
        <v/>
      </c>
      <c r="BE41" s="171" t="str">
        <f>+IF(OR(BF41=S.CAL!$BJ$3,BF41=S.CAL!$BJ$4),BD41,"")</f>
        <v/>
      </c>
      <c r="BF41" s="333">
        <f>IF($DY$5=S.CAL!$CU$2,Mai!AR43,IF($DY$5=S.CAL!$CU$3,VLOOKUP(BC41,planning_fp,7,FALSE),""))</f>
        <v>0</v>
      </c>
      <c r="BG41" s="345" t="str">
        <f>Mai!BL43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46166</v>
      </c>
      <c r="CF41" s="170">
        <f>+$D$13+23</f>
        <v>46166</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IF(+Mai!AG43="",0,Mai!AG43)</f>
        <v>0</v>
      </c>
      <c r="DZ41" s="16">
        <f>+IF(Mai!AJ43="",0,Mai!AJ43)</f>
        <v>0</v>
      </c>
      <c r="EA41" s="16">
        <f>+IF(Mai!AM43="",0,Mai!AM43)</f>
        <v>0</v>
      </c>
      <c r="EB41" s="16">
        <f t="shared" si="25"/>
        <v>0</v>
      </c>
      <c r="ED41" s="16">
        <f t="shared" si="26"/>
        <v>0</v>
      </c>
      <c r="EE41" s="16">
        <f t="shared" si="17"/>
        <v>0</v>
      </c>
      <c r="EF41" s="30" t="str">
        <f t="shared" si="18"/>
        <v/>
      </c>
      <c r="EG41" s="30" t="str">
        <f t="shared" si="27"/>
        <v/>
      </c>
      <c r="EH41" s="16">
        <f t="shared" si="28"/>
        <v>0</v>
      </c>
      <c r="EI41" s="30"/>
      <c r="EJ41" s="30">
        <f t="shared" si="19"/>
        <v>46166</v>
      </c>
      <c r="EM41" s="16" t="str">
        <f t="shared" si="29"/>
        <v>Fiche infoA746166</v>
      </c>
      <c r="EN41" s="16">
        <f t="shared" si="20"/>
        <v>0</v>
      </c>
      <c r="EQ41" s="16" t="str">
        <f>Mai!FS43</f>
        <v/>
      </c>
    </row>
    <row r="42" spans="1:147" ht="18" customHeight="1" x14ac:dyDescent="0.2">
      <c r="A42" s="24" t="str">
        <f>+Mai!BJ44</f>
        <v>Fiche infoA1</v>
      </c>
      <c r="B42" s="107">
        <f t="shared" si="30"/>
        <v>46167</v>
      </c>
      <c r="C42" s="170">
        <f>+$D$13+24</f>
        <v>46167</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Mai!BC44</f>
        <v>0</v>
      </c>
      <c r="J42" s="34">
        <f>Mai!BE44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infoA1</v>
      </c>
      <c r="BB42" s="107">
        <f t="shared" si="31"/>
        <v>46167</v>
      </c>
      <c r="BC42" s="170">
        <f>+$D$13+24</f>
        <v>46167</v>
      </c>
      <c r="BD42" s="171" t="str">
        <f t="shared" si="32"/>
        <v/>
      </c>
      <c r="BE42" s="171" t="str">
        <f>+IF(OR(BF42=S.CAL!$BJ$3,BF42=S.CAL!$BJ$4),BD42,"")</f>
        <v/>
      </c>
      <c r="BF42" s="333">
        <f>IF($DY$5=S.CAL!$CU$2,Mai!AR44,IF($DY$5=S.CAL!$CU$3,VLOOKUP(BC42,planning_fp,7,FALSE),""))</f>
        <v>0</v>
      </c>
      <c r="BG42" s="345" t="str">
        <f>Mai!BL44</f>
        <v>A</v>
      </c>
      <c r="BH42" s="356"/>
      <c r="BI42" s="358"/>
      <c r="BJ42" s="355"/>
      <c r="BK42" s="355"/>
      <c r="BL42" s="35"/>
      <c r="BV42" s="355"/>
      <c r="BW42" s="355"/>
      <c r="BX42" s="355"/>
      <c r="BY42" s="355"/>
      <c r="BZ42" s="355"/>
      <c r="CA42" s="355"/>
      <c r="CB42" s="355"/>
      <c r="CD42" s="328"/>
      <c r="CE42" s="107">
        <f t="shared" si="33"/>
        <v>46167</v>
      </c>
      <c r="CF42" s="170">
        <f>+$D$13+24</f>
        <v>46167</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IF(+Mai!AG44="",0,Mai!AG44)</f>
        <v>0</v>
      </c>
      <c r="DZ42" s="16">
        <f>+IF(Mai!AJ44="",0,Mai!AJ44)</f>
        <v>0</v>
      </c>
      <c r="EA42" s="16">
        <f>+IF(Mai!AM44="",0,Mai!AM44)</f>
        <v>0</v>
      </c>
      <c r="EB42" s="16">
        <f t="shared" si="25"/>
        <v>0</v>
      </c>
      <c r="ED42" s="16">
        <f t="shared" si="26"/>
        <v>0</v>
      </c>
      <c r="EE42" s="16">
        <f t="shared" si="17"/>
        <v>0</v>
      </c>
      <c r="EF42" s="30" t="str">
        <f t="shared" si="18"/>
        <v/>
      </c>
      <c r="EG42" s="30" t="str">
        <f t="shared" si="27"/>
        <v/>
      </c>
      <c r="EH42" s="16">
        <f t="shared" si="28"/>
        <v>0</v>
      </c>
      <c r="EI42" s="30"/>
      <c r="EJ42" s="30">
        <f t="shared" si="19"/>
        <v>46167</v>
      </c>
      <c r="EM42" s="16" t="str">
        <f t="shared" si="29"/>
        <v>Fiche infoA146167</v>
      </c>
      <c r="EN42" s="16">
        <f t="shared" si="20"/>
        <v>0</v>
      </c>
      <c r="EQ42" s="16" t="str">
        <f>Mai!FS44</f>
        <v/>
      </c>
    </row>
    <row r="43" spans="1:147" ht="18" customHeight="1" x14ac:dyDescent="0.2">
      <c r="A43" s="24" t="str">
        <f>+Mai!BJ45</f>
        <v>Fiche infoA2</v>
      </c>
      <c r="B43" s="107">
        <f t="shared" si="30"/>
        <v>46168</v>
      </c>
      <c r="C43" s="170">
        <f>+$D$13+25</f>
        <v>46168</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Mai!BC45</f>
        <v>0</v>
      </c>
      <c r="J43" s="34">
        <f>Mai!BE45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infoA2</v>
      </c>
      <c r="BB43" s="107">
        <f t="shared" si="31"/>
        <v>46168</v>
      </c>
      <c r="BC43" s="170">
        <f>+$D$13+25</f>
        <v>46168</v>
      </c>
      <c r="BD43" s="171" t="str">
        <f t="shared" si="32"/>
        <v/>
      </c>
      <c r="BE43" s="171" t="str">
        <f>+IF(OR(BF43=S.CAL!$BJ$3,BF43=S.CAL!$BJ$4),BD43,"")</f>
        <v/>
      </c>
      <c r="BF43" s="333">
        <f>IF($DY$5=S.CAL!$CU$2,Mai!AR45,IF($DY$5=S.CAL!$CU$3,VLOOKUP(BC43,planning_fp,7,FALSE),""))</f>
        <v>0</v>
      </c>
      <c r="BG43" s="345" t="str">
        <f>Mai!BL45</f>
        <v>A</v>
      </c>
      <c r="BH43" s="24"/>
      <c r="BI43" s="24" t="s">
        <v>696</v>
      </c>
      <c r="BJ43" s="24"/>
      <c r="BK43" s="355"/>
      <c r="BL43" s="35"/>
      <c r="BV43" s="355"/>
      <c r="BW43" s="355"/>
      <c r="BX43" s="355"/>
      <c r="BY43" s="355"/>
      <c r="BZ43" s="355"/>
      <c r="CA43" s="355"/>
      <c r="CB43" s="355"/>
      <c r="CD43" s="328"/>
      <c r="CE43" s="107">
        <f t="shared" si="33"/>
        <v>46168</v>
      </c>
      <c r="CF43" s="170">
        <f>+$D$13+25</f>
        <v>46168</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IF(+Mai!AG45="",0,Mai!AG45)</f>
        <v>0</v>
      </c>
      <c r="DZ43" s="16">
        <f>+IF(Mai!AJ45="",0,Mai!AJ45)</f>
        <v>0</v>
      </c>
      <c r="EA43" s="16">
        <f>+IF(Mai!AM45="",0,Mai!AM45)</f>
        <v>0</v>
      </c>
      <c r="EB43" s="16">
        <f t="shared" si="25"/>
        <v>0</v>
      </c>
      <c r="ED43" s="16">
        <f t="shared" si="26"/>
        <v>0</v>
      </c>
      <c r="EE43" s="16">
        <f t="shared" si="17"/>
        <v>0</v>
      </c>
      <c r="EF43" s="30" t="str">
        <f t="shared" si="18"/>
        <v/>
      </c>
      <c r="EG43" s="30" t="str">
        <f t="shared" si="27"/>
        <v/>
      </c>
      <c r="EH43" s="16">
        <f t="shared" si="28"/>
        <v>0</v>
      </c>
      <c r="EI43" s="30"/>
      <c r="EJ43" s="30">
        <f t="shared" si="19"/>
        <v>46168</v>
      </c>
      <c r="EM43" s="16" t="str">
        <f t="shared" si="29"/>
        <v>Fiche infoA246168</v>
      </c>
      <c r="EN43" s="16">
        <f t="shared" si="20"/>
        <v>0</v>
      </c>
      <c r="EQ43" s="16" t="str">
        <f>Mai!FS45</f>
        <v/>
      </c>
    </row>
    <row r="44" spans="1:147" ht="18" customHeight="1" x14ac:dyDescent="0.25">
      <c r="A44" s="24" t="str">
        <f>+Mai!BJ46</f>
        <v>Fiche infoA3</v>
      </c>
      <c r="B44" s="107">
        <f t="shared" si="30"/>
        <v>46169</v>
      </c>
      <c r="C44" s="170">
        <f>+$D$13+26</f>
        <v>46169</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Mai!BC46</f>
        <v>0</v>
      </c>
      <c r="J44" s="34">
        <f>Mai!BE46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infoA3</v>
      </c>
      <c r="BB44" s="107">
        <f t="shared" si="31"/>
        <v>46169</v>
      </c>
      <c r="BC44" s="170">
        <f>+$D$13+26</f>
        <v>46169</v>
      </c>
      <c r="BD44" s="171" t="str">
        <f t="shared" si="32"/>
        <v/>
      </c>
      <c r="BE44" s="171" t="str">
        <f>+IF(OR(BF44=S.CAL!$BJ$3,BF44=S.CAL!$BJ$4),BD44,"")</f>
        <v/>
      </c>
      <c r="BF44" s="333">
        <f>IF($DY$5=S.CAL!$CU$2,Mai!AR46,IF($DY$5=S.CAL!$CU$3,VLOOKUP(BC44,planning_fp,7,FALSE),""))</f>
        <v>0</v>
      </c>
      <c r="BG44" s="345" t="str">
        <f>Mai!BL46</f>
        <v>A</v>
      </c>
      <c r="BH44" s="24" t="s">
        <v>788</v>
      </c>
      <c r="BI44" s="24"/>
      <c r="BJ44" s="24"/>
      <c r="BK44" s="355"/>
      <c r="BL44" s="35"/>
      <c r="BV44" s="355"/>
      <c r="BW44" s="355"/>
      <c r="BX44" s="355"/>
      <c r="BY44" s="355"/>
      <c r="BZ44" s="355"/>
      <c r="CA44" s="355"/>
      <c r="CB44" s="355"/>
      <c r="CD44" s="328"/>
      <c r="CE44" s="107">
        <f t="shared" si="33"/>
        <v>46169</v>
      </c>
      <c r="CF44" s="170">
        <f>+$D$13+26</f>
        <v>46169</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IF(+Mai!AG46="",0,Mai!AG46)</f>
        <v>0</v>
      </c>
      <c r="DZ44" s="16">
        <f>+IF(Mai!AJ46="",0,Mai!AJ46)</f>
        <v>0</v>
      </c>
      <c r="EA44" s="16">
        <f>+IF(Mai!AM46="",0,Mai!AM46)</f>
        <v>0</v>
      </c>
      <c r="EB44" s="16">
        <f t="shared" si="25"/>
        <v>0</v>
      </c>
      <c r="ED44" s="16">
        <f t="shared" si="26"/>
        <v>0</v>
      </c>
      <c r="EE44" s="16">
        <f t="shared" si="17"/>
        <v>0</v>
      </c>
      <c r="EF44" s="30" t="str">
        <f t="shared" si="18"/>
        <v/>
      </c>
      <c r="EG44" s="30" t="str">
        <f t="shared" si="27"/>
        <v/>
      </c>
      <c r="EH44" s="16">
        <f t="shared" si="28"/>
        <v>0</v>
      </c>
      <c r="EI44" s="30"/>
      <c r="EJ44" s="30">
        <f t="shared" si="19"/>
        <v>46169</v>
      </c>
      <c r="EM44" s="16" t="str">
        <f t="shared" si="29"/>
        <v>Fiche infoA346169</v>
      </c>
      <c r="EN44" s="16">
        <f t="shared" si="20"/>
        <v>0</v>
      </c>
      <c r="EQ44" s="16" t="str">
        <f>Mai!FS46</f>
        <v/>
      </c>
    </row>
    <row r="45" spans="1:147" ht="18" customHeight="1" x14ac:dyDescent="0.2">
      <c r="A45" s="24" t="str">
        <f>+Mai!BJ47</f>
        <v>Fiche infoA4</v>
      </c>
      <c r="B45" s="107">
        <f t="shared" si="30"/>
        <v>46170</v>
      </c>
      <c r="C45" s="170">
        <f>IF(C$18+27&lt;DATE(YEAR(O$13),MONTH(O$13),DAY(O$13)),C$18+27,"")</f>
        <v>46170</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Mai!BC47</f>
        <v>0</v>
      </c>
      <c r="J45" s="34">
        <f>Mai!BE47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infoA4</v>
      </c>
      <c r="BB45" s="107">
        <f t="shared" si="31"/>
        <v>46170</v>
      </c>
      <c r="BC45" s="170">
        <f>IF(BC$18+27&lt;DATE(YEAR(BH$13),MONTH(BH$13),DAY(BH$13)),BC$18+27,"")</f>
        <v>46170</v>
      </c>
      <c r="BD45" s="171" t="str">
        <f t="shared" si="32"/>
        <v/>
      </c>
      <c r="BE45" s="171" t="str">
        <f>+IF(OR(BF45=S.CAL!$BJ$3,BF45=S.CAL!$BJ$4),BD45,"")</f>
        <v/>
      </c>
      <c r="BF45" s="333">
        <f>IF($DY$5=S.CAL!$CU$2,Mai!AR47,IF($DY$5=S.CAL!$CU$3,VLOOKUP(BC45,planning_fp,7,FALSE),""))</f>
        <v>0</v>
      </c>
      <c r="BG45" s="345" t="str">
        <f>Mai!BL47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46170</v>
      </c>
      <c r="CF45" s="170">
        <f>IF(CF$18+27&lt;DATE(YEAR(CQ$13),MONTH(CQ$13),DAY(CQ$13)),CF$18+27,"")</f>
        <v>46170</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IF(+Mai!AG47="",0,Mai!AG47)</f>
        <v>0</v>
      </c>
      <c r="DZ45" s="16">
        <f>+IF(Mai!AJ47="",0,Mai!AJ47)</f>
        <v>0</v>
      </c>
      <c r="EA45" s="16">
        <f>+IF(Mai!AM47="",0,Mai!AM47)</f>
        <v>0</v>
      </c>
      <c r="EB45" s="16">
        <f t="shared" si="25"/>
        <v>0</v>
      </c>
      <c r="ED45" s="16">
        <f t="shared" si="26"/>
        <v>0</v>
      </c>
      <c r="EE45" s="16">
        <f t="shared" si="17"/>
        <v>0</v>
      </c>
      <c r="EF45" s="30" t="str">
        <f t="shared" si="18"/>
        <v/>
      </c>
      <c r="EG45" s="30" t="str">
        <f t="shared" si="27"/>
        <v/>
      </c>
      <c r="EH45" s="16">
        <f t="shared" si="28"/>
        <v>0</v>
      </c>
      <c r="EI45" s="30"/>
      <c r="EJ45" s="30">
        <f t="shared" si="19"/>
        <v>46170</v>
      </c>
      <c r="EM45" s="16" t="str">
        <f t="shared" si="29"/>
        <v>Fiche infoA446170</v>
      </c>
      <c r="EN45" s="16">
        <f t="shared" si="20"/>
        <v>0</v>
      </c>
      <c r="EQ45" s="16" t="str">
        <f>Mai!FS47</f>
        <v/>
      </c>
    </row>
    <row r="46" spans="1:147" ht="18" customHeight="1" x14ac:dyDescent="0.2">
      <c r="A46" s="24" t="str">
        <f>+Mai!BJ48</f>
        <v>Fiche infoA5</v>
      </c>
      <c r="B46" s="107">
        <f t="shared" si="30"/>
        <v>46171</v>
      </c>
      <c r="C46" s="170">
        <f>IF(C$18+28&lt;DATE(YEAR(O$13),MONTH(O$13),DAY(O$13)),C$18+28,"")</f>
        <v>46171</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Mai!BC48</f>
        <v>0</v>
      </c>
      <c r="J46" s="34">
        <f>Mai!BE48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infoA5</v>
      </c>
      <c r="BB46" s="107">
        <f t="shared" si="31"/>
        <v>46171</v>
      </c>
      <c r="BC46" s="170">
        <f>IF(BC$18+28&lt;DATE(YEAR(BH$13),MONTH(BH$13),DAY(BH$13)),BC$18+28,"")</f>
        <v>46171</v>
      </c>
      <c r="BD46" s="171" t="str">
        <f t="shared" si="32"/>
        <v/>
      </c>
      <c r="BE46" s="171" t="str">
        <f>+IF(OR(BF46=S.CAL!$BJ$3,BF46=S.CAL!$BJ$4),BD46,"")</f>
        <v/>
      </c>
      <c r="BF46" s="333">
        <f>IF($DY$5=S.CAL!$CU$2,Mai!AR48,IF($DY$5=S.CAL!$CU$3,VLOOKUP(BC46,planning_fp,7,FALSE),""))</f>
        <v>0</v>
      </c>
      <c r="BG46" s="345" t="str">
        <f>Mai!BL48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46171</v>
      </c>
      <c r="CF46" s="170">
        <f>IF(CF$18+28&lt;DATE(YEAR(CQ$13),MONTH(CQ$13),DAY(CQ$13)),CF$18+28,"")</f>
        <v>46171</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IF(+Mai!AG48="",0,Mai!AG48)</f>
        <v>0</v>
      </c>
      <c r="DZ46" s="16">
        <f>+IF(Mai!AJ48="",0,Mai!AJ48)</f>
        <v>0</v>
      </c>
      <c r="EA46" s="16">
        <f>+IF(Mai!AM48="",0,Mai!AM48)</f>
        <v>0</v>
      </c>
      <c r="EB46" s="16">
        <f t="shared" si="25"/>
        <v>0</v>
      </c>
      <c r="ED46" s="16">
        <f t="shared" si="26"/>
        <v>0</v>
      </c>
      <c r="EE46" s="16">
        <f t="shared" si="17"/>
        <v>0</v>
      </c>
      <c r="EF46" s="30" t="str">
        <f t="shared" si="18"/>
        <v/>
      </c>
      <c r="EG46" s="30" t="str">
        <f t="shared" si="27"/>
        <v/>
      </c>
      <c r="EH46" s="16">
        <f t="shared" si="28"/>
        <v>0</v>
      </c>
      <c r="EI46" s="30"/>
      <c r="EJ46" s="30">
        <f t="shared" si="19"/>
        <v>46171</v>
      </c>
      <c r="EM46" s="16" t="str">
        <f t="shared" si="29"/>
        <v>Fiche infoA546171</v>
      </c>
      <c r="EN46" s="16">
        <f t="shared" si="20"/>
        <v>0</v>
      </c>
      <c r="EQ46" s="16" t="str">
        <f>Mai!FS48</f>
        <v/>
      </c>
    </row>
    <row r="47" spans="1:147" ht="18" customHeight="1" x14ac:dyDescent="0.2">
      <c r="A47" s="24" t="str">
        <f>+Mai!BJ49</f>
        <v>Fiche infoA6</v>
      </c>
      <c r="B47" s="107">
        <f t="shared" si="30"/>
        <v>46172</v>
      </c>
      <c r="C47" s="170">
        <f>IF(C$18+29&lt;DATE(YEAR(O$13),MONTH(O$13),DAY(O$13)),C$18+29,"")</f>
        <v>46172</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Mai!BC49</f>
        <v>0</v>
      </c>
      <c r="J47" s="34">
        <f>Mai!BE49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infoA6</v>
      </c>
      <c r="BB47" s="107">
        <f t="shared" si="31"/>
        <v>46172</v>
      </c>
      <c r="BC47" s="170">
        <f>IF(BC$18+29&lt;DATE(YEAR(BH$13),MONTH(BH$13),DAY(BH$13)),BC$18+29,"")</f>
        <v>46172</v>
      </c>
      <c r="BD47" s="171" t="str">
        <f t="shared" si="32"/>
        <v/>
      </c>
      <c r="BE47" s="171" t="str">
        <f>+IF(OR(BF47=S.CAL!$BJ$3,BF47=S.CAL!$BJ$4),BD47,"")</f>
        <v/>
      </c>
      <c r="BF47" s="333">
        <f>IF($DY$5=S.CAL!$CU$2,Mai!AR49,IF($DY$5=S.CAL!$CU$3,VLOOKUP(BC47,planning_fp,7,FALSE),""))</f>
        <v>0</v>
      </c>
      <c r="BG47" s="345" t="str">
        <f>Mai!BL49</f>
        <v>A</v>
      </c>
      <c r="BH47" s="355"/>
      <c r="BI47" s="355"/>
      <c r="BJ47" s="355"/>
      <c r="BK47" s="355"/>
      <c r="BL47" s="35"/>
      <c r="BV47" s="355"/>
      <c r="BW47" s="355"/>
      <c r="BX47" s="355"/>
      <c r="BY47" s="355"/>
      <c r="BZ47" s="355"/>
      <c r="CA47" s="355"/>
      <c r="CB47" s="355"/>
      <c r="CD47" s="328"/>
      <c r="CE47" s="107">
        <f t="shared" si="33"/>
        <v>46172</v>
      </c>
      <c r="CF47" s="170">
        <f>IF(CF$18+29&lt;DATE(YEAR(CQ$13),MONTH(CQ$13),DAY(CQ$13)),CF$18+29,"")</f>
        <v>46172</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IF(+Mai!AG49="",0,Mai!AG49)</f>
        <v>0</v>
      </c>
      <c r="DZ47" s="16">
        <f>+IF(Mai!AJ49="",0,Mai!AJ49)</f>
        <v>0</v>
      </c>
      <c r="EA47" s="16">
        <f>+IF(Mai!AM49="",0,Mai!AM49)</f>
        <v>0</v>
      </c>
      <c r="EB47" s="16">
        <f t="shared" si="25"/>
        <v>0</v>
      </c>
      <c r="ED47" s="16">
        <f t="shared" si="26"/>
        <v>0</v>
      </c>
      <c r="EE47" s="16">
        <f t="shared" si="17"/>
        <v>0</v>
      </c>
      <c r="EF47" s="30" t="str">
        <f t="shared" si="18"/>
        <v/>
      </c>
      <c r="EG47" s="30" t="str">
        <f t="shared" si="27"/>
        <v/>
      </c>
      <c r="EH47" s="16">
        <f t="shared" si="28"/>
        <v>0</v>
      </c>
      <c r="EI47" s="30"/>
      <c r="EJ47" s="30">
        <f t="shared" si="19"/>
        <v>46172</v>
      </c>
      <c r="EM47" s="16" t="str">
        <f t="shared" si="29"/>
        <v>Fiche infoA646172</v>
      </c>
      <c r="EN47" s="16">
        <f t="shared" si="20"/>
        <v>0</v>
      </c>
      <c r="EQ47" s="16" t="str">
        <f>Mai!FS49</f>
        <v/>
      </c>
    </row>
    <row r="48" spans="1:147" ht="18" customHeight="1" thickBot="1" x14ac:dyDescent="0.25">
      <c r="A48" s="24" t="str">
        <f>+Mai!BJ50</f>
        <v>Fiche infoA7</v>
      </c>
      <c r="B48" s="110">
        <f t="shared" si="30"/>
        <v>46173</v>
      </c>
      <c r="C48" s="190">
        <f>IF(C$18+30&lt;DATE(YEAR(O$13),MONTH(O$13),DAY(O$13)),C$18+30,"")</f>
        <v>46173</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Mai!BC50</f>
        <v>0</v>
      </c>
      <c r="J48" s="34">
        <f>Mai!BE50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18</v>
      </c>
      <c r="X48" s="2538"/>
      <c r="Y48" s="2538"/>
      <c r="Z48" s="1323" t="str">
        <f>+IF(Z34="","",Z34)</f>
        <v/>
      </c>
      <c r="AA48" s="1316">
        <f>+IF(Z48="",IF(AND(AD48&gt;0,AC48&gt;0),AD48+AC48,IF(AE48&gt;0,0,AC48)),Z48)</f>
        <v>0</v>
      </c>
      <c r="AB48" s="1316">
        <f>IF(AA48&gt;45,AA48-45,0)</f>
        <v>0</v>
      </c>
      <c r="AC48" s="1322">
        <f>+SUMIF(Mai!$BK$20:$BK$50,Mai!AT4,$D$18:$D$48)-SUMIF(Mai!$BK$20:$BK$50,Mai!AT4,$E$18:$E$48)</f>
        <v>0</v>
      </c>
      <c r="AD48" s="1322">
        <f>+SUMIF(Avril!$BK$20:$BK$50,Mai!AT4,'Retenue Avril'!$D$18:$D$48)-SUMIF(Avril!$BK$20:$BK$50,Mai!AT4,'Retenue Avril'!$E$18:$E$48)</f>
        <v>0</v>
      </c>
      <c r="AE48" s="1322">
        <f>+SUMIF(Juin!$BK$20:$BK$50,Mai!AT4,'Retenue Juin'!$D$18:$D$48)-SUMIF(Juin!$BK$20:$BK$50,Mai!AT4,'Retenue Juin'!$E$18:$E$48)</f>
        <v>0</v>
      </c>
      <c r="AF48" s="1316">
        <f>+AC48-AB48</f>
        <v>0</v>
      </c>
      <c r="AK48" s="1189"/>
      <c r="AL48" s="1202"/>
      <c r="AO48" s="1202">
        <f>+AN39*AL26</f>
        <v>0</v>
      </c>
      <c r="AP48" s="1202">
        <f>+AO48*(1-AX21)</f>
        <v>0</v>
      </c>
      <c r="AQ48" s="1202">
        <f>+AO48-AP48</f>
        <v>0</v>
      </c>
      <c r="BA48" s="331" t="str">
        <f t="shared" si="16"/>
        <v>Fiche infoA7</v>
      </c>
      <c r="BB48" s="110">
        <f t="shared" si="31"/>
        <v>46173</v>
      </c>
      <c r="BC48" s="190">
        <f>IF(BC$18+30&lt;DATE(YEAR(BH$13),MONTH(BH$13),DAY(BH$13)),BC$18+30,"")</f>
        <v>46173</v>
      </c>
      <c r="BD48" s="191" t="str">
        <f t="shared" si="32"/>
        <v/>
      </c>
      <c r="BE48" s="191" t="str">
        <f>+IF(OR(BF48=S.CAL!$BJ$3,BF48=S.CAL!$BJ$4),BD48,"")</f>
        <v/>
      </c>
      <c r="BF48" s="334">
        <f>IF($DY$5=S.CAL!$CU$2,Mai!AR50,IF($DY$5=S.CAL!$CU$3,VLOOKUP(BC48,planning_fp,7,FALSE),""))</f>
        <v>0</v>
      </c>
      <c r="BG48" s="346" t="str">
        <f>Mai!BL50</f>
        <v>A</v>
      </c>
      <c r="BH48" s="356"/>
      <c r="BI48" s="355"/>
      <c r="BJ48" s="355"/>
      <c r="BK48" s="355"/>
      <c r="BL48" s="35"/>
      <c r="BQ48" s="16" t="s">
        <v>834</v>
      </c>
      <c r="BV48" s="355"/>
      <c r="BW48" s="355"/>
      <c r="BX48" s="355" t="s">
        <v>834</v>
      </c>
      <c r="BZ48" s="355"/>
      <c r="CA48" s="355"/>
      <c r="CB48" s="355"/>
      <c r="CD48" s="328"/>
      <c r="CE48" s="110">
        <f t="shared" si="33"/>
        <v>46173</v>
      </c>
      <c r="CF48" s="190">
        <f>IF(CF$18+30&lt;DATE(YEAR(CQ$13),MONTH(CQ$13),DAY(CQ$13)),CF$18+30,"")</f>
        <v>46173</v>
      </c>
      <c r="CG48" s="191">
        <f t="shared" si="22"/>
        <v>0</v>
      </c>
      <c r="CH48" s="34"/>
      <c r="CI48" s="2534" t="str">
        <f t="shared" ref="CI48:CI53" si="56">W48</f>
        <v>Semaine numéro : 18</v>
      </c>
      <c r="CJ48" s="2535"/>
      <c r="CK48" s="2536"/>
      <c r="CL48" s="875" t="str">
        <f>+IF(CL34="","",CL34)</f>
        <v/>
      </c>
      <c r="CM48" s="656">
        <f>+IF(CL48="",IF(AND(CP48&gt;0,CO48&gt;0),CP48+CO48,IF(CQ48&gt;0,0,CO48)),CL48)</f>
        <v>0</v>
      </c>
      <c r="CN48" s="655">
        <f>IF(CM48&gt;45,CM48-45,0)</f>
        <v>0</v>
      </c>
      <c r="CO48" s="196">
        <f>+SUMIF(Mai!$BK$20:$BK$50,Mai!AT4,$CG$18:$CG$48)</f>
        <v>0</v>
      </c>
      <c r="CP48" s="196">
        <f>+SUMIF(Avril!$BK$20:$BK$50,Mai!AT4,'Retenue Avril'!$CG$18:$CG$48)</f>
        <v>0</v>
      </c>
      <c r="CQ48" s="196">
        <f>+SUMIF(Juin!$BK$20:$BK$50,Mai!AT4,'Retenue Juin'!$CG$18:$CG$48)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IF(+Mai!AG50="",0,Mai!AG50)</f>
        <v>0</v>
      </c>
      <c r="DZ48" s="16">
        <f>+IF(Mai!AJ50="",0,Mai!AJ50)</f>
        <v>0</v>
      </c>
      <c r="EA48" s="16">
        <f>+IF(Mai!AM50="",0,Mai!AM50)</f>
        <v>0</v>
      </c>
      <c r="EB48" s="16">
        <f t="shared" si="25"/>
        <v>0</v>
      </c>
      <c r="ED48" s="16">
        <f t="shared" si="26"/>
        <v>0</v>
      </c>
      <c r="EE48" s="16">
        <f t="shared" si="17"/>
        <v>0</v>
      </c>
      <c r="EF48" s="30" t="str">
        <f t="shared" si="18"/>
        <v/>
      </c>
      <c r="EG48" s="30" t="str">
        <f t="shared" si="27"/>
        <v/>
      </c>
      <c r="EH48" s="16">
        <f t="shared" si="28"/>
        <v>0</v>
      </c>
      <c r="EI48" s="30"/>
      <c r="EJ48" s="30">
        <f t="shared" si="19"/>
        <v>46173</v>
      </c>
      <c r="EM48" s="16" t="str">
        <f t="shared" si="29"/>
        <v>Fiche infoA746173</v>
      </c>
      <c r="EN48" s="16">
        <f t="shared" si="20"/>
        <v>0</v>
      </c>
      <c r="EQ48" s="16" t="str">
        <f>Mai!FS50</f>
        <v/>
      </c>
    </row>
    <row r="49" spans="2:139" ht="18" customHeight="1" thickBot="1" x14ac:dyDescent="0.25">
      <c r="N49" s="24"/>
      <c r="O49" s="24"/>
      <c r="P49" s="24"/>
      <c r="Q49" s="24"/>
      <c r="R49" s="24"/>
      <c r="S49" s="1325"/>
      <c r="U49" s="1301"/>
      <c r="V49" s="1301"/>
      <c r="W49" s="2538" t="str">
        <f t="shared" si="55"/>
        <v>Semaine numéro : 19</v>
      </c>
      <c r="X49" s="2538"/>
      <c r="Y49" s="2538"/>
      <c r="Z49" s="1323" t="str">
        <f t="shared" ref="Z49:Z53" si="57">+IF(Z35="","",Z35)</f>
        <v/>
      </c>
      <c r="AA49" s="1316">
        <f t="shared" ref="AA49:AA53" si="58">+IF(Z49="",IF(AND(AD49&gt;0,AC49&gt;0),AD49+AC49,IF(AE49&gt;0,0,AC49)),Z49)</f>
        <v>0</v>
      </c>
      <c r="AB49" s="1316">
        <f t="shared" ref="AB49:AB53" si="59">IF(AA49&gt;45,AA49-45,0)</f>
        <v>0</v>
      </c>
      <c r="AC49" s="1322">
        <f>+SUMIF(Mai!$BK$20:$BK$50,Mai!AT5,$D$18:$D$48)-SUMIF(Mai!$BK$20:$BK$50,Mai!AT5,$E$18:$E$48)</f>
        <v>0</v>
      </c>
      <c r="AD49" s="1322">
        <f>+SUMIF(Avril!$BK$20:$BK$50,Mai!AT5,'Retenue Avril'!$D$18:$D$48)-SUMIF(Avril!$BK$20:$BK$50,Mai!AT5,'Retenue Avril'!$E$18:$E$48)</f>
        <v>0</v>
      </c>
      <c r="AE49" s="1322">
        <f>+SUMIF(Juin!$BK$20:$BK$50,Mai!AT5,'Retenue Juin'!$D$18:$D$48)-SUMIF(Juin!$BK$20:$BK$50,Mai!AT5,'Retenue Juin'!$E$18:$E$48)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19</v>
      </c>
      <c r="CJ49" s="2535"/>
      <c r="CK49" s="2536"/>
      <c r="CL49" s="875" t="str">
        <f t="shared" ref="CL49:CL53" si="61">+IF(CL35="","",CL35)</f>
        <v/>
      </c>
      <c r="CM49" s="656">
        <f t="shared" ref="CM49:CM53" si="62">+IF(CL49="",IF(AND(CP49&gt;0,CO49&gt;0),CP49+CO49,IF(CQ49&gt;0,0,CO49)),CL49)</f>
        <v>0</v>
      </c>
      <c r="CN49" s="655">
        <f t="shared" ref="CN49:CN53" si="63">IF(CM49&gt;45,CM49-45,0)</f>
        <v>0</v>
      </c>
      <c r="CO49" s="196">
        <f>+SUMIF(Mai!$BK$20:$BK$50,Mai!AT5,$CG$18:$CG$48)</f>
        <v>0</v>
      </c>
      <c r="CP49" s="196">
        <f>+SUMIF(Avril!$BK$20:$BK$50,Mai!AT5,'Retenue Avril'!$CG$18:$CG$48)</f>
        <v>0</v>
      </c>
      <c r="CQ49" s="196">
        <f>+SUMIF(Juin!$BK$20:$BK$50,Mai!AT5,'Retenue Juin'!$CG$18:$CG$48)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20</v>
      </c>
      <c r="X50" s="2538"/>
      <c r="Y50" s="2538"/>
      <c r="Z50" s="1323" t="str">
        <f t="shared" si="57"/>
        <v/>
      </c>
      <c r="AA50" s="1316">
        <f t="shared" si="58"/>
        <v>0</v>
      </c>
      <c r="AB50" s="1316">
        <f t="shared" si="59"/>
        <v>0</v>
      </c>
      <c r="AC50" s="1322">
        <f>+SUMIF(Mai!$BK$20:$BK$50,Mai!AT6,$D$18:$D$48)-SUMIF(Mai!$BK$20:$BK$50,Mai!AT6,$E$18:$E$48)</f>
        <v>0</v>
      </c>
      <c r="AD50" s="1322">
        <f>+SUMIF(Avril!$BK$20:$BK$50,Mai!AT6,'Retenue Avril'!$D$18:$D$48)-SUMIF(Avril!$BK$20:$BK$50,Mai!AT6,'Retenue Avril'!$E$18:$E$48)</f>
        <v>0</v>
      </c>
      <c r="AE50" s="1322">
        <f>+SUMIF(Juin!$BK$20:$BK$50,Mai!AT6,'Retenue Juin'!$D$18:$D$48)-SUMIF(Juin!$BK$20:$BK$50,Mai!AT6,'Retenue Juin'!$E$18:$E$48)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20</v>
      </c>
      <c r="CJ50" s="2535"/>
      <c r="CK50" s="2536"/>
      <c r="CL50" s="875" t="str">
        <f t="shared" si="61"/>
        <v/>
      </c>
      <c r="CM50" s="656">
        <f t="shared" si="62"/>
        <v>0</v>
      </c>
      <c r="CN50" s="655">
        <f t="shared" si="63"/>
        <v>0</v>
      </c>
      <c r="CO50" s="196">
        <f>+SUMIF(Mai!$BK$20:$BK$50,Mai!AT6,$CG$18:$CG$48)</f>
        <v>0</v>
      </c>
      <c r="CP50" s="196">
        <f>+SUMIF(Avril!$BK$20:$BK$50,Mai!AT6,'Retenue Avril'!$CG$18:$CG$48)</f>
        <v>0</v>
      </c>
      <c r="CQ50" s="196">
        <f>+SUMIF(Juin!$BK$20:$BK$50,Mai!AT6,'Retenue Juin'!$CG$18:$CG$48)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5"/>
        <v>Semaine numéro : 21</v>
      </c>
      <c r="X51" s="2538"/>
      <c r="Y51" s="2538"/>
      <c r="Z51" s="1323" t="str">
        <f t="shared" si="57"/>
        <v/>
      </c>
      <c r="AA51" s="1316">
        <f t="shared" si="58"/>
        <v>0</v>
      </c>
      <c r="AB51" s="1316">
        <f t="shared" si="59"/>
        <v>0</v>
      </c>
      <c r="AC51" s="1322">
        <f>+SUMIF(Mai!$BK$20:$BK$50,Mai!AT7,$D$18:$D$48)-SUMIF(Mai!$BK$20:$BK$50,Mai!AT7,$E$18:$E$48)</f>
        <v>0</v>
      </c>
      <c r="AD51" s="1322">
        <f>+SUMIF(Avril!$BK$20:$BK$50,Mai!AT7,'Retenue Avril'!$D$18:$D$48)-SUMIF(Avril!$BK$20:$BK$50,Mai!AT7,'Retenue Avril'!$E$18:$E$48)</f>
        <v>0</v>
      </c>
      <c r="AE51" s="1322">
        <f>+SUMIF(Juin!$BK$20:$BK$50,Mai!AT7,'Retenue Juin'!$D$18:$D$48)-SUMIF(Juin!$BK$20:$BK$50,Mai!AT7,'Retenue Juin'!$E$18:$E$48)</f>
        <v>0</v>
      </c>
      <c r="AF51" s="1316">
        <f t="shared" si="60"/>
        <v>0</v>
      </c>
      <c r="AG51" s="1327"/>
      <c r="AJ51" s="1304"/>
      <c r="AK51" s="1305"/>
      <c r="AL51" s="1307"/>
      <c r="BA51" s="328"/>
      <c r="BD51" s="351" t="s">
        <v>746</v>
      </c>
      <c r="BE51" s="192">
        <f>+SUMIFS(BE18:BE48,BF18:BF48,S.CAL!BJ3)</f>
        <v>0</v>
      </c>
      <c r="BF51" s="352">
        <f>IF(Mai!AZ90="",+COUNTIF(BF18:BF48,S.CAL!BJ3),Mai!AZ90)</f>
        <v>0</v>
      </c>
      <c r="BL51" s="35"/>
      <c r="CD51" s="328"/>
      <c r="CI51" s="2534" t="str">
        <f t="shared" si="56"/>
        <v>Semaine numéro : 21</v>
      </c>
      <c r="CJ51" s="2535"/>
      <c r="CK51" s="2536"/>
      <c r="CL51" s="875" t="str">
        <f t="shared" si="61"/>
        <v/>
      </c>
      <c r="CM51" s="656">
        <f t="shared" si="62"/>
        <v>0</v>
      </c>
      <c r="CN51" s="655">
        <f t="shared" si="63"/>
        <v>0</v>
      </c>
      <c r="CO51" s="196">
        <f>+SUMIF(Mai!$BK$20:$BK$50,Mai!AT7,$CG$18:$CG$48)</f>
        <v>0</v>
      </c>
      <c r="CP51" s="196">
        <f>+SUMIF(Avril!$BK$20:$BK$50,Mai!AT7,'Retenue Avril'!$CG$18:$CG$48)</f>
        <v>0</v>
      </c>
      <c r="CQ51" s="196">
        <f>+SUMIF(Juin!$BK$20:$BK$50,Mai!AT7,'Retenue Juin'!$CG$18:$CG$48)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22</v>
      </c>
      <c r="X52" s="2538"/>
      <c r="Y52" s="2538"/>
      <c r="Z52" s="1323" t="str">
        <f t="shared" si="57"/>
        <v/>
      </c>
      <c r="AA52" s="1316">
        <f t="shared" si="58"/>
        <v>0</v>
      </c>
      <c r="AB52" s="1316">
        <f t="shared" si="59"/>
        <v>0</v>
      </c>
      <c r="AC52" s="1322">
        <f>+SUMIF(Mai!$BK$20:$BK$50,Mai!AT8,$D$18:$D$48)-SUMIF(Mai!$BK$20:$BK$50,Mai!AT8,$E$18:$E$48)</f>
        <v>0</v>
      </c>
      <c r="AD52" s="1322">
        <f>+SUMIF(Avril!$BK$20:$BK$50,Mai!AT8,'Retenue Avril'!$D$18:$D$48)-SUMIF(Avril!$BK$20:$BK$50,Mai!AT8,'Retenue Avril'!$E$18:$E$48)</f>
        <v>0</v>
      </c>
      <c r="AE52" s="1322">
        <f>+SUMIF(Juin!$BK$20:$BK$50,Mai!AT8,'Retenue Juin'!$D$18:$D$48)-SUMIF(Juin!$BK$20:$BK$50,Mai!AT8,'Retenue Juin'!$E$18:$E$48)</f>
        <v>0</v>
      </c>
      <c r="AF52" s="1316">
        <f t="shared" si="60"/>
        <v>0</v>
      </c>
      <c r="AO52" s="1189" t="s">
        <v>1110</v>
      </c>
      <c r="AP52" s="1326">
        <f>IF(AL22,+ROUND((AQ48+SUM(AQ39:AQ46))*AL34/AL22*Q11,2),0)</f>
        <v>0</v>
      </c>
      <c r="BA52" s="328"/>
      <c r="BD52" s="1341" t="s">
        <v>696</v>
      </c>
      <c r="BE52" s="1342">
        <f>+SUMIFS(BE18:BE48,BF18:BF48,S.CAL!BJ4)</f>
        <v>0</v>
      </c>
      <c r="BF52" s="1343">
        <f>IF(Mai!BA90="",+COUNTIF(BF18:BF48,S.CAL!BJ4),Mai!BA90)</f>
        <v>0</v>
      </c>
      <c r="BL52" s="35"/>
      <c r="BU52" s="16" t="s">
        <v>776</v>
      </c>
      <c r="BW52" s="339">
        <f>+BR46+BR49+BZ46+BZ49</f>
        <v>0</v>
      </c>
      <c r="CD52" s="328"/>
      <c r="CI52" s="2534" t="str">
        <f t="shared" si="56"/>
        <v>Semaine numéro : 22</v>
      </c>
      <c r="CJ52" s="2535"/>
      <c r="CK52" s="2536"/>
      <c r="CL52" s="875" t="str">
        <f t="shared" si="61"/>
        <v/>
      </c>
      <c r="CM52" s="656">
        <f t="shared" si="62"/>
        <v>0</v>
      </c>
      <c r="CN52" s="655">
        <f t="shared" si="63"/>
        <v>0</v>
      </c>
      <c r="CO52" s="196">
        <f>+SUMIF(Mai!$BK$20:$BK$50,Mai!AT8,$CG$18:$CG$48)</f>
        <v>0</v>
      </c>
      <c r="CP52" s="196">
        <f>+SUMIF(Avril!$BK$20:$BK$50,Mai!AT8,'Retenue Avril'!$CG$18:$CG$48)</f>
        <v>0</v>
      </c>
      <c r="CQ52" s="196">
        <f>+SUMIF(Juin!$BK$20:$BK$50,Mai!AT8,'Retenue Juin'!$CG$18:$CG$48)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 xml:space="preserve">Semaine numéro : </v>
      </c>
      <c r="X53" s="2538"/>
      <c r="Y53" s="2538"/>
      <c r="Z53" s="1323" t="str">
        <f t="shared" si="57"/>
        <v/>
      </c>
      <c r="AA53" s="1316">
        <f t="shared" si="58"/>
        <v>0</v>
      </c>
      <c r="AB53" s="1316">
        <f t="shared" si="59"/>
        <v>0</v>
      </c>
      <c r="AC53" s="1322">
        <f>+SUMIF(Mai!$BK$20:$BK$50,Mai!AT9,$D$18:$D$48)-SUMIF(Mai!$BK$20:$BK$50,Mai!AT9,$E$18:$E$48)</f>
        <v>0</v>
      </c>
      <c r="AD53" s="1322">
        <f>+SUMIF(Avril!$BK$20:$BK$50,Mai!AT9,'Retenue Avril'!$D$18:$D$48)-SUMIF(Avril!$BK$20:$BK$50,Mai!AT9,'Retenue Avril'!$E$18:$E$48)</f>
        <v>0</v>
      </c>
      <c r="AE53" s="1322">
        <f>+SUMIF(Juin!$BK$20:$BK$50,Mai!AT9,'Retenue Juin'!$D$18:$D$48)-SUMIF(Juin!$BK$20:$BK$50,Mai!AT9,'Retenue Juin'!$E$18:$E$48)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 xml:space="preserve">Semaine numéro : </v>
      </c>
      <c r="CJ53" s="2535"/>
      <c r="CK53" s="2536"/>
      <c r="CL53" s="875" t="str">
        <f t="shared" si="61"/>
        <v/>
      </c>
      <c r="CM53" s="656">
        <f t="shared" si="62"/>
        <v>0</v>
      </c>
      <c r="CN53" s="655">
        <f t="shared" si="63"/>
        <v>0</v>
      </c>
      <c r="CO53" s="196">
        <f>+SUMIF(Mai!$BK$20:$BK$50,Mai!AT9,$CG$18:$CG$48)</f>
        <v>0</v>
      </c>
      <c r="CP53" s="196">
        <f>+SUMIF(Avril!$BK$20:$BK$50,Mai!AT9,'Retenue Avril'!$CG$18:$CG$48)</f>
        <v>0</v>
      </c>
      <c r="CQ53" s="196">
        <f>+SUMIF(Juin!$BK$20:$BK$50,Mai!AT9,'Retenue Juin'!$CG$18:$CG$48)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63">
        <f>B17</f>
        <v>46143</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46143</v>
      </c>
      <c r="C57" s="169">
        <f t="shared" si="65"/>
        <v>46143</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46144</v>
      </c>
      <c r="C58" s="170">
        <f t="shared" si="65"/>
        <v>46144</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46145</v>
      </c>
      <c r="C59" s="170">
        <f t="shared" si="65"/>
        <v>46145</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46146</v>
      </c>
      <c r="C60" s="170">
        <f t="shared" si="65"/>
        <v>46146</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46147</v>
      </c>
      <c r="C61" s="170">
        <f t="shared" si="65"/>
        <v>46147</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46148</v>
      </c>
      <c r="C62" s="170">
        <f t="shared" si="65"/>
        <v>46148</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46149</v>
      </c>
      <c r="C63" s="170">
        <f t="shared" si="65"/>
        <v>46149</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46150</v>
      </c>
      <c r="C64" s="170">
        <f t="shared" si="65"/>
        <v>46150</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46151</v>
      </c>
      <c r="C65" s="170">
        <f t="shared" si="65"/>
        <v>46151</v>
      </c>
      <c r="D65" s="171" t="str">
        <f t="shared" si="66"/>
        <v/>
      </c>
      <c r="E65" s="171" t="str">
        <f t="shared" si="69"/>
        <v/>
      </c>
      <c r="F65" s="1531" t="str">
        <f t="shared" si="67"/>
        <v/>
      </c>
      <c r="G65" s="1531" t="str">
        <f t="shared" si="68"/>
        <v/>
      </c>
      <c r="BA65" s="328"/>
      <c r="CD65" s="328"/>
    </row>
    <row r="66" spans="2:82" x14ac:dyDescent="0.2">
      <c r="B66" s="107">
        <f t="shared" si="65"/>
        <v>46152</v>
      </c>
      <c r="C66" s="170">
        <f t="shared" si="65"/>
        <v>46152</v>
      </c>
      <c r="D66" s="171" t="str">
        <f t="shared" si="66"/>
        <v/>
      </c>
      <c r="E66" s="171" t="str">
        <f t="shared" si="69"/>
        <v/>
      </c>
      <c r="F66" s="1531" t="str">
        <f t="shared" si="67"/>
        <v/>
      </c>
      <c r="G66" s="1531" t="str">
        <f t="shared" si="68"/>
        <v/>
      </c>
      <c r="BA66" s="328"/>
      <c r="CD66" s="328"/>
    </row>
    <row r="67" spans="2:82" x14ac:dyDescent="0.2">
      <c r="B67" s="107">
        <f t="shared" si="65"/>
        <v>46153</v>
      </c>
      <c r="C67" s="170">
        <f t="shared" si="65"/>
        <v>46153</v>
      </c>
      <c r="D67" s="171" t="str">
        <f t="shared" si="66"/>
        <v/>
      </c>
      <c r="E67" s="171" t="str">
        <f t="shared" si="69"/>
        <v/>
      </c>
      <c r="F67" s="1531" t="str">
        <f t="shared" si="67"/>
        <v/>
      </c>
      <c r="G67" s="1531" t="str">
        <f t="shared" si="68"/>
        <v/>
      </c>
      <c r="BA67" s="328"/>
      <c r="CD67" s="328"/>
    </row>
    <row r="68" spans="2:82" x14ac:dyDescent="0.2">
      <c r="B68" s="107">
        <f t="shared" si="65"/>
        <v>46154</v>
      </c>
      <c r="C68" s="170">
        <f t="shared" si="65"/>
        <v>46154</v>
      </c>
      <c r="D68" s="171" t="str">
        <f t="shared" si="66"/>
        <v/>
      </c>
      <c r="E68" s="171" t="str">
        <f t="shared" si="69"/>
        <v/>
      </c>
      <c r="F68" s="1531" t="str">
        <f t="shared" si="67"/>
        <v/>
      </c>
      <c r="G68" s="1531" t="str">
        <f t="shared" si="68"/>
        <v/>
      </c>
      <c r="AI68" s="1332" t="s">
        <v>329</v>
      </c>
      <c r="BA68" s="328"/>
      <c r="CD68" s="328"/>
    </row>
    <row r="69" spans="2:82" x14ac:dyDescent="0.2">
      <c r="B69" s="107">
        <f t="shared" si="65"/>
        <v>46155</v>
      </c>
      <c r="C69" s="170">
        <f t="shared" si="65"/>
        <v>46155</v>
      </c>
      <c r="D69" s="171" t="str">
        <f t="shared" si="66"/>
        <v/>
      </c>
      <c r="E69" s="171" t="str">
        <f t="shared" si="69"/>
        <v/>
      </c>
      <c r="F69" s="1531" t="str">
        <f t="shared" si="67"/>
        <v/>
      </c>
      <c r="G69" s="1531" t="str">
        <f t="shared" si="68"/>
        <v/>
      </c>
      <c r="BA69" s="328"/>
      <c r="CD69" s="328"/>
    </row>
    <row r="70" spans="2:82" x14ac:dyDescent="0.2">
      <c r="B70" s="107">
        <f t="shared" si="65"/>
        <v>46156</v>
      </c>
      <c r="C70" s="170">
        <f t="shared" si="65"/>
        <v>46156</v>
      </c>
      <c r="D70" s="171" t="str">
        <f t="shared" si="66"/>
        <v/>
      </c>
      <c r="E70" s="171" t="str">
        <f t="shared" si="69"/>
        <v/>
      </c>
      <c r="F70" s="1531" t="str">
        <f t="shared" si="67"/>
        <v/>
      </c>
      <c r="G70" s="1531" t="str">
        <f t="shared" si="68"/>
        <v/>
      </c>
      <c r="AI70" s="563" t="s">
        <v>330</v>
      </c>
      <c r="BA70" s="328"/>
      <c r="CD70" s="328"/>
    </row>
    <row r="71" spans="2:82" x14ac:dyDescent="0.2">
      <c r="B71" s="107">
        <f t="shared" si="65"/>
        <v>46157</v>
      </c>
      <c r="C71" s="170">
        <f t="shared" si="65"/>
        <v>46157</v>
      </c>
      <c r="D71" s="171" t="str">
        <f t="shared" si="66"/>
        <v/>
      </c>
      <c r="E71" s="171" t="str">
        <f t="shared" si="69"/>
        <v/>
      </c>
      <c r="F71" s="1531" t="str">
        <f t="shared" si="67"/>
        <v/>
      </c>
      <c r="G71" s="1531" t="str">
        <f t="shared" si="68"/>
        <v/>
      </c>
      <c r="AI71" s="1333" t="s">
        <v>331</v>
      </c>
      <c r="BA71" s="328"/>
      <c r="CD71" s="328"/>
    </row>
    <row r="72" spans="2:82" x14ac:dyDescent="0.2">
      <c r="B72" s="107">
        <f t="shared" si="65"/>
        <v>46158</v>
      </c>
      <c r="C72" s="170">
        <f t="shared" si="65"/>
        <v>46158</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46159</v>
      </c>
      <c r="C73" s="170">
        <f t="shared" si="70"/>
        <v>46159</v>
      </c>
      <c r="D73" s="171" t="str">
        <f t="shared" si="66"/>
        <v/>
      </c>
      <c r="E73" s="171" t="str">
        <f t="shared" si="69"/>
        <v/>
      </c>
      <c r="F73" s="1531" t="str">
        <f t="shared" si="67"/>
        <v/>
      </c>
      <c r="G73" s="1531" t="str">
        <f t="shared" si="68"/>
        <v/>
      </c>
      <c r="BA73" s="328"/>
      <c r="CD73" s="328"/>
    </row>
    <row r="74" spans="2:82" x14ac:dyDescent="0.2">
      <c r="B74" s="107">
        <f t="shared" si="70"/>
        <v>46160</v>
      </c>
      <c r="C74" s="170">
        <f t="shared" si="70"/>
        <v>46160</v>
      </c>
      <c r="D74" s="171" t="str">
        <f t="shared" si="66"/>
        <v/>
      </c>
      <c r="E74" s="171" t="str">
        <f t="shared" si="69"/>
        <v/>
      </c>
      <c r="F74" s="1531" t="str">
        <f t="shared" si="67"/>
        <v/>
      </c>
      <c r="G74" s="1531" t="str">
        <f t="shared" si="68"/>
        <v/>
      </c>
      <c r="AI74" s="563" t="s">
        <v>332</v>
      </c>
      <c r="BA74" s="328"/>
      <c r="CD74" s="328"/>
    </row>
    <row r="75" spans="2:82" x14ac:dyDescent="0.2">
      <c r="B75" s="107">
        <f t="shared" si="70"/>
        <v>46161</v>
      </c>
      <c r="C75" s="170">
        <f t="shared" si="70"/>
        <v>46161</v>
      </c>
      <c r="D75" s="171" t="str">
        <f t="shared" si="66"/>
        <v/>
      </c>
      <c r="E75" s="171" t="str">
        <f t="shared" si="69"/>
        <v/>
      </c>
      <c r="F75" s="1531" t="str">
        <f t="shared" si="67"/>
        <v/>
      </c>
      <c r="G75" s="1531" t="str">
        <f t="shared" si="68"/>
        <v/>
      </c>
      <c r="AI75" s="1333" t="s">
        <v>333</v>
      </c>
      <c r="BA75" s="328"/>
      <c r="CD75" s="328"/>
    </row>
    <row r="76" spans="2:82" x14ac:dyDescent="0.2">
      <c r="B76" s="107">
        <f t="shared" si="70"/>
        <v>46162</v>
      </c>
      <c r="C76" s="170">
        <f t="shared" si="70"/>
        <v>46162</v>
      </c>
      <c r="D76" s="171" t="str">
        <f t="shared" si="66"/>
        <v/>
      </c>
      <c r="E76" s="171" t="str">
        <f t="shared" si="69"/>
        <v/>
      </c>
      <c r="F76" s="1531" t="str">
        <f t="shared" si="67"/>
        <v/>
      </c>
      <c r="G76" s="1531" t="str">
        <f t="shared" si="68"/>
        <v/>
      </c>
      <c r="BA76" s="328"/>
      <c r="CD76" s="328"/>
    </row>
    <row r="77" spans="2:82" x14ac:dyDescent="0.2">
      <c r="B77" s="107">
        <f t="shared" si="70"/>
        <v>46163</v>
      </c>
      <c r="C77" s="170">
        <f t="shared" si="70"/>
        <v>46163</v>
      </c>
      <c r="D77" s="171" t="str">
        <f t="shared" si="66"/>
        <v/>
      </c>
      <c r="E77" s="171" t="str">
        <f t="shared" si="69"/>
        <v/>
      </c>
      <c r="F77" s="1531" t="str">
        <f t="shared" si="67"/>
        <v/>
      </c>
      <c r="G77" s="1531" t="str">
        <f t="shared" si="68"/>
        <v/>
      </c>
      <c r="AI77" s="563" t="s">
        <v>334</v>
      </c>
      <c r="BA77" s="328"/>
      <c r="CD77" s="328"/>
    </row>
    <row r="78" spans="2:82" x14ac:dyDescent="0.2">
      <c r="B78" s="107">
        <f t="shared" si="70"/>
        <v>46164</v>
      </c>
      <c r="C78" s="170">
        <f t="shared" si="70"/>
        <v>46164</v>
      </c>
      <c r="D78" s="171" t="str">
        <f t="shared" si="66"/>
        <v/>
      </c>
      <c r="E78" s="171" t="str">
        <f t="shared" si="69"/>
        <v/>
      </c>
      <c r="F78" s="1531" t="str">
        <f t="shared" si="67"/>
        <v/>
      </c>
      <c r="G78" s="1531" t="str">
        <f t="shared" si="68"/>
        <v/>
      </c>
      <c r="AI78" s="1333" t="s">
        <v>680</v>
      </c>
      <c r="BA78" s="328"/>
      <c r="CD78" s="328"/>
    </row>
    <row r="79" spans="2:82" x14ac:dyDescent="0.2">
      <c r="B79" s="107">
        <f t="shared" si="70"/>
        <v>46165</v>
      </c>
      <c r="C79" s="170">
        <f t="shared" si="70"/>
        <v>46165</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46166</v>
      </c>
      <c r="C80" s="170">
        <f t="shared" si="70"/>
        <v>46166</v>
      </c>
      <c r="D80" s="171" t="str">
        <f t="shared" si="66"/>
        <v/>
      </c>
      <c r="E80" s="171" t="str">
        <f t="shared" si="69"/>
        <v/>
      </c>
      <c r="F80" s="1531" t="str">
        <f t="shared" si="67"/>
        <v/>
      </c>
      <c r="G80" s="1531" t="str">
        <f t="shared" si="68"/>
        <v/>
      </c>
      <c r="BA80" s="328"/>
      <c r="CD80" s="328"/>
    </row>
    <row r="81" spans="2:82" x14ac:dyDescent="0.2">
      <c r="B81" s="107">
        <f t="shared" si="70"/>
        <v>46167</v>
      </c>
      <c r="C81" s="170">
        <f t="shared" si="70"/>
        <v>46167</v>
      </c>
      <c r="D81" s="171" t="str">
        <f t="shared" si="66"/>
        <v/>
      </c>
      <c r="E81" s="171" t="str">
        <f t="shared" si="69"/>
        <v/>
      </c>
      <c r="F81" s="1531" t="str">
        <f t="shared" si="67"/>
        <v/>
      </c>
      <c r="G81" s="1531" t="str">
        <f t="shared" si="68"/>
        <v/>
      </c>
      <c r="AI81" s="563" t="s">
        <v>518</v>
      </c>
      <c r="BA81" s="328"/>
      <c r="CD81" s="328"/>
    </row>
    <row r="82" spans="2:82" x14ac:dyDescent="0.2">
      <c r="B82" s="107">
        <f t="shared" si="70"/>
        <v>46168</v>
      </c>
      <c r="C82" s="170">
        <f t="shared" si="70"/>
        <v>46168</v>
      </c>
      <c r="D82" s="171" t="str">
        <f t="shared" si="66"/>
        <v/>
      </c>
      <c r="E82" s="171" t="str">
        <f t="shared" si="69"/>
        <v/>
      </c>
      <c r="F82" s="1531" t="str">
        <f t="shared" si="67"/>
        <v/>
      </c>
      <c r="G82" s="1531" t="str">
        <f t="shared" si="68"/>
        <v/>
      </c>
      <c r="AI82" s="1333" t="s">
        <v>681</v>
      </c>
      <c r="BA82" s="328"/>
      <c r="CD82" s="328"/>
    </row>
    <row r="83" spans="2:82" x14ac:dyDescent="0.2">
      <c r="B83" s="107">
        <f t="shared" si="70"/>
        <v>46169</v>
      </c>
      <c r="C83" s="170">
        <f t="shared" si="70"/>
        <v>46169</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46170</v>
      </c>
      <c r="C84" s="170">
        <f t="shared" si="70"/>
        <v>46170</v>
      </c>
      <c r="D84" s="171" t="str">
        <f t="shared" si="66"/>
        <v/>
      </c>
      <c r="E84" s="171" t="str">
        <f t="shared" si="69"/>
        <v/>
      </c>
      <c r="F84" s="1531" t="str">
        <f t="shared" si="67"/>
        <v/>
      </c>
      <c r="G84" s="1531" t="str">
        <f t="shared" si="68"/>
        <v/>
      </c>
      <c r="BA84" s="328"/>
      <c r="CD84" s="328"/>
    </row>
    <row r="85" spans="2:82" x14ac:dyDescent="0.2">
      <c r="B85" s="107">
        <f t="shared" si="70"/>
        <v>46171</v>
      </c>
      <c r="C85" s="170">
        <f t="shared" si="70"/>
        <v>46171</v>
      </c>
      <c r="D85" s="171" t="str">
        <f t="shared" si="66"/>
        <v/>
      </c>
      <c r="E85" s="171" t="str">
        <f t="shared" si="69"/>
        <v/>
      </c>
      <c r="F85" s="1531" t="str">
        <f t="shared" si="67"/>
        <v/>
      </c>
      <c r="G85" s="1531" t="str">
        <f t="shared" si="68"/>
        <v/>
      </c>
      <c r="AI85" s="1333" t="s">
        <v>335</v>
      </c>
      <c r="BA85" s="328"/>
      <c r="CD85" s="328"/>
    </row>
    <row r="86" spans="2:82" x14ac:dyDescent="0.2">
      <c r="B86" s="107">
        <f t="shared" si="70"/>
        <v>46172</v>
      </c>
      <c r="C86" s="170">
        <f t="shared" si="70"/>
        <v>46172</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46173</v>
      </c>
      <c r="C87" s="190">
        <f t="shared" si="70"/>
        <v>46173</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t/4lm80AQrcLpNNziUucR8xbmS1VaavzYOR0mBKJoOkInkY03e9KcDclqI0Su/bBJuJ5VWR6IgG/sXZF18tKwQ==" saltValue="k1hrx9ZwrJOR/ouhJskrj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676" priority="36">
      <formula>$R$3=$A$5</formula>
    </cfRule>
  </conditionalFormatting>
  <conditionalFormatting sqref="M19:Q23">
    <cfRule type="expression" dxfId="3675" priority="13">
      <formula>$E$11&gt;0</formula>
    </cfRule>
  </conditionalFormatting>
  <conditionalFormatting sqref="M26:R46">
    <cfRule type="expression" dxfId="3674" priority="3">
      <formula>$E$11=0</formula>
    </cfRule>
  </conditionalFormatting>
  <conditionalFormatting sqref="P17">
    <cfRule type="expression" dxfId="3673" priority="16">
      <formula>$E$11=0</formula>
    </cfRule>
  </conditionalFormatting>
  <conditionalFormatting sqref="P30">
    <cfRule type="expression" dxfId="3672" priority="7">
      <formula>AND($R$3="Méthode 1",$E$11&lt;0)</formula>
    </cfRule>
  </conditionalFormatting>
  <conditionalFormatting sqref="P33">
    <cfRule type="expression" dxfId="3671" priority="6">
      <formula>AND($R$3="Méthode 1",$E$11&lt;0)</formula>
    </cfRule>
  </conditionalFormatting>
  <conditionalFormatting sqref="Q17">
    <cfRule type="cellIs" dxfId="3670" priority="15" operator="equal">
      <formula>0</formula>
    </cfRule>
  </conditionalFormatting>
  <conditionalFormatting sqref="Q42">
    <cfRule type="expression" dxfId="3669" priority="5">
      <formula>AND($R$3="Méthode 1",$E$11&lt;0)</formula>
    </cfRule>
  </conditionalFormatting>
  <conditionalFormatting sqref="Q45">
    <cfRule type="expression" dxfId="3668" priority="4">
      <formula>AND($R$3="Méthode 1",$E$11&lt;0)</formula>
    </cfRule>
  </conditionalFormatting>
  <conditionalFormatting sqref="S7:AF7">
    <cfRule type="expression" dxfId="3667" priority="35">
      <formula>$R$3=$T$5</formula>
    </cfRule>
  </conditionalFormatting>
  <conditionalFormatting sqref="W19">
    <cfRule type="expression" dxfId="3666" priority="40">
      <formula>$EF$14=1</formula>
    </cfRule>
  </conditionalFormatting>
  <conditionalFormatting sqref="W21">
    <cfRule type="expression" dxfId="3665" priority="39">
      <formula>$EF$14=1</formula>
    </cfRule>
  </conditionalFormatting>
  <conditionalFormatting sqref="AC19">
    <cfRule type="expression" dxfId="3664" priority="38">
      <formula>$EF$14=1</formula>
    </cfRule>
  </conditionalFormatting>
  <conditionalFormatting sqref="AC21">
    <cfRule type="expression" dxfId="3663" priority="37">
      <formula>$EF$14=1</formula>
    </cfRule>
  </conditionalFormatting>
  <conditionalFormatting sqref="AH7:AZ7">
    <cfRule type="expression" dxfId="3662" priority="21">
      <formula>$R$3=$AI$5</formula>
    </cfRule>
  </conditionalFormatting>
  <conditionalFormatting sqref="AP50">
    <cfRule type="expression" dxfId="3661" priority="20">
      <formula>$R$3="Méthode 2"</formula>
    </cfRule>
  </conditionalFormatting>
  <conditionalFormatting sqref="AP52">
    <cfRule type="expression" dxfId="3660" priority="19">
      <formula>$R$3="Méthode 2"</formula>
    </cfRule>
  </conditionalFormatting>
  <conditionalFormatting sqref="AP61">
    <cfRule type="expression" dxfId="3659" priority="18">
      <formula>$R$3="Méthode 2"</formula>
    </cfRule>
  </conditionalFormatting>
  <conditionalFormatting sqref="AP64">
    <cfRule type="expression" dxfId="3658" priority="17">
      <formula>$R$3="Méthode 2"</formula>
    </cfRule>
  </conditionalFormatting>
  <conditionalFormatting sqref="BI50">
    <cfRule type="expression" dxfId="3657" priority="28">
      <formula>$BK$3="Méthode 1"</formula>
    </cfRule>
  </conditionalFormatting>
  <conditionalFormatting sqref="BJ29">
    <cfRule type="expression" dxfId="3656" priority="30">
      <formula>$BK$3="Méthode 1"</formula>
    </cfRule>
  </conditionalFormatting>
  <conditionalFormatting sqref="BJ45">
    <cfRule type="expression" dxfId="3655" priority="29">
      <formula>$BK$3="Méthode 1"</formula>
    </cfRule>
  </conditionalFormatting>
  <conditionalFormatting sqref="BR46">
    <cfRule type="expression" dxfId="3654" priority="27">
      <formula>$BK$3="Méthode 2"</formula>
    </cfRule>
  </conditionalFormatting>
  <conditionalFormatting sqref="BR49">
    <cfRule type="expression" dxfId="3653" priority="26">
      <formula>$BK$3="Méthode 2"</formula>
    </cfRule>
  </conditionalFormatting>
  <conditionalFormatting sqref="BW52">
    <cfRule type="expression" dxfId="3652" priority="23">
      <formula>$BK$3="Méthode 2"</formula>
    </cfRule>
  </conditionalFormatting>
  <conditionalFormatting sqref="BW54">
    <cfRule type="expression" dxfId="3651" priority="22">
      <formula>$BK$3="Méthode 2"</formula>
    </cfRule>
  </conditionalFormatting>
  <conditionalFormatting sqref="BZ46">
    <cfRule type="expression" dxfId="3650" priority="25">
      <formula>$BK$3="Méthode 2"</formula>
    </cfRule>
  </conditionalFormatting>
  <conditionalFormatting sqref="BZ49">
    <cfRule type="expression" dxfId="3649" priority="24">
      <formula>$BK$3="Méthode 2"</formula>
    </cfRule>
  </conditionalFormatting>
  <conditionalFormatting sqref="CG18:CG48">
    <cfRule type="cellIs" dxfId="3648"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3" manualBreakCount="3">
    <brk id="18" max="105" man="1"/>
    <brk id="52" max="105" man="1"/>
    <brk id="63" max="105" man="1"/>
  </col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+Juin!DP4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+Juin!AR13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+Juin!AI3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+Juin!I14</f>
        <v>0</v>
      </c>
      <c r="F10" s="149"/>
      <c r="G10" s="149"/>
      <c r="H10" s="149"/>
      <c r="I10" s="149"/>
      <c r="J10" s="149"/>
      <c r="K10" s="149"/>
      <c r="L10" s="149"/>
      <c r="P10" s="29" t="s">
        <v>1441</v>
      </c>
      <c r="Q10" s="338">
        <f>+Juin!P18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+Juin!T18+Juin!T19</f>
        <v>0</v>
      </c>
      <c r="BI10" s="29" t="s">
        <v>1449</v>
      </c>
      <c r="BJ10" s="338">
        <f>+Juin!AL14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+Juin!U14</f>
        <v>0</v>
      </c>
      <c r="F11" s="149"/>
      <c r="G11" s="149"/>
      <c r="H11" s="149"/>
      <c r="I11" s="149"/>
      <c r="J11" s="149"/>
      <c r="K11" s="149"/>
      <c r="L11" s="149"/>
      <c r="M11" s="1179"/>
      <c r="N11" s="181"/>
      <c r="O11" s="1180"/>
      <c r="P11" s="181" t="s">
        <v>1104</v>
      </c>
      <c r="Q11" s="1181">
        <f>+Juin!P19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+BJ10*(1+Juin!N15)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+Juin!X3</f>
        <v>46174</v>
      </c>
      <c r="M13" s="152"/>
      <c r="N13" s="153">
        <f>DATE(YEAR($D$13),MONTH($D$13)+1,DAY($D$13))</f>
        <v>46204</v>
      </c>
      <c r="O13" s="154">
        <f>N13</f>
        <v>46204</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46174</v>
      </c>
      <c r="BF13" s="152"/>
      <c r="BG13" s="153">
        <f>DATE(YEAR($D$13),MONTH($D$13)+1,DAY($D$13))</f>
        <v>46204</v>
      </c>
      <c r="BH13" s="154">
        <f>BG13</f>
        <v>46204</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46204</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46174</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46174</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46174</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+Juin!BJ20</f>
        <v>Fiche infoA1</v>
      </c>
      <c r="B18" s="168">
        <f>+D13</f>
        <v>46174</v>
      </c>
      <c r="C18" s="169">
        <f>+$D$13</f>
        <v>46174</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Juin!BC20</f>
        <v>0</v>
      </c>
      <c r="J18" s="34">
        <f>Juin!BE20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infoA1</v>
      </c>
      <c r="BB18" s="168">
        <f>+BD13</f>
        <v>46174</v>
      </c>
      <c r="BC18" s="169">
        <f>+$D$13</f>
        <v>46174</v>
      </c>
      <c r="BD18" s="171" t="str">
        <f>+D18</f>
        <v/>
      </c>
      <c r="BE18" s="335" t="str">
        <f>+IF(OR(BF18=S.CAL!$BJ$3,BF18=S.CAL!$BJ$4),BD18,"")</f>
        <v/>
      </c>
      <c r="BF18" s="332">
        <f>IF($DY$5=S.CAL!$CU$2,Juin!AR20,IF($DY$5=S.CAL!$CU$3,VLOOKUP(BC18,planning_fp,7,FALSE),""))</f>
        <v>0</v>
      </c>
      <c r="BG18" s="344" t="str">
        <f>Juin!BL20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46174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IF(+Juin!AG20="",0,Juin!AG20)</f>
        <v>0</v>
      </c>
      <c r="DZ18" s="16">
        <f>+IF(Juin!AJ20="",0,Juin!AJ20)</f>
        <v>0</v>
      </c>
      <c r="EA18" s="16">
        <f>+IF(Juin!AM20="",0,Juin!AM20)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46174</v>
      </c>
      <c r="EM18" s="16" t="str">
        <f>A18&amp;C18</f>
        <v>Fiche infoA146174</v>
      </c>
      <c r="EN18" s="16">
        <f t="shared" ref="EN18:EN48" si="20">+VLOOKUP(EM18,Base_feuille_présence_heure_potentiel,11,FALSE)</f>
        <v>0</v>
      </c>
      <c r="EQ18" s="16" t="str">
        <f>Juin!FS20</f>
        <v/>
      </c>
    </row>
    <row r="19" spans="1:147" ht="18" customHeight="1" x14ac:dyDescent="0.2">
      <c r="A19" s="24" t="str">
        <f>+Juin!BJ21</f>
        <v>Fiche infoA2</v>
      </c>
      <c r="B19" s="107">
        <f>C19</f>
        <v>46175</v>
      </c>
      <c r="C19" s="170">
        <f>+$D$13+1</f>
        <v>46175</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Juin!BC21</f>
        <v>0</v>
      </c>
      <c r="J19" s="34">
        <f>Juin!BE21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infoA2</v>
      </c>
      <c r="BB19" s="107">
        <f>BC19</f>
        <v>46175</v>
      </c>
      <c r="BC19" s="170">
        <f>+$D$13+1</f>
        <v>46175</v>
      </c>
      <c r="BD19" s="171" t="str">
        <f>+D19</f>
        <v/>
      </c>
      <c r="BE19" s="171" t="str">
        <f>+IF(OR(BF19=S.CAL!$BJ$3,BF19=S.CAL!$BJ$4),BD19,"")</f>
        <v/>
      </c>
      <c r="BF19" s="333">
        <f>IF($DY$5=S.CAL!$CU$2,Juin!AR21,IF($DY$5=S.CAL!$CU$3,VLOOKUP(BC19,planning_fp,7,FALSE),""))</f>
        <v>0</v>
      </c>
      <c r="BG19" s="345" t="str">
        <f>Juin!BL21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46175</v>
      </c>
      <c r="CF19" s="170">
        <f>+$D$13+1</f>
        <v>46175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IF(+Juin!AG21="",0,Juin!AG21)</f>
        <v>0</v>
      </c>
      <c r="DZ19" s="16">
        <f>+IF(Juin!AJ21="",0,Juin!AJ21)</f>
        <v>0</v>
      </c>
      <c r="EA19" s="16">
        <f>+IF(Juin!AM21="",0,Juin!AM21)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46175</v>
      </c>
      <c r="EM19" s="16" t="str">
        <f t="shared" ref="EM19:EM48" si="29">A19&amp;C19</f>
        <v>Fiche infoA246175</v>
      </c>
      <c r="EN19" s="16">
        <f t="shared" si="20"/>
        <v>0</v>
      </c>
      <c r="EQ19" s="16" t="str">
        <f>Juin!FS21</f>
        <v/>
      </c>
    </row>
    <row r="20" spans="1:147" ht="18" customHeight="1" x14ac:dyDescent="0.2">
      <c r="A20" s="24" t="str">
        <f>+Juin!BJ22</f>
        <v>Fiche infoA3</v>
      </c>
      <c r="B20" s="107">
        <f t="shared" ref="B20:B48" si="30">C20</f>
        <v>46176</v>
      </c>
      <c r="C20" s="170">
        <f>+$D$13+2</f>
        <v>46176</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Juin!BC22</f>
        <v>0</v>
      </c>
      <c r="J20" s="34">
        <f>Juin!BE22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infoA3</v>
      </c>
      <c r="BB20" s="107">
        <f t="shared" ref="BB20:BB48" si="31">BC20</f>
        <v>46176</v>
      </c>
      <c r="BC20" s="170">
        <f>+$D$13+2</f>
        <v>46176</v>
      </c>
      <c r="BD20" s="171" t="str">
        <f t="shared" ref="BD20:BD48" si="32">+D20</f>
        <v/>
      </c>
      <c r="BE20" s="171" t="str">
        <f>+IF(OR(BF20=S.CAL!$BJ$3,BF20=S.CAL!$BJ$4),BD20,"")</f>
        <v/>
      </c>
      <c r="BF20" s="333">
        <f>IF($DY$5=S.CAL!$CU$2,Juin!AR22,IF($DY$5=S.CAL!$CU$3,VLOOKUP(BC20,planning_fp,7,FALSE),""))</f>
        <v>0</v>
      </c>
      <c r="BG20" s="345" t="str">
        <f>Juin!BL22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46176</v>
      </c>
      <c r="CF20" s="170">
        <f>+$D$13+2</f>
        <v>46176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IF(+Juin!AG22="",0,Juin!AG22)</f>
        <v>0</v>
      </c>
      <c r="DZ20" s="16">
        <f>+IF(Juin!AJ22="",0,Juin!AJ22)</f>
        <v>0</v>
      </c>
      <c r="EA20" s="16">
        <f>+IF(Juin!AM22="",0,Juin!AM22)</f>
        <v>0</v>
      </c>
      <c r="EB20" s="16">
        <f t="shared" si="25"/>
        <v>0</v>
      </c>
      <c r="ED20" s="16">
        <f t="shared" si="26"/>
        <v>0</v>
      </c>
      <c r="EE20" s="16">
        <f t="shared" si="17"/>
        <v>0</v>
      </c>
      <c r="EF20" s="30" t="str">
        <f t="shared" si="18"/>
        <v/>
      </c>
      <c r="EG20" s="30" t="str">
        <f t="shared" si="27"/>
        <v/>
      </c>
      <c r="EH20" s="16">
        <f t="shared" si="28"/>
        <v>0</v>
      </c>
      <c r="EI20" s="30"/>
      <c r="EJ20" s="30">
        <f t="shared" si="19"/>
        <v>46176</v>
      </c>
      <c r="EM20" s="16" t="str">
        <f t="shared" si="29"/>
        <v>Fiche infoA346176</v>
      </c>
      <c r="EN20" s="16">
        <f t="shared" si="20"/>
        <v>0</v>
      </c>
      <c r="EQ20" s="16" t="str">
        <f>Juin!FS22</f>
        <v/>
      </c>
    </row>
    <row r="21" spans="1:147" ht="18" customHeight="1" x14ac:dyDescent="0.2">
      <c r="A21" s="24" t="str">
        <f>+Juin!BJ23</f>
        <v>Fiche infoA4</v>
      </c>
      <c r="B21" s="107">
        <f t="shared" si="30"/>
        <v>46177</v>
      </c>
      <c r="C21" s="170">
        <f>+$D$13+3</f>
        <v>46177</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Juin!BC23</f>
        <v>0</v>
      </c>
      <c r="J21" s="34">
        <f>Juin!BE23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infoA4</v>
      </c>
      <c r="BB21" s="107">
        <f t="shared" si="31"/>
        <v>46177</v>
      </c>
      <c r="BC21" s="170">
        <f>+$D$13+3</f>
        <v>46177</v>
      </c>
      <c r="BD21" s="171" t="str">
        <f t="shared" si="32"/>
        <v/>
      </c>
      <c r="BE21" s="171" t="str">
        <f>+IF(OR(BF21=S.CAL!$BJ$3,BF21=S.CAL!$BJ$4),BD21,"")</f>
        <v/>
      </c>
      <c r="BF21" s="333">
        <f>IF($DY$5=S.CAL!$CU$2,Juin!AR23,IF($DY$5=S.CAL!$CU$3,VLOOKUP(BC21,planning_fp,7,FALSE),""))</f>
        <v>0</v>
      </c>
      <c r="BG21" s="345" t="str">
        <f>Juin!BL23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46177</v>
      </c>
      <c r="CF21" s="170">
        <f>+$D$13+3</f>
        <v>46177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IF(+Juin!AG23="",0,Juin!AG23)</f>
        <v>0</v>
      </c>
      <c r="DZ21" s="16">
        <f>+IF(Juin!AJ23="",0,Juin!AJ23)</f>
        <v>0</v>
      </c>
      <c r="EA21" s="16">
        <f>+IF(Juin!AM23="",0,Juin!AM23)</f>
        <v>0</v>
      </c>
      <c r="EB21" s="16">
        <f t="shared" si="25"/>
        <v>0</v>
      </c>
      <c r="ED21" s="16">
        <f t="shared" si="26"/>
        <v>0</v>
      </c>
      <c r="EE21" s="16">
        <f t="shared" si="17"/>
        <v>0</v>
      </c>
      <c r="EF21" s="30" t="str">
        <f t="shared" si="18"/>
        <v/>
      </c>
      <c r="EG21" s="30" t="str">
        <f t="shared" si="27"/>
        <v/>
      </c>
      <c r="EH21" s="16">
        <f t="shared" si="28"/>
        <v>0</v>
      </c>
      <c r="EI21" s="30"/>
      <c r="EJ21" s="30">
        <f t="shared" si="19"/>
        <v>46177</v>
      </c>
      <c r="EM21" s="16" t="str">
        <f t="shared" si="29"/>
        <v>Fiche infoA446177</v>
      </c>
      <c r="EN21" s="16">
        <f t="shared" si="20"/>
        <v>0</v>
      </c>
      <c r="EQ21" s="16" t="str">
        <f>Juin!FS23</f>
        <v/>
      </c>
    </row>
    <row r="22" spans="1:147" ht="18" customHeight="1" x14ac:dyDescent="0.25">
      <c r="A22" s="24" t="str">
        <f>+Juin!BJ24</f>
        <v>Fiche infoA5</v>
      </c>
      <c r="B22" s="107">
        <f t="shared" si="30"/>
        <v>46178</v>
      </c>
      <c r="C22" s="170">
        <f>+$D$13+4</f>
        <v>46178</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Juin!BC24</f>
        <v>0</v>
      </c>
      <c r="J22" s="34">
        <f>Juin!BE24</f>
        <v>0</v>
      </c>
      <c r="K22" s="34">
        <f t="shared" si="15"/>
        <v>0</v>
      </c>
      <c r="L22" s="34" t="str">
        <f t="shared" si="21"/>
        <v/>
      </c>
      <c r="O22" s="19"/>
      <c r="AK22" s="1189" t="s">
        <v>37</v>
      </c>
      <c r="AL22" s="1318">
        <f>+Juin!AL14</f>
        <v>0</v>
      </c>
      <c r="BA22" s="331" t="str">
        <f t="shared" si="16"/>
        <v>Fiche infoA5</v>
      </c>
      <c r="BB22" s="107">
        <f t="shared" si="31"/>
        <v>46178</v>
      </c>
      <c r="BC22" s="170">
        <f>+$D$13+4</f>
        <v>46178</v>
      </c>
      <c r="BD22" s="171" t="str">
        <f t="shared" si="32"/>
        <v/>
      </c>
      <c r="BE22" s="171" t="str">
        <f>+IF(OR(BF22=S.CAL!$BJ$3,BF22=S.CAL!$BJ$4),BD22,"")</f>
        <v/>
      </c>
      <c r="BF22" s="333">
        <f>IF($DY$5=S.CAL!$CU$2,Juin!AR24,IF($DY$5=S.CAL!$CU$3,VLOOKUP(BC22,planning_fp,7,FALSE),""))</f>
        <v>0</v>
      </c>
      <c r="BG22" s="345" t="str">
        <f>Juin!BL24</f>
        <v>A</v>
      </c>
      <c r="BH22" s="148"/>
      <c r="BL22" s="144"/>
      <c r="BM22" s="195"/>
      <c r="CD22" s="328"/>
      <c r="CE22" s="107">
        <f t="shared" si="33"/>
        <v>46178</v>
      </c>
      <c r="CF22" s="170">
        <f>+$D$13+4</f>
        <v>46178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IF(+Juin!AG24="",0,Juin!AG24)</f>
        <v>0</v>
      </c>
      <c r="DZ22" s="16">
        <f>+IF(Juin!AJ24="",0,Juin!AJ24)</f>
        <v>0</v>
      </c>
      <c r="EA22" s="16">
        <f>+IF(Juin!AM24="",0,Juin!AM24)</f>
        <v>0</v>
      </c>
      <c r="EB22" s="16">
        <f t="shared" si="25"/>
        <v>0</v>
      </c>
      <c r="ED22" s="16">
        <f t="shared" si="26"/>
        <v>0</v>
      </c>
      <c r="EE22" s="16">
        <f t="shared" si="17"/>
        <v>0</v>
      </c>
      <c r="EF22" s="30" t="str">
        <f t="shared" si="18"/>
        <v/>
      </c>
      <c r="EG22" s="30" t="str">
        <f t="shared" si="27"/>
        <v/>
      </c>
      <c r="EH22" s="16">
        <f t="shared" si="28"/>
        <v>0</v>
      </c>
      <c r="EI22" s="30"/>
      <c r="EJ22" s="30">
        <f t="shared" si="19"/>
        <v>46178</v>
      </c>
      <c r="EM22" s="16" t="str">
        <f t="shared" si="29"/>
        <v>Fiche infoA546178</v>
      </c>
      <c r="EN22" s="16">
        <f t="shared" si="20"/>
        <v>0</v>
      </c>
      <c r="EQ22" s="16" t="str">
        <f>Juin!FS24</f>
        <v/>
      </c>
    </row>
    <row r="23" spans="1:147" ht="18" customHeight="1" x14ac:dyDescent="0.2">
      <c r="A23" s="24" t="str">
        <f>+Juin!BJ25</f>
        <v>Fiche infoA6</v>
      </c>
      <c r="B23" s="107">
        <f t="shared" si="30"/>
        <v>46179</v>
      </c>
      <c r="C23" s="170">
        <f>+$D$13+5</f>
        <v>46179</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Juin!BC25</f>
        <v>0</v>
      </c>
      <c r="J23" s="34">
        <f>Juin!BE25</f>
        <v>0</v>
      </c>
      <c r="K23" s="34">
        <f t="shared" si="15"/>
        <v>0</v>
      </c>
      <c r="L23" s="34" t="str">
        <f t="shared" si="21"/>
        <v/>
      </c>
      <c r="O23" s="39" t="str">
        <f>+O21</f>
        <v xml:space="preserve">Retenue sur salaire = </v>
      </c>
      <c r="P23" s="671">
        <f>+P30+P33</f>
        <v>0</v>
      </c>
      <c r="T23" s="563" t="s">
        <v>1107</v>
      </c>
      <c r="Z23" s="563" t="s">
        <v>1107</v>
      </c>
      <c r="BA23" s="331" t="str">
        <f t="shared" si="16"/>
        <v>Fiche infoA6</v>
      </c>
      <c r="BB23" s="107">
        <f t="shared" si="31"/>
        <v>46179</v>
      </c>
      <c r="BC23" s="170">
        <f>+$D$13+5</f>
        <v>46179</v>
      </c>
      <c r="BD23" s="171" t="str">
        <f t="shared" si="32"/>
        <v/>
      </c>
      <c r="BE23" s="171" t="str">
        <f>+IF(OR(BF23=S.CAL!$BJ$3,BF23=S.CAL!$BJ$4),BD23,"")</f>
        <v/>
      </c>
      <c r="BF23" s="333">
        <f>IF($DY$5=S.CAL!$CU$2,Juin!AR25,IF($DY$5=S.CAL!$CU$3,VLOOKUP(BC23,planning_fp,7,FALSE),""))</f>
        <v>0</v>
      </c>
      <c r="BG23" s="345" t="str">
        <f>Juin!BL25</f>
        <v>A</v>
      </c>
      <c r="BH23" s="29"/>
      <c r="BI23" s="336"/>
      <c r="BL23" s="147"/>
      <c r="CD23" s="328"/>
      <c r="CE23" s="107">
        <f t="shared" si="33"/>
        <v>46179</v>
      </c>
      <c r="CF23" s="170">
        <f>+$D$13+5</f>
        <v>46179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IF(+Juin!AG25="",0,Juin!AG25)</f>
        <v>0</v>
      </c>
      <c r="DZ23" s="16">
        <f>+IF(Juin!AJ25="",0,Juin!AJ25)</f>
        <v>0</v>
      </c>
      <c r="EA23" s="16">
        <f>+IF(Juin!AM25="",0,Juin!AM25)</f>
        <v>0</v>
      </c>
      <c r="EB23" s="16">
        <f t="shared" si="25"/>
        <v>0</v>
      </c>
      <c r="ED23" s="16">
        <f t="shared" si="26"/>
        <v>0</v>
      </c>
      <c r="EE23" s="16">
        <f t="shared" si="17"/>
        <v>0</v>
      </c>
      <c r="EF23" s="30" t="str">
        <f t="shared" si="18"/>
        <v/>
      </c>
      <c r="EG23" s="30" t="str">
        <f t="shared" si="27"/>
        <v/>
      </c>
      <c r="EH23" s="16">
        <f t="shared" si="28"/>
        <v>0</v>
      </c>
      <c r="EI23" s="30"/>
      <c r="EJ23" s="30">
        <f t="shared" si="19"/>
        <v>46179</v>
      </c>
      <c r="EM23" s="16" t="str">
        <f t="shared" si="29"/>
        <v>Fiche infoA646179</v>
      </c>
      <c r="EN23" s="16">
        <f t="shared" si="20"/>
        <v>0</v>
      </c>
      <c r="EQ23" s="16" t="str">
        <f>Juin!FS25</f>
        <v/>
      </c>
    </row>
    <row r="24" spans="1:147" ht="18" customHeight="1" x14ac:dyDescent="0.2">
      <c r="A24" s="24" t="str">
        <f>+Juin!BJ26</f>
        <v>Fiche infoA7</v>
      </c>
      <c r="B24" s="107">
        <f t="shared" si="30"/>
        <v>46180</v>
      </c>
      <c r="C24" s="170">
        <f>+$D$13+6</f>
        <v>46180</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Juin!BC26</f>
        <v>0</v>
      </c>
      <c r="J24" s="34">
        <f>Juin!BE26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infoA7</v>
      </c>
      <c r="BB24" s="107">
        <f t="shared" si="31"/>
        <v>46180</v>
      </c>
      <c r="BC24" s="170">
        <f>+$D$13+6</f>
        <v>46180</v>
      </c>
      <c r="BD24" s="171" t="str">
        <f t="shared" si="32"/>
        <v/>
      </c>
      <c r="BE24" s="171" t="str">
        <f>+IF(OR(BF24=S.CAL!$BJ$3,BF24=S.CAL!$BJ$4),BD24,"")</f>
        <v/>
      </c>
      <c r="BF24" s="333">
        <f>IF($DY$5=S.CAL!$CU$2,Juin!AR26,IF($DY$5=S.CAL!$CU$3,VLOOKUP(BC24,planning_fp,7,FALSE),""))</f>
        <v>0</v>
      </c>
      <c r="BG24" s="345" t="str">
        <f>Juin!BL26</f>
        <v>A</v>
      </c>
      <c r="BL24" s="35"/>
      <c r="BM24" s="195"/>
      <c r="BO24" s="29"/>
      <c r="BP24" s="182"/>
      <c r="BR24" s="16" t="s">
        <v>746</v>
      </c>
      <c r="BV24" s="355"/>
      <c r="BW24" s="355"/>
      <c r="BX24" s="355"/>
      <c r="BY24" s="355" t="s">
        <v>696</v>
      </c>
      <c r="BZ24" s="355"/>
      <c r="CA24" s="355"/>
      <c r="CB24" s="355"/>
      <c r="CD24" s="328"/>
      <c r="CE24" s="107">
        <f t="shared" si="33"/>
        <v>46180</v>
      </c>
      <c r="CF24" s="170">
        <f>+$D$13+6</f>
        <v>46180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IF(+Juin!AG26="",0,Juin!AG26)</f>
        <v>0</v>
      </c>
      <c r="DZ24" s="16">
        <f>+IF(Juin!AJ26="",0,Juin!AJ26)</f>
        <v>0</v>
      </c>
      <c r="EA24" s="16">
        <f>+IF(Juin!AM26="",0,Juin!AM26)</f>
        <v>0</v>
      </c>
      <c r="EB24" s="16">
        <f t="shared" si="25"/>
        <v>0</v>
      </c>
      <c r="ED24" s="16">
        <f t="shared" si="26"/>
        <v>0</v>
      </c>
      <c r="EE24" s="16">
        <f t="shared" si="17"/>
        <v>0</v>
      </c>
      <c r="EF24" s="30" t="str">
        <f t="shared" si="18"/>
        <v/>
      </c>
      <c r="EG24" s="30" t="str">
        <f t="shared" si="27"/>
        <v/>
      </c>
      <c r="EH24" s="16">
        <f t="shared" si="28"/>
        <v>0</v>
      </c>
      <c r="EI24" s="30"/>
      <c r="EJ24" s="30">
        <f t="shared" si="19"/>
        <v>46180</v>
      </c>
      <c r="EM24" s="16" t="str">
        <f t="shared" si="29"/>
        <v>Fiche infoA746180</v>
      </c>
      <c r="EN24" s="16">
        <f t="shared" si="20"/>
        <v>0</v>
      </c>
      <c r="EQ24" s="16" t="str">
        <f>Juin!FS26</f>
        <v/>
      </c>
    </row>
    <row r="25" spans="1:147" ht="18" customHeight="1" x14ac:dyDescent="0.2">
      <c r="A25" s="24" t="str">
        <f>+Juin!BJ27</f>
        <v>Fiche infoA1</v>
      </c>
      <c r="B25" s="107">
        <f t="shared" si="30"/>
        <v>46181</v>
      </c>
      <c r="C25" s="170">
        <f>+$D$13+7</f>
        <v>46181</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Juin!BC27</f>
        <v>0</v>
      </c>
      <c r="J25" s="34">
        <f>Juin!BE27</f>
        <v>0</v>
      </c>
      <c r="K25" s="34">
        <f t="shared" si="15"/>
        <v>0</v>
      </c>
      <c r="L25" s="34" t="str">
        <f t="shared" si="21"/>
        <v/>
      </c>
      <c r="AK25" s="1189" t="s">
        <v>320</v>
      </c>
      <c r="AL25" s="1313">
        <f>+IF(AL22,AL24/AL22,0)</f>
        <v>0</v>
      </c>
      <c r="BA25" s="331" t="str">
        <f t="shared" si="16"/>
        <v>Fiche infoA1</v>
      </c>
      <c r="BB25" s="107">
        <f t="shared" si="31"/>
        <v>46181</v>
      </c>
      <c r="BC25" s="170">
        <f>+$D$13+7</f>
        <v>46181</v>
      </c>
      <c r="BD25" s="171" t="str">
        <f t="shared" si="32"/>
        <v/>
      </c>
      <c r="BE25" s="171" t="str">
        <f>+IF(OR(BF25=S.CAL!$BJ$3,BF25=S.CAL!$BJ$4),BD25,"")</f>
        <v/>
      </c>
      <c r="BF25" s="333">
        <f>IF($DY$5=S.CAL!$CU$2,Juin!AR27,IF($DY$5=S.CAL!$CU$3,VLOOKUP(BC25,planning_fp,7,FALSE),""))</f>
        <v>0</v>
      </c>
      <c r="BG25" s="345" t="str">
        <f>Juin!BL27</f>
        <v>A</v>
      </c>
      <c r="BH25" s="148"/>
      <c r="BL25" s="35"/>
      <c r="BO25" s="29"/>
      <c r="BP25" s="182"/>
      <c r="BV25" s="355"/>
      <c r="BW25" s="355"/>
      <c r="BX25" s="355"/>
      <c r="BY25" s="355"/>
      <c r="BZ25" s="355"/>
      <c r="CA25" s="355"/>
      <c r="CB25" s="355"/>
      <c r="CD25" s="328"/>
      <c r="CE25" s="107">
        <f t="shared" si="33"/>
        <v>46181</v>
      </c>
      <c r="CF25" s="170">
        <f>+$D$13+7</f>
        <v>46181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IF(+Juin!AG27="",0,Juin!AG27)</f>
        <v>0</v>
      </c>
      <c r="DZ25" s="16">
        <f>+IF(Juin!AJ27="",0,Juin!AJ27)</f>
        <v>0</v>
      </c>
      <c r="EA25" s="16">
        <f>+IF(Juin!AM27="",0,Juin!AM27)</f>
        <v>0</v>
      </c>
      <c r="EB25" s="16">
        <f t="shared" si="25"/>
        <v>0</v>
      </c>
      <c r="ED25" s="16">
        <f t="shared" si="26"/>
        <v>0</v>
      </c>
      <c r="EE25" s="16">
        <f t="shared" si="17"/>
        <v>0</v>
      </c>
      <c r="EF25" s="30" t="str">
        <f t="shared" si="18"/>
        <v/>
      </c>
      <c r="EG25" s="30" t="str">
        <f t="shared" si="27"/>
        <v/>
      </c>
      <c r="EH25" s="16">
        <f t="shared" si="28"/>
        <v>0</v>
      </c>
      <c r="EI25" s="30"/>
      <c r="EJ25" s="30">
        <f t="shared" si="19"/>
        <v>46181</v>
      </c>
      <c r="EM25" s="16" t="str">
        <f t="shared" si="29"/>
        <v>Fiche infoA146181</v>
      </c>
      <c r="EN25" s="16">
        <f t="shared" si="20"/>
        <v>0</v>
      </c>
      <c r="EQ25" s="16" t="str">
        <f>Juin!FS27</f>
        <v/>
      </c>
    </row>
    <row r="26" spans="1:147" ht="18" customHeight="1" x14ac:dyDescent="0.2">
      <c r="A26" s="24" t="str">
        <f>+Juin!BJ28</f>
        <v>Fiche infoA2</v>
      </c>
      <c r="B26" s="107">
        <f t="shared" si="30"/>
        <v>46182</v>
      </c>
      <c r="C26" s="170">
        <f>+$D$13+8</f>
        <v>46182</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Juin!BC28</f>
        <v>0</v>
      </c>
      <c r="J26" s="34">
        <f>Juin!BE28</f>
        <v>0</v>
      </c>
      <c r="K26" s="34">
        <f t="shared" si="15"/>
        <v>0</v>
      </c>
      <c r="L26" s="34" t="str">
        <f t="shared" si="21"/>
        <v/>
      </c>
      <c r="O26" s="16" t="s">
        <v>1197</v>
      </c>
      <c r="AK26" s="1189" t="s">
        <v>321</v>
      </c>
      <c r="AL26" s="1313">
        <f>IF(AS21,SUM(AT13:AT20)/AS21,0)</f>
        <v>0</v>
      </c>
      <c r="BA26" s="331" t="str">
        <f t="shared" si="16"/>
        <v>Fiche infoA2</v>
      </c>
      <c r="BB26" s="107">
        <f t="shared" si="31"/>
        <v>46182</v>
      </c>
      <c r="BC26" s="170">
        <f>+$D$13+8</f>
        <v>46182</v>
      </c>
      <c r="BD26" s="171" t="str">
        <f t="shared" si="32"/>
        <v/>
      </c>
      <c r="BE26" s="171" t="str">
        <f>+IF(OR(BF26=S.CAL!$BJ$3,BF26=S.CAL!$BJ$4),BD26,"")</f>
        <v/>
      </c>
      <c r="BF26" s="333">
        <f>IF($DY$5=S.CAL!$CU$2,Juin!AR28,IF($DY$5=S.CAL!$CU$3,VLOOKUP(BC26,planning_fp,7,FALSE),""))</f>
        <v>0</v>
      </c>
      <c r="BG26" s="345" t="str">
        <f>Juin!BL28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46182</v>
      </c>
      <c r="CF26" s="170">
        <f>+$D$13+8</f>
        <v>46182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IF(+Juin!AG28="",0,Juin!AG28)</f>
        <v>0</v>
      </c>
      <c r="DZ26" s="16">
        <f>+IF(Juin!AJ28="",0,Juin!AJ28)</f>
        <v>0</v>
      </c>
      <c r="EA26" s="16">
        <f>+IF(Juin!AM28="",0,Juin!AM28)</f>
        <v>0</v>
      </c>
      <c r="EB26" s="16">
        <f t="shared" si="25"/>
        <v>0</v>
      </c>
      <c r="ED26" s="16">
        <f t="shared" si="26"/>
        <v>0</v>
      </c>
      <c r="EE26" s="16">
        <f t="shared" si="17"/>
        <v>0</v>
      </c>
      <c r="EF26" s="30" t="str">
        <f t="shared" si="18"/>
        <v/>
      </c>
      <c r="EG26" s="30" t="str">
        <f t="shared" si="27"/>
        <v/>
      </c>
      <c r="EH26" s="16">
        <f t="shared" si="28"/>
        <v>0</v>
      </c>
      <c r="EI26" s="30"/>
      <c r="EJ26" s="30">
        <f t="shared" si="19"/>
        <v>46182</v>
      </c>
      <c r="EM26" s="16" t="str">
        <f t="shared" si="29"/>
        <v>Fiche infoA246182</v>
      </c>
      <c r="EN26" s="16">
        <f t="shared" si="20"/>
        <v>0</v>
      </c>
      <c r="EQ26" s="16" t="str">
        <f>Juin!FS28</f>
        <v/>
      </c>
    </row>
    <row r="27" spans="1:147" ht="18" customHeight="1" x14ac:dyDescent="0.2">
      <c r="A27" s="24" t="str">
        <f>+Juin!BJ29</f>
        <v>Fiche infoA3</v>
      </c>
      <c r="B27" s="107">
        <f t="shared" si="30"/>
        <v>46183</v>
      </c>
      <c r="C27" s="170">
        <f>+$D$13+9</f>
        <v>46183</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Juin!BC29</f>
        <v>0</v>
      </c>
      <c r="J27" s="34">
        <f>Juin!BE29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infoA3</v>
      </c>
      <c r="BB27" s="107">
        <f t="shared" si="31"/>
        <v>46183</v>
      </c>
      <c r="BC27" s="170">
        <f>+$D$13+9</f>
        <v>46183</v>
      </c>
      <c r="BD27" s="171" t="str">
        <f t="shared" si="32"/>
        <v/>
      </c>
      <c r="BE27" s="171" t="str">
        <f>+IF(OR(BF27=S.CAL!$BJ$3,BF27=S.CAL!$BJ$4),BD27,"")</f>
        <v/>
      </c>
      <c r="BF27" s="333">
        <f>IF($DY$5=S.CAL!$CU$2,Juin!AR29,IF($DY$5=S.CAL!$CU$3,VLOOKUP(BC27,planning_fp,7,FALSE),""))</f>
        <v>0</v>
      </c>
      <c r="BG27" s="345" t="str">
        <f>Juin!BL29</f>
        <v>A</v>
      </c>
      <c r="BI27" s="16" t="s">
        <v>746</v>
      </c>
      <c r="BL27" s="35"/>
      <c r="BP27" s="2465"/>
      <c r="BQ27" s="2465"/>
      <c r="BR27" s="2465"/>
      <c r="BS27" s="2465"/>
      <c r="BT27" s="2464"/>
      <c r="BV27" s="355"/>
      <c r="BW27" s="355"/>
      <c r="BX27" s="2543"/>
      <c r="BY27" s="2543"/>
      <c r="BZ27" s="2543"/>
      <c r="CA27" s="2543"/>
      <c r="CB27" s="2542"/>
      <c r="CD27" s="328"/>
      <c r="CE27" s="107">
        <f t="shared" si="33"/>
        <v>46183</v>
      </c>
      <c r="CF27" s="170">
        <f>+$D$13+9</f>
        <v>46183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IF(+Juin!AG29="",0,Juin!AG29)</f>
        <v>0</v>
      </c>
      <c r="DZ27" s="16">
        <f>+IF(Juin!AJ29="",0,Juin!AJ29)</f>
        <v>0</v>
      </c>
      <c r="EA27" s="16">
        <f>+IF(Juin!AM29="",0,Juin!AM29)</f>
        <v>0</v>
      </c>
      <c r="EB27" s="16">
        <f t="shared" si="25"/>
        <v>0</v>
      </c>
      <c r="ED27" s="16">
        <f t="shared" si="26"/>
        <v>0</v>
      </c>
      <c r="EE27" s="16">
        <f t="shared" si="17"/>
        <v>0</v>
      </c>
      <c r="EF27" s="30" t="str">
        <f t="shared" si="18"/>
        <v/>
      </c>
      <c r="EG27" s="30" t="str">
        <f t="shared" si="27"/>
        <v/>
      </c>
      <c r="EH27" s="16">
        <f t="shared" si="28"/>
        <v>0</v>
      </c>
      <c r="EI27" s="30"/>
      <c r="EJ27" s="30">
        <f t="shared" si="19"/>
        <v>46183</v>
      </c>
      <c r="EM27" s="16" t="str">
        <f t="shared" si="29"/>
        <v>Fiche infoA346183</v>
      </c>
      <c r="EN27" s="16">
        <f t="shared" si="20"/>
        <v>0</v>
      </c>
      <c r="EQ27" s="16" t="str">
        <f>Juin!FS29</f>
        <v/>
      </c>
    </row>
    <row r="28" spans="1:147" ht="18" customHeight="1" x14ac:dyDescent="0.2">
      <c r="A28" s="24" t="str">
        <f>+Juin!BJ30</f>
        <v>Fiche infoA4</v>
      </c>
      <c r="B28" s="107">
        <f t="shared" si="30"/>
        <v>46184</v>
      </c>
      <c r="C28" s="170">
        <f>+$D$13+10</f>
        <v>46184</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Juin!BC30</f>
        <v>0</v>
      </c>
      <c r="J28" s="34">
        <f>Juin!BE30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infoA4</v>
      </c>
      <c r="BB28" s="107">
        <f t="shared" si="31"/>
        <v>46184</v>
      </c>
      <c r="BC28" s="170">
        <f>+$D$13+10</f>
        <v>46184</v>
      </c>
      <c r="BD28" s="171" t="str">
        <f t="shared" si="32"/>
        <v/>
      </c>
      <c r="BE28" s="171" t="str">
        <f>+IF(OR(BF28=S.CAL!$BJ$3,BF28=S.CAL!$BJ$4),BD28,"")</f>
        <v/>
      </c>
      <c r="BF28" s="333">
        <f>IF($DY$5=S.CAL!$CU$2,Juin!AR30,IF($DY$5=S.CAL!$CU$3,VLOOKUP(BC28,planning_fp,7,FALSE),""))</f>
        <v>0</v>
      </c>
      <c r="BG28" s="345" t="str">
        <f>Juin!BL30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46184</v>
      </c>
      <c r="CF28" s="170">
        <f>+$D$13+10</f>
        <v>46184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IF(+Juin!AG30="",0,Juin!AG30)</f>
        <v>0</v>
      </c>
      <c r="DZ28" s="16">
        <f>+IF(Juin!AJ30="",0,Juin!AJ30)</f>
        <v>0</v>
      </c>
      <c r="EA28" s="16">
        <f>+IF(Juin!AM30="",0,Juin!AM30)</f>
        <v>0</v>
      </c>
      <c r="EB28" s="16">
        <f t="shared" si="25"/>
        <v>0</v>
      </c>
      <c r="ED28" s="16">
        <f t="shared" si="26"/>
        <v>0</v>
      </c>
      <c r="EE28" s="16">
        <f t="shared" si="17"/>
        <v>0</v>
      </c>
      <c r="EF28" s="30" t="str">
        <f t="shared" si="18"/>
        <v/>
      </c>
      <c r="EG28" s="30" t="str">
        <f t="shared" si="27"/>
        <v/>
      </c>
      <c r="EH28" s="16">
        <f t="shared" si="28"/>
        <v>0</v>
      </c>
      <c r="EI28" s="30"/>
      <c r="EJ28" s="30">
        <f t="shared" si="19"/>
        <v>46184</v>
      </c>
      <c r="EM28" s="16" t="str">
        <f t="shared" si="29"/>
        <v>Fiche infoA446184</v>
      </c>
      <c r="EN28" s="16">
        <f t="shared" si="20"/>
        <v>0</v>
      </c>
      <c r="EQ28" s="16" t="str">
        <f>Juin!FS30</f>
        <v/>
      </c>
    </row>
    <row r="29" spans="1:147" ht="18" customHeight="1" x14ac:dyDescent="0.2">
      <c r="A29" s="24" t="str">
        <f>+Juin!BJ31</f>
        <v>Fiche infoA5</v>
      </c>
      <c r="B29" s="107">
        <f t="shared" si="30"/>
        <v>46185</v>
      </c>
      <c r="C29" s="170">
        <f>+$D$13+11</f>
        <v>46185</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Juin!BC31</f>
        <v>0</v>
      </c>
      <c r="J29" s="34">
        <f>Juin!BE31</f>
        <v>0</v>
      </c>
      <c r="K29" s="34">
        <f t="shared" si="15"/>
        <v>0</v>
      </c>
      <c r="L29" s="34" t="str">
        <f t="shared" si="21"/>
        <v/>
      </c>
      <c r="O29" s="859" t="s">
        <v>1444</v>
      </c>
      <c r="P29" s="859"/>
      <c r="Q29" s="859"/>
      <c r="R29" s="859"/>
      <c r="BA29" s="331" t="str">
        <f t="shared" si="16"/>
        <v>Fiche infoA5</v>
      </c>
      <c r="BB29" s="107">
        <f t="shared" si="31"/>
        <v>46185</v>
      </c>
      <c r="BC29" s="170">
        <f>+$D$13+11</f>
        <v>46185</v>
      </c>
      <c r="BD29" s="171" t="str">
        <f t="shared" si="32"/>
        <v/>
      </c>
      <c r="BE29" s="171" t="str">
        <f>+IF(OR(BF29=S.CAL!$BJ$3,BF29=S.CAL!$BJ$4),BD29,"")</f>
        <v/>
      </c>
      <c r="BF29" s="333">
        <f>IF($DY$5=S.CAL!$CU$2,Juin!AR31,IF($DY$5=S.CAL!$CU$3,VLOOKUP(BC29,planning_fp,7,FALSE),""))</f>
        <v>0</v>
      </c>
      <c r="BG29" s="345" t="str">
        <f>Juin!BL31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46185</v>
      </c>
      <c r="CF29" s="170">
        <f>+$D$13+11</f>
        <v>46185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IF(+Juin!AG31="",0,Juin!AG31)</f>
        <v>0</v>
      </c>
      <c r="DZ29" s="16">
        <f>+IF(Juin!AJ31="",0,Juin!AJ31)</f>
        <v>0</v>
      </c>
      <c r="EA29" s="16">
        <f>+IF(Juin!AM31="",0,Juin!AM31)</f>
        <v>0</v>
      </c>
      <c r="EB29" s="16">
        <f t="shared" si="25"/>
        <v>0</v>
      </c>
      <c r="ED29" s="16">
        <f t="shared" si="26"/>
        <v>0</v>
      </c>
      <c r="EE29" s="16">
        <f t="shared" si="17"/>
        <v>0</v>
      </c>
      <c r="EF29" s="30" t="str">
        <f t="shared" si="18"/>
        <v/>
      </c>
      <c r="EG29" s="30" t="str">
        <f t="shared" si="27"/>
        <v/>
      </c>
      <c r="EH29" s="16">
        <f t="shared" si="28"/>
        <v>0</v>
      </c>
      <c r="EI29" s="30"/>
      <c r="EJ29" s="30">
        <f t="shared" si="19"/>
        <v>46185</v>
      </c>
      <c r="EM29" s="16" t="str">
        <f t="shared" si="29"/>
        <v>Fiche infoA546185</v>
      </c>
      <c r="EN29" s="16">
        <f t="shared" si="20"/>
        <v>0</v>
      </c>
      <c r="EQ29" s="16" t="str">
        <f>Juin!FS31</f>
        <v/>
      </c>
    </row>
    <row r="30" spans="1:147" ht="18" customHeight="1" x14ac:dyDescent="0.25">
      <c r="A30" s="24" t="str">
        <f>+Juin!BJ32</f>
        <v>Fiche infoA6</v>
      </c>
      <c r="B30" s="107">
        <f t="shared" si="30"/>
        <v>46186</v>
      </c>
      <c r="C30" s="170">
        <f>+$D$13+12</f>
        <v>46186</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Juin!BC32</f>
        <v>0</v>
      </c>
      <c r="J30" s="34">
        <f>Juin!BE32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46174</v>
      </c>
      <c r="AP30" s="2555"/>
      <c r="AQ30" s="2555"/>
      <c r="BA30" s="331" t="str">
        <f t="shared" si="16"/>
        <v>Fiche infoA6</v>
      </c>
      <c r="BB30" s="107">
        <f t="shared" si="31"/>
        <v>46186</v>
      </c>
      <c r="BC30" s="170">
        <f>+$D$13+12</f>
        <v>46186</v>
      </c>
      <c r="BD30" s="171" t="str">
        <f t="shared" si="32"/>
        <v/>
      </c>
      <c r="BE30" s="171" t="str">
        <f>+IF(OR(BF30=S.CAL!$BJ$3,BF30=S.CAL!$BJ$4),BD30,"")</f>
        <v/>
      </c>
      <c r="BF30" s="333">
        <f>IF($DY$5=S.CAL!$CU$2,Juin!AR32,IF($DY$5=S.CAL!$CU$3,VLOOKUP(BC30,planning_fp,7,FALSE),""))</f>
        <v>0</v>
      </c>
      <c r="BG30" s="345" t="str">
        <f>Juin!BL32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46186</v>
      </c>
      <c r="CF30" s="170">
        <f>+$D$13+12</f>
        <v>46186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IF(+Juin!AG32="",0,Juin!AG32)</f>
        <v>0</v>
      </c>
      <c r="DZ30" s="16">
        <f>+IF(Juin!AJ32="",0,Juin!AJ32)</f>
        <v>0</v>
      </c>
      <c r="EA30" s="16">
        <f>+IF(Juin!AM32="",0,Juin!AM32)</f>
        <v>0</v>
      </c>
      <c r="EB30" s="16">
        <f t="shared" si="25"/>
        <v>0</v>
      </c>
      <c r="ED30" s="16">
        <f t="shared" si="26"/>
        <v>0</v>
      </c>
      <c r="EE30" s="16">
        <f t="shared" si="17"/>
        <v>0</v>
      </c>
      <c r="EF30" s="30" t="str">
        <f t="shared" si="18"/>
        <v/>
      </c>
      <c r="EG30" s="30" t="str">
        <f t="shared" si="27"/>
        <v/>
      </c>
      <c r="EH30" s="16">
        <f t="shared" si="28"/>
        <v>0</v>
      </c>
      <c r="EI30" s="30"/>
      <c r="EJ30" s="30">
        <f t="shared" si="19"/>
        <v>46186</v>
      </c>
      <c r="EM30" s="16" t="str">
        <f t="shared" si="29"/>
        <v>Fiche infoA646186</v>
      </c>
      <c r="EN30" s="16">
        <f t="shared" si="20"/>
        <v>0</v>
      </c>
      <c r="EQ30" s="16" t="str">
        <f>Juin!FS32</f>
        <v/>
      </c>
    </row>
    <row r="31" spans="1:147" ht="18" customHeight="1" x14ac:dyDescent="0.2">
      <c r="A31" s="24" t="str">
        <f>+Juin!BJ33</f>
        <v>Fiche infoA7</v>
      </c>
      <c r="B31" s="107">
        <f t="shared" si="30"/>
        <v>46187</v>
      </c>
      <c r="C31" s="170">
        <f>+$D$13+13</f>
        <v>46187</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Juin!BC33</f>
        <v>0</v>
      </c>
      <c r="J31" s="34">
        <f>Juin!BE33</f>
        <v>0</v>
      </c>
      <c r="K31" s="34">
        <f t="shared" si="15"/>
        <v>0</v>
      </c>
      <c r="L31" s="34" t="str">
        <f t="shared" si="21"/>
        <v/>
      </c>
      <c r="AL31" s="563" t="s">
        <v>342</v>
      </c>
      <c r="BA31" s="331" t="str">
        <f t="shared" si="16"/>
        <v>Fiche infoA7</v>
      </c>
      <c r="BB31" s="107">
        <f t="shared" si="31"/>
        <v>46187</v>
      </c>
      <c r="BC31" s="170">
        <f>+$D$13+13</f>
        <v>46187</v>
      </c>
      <c r="BD31" s="171" t="str">
        <f t="shared" si="32"/>
        <v/>
      </c>
      <c r="BE31" s="171" t="str">
        <f>+IF(OR(BF31=S.CAL!$BJ$3,BF31=S.CAL!$BJ$4),BD31,"")</f>
        <v/>
      </c>
      <c r="BF31" s="333">
        <f>IF($DY$5=S.CAL!$CU$2,Juin!AR33,IF($DY$5=S.CAL!$CU$3,VLOOKUP(BC31,planning_fp,7,FALSE),""))</f>
        <v>0</v>
      </c>
      <c r="BG31" s="345" t="str">
        <f>Juin!BL33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46187</v>
      </c>
      <c r="CF31" s="170">
        <f>+$D$13+13</f>
        <v>46187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IF(+Juin!AG33="",0,Juin!AG33)</f>
        <v>0</v>
      </c>
      <c r="DZ31" s="16">
        <f>+IF(Juin!AJ33="",0,Juin!AJ33)</f>
        <v>0</v>
      </c>
      <c r="EA31" s="16">
        <f>+IF(Juin!AM33="",0,Juin!AM33)</f>
        <v>0</v>
      </c>
      <c r="EB31" s="16">
        <f t="shared" si="25"/>
        <v>0</v>
      </c>
      <c r="ED31" s="16">
        <f t="shared" si="26"/>
        <v>0</v>
      </c>
      <c r="EE31" s="16">
        <f t="shared" si="17"/>
        <v>0</v>
      </c>
      <c r="EF31" s="30" t="str">
        <f t="shared" si="18"/>
        <v/>
      </c>
      <c r="EG31" s="30" t="str">
        <f t="shared" si="27"/>
        <v/>
      </c>
      <c r="EH31" s="16">
        <f t="shared" si="28"/>
        <v>0</v>
      </c>
      <c r="EI31" s="30"/>
      <c r="EJ31" s="30">
        <f t="shared" si="19"/>
        <v>46187</v>
      </c>
      <c r="EM31" s="16" t="str">
        <f t="shared" si="29"/>
        <v>Fiche infoA746187</v>
      </c>
      <c r="EN31" s="16">
        <f t="shared" si="20"/>
        <v>0</v>
      </c>
      <c r="EQ31" s="16" t="str">
        <f>Juin!FS33</f>
        <v/>
      </c>
    </row>
    <row r="32" spans="1:147" ht="18" customHeight="1" x14ac:dyDescent="0.2">
      <c r="A32" s="24" t="str">
        <f>+Juin!BJ34</f>
        <v>Fiche infoA1</v>
      </c>
      <c r="B32" s="107">
        <f t="shared" si="30"/>
        <v>46188</v>
      </c>
      <c r="C32" s="170">
        <f>+$D$13+14</f>
        <v>46188</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Juin!BC34</f>
        <v>0</v>
      </c>
      <c r="J32" s="34">
        <f>Juin!BE34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infoA1</v>
      </c>
      <c r="BB32" s="107">
        <f t="shared" si="31"/>
        <v>46188</v>
      </c>
      <c r="BC32" s="170">
        <f>+$D$13+14</f>
        <v>46188</v>
      </c>
      <c r="BD32" s="171" t="str">
        <f t="shared" si="32"/>
        <v/>
      </c>
      <c r="BE32" s="171" t="str">
        <f>+IF(OR(BF32=S.CAL!$BJ$3,BF32=S.CAL!$BJ$4),BD32,"")</f>
        <v/>
      </c>
      <c r="BF32" s="333">
        <f>IF($DY$5=S.CAL!$CU$2,Juin!AR34,IF($DY$5=S.CAL!$CU$3,VLOOKUP(BC32,planning_fp,7,FALSE),""))</f>
        <v>0</v>
      </c>
      <c r="BG32" s="345" t="str">
        <f>Juin!BL34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46188</v>
      </c>
      <c r="CF32" s="170">
        <f>+$D$13+14</f>
        <v>46188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IF(+Juin!AG34="",0,Juin!AG34)</f>
        <v>0</v>
      </c>
      <c r="DZ32" s="16">
        <f>+IF(Juin!AJ34="",0,Juin!AJ34)</f>
        <v>0</v>
      </c>
      <c r="EA32" s="16">
        <f>+IF(Juin!AM34="",0,Juin!AM34)</f>
        <v>0</v>
      </c>
      <c r="EB32" s="16">
        <f t="shared" si="25"/>
        <v>0</v>
      </c>
      <c r="ED32" s="16">
        <f t="shared" si="26"/>
        <v>0</v>
      </c>
      <c r="EE32" s="16">
        <f t="shared" si="17"/>
        <v>0</v>
      </c>
      <c r="EF32" s="30" t="str">
        <f t="shared" si="18"/>
        <v/>
      </c>
      <c r="EG32" s="30" t="str">
        <f t="shared" si="27"/>
        <v/>
      </c>
      <c r="EH32" s="16">
        <f t="shared" si="28"/>
        <v>0</v>
      </c>
      <c r="EI32" s="30"/>
      <c r="EJ32" s="30">
        <f t="shared" si="19"/>
        <v>46188</v>
      </c>
      <c r="EM32" s="16" t="str">
        <f t="shared" si="29"/>
        <v>Fiche infoA146188</v>
      </c>
      <c r="EN32" s="16">
        <f t="shared" si="20"/>
        <v>0</v>
      </c>
      <c r="EQ32" s="16" t="str">
        <f>Juin!FS34</f>
        <v/>
      </c>
    </row>
    <row r="33" spans="1:147" ht="18" customHeight="1" x14ac:dyDescent="0.2">
      <c r="A33" s="24" t="str">
        <f>+Juin!BJ35</f>
        <v>Fiche infoA2</v>
      </c>
      <c r="B33" s="107">
        <f t="shared" si="30"/>
        <v>46189</v>
      </c>
      <c r="C33" s="170">
        <f>+$D$13+15</f>
        <v>46189</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Juin!BC35</f>
        <v>0</v>
      </c>
      <c r="J33" s="34">
        <f>Juin!BE35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infoA2</v>
      </c>
      <c r="BB33" s="107">
        <f t="shared" si="31"/>
        <v>46189</v>
      </c>
      <c r="BC33" s="170">
        <f>+$D$13+15</f>
        <v>46189</v>
      </c>
      <c r="BD33" s="171" t="str">
        <f t="shared" si="32"/>
        <v/>
      </c>
      <c r="BE33" s="171" t="str">
        <f>+IF(OR(BF33=S.CAL!$BJ$3,BF33=S.CAL!$BJ$4),BD33,"")</f>
        <v/>
      </c>
      <c r="BF33" s="333">
        <f>IF($DY$5=S.CAL!$CU$2,Juin!AR35,IF($DY$5=S.CAL!$CU$3,VLOOKUP(BC33,planning_fp,7,FALSE),""))</f>
        <v>0</v>
      </c>
      <c r="BG33" s="345" t="str">
        <f>Juin!BL35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46189</v>
      </c>
      <c r="CF33" s="170">
        <f>+$D$13+15</f>
        <v>46189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IF(+Juin!AG35="",0,Juin!AG35)</f>
        <v>0</v>
      </c>
      <c r="DZ33" s="16">
        <f>+IF(Juin!AJ35="",0,Juin!AJ35)</f>
        <v>0</v>
      </c>
      <c r="EA33" s="16">
        <f>+IF(Juin!AM35="",0,Juin!AM35)</f>
        <v>0</v>
      </c>
      <c r="EB33" s="16">
        <f t="shared" si="25"/>
        <v>0</v>
      </c>
      <c r="ED33" s="16">
        <f t="shared" si="26"/>
        <v>0</v>
      </c>
      <c r="EE33" s="16">
        <f t="shared" si="17"/>
        <v>0</v>
      </c>
      <c r="EF33" s="30" t="str">
        <f t="shared" si="18"/>
        <v/>
      </c>
      <c r="EG33" s="30" t="str">
        <f t="shared" si="27"/>
        <v/>
      </c>
      <c r="EH33" s="16">
        <f t="shared" si="28"/>
        <v>0</v>
      </c>
      <c r="EI33" s="30"/>
      <c r="EJ33" s="30">
        <f t="shared" si="19"/>
        <v>46189</v>
      </c>
      <c r="EM33" s="16" t="str">
        <f t="shared" si="29"/>
        <v>Fiche infoA246189</v>
      </c>
      <c r="EN33" s="16">
        <f t="shared" si="20"/>
        <v>0</v>
      </c>
      <c r="EQ33" s="16" t="str">
        <f>Juin!FS35</f>
        <v/>
      </c>
    </row>
    <row r="34" spans="1:147" ht="18" customHeight="1" x14ac:dyDescent="0.2">
      <c r="A34" s="24" t="str">
        <f>+Juin!BJ36</f>
        <v>Fiche infoA3</v>
      </c>
      <c r="B34" s="107">
        <f t="shared" si="30"/>
        <v>46190</v>
      </c>
      <c r="C34" s="170">
        <f>+$D$13+16</f>
        <v>46190</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Juin!BC36</f>
        <v>0</v>
      </c>
      <c r="J34" s="34">
        <f>Juin!BE36</f>
        <v>0</v>
      </c>
      <c r="K34" s="34">
        <f t="shared" si="15"/>
        <v>0</v>
      </c>
      <c r="L34" s="34" t="str">
        <f t="shared" si="21"/>
        <v/>
      </c>
      <c r="N34" s="377"/>
      <c r="O34" s="377"/>
      <c r="P34" s="377"/>
      <c r="Q34" s="377"/>
      <c r="R34" s="377"/>
      <c r="T34" s="563">
        <f>+IF(AD34=0,V34,0)</f>
        <v>0</v>
      </c>
      <c r="U34" s="1301" t="str">
        <f>+Juin!AU4</f>
        <v>A</v>
      </c>
      <c r="V34" s="1301">
        <f>IFERROR(+VLOOKUP(U34,U35:AB39,7,FALSE),"")</f>
        <v>0</v>
      </c>
      <c r="W34" s="2538" t="str">
        <f>Juin!BS28</f>
        <v>Semaine numéro : 23</v>
      </c>
      <c r="X34" s="2538"/>
      <c r="Y34" s="2538"/>
      <c r="Z34" s="1323"/>
      <c r="AA34" s="1316">
        <f>+IF(Z34&lt;&gt;"",Z34,IF(T34&gt;0,T34,IF(AND(AD34&gt;0,AC34&gt;0),AD34+AC34,IF(AE34&gt;0,0,AC34))))</f>
        <v>0</v>
      </c>
      <c r="AB34" s="1316">
        <f>IF(AND(AA34&gt;45,AD34=AD48),AA34-45,0)</f>
        <v>0</v>
      </c>
      <c r="AC34" s="1322">
        <f>+SUMIF(Juin!$BK$20:$BK$50,Juin!AT4,$D$18:$D$48)</f>
        <v>0</v>
      </c>
      <c r="AD34" s="1322">
        <f>+SUMIF(Mai!$BK$20:$BK$50,Juin!AT4,'Retenue Mai'!$D$18:$D$48)</f>
        <v>0</v>
      </c>
      <c r="AE34" s="1322">
        <f>+SUMIF(Juillet!$BK$20:$BK$50,Juin!AT4,'Retenue Juil'!$D$18:$D$48)</f>
        <v>0</v>
      </c>
      <c r="AF34" s="1316">
        <f>+AC34-AB34</f>
        <v>0</v>
      </c>
      <c r="AK34" s="1189" t="s">
        <v>324</v>
      </c>
      <c r="AL34" s="1302" t="e">
        <f>IF(AL32,+AL24/AL32,0)</f>
        <v>#VALUE!</v>
      </c>
      <c r="BA34" s="331" t="str">
        <f t="shared" si="16"/>
        <v>Fiche infoA3</v>
      </c>
      <c r="BB34" s="107">
        <f t="shared" si="31"/>
        <v>46190</v>
      </c>
      <c r="BC34" s="170">
        <f>+$D$13+16</f>
        <v>46190</v>
      </c>
      <c r="BD34" s="171" t="str">
        <f t="shared" si="32"/>
        <v/>
      </c>
      <c r="BE34" s="171" t="str">
        <f>+IF(OR(BF34=S.CAL!$BJ$3,BF34=S.CAL!$BJ$4),BD34,"")</f>
        <v/>
      </c>
      <c r="BF34" s="333">
        <f>IF($DY$5=S.CAL!$CU$2,Juin!AR36,IF($DY$5=S.CAL!$CU$3,VLOOKUP(BC34,planning_fp,7,FALSE),""))</f>
        <v>0</v>
      </c>
      <c r="BG34" s="345" t="str">
        <f>Juin!BL36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46190</v>
      </c>
      <c r="CF34" s="170">
        <f>+$D$13+16</f>
        <v>46190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IF(+Juin!AG36="",0,Juin!AG36)</f>
        <v>0</v>
      </c>
      <c r="DZ34" s="16">
        <f>+IF(Juin!AJ36="",0,Juin!AJ36)</f>
        <v>0</v>
      </c>
      <c r="EA34" s="16">
        <f>+IF(Juin!AM36="",0,Juin!AM36)</f>
        <v>0</v>
      </c>
      <c r="EB34" s="16">
        <f t="shared" si="25"/>
        <v>0</v>
      </c>
      <c r="ED34" s="16">
        <f t="shared" si="26"/>
        <v>0</v>
      </c>
      <c r="EE34" s="16">
        <f t="shared" si="17"/>
        <v>0</v>
      </c>
      <c r="EF34" s="30" t="str">
        <f t="shared" si="18"/>
        <v/>
      </c>
      <c r="EG34" s="30" t="str">
        <f t="shared" si="27"/>
        <v/>
      </c>
      <c r="EH34" s="16">
        <f t="shared" si="28"/>
        <v>0</v>
      </c>
      <c r="EI34" s="30"/>
      <c r="EJ34" s="30">
        <f t="shared" si="19"/>
        <v>46190</v>
      </c>
      <c r="EM34" s="16" t="str">
        <f t="shared" si="29"/>
        <v>Fiche infoA346190</v>
      </c>
      <c r="EN34" s="16">
        <f t="shared" si="20"/>
        <v>0</v>
      </c>
      <c r="EQ34" s="16" t="str">
        <f>Juin!FS36</f>
        <v/>
      </c>
    </row>
    <row r="35" spans="1:147" ht="18" customHeight="1" x14ac:dyDescent="0.2">
      <c r="A35" s="24" t="str">
        <f>+Juin!BJ37</f>
        <v>Fiche infoA4</v>
      </c>
      <c r="B35" s="107">
        <f t="shared" si="30"/>
        <v>46191</v>
      </c>
      <c r="C35" s="170">
        <f>+$D$13+17</f>
        <v>46191</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Juin!BC37</f>
        <v>0</v>
      </c>
      <c r="J35" s="34">
        <f>Juin!BE37</f>
        <v>0</v>
      </c>
      <c r="K35" s="34">
        <f t="shared" si="15"/>
        <v>0</v>
      </c>
      <c r="L35" s="34" t="str">
        <f t="shared" si="21"/>
        <v/>
      </c>
      <c r="N35" s="377"/>
      <c r="O35" s="861" t="s">
        <v>1198</v>
      </c>
      <c r="P35" s="862"/>
      <c r="Q35" s="862"/>
      <c r="R35" s="858"/>
      <c r="T35" s="563">
        <f>+IF(AD35=0,V35,0)</f>
        <v>0</v>
      </c>
      <c r="U35" s="1301" t="str">
        <f>+Juin!AU5</f>
        <v>A</v>
      </c>
      <c r="V35" s="1301">
        <f>IFERROR(+VLOOKUP(U35,U36:AB39,7,FALSE),"")</f>
        <v>0</v>
      </c>
      <c r="W35" s="2538" t="str">
        <f>Juin!BS29</f>
        <v>Semaine numéro : 24</v>
      </c>
      <c r="X35" s="2538"/>
      <c r="Y35" s="2538"/>
      <c r="Z35" s="1323"/>
      <c r="AA35" s="1316">
        <f>+IF(Z35&lt;&gt;"",Z35,IF(T35&gt;0,T35,IF(AND(AD35&gt;0,AC35&gt;0),AD35+AC35,IF(AE35&gt;0,0,AC35))))</f>
        <v>0</v>
      </c>
      <c r="AB35" s="1316">
        <f t="shared" ref="AB35:AB39" si="44">IF(AND(AA35&gt;45,AD35=AD49),AA35-45,0)</f>
        <v>0</v>
      </c>
      <c r="AC35" s="1322">
        <f>+SUMIF(Juin!$BK$20:$BK$50,Juin!AT5,$D$18:$D$48)</f>
        <v>0</v>
      </c>
      <c r="AD35" s="1322">
        <f>+SUMIF(Mai!$BK$20:$BK$50,Juin!AT5,'Retenue Mai'!$D$18:$D$48)</f>
        <v>0</v>
      </c>
      <c r="AE35" s="1322">
        <f>+SUMIF(Juillet!$BK$20:$BK$50,Juin!AT5,'Retenue Juil'!$D$18:$D$48)</f>
        <v>0</v>
      </c>
      <c r="AF35" s="1316">
        <f t="shared" ref="AF35:AF39" si="45">+AC35-AB35</f>
        <v>0</v>
      </c>
      <c r="AK35" s="1189"/>
      <c r="AL35" s="1302"/>
      <c r="BA35" s="331" t="str">
        <f t="shared" si="16"/>
        <v>Fiche infoA4</v>
      </c>
      <c r="BB35" s="107">
        <f t="shared" si="31"/>
        <v>46191</v>
      </c>
      <c r="BC35" s="170">
        <f>+$D$13+17</f>
        <v>46191</v>
      </c>
      <c r="BD35" s="171" t="str">
        <f t="shared" si="32"/>
        <v/>
      </c>
      <c r="BE35" s="171" t="str">
        <f>+IF(OR(BF35=S.CAL!$BJ$3,BF35=S.CAL!$BJ$4),BD35,"")</f>
        <v/>
      </c>
      <c r="BF35" s="333">
        <f>IF($DY$5=S.CAL!$CU$2,Juin!AR37,IF($DY$5=S.CAL!$CU$3,VLOOKUP(BC35,planning_fp,7,FALSE),""))</f>
        <v>0</v>
      </c>
      <c r="BG35" s="345" t="str">
        <f>Juin!BL37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46191</v>
      </c>
      <c r="CF35" s="170">
        <f>+$D$13+17</f>
        <v>46191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IF(+Juin!AG37="",0,Juin!AG37)</f>
        <v>0</v>
      </c>
      <c r="DZ35" s="16">
        <f>+IF(Juin!AJ37="",0,Juin!AJ37)</f>
        <v>0</v>
      </c>
      <c r="EA35" s="16">
        <f>+IF(Juin!AM37="",0,Juin!AM37)</f>
        <v>0</v>
      </c>
      <c r="EB35" s="16">
        <f t="shared" si="25"/>
        <v>0</v>
      </c>
      <c r="ED35" s="16">
        <f t="shared" si="26"/>
        <v>0</v>
      </c>
      <c r="EE35" s="16">
        <f t="shared" si="17"/>
        <v>0</v>
      </c>
      <c r="EF35" s="30" t="str">
        <f t="shared" si="18"/>
        <v/>
      </c>
      <c r="EG35" s="30" t="str">
        <f t="shared" si="27"/>
        <v/>
      </c>
      <c r="EH35" s="16">
        <f t="shared" si="28"/>
        <v>0</v>
      </c>
      <c r="EI35" s="30"/>
      <c r="EJ35" s="30">
        <f t="shared" si="19"/>
        <v>46191</v>
      </c>
      <c r="EM35" s="16" t="str">
        <f t="shared" si="29"/>
        <v>Fiche infoA446191</v>
      </c>
      <c r="EN35" s="16">
        <f t="shared" si="20"/>
        <v>0</v>
      </c>
      <c r="EQ35" s="16" t="str">
        <f>Juin!FS37</f>
        <v/>
      </c>
    </row>
    <row r="36" spans="1:147" ht="18" customHeight="1" x14ac:dyDescent="0.2">
      <c r="A36" s="24" t="str">
        <f>+Juin!BJ38</f>
        <v>Fiche infoA5</v>
      </c>
      <c r="B36" s="107">
        <f t="shared" si="30"/>
        <v>46192</v>
      </c>
      <c r="C36" s="170">
        <f>+$D$13+18</f>
        <v>46192</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Juin!BC38</f>
        <v>0</v>
      </c>
      <c r="J36" s="34">
        <f>Juin!BE38</f>
        <v>0</v>
      </c>
      <c r="K36" s="34">
        <f t="shared" si="15"/>
        <v>0</v>
      </c>
      <c r="L36" s="34" t="str">
        <f t="shared" si="21"/>
        <v/>
      </c>
      <c r="N36" s="377"/>
      <c r="O36" s="468"/>
      <c r="P36" s="469" t="str">
        <f>+E11&amp;" / ( "&amp;E10&amp;" + "&amp;E11&amp;" ) ="</f>
        <v>0 / ( 0 + 0 ) =</v>
      </c>
      <c r="Q36" s="468" t="e">
        <f>+ROUND(E11/(E11+E10),6)</f>
        <v>#DIV/0!</v>
      </c>
      <c r="R36" s="377"/>
      <c r="U36" s="1301" t="str">
        <f>+Juin!AU6</f>
        <v>A</v>
      </c>
      <c r="V36" s="1301"/>
      <c r="W36" s="2538" t="str">
        <f>Juin!BS30</f>
        <v>Semaine numéro : 25</v>
      </c>
      <c r="X36" s="2538"/>
      <c r="Y36" s="2538"/>
      <c r="Z36" s="1323"/>
      <c r="AA36" s="1316">
        <f t="shared" ref="AA36:AA39" si="46">+IF(Z36="",IF(AND(AD36&gt;0,AC36&gt;0),AD36+AC36,IF(AE36&gt;0,0,AC36)),Z36)</f>
        <v>0</v>
      </c>
      <c r="AB36" s="1316">
        <f t="shared" si="44"/>
        <v>0</v>
      </c>
      <c r="AC36" s="1322">
        <f>+SUMIF(Juin!$BK$20:$BK$50,Juin!AT6,$D$18:$D$48)</f>
        <v>0</v>
      </c>
      <c r="AD36" s="1322">
        <f>+SUMIF(Mai!$BK$20:$BK$50,Juin!AT6,'Retenue Mai'!$D$18:$D$48)</f>
        <v>0</v>
      </c>
      <c r="AE36" s="1322">
        <f>+SUMIF(Juillet!$BK$20:$BK$50,Juin!AT6,'Retenue Juil'!$D$18:$D$48)</f>
        <v>0</v>
      </c>
      <c r="AF36" s="1316">
        <f t="shared" si="45"/>
        <v>0</v>
      </c>
      <c r="AK36" s="1189"/>
      <c r="AL36" s="1302"/>
      <c r="BA36" s="331" t="str">
        <f t="shared" si="16"/>
        <v>Fiche infoA5</v>
      </c>
      <c r="BB36" s="107">
        <f t="shared" si="31"/>
        <v>46192</v>
      </c>
      <c r="BC36" s="170">
        <f>+$D$13+18</f>
        <v>46192</v>
      </c>
      <c r="BD36" s="171" t="str">
        <f t="shared" si="32"/>
        <v/>
      </c>
      <c r="BE36" s="171" t="str">
        <f>+IF(OR(BF36=S.CAL!$BJ$3,BF36=S.CAL!$BJ$4),BD36,"")</f>
        <v/>
      </c>
      <c r="BF36" s="333">
        <f>IF($DY$5=S.CAL!$CU$2,Juin!AR38,IF($DY$5=S.CAL!$CU$3,VLOOKUP(BC36,planning_fp,7,FALSE),""))</f>
        <v>0</v>
      </c>
      <c r="BG36" s="345" t="str">
        <f>Juin!BL38</f>
        <v>A</v>
      </c>
      <c r="BH36" s="356"/>
      <c r="BI36" s="357"/>
      <c r="BJ36" s="355"/>
      <c r="BK36" s="355"/>
      <c r="BL36" s="35"/>
      <c r="BS36" s="189"/>
      <c r="BT36" s="342"/>
      <c r="BU36" s="342"/>
      <c r="BV36" s="355"/>
      <c r="BW36" s="355"/>
      <c r="BX36" s="355"/>
      <c r="BY36" s="355"/>
      <c r="BZ36" s="355"/>
      <c r="CA36" s="355"/>
      <c r="CB36" s="355"/>
      <c r="CD36" s="328"/>
      <c r="CE36" s="107">
        <f t="shared" si="33"/>
        <v>46192</v>
      </c>
      <c r="CF36" s="170">
        <f>+$D$13+18</f>
        <v>46192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IF(+Juin!AG38="",0,Juin!AG38)</f>
        <v>0</v>
      </c>
      <c r="DZ36" s="16">
        <f>+IF(Juin!AJ38="",0,Juin!AJ38)</f>
        <v>0</v>
      </c>
      <c r="EA36" s="16">
        <f>+IF(Juin!AM38="",0,Juin!AM38)</f>
        <v>0</v>
      </c>
      <c r="EB36" s="16">
        <f t="shared" si="25"/>
        <v>0</v>
      </c>
      <c r="ED36" s="16">
        <f t="shared" si="26"/>
        <v>0</v>
      </c>
      <c r="EE36" s="16">
        <f t="shared" si="17"/>
        <v>0</v>
      </c>
      <c r="EF36" s="30" t="str">
        <f t="shared" si="18"/>
        <v/>
      </c>
      <c r="EG36" s="30" t="str">
        <f t="shared" si="27"/>
        <v/>
      </c>
      <c r="EH36" s="16">
        <f t="shared" si="28"/>
        <v>0</v>
      </c>
      <c r="EI36" s="30"/>
      <c r="EJ36" s="30">
        <f t="shared" si="19"/>
        <v>46192</v>
      </c>
      <c r="EM36" s="16" t="str">
        <f t="shared" si="29"/>
        <v>Fiche infoA546192</v>
      </c>
      <c r="EN36" s="16">
        <f t="shared" si="20"/>
        <v>0</v>
      </c>
      <c r="EQ36" s="16" t="str">
        <f>Juin!FS38</f>
        <v/>
      </c>
    </row>
    <row r="37" spans="1:147" ht="18" customHeight="1" x14ac:dyDescent="0.2">
      <c r="A37" s="24" t="str">
        <f>+Juin!BJ39</f>
        <v>Fiche infoA6</v>
      </c>
      <c r="B37" s="107">
        <f t="shared" si="30"/>
        <v>46193</v>
      </c>
      <c r="C37" s="170">
        <f>+$D$13+19</f>
        <v>46193</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Juin!BC39</f>
        <v>0</v>
      </c>
      <c r="J37" s="34">
        <f>Juin!BE39</f>
        <v>0</v>
      </c>
      <c r="K37" s="34">
        <f t="shared" si="15"/>
        <v>0</v>
      </c>
      <c r="L37" s="34" t="str">
        <f t="shared" si="21"/>
        <v/>
      </c>
      <c r="N37" s="377"/>
      <c r="O37" s="863"/>
      <c r="P37" s="863"/>
      <c r="Q37" s="863"/>
      <c r="R37" s="377"/>
      <c r="U37" s="1301" t="str">
        <f>+Juin!AU7</f>
        <v>A</v>
      </c>
      <c r="V37" s="1301"/>
      <c r="W37" s="2538" t="str">
        <f>Juin!BS31</f>
        <v>Semaine numéro : 26</v>
      </c>
      <c r="X37" s="2538"/>
      <c r="Y37" s="2538"/>
      <c r="Z37" s="1323"/>
      <c r="AA37" s="1316">
        <f t="shared" si="46"/>
        <v>0</v>
      </c>
      <c r="AB37" s="1316">
        <f t="shared" si="44"/>
        <v>0</v>
      </c>
      <c r="AC37" s="1322">
        <f>+SUMIF(Juin!$BK$20:$BK$50,Juin!AT7,$D$18:$D$48)</f>
        <v>0</v>
      </c>
      <c r="AD37" s="1322">
        <f>+SUMIF(Mai!$BK$20:$BK$50,Juin!AT7,'Retenue Mai'!$D$18:$D$48)</f>
        <v>0</v>
      </c>
      <c r="AE37" s="1322">
        <f>+SUMIF(Juillet!$BK$20:$BK$50,Juin!AT7,'Retenue Juil'!$D$18:$D$48)</f>
        <v>0</v>
      </c>
      <c r="AF37" s="1316">
        <f t="shared" si="45"/>
        <v>0</v>
      </c>
      <c r="AK37" s="1189"/>
      <c r="AL37" s="2553" t="s">
        <v>325</v>
      </c>
      <c r="AM37" s="2553" t="s">
        <v>326</v>
      </c>
      <c r="AN37" s="2554" t="s">
        <v>327</v>
      </c>
      <c r="AO37" s="2553" t="s">
        <v>328</v>
      </c>
      <c r="AP37" s="2553" t="s">
        <v>348</v>
      </c>
      <c r="AQ37" s="2553" t="s">
        <v>349</v>
      </c>
      <c r="BA37" s="331" t="str">
        <f t="shared" si="16"/>
        <v>Fiche infoA6</v>
      </c>
      <c r="BB37" s="107">
        <f t="shared" si="31"/>
        <v>46193</v>
      </c>
      <c r="BC37" s="170">
        <f>+$D$13+19</f>
        <v>46193</v>
      </c>
      <c r="BD37" s="171" t="str">
        <f t="shared" si="32"/>
        <v/>
      </c>
      <c r="BE37" s="171" t="str">
        <f>+IF(OR(BF37=S.CAL!$BJ$3,BF37=S.CAL!$BJ$4),BD37,"")</f>
        <v/>
      </c>
      <c r="BF37" s="333">
        <f>IF($DY$5=S.CAL!$CU$2,Juin!AR39,IF($DY$5=S.CAL!$CU$3,VLOOKUP(BC37,planning_fp,7,FALSE),""))</f>
        <v>0</v>
      </c>
      <c r="BG37" s="345" t="str">
        <f>Juin!BL39</f>
        <v>A</v>
      </c>
      <c r="BH37" s="355"/>
      <c r="BI37" s="355"/>
      <c r="BJ37" s="355"/>
      <c r="BK37" s="355"/>
      <c r="BL37" s="35"/>
      <c r="BO37" s="29"/>
      <c r="BP37" s="34"/>
      <c r="BS37" s="189"/>
      <c r="BT37" s="189"/>
      <c r="BV37" s="355"/>
      <c r="BW37" s="355"/>
      <c r="BX37" s="355"/>
      <c r="BY37" s="355"/>
      <c r="BZ37" s="355"/>
      <c r="CA37" s="355"/>
      <c r="CB37" s="355"/>
      <c r="CD37" s="328"/>
      <c r="CE37" s="107">
        <f t="shared" si="33"/>
        <v>46193</v>
      </c>
      <c r="CF37" s="170">
        <f>+$D$13+19</f>
        <v>46193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IF(+Juin!AG39="",0,Juin!AG39)</f>
        <v>0</v>
      </c>
      <c r="DZ37" s="16">
        <f>+IF(Juin!AJ39="",0,Juin!AJ39)</f>
        <v>0</v>
      </c>
      <c r="EA37" s="16">
        <f>+IF(Juin!AM39="",0,Juin!AM39)</f>
        <v>0</v>
      </c>
      <c r="EB37" s="16">
        <f t="shared" si="25"/>
        <v>0</v>
      </c>
      <c r="ED37" s="16">
        <f t="shared" si="26"/>
        <v>0</v>
      </c>
      <c r="EE37" s="16">
        <f t="shared" si="17"/>
        <v>0</v>
      </c>
      <c r="EF37" s="30" t="str">
        <f t="shared" si="18"/>
        <v/>
      </c>
      <c r="EG37" s="30" t="str">
        <f t="shared" si="27"/>
        <v/>
      </c>
      <c r="EH37" s="16">
        <f t="shared" si="28"/>
        <v>0</v>
      </c>
      <c r="EI37" s="30"/>
      <c r="EJ37" s="30">
        <f t="shared" si="19"/>
        <v>46193</v>
      </c>
      <c r="EM37" s="16" t="str">
        <f t="shared" si="29"/>
        <v>Fiche infoA646193</v>
      </c>
      <c r="EN37" s="16">
        <f t="shared" si="20"/>
        <v>0</v>
      </c>
      <c r="EQ37" s="16" t="str">
        <f>Juin!FS39</f>
        <v/>
      </c>
    </row>
    <row r="38" spans="1:147" ht="18" customHeight="1" x14ac:dyDescent="0.2">
      <c r="A38" s="24" t="str">
        <f>+Juin!BJ40</f>
        <v>Fiche infoA7</v>
      </c>
      <c r="B38" s="107">
        <f t="shared" si="30"/>
        <v>46194</v>
      </c>
      <c r="C38" s="170">
        <f>+$D$13+20</f>
        <v>46194</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Juin!BC40</f>
        <v>0</v>
      </c>
      <c r="J38" s="34">
        <f>Juin!BE40</f>
        <v>0</v>
      </c>
      <c r="K38" s="34">
        <f t="shared" si="15"/>
        <v>0</v>
      </c>
      <c r="L38" s="34" t="str">
        <f t="shared" si="21"/>
        <v/>
      </c>
      <c r="N38" s="377"/>
      <c r="O38" s="864" t="s">
        <v>1445</v>
      </c>
      <c r="P38" s="864"/>
      <c r="Q38" s="864"/>
      <c r="R38" s="860"/>
      <c r="U38" s="1301" t="str">
        <f>+Juin!AU8</f>
        <v>A</v>
      </c>
      <c r="V38" s="1301"/>
      <c r="W38" s="2538" t="str">
        <f>Juin!BS32</f>
        <v>Semaine numéro : 27</v>
      </c>
      <c r="X38" s="2538"/>
      <c r="Y38" s="2538"/>
      <c r="Z38" s="1323"/>
      <c r="AA38" s="1316">
        <f t="shared" si="46"/>
        <v>0</v>
      </c>
      <c r="AB38" s="1316">
        <f t="shared" si="44"/>
        <v>0</v>
      </c>
      <c r="AC38" s="1322">
        <f>+SUMIF(Juin!$BK$20:$BK$50,Juin!AT8,$D$18:$D$48)</f>
        <v>0</v>
      </c>
      <c r="AD38" s="1322">
        <f>+SUMIF(Mai!$BK$20:$BK$50,Juin!AT8,'Retenue Mai'!$D$18:$D$48)</f>
        <v>0</v>
      </c>
      <c r="AE38" s="1322">
        <f>+SUMIF(Juillet!$BK$20:$BK$50,Juin!AT8,'Retenue Juil'!$D$18:$D$48)</f>
        <v>0</v>
      </c>
      <c r="AF38" s="1316">
        <f t="shared" si="45"/>
        <v>0</v>
      </c>
      <c r="AL38" s="2553"/>
      <c r="AM38" s="2553"/>
      <c r="AN38" s="2554"/>
      <c r="AO38" s="2553"/>
      <c r="AP38" s="2553"/>
      <c r="AQ38" s="2553"/>
      <c r="BA38" s="331" t="str">
        <f t="shared" si="16"/>
        <v>Fiche infoA7</v>
      </c>
      <c r="BB38" s="107">
        <f t="shared" si="31"/>
        <v>46194</v>
      </c>
      <c r="BC38" s="170">
        <f>+$D$13+20</f>
        <v>46194</v>
      </c>
      <c r="BD38" s="171" t="str">
        <f t="shared" si="32"/>
        <v/>
      </c>
      <c r="BE38" s="171" t="str">
        <f>+IF(OR(BF38=S.CAL!$BJ$3,BF38=S.CAL!$BJ$4),BD38,"")</f>
        <v/>
      </c>
      <c r="BF38" s="333">
        <f>IF($DY$5=S.CAL!$CU$2,Juin!AR40,IF($DY$5=S.CAL!$CU$3,VLOOKUP(BC38,planning_fp,7,FALSE),""))</f>
        <v>0</v>
      </c>
      <c r="BG38" s="345" t="str">
        <f>Juin!BL40</f>
        <v>A</v>
      </c>
      <c r="BH38" s="355"/>
      <c r="BI38" s="355"/>
      <c r="BJ38" s="355"/>
      <c r="BK38" s="355"/>
      <c r="BL38" s="35"/>
      <c r="BO38" s="29"/>
      <c r="BP38" s="34"/>
      <c r="BS38" s="189"/>
      <c r="BT38" s="189"/>
      <c r="BV38" s="355"/>
      <c r="BW38" s="355"/>
      <c r="BX38" s="355"/>
      <c r="BY38" s="355"/>
      <c r="BZ38" s="355"/>
      <c r="CA38" s="355"/>
      <c r="CB38" s="355"/>
      <c r="CD38" s="328"/>
      <c r="CE38" s="107">
        <f t="shared" si="33"/>
        <v>46194</v>
      </c>
      <c r="CF38" s="170">
        <f>+$D$13+20</f>
        <v>46194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IF(+Juin!AG40="",0,Juin!AG40)</f>
        <v>0</v>
      </c>
      <c r="DZ38" s="16">
        <f>+IF(Juin!AJ40="",0,Juin!AJ40)</f>
        <v>0</v>
      </c>
      <c r="EA38" s="16">
        <f>+IF(Juin!AM40="",0,Juin!AM40)</f>
        <v>0</v>
      </c>
      <c r="EB38" s="16">
        <f t="shared" si="25"/>
        <v>0</v>
      </c>
      <c r="ED38" s="16">
        <f t="shared" si="26"/>
        <v>0</v>
      </c>
      <c r="EE38" s="16">
        <f t="shared" si="17"/>
        <v>0</v>
      </c>
      <c r="EF38" s="30" t="str">
        <f t="shared" si="18"/>
        <v/>
      </c>
      <c r="EG38" s="30" t="str">
        <f t="shared" si="27"/>
        <v/>
      </c>
      <c r="EH38" s="16">
        <f t="shared" si="28"/>
        <v>0</v>
      </c>
      <c r="EI38" s="30"/>
      <c r="EJ38" s="30">
        <f t="shared" si="19"/>
        <v>46194</v>
      </c>
      <c r="EM38" s="16" t="str">
        <f t="shared" si="29"/>
        <v>Fiche infoA746194</v>
      </c>
      <c r="EN38" s="16">
        <f t="shared" si="20"/>
        <v>0</v>
      </c>
      <c r="EQ38" s="16" t="str">
        <f>Juin!FS40</f>
        <v/>
      </c>
    </row>
    <row r="39" spans="1:147" ht="18" customHeight="1" x14ac:dyDescent="0.2">
      <c r="A39" s="24" t="str">
        <f>+Juin!BJ41</f>
        <v>Fiche infoA1</v>
      </c>
      <c r="B39" s="107">
        <f t="shared" si="30"/>
        <v>46195</v>
      </c>
      <c r="C39" s="170">
        <f>+$D$13+21</f>
        <v>46195</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Juin!BC41</f>
        <v>0</v>
      </c>
      <c r="J39" s="34">
        <f>Juin!BE41</f>
        <v>0</v>
      </c>
      <c r="K39" s="34">
        <f t="shared" si="15"/>
        <v>0</v>
      </c>
      <c r="L39" s="34" t="str">
        <f t="shared" si="21"/>
        <v/>
      </c>
      <c r="N39" s="377"/>
      <c r="O39" s="468"/>
      <c r="P39" s="469" t="str">
        <f>+E10&amp;" / ( "&amp;E10&amp;" + "&amp;E11&amp;" ) ="</f>
        <v>0 / ( 0 + 0 ) =</v>
      </c>
      <c r="Q39" s="468" t="e">
        <f>ROUND(+E10/(E11+E10),6)</f>
        <v>#DIV/0!</v>
      </c>
      <c r="R39" s="377"/>
      <c r="U39" s="1301" t="str">
        <f>+Juin!AU9</f>
        <v>A</v>
      </c>
      <c r="V39" s="1301"/>
      <c r="W39" s="2538" t="str">
        <f>Juin!BS33</f>
        <v xml:space="preserve">Semaine numéro : </v>
      </c>
      <c r="X39" s="2538"/>
      <c r="Y39" s="2538"/>
      <c r="Z39" s="1323"/>
      <c r="AA39" s="1316">
        <f t="shared" si="46"/>
        <v>0</v>
      </c>
      <c r="AB39" s="1316">
        <f t="shared" si="44"/>
        <v>0</v>
      </c>
      <c r="AC39" s="1322">
        <f>+SUMIF(Juin!$BK$20:$BK$50,Juin!AT9,$D$18:$D$48)</f>
        <v>0</v>
      </c>
      <c r="AD39" s="1322">
        <f>+SUMIF(Mai!$BK$20:$BK$50,Juin!AT9,'Retenue Mai'!$D$18:$D$48)</f>
        <v>0</v>
      </c>
      <c r="AE39" s="1322">
        <f>+SUMIF(Juillet!$BK$20:$BK$50,Juin!AT9,'Retenue Juil'!$D$18:$D$48)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infoA1</v>
      </c>
      <c r="BB39" s="107">
        <f t="shared" si="31"/>
        <v>46195</v>
      </c>
      <c r="BC39" s="170">
        <f>+$D$13+21</f>
        <v>46195</v>
      </c>
      <c r="BD39" s="171" t="str">
        <f t="shared" si="32"/>
        <v/>
      </c>
      <c r="BE39" s="171" t="str">
        <f>+IF(OR(BF39=S.CAL!$BJ$3,BF39=S.CAL!$BJ$4),BD39,"")</f>
        <v/>
      </c>
      <c r="BF39" s="333">
        <f>IF($DY$5=S.CAL!$CU$2,Juin!AR41,IF($DY$5=S.CAL!$CU$3,VLOOKUP(BC39,planning_fp,7,FALSE),""))</f>
        <v>0</v>
      </c>
      <c r="BG39" s="345" t="str">
        <f>Juin!BL41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46195</v>
      </c>
      <c r="CF39" s="170">
        <f>+$D$13+21</f>
        <v>46195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IF(+Juin!AG41="",0,Juin!AG41)</f>
        <v>0</v>
      </c>
      <c r="DZ39" s="16">
        <f>+IF(Juin!AJ41="",0,Juin!AJ41)</f>
        <v>0</v>
      </c>
      <c r="EA39" s="16">
        <f>+IF(Juin!AM41="",0,Juin!AM41)</f>
        <v>0</v>
      </c>
      <c r="EB39" s="16">
        <f t="shared" si="25"/>
        <v>0</v>
      </c>
      <c r="ED39" s="16">
        <f t="shared" si="26"/>
        <v>0</v>
      </c>
      <c r="EE39" s="16">
        <f t="shared" si="17"/>
        <v>0</v>
      </c>
      <c r="EF39" s="30" t="str">
        <f t="shared" si="18"/>
        <v/>
      </c>
      <c r="EG39" s="30" t="str">
        <f t="shared" si="27"/>
        <v/>
      </c>
      <c r="EH39" s="16">
        <f t="shared" si="28"/>
        <v>0</v>
      </c>
      <c r="EI39" s="30"/>
      <c r="EJ39" s="30">
        <f t="shared" si="19"/>
        <v>46195</v>
      </c>
      <c r="EM39" s="16" t="str">
        <f t="shared" si="29"/>
        <v>Fiche infoA146195</v>
      </c>
      <c r="EN39" s="16">
        <f t="shared" si="20"/>
        <v>0</v>
      </c>
      <c r="EQ39" s="16" t="str">
        <f>Juin!FS41</f>
        <v/>
      </c>
    </row>
    <row r="40" spans="1:147" ht="18" customHeight="1" x14ac:dyDescent="0.2">
      <c r="A40" s="24" t="str">
        <f>+Juin!BJ42</f>
        <v>Fiche infoA2</v>
      </c>
      <c r="B40" s="107">
        <f t="shared" si="30"/>
        <v>46196</v>
      </c>
      <c r="C40" s="170">
        <f>+$D$13+22</f>
        <v>46196</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Juin!BC42</f>
        <v>0</v>
      </c>
      <c r="J40" s="34">
        <f>Juin!BE42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infoA2</v>
      </c>
      <c r="BB40" s="107">
        <f t="shared" si="31"/>
        <v>46196</v>
      </c>
      <c r="BC40" s="170">
        <f>+$D$13+22</f>
        <v>46196</v>
      </c>
      <c r="BD40" s="171" t="str">
        <f t="shared" si="32"/>
        <v/>
      </c>
      <c r="BE40" s="171" t="str">
        <f>+IF(OR(BF40=S.CAL!$BJ$3,BF40=S.CAL!$BJ$4),BD40,"")</f>
        <v/>
      </c>
      <c r="BF40" s="333">
        <f>IF($DY$5=S.CAL!$CU$2,Juin!AR42,IF($DY$5=S.CAL!$CU$3,VLOOKUP(BC40,planning_fp,7,FALSE),""))</f>
        <v>0</v>
      </c>
      <c r="BG40" s="345" t="str">
        <f>Juin!BL42</f>
        <v>A</v>
      </c>
      <c r="BH40" s="355"/>
      <c r="BI40" s="355"/>
      <c r="BJ40" s="355"/>
      <c r="BK40" s="355"/>
      <c r="BL40" s="35"/>
      <c r="BN40" s="19"/>
      <c r="BO40" s="39"/>
      <c r="BP40" s="194"/>
      <c r="BV40" s="355"/>
      <c r="BW40" s="355"/>
      <c r="BX40" s="372"/>
      <c r="BY40" s="355"/>
      <c r="BZ40" s="355"/>
      <c r="CA40" s="355"/>
      <c r="CB40" s="355"/>
      <c r="CD40" s="328"/>
      <c r="CE40" s="107">
        <f t="shared" si="33"/>
        <v>46196</v>
      </c>
      <c r="CF40" s="170">
        <f>+$D$13+22</f>
        <v>46196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IF(+Juin!AG42="",0,Juin!AG42)</f>
        <v>0</v>
      </c>
      <c r="DZ40" s="16">
        <f>+IF(Juin!AJ42="",0,Juin!AJ42)</f>
        <v>0</v>
      </c>
      <c r="EA40" s="16">
        <f>+IF(Juin!AM42="",0,Juin!AM42)</f>
        <v>0</v>
      </c>
      <c r="EB40" s="16">
        <f t="shared" si="25"/>
        <v>0</v>
      </c>
      <c r="ED40" s="16">
        <f t="shared" si="26"/>
        <v>0</v>
      </c>
      <c r="EE40" s="16">
        <f t="shared" si="17"/>
        <v>0</v>
      </c>
      <c r="EF40" s="30" t="str">
        <f t="shared" si="18"/>
        <v/>
      </c>
      <c r="EG40" s="30" t="str">
        <f t="shared" si="27"/>
        <v/>
      </c>
      <c r="EH40" s="16">
        <f t="shared" si="28"/>
        <v>0</v>
      </c>
      <c r="EI40" s="30"/>
      <c r="EJ40" s="30">
        <f t="shared" si="19"/>
        <v>46196</v>
      </c>
      <c r="EM40" s="16" t="str">
        <f t="shared" si="29"/>
        <v>Fiche infoA246196</v>
      </c>
      <c r="EN40" s="16">
        <f t="shared" si="20"/>
        <v>0</v>
      </c>
      <c r="EQ40" s="16" t="str">
        <f>Juin!FS42</f>
        <v/>
      </c>
    </row>
    <row r="41" spans="1:147" ht="18" customHeight="1" x14ac:dyDescent="0.2">
      <c r="A41" s="24" t="str">
        <f>+Juin!BJ43</f>
        <v>Fiche infoA3</v>
      </c>
      <c r="B41" s="107">
        <f t="shared" si="30"/>
        <v>46197</v>
      </c>
      <c r="C41" s="170">
        <f>+$D$13+23</f>
        <v>46197</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Juin!BC43</f>
        <v>0</v>
      </c>
      <c r="J41" s="34">
        <f>Juin!BE43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infoA3</v>
      </c>
      <c r="BB41" s="107">
        <f t="shared" si="31"/>
        <v>46197</v>
      </c>
      <c r="BC41" s="170">
        <f>+$D$13+23</f>
        <v>46197</v>
      </c>
      <c r="BD41" s="171" t="str">
        <f t="shared" si="32"/>
        <v/>
      </c>
      <c r="BE41" s="171" t="str">
        <f>+IF(OR(BF41=S.CAL!$BJ$3,BF41=S.CAL!$BJ$4),BD41,"")</f>
        <v/>
      </c>
      <c r="BF41" s="333">
        <f>IF($DY$5=S.CAL!$CU$2,Juin!AR43,IF($DY$5=S.CAL!$CU$3,VLOOKUP(BC41,planning_fp,7,FALSE),""))</f>
        <v>0</v>
      </c>
      <c r="BG41" s="345" t="str">
        <f>Juin!BL43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46197</v>
      </c>
      <c r="CF41" s="170">
        <f>+$D$13+23</f>
        <v>46197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IF(+Juin!AG43="",0,Juin!AG43)</f>
        <v>0</v>
      </c>
      <c r="DZ41" s="16">
        <f>+IF(Juin!AJ43="",0,Juin!AJ43)</f>
        <v>0</v>
      </c>
      <c r="EA41" s="16">
        <f>+IF(Juin!AM43="",0,Juin!AM43)</f>
        <v>0</v>
      </c>
      <c r="EB41" s="16">
        <f t="shared" si="25"/>
        <v>0</v>
      </c>
      <c r="ED41" s="16">
        <f t="shared" si="26"/>
        <v>0</v>
      </c>
      <c r="EE41" s="16">
        <f t="shared" si="17"/>
        <v>0</v>
      </c>
      <c r="EF41" s="30" t="str">
        <f t="shared" si="18"/>
        <v/>
      </c>
      <c r="EG41" s="30" t="str">
        <f t="shared" si="27"/>
        <v/>
      </c>
      <c r="EH41" s="16">
        <f t="shared" si="28"/>
        <v>0</v>
      </c>
      <c r="EI41" s="30"/>
      <c r="EJ41" s="30">
        <f t="shared" si="19"/>
        <v>46197</v>
      </c>
      <c r="EM41" s="16" t="str">
        <f t="shared" si="29"/>
        <v>Fiche infoA346197</v>
      </c>
      <c r="EN41" s="16">
        <f t="shared" si="20"/>
        <v>0</v>
      </c>
      <c r="EQ41" s="16" t="str">
        <f>Juin!FS43</f>
        <v/>
      </c>
    </row>
    <row r="42" spans="1:147" ht="18" customHeight="1" x14ac:dyDescent="0.2">
      <c r="A42" s="24" t="str">
        <f>+Juin!BJ44</f>
        <v>Fiche infoA4</v>
      </c>
      <c r="B42" s="107">
        <f t="shared" si="30"/>
        <v>46198</v>
      </c>
      <c r="C42" s="170">
        <f>+$D$13+24</f>
        <v>46198</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Juin!BC44</f>
        <v>0</v>
      </c>
      <c r="J42" s="34">
        <f>Juin!BE44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infoA4</v>
      </c>
      <c r="BB42" s="107">
        <f t="shared" si="31"/>
        <v>46198</v>
      </c>
      <c r="BC42" s="170">
        <f>+$D$13+24</f>
        <v>46198</v>
      </c>
      <c r="BD42" s="171" t="str">
        <f t="shared" si="32"/>
        <v/>
      </c>
      <c r="BE42" s="171" t="str">
        <f>+IF(OR(BF42=S.CAL!$BJ$3,BF42=S.CAL!$BJ$4),BD42,"")</f>
        <v/>
      </c>
      <c r="BF42" s="333">
        <f>IF($DY$5=S.CAL!$CU$2,Juin!AR44,IF($DY$5=S.CAL!$CU$3,VLOOKUP(BC42,planning_fp,7,FALSE),""))</f>
        <v>0</v>
      </c>
      <c r="BG42" s="345" t="str">
        <f>Juin!BL44</f>
        <v>A</v>
      </c>
      <c r="BH42" s="356"/>
      <c r="BI42" s="358"/>
      <c r="BJ42" s="355"/>
      <c r="BK42" s="355"/>
      <c r="BL42" s="35"/>
      <c r="BV42" s="355"/>
      <c r="BW42" s="355"/>
      <c r="BX42" s="355"/>
      <c r="BY42" s="355"/>
      <c r="BZ42" s="355"/>
      <c r="CA42" s="355"/>
      <c r="CB42" s="355"/>
      <c r="CD42" s="328"/>
      <c r="CE42" s="107">
        <f t="shared" si="33"/>
        <v>46198</v>
      </c>
      <c r="CF42" s="170">
        <f>+$D$13+24</f>
        <v>46198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IF(+Juin!AG44="",0,Juin!AG44)</f>
        <v>0</v>
      </c>
      <c r="DZ42" s="16">
        <f>+IF(Juin!AJ44="",0,Juin!AJ44)</f>
        <v>0</v>
      </c>
      <c r="EA42" s="16">
        <f>+IF(Juin!AM44="",0,Juin!AM44)</f>
        <v>0</v>
      </c>
      <c r="EB42" s="16">
        <f t="shared" si="25"/>
        <v>0</v>
      </c>
      <c r="ED42" s="16">
        <f t="shared" si="26"/>
        <v>0</v>
      </c>
      <c r="EE42" s="16">
        <f t="shared" si="17"/>
        <v>0</v>
      </c>
      <c r="EF42" s="30" t="str">
        <f t="shared" si="18"/>
        <v/>
      </c>
      <c r="EG42" s="30" t="str">
        <f t="shared" si="27"/>
        <v/>
      </c>
      <c r="EH42" s="16">
        <f t="shared" si="28"/>
        <v>0</v>
      </c>
      <c r="EI42" s="30"/>
      <c r="EJ42" s="30">
        <f t="shared" si="19"/>
        <v>46198</v>
      </c>
      <c r="EM42" s="16" t="str">
        <f t="shared" si="29"/>
        <v>Fiche infoA446198</v>
      </c>
      <c r="EN42" s="16">
        <f t="shared" si="20"/>
        <v>0</v>
      </c>
      <c r="EQ42" s="16" t="str">
        <f>Juin!FS44</f>
        <v/>
      </c>
    </row>
    <row r="43" spans="1:147" ht="18" customHeight="1" x14ac:dyDescent="0.2">
      <c r="A43" s="24" t="str">
        <f>+Juin!BJ45</f>
        <v>Fiche infoA5</v>
      </c>
      <c r="B43" s="107">
        <f t="shared" si="30"/>
        <v>46199</v>
      </c>
      <c r="C43" s="170">
        <f>+$D$13+25</f>
        <v>46199</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Juin!BC45</f>
        <v>0</v>
      </c>
      <c r="J43" s="34">
        <f>Juin!BE45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infoA5</v>
      </c>
      <c r="BB43" s="107">
        <f t="shared" si="31"/>
        <v>46199</v>
      </c>
      <c r="BC43" s="170">
        <f>+$D$13+25</f>
        <v>46199</v>
      </c>
      <c r="BD43" s="171" t="str">
        <f t="shared" si="32"/>
        <v/>
      </c>
      <c r="BE43" s="171" t="str">
        <f>+IF(OR(BF43=S.CAL!$BJ$3,BF43=S.CAL!$BJ$4),BD43,"")</f>
        <v/>
      </c>
      <c r="BF43" s="333">
        <f>IF($DY$5=S.CAL!$CU$2,Juin!AR45,IF($DY$5=S.CAL!$CU$3,VLOOKUP(BC43,planning_fp,7,FALSE),""))</f>
        <v>0</v>
      </c>
      <c r="BG43" s="345" t="str">
        <f>Juin!BL45</f>
        <v>A</v>
      </c>
      <c r="BH43" s="24"/>
      <c r="BI43" s="24" t="s">
        <v>696</v>
      </c>
      <c r="BJ43" s="24"/>
      <c r="BK43" s="355"/>
      <c r="BL43" s="35"/>
      <c r="BV43" s="355"/>
      <c r="BW43" s="355"/>
      <c r="BX43" s="355"/>
      <c r="BY43" s="355"/>
      <c r="BZ43" s="355"/>
      <c r="CA43" s="355"/>
      <c r="CB43" s="355"/>
      <c r="CD43" s="328"/>
      <c r="CE43" s="107">
        <f t="shared" si="33"/>
        <v>46199</v>
      </c>
      <c r="CF43" s="170">
        <f>+$D$13+25</f>
        <v>46199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IF(+Juin!AG45="",0,Juin!AG45)</f>
        <v>0</v>
      </c>
      <c r="DZ43" s="16">
        <f>+IF(Juin!AJ45="",0,Juin!AJ45)</f>
        <v>0</v>
      </c>
      <c r="EA43" s="16">
        <f>+IF(Juin!AM45="",0,Juin!AM45)</f>
        <v>0</v>
      </c>
      <c r="EB43" s="16">
        <f t="shared" si="25"/>
        <v>0</v>
      </c>
      <c r="ED43" s="16">
        <f t="shared" si="26"/>
        <v>0</v>
      </c>
      <c r="EE43" s="16">
        <f t="shared" si="17"/>
        <v>0</v>
      </c>
      <c r="EF43" s="30" t="str">
        <f t="shared" si="18"/>
        <v/>
      </c>
      <c r="EG43" s="30" t="str">
        <f t="shared" si="27"/>
        <v/>
      </c>
      <c r="EH43" s="16">
        <f t="shared" si="28"/>
        <v>0</v>
      </c>
      <c r="EI43" s="30"/>
      <c r="EJ43" s="30">
        <f t="shared" si="19"/>
        <v>46199</v>
      </c>
      <c r="EM43" s="16" t="str">
        <f t="shared" si="29"/>
        <v>Fiche infoA546199</v>
      </c>
      <c r="EN43" s="16">
        <f t="shared" si="20"/>
        <v>0</v>
      </c>
      <c r="EQ43" s="16" t="str">
        <f>Juin!FS45</f>
        <v/>
      </c>
    </row>
    <row r="44" spans="1:147" ht="18" customHeight="1" x14ac:dyDescent="0.25">
      <c r="A44" s="24" t="str">
        <f>+Juin!BJ46</f>
        <v>Fiche infoA6</v>
      </c>
      <c r="B44" s="107">
        <f t="shared" si="30"/>
        <v>46200</v>
      </c>
      <c r="C44" s="170">
        <f>+$D$13+26</f>
        <v>46200</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Juin!BC46</f>
        <v>0</v>
      </c>
      <c r="J44" s="34">
        <f>Juin!BE46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infoA6</v>
      </c>
      <c r="BB44" s="107">
        <f t="shared" si="31"/>
        <v>46200</v>
      </c>
      <c r="BC44" s="170">
        <f>+$D$13+26</f>
        <v>46200</v>
      </c>
      <c r="BD44" s="171" t="str">
        <f t="shared" si="32"/>
        <v/>
      </c>
      <c r="BE44" s="171" t="str">
        <f>+IF(OR(BF44=S.CAL!$BJ$3,BF44=S.CAL!$BJ$4),BD44,"")</f>
        <v/>
      </c>
      <c r="BF44" s="333">
        <f>IF($DY$5=S.CAL!$CU$2,Juin!AR46,IF($DY$5=S.CAL!$CU$3,VLOOKUP(BC44,planning_fp,7,FALSE),""))</f>
        <v>0</v>
      </c>
      <c r="BG44" s="345" t="str">
        <f>Juin!BL46</f>
        <v>A</v>
      </c>
      <c r="BH44" s="24" t="s">
        <v>788</v>
      </c>
      <c r="BI44" s="24"/>
      <c r="BJ44" s="24"/>
      <c r="BK44" s="355"/>
      <c r="BL44" s="35"/>
      <c r="BV44" s="355"/>
      <c r="BW44" s="355"/>
      <c r="BX44" s="355"/>
      <c r="BY44" s="355"/>
      <c r="BZ44" s="355"/>
      <c r="CA44" s="355"/>
      <c r="CB44" s="355"/>
      <c r="CD44" s="328"/>
      <c r="CE44" s="107">
        <f t="shared" si="33"/>
        <v>46200</v>
      </c>
      <c r="CF44" s="170">
        <f>+$D$13+26</f>
        <v>46200</v>
      </c>
      <c r="CG44" s="171">
        <f t="shared" si="22"/>
        <v>0</v>
      </c>
      <c r="CH44" s="34"/>
      <c r="CL44" s="99" t="str">
        <f t="shared" ref="CL44" si="50">Z44</f>
        <v>Heures réelles</v>
      </c>
      <c r="CO44" s="882"/>
      <c r="CP44" s="882"/>
      <c r="CQ44" s="882"/>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IF(+Juin!AG46="",0,Juin!AG46)</f>
        <v>0</v>
      </c>
      <c r="DZ44" s="16">
        <f>+IF(Juin!AJ46="",0,Juin!AJ46)</f>
        <v>0</v>
      </c>
      <c r="EA44" s="16">
        <f>+IF(Juin!AM46="",0,Juin!AM46)</f>
        <v>0</v>
      </c>
      <c r="EB44" s="16">
        <f t="shared" si="25"/>
        <v>0</v>
      </c>
      <c r="ED44" s="16">
        <f t="shared" si="26"/>
        <v>0</v>
      </c>
      <c r="EE44" s="16">
        <f t="shared" si="17"/>
        <v>0</v>
      </c>
      <c r="EF44" s="30" t="str">
        <f t="shared" si="18"/>
        <v/>
      </c>
      <c r="EG44" s="30" t="str">
        <f t="shared" si="27"/>
        <v/>
      </c>
      <c r="EH44" s="16">
        <f t="shared" si="28"/>
        <v>0</v>
      </c>
      <c r="EI44" s="30"/>
      <c r="EJ44" s="30">
        <f t="shared" si="19"/>
        <v>46200</v>
      </c>
      <c r="EM44" s="16" t="str">
        <f t="shared" si="29"/>
        <v>Fiche infoA646200</v>
      </c>
      <c r="EN44" s="16">
        <f t="shared" si="20"/>
        <v>0</v>
      </c>
      <c r="EQ44" s="16" t="str">
        <f>Juin!FS46</f>
        <v/>
      </c>
    </row>
    <row r="45" spans="1:147" ht="18" customHeight="1" x14ac:dyDescent="0.2">
      <c r="A45" s="24" t="str">
        <f>+Juin!BJ47</f>
        <v>Fiche infoA7</v>
      </c>
      <c r="B45" s="107">
        <f t="shared" si="30"/>
        <v>46201</v>
      </c>
      <c r="C45" s="170">
        <f>IF(C$18+27&lt;DATE(YEAR(O$13),MONTH(O$13),DAY(O$13)),C$18+27,"")</f>
        <v>46201</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Juin!BC47</f>
        <v>0</v>
      </c>
      <c r="J45" s="34">
        <f>Juin!BE47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infoA7</v>
      </c>
      <c r="BB45" s="107">
        <f t="shared" si="31"/>
        <v>46201</v>
      </c>
      <c r="BC45" s="170">
        <f>IF(BC$18+27&lt;DATE(YEAR(BH$13),MONTH(BH$13),DAY(BH$13)),BC$18+27,"")</f>
        <v>46201</v>
      </c>
      <c r="BD45" s="171" t="str">
        <f t="shared" si="32"/>
        <v/>
      </c>
      <c r="BE45" s="171" t="str">
        <f>+IF(OR(BF45=S.CAL!$BJ$3,BF45=S.CAL!$BJ$4),BD45,"")</f>
        <v/>
      </c>
      <c r="BF45" s="333">
        <f>IF($DY$5=S.CAL!$CU$2,Juin!AR47,IF($DY$5=S.CAL!$CU$3,VLOOKUP(BC45,planning_fp,7,FALSE),""))</f>
        <v>0</v>
      </c>
      <c r="BG45" s="345" t="str">
        <f>Juin!BL47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46201</v>
      </c>
      <c r="CF45" s="170">
        <f>IF(CF$18+27&lt;DATE(YEAR(CQ$13),MONTH(CQ$13),DAY(CQ$13)),CF$18+27,"")</f>
        <v>46201</v>
      </c>
      <c r="CG45" s="171">
        <f t="shared" si="22"/>
        <v>0</v>
      </c>
      <c r="CH45" s="34"/>
      <c r="CO45" s="882"/>
      <c r="CP45" s="882"/>
      <c r="CQ45" s="882"/>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IF(+Juin!AG47="",0,Juin!AG47)</f>
        <v>0</v>
      </c>
      <c r="DZ45" s="16">
        <f>+IF(Juin!AJ47="",0,Juin!AJ47)</f>
        <v>0</v>
      </c>
      <c r="EA45" s="16">
        <f>+IF(Juin!AM47="",0,Juin!AM47)</f>
        <v>0</v>
      </c>
      <c r="EB45" s="16">
        <f t="shared" si="25"/>
        <v>0</v>
      </c>
      <c r="ED45" s="16">
        <f t="shared" si="26"/>
        <v>0</v>
      </c>
      <c r="EE45" s="16">
        <f t="shared" si="17"/>
        <v>0</v>
      </c>
      <c r="EF45" s="30" t="str">
        <f t="shared" si="18"/>
        <v/>
      </c>
      <c r="EG45" s="30" t="str">
        <f t="shared" si="27"/>
        <v/>
      </c>
      <c r="EH45" s="16">
        <f t="shared" si="28"/>
        <v>0</v>
      </c>
      <c r="EI45" s="30"/>
      <c r="EJ45" s="30">
        <f t="shared" si="19"/>
        <v>46201</v>
      </c>
      <c r="EM45" s="16" t="str">
        <f t="shared" si="29"/>
        <v>Fiche infoA746201</v>
      </c>
      <c r="EN45" s="16">
        <f t="shared" si="20"/>
        <v>0</v>
      </c>
      <c r="EQ45" s="16" t="str">
        <f>Juin!FS47</f>
        <v/>
      </c>
    </row>
    <row r="46" spans="1:147" ht="18" customHeight="1" x14ac:dyDescent="0.2">
      <c r="A46" s="24" t="str">
        <f>+Juin!BJ48</f>
        <v>Fiche infoA1</v>
      </c>
      <c r="B46" s="107">
        <f t="shared" si="30"/>
        <v>46202</v>
      </c>
      <c r="C46" s="170">
        <f>IF(C$18+28&lt;DATE(YEAR(O$13),MONTH(O$13),DAY(O$13)),C$18+28,"")</f>
        <v>46202</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Juin!BC48</f>
        <v>0</v>
      </c>
      <c r="J46" s="34">
        <f>Juin!BE48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infoA1</v>
      </c>
      <c r="BB46" s="107">
        <f t="shared" si="31"/>
        <v>46202</v>
      </c>
      <c r="BC46" s="170">
        <f>IF(BC$18+28&lt;DATE(YEAR(BH$13),MONTH(BH$13),DAY(BH$13)),BC$18+28,"")</f>
        <v>46202</v>
      </c>
      <c r="BD46" s="171" t="str">
        <f t="shared" si="32"/>
        <v/>
      </c>
      <c r="BE46" s="171" t="str">
        <f>+IF(OR(BF46=S.CAL!$BJ$3,BF46=S.CAL!$BJ$4),BD46,"")</f>
        <v/>
      </c>
      <c r="BF46" s="333">
        <f>IF($DY$5=S.CAL!$CU$2,Juin!AR48,IF($DY$5=S.CAL!$CU$3,VLOOKUP(BC46,planning_fp,7,FALSE),""))</f>
        <v>0</v>
      </c>
      <c r="BG46" s="345" t="str">
        <f>Juin!BL48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46202</v>
      </c>
      <c r="CF46" s="170">
        <f>IF(CF$18+28&lt;DATE(YEAR(CQ$13),MONTH(CQ$13),DAY(CQ$13)),CF$18+28,"")</f>
        <v>46202</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IF(+Juin!AG48="",0,Juin!AG48)</f>
        <v>0</v>
      </c>
      <c r="DZ46" s="16">
        <f>+IF(Juin!AJ48="",0,Juin!AJ48)</f>
        <v>0</v>
      </c>
      <c r="EA46" s="16">
        <f>+IF(Juin!AM48="",0,Juin!AM48)</f>
        <v>0</v>
      </c>
      <c r="EB46" s="16">
        <f t="shared" si="25"/>
        <v>0</v>
      </c>
      <c r="ED46" s="16">
        <f t="shared" si="26"/>
        <v>0</v>
      </c>
      <c r="EE46" s="16">
        <f t="shared" si="17"/>
        <v>0</v>
      </c>
      <c r="EF46" s="30" t="str">
        <f t="shared" si="18"/>
        <v/>
      </c>
      <c r="EG46" s="30" t="str">
        <f t="shared" si="27"/>
        <v/>
      </c>
      <c r="EH46" s="16">
        <f t="shared" si="28"/>
        <v>0</v>
      </c>
      <c r="EI46" s="30"/>
      <c r="EJ46" s="30">
        <f t="shared" si="19"/>
        <v>46202</v>
      </c>
      <c r="EM46" s="16" t="str">
        <f t="shared" si="29"/>
        <v>Fiche infoA146202</v>
      </c>
      <c r="EN46" s="16">
        <f t="shared" si="20"/>
        <v>0</v>
      </c>
      <c r="EQ46" s="16" t="str">
        <f>Juin!FS48</f>
        <v/>
      </c>
    </row>
    <row r="47" spans="1:147" ht="18" customHeight="1" x14ac:dyDescent="0.2">
      <c r="A47" s="24" t="str">
        <f>+Juin!BJ49</f>
        <v>Fiche infoA2</v>
      </c>
      <c r="B47" s="107">
        <f t="shared" si="30"/>
        <v>46203</v>
      </c>
      <c r="C47" s="170">
        <f>IF(C$18+29&lt;DATE(YEAR(O$13),MONTH(O$13),DAY(O$13)),C$18+29,"")</f>
        <v>46203</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Juin!BC49</f>
        <v>0</v>
      </c>
      <c r="J47" s="34">
        <f>Juin!BE49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2">SUM(AP39:AP46)</f>
        <v>0</v>
      </c>
      <c r="AQ47" s="1202">
        <f t="shared" si="52"/>
        <v>0</v>
      </c>
      <c r="BA47" s="331" t="str">
        <f t="shared" si="16"/>
        <v>Fiche infoA2</v>
      </c>
      <c r="BB47" s="107">
        <f t="shared" si="31"/>
        <v>46203</v>
      </c>
      <c r="BC47" s="170">
        <f>IF(BC$18+29&lt;DATE(YEAR(BH$13),MONTH(BH$13),DAY(BH$13)),BC$18+29,"")</f>
        <v>46203</v>
      </c>
      <c r="BD47" s="171" t="str">
        <f t="shared" si="32"/>
        <v/>
      </c>
      <c r="BE47" s="171" t="str">
        <f>+IF(OR(BF47=S.CAL!$BJ$3,BF47=S.CAL!$BJ$4),BD47,"")</f>
        <v/>
      </c>
      <c r="BF47" s="333">
        <f>IF($DY$5=S.CAL!$CU$2,Juin!AR49,IF($DY$5=S.CAL!$CU$3,VLOOKUP(BC47,planning_fp,7,FALSE),""))</f>
        <v>0</v>
      </c>
      <c r="BG47" s="345" t="str">
        <f>Juin!BL49</f>
        <v>A</v>
      </c>
      <c r="BH47" s="355"/>
      <c r="BI47" s="355"/>
      <c r="BJ47" s="355"/>
      <c r="BK47" s="355"/>
      <c r="BL47" s="35"/>
      <c r="BV47" s="355"/>
      <c r="BW47" s="355"/>
      <c r="BX47" s="355"/>
      <c r="BY47" s="355"/>
      <c r="BZ47" s="355"/>
      <c r="CA47" s="355"/>
      <c r="CB47" s="355"/>
      <c r="CD47" s="328"/>
      <c r="CE47" s="107">
        <f t="shared" si="33"/>
        <v>46203</v>
      </c>
      <c r="CF47" s="170">
        <f>IF(CF$18+29&lt;DATE(YEAR(CQ$13),MONTH(CQ$13),DAY(CQ$13)),CF$18+29,"")</f>
        <v>46203</v>
      </c>
      <c r="CG47" s="171">
        <f t="shared" si="22"/>
        <v>0</v>
      </c>
      <c r="CH47" s="34"/>
      <c r="CI47" s="129"/>
      <c r="CJ47" s="129"/>
      <c r="CK47" s="577"/>
      <c r="CL47" s="2545"/>
      <c r="CM47" s="2547"/>
      <c r="CN47" s="2014"/>
      <c r="CO47" s="196" t="str">
        <f t="shared" ref="CO47" si="53">AC47</f>
        <v>mois en cours</v>
      </c>
      <c r="CP47" s="196" t="str">
        <f t="shared" ref="CP47" si="54">AD47</f>
        <v>mois avant</v>
      </c>
      <c r="CQ47" s="196" t="str">
        <f t="shared" ref="CQ47" si="55">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IF(+Juin!AG49="",0,Juin!AG49)</f>
        <v>0</v>
      </c>
      <c r="DZ47" s="16">
        <f>+IF(Juin!AJ49="",0,Juin!AJ49)</f>
        <v>0</v>
      </c>
      <c r="EA47" s="16">
        <f>+IF(Juin!AM49="",0,Juin!AM49)</f>
        <v>0</v>
      </c>
      <c r="EB47" s="16">
        <f t="shared" si="25"/>
        <v>0</v>
      </c>
      <c r="ED47" s="16">
        <f t="shared" si="26"/>
        <v>0</v>
      </c>
      <c r="EE47" s="16">
        <f t="shared" si="17"/>
        <v>0</v>
      </c>
      <c r="EF47" s="30" t="str">
        <f t="shared" si="18"/>
        <v/>
      </c>
      <c r="EG47" s="30" t="str">
        <f t="shared" si="27"/>
        <v/>
      </c>
      <c r="EH47" s="16">
        <f t="shared" si="28"/>
        <v>0</v>
      </c>
      <c r="EI47" s="30"/>
      <c r="EJ47" s="30">
        <f t="shared" si="19"/>
        <v>46203</v>
      </c>
      <c r="EM47" s="16" t="str">
        <f t="shared" si="29"/>
        <v>Fiche infoA246203</v>
      </c>
      <c r="EN47" s="16">
        <f t="shared" si="20"/>
        <v>0</v>
      </c>
      <c r="EQ47" s="16" t="str">
        <f>Juin!FS49</f>
        <v/>
      </c>
    </row>
    <row r="48" spans="1:147" ht="18" customHeight="1" thickBot="1" x14ac:dyDescent="0.25">
      <c r="A48" s="24" t="str">
        <f>+Juin!BJ50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Juin!BC50</f>
        <v>0</v>
      </c>
      <c r="J48" s="34">
        <f>Juin!BE50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6">W34</f>
        <v>Semaine numéro : 23</v>
      </c>
      <c r="X48" s="2538"/>
      <c r="Y48" s="2538"/>
      <c r="Z48" s="1323" t="str">
        <f>+IF(Z34="","",Z34)</f>
        <v/>
      </c>
      <c r="AA48" s="1316">
        <f>+IF(Z48="",IF(AND(AD48&gt;0,AC48&gt;0),AD48+AC48,IF(AE48&gt;0,0,AC48)),Z48)</f>
        <v>0</v>
      </c>
      <c r="AB48" s="1316">
        <f>IF(AA48&gt;45,AA48-45,0)</f>
        <v>0</v>
      </c>
      <c r="AC48" s="1322">
        <f>+SUMIF(Juin!$BK$20:$BK$50,Juin!AT4,$D$18:$D$48)-SUMIF(Juin!$BK$20:$BK$50,Juin!AT4,$E$18:$E$48)</f>
        <v>0</v>
      </c>
      <c r="AD48" s="1322">
        <f>+SUMIF(Mai!$BK$20:$BK$50,Juin!AT4,'Retenue Mai'!$D$18:$D$48)-SUMIF(Mai!$BK$20:$BK$50,Juin!AT4,'Retenue Mai'!$E$18:$E$48)</f>
        <v>0</v>
      </c>
      <c r="AE48" s="1322">
        <f>+SUMIF(Juillet!$BK$20:$BK$50,Juin!AT4,'Retenue Juil'!$D$18:$D$48)-SUMIF(Juillet!$BK$20:$BK$50,Juin!AT4,'Retenue Juil'!$E$18:$E$48)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IF($DY$5=S.CAL!$CU$2,Juin!AR50,IF($DY$5=S.CAL!$CU$3,VLOOKUP(BC48,planning_fp,7,FALSE),""))</f>
        <v>0</v>
      </c>
      <c r="BG48" s="346" t="str">
        <f>Juin!BL50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534" t="str">
        <f t="shared" ref="CI48:CI53" si="57">W48</f>
        <v>Semaine numéro : 23</v>
      </c>
      <c r="CJ48" s="2535"/>
      <c r="CK48" s="2536"/>
      <c r="CL48" s="875" t="str">
        <f>+IF(CL34="","",CL34)</f>
        <v/>
      </c>
      <c r="CM48" s="656">
        <f>+IF(CL48="",IF(AND(CP48&gt;0,CO48&gt;0),CP48+CO48,IF(CQ48&gt;0,0,CO48)),CL48)</f>
        <v>0</v>
      </c>
      <c r="CN48" s="655">
        <f>IF(CM48&gt;45,CM48-45,0)</f>
        <v>0</v>
      </c>
      <c r="CO48" s="196">
        <f>+SUMIF(Juin!$BK$20:$BK$50,Juin!AT4,$CG$18:$CG$48)</f>
        <v>0</v>
      </c>
      <c r="CP48" s="196">
        <f>+SUMIF(Mai!$BK$20:$BK$50,Juin!AT4,'Retenue Mai'!$CG$18:$CG$48)</f>
        <v>0</v>
      </c>
      <c r="CQ48" s="196">
        <f>+SUMIF(Juillet!$BK$20:$BK$50,Juin!AT4,'Retenue Juil'!$CG$18:$CG$48)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IF(+Juin!AG50="",0,Juin!AG50)</f>
        <v>0</v>
      </c>
      <c r="DZ48" s="16">
        <f>+IF(Juin!AJ50="",0,Juin!AJ50)</f>
        <v>0</v>
      </c>
      <c r="EA48" s="16">
        <f>+IF(Juin!AM50="",0,Juin!AM50)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Juin!FS50</f>
        <v/>
      </c>
    </row>
    <row r="49" spans="2:139" ht="18" customHeight="1" thickBot="1" x14ac:dyDescent="0.25">
      <c r="N49" s="24"/>
      <c r="O49" s="24"/>
      <c r="P49" s="24"/>
      <c r="Q49" s="24"/>
      <c r="R49" s="24"/>
      <c r="S49" s="1325"/>
      <c r="U49" s="1301"/>
      <c r="V49" s="1301"/>
      <c r="W49" s="2538" t="str">
        <f t="shared" si="56"/>
        <v>Semaine numéro : 24</v>
      </c>
      <c r="X49" s="2538"/>
      <c r="Y49" s="2538"/>
      <c r="Z49" s="1323" t="str">
        <f t="shared" ref="Z49:Z53" si="58">+IF(Z35="","",Z35)</f>
        <v/>
      </c>
      <c r="AA49" s="1316">
        <f t="shared" ref="AA49:AA53" si="59">+IF(Z49="",IF(AND(AD49&gt;0,AC49&gt;0),AD49+AC49,IF(AE49&gt;0,0,AC49)),Z49)</f>
        <v>0</v>
      </c>
      <c r="AB49" s="1316">
        <f t="shared" ref="AB49:AB53" si="60">IF(AA49&gt;45,AA49-45,0)</f>
        <v>0</v>
      </c>
      <c r="AC49" s="1322">
        <f>+SUMIF(Juin!$BK$20:$BK$50,Juin!AT5,$D$18:$D$48)-SUMIF(Juin!$BK$20:$BK$50,Juin!AT5,$E$18:$E$48)</f>
        <v>0</v>
      </c>
      <c r="AD49" s="1322">
        <f>+SUMIF(Mai!$BK$20:$BK$50,Juin!AT5,'Retenue Mai'!$D$18:$D$48)-SUMIF(Mai!$BK$20:$BK$50,Juin!AT5,'Retenue Mai'!$E$18:$E$48)</f>
        <v>0</v>
      </c>
      <c r="AE49" s="1322">
        <f>+SUMIF(Juillet!$BK$20:$BK$50,Juin!AT5,'Retenue Juil'!$D$18:$D$48)-SUMIF(Juillet!$BK$20:$BK$50,Juin!AT5,'Retenue Juil'!$E$18:$E$48)</f>
        <v>0</v>
      </c>
      <c r="AF49" s="1316">
        <f t="shared" ref="AF49:AF53" si="61">+AC49-AB49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7"/>
        <v>Semaine numéro : 24</v>
      </c>
      <c r="CJ49" s="2535"/>
      <c r="CK49" s="2536"/>
      <c r="CL49" s="875" t="str">
        <f t="shared" ref="CL49:CL53" si="62">+IF(CL35="","",CL35)</f>
        <v/>
      </c>
      <c r="CM49" s="656">
        <f t="shared" ref="CM49:CM53" si="63">+IF(CL49="",IF(AND(CP49&gt;0,CO49&gt;0),CP49+CO49,IF(CQ49&gt;0,0,CO49)),CL49)</f>
        <v>0</v>
      </c>
      <c r="CN49" s="655">
        <f t="shared" ref="CN49:CN53" si="64">IF(CM49&gt;45,CM49-45,0)</f>
        <v>0</v>
      </c>
      <c r="CO49" s="196">
        <f>+SUMIF(Juin!$BK$20:$BK$50,Juin!AT5,$CG$18:$CG$48)</f>
        <v>0</v>
      </c>
      <c r="CP49" s="196">
        <f>+SUMIF(Mai!$BK$20:$BK$50,Juin!AT5,'Retenue Mai'!$CG$18:$CG$48)</f>
        <v>0</v>
      </c>
      <c r="CQ49" s="196">
        <f>+SUMIF(Juillet!$BK$20:$BK$50,Juin!AT5,'Retenue Juil'!$CG$18:$CG$48)</f>
        <v>0</v>
      </c>
      <c r="CR49" s="656">
        <f t="shared" ref="CR49:CR53" si="65">+CO49-CN49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6"/>
        <v>Semaine numéro : 25</v>
      </c>
      <c r="X50" s="2538"/>
      <c r="Y50" s="2538"/>
      <c r="Z50" s="1323" t="str">
        <f t="shared" si="58"/>
        <v/>
      </c>
      <c r="AA50" s="1316">
        <f t="shared" si="59"/>
        <v>0</v>
      </c>
      <c r="AB50" s="1316">
        <f t="shared" si="60"/>
        <v>0</v>
      </c>
      <c r="AC50" s="1322">
        <f>+SUMIF(Juin!$BK$20:$BK$50,Juin!AT6,$D$18:$D$48)-SUMIF(Juin!$BK$20:$BK$50,Juin!AT6,$E$18:$E$48)</f>
        <v>0</v>
      </c>
      <c r="AD50" s="1322">
        <f>+SUMIF(Mai!$BK$20:$BK$50,Juin!AT6,'Retenue Mai'!$D$18:$D$48)-SUMIF(Mai!$BK$20:$BK$50,Juin!AT6,'Retenue Mai'!$E$18:$E$48)</f>
        <v>0</v>
      </c>
      <c r="AE50" s="1322">
        <f>+SUMIF(Juillet!$BK$20:$BK$50,Juin!AT6,'Retenue Juil'!$D$18:$D$48)-SUMIF(Juillet!$BK$20:$BK$50,Juin!AT6,'Retenue Juil'!$E$18:$E$48)</f>
        <v>0</v>
      </c>
      <c r="AF50" s="1316">
        <f t="shared" si="61"/>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7"/>
        <v>Semaine numéro : 25</v>
      </c>
      <c r="CJ50" s="2535"/>
      <c r="CK50" s="2536"/>
      <c r="CL50" s="875" t="str">
        <f t="shared" si="62"/>
        <v/>
      </c>
      <c r="CM50" s="656">
        <f t="shared" si="63"/>
        <v>0</v>
      </c>
      <c r="CN50" s="655">
        <f t="shared" si="64"/>
        <v>0</v>
      </c>
      <c r="CO50" s="196">
        <f>+SUMIF(Juin!$BK$20:$BK$50,Juin!AT6,$CG$18:$CG$48)</f>
        <v>0</v>
      </c>
      <c r="CP50" s="196">
        <f>+SUMIF(Mai!$BK$20:$BK$50,Juin!AT6,'Retenue Mai'!$CG$18:$CG$48)</f>
        <v>0</v>
      </c>
      <c r="CQ50" s="196">
        <f>+SUMIF(Juillet!$BK$20:$BK$50,Juin!AT6,'Retenue Juil'!$CG$18:$CG$48)</f>
        <v>0</v>
      </c>
      <c r="CR50" s="656">
        <f t="shared" si="65"/>
        <v>0</v>
      </c>
    </row>
    <row r="51" spans="2:139" ht="19.5" customHeight="1" thickBot="1" x14ac:dyDescent="0.25">
      <c r="B51" s="24"/>
      <c r="C51" s="24"/>
      <c r="D51" s="181" t="s">
        <v>1205</v>
      </c>
      <c r="E51" s="24">
        <f>+COUNTIF(C18:C48,"&gt;0")-E52</f>
        <v>30</v>
      </c>
      <c r="N51" s="24"/>
      <c r="O51" s="24"/>
      <c r="P51" s="24"/>
      <c r="Q51" s="24"/>
      <c r="R51" s="24"/>
      <c r="S51" s="1327"/>
      <c r="U51" s="1301"/>
      <c r="V51" s="1301"/>
      <c r="W51" s="2538" t="str">
        <f t="shared" si="56"/>
        <v>Semaine numéro : 26</v>
      </c>
      <c r="X51" s="2538"/>
      <c r="Y51" s="2538"/>
      <c r="Z51" s="1323" t="str">
        <f t="shared" si="58"/>
        <v/>
      </c>
      <c r="AA51" s="1316">
        <f t="shared" si="59"/>
        <v>0</v>
      </c>
      <c r="AB51" s="1316">
        <f t="shared" si="60"/>
        <v>0</v>
      </c>
      <c r="AC51" s="1322">
        <f>+SUMIF(Juin!$BK$20:$BK$50,Juin!AT7,$D$18:$D$48)-SUMIF(Juin!$BK$20:$BK$50,Juin!AT7,$E$18:$E$48)</f>
        <v>0</v>
      </c>
      <c r="AD51" s="1322">
        <f>+SUMIF(Mai!$BK$20:$BK$50,Juin!AT7,'Retenue Mai'!$D$18:$D$48)-SUMIF(Mai!$BK$20:$BK$50,Juin!AT7,'Retenue Mai'!$E$18:$E$48)</f>
        <v>0</v>
      </c>
      <c r="AE51" s="1322">
        <f>+SUMIF(Juillet!$BK$20:$BK$50,Juin!AT7,'Retenue Juil'!$D$18:$D$48)-SUMIF(Juillet!$BK$20:$BK$50,Juin!AT7,'Retenue Juil'!$E$18:$E$48)</f>
        <v>0</v>
      </c>
      <c r="AF51" s="1316">
        <f t="shared" si="61"/>
        <v>0</v>
      </c>
      <c r="AG51" s="1327"/>
      <c r="AJ51" s="1304"/>
      <c r="AK51" s="1305"/>
      <c r="AL51" s="1307"/>
      <c r="BA51" s="328"/>
      <c r="BD51" s="351" t="s">
        <v>746</v>
      </c>
      <c r="BE51" s="192">
        <f>+SUMIFS(BE18:BE48,BF18:BF48,S.CAL!BJ3)</f>
        <v>0</v>
      </c>
      <c r="BF51" s="352">
        <f>IF(Juin!AZ90="",+COUNTIF(BF18:BF48,S.CAL!BJ3),Juin!AZ90)</f>
        <v>0</v>
      </c>
      <c r="BL51" s="35"/>
      <c r="CD51" s="328"/>
      <c r="CI51" s="2534" t="str">
        <f t="shared" si="57"/>
        <v>Semaine numéro : 26</v>
      </c>
      <c r="CJ51" s="2535"/>
      <c r="CK51" s="2536"/>
      <c r="CL51" s="875" t="str">
        <f t="shared" si="62"/>
        <v/>
      </c>
      <c r="CM51" s="656">
        <f t="shared" si="63"/>
        <v>0</v>
      </c>
      <c r="CN51" s="655">
        <f t="shared" si="64"/>
        <v>0</v>
      </c>
      <c r="CO51" s="196">
        <f>+SUMIF(Juin!$BK$20:$BK$50,Juin!AT7,$CG$18:$CG$48)</f>
        <v>0</v>
      </c>
      <c r="CP51" s="196">
        <f>+SUMIF(Mai!$BK$20:$BK$50,Juin!AT7,'Retenue Mai'!$CG$18:$CG$48)</f>
        <v>0</v>
      </c>
      <c r="CQ51" s="196">
        <f>+SUMIF(Juillet!$BK$20:$BK$50,Juin!AT7,'Retenue Juil'!$CG$18:$CG$48)</f>
        <v>0</v>
      </c>
      <c r="CR51" s="656">
        <f t="shared" si="65"/>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6"/>
        <v>Semaine numéro : 27</v>
      </c>
      <c r="X52" s="2538"/>
      <c r="Y52" s="2538"/>
      <c r="Z52" s="1323" t="str">
        <f t="shared" si="58"/>
        <v/>
      </c>
      <c r="AA52" s="1316">
        <f t="shared" si="59"/>
        <v>0</v>
      </c>
      <c r="AB52" s="1316">
        <f t="shared" si="60"/>
        <v>0</v>
      </c>
      <c r="AC52" s="1322">
        <f>+SUMIF(Juin!$BK$20:$BK$50,Juin!AT8,$D$18:$D$48)-SUMIF(Juin!$BK$20:$BK$50,Juin!AT8,$E$18:$E$48)</f>
        <v>0</v>
      </c>
      <c r="AD52" s="1322">
        <f>+SUMIF(Mai!$BK$20:$BK$50,Juin!AT8,'Retenue Mai'!$D$18:$D$48)-SUMIF(Mai!$BK$20:$BK$50,Juin!AT8,'Retenue Mai'!$E$18:$E$48)</f>
        <v>0</v>
      </c>
      <c r="AE52" s="1322">
        <f>+SUMIF(Juillet!$BK$20:$BK$50,Juin!AT8,'Retenue Juil'!$D$18:$D$48)-SUMIF(Juillet!$BK$20:$BK$50,Juin!AT8,'Retenue Juil'!$E$18:$E$48)</f>
        <v>0</v>
      </c>
      <c r="AF52" s="1316">
        <f t="shared" si="61"/>
        <v>0</v>
      </c>
      <c r="AO52" s="1189" t="s">
        <v>1110</v>
      </c>
      <c r="AP52" s="1326">
        <f>IF(AL22,+ROUND((AQ48+SUM(AQ39:AQ46))*AL34/AL22*Q11,2),0)</f>
        <v>0</v>
      </c>
      <c r="BA52" s="328"/>
      <c r="BD52" s="1341" t="s">
        <v>696</v>
      </c>
      <c r="BE52" s="1342">
        <f>+SUMIFS(BE18:BE48,BF18:BF48,S.CAL!BJ4)</f>
        <v>0</v>
      </c>
      <c r="BF52" s="1343">
        <f>IF(Juin!BA90="",+COUNTIF(BF18:BF48,S.CAL!BJ4),Juin!BA90)</f>
        <v>0</v>
      </c>
      <c r="BL52" s="35"/>
      <c r="BU52" s="16" t="s">
        <v>776</v>
      </c>
      <c r="BW52" s="339">
        <f>+BR46+BR49+BZ46+BZ49</f>
        <v>0</v>
      </c>
      <c r="CD52" s="328"/>
      <c r="CI52" s="2534" t="str">
        <f t="shared" si="57"/>
        <v>Semaine numéro : 27</v>
      </c>
      <c r="CJ52" s="2535"/>
      <c r="CK52" s="2536"/>
      <c r="CL52" s="875" t="str">
        <f t="shared" si="62"/>
        <v/>
      </c>
      <c r="CM52" s="656">
        <f t="shared" si="63"/>
        <v>0</v>
      </c>
      <c r="CN52" s="655">
        <f t="shared" si="64"/>
        <v>0</v>
      </c>
      <c r="CO52" s="196">
        <f>+SUMIF(Juin!$BK$20:$BK$50,Juin!AT8,$CG$18:$CG$48)</f>
        <v>0</v>
      </c>
      <c r="CP52" s="196">
        <f>+SUMIF(Mai!$BK$20:$BK$50,Juin!AT8,'Retenue Mai'!$CG$18:$CG$48)</f>
        <v>0</v>
      </c>
      <c r="CQ52" s="196">
        <f>+SUMIF(Juillet!$BK$20:$BK$50,Juin!AT8,'Retenue Juil'!$CG$18:$CG$48)</f>
        <v>0</v>
      </c>
      <c r="CR52" s="656">
        <f t="shared" si="65"/>
        <v>0</v>
      </c>
      <c r="EE52" s="19"/>
      <c r="EF52" s="19"/>
      <c r="EG52" s="19"/>
      <c r="EH52" s="19"/>
      <c r="EI52" s="19"/>
    </row>
    <row r="53" spans="2:139" ht="13.5" thickBot="1" x14ac:dyDescent="0.25">
      <c r="N53" s="24"/>
      <c r="O53" s="24"/>
      <c r="P53" s="24"/>
      <c r="Q53" s="24"/>
      <c r="R53" s="24"/>
      <c r="S53" s="1328"/>
      <c r="U53" s="1301"/>
      <c r="V53" s="1301"/>
      <c r="W53" s="2538" t="str">
        <f t="shared" si="56"/>
        <v xml:space="preserve">Semaine numéro : </v>
      </c>
      <c r="X53" s="2538"/>
      <c r="Y53" s="2538"/>
      <c r="Z53" s="1323" t="str">
        <f t="shared" si="58"/>
        <v/>
      </c>
      <c r="AA53" s="1316">
        <f t="shared" si="59"/>
        <v>0</v>
      </c>
      <c r="AB53" s="1316">
        <f t="shared" si="60"/>
        <v>0</v>
      </c>
      <c r="AC53" s="1322">
        <f>+SUMIF(Juin!$BK$20:$BK$50,Juin!AT9,$D$18:$D$48)-SUMIF(Juin!$BK$20:$BK$50,Juin!AT9,$E$18:$E$48)</f>
        <v>0</v>
      </c>
      <c r="AD53" s="1322">
        <f>+SUMIF(Mai!$BK$20:$BK$50,Juin!AT9,'Retenue Mai'!$D$18:$D$48)-SUMIF(Mai!$BK$20:$BK$50,Juin!AT9,'Retenue Mai'!$E$18:$E$48)</f>
        <v>0</v>
      </c>
      <c r="AE53" s="1322">
        <f>+SUMIF(Juillet!$BK$20:$BK$50,Juin!AT9,'Retenue Juil'!$D$18:$D$48)-SUMIF(Juillet!$BK$20:$BK$50,Juin!AT9,'Retenue Juil'!$E$18:$E$48)</f>
        <v>0</v>
      </c>
      <c r="AF53" s="1316">
        <f t="shared" si="61"/>
        <v>0</v>
      </c>
      <c r="AG53" s="1328"/>
      <c r="BA53" s="328"/>
      <c r="BD53" s="374" t="s">
        <v>710</v>
      </c>
      <c r="BE53" s="376">
        <f>+COUNTIF(BE18:BE48,"&gt;0")</f>
        <v>0</v>
      </c>
      <c r="BF53" s="375"/>
      <c r="BH53" s="425"/>
      <c r="BI53" s="426" t="s">
        <v>689</v>
      </c>
      <c r="BJ53" s="427">
        <f>IF(BK3=S.CAL!BP2,BI50,IF(BK3=S.CAL!BP3,BW54,0))</f>
        <v>0</v>
      </c>
      <c r="BK53" s="425"/>
      <c r="BL53" s="35"/>
      <c r="CD53" s="328"/>
      <c r="CI53" s="2534" t="str">
        <f t="shared" si="57"/>
        <v xml:space="preserve">Semaine numéro : </v>
      </c>
      <c r="CJ53" s="2535"/>
      <c r="CK53" s="2536"/>
      <c r="CL53" s="875" t="str">
        <f t="shared" si="62"/>
        <v/>
      </c>
      <c r="CM53" s="656">
        <f t="shared" si="63"/>
        <v>0</v>
      </c>
      <c r="CN53" s="655">
        <f t="shared" si="64"/>
        <v>0</v>
      </c>
      <c r="CO53" s="196">
        <f>+SUMIF(Juin!$BK$20:$BK$50,Juin!AT9,$CG$18:$CG$48)</f>
        <v>0</v>
      </c>
      <c r="CP53" s="196">
        <f>+SUMIF(Mai!$BK$20:$BK$50,Juin!AT9,'Retenue Mai'!$CG$18:$CG$48)</f>
        <v>0</v>
      </c>
      <c r="CQ53" s="196">
        <f>+SUMIF(Juillet!$BK$20:$BK$50,Juin!AT9,'Retenue Juil'!$CG$18:$CG$48)</f>
        <v>0</v>
      </c>
      <c r="CR53" s="656">
        <f t="shared" si="65"/>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63">
        <f>B17</f>
        <v>46174</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6">B18</f>
        <v>46174</v>
      </c>
      <c r="C57" s="169">
        <f t="shared" si="66"/>
        <v>46174</v>
      </c>
      <c r="D57" s="335" t="str">
        <f t="shared" ref="D57:D87" si="67">E18</f>
        <v/>
      </c>
      <c r="E57" s="335" t="str">
        <f>+IF(D57="","",VLOOKUP(C57,$CF$18:$CG$48,2,FALSE))</f>
        <v/>
      </c>
      <c r="F57" s="1530" t="str">
        <f t="shared" ref="F57:F87" si="68">+IFERROR(IF(VLOOKUP(E57,Liste_motif_formule,10,FALSE)="OUI",D57,""),"")</f>
        <v/>
      </c>
      <c r="G57" s="1530" t="str">
        <f t="shared" ref="G57:G87" si="69">+IFERROR(IF(VLOOKUP(E57,Liste_motif_formule,11,FALSE)="OUI",D57,""),"")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6"/>
        <v>46175</v>
      </c>
      <c r="C58" s="170">
        <f t="shared" si="66"/>
        <v>46175</v>
      </c>
      <c r="D58" s="171" t="str">
        <f t="shared" si="67"/>
        <v/>
      </c>
      <c r="E58" s="171" t="str">
        <f t="shared" ref="E58:E87" si="70">+IF(D58="","",VLOOKUP(C58,$CF$18:$CG$48,2,FALSE))</f>
        <v/>
      </c>
      <c r="F58" s="1531" t="str">
        <f t="shared" si="68"/>
        <v/>
      </c>
      <c r="G58" s="1531" t="str">
        <f t="shared" si="69"/>
        <v/>
      </c>
      <c r="AO58" s="1189" t="str">
        <f>+ROUND(AP47,4)&amp;" / "&amp;ROUND(AO47,4)&amp;" ="</f>
        <v>0 / 0 =</v>
      </c>
      <c r="AP58" s="563">
        <f>IFERROR(ROUND(+AP47/AO47,6),0)</f>
        <v>0</v>
      </c>
      <c r="BA58" s="328"/>
      <c r="CD58" s="328"/>
      <c r="EE58" s="19"/>
      <c r="EF58" s="19"/>
      <c r="EG58" s="19"/>
      <c r="EH58" s="19"/>
      <c r="EI58" s="19"/>
    </row>
    <row r="59" spans="2:139" x14ac:dyDescent="0.2">
      <c r="B59" s="107">
        <f t="shared" si="66"/>
        <v>46176</v>
      </c>
      <c r="C59" s="170">
        <f t="shared" si="66"/>
        <v>46176</v>
      </c>
      <c r="D59" s="171" t="str">
        <f t="shared" si="67"/>
        <v/>
      </c>
      <c r="E59" s="171" t="str">
        <f t="shared" si="70"/>
        <v/>
      </c>
      <c r="F59" s="1531" t="str">
        <f t="shared" si="68"/>
        <v/>
      </c>
      <c r="G59" s="1531" t="str">
        <f t="shared" si="69"/>
        <v/>
      </c>
      <c r="BA59" s="328"/>
      <c r="BH59" s="29" t="s">
        <v>779</v>
      </c>
      <c r="BI59" s="58">
        <f>+BJ45+BJ29</f>
        <v>0</v>
      </c>
      <c r="CD59" s="328"/>
    </row>
    <row r="60" spans="2:139" x14ac:dyDescent="0.2">
      <c r="B60" s="107">
        <f t="shared" si="66"/>
        <v>46177</v>
      </c>
      <c r="C60" s="170">
        <f t="shared" si="66"/>
        <v>46177</v>
      </c>
      <c r="D60" s="171" t="str">
        <f t="shared" si="67"/>
        <v/>
      </c>
      <c r="E60" s="171" t="str">
        <f t="shared" si="70"/>
        <v/>
      </c>
      <c r="F60" s="1531" t="str">
        <f t="shared" si="68"/>
        <v/>
      </c>
      <c r="G60" s="1531" t="str">
        <f t="shared" si="69"/>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6"/>
        <v>46178</v>
      </c>
      <c r="C61" s="170">
        <f t="shared" si="66"/>
        <v>46178</v>
      </c>
      <c r="D61" s="171" t="str">
        <f t="shared" si="67"/>
        <v/>
      </c>
      <c r="E61" s="171" t="str">
        <f t="shared" si="70"/>
        <v/>
      </c>
      <c r="F61" s="1531" t="str">
        <f t="shared" si="68"/>
        <v/>
      </c>
      <c r="G61" s="1531" t="str">
        <f t="shared" si="69"/>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6"/>
        <v>46179</v>
      </c>
      <c r="C62" s="170">
        <f t="shared" si="66"/>
        <v>46179</v>
      </c>
      <c r="D62" s="171" t="str">
        <f t="shared" si="67"/>
        <v/>
      </c>
      <c r="E62" s="171" t="str">
        <f t="shared" si="70"/>
        <v/>
      </c>
      <c r="F62" s="1531" t="str">
        <f t="shared" si="68"/>
        <v/>
      </c>
      <c r="G62" s="1531" t="str">
        <f t="shared" si="69"/>
        <v/>
      </c>
      <c r="BA62" s="328"/>
      <c r="BH62" s="425"/>
      <c r="BI62" s="425"/>
      <c r="BJ62" s="425"/>
      <c r="BK62" s="425"/>
      <c r="CD62" s="328"/>
    </row>
    <row r="63" spans="2:139" x14ac:dyDescent="0.2">
      <c r="B63" s="107">
        <f t="shared" si="66"/>
        <v>46180</v>
      </c>
      <c r="C63" s="170">
        <f t="shared" si="66"/>
        <v>46180</v>
      </c>
      <c r="D63" s="171" t="str">
        <f t="shared" si="67"/>
        <v/>
      </c>
      <c r="E63" s="171" t="str">
        <f t="shared" si="70"/>
        <v/>
      </c>
      <c r="F63" s="1531" t="str">
        <f t="shared" si="68"/>
        <v/>
      </c>
      <c r="G63" s="1531" t="str">
        <f t="shared" si="69"/>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6"/>
        <v>46181</v>
      </c>
      <c r="C64" s="170">
        <f t="shared" si="66"/>
        <v>46181</v>
      </c>
      <c r="D64" s="171" t="str">
        <f t="shared" si="67"/>
        <v/>
      </c>
      <c r="E64" s="171" t="str">
        <f t="shared" si="70"/>
        <v/>
      </c>
      <c r="F64" s="1531" t="str">
        <f t="shared" si="68"/>
        <v/>
      </c>
      <c r="G64" s="1531" t="str">
        <f t="shared" si="69"/>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6"/>
        <v>46182</v>
      </c>
      <c r="C65" s="170">
        <f t="shared" si="66"/>
        <v>46182</v>
      </c>
      <c r="D65" s="171" t="str">
        <f t="shared" si="67"/>
        <v/>
      </c>
      <c r="E65" s="171" t="str">
        <f t="shared" si="70"/>
        <v/>
      </c>
      <c r="F65" s="1531" t="str">
        <f t="shared" si="68"/>
        <v/>
      </c>
      <c r="G65" s="1531" t="str">
        <f t="shared" si="69"/>
        <v/>
      </c>
      <c r="BA65" s="328"/>
      <c r="CD65" s="328"/>
    </row>
    <row r="66" spans="2:82" x14ac:dyDescent="0.2">
      <c r="B66" s="107">
        <f t="shared" si="66"/>
        <v>46183</v>
      </c>
      <c r="C66" s="170">
        <f t="shared" si="66"/>
        <v>46183</v>
      </c>
      <c r="D66" s="171" t="str">
        <f t="shared" si="67"/>
        <v/>
      </c>
      <c r="E66" s="171" t="str">
        <f t="shared" si="70"/>
        <v/>
      </c>
      <c r="F66" s="1531" t="str">
        <f t="shared" si="68"/>
        <v/>
      </c>
      <c r="G66" s="1531" t="str">
        <f t="shared" si="69"/>
        <v/>
      </c>
      <c r="BA66" s="328"/>
      <c r="CD66" s="328"/>
    </row>
    <row r="67" spans="2:82" x14ac:dyDescent="0.2">
      <c r="B67" s="107">
        <f t="shared" si="66"/>
        <v>46184</v>
      </c>
      <c r="C67" s="170">
        <f t="shared" si="66"/>
        <v>46184</v>
      </c>
      <c r="D67" s="171" t="str">
        <f t="shared" si="67"/>
        <v/>
      </c>
      <c r="E67" s="171" t="str">
        <f t="shared" si="70"/>
        <v/>
      </c>
      <c r="F67" s="1531" t="str">
        <f t="shared" si="68"/>
        <v/>
      </c>
      <c r="G67" s="1531" t="str">
        <f t="shared" si="69"/>
        <v/>
      </c>
      <c r="BA67" s="328"/>
      <c r="CD67" s="328"/>
    </row>
    <row r="68" spans="2:82" x14ac:dyDescent="0.2">
      <c r="B68" s="107">
        <f t="shared" si="66"/>
        <v>46185</v>
      </c>
      <c r="C68" s="170">
        <f t="shared" si="66"/>
        <v>46185</v>
      </c>
      <c r="D68" s="171" t="str">
        <f t="shared" si="67"/>
        <v/>
      </c>
      <c r="E68" s="171" t="str">
        <f t="shared" si="70"/>
        <v/>
      </c>
      <c r="F68" s="1531" t="str">
        <f t="shared" si="68"/>
        <v/>
      </c>
      <c r="G68" s="1531" t="str">
        <f t="shared" si="69"/>
        <v/>
      </c>
      <c r="AI68" s="1332" t="s">
        <v>329</v>
      </c>
      <c r="BA68" s="328"/>
      <c r="CD68" s="328"/>
    </row>
    <row r="69" spans="2:82" x14ac:dyDescent="0.2">
      <c r="B69" s="107">
        <f t="shared" si="66"/>
        <v>46186</v>
      </c>
      <c r="C69" s="170">
        <f t="shared" si="66"/>
        <v>46186</v>
      </c>
      <c r="D69" s="171" t="str">
        <f t="shared" si="67"/>
        <v/>
      </c>
      <c r="E69" s="171" t="str">
        <f t="shared" si="70"/>
        <v/>
      </c>
      <c r="F69" s="1531" t="str">
        <f t="shared" si="68"/>
        <v/>
      </c>
      <c r="G69" s="1531" t="str">
        <f t="shared" si="69"/>
        <v/>
      </c>
      <c r="BA69" s="328"/>
      <c r="CD69" s="328"/>
    </row>
    <row r="70" spans="2:82" x14ac:dyDescent="0.2">
      <c r="B70" s="107">
        <f t="shared" si="66"/>
        <v>46187</v>
      </c>
      <c r="C70" s="170">
        <f t="shared" si="66"/>
        <v>46187</v>
      </c>
      <c r="D70" s="171" t="str">
        <f t="shared" si="67"/>
        <v/>
      </c>
      <c r="E70" s="171" t="str">
        <f t="shared" si="70"/>
        <v/>
      </c>
      <c r="F70" s="1531" t="str">
        <f t="shared" si="68"/>
        <v/>
      </c>
      <c r="G70" s="1531" t="str">
        <f t="shared" si="69"/>
        <v/>
      </c>
      <c r="AI70" s="563" t="s">
        <v>330</v>
      </c>
      <c r="BA70" s="328"/>
      <c r="CD70" s="328"/>
    </row>
    <row r="71" spans="2:82" x14ac:dyDescent="0.2">
      <c r="B71" s="107">
        <f t="shared" si="66"/>
        <v>46188</v>
      </c>
      <c r="C71" s="170">
        <f t="shared" si="66"/>
        <v>46188</v>
      </c>
      <c r="D71" s="171" t="str">
        <f t="shared" si="67"/>
        <v/>
      </c>
      <c r="E71" s="171" t="str">
        <f t="shared" si="70"/>
        <v/>
      </c>
      <c r="F71" s="1531" t="str">
        <f t="shared" si="68"/>
        <v/>
      </c>
      <c r="G71" s="1531" t="str">
        <f t="shared" si="69"/>
        <v/>
      </c>
      <c r="AI71" s="1333" t="s">
        <v>331</v>
      </c>
      <c r="BA71" s="328"/>
      <c r="CD71" s="328"/>
    </row>
    <row r="72" spans="2:82" x14ac:dyDescent="0.2">
      <c r="B72" s="107">
        <f t="shared" si="66"/>
        <v>46189</v>
      </c>
      <c r="C72" s="170">
        <f t="shared" si="66"/>
        <v>46189</v>
      </c>
      <c r="D72" s="171" t="str">
        <f t="shared" si="67"/>
        <v/>
      </c>
      <c r="E72" s="171" t="str">
        <f t="shared" si="70"/>
        <v/>
      </c>
      <c r="F72" s="1531" t="str">
        <f t="shared" si="68"/>
        <v/>
      </c>
      <c r="G72" s="1531" t="str">
        <f t="shared" si="69"/>
        <v/>
      </c>
      <c r="AI72" s="563" t="e">
        <f>ROUND(AL24,2)&amp;" / "&amp;AL22&amp;" ="&amp;ROUND(AL25,2)&amp;" hrs"</f>
        <v>#VALUE!</v>
      </c>
      <c r="BA72" s="328"/>
      <c r="CD72" s="328"/>
    </row>
    <row r="73" spans="2:82" x14ac:dyDescent="0.2">
      <c r="B73" s="107">
        <f t="shared" ref="B73:C87" si="71">B34</f>
        <v>46190</v>
      </c>
      <c r="C73" s="170">
        <f t="shared" si="71"/>
        <v>46190</v>
      </c>
      <c r="D73" s="171" t="str">
        <f t="shared" si="67"/>
        <v/>
      </c>
      <c r="E73" s="171" t="str">
        <f t="shared" si="70"/>
        <v/>
      </c>
      <c r="F73" s="1531" t="str">
        <f t="shared" si="68"/>
        <v/>
      </c>
      <c r="G73" s="1531" t="str">
        <f t="shared" si="69"/>
        <v/>
      </c>
      <c r="BA73" s="328"/>
      <c r="CD73" s="328"/>
    </row>
    <row r="74" spans="2:82" x14ac:dyDescent="0.2">
      <c r="B74" s="107">
        <f t="shared" si="71"/>
        <v>46191</v>
      </c>
      <c r="C74" s="170">
        <f t="shared" si="71"/>
        <v>46191</v>
      </c>
      <c r="D74" s="171" t="str">
        <f t="shared" si="67"/>
        <v/>
      </c>
      <c r="E74" s="171" t="str">
        <f t="shared" si="70"/>
        <v/>
      </c>
      <c r="F74" s="1531" t="str">
        <f t="shared" si="68"/>
        <v/>
      </c>
      <c r="G74" s="1531" t="str">
        <f t="shared" si="69"/>
        <v/>
      </c>
      <c r="AI74" s="563" t="s">
        <v>332</v>
      </c>
      <c r="BA74" s="328"/>
      <c r="CD74" s="328"/>
    </row>
    <row r="75" spans="2:82" x14ac:dyDescent="0.2">
      <c r="B75" s="107">
        <f t="shared" si="71"/>
        <v>46192</v>
      </c>
      <c r="C75" s="170">
        <f t="shared" si="71"/>
        <v>46192</v>
      </c>
      <c r="D75" s="171" t="str">
        <f t="shared" si="67"/>
        <v/>
      </c>
      <c r="E75" s="171" t="str">
        <f t="shared" si="70"/>
        <v/>
      </c>
      <c r="F75" s="1531" t="str">
        <f t="shared" si="68"/>
        <v/>
      </c>
      <c r="G75" s="1531" t="str">
        <f t="shared" si="69"/>
        <v/>
      </c>
      <c r="AI75" s="1333" t="s">
        <v>333</v>
      </c>
      <c r="BA75" s="328"/>
      <c r="CD75" s="328"/>
    </row>
    <row r="76" spans="2:82" x14ac:dyDescent="0.2">
      <c r="B76" s="107">
        <f t="shared" si="71"/>
        <v>46193</v>
      </c>
      <c r="C76" s="170">
        <f t="shared" si="71"/>
        <v>46193</v>
      </c>
      <c r="D76" s="171" t="str">
        <f t="shared" si="67"/>
        <v/>
      </c>
      <c r="E76" s="171" t="str">
        <f t="shared" si="70"/>
        <v/>
      </c>
      <c r="F76" s="1531" t="str">
        <f t="shared" si="68"/>
        <v/>
      </c>
      <c r="G76" s="1531" t="str">
        <f t="shared" si="69"/>
        <v/>
      </c>
      <c r="BA76" s="328"/>
      <c r="CD76" s="328"/>
    </row>
    <row r="77" spans="2:82" x14ac:dyDescent="0.2">
      <c r="B77" s="107">
        <f t="shared" si="71"/>
        <v>46194</v>
      </c>
      <c r="C77" s="170">
        <f t="shared" si="71"/>
        <v>46194</v>
      </c>
      <c r="D77" s="171" t="str">
        <f t="shared" si="67"/>
        <v/>
      </c>
      <c r="E77" s="171" t="str">
        <f t="shared" si="70"/>
        <v/>
      </c>
      <c r="F77" s="1531" t="str">
        <f t="shared" si="68"/>
        <v/>
      </c>
      <c r="G77" s="1531" t="str">
        <f t="shared" si="69"/>
        <v/>
      </c>
      <c r="AI77" s="563" t="s">
        <v>334</v>
      </c>
      <c r="BA77" s="328"/>
      <c r="CD77" s="328"/>
    </row>
    <row r="78" spans="2:82" x14ac:dyDescent="0.2">
      <c r="B78" s="107">
        <f t="shared" si="71"/>
        <v>46195</v>
      </c>
      <c r="C78" s="170">
        <f t="shared" si="71"/>
        <v>46195</v>
      </c>
      <c r="D78" s="171" t="str">
        <f t="shared" si="67"/>
        <v/>
      </c>
      <c r="E78" s="171" t="str">
        <f t="shared" si="70"/>
        <v/>
      </c>
      <c r="F78" s="1531" t="str">
        <f t="shared" si="68"/>
        <v/>
      </c>
      <c r="G78" s="1531" t="str">
        <f t="shared" si="69"/>
        <v/>
      </c>
      <c r="AI78" s="1333" t="s">
        <v>680</v>
      </c>
      <c r="BA78" s="328"/>
      <c r="CD78" s="328"/>
    </row>
    <row r="79" spans="2:82" x14ac:dyDescent="0.2">
      <c r="B79" s="107">
        <f t="shared" si="71"/>
        <v>46196</v>
      </c>
      <c r="C79" s="170">
        <f t="shared" si="71"/>
        <v>46196</v>
      </c>
      <c r="D79" s="171" t="str">
        <f t="shared" si="67"/>
        <v/>
      </c>
      <c r="E79" s="171" t="str">
        <f t="shared" si="70"/>
        <v/>
      </c>
      <c r="F79" s="1531" t="str">
        <f t="shared" si="68"/>
        <v/>
      </c>
      <c r="G79" s="1531" t="str">
        <f t="shared" si="69"/>
        <v/>
      </c>
      <c r="AI79" s="563" t="e">
        <f>ROUND(AT21,2)&amp;" /"&amp; AS21&amp;" = "&amp;ROUND(AL26,2)&amp;" hrs"</f>
        <v>#VALUE!</v>
      </c>
      <c r="BA79" s="328"/>
      <c r="CD79" s="328"/>
    </row>
    <row r="80" spans="2:82" x14ac:dyDescent="0.2">
      <c r="B80" s="107">
        <f t="shared" si="71"/>
        <v>46197</v>
      </c>
      <c r="C80" s="170">
        <f t="shared" si="71"/>
        <v>46197</v>
      </c>
      <c r="D80" s="171" t="str">
        <f t="shared" si="67"/>
        <v/>
      </c>
      <c r="E80" s="171" t="str">
        <f t="shared" si="70"/>
        <v/>
      </c>
      <c r="F80" s="1531" t="str">
        <f t="shared" si="68"/>
        <v/>
      </c>
      <c r="G80" s="1531" t="str">
        <f t="shared" si="69"/>
        <v/>
      </c>
      <c r="BA80" s="328"/>
      <c r="CD80" s="328"/>
    </row>
    <row r="81" spans="2:82" x14ac:dyDescent="0.2">
      <c r="B81" s="107">
        <f t="shared" si="71"/>
        <v>46198</v>
      </c>
      <c r="C81" s="170">
        <f t="shared" si="71"/>
        <v>46198</v>
      </c>
      <c r="D81" s="171" t="str">
        <f t="shared" si="67"/>
        <v/>
      </c>
      <c r="E81" s="171" t="str">
        <f t="shared" si="70"/>
        <v/>
      </c>
      <c r="F81" s="1531" t="str">
        <f t="shared" si="68"/>
        <v/>
      </c>
      <c r="G81" s="1531" t="str">
        <f t="shared" si="69"/>
        <v/>
      </c>
      <c r="AI81" s="563" t="s">
        <v>518</v>
      </c>
      <c r="BA81" s="328"/>
      <c r="CD81" s="328"/>
    </row>
    <row r="82" spans="2:82" x14ac:dyDescent="0.2">
      <c r="B82" s="107">
        <f t="shared" si="71"/>
        <v>46199</v>
      </c>
      <c r="C82" s="170">
        <f t="shared" si="71"/>
        <v>46199</v>
      </c>
      <c r="D82" s="171" t="str">
        <f t="shared" si="67"/>
        <v/>
      </c>
      <c r="E82" s="171" t="str">
        <f t="shared" si="70"/>
        <v/>
      </c>
      <c r="F82" s="1531" t="str">
        <f t="shared" si="68"/>
        <v/>
      </c>
      <c r="G82" s="1531" t="str">
        <f t="shared" si="69"/>
        <v/>
      </c>
      <c r="AI82" s="1333" t="s">
        <v>681</v>
      </c>
      <c r="BA82" s="328"/>
      <c r="CD82" s="328"/>
    </row>
    <row r="83" spans="2:82" x14ac:dyDescent="0.2">
      <c r="B83" s="107">
        <f t="shared" si="71"/>
        <v>46200</v>
      </c>
      <c r="C83" s="170">
        <f t="shared" si="71"/>
        <v>46200</v>
      </c>
      <c r="D83" s="171" t="str">
        <f t="shared" si="67"/>
        <v/>
      </c>
      <c r="E83" s="171" t="str">
        <f t="shared" si="70"/>
        <v/>
      </c>
      <c r="F83" s="1531" t="str">
        <f t="shared" si="68"/>
        <v/>
      </c>
      <c r="G83" s="1531" t="str">
        <f t="shared" si="69"/>
        <v/>
      </c>
      <c r="AI83" s="563" t="e">
        <f>AV21&amp;" / "&amp;AS21&amp;" = "&amp;ROUND(AL27,2)&amp;" jrs"</f>
        <v>#VALUE!</v>
      </c>
      <c r="BA83" s="328"/>
      <c r="CD83" s="328"/>
    </row>
    <row r="84" spans="2:82" x14ac:dyDescent="0.2">
      <c r="B84" s="107">
        <f t="shared" si="71"/>
        <v>46201</v>
      </c>
      <c r="C84" s="170">
        <f t="shared" si="71"/>
        <v>46201</v>
      </c>
      <c r="D84" s="171" t="str">
        <f t="shared" si="67"/>
        <v/>
      </c>
      <c r="E84" s="171" t="str">
        <f t="shared" si="70"/>
        <v/>
      </c>
      <c r="F84" s="1531" t="str">
        <f t="shared" si="68"/>
        <v/>
      </c>
      <c r="G84" s="1531" t="str">
        <f t="shared" si="69"/>
        <v/>
      </c>
      <c r="BA84" s="328"/>
      <c r="CD84" s="328"/>
    </row>
    <row r="85" spans="2:82" x14ac:dyDescent="0.2">
      <c r="B85" s="107">
        <f t="shared" si="71"/>
        <v>46202</v>
      </c>
      <c r="C85" s="170">
        <f t="shared" si="71"/>
        <v>46202</v>
      </c>
      <c r="D85" s="171" t="str">
        <f t="shared" si="67"/>
        <v/>
      </c>
      <c r="E85" s="171" t="str">
        <f t="shared" si="70"/>
        <v/>
      </c>
      <c r="F85" s="1531" t="str">
        <f t="shared" si="68"/>
        <v/>
      </c>
      <c r="G85" s="1531" t="str">
        <f t="shared" si="69"/>
        <v/>
      </c>
      <c r="AI85" s="1333" t="s">
        <v>335</v>
      </c>
      <c r="BA85" s="328"/>
      <c r="CD85" s="328"/>
    </row>
    <row r="86" spans="2:82" x14ac:dyDescent="0.2">
      <c r="B86" s="107">
        <f t="shared" si="71"/>
        <v>46203</v>
      </c>
      <c r="C86" s="170">
        <f t="shared" si="71"/>
        <v>46203</v>
      </c>
      <c r="D86" s="171" t="str">
        <f t="shared" si="67"/>
        <v/>
      </c>
      <c r="E86" s="171" t="str">
        <f t="shared" si="70"/>
        <v/>
      </c>
      <c r="F86" s="1531" t="str">
        <f t="shared" si="68"/>
        <v/>
      </c>
      <c r="G86" s="1531" t="str">
        <f t="shared" si="69"/>
        <v/>
      </c>
      <c r="AI86" s="1333" t="s">
        <v>336</v>
      </c>
      <c r="BA86" s="328"/>
      <c r="CD86" s="328"/>
    </row>
    <row r="87" spans="2:82" ht="13.5" thickBot="1" x14ac:dyDescent="0.25">
      <c r="B87" s="110" t="str">
        <f t="shared" si="71"/>
        <v/>
      </c>
      <c r="C87" s="190" t="str">
        <f t="shared" si="71"/>
        <v/>
      </c>
      <c r="D87" s="191" t="str">
        <f t="shared" si="67"/>
        <v/>
      </c>
      <c r="E87" s="191" t="str">
        <f t="shared" si="70"/>
        <v/>
      </c>
      <c r="F87" s="1532" t="str">
        <f t="shared" si="68"/>
        <v/>
      </c>
      <c r="G87" s="1532" t="str">
        <f t="shared" si="69"/>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g+yxWcoWXDxwBzhflQPGwaa9PuBPQb8pw1LePNkcpXD7XzGRH63kczrrYetsES2euDBbWd+veJaemV3Lr9slA==" saltValue="afrJcOgaSX48w1Ffs184IA=="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647" priority="36">
      <formula>$R$3=$A$5</formula>
    </cfRule>
  </conditionalFormatting>
  <conditionalFormatting sqref="M19:Q23">
    <cfRule type="expression" dxfId="3646" priority="13">
      <formula>$E$11&gt;0</formula>
    </cfRule>
  </conditionalFormatting>
  <conditionalFormatting sqref="M26:R46">
    <cfRule type="expression" dxfId="3645" priority="3">
      <formula>$E$11=0</formula>
    </cfRule>
  </conditionalFormatting>
  <conditionalFormatting sqref="P17">
    <cfRule type="expression" dxfId="3644" priority="16">
      <formula>$E$11=0</formula>
    </cfRule>
  </conditionalFormatting>
  <conditionalFormatting sqref="P30">
    <cfRule type="expression" dxfId="3643" priority="7">
      <formula>AND($R$3="Méthode 1",$E$11&lt;0)</formula>
    </cfRule>
  </conditionalFormatting>
  <conditionalFormatting sqref="P33">
    <cfRule type="expression" dxfId="3642" priority="6">
      <formula>AND($R$3="Méthode 1",$E$11&lt;0)</formula>
    </cfRule>
  </conditionalFormatting>
  <conditionalFormatting sqref="Q17">
    <cfRule type="cellIs" dxfId="3641" priority="15" operator="equal">
      <formula>0</formula>
    </cfRule>
  </conditionalFormatting>
  <conditionalFormatting sqref="Q42">
    <cfRule type="expression" dxfId="3640" priority="5">
      <formula>AND($R$3="Méthode 1",$E$11&lt;0)</formula>
    </cfRule>
  </conditionalFormatting>
  <conditionalFormatting sqref="Q45">
    <cfRule type="expression" dxfId="3639" priority="4">
      <formula>AND($R$3="Méthode 1",$E$11&lt;0)</formula>
    </cfRule>
  </conditionalFormatting>
  <conditionalFormatting sqref="S7:AF7">
    <cfRule type="expression" dxfId="3638" priority="35">
      <formula>$R$3=$T$5</formula>
    </cfRule>
  </conditionalFormatting>
  <conditionalFormatting sqref="W19">
    <cfRule type="expression" dxfId="3637" priority="40">
      <formula>$EF$14=1</formula>
    </cfRule>
  </conditionalFormatting>
  <conditionalFormatting sqref="W21">
    <cfRule type="expression" dxfId="3636" priority="39">
      <formula>$EF$14=1</formula>
    </cfRule>
  </conditionalFormatting>
  <conditionalFormatting sqref="AC19">
    <cfRule type="expression" dxfId="3635" priority="38">
      <formula>$EF$14=1</formula>
    </cfRule>
  </conditionalFormatting>
  <conditionalFormatting sqref="AC21">
    <cfRule type="expression" dxfId="3634" priority="37">
      <formula>$EF$14=1</formula>
    </cfRule>
  </conditionalFormatting>
  <conditionalFormatting sqref="AH7:AZ7">
    <cfRule type="expression" dxfId="3633" priority="21">
      <formula>$R$3=$AI$5</formula>
    </cfRule>
  </conditionalFormatting>
  <conditionalFormatting sqref="AP50">
    <cfRule type="expression" dxfId="3632" priority="20">
      <formula>$R$3="Méthode 2"</formula>
    </cfRule>
  </conditionalFormatting>
  <conditionalFormatting sqref="AP52">
    <cfRule type="expression" dxfId="3631" priority="19">
      <formula>$R$3="Méthode 2"</formula>
    </cfRule>
  </conditionalFormatting>
  <conditionalFormatting sqref="AP61">
    <cfRule type="expression" dxfId="3630" priority="18">
      <formula>$R$3="Méthode 2"</formula>
    </cfRule>
  </conditionalFormatting>
  <conditionalFormatting sqref="AP64">
    <cfRule type="expression" dxfId="3629" priority="17">
      <formula>$R$3="Méthode 2"</formula>
    </cfRule>
  </conditionalFormatting>
  <conditionalFormatting sqref="BI50">
    <cfRule type="expression" dxfId="3628" priority="28">
      <formula>$BK$3="Méthode 1"</formula>
    </cfRule>
  </conditionalFormatting>
  <conditionalFormatting sqref="BJ29">
    <cfRule type="expression" dxfId="3627" priority="30">
      <formula>$BK$3="Méthode 1"</formula>
    </cfRule>
  </conditionalFormatting>
  <conditionalFormatting sqref="BJ45">
    <cfRule type="expression" dxfId="3626" priority="29">
      <formula>$BK$3="Méthode 1"</formula>
    </cfRule>
  </conditionalFormatting>
  <conditionalFormatting sqref="BR46">
    <cfRule type="expression" dxfId="3625" priority="27">
      <formula>$BK$3="Méthode 2"</formula>
    </cfRule>
  </conditionalFormatting>
  <conditionalFormatting sqref="BR49">
    <cfRule type="expression" dxfId="3624" priority="26">
      <formula>$BK$3="Méthode 2"</formula>
    </cfRule>
  </conditionalFormatting>
  <conditionalFormatting sqref="BW52">
    <cfRule type="expression" dxfId="3623" priority="23">
      <formula>$BK$3="Méthode 2"</formula>
    </cfRule>
  </conditionalFormatting>
  <conditionalFormatting sqref="BW54">
    <cfRule type="expression" dxfId="3622" priority="22">
      <formula>$BK$3="Méthode 2"</formula>
    </cfRule>
  </conditionalFormatting>
  <conditionalFormatting sqref="BZ46">
    <cfRule type="expression" dxfId="3621" priority="25">
      <formula>$BK$3="Méthode 2"</formula>
    </cfRule>
  </conditionalFormatting>
  <conditionalFormatting sqref="BZ49">
    <cfRule type="expression" dxfId="3620" priority="24">
      <formula>$BK$3="Méthode 2"</formula>
    </cfRule>
  </conditionalFormatting>
  <conditionalFormatting sqref="CG18:CG48">
    <cfRule type="cellIs" dxfId="3619"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5" max="79" man="1"/>
  </rowBreaks>
  <colBreaks count="2" manualBreakCount="2">
    <brk id="52" max="64" man="1"/>
    <brk id="63" max="1048575" man="1"/>
  </col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+Juillet!DP4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+Juillet!AR13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+Juillet!AI3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+Juillet!I14</f>
        <v>0</v>
      </c>
      <c r="F10" s="149"/>
      <c r="G10" s="149"/>
      <c r="H10" s="149"/>
      <c r="I10" s="149"/>
      <c r="J10" s="149"/>
      <c r="K10" s="149"/>
      <c r="L10" s="149"/>
      <c r="P10" s="29" t="s">
        <v>1441</v>
      </c>
      <c r="Q10" s="338">
        <f>+Juillet!P18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+Juillet!T18+Juillet!T19</f>
        <v>0</v>
      </c>
      <c r="BI10" s="29" t="s">
        <v>1449</v>
      </c>
      <c r="BJ10" s="338">
        <f>+Juillet!AL14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+Juillet!U14</f>
        <v>0</v>
      </c>
      <c r="F11" s="149"/>
      <c r="G11" s="149"/>
      <c r="H11" s="149"/>
      <c r="I11" s="149"/>
      <c r="J11" s="149"/>
      <c r="K11" s="149"/>
      <c r="L11" s="149"/>
      <c r="M11" s="1179"/>
      <c r="N11" s="181"/>
      <c r="O11" s="1180"/>
      <c r="P11" s="181" t="s">
        <v>1104</v>
      </c>
      <c r="Q11" s="1181">
        <f>+Juillet!P19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+BJ10*(1+Juillet!N15)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+Juillet!X3</f>
        <v>46204</v>
      </c>
      <c r="M13" s="152"/>
      <c r="N13" s="153">
        <f>DATE(YEAR($D$13),MONTH($D$13)+1,DAY($D$13))</f>
        <v>46235</v>
      </c>
      <c r="O13" s="154">
        <f>N13</f>
        <v>46235</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46204</v>
      </c>
      <c r="BF13" s="152"/>
      <c r="BG13" s="153">
        <f>DATE(YEAR($D$13),MONTH($D$13)+1,DAY($D$13))</f>
        <v>46235</v>
      </c>
      <c r="BH13" s="154">
        <f>BG13</f>
        <v>46235</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46235</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46204</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46204</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46204</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+Juillet!BJ20</f>
        <v>Fiche infoA3</v>
      </c>
      <c r="B18" s="168">
        <f>+D13</f>
        <v>46204</v>
      </c>
      <c r="C18" s="169">
        <f>+$D$13</f>
        <v>46204</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Juillet!BC20</f>
        <v>0</v>
      </c>
      <c r="J18" s="34">
        <f>Juillet!BE20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infoA3</v>
      </c>
      <c r="BB18" s="168">
        <f>+BD13</f>
        <v>46204</v>
      </c>
      <c r="BC18" s="169">
        <f>+$D$13</f>
        <v>46204</v>
      </c>
      <c r="BD18" s="171" t="str">
        <f>+D18</f>
        <v/>
      </c>
      <c r="BE18" s="335" t="str">
        <f>+IF(OR(BF18=S.CAL!$BJ$3,BF18=S.CAL!$BJ$4),BD18,"")</f>
        <v/>
      </c>
      <c r="BF18" s="332">
        <f>IF($DY$5=S.CAL!$CU$2,Juillet!AR20,IF($DY$5=S.CAL!$CU$3,VLOOKUP(BC18,planning_fp,7,FALSE),""))</f>
        <v>0</v>
      </c>
      <c r="BG18" s="344" t="str">
        <f>Juillet!BL20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46204</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IF(+Juillet!AG20="",0,Juillet!AG20)</f>
        <v>0</v>
      </c>
      <c r="DZ18" s="16">
        <f>+IF(Juillet!AJ20="",0,Juillet!AJ20)</f>
        <v>0</v>
      </c>
      <c r="EA18" s="16">
        <f>+IF(Juillet!AM20="",0,Juillet!AM20)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46204</v>
      </c>
      <c r="EM18" s="16" t="str">
        <f>A18&amp;C18</f>
        <v>Fiche infoA346204</v>
      </c>
      <c r="EN18" s="16">
        <f t="shared" ref="EN18:EN48" si="20">+VLOOKUP(EM18,Base_feuille_présence_heure_potentiel,11,FALSE)</f>
        <v>0</v>
      </c>
      <c r="EQ18" s="16" t="str">
        <f>Juillet!FS20</f>
        <v/>
      </c>
    </row>
    <row r="19" spans="1:147" ht="18" customHeight="1" x14ac:dyDescent="0.2">
      <c r="A19" s="24" t="str">
        <f>+Juillet!BJ21</f>
        <v>Fiche infoA4</v>
      </c>
      <c r="B19" s="107">
        <f>C19</f>
        <v>46205</v>
      </c>
      <c r="C19" s="170">
        <f>+$D$13+1</f>
        <v>46205</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Juillet!BC21</f>
        <v>0</v>
      </c>
      <c r="J19" s="34">
        <f>Juillet!BE21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infoA4</v>
      </c>
      <c r="BB19" s="107">
        <f>BC19</f>
        <v>46205</v>
      </c>
      <c r="BC19" s="170">
        <f>+$D$13+1</f>
        <v>46205</v>
      </c>
      <c r="BD19" s="171" t="str">
        <f>+D19</f>
        <v/>
      </c>
      <c r="BE19" s="171" t="str">
        <f>+IF(OR(BF19=S.CAL!$BJ$3,BF19=S.CAL!$BJ$4),BD19,"")</f>
        <v/>
      </c>
      <c r="BF19" s="333">
        <f>IF($DY$5=S.CAL!$CU$2,Juillet!AR21,IF($DY$5=S.CAL!$CU$3,VLOOKUP(BC19,planning_fp,7,FALSE),""))</f>
        <v>0</v>
      </c>
      <c r="BG19" s="345" t="str">
        <f>Juillet!BL21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46205</v>
      </c>
      <c r="CF19" s="170">
        <f>+$D$13+1</f>
        <v>46205</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IF(+Juillet!AG21="",0,Juillet!AG21)</f>
        <v>0</v>
      </c>
      <c r="DZ19" s="16">
        <f>+IF(Juillet!AJ21="",0,Juillet!AJ21)</f>
        <v>0</v>
      </c>
      <c r="EA19" s="16">
        <f>+IF(Juillet!AM21="",0,Juillet!AM21)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46205</v>
      </c>
      <c r="EM19" s="16" t="str">
        <f t="shared" ref="EM19:EM48" si="29">A19&amp;C19</f>
        <v>Fiche infoA446205</v>
      </c>
      <c r="EN19" s="16">
        <f t="shared" si="20"/>
        <v>0</v>
      </c>
      <c r="EQ19" s="16" t="str">
        <f>Juillet!FS21</f>
        <v/>
      </c>
    </row>
    <row r="20" spans="1:147" ht="18" customHeight="1" x14ac:dyDescent="0.2">
      <c r="A20" s="24" t="str">
        <f>+Juillet!BJ22</f>
        <v>Fiche infoA5</v>
      </c>
      <c r="B20" s="107">
        <f t="shared" ref="B20:B48" si="30">C20</f>
        <v>46206</v>
      </c>
      <c r="C20" s="170">
        <f>+$D$13+2</f>
        <v>46206</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Juillet!BC22</f>
        <v>0</v>
      </c>
      <c r="J20" s="34">
        <f>Juillet!BE22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infoA5</v>
      </c>
      <c r="BB20" s="107">
        <f t="shared" ref="BB20:BB48" si="31">BC20</f>
        <v>46206</v>
      </c>
      <c r="BC20" s="170">
        <f>+$D$13+2</f>
        <v>46206</v>
      </c>
      <c r="BD20" s="171" t="str">
        <f t="shared" ref="BD20:BD48" si="32">+D20</f>
        <v/>
      </c>
      <c r="BE20" s="171" t="str">
        <f>+IF(OR(BF20=S.CAL!$BJ$3,BF20=S.CAL!$BJ$4),BD20,"")</f>
        <v/>
      </c>
      <c r="BF20" s="333">
        <f>IF($DY$5=S.CAL!$CU$2,Juillet!AR22,IF($DY$5=S.CAL!$CU$3,VLOOKUP(BC20,planning_fp,7,FALSE),""))</f>
        <v>0</v>
      </c>
      <c r="BG20" s="345" t="str">
        <f>Juillet!BL22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46206</v>
      </c>
      <c r="CF20" s="170">
        <f>+$D$13+2</f>
        <v>46206</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IF(+Juillet!AG22="",0,Juillet!AG22)</f>
        <v>0</v>
      </c>
      <c r="DZ20" s="16">
        <f>+IF(Juillet!AJ22="",0,Juillet!AJ22)</f>
        <v>0</v>
      </c>
      <c r="EA20" s="16">
        <f>+IF(Juillet!AM22="",0,Juillet!AM22)</f>
        <v>0</v>
      </c>
      <c r="EB20" s="16">
        <f t="shared" si="25"/>
        <v>0</v>
      </c>
      <c r="ED20" s="16">
        <f t="shared" si="26"/>
        <v>0</v>
      </c>
      <c r="EE20" s="16">
        <f t="shared" si="17"/>
        <v>0</v>
      </c>
      <c r="EF20" s="30" t="str">
        <f t="shared" si="18"/>
        <v/>
      </c>
      <c r="EG20" s="30" t="str">
        <f t="shared" si="27"/>
        <v/>
      </c>
      <c r="EH20" s="16">
        <f t="shared" si="28"/>
        <v>0</v>
      </c>
      <c r="EI20" s="30"/>
      <c r="EJ20" s="30">
        <f t="shared" si="19"/>
        <v>46206</v>
      </c>
      <c r="EM20" s="16" t="str">
        <f t="shared" si="29"/>
        <v>Fiche infoA546206</v>
      </c>
      <c r="EN20" s="16">
        <f t="shared" si="20"/>
        <v>0</v>
      </c>
      <c r="EQ20" s="16" t="str">
        <f>Juillet!FS22</f>
        <v/>
      </c>
    </row>
    <row r="21" spans="1:147" ht="18" customHeight="1" x14ac:dyDescent="0.2">
      <c r="A21" s="24" t="str">
        <f>+Juillet!BJ23</f>
        <v>Fiche infoA6</v>
      </c>
      <c r="B21" s="107">
        <f t="shared" si="30"/>
        <v>46207</v>
      </c>
      <c r="C21" s="170">
        <f>+$D$13+3</f>
        <v>46207</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Juillet!BC23</f>
        <v>0</v>
      </c>
      <c r="J21" s="34">
        <f>Juillet!BE23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infoA6</v>
      </c>
      <c r="BB21" s="107">
        <f t="shared" si="31"/>
        <v>46207</v>
      </c>
      <c r="BC21" s="170">
        <f>+$D$13+3</f>
        <v>46207</v>
      </c>
      <c r="BD21" s="171" t="str">
        <f t="shared" si="32"/>
        <v/>
      </c>
      <c r="BE21" s="171" t="str">
        <f>+IF(OR(BF21=S.CAL!$BJ$3,BF21=S.CAL!$BJ$4),BD21,"")</f>
        <v/>
      </c>
      <c r="BF21" s="333">
        <f>IF($DY$5=S.CAL!$CU$2,Juillet!AR23,IF($DY$5=S.CAL!$CU$3,VLOOKUP(BC21,planning_fp,7,FALSE),""))</f>
        <v>0</v>
      </c>
      <c r="BG21" s="345" t="str">
        <f>Juillet!BL23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46207</v>
      </c>
      <c r="CF21" s="170">
        <f>+$D$13+3</f>
        <v>46207</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IF(+Juillet!AG23="",0,Juillet!AG23)</f>
        <v>0</v>
      </c>
      <c r="DZ21" s="16">
        <f>+IF(Juillet!AJ23="",0,Juillet!AJ23)</f>
        <v>0</v>
      </c>
      <c r="EA21" s="16">
        <f>+IF(Juillet!AM23="",0,Juillet!AM23)</f>
        <v>0</v>
      </c>
      <c r="EB21" s="16">
        <f t="shared" si="25"/>
        <v>0</v>
      </c>
      <c r="ED21" s="16">
        <f t="shared" si="26"/>
        <v>0</v>
      </c>
      <c r="EE21" s="16">
        <f t="shared" si="17"/>
        <v>0</v>
      </c>
      <c r="EF21" s="30" t="str">
        <f t="shared" si="18"/>
        <v/>
      </c>
      <c r="EG21" s="30" t="str">
        <f t="shared" si="27"/>
        <v/>
      </c>
      <c r="EH21" s="16">
        <f t="shared" si="28"/>
        <v>0</v>
      </c>
      <c r="EI21" s="30"/>
      <c r="EJ21" s="30">
        <f t="shared" si="19"/>
        <v>46207</v>
      </c>
      <c r="EM21" s="16" t="str">
        <f t="shared" si="29"/>
        <v>Fiche infoA646207</v>
      </c>
      <c r="EN21" s="16">
        <f t="shared" si="20"/>
        <v>0</v>
      </c>
      <c r="EQ21" s="16" t="str">
        <f>Juillet!FS23</f>
        <v/>
      </c>
    </row>
    <row r="22" spans="1:147" ht="18" customHeight="1" x14ac:dyDescent="0.25">
      <c r="A22" s="24" t="str">
        <f>+Juillet!BJ24</f>
        <v>Fiche infoA7</v>
      </c>
      <c r="B22" s="107">
        <f t="shared" si="30"/>
        <v>46208</v>
      </c>
      <c r="C22" s="170">
        <f>+$D$13+4</f>
        <v>46208</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Juillet!BC24</f>
        <v>0</v>
      </c>
      <c r="J22" s="34">
        <f>Juillet!BE24</f>
        <v>0</v>
      </c>
      <c r="K22" s="34">
        <f t="shared" si="15"/>
        <v>0</v>
      </c>
      <c r="L22" s="34" t="str">
        <f t="shared" si="21"/>
        <v/>
      </c>
      <c r="O22" s="19"/>
      <c r="AK22" s="1189" t="s">
        <v>37</v>
      </c>
      <c r="AL22" s="1318">
        <f>+Juillet!AL14</f>
        <v>0</v>
      </c>
      <c r="BA22" s="331" t="str">
        <f t="shared" si="16"/>
        <v>Fiche infoA7</v>
      </c>
      <c r="BB22" s="107">
        <f t="shared" si="31"/>
        <v>46208</v>
      </c>
      <c r="BC22" s="170">
        <f>+$D$13+4</f>
        <v>46208</v>
      </c>
      <c r="BD22" s="171" t="str">
        <f t="shared" si="32"/>
        <v/>
      </c>
      <c r="BE22" s="171" t="str">
        <f>+IF(OR(BF22=S.CAL!$BJ$3,BF22=S.CAL!$BJ$4),BD22,"")</f>
        <v/>
      </c>
      <c r="BF22" s="333">
        <f>IF($DY$5=S.CAL!$CU$2,Juillet!AR24,IF($DY$5=S.CAL!$CU$3,VLOOKUP(BC22,planning_fp,7,FALSE),""))</f>
        <v>0</v>
      </c>
      <c r="BG22" s="345" t="str">
        <f>Juillet!BL24</f>
        <v>A</v>
      </c>
      <c r="BH22" s="148"/>
      <c r="BL22" s="144"/>
      <c r="BM22" s="195"/>
      <c r="CD22" s="328"/>
      <c r="CE22" s="107">
        <f t="shared" si="33"/>
        <v>46208</v>
      </c>
      <c r="CF22" s="170">
        <f>+$D$13+4</f>
        <v>46208</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IF(+Juillet!AG24="",0,Juillet!AG24)</f>
        <v>0</v>
      </c>
      <c r="DZ22" s="16">
        <f>+IF(Juillet!AJ24="",0,Juillet!AJ24)</f>
        <v>0</v>
      </c>
      <c r="EA22" s="16">
        <f>+IF(Juillet!AM24="",0,Juillet!AM24)</f>
        <v>0</v>
      </c>
      <c r="EB22" s="16">
        <f t="shared" si="25"/>
        <v>0</v>
      </c>
      <c r="ED22" s="16">
        <f t="shared" si="26"/>
        <v>0</v>
      </c>
      <c r="EE22" s="16">
        <f t="shared" si="17"/>
        <v>0</v>
      </c>
      <c r="EF22" s="30" t="str">
        <f t="shared" si="18"/>
        <v/>
      </c>
      <c r="EG22" s="30" t="str">
        <f t="shared" si="27"/>
        <v/>
      </c>
      <c r="EH22" s="16">
        <f t="shared" si="28"/>
        <v>0</v>
      </c>
      <c r="EI22" s="30"/>
      <c r="EJ22" s="30">
        <f t="shared" si="19"/>
        <v>46208</v>
      </c>
      <c r="EM22" s="16" t="str">
        <f t="shared" si="29"/>
        <v>Fiche infoA746208</v>
      </c>
      <c r="EN22" s="16">
        <f t="shared" si="20"/>
        <v>0</v>
      </c>
      <c r="EQ22" s="16" t="str">
        <f>Juillet!FS24</f>
        <v/>
      </c>
    </row>
    <row r="23" spans="1:147" ht="18" customHeight="1" x14ac:dyDescent="0.2">
      <c r="A23" s="24" t="str">
        <f>+Juillet!BJ25</f>
        <v>Fiche infoA1</v>
      </c>
      <c r="B23" s="107">
        <f t="shared" si="30"/>
        <v>46209</v>
      </c>
      <c r="C23" s="170">
        <f>+$D$13+5</f>
        <v>46209</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Juillet!BC25</f>
        <v>0</v>
      </c>
      <c r="J23" s="34">
        <f>Juillet!BE25</f>
        <v>0</v>
      </c>
      <c r="K23" s="34">
        <f t="shared" si="15"/>
        <v>0</v>
      </c>
      <c r="L23" s="34" t="str">
        <f t="shared" si="21"/>
        <v/>
      </c>
      <c r="O23" s="39" t="str">
        <f>+O21</f>
        <v xml:space="preserve">Retenue sur salaire = </v>
      </c>
      <c r="P23" s="671">
        <f>+P30+P33</f>
        <v>0</v>
      </c>
      <c r="T23" s="563" t="s">
        <v>1107</v>
      </c>
      <c r="Z23" s="563" t="s">
        <v>1107</v>
      </c>
      <c r="BA23" s="331" t="str">
        <f t="shared" si="16"/>
        <v>Fiche infoA1</v>
      </c>
      <c r="BB23" s="107">
        <f t="shared" si="31"/>
        <v>46209</v>
      </c>
      <c r="BC23" s="170">
        <f>+$D$13+5</f>
        <v>46209</v>
      </c>
      <c r="BD23" s="171" t="str">
        <f t="shared" si="32"/>
        <v/>
      </c>
      <c r="BE23" s="171" t="str">
        <f>+IF(OR(BF23=S.CAL!$BJ$3,BF23=S.CAL!$BJ$4),BD23,"")</f>
        <v/>
      </c>
      <c r="BF23" s="333">
        <f>IF($DY$5=S.CAL!$CU$2,Juillet!AR25,IF($DY$5=S.CAL!$CU$3,VLOOKUP(BC23,planning_fp,7,FALSE),""))</f>
        <v>0</v>
      </c>
      <c r="BG23" s="345" t="str">
        <f>Juillet!BL25</f>
        <v>A</v>
      </c>
      <c r="BH23" s="29"/>
      <c r="BI23" s="336"/>
      <c r="BL23" s="147"/>
      <c r="CD23" s="328"/>
      <c r="CE23" s="107">
        <f t="shared" si="33"/>
        <v>46209</v>
      </c>
      <c r="CF23" s="170">
        <f>+$D$13+5</f>
        <v>46209</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IF(+Juillet!AG25="",0,Juillet!AG25)</f>
        <v>0</v>
      </c>
      <c r="DZ23" s="16">
        <f>+IF(Juillet!AJ25="",0,Juillet!AJ25)</f>
        <v>0</v>
      </c>
      <c r="EA23" s="16">
        <f>+IF(Juillet!AM25="",0,Juillet!AM25)</f>
        <v>0</v>
      </c>
      <c r="EB23" s="16">
        <f t="shared" si="25"/>
        <v>0</v>
      </c>
      <c r="ED23" s="16">
        <f t="shared" si="26"/>
        <v>0</v>
      </c>
      <c r="EE23" s="16">
        <f t="shared" si="17"/>
        <v>0</v>
      </c>
      <c r="EF23" s="30" t="str">
        <f t="shared" si="18"/>
        <v/>
      </c>
      <c r="EG23" s="30" t="str">
        <f t="shared" si="27"/>
        <v/>
      </c>
      <c r="EH23" s="16">
        <f t="shared" si="28"/>
        <v>0</v>
      </c>
      <c r="EI23" s="30"/>
      <c r="EJ23" s="30">
        <f t="shared" si="19"/>
        <v>46209</v>
      </c>
      <c r="EM23" s="16" t="str">
        <f t="shared" si="29"/>
        <v>Fiche infoA146209</v>
      </c>
      <c r="EN23" s="16">
        <f t="shared" si="20"/>
        <v>0</v>
      </c>
      <c r="EQ23" s="16" t="str">
        <f>Juillet!FS25</f>
        <v/>
      </c>
    </row>
    <row r="24" spans="1:147" ht="18" customHeight="1" x14ac:dyDescent="0.2">
      <c r="A24" s="24" t="str">
        <f>+Juillet!BJ26</f>
        <v>Fiche infoA2</v>
      </c>
      <c r="B24" s="107">
        <f t="shared" si="30"/>
        <v>46210</v>
      </c>
      <c r="C24" s="170">
        <f>+$D$13+6</f>
        <v>46210</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Juillet!BC26</f>
        <v>0</v>
      </c>
      <c r="J24" s="34">
        <f>Juillet!BE26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infoA2</v>
      </c>
      <c r="BB24" s="107">
        <f t="shared" si="31"/>
        <v>46210</v>
      </c>
      <c r="BC24" s="170">
        <f>+$D$13+6</f>
        <v>46210</v>
      </c>
      <c r="BD24" s="171" t="str">
        <f t="shared" si="32"/>
        <v/>
      </c>
      <c r="BE24" s="171" t="str">
        <f>+IF(OR(BF24=S.CAL!$BJ$3,BF24=S.CAL!$BJ$4),BD24,"")</f>
        <v/>
      </c>
      <c r="BF24" s="333">
        <f>IF($DY$5=S.CAL!$CU$2,Juillet!AR26,IF($DY$5=S.CAL!$CU$3,VLOOKUP(BC24,planning_fp,7,FALSE),""))</f>
        <v>0</v>
      </c>
      <c r="BG24" s="345" t="str">
        <f>Juillet!BL26</f>
        <v>A</v>
      </c>
      <c r="BL24" s="35"/>
      <c r="BM24" s="195"/>
      <c r="BO24" s="29"/>
      <c r="BP24" s="182"/>
      <c r="BR24" s="16" t="s">
        <v>746</v>
      </c>
      <c r="BV24" s="355"/>
      <c r="BW24" s="355"/>
      <c r="BX24" s="355"/>
      <c r="BY24" s="355" t="s">
        <v>696</v>
      </c>
      <c r="BZ24" s="355"/>
      <c r="CA24" s="355"/>
      <c r="CB24" s="355"/>
      <c r="CD24" s="328"/>
      <c r="CE24" s="107">
        <f t="shared" si="33"/>
        <v>46210</v>
      </c>
      <c r="CF24" s="170">
        <f>+$D$13+6</f>
        <v>46210</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IF(+Juillet!AG26="",0,Juillet!AG26)</f>
        <v>0</v>
      </c>
      <c r="DZ24" s="16">
        <f>+IF(Juillet!AJ26="",0,Juillet!AJ26)</f>
        <v>0</v>
      </c>
      <c r="EA24" s="16">
        <f>+IF(Juillet!AM26="",0,Juillet!AM26)</f>
        <v>0</v>
      </c>
      <c r="EB24" s="16">
        <f t="shared" si="25"/>
        <v>0</v>
      </c>
      <c r="ED24" s="16">
        <f t="shared" si="26"/>
        <v>0</v>
      </c>
      <c r="EE24" s="16">
        <f t="shared" si="17"/>
        <v>0</v>
      </c>
      <c r="EF24" s="30" t="str">
        <f t="shared" si="18"/>
        <v/>
      </c>
      <c r="EG24" s="30" t="str">
        <f t="shared" si="27"/>
        <v/>
      </c>
      <c r="EH24" s="16">
        <f t="shared" si="28"/>
        <v>0</v>
      </c>
      <c r="EI24" s="30"/>
      <c r="EJ24" s="30">
        <f t="shared" si="19"/>
        <v>46210</v>
      </c>
      <c r="EM24" s="16" t="str">
        <f t="shared" si="29"/>
        <v>Fiche infoA246210</v>
      </c>
      <c r="EN24" s="16">
        <f t="shared" si="20"/>
        <v>0</v>
      </c>
      <c r="EQ24" s="16" t="str">
        <f>Juillet!FS26</f>
        <v/>
      </c>
    </row>
    <row r="25" spans="1:147" ht="18" customHeight="1" x14ac:dyDescent="0.2">
      <c r="A25" s="24" t="str">
        <f>+Juillet!BJ27</f>
        <v>Fiche infoA3</v>
      </c>
      <c r="B25" s="107">
        <f t="shared" si="30"/>
        <v>46211</v>
      </c>
      <c r="C25" s="170">
        <f>+$D$13+7</f>
        <v>46211</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Juillet!BC27</f>
        <v>0</v>
      </c>
      <c r="J25" s="34">
        <f>Juillet!BE27</f>
        <v>0</v>
      </c>
      <c r="K25" s="34">
        <f t="shared" si="15"/>
        <v>0</v>
      </c>
      <c r="L25" s="34" t="str">
        <f t="shared" si="21"/>
        <v/>
      </c>
      <c r="AK25" s="1189" t="s">
        <v>320</v>
      </c>
      <c r="AL25" s="1313">
        <f>+IF(AL22,AL24/AL22,0)</f>
        <v>0</v>
      </c>
      <c r="BA25" s="331" t="str">
        <f t="shared" si="16"/>
        <v>Fiche infoA3</v>
      </c>
      <c r="BB25" s="107">
        <f t="shared" si="31"/>
        <v>46211</v>
      </c>
      <c r="BC25" s="170">
        <f>+$D$13+7</f>
        <v>46211</v>
      </c>
      <c r="BD25" s="171" t="str">
        <f t="shared" si="32"/>
        <v/>
      </c>
      <c r="BE25" s="171" t="str">
        <f>+IF(OR(BF25=S.CAL!$BJ$3,BF25=S.CAL!$BJ$4),BD25,"")</f>
        <v/>
      </c>
      <c r="BF25" s="333">
        <f>IF($DY$5=S.CAL!$CU$2,Juillet!AR27,IF($DY$5=S.CAL!$CU$3,VLOOKUP(BC25,planning_fp,7,FALSE),""))</f>
        <v>0</v>
      </c>
      <c r="BG25" s="345" t="str">
        <f>Juillet!BL27</f>
        <v>A</v>
      </c>
      <c r="BH25" s="148"/>
      <c r="BL25" s="35"/>
      <c r="BO25" s="29"/>
      <c r="BP25" s="182"/>
      <c r="BV25" s="355"/>
      <c r="BW25" s="355"/>
      <c r="BX25" s="355"/>
      <c r="BY25" s="355"/>
      <c r="BZ25" s="355"/>
      <c r="CA25" s="355"/>
      <c r="CB25" s="355"/>
      <c r="CD25" s="328"/>
      <c r="CE25" s="107">
        <f t="shared" si="33"/>
        <v>46211</v>
      </c>
      <c r="CF25" s="170">
        <f>+$D$13+7</f>
        <v>46211</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IF(+Juillet!AG27="",0,Juillet!AG27)</f>
        <v>0</v>
      </c>
      <c r="DZ25" s="16">
        <f>+IF(Juillet!AJ27="",0,Juillet!AJ27)</f>
        <v>0</v>
      </c>
      <c r="EA25" s="16">
        <f>+IF(Juillet!AM27="",0,Juillet!AM27)</f>
        <v>0</v>
      </c>
      <c r="EB25" s="16">
        <f t="shared" si="25"/>
        <v>0</v>
      </c>
      <c r="ED25" s="16">
        <f t="shared" si="26"/>
        <v>0</v>
      </c>
      <c r="EE25" s="16">
        <f t="shared" si="17"/>
        <v>0</v>
      </c>
      <c r="EF25" s="30" t="str">
        <f t="shared" si="18"/>
        <v/>
      </c>
      <c r="EG25" s="30" t="str">
        <f t="shared" si="27"/>
        <v/>
      </c>
      <c r="EH25" s="16">
        <f t="shared" si="28"/>
        <v>0</v>
      </c>
      <c r="EI25" s="30"/>
      <c r="EJ25" s="30">
        <f t="shared" si="19"/>
        <v>46211</v>
      </c>
      <c r="EM25" s="16" t="str">
        <f t="shared" si="29"/>
        <v>Fiche infoA346211</v>
      </c>
      <c r="EN25" s="16">
        <f t="shared" si="20"/>
        <v>0</v>
      </c>
      <c r="EQ25" s="16" t="str">
        <f>Juillet!FS27</f>
        <v/>
      </c>
    </row>
    <row r="26" spans="1:147" ht="18" customHeight="1" x14ac:dyDescent="0.2">
      <c r="A26" s="24" t="str">
        <f>+Juillet!BJ28</f>
        <v>Fiche infoA4</v>
      </c>
      <c r="B26" s="107">
        <f t="shared" si="30"/>
        <v>46212</v>
      </c>
      <c r="C26" s="170">
        <f>+$D$13+8</f>
        <v>46212</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Juillet!BC28</f>
        <v>0</v>
      </c>
      <c r="J26" s="34">
        <f>Juillet!BE28</f>
        <v>0</v>
      </c>
      <c r="K26" s="34">
        <f t="shared" si="15"/>
        <v>0</v>
      </c>
      <c r="L26" s="34" t="str">
        <f t="shared" si="21"/>
        <v/>
      </c>
      <c r="O26" s="16" t="s">
        <v>1197</v>
      </c>
      <c r="AK26" s="1189" t="s">
        <v>321</v>
      </c>
      <c r="AL26" s="1313">
        <f>IF(AS21,SUM(AT13:AT20)/AS21,0)</f>
        <v>0</v>
      </c>
      <c r="BA26" s="331" t="str">
        <f t="shared" si="16"/>
        <v>Fiche infoA4</v>
      </c>
      <c r="BB26" s="107">
        <f t="shared" si="31"/>
        <v>46212</v>
      </c>
      <c r="BC26" s="170">
        <f>+$D$13+8</f>
        <v>46212</v>
      </c>
      <c r="BD26" s="171" t="str">
        <f t="shared" si="32"/>
        <v/>
      </c>
      <c r="BE26" s="171" t="str">
        <f>+IF(OR(BF26=S.CAL!$BJ$3,BF26=S.CAL!$BJ$4),BD26,"")</f>
        <v/>
      </c>
      <c r="BF26" s="333">
        <f>IF($DY$5=S.CAL!$CU$2,Juillet!AR28,IF($DY$5=S.CAL!$CU$3,VLOOKUP(BC26,planning_fp,7,FALSE),""))</f>
        <v>0</v>
      </c>
      <c r="BG26" s="345" t="str">
        <f>Juillet!BL28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46212</v>
      </c>
      <c r="CF26" s="170">
        <f>+$D$13+8</f>
        <v>46212</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IF(+Juillet!AG28="",0,Juillet!AG28)</f>
        <v>0</v>
      </c>
      <c r="DZ26" s="16">
        <f>+IF(Juillet!AJ28="",0,Juillet!AJ28)</f>
        <v>0</v>
      </c>
      <c r="EA26" s="16">
        <f>+IF(Juillet!AM28="",0,Juillet!AM28)</f>
        <v>0</v>
      </c>
      <c r="EB26" s="16">
        <f t="shared" si="25"/>
        <v>0</v>
      </c>
      <c r="ED26" s="16">
        <f t="shared" si="26"/>
        <v>0</v>
      </c>
      <c r="EE26" s="16">
        <f t="shared" si="17"/>
        <v>0</v>
      </c>
      <c r="EF26" s="30" t="str">
        <f t="shared" si="18"/>
        <v/>
      </c>
      <c r="EG26" s="30" t="str">
        <f t="shared" si="27"/>
        <v/>
      </c>
      <c r="EH26" s="16">
        <f t="shared" si="28"/>
        <v>0</v>
      </c>
      <c r="EI26" s="30"/>
      <c r="EJ26" s="30">
        <f t="shared" si="19"/>
        <v>46212</v>
      </c>
      <c r="EM26" s="16" t="str">
        <f t="shared" si="29"/>
        <v>Fiche infoA446212</v>
      </c>
      <c r="EN26" s="16">
        <f t="shared" si="20"/>
        <v>0</v>
      </c>
      <c r="EQ26" s="16" t="str">
        <f>Juillet!FS28</f>
        <v/>
      </c>
    </row>
    <row r="27" spans="1:147" ht="18" customHeight="1" x14ac:dyDescent="0.2">
      <c r="A27" s="24" t="str">
        <f>+Juillet!BJ29</f>
        <v>Fiche infoA5</v>
      </c>
      <c r="B27" s="107">
        <f t="shared" si="30"/>
        <v>46213</v>
      </c>
      <c r="C27" s="170">
        <f>+$D$13+9</f>
        <v>46213</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Juillet!BC29</f>
        <v>0</v>
      </c>
      <c r="J27" s="34">
        <f>Juillet!BE29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infoA5</v>
      </c>
      <c r="BB27" s="107">
        <f t="shared" si="31"/>
        <v>46213</v>
      </c>
      <c r="BC27" s="170">
        <f>+$D$13+9</f>
        <v>46213</v>
      </c>
      <c r="BD27" s="171" t="str">
        <f t="shared" si="32"/>
        <v/>
      </c>
      <c r="BE27" s="171" t="str">
        <f>+IF(OR(BF27=S.CAL!$BJ$3,BF27=S.CAL!$BJ$4),BD27,"")</f>
        <v/>
      </c>
      <c r="BF27" s="333">
        <f>IF($DY$5=S.CAL!$CU$2,Juillet!AR29,IF($DY$5=S.CAL!$CU$3,VLOOKUP(BC27,planning_fp,7,FALSE),""))</f>
        <v>0</v>
      </c>
      <c r="BG27" s="345" t="str">
        <f>Juillet!BL29</f>
        <v>A</v>
      </c>
      <c r="BI27" s="16" t="s">
        <v>746</v>
      </c>
      <c r="BL27" s="35"/>
      <c r="BP27" s="2465"/>
      <c r="BQ27" s="2465"/>
      <c r="BR27" s="2465"/>
      <c r="BS27" s="2465"/>
      <c r="BT27" s="2464"/>
      <c r="BV27" s="355"/>
      <c r="BW27" s="355"/>
      <c r="BX27" s="2543"/>
      <c r="BY27" s="2543"/>
      <c r="BZ27" s="2543"/>
      <c r="CA27" s="2543"/>
      <c r="CB27" s="2542"/>
      <c r="CD27" s="328"/>
      <c r="CE27" s="107">
        <f t="shared" si="33"/>
        <v>46213</v>
      </c>
      <c r="CF27" s="170">
        <f>+$D$13+9</f>
        <v>46213</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IF(+Juillet!AG29="",0,Juillet!AG29)</f>
        <v>0</v>
      </c>
      <c r="DZ27" s="16">
        <f>+IF(Juillet!AJ29="",0,Juillet!AJ29)</f>
        <v>0</v>
      </c>
      <c r="EA27" s="16">
        <f>+IF(Juillet!AM29="",0,Juillet!AM29)</f>
        <v>0</v>
      </c>
      <c r="EB27" s="16">
        <f t="shared" si="25"/>
        <v>0</v>
      </c>
      <c r="ED27" s="16">
        <f t="shared" si="26"/>
        <v>0</v>
      </c>
      <c r="EE27" s="16">
        <f t="shared" si="17"/>
        <v>0</v>
      </c>
      <c r="EF27" s="30" t="str">
        <f t="shared" si="18"/>
        <v/>
      </c>
      <c r="EG27" s="30" t="str">
        <f t="shared" si="27"/>
        <v/>
      </c>
      <c r="EH27" s="16">
        <f t="shared" si="28"/>
        <v>0</v>
      </c>
      <c r="EI27" s="30"/>
      <c r="EJ27" s="30">
        <f t="shared" si="19"/>
        <v>46213</v>
      </c>
      <c r="EM27" s="16" t="str">
        <f t="shared" si="29"/>
        <v>Fiche infoA546213</v>
      </c>
      <c r="EN27" s="16">
        <f t="shared" si="20"/>
        <v>0</v>
      </c>
      <c r="EQ27" s="16" t="str">
        <f>Juillet!FS29</f>
        <v/>
      </c>
    </row>
    <row r="28" spans="1:147" ht="18" customHeight="1" x14ac:dyDescent="0.2">
      <c r="A28" s="24" t="str">
        <f>+Juillet!BJ30</f>
        <v>Fiche infoA6</v>
      </c>
      <c r="B28" s="107">
        <f t="shared" si="30"/>
        <v>46214</v>
      </c>
      <c r="C28" s="170">
        <f>+$D$13+10</f>
        <v>46214</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Juillet!BC30</f>
        <v>0</v>
      </c>
      <c r="J28" s="34">
        <f>Juillet!BE30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infoA6</v>
      </c>
      <c r="BB28" s="107">
        <f t="shared" si="31"/>
        <v>46214</v>
      </c>
      <c r="BC28" s="170">
        <f>+$D$13+10</f>
        <v>46214</v>
      </c>
      <c r="BD28" s="171" t="str">
        <f t="shared" si="32"/>
        <v/>
      </c>
      <c r="BE28" s="171" t="str">
        <f>+IF(OR(BF28=S.CAL!$BJ$3,BF28=S.CAL!$BJ$4),BD28,"")</f>
        <v/>
      </c>
      <c r="BF28" s="333">
        <f>IF($DY$5=S.CAL!$CU$2,Juillet!AR30,IF($DY$5=S.CAL!$CU$3,VLOOKUP(BC28,planning_fp,7,FALSE),""))</f>
        <v>0</v>
      </c>
      <c r="BG28" s="345" t="str">
        <f>Juillet!BL30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46214</v>
      </c>
      <c r="CF28" s="170">
        <f>+$D$13+10</f>
        <v>46214</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IF(+Juillet!AG30="",0,Juillet!AG30)</f>
        <v>0</v>
      </c>
      <c r="DZ28" s="16">
        <f>+IF(Juillet!AJ30="",0,Juillet!AJ30)</f>
        <v>0</v>
      </c>
      <c r="EA28" s="16">
        <f>+IF(Juillet!AM30="",0,Juillet!AM30)</f>
        <v>0</v>
      </c>
      <c r="EB28" s="16">
        <f t="shared" si="25"/>
        <v>0</v>
      </c>
      <c r="ED28" s="16">
        <f t="shared" si="26"/>
        <v>0</v>
      </c>
      <c r="EE28" s="16">
        <f t="shared" si="17"/>
        <v>0</v>
      </c>
      <c r="EF28" s="30" t="str">
        <f t="shared" si="18"/>
        <v/>
      </c>
      <c r="EG28" s="30" t="str">
        <f t="shared" si="27"/>
        <v/>
      </c>
      <c r="EH28" s="16">
        <f t="shared" si="28"/>
        <v>0</v>
      </c>
      <c r="EI28" s="30"/>
      <c r="EJ28" s="30">
        <f t="shared" si="19"/>
        <v>46214</v>
      </c>
      <c r="EM28" s="16" t="str">
        <f t="shared" si="29"/>
        <v>Fiche infoA646214</v>
      </c>
      <c r="EN28" s="16">
        <f t="shared" si="20"/>
        <v>0</v>
      </c>
      <c r="EQ28" s="16" t="str">
        <f>Juillet!FS30</f>
        <v/>
      </c>
    </row>
    <row r="29" spans="1:147" ht="18" customHeight="1" x14ac:dyDescent="0.2">
      <c r="A29" s="24" t="str">
        <f>+Juillet!BJ31</f>
        <v>Fiche infoA7</v>
      </c>
      <c r="B29" s="107">
        <f t="shared" si="30"/>
        <v>46215</v>
      </c>
      <c r="C29" s="170">
        <f>+$D$13+11</f>
        <v>46215</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Juillet!BC31</f>
        <v>0</v>
      </c>
      <c r="J29" s="34">
        <f>Juillet!BE31</f>
        <v>0</v>
      </c>
      <c r="K29" s="34">
        <f t="shared" si="15"/>
        <v>0</v>
      </c>
      <c r="L29" s="34" t="str">
        <f t="shared" si="21"/>
        <v/>
      </c>
      <c r="O29" s="859" t="s">
        <v>1444</v>
      </c>
      <c r="P29" s="859"/>
      <c r="Q29" s="859"/>
      <c r="R29" s="859"/>
      <c r="BA29" s="331" t="str">
        <f t="shared" si="16"/>
        <v>Fiche infoA7</v>
      </c>
      <c r="BB29" s="107">
        <f t="shared" si="31"/>
        <v>46215</v>
      </c>
      <c r="BC29" s="170">
        <f>+$D$13+11</f>
        <v>46215</v>
      </c>
      <c r="BD29" s="171" t="str">
        <f t="shared" si="32"/>
        <v/>
      </c>
      <c r="BE29" s="171" t="str">
        <f>+IF(OR(BF29=S.CAL!$BJ$3,BF29=S.CAL!$BJ$4),BD29,"")</f>
        <v/>
      </c>
      <c r="BF29" s="333">
        <f>IF($DY$5=S.CAL!$CU$2,Juillet!AR31,IF($DY$5=S.CAL!$CU$3,VLOOKUP(BC29,planning_fp,7,FALSE),""))</f>
        <v>0</v>
      </c>
      <c r="BG29" s="345" t="str">
        <f>Juillet!BL31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46215</v>
      </c>
      <c r="CF29" s="170">
        <f>+$D$13+11</f>
        <v>46215</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IF(+Juillet!AG31="",0,Juillet!AG31)</f>
        <v>0</v>
      </c>
      <c r="DZ29" s="16">
        <f>+IF(Juillet!AJ31="",0,Juillet!AJ31)</f>
        <v>0</v>
      </c>
      <c r="EA29" s="16">
        <f>+IF(Juillet!AM31="",0,Juillet!AM31)</f>
        <v>0</v>
      </c>
      <c r="EB29" s="16">
        <f t="shared" si="25"/>
        <v>0</v>
      </c>
      <c r="ED29" s="16">
        <f t="shared" si="26"/>
        <v>0</v>
      </c>
      <c r="EE29" s="16">
        <f t="shared" si="17"/>
        <v>0</v>
      </c>
      <c r="EF29" s="30" t="str">
        <f t="shared" si="18"/>
        <v/>
      </c>
      <c r="EG29" s="30" t="str">
        <f t="shared" si="27"/>
        <v/>
      </c>
      <c r="EH29" s="16">
        <f t="shared" si="28"/>
        <v>0</v>
      </c>
      <c r="EI29" s="30"/>
      <c r="EJ29" s="30">
        <f t="shared" si="19"/>
        <v>46215</v>
      </c>
      <c r="EM29" s="16" t="str">
        <f t="shared" si="29"/>
        <v>Fiche infoA746215</v>
      </c>
      <c r="EN29" s="16">
        <f t="shared" si="20"/>
        <v>0</v>
      </c>
      <c r="EQ29" s="16" t="str">
        <f>Juillet!FS31</f>
        <v/>
      </c>
    </row>
    <row r="30" spans="1:147" ht="18" customHeight="1" x14ac:dyDescent="0.25">
      <c r="A30" s="24" t="str">
        <f>+Juillet!BJ32</f>
        <v>Fiche infoA1</v>
      </c>
      <c r="B30" s="107">
        <f t="shared" si="30"/>
        <v>46216</v>
      </c>
      <c r="C30" s="170">
        <f>+$D$13+12</f>
        <v>46216</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Juillet!BC32</f>
        <v>0</v>
      </c>
      <c r="J30" s="34">
        <f>Juillet!BE32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46204</v>
      </c>
      <c r="AP30" s="2555"/>
      <c r="AQ30" s="2555"/>
      <c r="BA30" s="331" t="str">
        <f t="shared" si="16"/>
        <v>Fiche infoA1</v>
      </c>
      <c r="BB30" s="107">
        <f t="shared" si="31"/>
        <v>46216</v>
      </c>
      <c r="BC30" s="170">
        <f>+$D$13+12</f>
        <v>46216</v>
      </c>
      <c r="BD30" s="171" t="str">
        <f t="shared" si="32"/>
        <v/>
      </c>
      <c r="BE30" s="171" t="str">
        <f>+IF(OR(BF30=S.CAL!$BJ$3,BF30=S.CAL!$BJ$4),BD30,"")</f>
        <v/>
      </c>
      <c r="BF30" s="333">
        <f>IF($DY$5=S.CAL!$CU$2,Juillet!AR32,IF($DY$5=S.CAL!$CU$3,VLOOKUP(BC30,planning_fp,7,FALSE),""))</f>
        <v>0</v>
      </c>
      <c r="BG30" s="345" t="str">
        <f>Juillet!BL32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46216</v>
      </c>
      <c r="CF30" s="170">
        <f>+$D$13+12</f>
        <v>46216</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IF(+Juillet!AG32="",0,Juillet!AG32)</f>
        <v>0</v>
      </c>
      <c r="DZ30" s="16">
        <f>+IF(Juillet!AJ32="",0,Juillet!AJ32)</f>
        <v>0</v>
      </c>
      <c r="EA30" s="16">
        <f>+IF(Juillet!AM32="",0,Juillet!AM32)</f>
        <v>0</v>
      </c>
      <c r="EB30" s="16">
        <f t="shared" si="25"/>
        <v>0</v>
      </c>
      <c r="ED30" s="16">
        <f t="shared" si="26"/>
        <v>0</v>
      </c>
      <c r="EE30" s="16">
        <f t="shared" si="17"/>
        <v>0</v>
      </c>
      <c r="EF30" s="30" t="str">
        <f t="shared" si="18"/>
        <v/>
      </c>
      <c r="EG30" s="30" t="str">
        <f t="shared" si="27"/>
        <v/>
      </c>
      <c r="EH30" s="16">
        <f t="shared" si="28"/>
        <v>0</v>
      </c>
      <c r="EI30" s="30"/>
      <c r="EJ30" s="30">
        <f t="shared" si="19"/>
        <v>46216</v>
      </c>
      <c r="EM30" s="16" t="str">
        <f t="shared" si="29"/>
        <v>Fiche infoA146216</v>
      </c>
      <c r="EN30" s="16">
        <f t="shared" si="20"/>
        <v>0</v>
      </c>
      <c r="EQ30" s="16" t="str">
        <f>Juillet!FS32</f>
        <v/>
      </c>
    </row>
    <row r="31" spans="1:147" ht="18" customHeight="1" x14ac:dyDescent="0.2">
      <c r="A31" s="24" t="str">
        <f>+Juillet!BJ33</f>
        <v>Fiche infoA2</v>
      </c>
      <c r="B31" s="107">
        <f t="shared" si="30"/>
        <v>46217</v>
      </c>
      <c r="C31" s="170">
        <f>+$D$13+13</f>
        <v>46217</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Juillet!BC33</f>
        <v>0</v>
      </c>
      <c r="J31" s="34">
        <f>Juillet!BE33</f>
        <v>0</v>
      </c>
      <c r="K31" s="34">
        <f t="shared" si="15"/>
        <v>0</v>
      </c>
      <c r="L31" s="34" t="str">
        <f t="shared" si="21"/>
        <v/>
      </c>
      <c r="AL31" s="563" t="s">
        <v>342</v>
      </c>
      <c r="BA31" s="331" t="str">
        <f t="shared" si="16"/>
        <v>Fiche infoA2</v>
      </c>
      <c r="BB31" s="107">
        <f t="shared" si="31"/>
        <v>46217</v>
      </c>
      <c r="BC31" s="170">
        <f>+$D$13+13</f>
        <v>46217</v>
      </c>
      <c r="BD31" s="171" t="str">
        <f t="shared" si="32"/>
        <v/>
      </c>
      <c r="BE31" s="171" t="str">
        <f>+IF(OR(BF31=S.CAL!$BJ$3,BF31=S.CAL!$BJ$4),BD31,"")</f>
        <v/>
      </c>
      <c r="BF31" s="333">
        <f>IF($DY$5=S.CAL!$CU$2,Juillet!AR33,IF($DY$5=S.CAL!$CU$3,VLOOKUP(BC31,planning_fp,7,FALSE),""))</f>
        <v>0</v>
      </c>
      <c r="BG31" s="345" t="str">
        <f>Juillet!BL33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46217</v>
      </c>
      <c r="CF31" s="170">
        <f>+$D$13+13</f>
        <v>46217</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IF(+Juillet!AG33="",0,Juillet!AG33)</f>
        <v>0</v>
      </c>
      <c r="DZ31" s="16">
        <f>+IF(Juillet!AJ33="",0,Juillet!AJ33)</f>
        <v>0</v>
      </c>
      <c r="EA31" s="16">
        <f>+IF(Juillet!AM33="",0,Juillet!AM33)</f>
        <v>0</v>
      </c>
      <c r="EB31" s="16">
        <f t="shared" si="25"/>
        <v>0</v>
      </c>
      <c r="ED31" s="16">
        <f t="shared" si="26"/>
        <v>0</v>
      </c>
      <c r="EE31" s="16">
        <f t="shared" si="17"/>
        <v>0</v>
      </c>
      <c r="EF31" s="30" t="str">
        <f t="shared" si="18"/>
        <v/>
      </c>
      <c r="EG31" s="30" t="str">
        <f t="shared" si="27"/>
        <v/>
      </c>
      <c r="EH31" s="16">
        <f t="shared" si="28"/>
        <v>0</v>
      </c>
      <c r="EI31" s="30"/>
      <c r="EJ31" s="30">
        <f t="shared" si="19"/>
        <v>46217</v>
      </c>
      <c r="EM31" s="16" t="str">
        <f t="shared" si="29"/>
        <v>Fiche infoA246217</v>
      </c>
      <c r="EN31" s="16">
        <f t="shared" si="20"/>
        <v>0</v>
      </c>
      <c r="EQ31" s="16" t="str">
        <f>Juillet!FS33</f>
        <v/>
      </c>
    </row>
    <row r="32" spans="1:147" ht="18" customHeight="1" x14ac:dyDescent="0.2">
      <c r="A32" s="24" t="str">
        <f>+Juillet!BJ34</f>
        <v>Fiche infoA3</v>
      </c>
      <c r="B32" s="107">
        <f t="shared" si="30"/>
        <v>46218</v>
      </c>
      <c r="C32" s="170">
        <f>+$D$13+14</f>
        <v>46218</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Juillet!BC34</f>
        <v>0</v>
      </c>
      <c r="J32" s="34">
        <f>Juillet!BE34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infoA3</v>
      </c>
      <c r="BB32" s="107">
        <f t="shared" si="31"/>
        <v>46218</v>
      </c>
      <c r="BC32" s="170">
        <f>+$D$13+14</f>
        <v>46218</v>
      </c>
      <c r="BD32" s="171" t="str">
        <f t="shared" si="32"/>
        <v/>
      </c>
      <c r="BE32" s="171" t="str">
        <f>+IF(OR(BF32=S.CAL!$BJ$3,BF32=S.CAL!$BJ$4),BD32,"")</f>
        <v/>
      </c>
      <c r="BF32" s="333">
        <f>IF($DY$5=S.CAL!$CU$2,Juillet!AR34,IF($DY$5=S.CAL!$CU$3,VLOOKUP(BC32,planning_fp,7,FALSE),""))</f>
        <v>0</v>
      </c>
      <c r="BG32" s="345" t="str">
        <f>Juillet!BL34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46218</v>
      </c>
      <c r="CF32" s="170">
        <f>+$D$13+14</f>
        <v>46218</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IF(+Juillet!AG34="",0,Juillet!AG34)</f>
        <v>0</v>
      </c>
      <c r="DZ32" s="16">
        <f>+IF(Juillet!AJ34="",0,Juillet!AJ34)</f>
        <v>0</v>
      </c>
      <c r="EA32" s="16">
        <f>+IF(Juillet!AM34="",0,Juillet!AM34)</f>
        <v>0</v>
      </c>
      <c r="EB32" s="16">
        <f t="shared" si="25"/>
        <v>0</v>
      </c>
      <c r="ED32" s="16">
        <f t="shared" si="26"/>
        <v>0</v>
      </c>
      <c r="EE32" s="16">
        <f t="shared" si="17"/>
        <v>0</v>
      </c>
      <c r="EF32" s="30" t="str">
        <f t="shared" si="18"/>
        <v/>
      </c>
      <c r="EG32" s="30" t="str">
        <f t="shared" si="27"/>
        <v/>
      </c>
      <c r="EH32" s="16">
        <f t="shared" si="28"/>
        <v>0</v>
      </c>
      <c r="EI32" s="30"/>
      <c r="EJ32" s="30">
        <f t="shared" si="19"/>
        <v>46218</v>
      </c>
      <c r="EM32" s="16" t="str">
        <f t="shared" si="29"/>
        <v>Fiche infoA346218</v>
      </c>
      <c r="EN32" s="16">
        <f t="shared" si="20"/>
        <v>0</v>
      </c>
      <c r="EQ32" s="16" t="str">
        <f>Juillet!FS34</f>
        <v/>
      </c>
    </row>
    <row r="33" spans="1:147" ht="18" customHeight="1" x14ac:dyDescent="0.2">
      <c r="A33" s="24" t="str">
        <f>+Juillet!BJ35</f>
        <v>Fiche infoA4</v>
      </c>
      <c r="B33" s="107">
        <f t="shared" si="30"/>
        <v>46219</v>
      </c>
      <c r="C33" s="170">
        <f>+$D$13+15</f>
        <v>46219</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Juillet!BC35</f>
        <v>0</v>
      </c>
      <c r="J33" s="34">
        <f>Juillet!BE35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infoA4</v>
      </c>
      <c r="BB33" s="107">
        <f t="shared" si="31"/>
        <v>46219</v>
      </c>
      <c r="BC33" s="170">
        <f>+$D$13+15</f>
        <v>46219</v>
      </c>
      <c r="BD33" s="171" t="str">
        <f t="shared" si="32"/>
        <v/>
      </c>
      <c r="BE33" s="171" t="str">
        <f>+IF(OR(BF33=S.CAL!$BJ$3,BF33=S.CAL!$BJ$4),BD33,"")</f>
        <v/>
      </c>
      <c r="BF33" s="333">
        <f>IF($DY$5=S.CAL!$CU$2,Juillet!AR35,IF($DY$5=S.CAL!$CU$3,VLOOKUP(BC33,planning_fp,7,FALSE),""))</f>
        <v>0</v>
      </c>
      <c r="BG33" s="345" t="str">
        <f>Juillet!BL35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46219</v>
      </c>
      <c r="CF33" s="170">
        <f>+$D$13+15</f>
        <v>46219</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IF(+Juillet!AG35="",0,Juillet!AG35)</f>
        <v>0</v>
      </c>
      <c r="DZ33" s="16">
        <f>+IF(Juillet!AJ35="",0,Juillet!AJ35)</f>
        <v>0</v>
      </c>
      <c r="EA33" s="16">
        <f>+IF(Juillet!AM35="",0,Juillet!AM35)</f>
        <v>0</v>
      </c>
      <c r="EB33" s="16">
        <f t="shared" si="25"/>
        <v>0</v>
      </c>
      <c r="ED33" s="16">
        <f t="shared" si="26"/>
        <v>0</v>
      </c>
      <c r="EE33" s="16">
        <f t="shared" si="17"/>
        <v>0</v>
      </c>
      <c r="EF33" s="30" t="str">
        <f t="shared" si="18"/>
        <v/>
      </c>
      <c r="EG33" s="30" t="str">
        <f t="shared" si="27"/>
        <v/>
      </c>
      <c r="EH33" s="16">
        <f t="shared" si="28"/>
        <v>0</v>
      </c>
      <c r="EI33" s="30"/>
      <c r="EJ33" s="30">
        <f t="shared" si="19"/>
        <v>46219</v>
      </c>
      <c r="EM33" s="16" t="str">
        <f t="shared" si="29"/>
        <v>Fiche infoA446219</v>
      </c>
      <c r="EN33" s="16">
        <f t="shared" si="20"/>
        <v>0</v>
      </c>
      <c r="EQ33" s="16" t="str">
        <f>Juillet!FS35</f>
        <v/>
      </c>
    </row>
    <row r="34" spans="1:147" ht="18" customHeight="1" x14ac:dyDescent="0.2">
      <c r="A34" s="24" t="str">
        <f>+Juillet!BJ36</f>
        <v>Fiche infoA5</v>
      </c>
      <c r="B34" s="107">
        <f t="shared" si="30"/>
        <v>46220</v>
      </c>
      <c r="C34" s="170">
        <f>+$D$13+16</f>
        <v>46220</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Juillet!BC36</f>
        <v>0</v>
      </c>
      <c r="J34" s="34">
        <f>Juillet!BE36</f>
        <v>0</v>
      </c>
      <c r="K34" s="34">
        <f t="shared" si="15"/>
        <v>0</v>
      </c>
      <c r="L34" s="34" t="str">
        <f t="shared" si="21"/>
        <v/>
      </c>
      <c r="N34" s="377"/>
      <c r="O34" s="377"/>
      <c r="P34" s="377"/>
      <c r="Q34" s="377"/>
      <c r="R34" s="377"/>
      <c r="T34" s="563">
        <f>+IF(AD34=0,V34,0)</f>
        <v>0</v>
      </c>
      <c r="U34" s="1301" t="str">
        <f>+Juillet!AU4</f>
        <v>A</v>
      </c>
      <c r="V34" s="1301">
        <f>IFERROR(+VLOOKUP(U34,U35:AB39,7,FALSE),"")</f>
        <v>0</v>
      </c>
      <c r="W34" s="2538" t="str">
        <f>Juillet!BS28</f>
        <v>Semaine numéro : 27</v>
      </c>
      <c r="X34" s="2538"/>
      <c r="Y34" s="2538"/>
      <c r="Z34" s="1323"/>
      <c r="AA34" s="1316">
        <f>+IF(Z34&lt;&gt;"",Z34,IF(T34&gt;0,T34,IF(AND(AD34&gt;0,AC34&gt;0),AD34+AC34,IF(AE34&gt;0,0,AC34))))</f>
        <v>0</v>
      </c>
      <c r="AB34" s="1316">
        <f>IF(AND(AA34&gt;45,AD34=AD48),AA34-45,0)</f>
        <v>0</v>
      </c>
      <c r="AC34" s="1322">
        <f>+SUMIF(Juillet!$BK$20:$BK$50,Juillet!AT4,$D$18:$D$48)</f>
        <v>0</v>
      </c>
      <c r="AD34" s="1322">
        <f>+SUMIF(Juin!$BK$20:$BK$50,Juillet!AT4,'Retenue Juin'!$D$18:$D$48)</f>
        <v>0</v>
      </c>
      <c r="AE34" s="1322">
        <f>+SUMIF(Aout!$BK$20:$BK$50,Juillet!AT4,'Retenue Aout'!$D$18:$D$48)</f>
        <v>0</v>
      </c>
      <c r="AF34" s="1316">
        <f>+AC34-AB34</f>
        <v>0</v>
      </c>
      <c r="AK34" s="1189" t="s">
        <v>324</v>
      </c>
      <c r="AL34" s="1302" t="e">
        <f>IF(AL32,+AL24/AL32,0)</f>
        <v>#VALUE!</v>
      </c>
      <c r="BA34" s="331" t="str">
        <f t="shared" si="16"/>
        <v>Fiche infoA5</v>
      </c>
      <c r="BB34" s="107">
        <f t="shared" si="31"/>
        <v>46220</v>
      </c>
      <c r="BC34" s="170">
        <f>+$D$13+16</f>
        <v>46220</v>
      </c>
      <c r="BD34" s="171" t="str">
        <f t="shared" si="32"/>
        <v/>
      </c>
      <c r="BE34" s="171" t="str">
        <f>+IF(OR(BF34=S.CAL!$BJ$3,BF34=S.CAL!$BJ$4),BD34,"")</f>
        <v/>
      </c>
      <c r="BF34" s="333">
        <f>IF($DY$5=S.CAL!$CU$2,Juillet!AR36,IF($DY$5=S.CAL!$CU$3,VLOOKUP(BC34,planning_fp,7,FALSE),""))</f>
        <v>0</v>
      </c>
      <c r="BG34" s="345" t="str">
        <f>Juillet!BL36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46220</v>
      </c>
      <c r="CF34" s="170">
        <f>+$D$13+16</f>
        <v>46220</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IF(+Juillet!AG36="",0,Juillet!AG36)</f>
        <v>0</v>
      </c>
      <c r="DZ34" s="16">
        <f>+IF(Juillet!AJ36="",0,Juillet!AJ36)</f>
        <v>0</v>
      </c>
      <c r="EA34" s="16">
        <f>+IF(Juillet!AM36="",0,Juillet!AM36)</f>
        <v>0</v>
      </c>
      <c r="EB34" s="16">
        <f t="shared" si="25"/>
        <v>0</v>
      </c>
      <c r="ED34" s="16">
        <f t="shared" si="26"/>
        <v>0</v>
      </c>
      <c r="EE34" s="16">
        <f t="shared" si="17"/>
        <v>0</v>
      </c>
      <c r="EF34" s="30" t="str">
        <f t="shared" si="18"/>
        <v/>
      </c>
      <c r="EG34" s="30" t="str">
        <f t="shared" si="27"/>
        <v/>
      </c>
      <c r="EH34" s="16">
        <f t="shared" si="28"/>
        <v>0</v>
      </c>
      <c r="EI34" s="30"/>
      <c r="EJ34" s="30">
        <f t="shared" si="19"/>
        <v>46220</v>
      </c>
      <c r="EM34" s="16" t="str">
        <f t="shared" si="29"/>
        <v>Fiche infoA546220</v>
      </c>
      <c r="EN34" s="16">
        <f t="shared" si="20"/>
        <v>0</v>
      </c>
      <c r="EQ34" s="16" t="str">
        <f>Juillet!FS36</f>
        <v/>
      </c>
    </row>
    <row r="35" spans="1:147" ht="18" customHeight="1" x14ac:dyDescent="0.2">
      <c r="A35" s="24" t="str">
        <f>+Juillet!BJ37</f>
        <v>Fiche infoA6</v>
      </c>
      <c r="B35" s="107">
        <f t="shared" si="30"/>
        <v>46221</v>
      </c>
      <c r="C35" s="170">
        <f>+$D$13+17</f>
        <v>46221</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Juillet!BC37</f>
        <v>0</v>
      </c>
      <c r="J35" s="34">
        <f>Juillet!BE37</f>
        <v>0</v>
      </c>
      <c r="K35" s="34">
        <f t="shared" si="15"/>
        <v>0</v>
      </c>
      <c r="L35" s="34" t="str">
        <f t="shared" si="21"/>
        <v/>
      </c>
      <c r="N35" s="377"/>
      <c r="O35" s="861" t="s">
        <v>1198</v>
      </c>
      <c r="P35" s="862"/>
      <c r="Q35" s="862"/>
      <c r="R35" s="858"/>
      <c r="T35" s="563">
        <f>+IF(AD35=0,V35,0)</f>
        <v>0</v>
      </c>
      <c r="U35" s="1301" t="str">
        <f>+Juillet!AU5</f>
        <v>A</v>
      </c>
      <c r="V35" s="1301">
        <f>IFERROR(+VLOOKUP(U35,U36:AB39,7,FALSE),"")</f>
        <v>0</v>
      </c>
      <c r="W35" s="2538" t="str">
        <f>Juillet!BS29</f>
        <v>Semaine numéro : 28</v>
      </c>
      <c r="X35" s="2538"/>
      <c r="Y35" s="2538"/>
      <c r="Z35" s="1323"/>
      <c r="AA35" s="1316">
        <f>+IF(Z35&lt;&gt;"",Z35,IF(T35&gt;0,T35,IF(AND(AD35&gt;0,AC35&gt;0),AD35+AC35,IF(AE35&gt;0,0,AC35))))</f>
        <v>0</v>
      </c>
      <c r="AB35" s="1316">
        <f t="shared" ref="AB35:AB39" si="44">IF(AND(AA35&gt;45,AD35=AD49),AA35-45,0)</f>
        <v>0</v>
      </c>
      <c r="AC35" s="1322">
        <f>+SUMIF(Juillet!$BK$20:$BK$50,Juillet!AT5,$D$18:$D$48)</f>
        <v>0</v>
      </c>
      <c r="AD35" s="1322">
        <f>+SUMIF(Juin!$BK$20:$BK$50,Juillet!AT5,'Retenue Juin'!$D$18:$D$48)</f>
        <v>0</v>
      </c>
      <c r="AE35" s="1322">
        <f>+SUMIF(Aout!$BK$20:$BK$50,Juillet!AT5,'Retenue Aout'!$D$18:$D$48)</f>
        <v>0</v>
      </c>
      <c r="AF35" s="1316">
        <f t="shared" ref="AF35:AF39" si="45">+AC35-AB35</f>
        <v>0</v>
      </c>
      <c r="AK35" s="1189"/>
      <c r="AL35" s="1302"/>
      <c r="BA35" s="331" t="str">
        <f t="shared" si="16"/>
        <v>Fiche infoA6</v>
      </c>
      <c r="BB35" s="107">
        <f t="shared" si="31"/>
        <v>46221</v>
      </c>
      <c r="BC35" s="170">
        <f>+$D$13+17</f>
        <v>46221</v>
      </c>
      <c r="BD35" s="171" t="str">
        <f t="shared" si="32"/>
        <v/>
      </c>
      <c r="BE35" s="171" t="str">
        <f>+IF(OR(BF35=S.CAL!$BJ$3,BF35=S.CAL!$BJ$4),BD35,"")</f>
        <v/>
      </c>
      <c r="BF35" s="333">
        <f>IF($DY$5=S.CAL!$CU$2,Juillet!AR37,IF($DY$5=S.CAL!$CU$3,VLOOKUP(BC35,planning_fp,7,FALSE),""))</f>
        <v>0</v>
      </c>
      <c r="BG35" s="345" t="str">
        <f>Juillet!BL37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46221</v>
      </c>
      <c r="CF35" s="170">
        <f>+$D$13+17</f>
        <v>46221</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IF(+Juillet!AG37="",0,Juillet!AG37)</f>
        <v>0</v>
      </c>
      <c r="DZ35" s="16">
        <f>+IF(Juillet!AJ37="",0,Juillet!AJ37)</f>
        <v>0</v>
      </c>
      <c r="EA35" s="16">
        <f>+IF(Juillet!AM37="",0,Juillet!AM37)</f>
        <v>0</v>
      </c>
      <c r="EB35" s="16">
        <f t="shared" si="25"/>
        <v>0</v>
      </c>
      <c r="ED35" s="16">
        <f t="shared" si="26"/>
        <v>0</v>
      </c>
      <c r="EE35" s="16">
        <f t="shared" si="17"/>
        <v>0</v>
      </c>
      <c r="EF35" s="30" t="str">
        <f t="shared" si="18"/>
        <v/>
      </c>
      <c r="EG35" s="30" t="str">
        <f t="shared" si="27"/>
        <v/>
      </c>
      <c r="EH35" s="16">
        <f t="shared" si="28"/>
        <v>0</v>
      </c>
      <c r="EI35" s="30"/>
      <c r="EJ35" s="30">
        <f t="shared" si="19"/>
        <v>46221</v>
      </c>
      <c r="EM35" s="16" t="str">
        <f t="shared" si="29"/>
        <v>Fiche infoA646221</v>
      </c>
      <c r="EN35" s="16">
        <f t="shared" si="20"/>
        <v>0</v>
      </c>
      <c r="EQ35" s="16" t="str">
        <f>Juillet!FS37</f>
        <v/>
      </c>
    </row>
    <row r="36" spans="1:147" ht="18" customHeight="1" x14ac:dyDescent="0.2">
      <c r="A36" s="24" t="str">
        <f>+Juillet!BJ38</f>
        <v>Fiche infoA7</v>
      </c>
      <c r="B36" s="107">
        <f t="shared" si="30"/>
        <v>46222</v>
      </c>
      <c r="C36" s="170">
        <f>+$D$13+18</f>
        <v>46222</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Juillet!BC38</f>
        <v>0</v>
      </c>
      <c r="J36" s="34">
        <f>Juillet!BE38</f>
        <v>0</v>
      </c>
      <c r="K36" s="34">
        <f t="shared" si="15"/>
        <v>0</v>
      </c>
      <c r="L36" s="34" t="str">
        <f t="shared" si="21"/>
        <v/>
      </c>
      <c r="N36" s="377"/>
      <c r="O36" s="468"/>
      <c r="P36" s="469" t="str">
        <f>+E11&amp;" / ( "&amp;E10&amp;" + "&amp;E11&amp;" ) ="</f>
        <v>0 / ( 0 + 0 ) =</v>
      </c>
      <c r="Q36" s="468" t="e">
        <f>+ROUND(E11/(E11+E10),6)</f>
        <v>#DIV/0!</v>
      </c>
      <c r="R36" s="377"/>
      <c r="U36" s="1301" t="str">
        <f>+Juillet!AU6</f>
        <v>A</v>
      </c>
      <c r="V36" s="1301"/>
      <c r="W36" s="2538" t="str">
        <f>Juillet!BS30</f>
        <v>Semaine numéro : 29</v>
      </c>
      <c r="X36" s="2538"/>
      <c r="Y36" s="2538"/>
      <c r="Z36" s="1323"/>
      <c r="AA36" s="1316">
        <f t="shared" ref="AA36:AA39" si="46">+IF(Z36="",IF(AND(AD36&gt;0,AC36&gt;0),AD36+AC36,IF(AE36&gt;0,0,AC36)),Z36)</f>
        <v>0</v>
      </c>
      <c r="AB36" s="1316">
        <f t="shared" si="44"/>
        <v>0</v>
      </c>
      <c r="AC36" s="1322">
        <f>+SUMIF(Juillet!$BK$20:$BK$50,Juillet!AT6,$D$18:$D$48)</f>
        <v>0</v>
      </c>
      <c r="AD36" s="1322">
        <f>+SUMIF(Juin!$BK$20:$BK$50,Juillet!AT6,'Retenue Juin'!$D$18:$D$48)</f>
        <v>0</v>
      </c>
      <c r="AE36" s="1322">
        <f>+SUMIF(Aout!$BK$20:$BK$50,Juillet!AT6,'Retenue Aout'!$D$18:$D$48)</f>
        <v>0</v>
      </c>
      <c r="AF36" s="1316">
        <f t="shared" si="45"/>
        <v>0</v>
      </c>
      <c r="AK36" s="1189"/>
      <c r="AL36" s="1302"/>
      <c r="BA36" s="331" t="str">
        <f t="shared" si="16"/>
        <v>Fiche infoA7</v>
      </c>
      <c r="BB36" s="107">
        <f t="shared" si="31"/>
        <v>46222</v>
      </c>
      <c r="BC36" s="170">
        <f>+$D$13+18</f>
        <v>46222</v>
      </c>
      <c r="BD36" s="171" t="str">
        <f t="shared" si="32"/>
        <v/>
      </c>
      <c r="BE36" s="171" t="str">
        <f>+IF(OR(BF36=S.CAL!$BJ$3,BF36=S.CAL!$BJ$4),BD36,"")</f>
        <v/>
      </c>
      <c r="BF36" s="333">
        <f>IF($DY$5=S.CAL!$CU$2,Juillet!AR38,IF($DY$5=S.CAL!$CU$3,VLOOKUP(BC36,planning_fp,7,FALSE),""))</f>
        <v>0</v>
      </c>
      <c r="BG36" s="345" t="str">
        <f>Juillet!BL38</f>
        <v>A</v>
      </c>
      <c r="BH36" s="356"/>
      <c r="BI36" s="357"/>
      <c r="BJ36" s="355"/>
      <c r="BK36" s="355"/>
      <c r="BL36" s="35"/>
      <c r="BS36" s="189"/>
      <c r="BT36" s="342"/>
      <c r="BU36" s="342"/>
      <c r="BV36" s="355"/>
      <c r="BW36" s="355"/>
      <c r="BX36" s="355"/>
      <c r="BY36" s="355"/>
      <c r="BZ36" s="355"/>
      <c r="CA36" s="355"/>
      <c r="CB36" s="355"/>
      <c r="CD36" s="328"/>
      <c r="CE36" s="107">
        <f t="shared" si="33"/>
        <v>46222</v>
      </c>
      <c r="CF36" s="170">
        <f>+$D$13+18</f>
        <v>46222</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IF(+Juillet!AG38="",0,Juillet!AG38)</f>
        <v>0</v>
      </c>
      <c r="DZ36" s="16">
        <f>+IF(Juillet!AJ38="",0,Juillet!AJ38)</f>
        <v>0</v>
      </c>
      <c r="EA36" s="16">
        <f>+IF(Juillet!AM38="",0,Juillet!AM38)</f>
        <v>0</v>
      </c>
      <c r="EB36" s="16">
        <f t="shared" si="25"/>
        <v>0</v>
      </c>
      <c r="ED36" s="16">
        <f t="shared" si="26"/>
        <v>0</v>
      </c>
      <c r="EE36" s="16">
        <f t="shared" si="17"/>
        <v>0</v>
      </c>
      <c r="EF36" s="30" t="str">
        <f t="shared" si="18"/>
        <v/>
      </c>
      <c r="EG36" s="30" t="str">
        <f t="shared" si="27"/>
        <v/>
      </c>
      <c r="EH36" s="16">
        <f t="shared" si="28"/>
        <v>0</v>
      </c>
      <c r="EI36" s="30"/>
      <c r="EJ36" s="30">
        <f t="shared" si="19"/>
        <v>46222</v>
      </c>
      <c r="EM36" s="16" t="str">
        <f t="shared" si="29"/>
        <v>Fiche infoA746222</v>
      </c>
      <c r="EN36" s="16">
        <f t="shared" si="20"/>
        <v>0</v>
      </c>
      <c r="EQ36" s="16" t="str">
        <f>Juillet!FS38</f>
        <v/>
      </c>
    </row>
    <row r="37" spans="1:147" ht="18" customHeight="1" x14ac:dyDescent="0.2">
      <c r="A37" s="24" t="str">
        <f>+Juillet!BJ39</f>
        <v>Fiche infoA1</v>
      </c>
      <c r="B37" s="107">
        <f t="shared" si="30"/>
        <v>46223</v>
      </c>
      <c r="C37" s="170">
        <f>+$D$13+19</f>
        <v>46223</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Juillet!BC39</f>
        <v>0</v>
      </c>
      <c r="J37" s="34">
        <f>Juillet!BE39</f>
        <v>0</v>
      </c>
      <c r="K37" s="34">
        <f t="shared" si="15"/>
        <v>0</v>
      </c>
      <c r="L37" s="34" t="str">
        <f t="shared" si="21"/>
        <v/>
      </c>
      <c r="N37" s="377"/>
      <c r="O37" s="863"/>
      <c r="P37" s="863"/>
      <c r="Q37" s="863"/>
      <c r="R37" s="377"/>
      <c r="U37" s="1301" t="str">
        <f>+Juillet!AU7</f>
        <v>A</v>
      </c>
      <c r="V37" s="1301"/>
      <c r="W37" s="2538" t="str">
        <f>Juillet!BS31</f>
        <v>Semaine numéro : 30</v>
      </c>
      <c r="X37" s="2538"/>
      <c r="Y37" s="2538"/>
      <c r="Z37" s="1323"/>
      <c r="AA37" s="1316">
        <f t="shared" si="46"/>
        <v>0</v>
      </c>
      <c r="AB37" s="1316">
        <f t="shared" si="44"/>
        <v>0</v>
      </c>
      <c r="AC37" s="1322">
        <f>+SUMIF(Juillet!$BK$20:$BK$50,Juillet!AT7,$D$18:$D$48)</f>
        <v>0</v>
      </c>
      <c r="AD37" s="1322">
        <f>+SUMIF(Juin!$BK$20:$BK$50,Juillet!AT7,'Retenue Juin'!$D$18:$D$48)</f>
        <v>0</v>
      </c>
      <c r="AE37" s="1322">
        <f>+SUMIF(Aout!$BK$20:$BK$50,Juillet!AT7,'Retenue Aout'!$D$18:$D$48)</f>
        <v>0</v>
      </c>
      <c r="AF37" s="1316">
        <f t="shared" si="45"/>
        <v>0</v>
      </c>
      <c r="AK37" s="1189"/>
      <c r="AL37" s="2553" t="s">
        <v>325</v>
      </c>
      <c r="AM37" s="2553" t="s">
        <v>326</v>
      </c>
      <c r="AN37" s="2554" t="s">
        <v>327</v>
      </c>
      <c r="AO37" s="2553" t="s">
        <v>328</v>
      </c>
      <c r="AP37" s="2553" t="s">
        <v>348</v>
      </c>
      <c r="AQ37" s="2553" t="s">
        <v>349</v>
      </c>
      <c r="BA37" s="331" t="str">
        <f t="shared" si="16"/>
        <v>Fiche infoA1</v>
      </c>
      <c r="BB37" s="107">
        <f t="shared" si="31"/>
        <v>46223</v>
      </c>
      <c r="BC37" s="170">
        <f>+$D$13+19</f>
        <v>46223</v>
      </c>
      <c r="BD37" s="171" t="str">
        <f t="shared" si="32"/>
        <v/>
      </c>
      <c r="BE37" s="171" t="str">
        <f>+IF(OR(BF37=S.CAL!$BJ$3,BF37=S.CAL!$BJ$4),BD37,"")</f>
        <v/>
      </c>
      <c r="BF37" s="333">
        <f>IF($DY$5=S.CAL!$CU$2,Juillet!AR39,IF($DY$5=S.CAL!$CU$3,VLOOKUP(BC37,planning_fp,7,FALSE),""))</f>
        <v>0</v>
      </c>
      <c r="BG37" s="345" t="str">
        <f>Juillet!BL39</f>
        <v>A</v>
      </c>
      <c r="BH37" s="355"/>
      <c r="BI37" s="355"/>
      <c r="BJ37" s="355"/>
      <c r="BK37" s="355"/>
      <c r="BL37" s="35"/>
      <c r="BO37" s="29"/>
      <c r="BP37" s="34"/>
      <c r="BS37" s="189"/>
      <c r="BT37" s="189"/>
      <c r="BV37" s="355"/>
      <c r="BW37" s="355"/>
      <c r="BX37" s="355"/>
      <c r="BY37" s="355"/>
      <c r="BZ37" s="355"/>
      <c r="CA37" s="355"/>
      <c r="CB37" s="355"/>
      <c r="CD37" s="328"/>
      <c r="CE37" s="107">
        <f t="shared" si="33"/>
        <v>46223</v>
      </c>
      <c r="CF37" s="170">
        <f>+$D$13+19</f>
        <v>46223</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IF(+Juillet!AG39="",0,Juillet!AG39)</f>
        <v>0</v>
      </c>
      <c r="DZ37" s="16">
        <f>+IF(Juillet!AJ39="",0,Juillet!AJ39)</f>
        <v>0</v>
      </c>
      <c r="EA37" s="16">
        <f>+IF(Juillet!AM39="",0,Juillet!AM39)</f>
        <v>0</v>
      </c>
      <c r="EB37" s="16">
        <f t="shared" si="25"/>
        <v>0</v>
      </c>
      <c r="ED37" s="16">
        <f t="shared" si="26"/>
        <v>0</v>
      </c>
      <c r="EE37" s="16">
        <f t="shared" si="17"/>
        <v>0</v>
      </c>
      <c r="EF37" s="30" t="str">
        <f t="shared" si="18"/>
        <v/>
      </c>
      <c r="EG37" s="30" t="str">
        <f t="shared" si="27"/>
        <v/>
      </c>
      <c r="EH37" s="16">
        <f t="shared" si="28"/>
        <v>0</v>
      </c>
      <c r="EI37" s="30"/>
      <c r="EJ37" s="30">
        <f t="shared" si="19"/>
        <v>46223</v>
      </c>
      <c r="EM37" s="16" t="str">
        <f t="shared" si="29"/>
        <v>Fiche infoA146223</v>
      </c>
      <c r="EN37" s="16">
        <f t="shared" si="20"/>
        <v>0</v>
      </c>
      <c r="EQ37" s="16" t="str">
        <f>Juillet!FS39</f>
        <v/>
      </c>
    </row>
    <row r="38" spans="1:147" ht="18" customHeight="1" x14ac:dyDescent="0.2">
      <c r="A38" s="24" t="str">
        <f>+Juillet!BJ40</f>
        <v>Fiche infoA2</v>
      </c>
      <c r="B38" s="107">
        <f t="shared" si="30"/>
        <v>46224</v>
      </c>
      <c r="C38" s="170">
        <f>+$D$13+20</f>
        <v>46224</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Juillet!BC40</f>
        <v>0</v>
      </c>
      <c r="J38" s="34">
        <f>Juillet!BE40</f>
        <v>0</v>
      </c>
      <c r="K38" s="34">
        <f t="shared" si="15"/>
        <v>0</v>
      </c>
      <c r="L38" s="34" t="str">
        <f t="shared" si="21"/>
        <v/>
      </c>
      <c r="N38" s="377"/>
      <c r="O38" s="864" t="s">
        <v>1445</v>
      </c>
      <c r="P38" s="864"/>
      <c r="Q38" s="864"/>
      <c r="R38" s="860"/>
      <c r="U38" s="1301" t="str">
        <f>+Juillet!AU8</f>
        <v>A</v>
      </c>
      <c r="V38" s="1301"/>
      <c r="W38" s="2538" t="str">
        <f>Juillet!BS32</f>
        <v>Semaine numéro : 31</v>
      </c>
      <c r="X38" s="2538"/>
      <c r="Y38" s="2538"/>
      <c r="Z38" s="1323"/>
      <c r="AA38" s="1316">
        <f t="shared" si="46"/>
        <v>0</v>
      </c>
      <c r="AB38" s="1316">
        <f t="shared" si="44"/>
        <v>0</v>
      </c>
      <c r="AC38" s="1322">
        <f>+SUMIF(Juillet!$BK$20:$BK$50,Juillet!AT8,$D$18:$D$48)</f>
        <v>0</v>
      </c>
      <c r="AD38" s="1322">
        <f>+SUMIF(Juin!$BK$20:$BK$50,Juillet!AT8,'Retenue Juin'!$D$18:$D$48)</f>
        <v>0</v>
      </c>
      <c r="AE38" s="1322">
        <f>+SUMIF(Aout!$BK$20:$BK$50,Juillet!AT8,'Retenue Aout'!$D$18:$D$48)</f>
        <v>0</v>
      </c>
      <c r="AF38" s="1316">
        <f t="shared" si="45"/>
        <v>0</v>
      </c>
      <c r="AL38" s="2553"/>
      <c r="AM38" s="2553"/>
      <c r="AN38" s="2554"/>
      <c r="AO38" s="2553"/>
      <c r="AP38" s="2553"/>
      <c r="AQ38" s="2553"/>
      <c r="BA38" s="331" t="str">
        <f t="shared" si="16"/>
        <v>Fiche infoA2</v>
      </c>
      <c r="BB38" s="107">
        <f t="shared" si="31"/>
        <v>46224</v>
      </c>
      <c r="BC38" s="170">
        <f>+$D$13+20</f>
        <v>46224</v>
      </c>
      <c r="BD38" s="171" t="str">
        <f t="shared" si="32"/>
        <v/>
      </c>
      <c r="BE38" s="171" t="str">
        <f>+IF(OR(BF38=S.CAL!$BJ$3,BF38=S.CAL!$BJ$4),BD38,"")</f>
        <v/>
      </c>
      <c r="BF38" s="333">
        <f>IF($DY$5=S.CAL!$CU$2,Juillet!AR40,IF($DY$5=S.CAL!$CU$3,VLOOKUP(BC38,planning_fp,7,FALSE),""))</f>
        <v>0</v>
      </c>
      <c r="BG38" s="345" t="str">
        <f>Juillet!BL40</f>
        <v>A</v>
      </c>
      <c r="BH38" s="355"/>
      <c r="BI38" s="355"/>
      <c r="BJ38" s="355"/>
      <c r="BK38" s="355"/>
      <c r="BL38" s="35"/>
      <c r="BO38" s="29"/>
      <c r="BP38" s="34"/>
      <c r="BS38" s="189"/>
      <c r="BT38" s="189"/>
      <c r="BV38" s="355"/>
      <c r="BW38" s="355"/>
      <c r="BX38" s="355"/>
      <c r="BY38" s="355"/>
      <c r="BZ38" s="355"/>
      <c r="CA38" s="355"/>
      <c r="CB38" s="355"/>
      <c r="CD38" s="328"/>
      <c r="CE38" s="107">
        <f t="shared" si="33"/>
        <v>46224</v>
      </c>
      <c r="CF38" s="170">
        <f>+$D$13+20</f>
        <v>46224</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IF(+Juillet!AG40="",0,Juillet!AG40)</f>
        <v>0</v>
      </c>
      <c r="DZ38" s="16">
        <f>+IF(Juillet!AJ40="",0,Juillet!AJ40)</f>
        <v>0</v>
      </c>
      <c r="EA38" s="16">
        <f>+IF(Juillet!AM40="",0,Juillet!AM40)</f>
        <v>0</v>
      </c>
      <c r="EB38" s="16">
        <f t="shared" si="25"/>
        <v>0</v>
      </c>
      <c r="ED38" s="16">
        <f t="shared" si="26"/>
        <v>0</v>
      </c>
      <c r="EE38" s="16">
        <f t="shared" si="17"/>
        <v>0</v>
      </c>
      <c r="EF38" s="30" t="str">
        <f t="shared" si="18"/>
        <v/>
      </c>
      <c r="EG38" s="30" t="str">
        <f t="shared" si="27"/>
        <v/>
      </c>
      <c r="EH38" s="16">
        <f t="shared" si="28"/>
        <v>0</v>
      </c>
      <c r="EI38" s="30"/>
      <c r="EJ38" s="30">
        <f t="shared" si="19"/>
        <v>46224</v>
      </c>
      <c r="EM38" s="16" t="str">
        <f t="shared" si="29"/>
        <v>Fiche infoA246224</v>
      </c>
      <c r="EN38" s="16">
        <f t="shared" si="20"/>
        <v>0</v>
      </c>
      <c r="EQ38" s="16" t="str">
        <f>Juillet!FS40</f>
        <v/>
      </c>
    </row>
    <row r="39" spans="1:147" ht="18" customHeight="1" x14ac:dyDescent="0.2">
      <c r="A39" s="24" t="str">
        <f>+Juillet!BJ41</f>
        <v>Fiche infoA3</v>
      </c>
      <c r="B39" s="107">
        <f t="shared" si="30"/>
        <v>46225</v>
      </c>
      <c r="C39" s="170">
        <f>+$D$13+21</f>
        <v>46225</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Juillet!BC41</f>
        <v>0</v>
      </c>
      <c r="J39" s="34">
        <f>Juillet!BE41</f>
        <v>0</v>
      </c>
      <c r="K39" s="34">
        <f t="shared" si="15"/>
        <v>0</v>
      </c>
      <c r="L39" s="34" t="str">
        <f t="shared" si="21"/>
        <v/>
      </c>
      <c r="N39" s="377"/>
      <c r="O39" s="468"/>
      <c r="P39" s="469" t="str">
        <f>+E10&amp;" / ( "&amp;E10&amp;" + "&amp;E11&amp;" ) ="</f>
        <v>0 / ( 0 + 0 ) =</v>
      </c>
      <c r="Q39" s="468" t="e">
        <f>ROUND(+E10/(E11+E10),6)</f>
        <v>#DIV/0!</v>
      </c>
      <c r="R39" s="377"/>
      <c r="U39" s="1301" t="str">
        <f>+Juillet!AU9</f>
        <v>A</v>
      </c>
      <c r="V39" s="1301"/>
      <c r="W39" s="2538" t="str">
        <f>Juillet!BS33</f>
        <v xml:space="preserve">Semaine numéro : </v>
      </c>
      <c r="X39" s="2538"/>
      <c r="Y39" s="2538"/>
      <c r="Z39" s="1323"/>
      <c r="AA39" s="1316">
        <f t="shared" si="46"/>
        <v>0</v>
      </c>
      <c r="AB39" s="1316">
        <f t="shared" si="44"/>
        <v>0</v>
      </c>
      <c r="AC39" s="1322">
        <f>+SUMIF(Juillet!$BK$20:$BK$50,Juillet!AT9,$D$18:$D$48)</f>
        <v>0</v>
      </c>
      <c r="AD39" s="1322">
        <f>+SUMIF(Juin!$BK$20:$BK$50,Juillet!AT9,'Retenue Juin'!$D$18:$D$48)</f>
        <v>0</v>
      </c>
      <c r="AE39" s="1322">
        <f>+SUMIF(Aout!$BK$20:$BK$50,Juillet!AT9,'Retenue Aout'!$D$18:$D$48)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infoA3</v>
      </c>
      <c r="BB39" s="107">
        <f t="shared" si="31"/>
        <v>46225</v>
      </c>
      <c r="BC39" s="170">
        <f>+$D$13+21</f>
        <v>46225</v>
      </c>
      <c r="BD39" s="171" t="str">
        <f t="shared" si="32"/>
        <v/>
      </c>
      <c r="BE39" s="171" t="str">
        <f>+IF(OR(BF39=S.CAL!$BJ$3,BF39=S.CAL!$BJ$4),BD39,"")</f>
        <v/>
      </c>
      <c r="BF39" s="333">
        <f>IF($DY$5=S.CAL!$CU$2,Juillet!AR41,IF($DY$5=S.CAL!$CU$3,VLOOKUP(BC39,planning_fp,7,FALSE),""))</f>
        <v>0</v>
      </c>
      <c r="BG39" s="345" t="str">
        <f>Juillet!BL41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46225</v>
      </c>
      <c r="CF39" s="170">
        <f>+$D$13+21</f>
        <v>46225</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IF(+Juillet!AG41="",0,Juillet!AG41)</f>
        <v>0</v>
      </c>
      <c r="DZ39" s="16">
        <f>+IF(Juillet!AJ41="",0,Juillet!AJ41)</f>
        <v>0</v>
      </c>
      <c r="EA39" s="16">
        <f>+IF(Juillet!AM41="",0,Juillet!AM41)</f>
        <v>0</v>
      </c>
      <c r="EB39" s="16">
        <f t="shared" si="25"/>
        <v>0</v>
      </c>
      <c r="ED39" s="16">
        <f t="shared" si="26"/>
        <v>0</v>
      </c>
      <c r="EE39" s="16">
        <f t="shared" si="17"/>
        <v>0</v>
      </c>
      <c r="EF39" s="30" t="str">
        <f t="shared" si="18"/>
        <v/>
      </c>
      <c r="EG39" s="30" t="str">
        <f t="shared" si="27"/>
        <v/>
      </c>
      <c r="EH39" s="16">
        <f t="shared" si="28"/>
        <v>0</v>
      </c>
      <c r="EI39" s="30"/>
      <c r="EJ39" s="30">
        <f t="shared" si="19"/>
        <v>46225</v>
      </c>
      <c r="EM39" s="16" t="str">
        <f t="shared" si="29"/>
        <v>Fiche infoA346225</v>
      </c>
      <c r="EN39" s="16">
        <f t="shared" si="20"/>
        <v>0</v>
      </c>
      <c r="EQ39" s="16" t="str">
        <f>Juillet!FS41</f>
        <v/>
      </c>
    </row>
    <row r="40" spans="1:147" ht="18" customHeight="1" x14ac:dyDescent="0.2">
      <c r="A40" s="24" t="str">
        <f>+Juillet!BJ42</f>
        <v>Fiche infoA4</v>
      </c>
      <c r="B40" s="107">
        <f t="shared" si="30"/>
        <v>46226</v>
      </c>
      <c r="C40" s="170">
        <f>+$D$13+22</f>
        <v>46226</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Juillet!BC42</f>
        <v>0</v>
      </c>
      <c r="J40" s="34">
        <f>Juillet!BE42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infoA4</v>
      </c>
      <c r="BB40" s="107">
        <f t="shared" si="31"/>
        <v>46226</v>
      </c>
      <c r="BC40" s="170">
        <f>+$D$13+22</f>
        <v>46226</v>
      </c>
      <c r="BD40" s="171" t="str">
        <f t="shared" si="32"/>
        <v/>
      </c>
      <c r="BE40" s="171" t="str">
        <f>+IF(OR(BF40=S.CAL!$BJ$3,BF40=S.CAL!$BJ$4),BD40,"")</f>
        <v/>
      </c>
      <c r="BF40" s="333">
        <f>IF($DY$5=S.CAL!$CU$2,Juillet!AR42,IF($DY$5=S.CAL!$CU$3,VLOOKUP(BC40,planning_fp,7,FALSE),""))</f>
        <v>0</v>
      </c>
      <c r="BG40" s="345" t="str">
        <f>Juillet!BL42</f>
        <v>A</v>
      </c>
      <c r="BH40" s="355"/>
      <c r="BI40" s="355"/>
      <c r="BJ40" s="355"/>
      <c r="BK40" s="355"/>
      <c r="BL40" s="35"/>
      <c r="BN40" s="19"/>
      <c r="BO40" s="39"/>
      <c r="BP40" s="194"/>
      <c r="BV40" s="355"/>
      <c r="BW40" s="355"/>
      <c r="BX40" s="372"/>
      <c r="BY40" s="355"/>
      <c r="BZ40" s="355"/>
      <c r="CA40" s="355"/>
      <c r="CB40" s="355"/>
      <c r="CD40" s="328"/>
      <c r="CE40" s="107">
        <f t="shared" si="33"/>
        <v>46226</v>
      </c>
      <c r="CF40" s="170">
        <f>+$D$13+22</f>
        <v>46226</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IF(+Juillet!AG42="",0,Juillet!AG42)</f>
        <v>0</v>
      </c>
      <c r="DZ40" s="16">
        <f>+IF(Juillet!AJ42="",0,Juillet!AJ42)</f>
        <v>0</v>
      </c>
      <c r="EA40" s="16">
        <f>+IF(Juillet!AM42="",0,Juillet!AM42)</f>
        <v>0</v>
      </c>
      <c r="EB40" s="16">
        <f t="shared" si="25"/>
        <v>0</v>
      </c>
      <c r="ED40" s="16">
        <f t="shared" si="26"/>
        <v>0</v>
      </c>
      <c r="EE40" s="16">
        <f t="shared" si="17"/>
        <v>0</v>
      </c>
      <c r="EF40" s="30" t="str">
        <f t="shared" si="18"/>
        <v/>
      </c>
      <c r="EG40" s="30" t="str">
        <f t="shared" si="27"/>
        <v/>
      </c>
      <c r="EH40" s="16">
        <f t="shared" si="28"/>
        <v>0</v>
      </c>
      <c r="EI40" s="30"/>
      <c r="EJ40" s="30">
        <f t="shared" si="19"/>
        <v>46226</v>
      </c>
      <c r="EM40" s="16" t="str">
        <f t="shared" si="29"/>
        <v>Fiche infoA446226</v>
      </c>
      <c r="EN40" s="16">
        <f t="shared" si="20"/>
        <v>0</v>
      </c>
      <c r="EQ40" s="16" t="str">
        <f>Juillet!FS42</f>
        <v/>
      </c>
    </row>
    <row r="41" spans="1:147" ht="18" customHeight="1" x14ac:dyDescent="0.2">
      <c r="A41" s="24" t="str">
        <f>+Juillet!BJ43</f>
        <v>Fiche infoA5</v>
      </c>
      <c r="B41" s="107">
        <f t="shared" si="30"/>
        <v>46227</v>
      </c>
      <c r="C41" s="170">
        <f>+$D$13+23</f>
        <v>46227</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Juillet!BC43</f>
        <v>0</v>
      </c>
      <c r="J41" s="34">
        <f>Juillet!BE43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infoA5</v>
      </c>
      <c r="BB41" s="107">
        <f t="shared" si="31"/>
        <v>46227</v>
      </c>
      <c r="BC41" s="170">
        <f>+$D$13+23</f>
        <v>46227</v>
      </c>
      <c r="BD41" s="171" t="str">
        <f t="shared" si="32"/>
        <v/>
      </c>
      <c r="BE41" s="171" t="str">
        <f>+IF(OR(BF41=S.CAL!$BJ$3,BF41=S.CAL!$BJ$4),BD41,"")</f>
        <v/>
      </c>
      <c r="BF41" s="333">
        <f>IF($DY$5=S.CAL!$CU$2,Juillet!AR43,IF($DY$5=S.CAL!$CU$3,VLOOKUP(BC41,planning_fp,7,FALSE),""))</f>
        <v>0</v>
      </c>
      <c r="BG41" s="345" t="str">
        <f>Juillet!BL43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46227</v>
      </c>
      <c r="CF41" s="170">
        <f>+$D$13+23</f>
        <v>46227</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IF(+Juillet!AG43="",0,Juillet!AG43)</f>
        <v>0</v>
      </c>
      <c r="DZ41" s="16">
        <f>+IF(Juillet!AJ43="",0,Juillet!AJ43)</f>
        <v>0</v>
      </c>
      <c r="EA41" s="16">
        <f>+IF(Juillet!AM43="",0,Juillet!AM43)</f>
        <v>0</v>
      </c>
      <c r="EB41" s="16">
        <f t="shared" si="25"/>
        <v>0</v>
      </c>
      <c r="ED41" s="16">
        <f t="shared" si="26"/>
        <v>0</v>
      </c>
      <c r="EE41" s="16">
        <f t="shared" si="17"/>
        <v>0</v>
      </c>
      <c r="EF41" s="30" t="str">
        <f t="shared" si="18"/>
        <v/>
      </c>
      <c r="EG41" s="30" t="str">
        <f t="shared" si="27"/>
        <v/>
      </c>
      <c r="EH41" s="16">
        <f t="shared" si="28"/>
        <v>0</v>
      </c>
      <c r="EI41" s="30"/>
      <c r="EJ41" s="30">
        <f t="shared" si="19"/>
        <v>46227</v>
      </c>
      <c r="EM41" s="16" t="str">
        <f t="shared" si="29"/>
        <v>Fiche infoA546227</v>
      </c>
      <c r="EN41" s="16">
        <f t="shared" si="20"/>
        <v>0</v>
      </c>
      <c r="EQ41" s="16" t="str">
        <f>Juillet!FS43</f>
        <v/>
      </c>
    </row>
    <row r="42" spans="1:147" ht="18" customHeight="1" x14ac:dyDescent="0.2">
      <c r="A42" s="24" t="str">
        <f>+Juillet!BJ44</f>
        <v>Fiche infoA6</v>
      </c>
      <c r="B42" s="107">
        <f t="shared" si="30"/>
        <v>46228</v>
      </c>
      <c r="C42" s="170">
        <f>+$D$13+24</f>
        <v>46228</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Juillet!BC44</f>
        <v>0</v>
      </c>
      <c r="J42" s="34">
        <f>Juillet!BE44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infoA6</v>
      </c>
      <c r="BB42" s="107">
        <f t="shared" si="31"/>
        <v>46228</v>
      </c>
      <c r="BC42" s="170">
        <f>+$D$13+24</f>
        <v>46228</v>
      </c>
      <c r="BD42" s="171" t="str">
        <f t="shared" si="32"/>
        <v/>
      </c>
      <c r="BE42" s="171" t="str">
        <f>+IF(OR(BF42=S.CAL!$BJ$3,BF42=S.CAL!$BJ$4),BD42,"")</f>
        <v/>
      </c>
      <c r="BF42" s="333">
        <f>IF($DY$5=S.CAL!$CU$2,Juillet!AR44,IF($DY$5=S.CAL!$CU$3,VLOOKUP(BC42,planning_fp,7,FALSE),""))</f>
        <v>0</v>
      </c>
      <c r="BG42" s="345" t="str">
        <f>Juillet!BL44</f>
        <v>A</v>
      </c>
      <c r="BH42" s="356"/>
      <c r="BI42" s="358"/>
      <c r="BJ42" s="355"/>
      <c r="BK42" s="355"/>
      <c r="BL42" s="35"/>
      <c r="BV42" s="355"/>
      <c r="BW42" s="355"/>
      <c r="BX42" s="355"/>
      <c r="BY42" s="355"/>
      <c r="BZ42" s="355"/>
      <c r="CA42" s="355"/>
      <c r="CB42" s="355"/>
      <c r="CD42" s="328"/>
      <c r="CE42" s="107">
        <f t="shared" si="33"/>
        <v>46228</v>
      </c>
      <c r="CF42" s="170">
        <f>+$D$13+24</f>
        <v>46228</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IF(+Juillet!AG44="",0,Juillet!AG44)</f>
        <v>0</v>
      </c>
      <c r="DZ42" s="16">
        <f>+IF(Juillet!AJ44="",0,Juillet!AJ44)</f>
        <v>0</v>
      </c>
      <c r="EA42" s="16">
        <f>+IF(Juillet!AM44="",0,Juillet!AM44)</f>
        <v>0</v>
      </c>
      <c r="EB42" s="16">
        <f t="shared" si="25"/>
        <v>0</v>
      </c>
      <c r="ED42" s="16">
        <f t="shared" si="26"/>
        <v>0</v>
      </c>
      <c r="EE42" s="16">
        <f t="shared" si="17"/>
        <v>0</v>
      </c>
      <c r="EF42" s="30" t="str">
        <f t="shared" si="18"/>
        <v/>
      </c>
      <c r="EG42" s="30" t="str">
        <f t="shared" si="27"/>
        <v/>
      </c>
      <c r="EH42" s="16">
        <f t="shared" si="28"/>
        <v>0</v>
      </c>
      <c r="EI42" s="30"/>
      <c r="EJ42" s="30">
        <f t="shared" si="19"/>
        <v>46228</v>
      </c>
      <c r="EM42" s="16" t="str">
        <f t="shared" si="29"/>
        <v>Fiche infoA646228</v>
      </c>
      <c r="EN42" s="16">
        <f t="shared" si="20"/>
        <v>0</v>
      </c>
      <c r="EQ42" s="16" t="str">
        <f>Juillet!FS44</f>
        <v/>
      </c>
    </row>
    <row r="43" spans="1:147" ht="18" customHeight="1" x14ac:dyDescent="0.2">
      <c r="A43" s="24" t="str">
        <f>+Juillet!BJ45</f>
        <v>Fiche infoA7</v>
      </c>
      <c r="B43" s="107">
        <f t="shared" si="30"/>
        <v>46229</v>
      </c>
      <c r="C43" s="170">
        <f>+$D$13+25</f>
        <v>46229</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Juillet!BC45</f>
        <v>0</v>
      </c>
      <c r="J43" s="34">
        <f>Juillet!BE45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infoA7</v>
      </c>
      <c r="BB43" s="107">
        <f t="shared" si="31"/>
        <v>46229</v>
      </c>
      <c r="BC43" s="170">
        <f>+$D$13+25</f>
        <v>46229</v>
      </c>
      <c r="BD43" s="171" t="str">
        <f t="shared" si="32"/>
        <v/>
      </c>
      <c r="BE43" s="171" t="str">
        <f>+IF(OR(BF43=S.CAL!$BJ$3,BF43=S.CAL!$BJ$4),BD43,"")</f>
        <v/>
      </c>
      <c r="BF43" s="333">
        <f>IF($DY$5=S.CAL!$CU$2,Juillet!AR45,IF($DY$5=S.CAL!$CU$3,VLOOKUP(BC43,planning_fp,7,FALSE),""))</f>
        <v>0</v>
      </c>
      <c r="BG43" s="345" t="str">
        <f>Juillet!BL45</f>
        <v>A</v>
      </c>
      <c r="BH43" s="24"/>
      <c r="BI43" s="24" t="s">
        <v>696</v>
      </c>
      <c r="BJ43" s="24"/>
      <c r="BK43" s="355"/>
      <c r="BL43" s="35"/>
      <c r="BV43" s="355"/>
      <c r="BW43" s="355"/>
      <c r="BX43" s="355"/>
      <c r="BY43" s="355"/>
      <c r="BZ43" s="355"/>
      <c r="CA43" s="355"/>
      <c r="CB43" s="355"/>
      <c r="CD43" s="328"/>
      <c r="CE43" s="107">
        <f t="shared" si="33"/>
        <v>46229</v>
      </c>
      <c r="CF43" s="170">
        <f>+$D$13+25</f>
        <v>46229</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IF(+Juillet!AG45="",0,Juillet!AG45)</f>
        <v>0</v>
      </c>
      <c r="DZ43" s="16">
        <f>+IF(Juillet!AJ45="",0,Juillet!AJ45)</f>
        <v>0</v>
      </c>
      <c r="EA43" s="16">
        <f>+IF(Juillet!AM45="",0,Juillet!AM45)</f>
        <v>0</v>
      </c>
      <c r="EB43" s="16">
        <f t="shared" si="25"/>
        <v>0</v>
      </c>
      <c r="ED43" s="16">
        <f t="shared" si="26"/>
        <v>0</v>
      </c>
      <c r="EE43" s="16">
        <f t="shared" si="17"/>
        <v>0</v>
      </c>
      <c r="EF43" s="30" t="str">
        <f t="shared" si="18"/>
        <v/>
      </c>
      <c r="EG43" s="30" t="str">
        <f t="shared" si="27"/>
        <v/>
      </c>
      <c r="EH43" s="16">
        <f t="shared" si="28"/>
        <v>0</v>
      </c>
      <c r="EI43" s="30"/>
      <c r="EJ43" s="30">
        <f t="shared" si="19"/>
        <v>46229</v>
      </c>
      <c r="EM43" s="16" t="str">
        <f t="shared" si="29"/>
        <v>Fiche infoA746229</v>
      </c>
      <c r="EN43" s="16">
        <f t="shared" si="20"/>
        <v>0</v>
      </c>
      <c r="EQ43" s="16" t="str">
        <f>Juillet!FS45</f>
        <v/>
      </c>
    </row>
    <row r="44" spans="1:147" ht="18" customHeight="1" x14ac:dyDescent="0.25">
      <c r="A44" s="24" t="str">
        <f>+Juillet!BJ46</f>
        <v>Fiche infoA1</v>
      </c>
      <c r="B44" s="107">
        <f t="shared" si="30"/>
        <v>46230</v>
      </c>
      <c r="C44" s="170">
        <f>+$D$13+26</f>
        <v>46230</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Juillet!BC46</f>
        <v>0</v>
      </c>
      <c r="J44" s="34">
        <f>Juillet!BE46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infoA1</v>
      </c>
      <c r="BB44" s="107">
        <f t="shared" si="31"/>
        <v>46230</v>
      </c>
      <c r="BC44" s="170">
        <f>+$D$13+26</f>
        <v>46230</v>
      </c>
      <c r="BD44" s="171" t="str">
        <f t="shared" si="32"/>
        <v/>
      </c>
      <c r="BE44" s="171" t="str">
        <f>+IF(OR(BF44=S.CAL!$BJ$3,BF44=S.CAL!$BJ$4),BD44,"")</f>
        <v/>
      </c>
      <c r="BF44" s="333">
        <f>IF($DY$5=S.CAL!$CU$2,Juillet!AR46,IF($DY$5=S.CAL!$CU$3,VLOOKUP(BC44,planning_fp,7,FALSE),""))</f>
        <v>0</v>
      </c>
      <c r="BG44" s="345" t="str">
        <f>Juillet!BL46</f>
        <v>A</v>
      </c>
      <c r="BH44" s="24" t="s">
        <v>788</v>
      </c>
      <c r="BI44" s="24"/>
      <c r="BJ44" s="24"/>
      <c r="BK44" s="355"/>
      <c r="BL44" s="35"/>
      <c r="BV44" s="355"/>
      <c r="BW44" s="355"/>
      <c r="BX44" s="355"/>
      <c r="BY44" s="355"/>
      <c r="BZ44" s="355"/>
      <c r="CA44" s="355"/>
      <c r="CB44" s="355"/>
      <c r="CD44" s="328"/>
      <c r="CE44" s="107">
        <f t="shared" si="33"/>
        <v>46230</v>
      </c>
      <c r="CF44" s="170">
        <f>+$D$13+26</f>
        <v>46230</v>
      </c>
      <c r="CG44" s="171">
        <f t="shared" si="22"/>
        <v>0</v>
      </c>
      <c r="CH44" s="34"/>
      <c r="CL44" s="99" t="str">
        <f t="shared" ref="CL44" si="50">Z44</f>
        <v>Heures réelles</v>
      </c>
      <c r="CO44" s="882"/>
      <c r="CP44" s="882"/>
      <c r="CQ44" s="882"/>
      <c r="CR44" s="16">
        <f t="shared" ref="CR44:CR45" si="51">AF44</f>
        <v>0</v>
      </c>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IF(+Juillet!AG46="",0,Juillet!AG46)</f>
        <v>0</v>
      </c>
      <c r="DZ44" s="16">
        <f>+IF(Juillet!AJ46="",0,Juillet!AJ46)</f>
        <v>0</v>
      </c>
      <c r="EA44" s="16">
        <f>+IF(Juillet!AM46="",0,Juillet!AM46)</f>
        <v>0</v>
      </c>
      <c r="EB44" s="16">
        <f t="shared" si="25"/>
        <v>0</v>
      </c>
      <c r="ED44" s="16">
        <f t="shared" si="26"/>
        <v>0</v>
      </c>
      <c r="EE44" s="16">
        <f t="shared" si="17"/>
        <v>0</v>
      </c>
      <c r="EF44" s="30" t="str">
        <f t="shared" si="18"/>
        <v/>
      </c>
      <c r="EG44" s="30" t="str">
        <f t="shared" si="27"/>
        <v/>
      </c>
      <c r="EH44" s="16">
        <f t="shared" si="28"/>
        <v>0</v>
      </c>
      <c r="EI44" s="30"/>
      <c r="EJ44" s="30">
        <f t="shared" si="19"/>
        <v>46230</v>
      </c>
      <c r="EM44" s="16" t="str">
        <f t="shared" si="29"/>
        <v>Fiche infoA146230</v>
      </c>
      <c r="EN44" s="16">
        <f t="shared" si="20"/>
        <v>0</v>
      </c>
      <c r="EQ44" s="16" t="str">
        <f>Juillet!FS46</f>
        <v/>
      </c>
    </row>
    <row r="45" spans="1:147" ht="18" customHeight="1" x14ac:dyDescent="0.2">
      <c r="A45" s="24" t="str">
        <f>+Juillet!BJ47</f>
        <v>Fiche infoA2</v>
      </c>
      <c r="B45" s="107">
        <f t="shared" si="30"/>
        <v>46231</v>
      </c>
      <c r="C45" s="170">
        <f>IF(C$18+27&lt;DATE(YEAR(O$13),MONTH(O$13),DAY(O$13)),C$18+27,"")</f>
        <v>46231</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Juillet!BC47</f>
        <v>0</v>
      </c>
      <c r="J45" s="34">
        <f>Juillet!BE47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infoA2</v>
      </c>
      <c r="BB45" s="107">
        <f t="shared" si="31"/>
        <v>46231</v>
      </c>
      <c r="BC45" s="170">
        <f>IF(BC$18+27&lt;DATE(YEAR(BH$13),MONTH(BH$13),DAY(BH$13)),BC$18+27,"")</f>
        <v>46231</v>
      </c>
      <c r="BD45" s="171" t="str">
        <f t="shared" si="32"/>
        <v/>
      </c>
      <c r="BE45" s="171" t="str">
        <f>+IF(OR(BF45=S.CAL!$BJ$3,BF45=S.CAL!$BJ$4),BD45,"")</f>
        <v/>
      </c>
      <c r="BF45" s="333">
        <f>IF($DY$5=S.CAL!$CU$2,Juillet!AR47,IF($DY$5=S.CAL!$CU$3,VLOOKUP(BC45,planning_fp,7,FALSE),""))</f>
        <v>0</v>
      </c>
      <c r="BG45" s="345" t="str">
        <f>Juillet!BL47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46231</v>
      </c>
      <c r="CF45" s="170">
        <f>IF(CF$18+27&lt;DATE(YEAR(CQ$13),MONTH(CQ$13),DAY(CQ$13)),CF$18+27,"")</f>
        <v>46231</v>
      </c>
      <c r="CG45" s="171">
        <f t="shared" si="22"/>
        <v>0</v>
      </c>
      <c r="CH45" s="34"/>
      <c r="CO45" s="882"/>
      <c r="CP45" s="882"/>
      <c r="CQ45" s="882"/>
      <c r="CR45" s="16">
        <f t="shared" si="51"/>
        <v>0</v>
      </c>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IF(+Juillet!AG47="",0,Juillet!AG47)</f>
        <v>0</v>
      </c>
      <c r="DZ45" s="16">
        <f>+IF(Juillet!AJ47="",0,Juillet!AJ47)</f>
        <v>0</v>
      </c>
      <c r="EA45" s="16">
        <f>+IF(Juillet!AM47="",0,Juillet!AM47)</f>
        <v>0</v>
      </c>
      <c r="EB45" s="16">
        <f t="shared" si="25"/>
        <v>0</v>
      </c>
      <c r="ED45" s="16">
        <f t="shared" si="26"/>
        <v>0</v>
      </c>
      <c r="EE45" s="16">
        <f t="shared" si="17"/>
        <v>0</v>
      </c>
      <c r="EF45" s="30" t="str">
        <f t="shared" si="18"/>
        <v/>
      </c>
      <c r="EG45" s="30" t="str">
        <f t="shared" si="27"/>
        <v/>
      </c>
      <c r="EH45" s="16">
        <f t="shared" si="28"/>
        <v>0</v>
      </c>
      <c r="EI45" s="30"/>
      <c r="EJ45" s="30">
        <f t="shared" si="19"/>
        <v>46231</v>
      </c>
      <c r="EM45" s="16" t="str">
        <f t="shared" si="29"/>
        <v>Fiche infoA246231</v>
      </c>
      <c r="EN45" s="16">
        <f t="shared" si="20"/>
        <v>0</v>
      </c>
      <c r="EQ45" s="16" t="str">
        <f>Juillet!FS47</f>
        <v/>
      </c>
    </row>
    <row r="46" spans="1:147" ht="18" customHeight="1" x14ac:dyDescent="0.2">
      <c r="A46" s="24" t="str">
        <f>+Juillet!BJ48</f>
        <v>Fiche infoA3</v>
      </c>
      <c r="B46" s="107">
        <f t="shared" si="30"/>
        <v>46232</v>
      </c>
      <c r="C46" s="170">
        <f>IF(C$18+28&lt;DATE(YEAR(O$13),MONTH(O$13),DAY(O$13)),C$18+28,"")</f>
        <v>46232</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Juillet!BC48</f>
        <v>0</v>
      </c>
      <c r="J46" s="34">
        <f>Juillet!BE48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infoA3</v>
      </c>
      <c r="BB46" s="107">
        <f t="shared" si="31"/>
        <v>46232</v>
      </c>
      <c r="BC46" s="170">
        <f>IF(BC$18+28&lt;DATE(YEAR(BH$13),MONTH(BH$13),DAY(BH$13)),BC$18+28,"")</f>
        <v>46232</v>
      </c>
      <c r="BD46" s="171" t="str">
        <f t="shared" si="32"/>
        <v/>
      </c>
      <c r="BE46" s="171" t="str">
        <f>+IF(OR(BF46=S.CAL!$BJ$3,BF46=S.CAL!$BJ$4),BD46,"")</f>
        <v/>
      </c>
      <c r="BF46" s="333">
        <f>IF($DY$5=S.CAL!$CU$2,Juillet!AR48,IF($DY$5=S.CAL!$CU$3,VLOOKUP(BC46,planning_fp,7,FALSE),""))</f>
        <v>0</v>
      </c>
      <c r="BG46" s="345" t="str">
        <f>Juillet!BL48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46232</v>
      </c>
      <c r="CF46" s="170">
        <f>IF(CF$18+28&lt;DATE(YEAR(CQ$13),MONTH(CQ$13),DAY(CQ$13)),CF$18+28,"")</f>
        <v>46232</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IF(+Juillet!AG48="",0,Juillet!AG48)</f>
        <v>0</v>
      </c>
      <c r="DZ46" s="16">
        <f>+IF(Juillet!AJ48="",0,Juillet!AJ48)</f>
        <v>0</v>
      </c>
      <c r="EA46" s="16">
        <f>+IF(Juillet!AM48="",0,Juillet!AM48)</f>
        <v>0</v>
      </c>
      <c r="EB46" s="16">
        <f t="shared" si="25"/>
        <v>0</v>
      </c>
      <c r="ED46" s="16">
        <f t="shared" si="26"/>
        <v>0</v>
      </c>
      <c r="EE46" s="16">
        <f t="shared" si="17"/>
        <v>0</v>
      </c>
      <c r="EF46" s="30" t="str">
        <f t="shared" si="18"/>
        <v/>
      </c>
      <c r="EG46" s="30" t="str">
        <f t="shared" si="27"/>
        <v/>
      </c>
      <c r="EH46" s="16">
        <f t="shared" si="28"/>
        <v>0</v>
      </c>
      <c r="EI46" s="30"/>
      <c r="EJ46" s="30">
        <f t="shared" si="19"/>
        <v>46232</v>
      </c>
      <c r="EM46" s="16" t="str">
        <f t="shared" si="29"/>
        <v>Fiche infoA346232</v>
      </c>
      <c r="EN46" s="16">
        <f t="shared" si="20"/>
        <v>0</v>
      </c>
      <c r="EQ46" s="16" t="str">
        <f>Juillet!FS48</f>
        <v/>
      </c>
    </row>
    <row r="47" spans="1:147" ht="18" customHeight="1" x14ac:dyDescent="0.2">
      <c r="A47" s="24" t="str">
        <f>+Juillet!BJ49</f>
        <v>Fiche infoA4</v>
      </c>
      <c r="B47" s="107">
        <f t="shared" si="30"/>
        <v>46233</v>
      </c>
      <c r="C47" s="170">
        <f>IF(C$18+29&lt;DATE(YEAR(O$13),MONTH(O$13),DAY(O$13)),C$18+29,"")</f>
        <v>46233</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Juillet!BC49</f>
        <v>0</v>
      </c>
      <c r="J47" s="34">
        <f>Juillet!BE49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2">SUM(AP39:AP46)</f>
        <v>0</v>
      </c>
      <c r="AQ47" s="1202">
        <f t="shared" si="52"/>
        <v>0</v>
      </c>
      <c r="BA47" s="331" t="str">
        <f t="shared" si="16"/>
        <v>Fiche infoA4</v>
      </c>
      <c r="BB47" s="107">
        <f t="shared" si="31"/>
        <v>46233</v>
      </c>
      <c r="BC47" s="170">
        <f>IF(BC$18+29&lt;DATE(YEAR(BH$13),MONTH(BH$13),DAY(BH$13)),BC$18+29,"")</f>
        <v>46233</v>
      </c>
      <c r="BD47" s="171" t="str">
        <f t="shared" si="32"/>
        <v/>
      </c>
      <c r="BE47" s="171" t="str">
        <f>+IF(OR(BF47=S.CAL!$BJ$3,BF47=S.CAL!$BJ$4),BD47,"")</f>
        <v/>
      </c>
      <c r="BF47" s="333">
        <f>IF($DY$5=S.CAL!$CU$2,Juillet!AR49,IF($DY$5=S.CAL!$CU$3,VLOOKUP(BC47,planning_fp,7,FALSE),""))</f>
        <v>0</v>
      </c>
      <c r="BG47" s="345" t="str">
        <f>Juillet!BL49</f>
        <v>A</v>
      </c>
      <c r="BH47" s="355"/>
      <c r="BI47" s="355"/>
      <c r="BJ47" s="355"/>
      <c r="BK47" s="355"/>
      <c r="BL47" s="35"/>
      <c r="BV47" s="355"/>
      <c r="BW47" s="355"/>
      <c r="BX47" s="355"/>
      <c r="BY47" s="355"/>
      <c r="BZ47" s="355"/>
      <c r="CA47" s="355"/>
      <c r="CB47" s="355"/>
      <c r="CD47" s="328"/>
      <c r="CE47" s="107">
        <f t="shared" si="33"/>
        <v>46233</v>
      </c>
      <c r="CF47" s="170">
        <f>IF(CF$18+29&lt;DATE(YEAR(CQ$13),MONTH(CQ$13),DAY(CQ$13)),CF$18+29,"")</f>
        <v>46233</v>
      </c>
      <c r="CG47" s="171">
        <f t="shared" si="22"/>
        <v>0</v>
      </c>
      <c r="CH47" s="34"/>
      <c r="CI47" s="129"/>
      <c r="CJ47" s="129"/>
      <c r="CK47" s="577"/>
      <c r="CL47" s="2545"/>
      <c r="CM47" s="2547"/>
      <c r="CN47" s="2014"/>
      <c r="CO47" s="196" t="str">
        <f t="shared" ref="CO47" si="53">AC47</f>
        <v>mois en cours</v>
      </c>
      <c r="CP47" s="196" t="str">
        <f t="shared" ref="CP47" si="54">AD47</f>
        <v>mois avant</v>
      </c>
      <c r="CQ47" s="196" t="str">
        <f t="shared" ref="CQ47" si="55">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IF(+Juillet!AG49="",0,Juillet!AG49)</f>
        <v>0</v>
      </c>
      <c r="DZ47" s="16">
        <f>+IF(Juillet!AJ49="",0,Juillet!AJ49)</f>
        <v>0</v>
      </c>
      <c r="EA47" s="16">
        <f>+IF(Juillet!AM49="",0,Juillet!AM49)</f>
        <v>0</v>
      </c>
      <c r="EB47" s="16">
        <f t="shared" si="25"/>
        <v>0</v>
      </c>
      <c r="ED47" s="16">
        <f t="shared" si="26"/>
        <v>0</v>
      </c>
      <c r="EE47" s="16">
        <f t="shared" si="17"/>
        <v>0</v>
      </c>
      <c r="EF47" s="30" t="str">
        <f t="shared" si="18"/>
        <v/>
      </c>
      <c r="EG47" s="30" t="str">
        <f t="shared" si="27"/>
        <v/>
      </c>
      <c r="EH47" s="16">
        <f t="shared" si="28"/>
        <v>0</v>
      </c>
      <c r="EI47" s="30"/>
      <c r="EJ47" s="30">
        <f t="shared" si="19"/>
        <v>46233</v>
      </c>
      <c r="EM47" s="16" t="str">
        <f t="shared" si="29"/>
        <v>Fiche infoA446233</v>
      </c>
      <c r="EN47" s="16">
        <f t="shared" si="20"/>
        <v>0</v>
      </c>
      <c r="EQ47" s="16" t="str">
        <f>Juillet!FS49</f>
        <v/>
      </c>
    </row>
    <row r="48" spans="1:147" ht="18" customHeight="1" thickBot="1" x14ac:dyDescent="0.25">
      <c r="A48" s="24" t="str">
        <f>+Juillet!BJ50</f>
        <v>Fiche infoA5</v>
      </c>
      <c r="B48" s="110">
        <f t="shared" si="30"/>
        <v>46234</v>
      </c>
      <c r="C48" s="190">
        <f>IF(C$18+30&lt;DATE(YEAR(O$13),MONTH(O$13),DAY(O$13)),C$18+30,"")</f>
        <v>46234</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Juillet!BC50</f>
        <v>0</v>
      </c>
      <c r="J48" s="34">
        <f>Juillet!BE50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6">W34</f>
        <v>Semaine numéro : 27</v>
      </c>
      <c r="X48" s="2538"/>
      <c r="Y48" s="2538"/>
      <c r="Z48" s="1323" t="str">
        <f>+IF(Z34="","",Z34)</f>
        <v/>
      </c>
      <c r="AA48" s="1316">
        <f>+IF(Z48="",IF(AND(AD48&gt;0,AC48&gt;0),AD48+AC48,IF(AE48&gt;0,0,AC48)),Z48)</f>
        <v>0</v>
      </c>
      <c r="AB48" s="1316">
        <f>IF(AA48&gt;45,AA48-45,0)</f>
        <v>0</v>
      </c>
      <c r="AC48" s="1322">
        <f>+SUMIF(Juillet!$BK$20:$BK$50,Juillet!AT4,$D$18:$D$48)-SUMIF(Juillet!$BK$20:$BK$50,Juillet!AT4,$E$18:$E$48)</f>
        <v>0</v>
      </c>
      <c r="AD48" s="1322">
        <f>+SUMIF(Juin!$BK$20:$BK$50,Juillet!AT4,'Retenue Juin'!$D$18:$D$48)-SUMIF(Juin!$BK$20:$BK$50,Juillet!AT4,'Retenue Juin'!$E$18:$E$48)</f>
        <v>0</v>
      </c>
      <c r="AE48" s="1322">
        <f>+SUMIF(Aout!$BK$20:$BK$50,Juillet!AT4,'Retenue Aout'!$D$18:$D$48)-SUMIF(Aout!$BK$20:$BK$50,Juillet!AT4,'Retenue Aout'!$E$18:$E$48)</f>
        <v>0</v>
      </c>
      <c r="AF48" s="1316">
        <f>+AC48-AB48</f>
        <v>0</v>
      </c>
      <c r="AK48" s="1189"/>
      <c r="AL48" s="1202"/>
      <c r="AO48" s="1202">
        <f>+AN39*AL26</f>
        <v>0</v>
      </c>
      <c r="AP48" s="1202">
        <f>+AO48*(1-AX21)</f>
        <v>0</v>
      </c>
      <c r="AQ48" s="1202">
        <f>+AO48-AP48</f>
        <v>0</v>
      </c>
      <c r="BA48" s="331" t="str">
        <f t="shared" si="16"/>
        <v>Fiche infoA5</v>
      </c>
      <c r="BB48" s="110">
        <f t="shared" si="31"/>
        <v>46234</v>
      </c>
      <c r="BC48" s="190">
        <f>IF(BC$18+30&lt;DATE(YEAR(BH$13),MONTH(BH$13),DAY(BH$13)),BC$18+30,"")</f>
        <v>46234</v>
      </c>
      <c r="BD48" s="191" t="str">
        <f t="shared" si="32"/>
        <v/>
      </c>
      <c r="BE48" s="191" t="str">
        <f>+IF(OR(BF48=S.CAL!$BJ$3,BF48=S.CAL!$BJ$4),BD48,"")</f>
        <v/>
      </c>
      <c r="BF48" s="334">
        <f>IF($DY$5=S.CAL!$CU$2,Juillet!AR50,IF($DY$5=S.CAL!$CU$3,VLOOKUP(BC48,planning_fp,7,FALSE),""))</f>
        <v>0</v>
      </c>
      <c r="BG48" s="346" t="str">
        <f>Juillet!BL50</f>
        <v>A</v>
      </c>
      <c r="BH48" s="356"/>
      <c r="BI48" s="355"/>
      <c r="BJ48" s="355"/>
      <c r="BK48" s="355"/>
      <c r="BL48" s="35"/>
      <c r="BQ48" s="16" t="s">
        <v>834</v>
      </c>
      <c r="BV48" s="355"/>
      <c r="BW48" s="355"/>
      <c r="BX48" s="355" t="s">
        <v>834</v>
      </c>
      <c r="BZ48" s="355"/>
      <c r="CA48" s="355"/>
      <c r="CB48" s="355"/>
      <c r="CD48" s="328"/>
      <c r="CE48" s="110">
        <f t="shared" si="33"/>
        <v>46234</v>
      </c>
      <c r="CF48" s="190">
        <f>IF(CF$18+30&lt;DATE(YEAR(CQ$13),MONTH(CQ$13),DAY(CQ$13)),CF$18+30,"")</f>
        <v>46234</v>
      </c>
      <c r="CG48" s="191">
        <f t="shared" si="22"/>
        <v>0</v>
      </c>
      <c r="CH48" s="34"/>
      <c r="CI48" s="2534" t="str">
        <f t="shared" ref="CI48:CI53" si="57">W48</f>
        <v>Semaine numéro : 27</v>
      </c>
      <c r="CJ48" s="2535"/>
      <c r="CK48" s="2536"/>
      <c r="CL48" s="875" t="str">
        <f>+IF(CL34="","",CL34)</f>
        <v/>
      </c>
      <c r="CM48" s="656">
        <f>+IF(CL48="",IF(AND(CP48&gt;0,CO48&gt;0),CP48+CO48,IF(CQ48&gt;0,0,CO48)),CL48)</f>
        <v>0</v>
      </c>
      <c r="CN48" s="655">
        <f>IF(CM48&gt;45,CM48-45,0)</f>
        <v>0</v>
      </c>
      <c r="CO48" s="196">
        <f>+SUMIF(Juillet!$BK$20:$BK$50,Juillet!AT4,$CG$18:$CG$48)</f>
        <v>0</v>
      </c>
      <c r="CP48" s="196">
        <f>+SUMIF(Juin!$BK$20:$BK$50,Juillet!AT4,'Retenue Juin'!$CG$18:$CG$48)</f>
        <v>0</v>
      </c>
      <c r="CQ48" s="196">
        <f>+SUMIF(Aout!$BK$20:$BK$50,Juillet!AT4,'Retenue Aout'!$CG$18:$CG$48)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IF(+Juillet!AG50="",0,Juillet!AG50)</f>
        <v>0</v>
      </c>
      <c r="DZ48" s="16">
        <f>+IF(Juillet!AJ50="",0,Juillet!AJ50)</f>
        <v>0</v>
      </c>
      <c r="EA48" s="16">
        <f>+IF(Juillet!AM50="",0,Juillet!AM50)</f>
        <v>0</v>
      </c>
      <c r="EB48" s="16">
        <f t="shared" si="25"/>
        <v>0</v>
      </c>
      <c r="ED48" s="16">
        <f t="shared" si="26"/>
        <v>0</v>
      </c>
      <c r="EE48" s="16">
        <f t="shared" si="17"/>
        <v>0</v>
      </c>
      <c r="EF48" s="30" t="str">
        <f t="shared" si="18"/>
        <v/>
      </c>
      <c r="EG48" s="30" t="str">
        <f t="shared" si="27"/>
        <v/>
      </c>
      <c r="EH48" s="16">
        <f t="shared" si="28"/>
        <v>0</v>
      </c>
      <c r="EI48" s="30"/>
      <c r="EJ48" s="30">
        <f t="shared" si="19"/>
        <v>46234</v>
      </c>
      <c r="EM48" s="16" t="str">
        <f t="shared" si="29"/>
        <v>Fiche infoA546234</v>
      </c>
      <c r="EN48" s="16">
        <f t="shared" si="20"/>
        <v>0</v>
      </c>
      <c r="EQ48" s="16" t="str">
        <f>Juillet!FS50</f>
        <v/>
      </c>
    </row>
    <row r="49" spans="2:139" ht="18" customHeight="1" thickBot="1" x14ac:dyDescent="0.25">
      <c r="N49" s="24"/>
      <c r="O49" s="24"/>
      <c r="P49" s="24"/>
      <c r="Q49" s="24"/>
      <c r="R49" s="24"/>
      <c r="S49" s="1325"/>
      <c r="U49" s="1301"/>
      <c r="V49" s="1301"/>
      <c r="W49" s="2538" t="str">
        <f t="shared" si="56"/>
        <v>Semaine numéro : 28</v>
      </c>
      <c r="X49" s="2538"/>
      <c r="Y49" s="2538"/>
      <c r="Z49" s="1323" t="str">
        <f t="shared" ref="Z49:Z53" si="58">+IF(Z35="","",Z35)</f>
        <v/>
      </c>
      <c r="AA49" s="1316">
        <f t="shared" ref="AA49:AA53" si="59">+IF(Z49="",IF(AND(AD49&gt;0,AC49&gt;0),AD49+AC49,IF(AE49&gt;0,0,AC49)),Z49)</f>
        <v>0</v>
      </c>
      <c r="AB49" s="1316">
        <f t="shared" ref="AB49:AB53" si="60">IF(AA49&gt;45,AA49-45,0)</f>
        <v>0</v>
      </c>
      <c r="AC49" s="1322">
        <f>+SUMIF(Juillet!$BK$20:$BK$50,Juillet!AT5,$D$18:$D$48)-SUMIF(Juillet!$BK$20:$BK$50,Juillet!AT5,$E$18:$E$48)</f>
        <v>0</v>
      </c>
      <c r="AD49" s="1322">
        <f>+SUMIF(Juin!$BK$20:$BK$50,Juillet!AT5,'Retenue Juin'!$D$18:$D$48)-SUMIF(Juin!$BK$20:$BK$50,Juillet!AT5,'Retenue Juin'!$E$18:$E$48)</f>
        <v>0</v>
      </c>
      <c r="AE49" s="1322">
        <f>+SUMIF(Aout!$BK$20:$BK$50,Juillet!AT5,'Retenue Aout'!$D$18:$D$48)-SUMIF(Aout!$BK$20:$BK$50,Juillet!AT5,'Retenue Aout'!$E$18:$E$48)</f>
        <v>0</v>
      </c>
      <c r="AF49" s="1316">
        <f t="shared" ref="AF49:AF53" si="61">+AC49-AB49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7"/>
        <v>Semaine numéro : 28</v>
      </c>
      <c r="CJ49" s="2535"/>
      <c r="CK49" s="2536"/>
      <c r="CL49" s="875" t="str">
        <f t="shared" ref="CL49:CL53" si="62">+IF(CL35="","",CL35)</f>
        <v/>
      </c>
      <c r="CM49" s="656">
        <f t="shared" ref="CM49:CM53" si="63">+IF(CL49="",IF(AND(CP49&gt;0,CO49&gt;0),CP49+CO49,IF(CQ49&gt;0,0,CO49)),CL49)</f>
        <v>0</v>
      </c>
      <c r="CN49" s="655">
        <f t="shared" ref="CN49:CN53" si="64">IF(CM49&gt;45,CM49-45,0)</f>
        <v>0</v>
      </c>
      <c r="CO49" s="196">
        <f>+SUMIF(Juillet!$BK$20:$BK$50,Juillet!AT5,$CG$18:$CG$48)</f>
        <v>0</v>
      </c>
      <c r="CP49" s="196">
        <f>+SUMIF(Juin!$BK$20:$BK$50,Juillet!AT5,'Retenue Juin'!$CG$18:$CG$48)</f>
        <v>0</v>
      </c>
      <c r="CQ49" s="196">
        <f>+SUMIF(Aout!$BK$20:$BK$50,Juillet!AT5,'Retenue Aout'!$CG$18:$CG$48)</f>
        <v>0</v>
      </c>
      <c r="CR49" s="656">
        <f t="shared" ref="CR49:CR53" si="65">+CO49-CN49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6"/>
        <v>Semaine numéro : 29</v>
      </c>
      <c r="X50" s="2538"/>
      <c r="Y50" s="2538"/>
      <c r="Z50" s="1323" t="str">
        <f t="shared" si="58"/>
        <v/>
      </c>
      <c r="AA50" s="1316">
        <f t="shared" si="59"/>
        <v>0</v>
      </c>
      <c r="AB50" s="1316">
        <f t="shared" si="60"/>
        <v>0</v>
      </c>
      <c r="AC50" s="1322">
        <f>+SUMIF(Juillet!$BK$20:$BK$50,Juillet!AT6,$D$18:$D$48)-SUMIF(Juillet!$BK$20:$BK$50,Juillet!AT6,$E$18:$E$48)</f>
        <v>0</v>
      </c>
      <c r="AD50" s="1322">
        <f>+SUMIF(Juin!$BK$20:$BK$50,Juillet!AT6,'Retenue Juin'!$D$18:$D$48)-SUMIF(Juin!$BK$20:$BK$50,Juillet!AT6,'Retenue Juin'!$E$18:$E$48)</f>
        <v>0</v>
      </c>
      <c r="AE50" s="1322">
        <f>+SUMIF(Aout!$BK$20:$BK$50,Juillet!AT6,'Retenue Aout'!$D$18:$D$48)-SUMIF(Aout!$BK$20:$BK$50,Juillet!AT6,'Retenue Aout'!$E$18:$E$48)</f>
        <v>0</v>
      </c>
      <c r="AF50" s="1316">
        <f t="shared" si="61"/>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7"/>
        <v>Semaine numéro : 29</v>
      </c>
      <c r="CJ50" s="2535"/>
      <c r="CK50" s="2536"/>
      <c r="CL50" s="875" t="str">
        <f t="shared" si="62"/>
        <v/>
      </c>
      <c r="CM50" s="656">
        <f t="shared" si="63"/>
        <v>0</v>
      </c>
      <c r="CN50" s="655">
        <f t="shared" si="64"/>
        <v>0</v>
      </c>
      <c r="CO50" s="196">
        <f>+SUMIF(Juillet!$BK$20:$BK$50,Juillet!AT6,$CG$18:$CG$48)</f>
        <v>0</v>
      </c>
      <c r="CP50" s="196">
        <f>+SUMIF(Juin!$BK$20:$BK$50,Juillet!AT6,'Retenue Juin'!$CG$18:$CG$48)</f>
        <v>0</v>
      </c>
      <c r="CQ50" s="196">
        <f>+SUMIF(Aout!$BK$20:$BK$50,Juillet!AT6,'Retenue Aout'!$CG$18:$CG$48)</f>
        <v>0</v>
      </c>
      <c r="CR50" s="656">
        <f t="shared" si="65"/>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6"/>
        <v>Semaine numéro : 30</v>
      </c>
      <c r="X51" s="2538"/>
      <c r="Y51" s="2538"/>
      <c r="Z51" s="1323" t="str">
        <f t="shared" si="58"/>
        <v/>
      </c>
      <c r="AA51" s="1316">
        <f t="shared" si="59"/>
        <v>0</v>
      </c>
      <c r="AB51" s="1316">
        <f t="shared" si="60"/>
        <v>0</v>
      </c>
      <c r="AC51" s="1322">
        <f>+SUMIF(Juillet!$BK$20:$BK$50,Juillet!AT7,$D$18:$D$48)-SUMIF(Juillet!$BK$20:$BK$50,Juillet!AT7,$E$18:$E$48)</f>
        <v>0</v>
      </c>
      <c r="AD51" s="1322">
        <f>+SUMIF(Juin!$BK$20:$BK$50,Juillet!AT7,'Retenue Juin'!$D$18:$D$48)-SUMIF(Juin!$BK$20:$BK$50,Juillet!AT7,'Retenue Juin'!$E$18:$E$48)</f>
        <v>0</v>
      </c>
      <c r="AE51" s="1322">
        <f>+SUMIF(Aout!$BK$20:$BK$50,Juillet!AT7,'Retenue Aout'!$D$18:$D$48)-SUMIF(Aout!$BK$20:$BK$50,Juillet!AT7,'Retenue Aout'!$E$18:$E$48)</f>
        <v>0</v>
      </c>
      <c r="AF51" s="1316">
        <f t="shared" si="61"/>
        <v>0</v>
      </c>
      <c r="AG51" s="1327"/>
      <c r="AJ51" s="1304"/>
      <c r="AK51" s="1305"/>
      <c r="AL51" s="1307"/>
      <c r="BA51" s="328"/>
      <c r="BD51" s="351" t="s">
        <v>746</v>
      </c>
      <c r="BE51" s="192">
        <f>+SUMIFS(BE18:BE48,BF18:BF48,S.CAL!BJ3)</f>
        <v>0</v>
      </c>
      <c r="BF51" s="352">
        <f>IF(Juillet!AZ90="",+COUNTIF(BF18:BF48,S.CAL!BJ3),Juillet!AZ90)</f>
        <v>0</v>
      </c>
      <c r="BL51" s="35"/>
      <c r="CD51" s="328"/>
      <c r="CI51" s="2534" t="str">
        <f t="shared" si="57"/>
        <v>Semaine numéro : 30</v>
      </c>
      <c r="CJ51" s="2535"/>
      <c r="CK51" s="2536"/>
      <c r="CL51" s="875" t="str">
        <f t="shared" si="62"/>
        <v/>
      </c>
      <c r="CM51" s="656">
        <f t="shared" si="63"/>
        <v>0</v>
      </c>
      <c r="CN51" s="655">
        <f t="shared" si="64"/>
        <v>0</v>
      </c>
      <c r="CO51" s="196">
        <f>+SUMIF(Juillet!$BK$20:$BK$50,Juillet!AT7,$CG$18:$CG$48)</f>
        <v>0</v>
      </c>
      <c r="CP51" s="196">
        <f>+SUMIF(Juin!$BK$20:$BK$50,Juillet!AT7,'Retenue Juin'!$CG$18:$CG$48)</f>
        <v>0</v>
      </c>
      <c r="CQ51" s="196">
        <f>+SUMIF(Aout!$BK$20:$BK$50,Juillet!AT7,'Retenue Aout'!$CG$18:$CG$48)</f>
        <v>0</v>
      </c>
      <c r="CR51" s="656">
        <f t="shared" si="65"/>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6"/>
        <v>Semaine numéro : 31</v>
      </c>
      <c r="X52" s="2538"/>
      <c r="Y52" s="2538"/>
      <c r="Z52" s="1323" t="str">
        <f t="shared" si="58"/>
        <v/>
      </c>
      <c r="AA52" s="1316">
        <f t="shared" si="59"/>
        <v>0</v>
      </c>
      <c r="AB52" s="1316">
        <f t="shared" si="60"/>
        <v>0</v>
      </c>
      <c r="AC52" s="1322">
        <f>+SUMIF(Juillet!$BK$20:$BK$50,Juillet!AT8,$D$18:$D$48)-SUMIF(Juillet!$BK$20:$BK$50,Juillet!AT8,$E$18:$E$48)</f>
        <v>0</v>
      </c>
      <c r="AD52" s="1322">
        <f>+SUMIF(Juin!$BK$20:$BK$50,Juillet!AT8,'Retenue Juin'!$D$18:$D$48)-SUMIF(Juin!$BK$20:$BK$50,Juillet!AT8,'Retenue Juin'!$E$18:$E$48)</f>
        <v>0</v>
      </c>
      <c r="AE52" s="1322">
        <f>+SUMIF(Aout!$BK$20:$BK$50,Juillet!AT8,'Retenue Aout'!$D$18:$D$48)-SUMIF(Aout!$BK$20:$BK$50,Juillet!AT8,'Retenue Aout'!$E$18:$E$48)</f>
        <v>0</v>
      </c>
      <c r="AF52" s="1316">
        <f t="shared" si="61"/>
        <v>0</v>
      </c>
      <c r="AO52" s="1189" t="s">
        <v>1110</v>
      </c>
      <c r="AP52" s="1326">
        <f>IF(AL22,+ROUND((AQ48+SUM(AQ39:AQ46))*AL34/AL22*Q11,2),0)</f>
        <v>0</v>
      </c>
      <c r="BA52" s="328"/>
      <c r="BD52" s="1341" t="s">
        <v>696</v>
      </c>
      <c r="BE52" s="1342">
        <f>+SUMIFS(BE18:BE48,BF18:BF48,S.CAL!BJ4)</f>
        <v>0</v>
      </c>
      <c r="BF52" s="1343">
        <f>IF(Juillet!BA90="",+COUNTIF(BF18:BF48,S.CAL!BJ4),Juillet!BA90)</f>
        <v>0</v>
      </c>
      <c r="BL52" s="35"/>
      <c r="BU52" s="16" t="s">
        <v>776</v>
      </c>
      <c r="BW52" s="339">
        <f>+BR46+BR49+BZ46+BZ49</f>
        <v>0</v>
      </c>
      <c r="CD52" s="328"/>
      <c r="CI52" s="2534" t="str">
        <f t="shared" si="57"/>
        <v>Semaine numéro : 31</v>
      </c>
      <c r="CJ52" s="2535"/>
      <c r="CK52" s="2536"/>
      <c r="CL52" s="875" t="str">
        <f t="shared" si="62"/>
        <v/>
      </c>
      <c r="CM52" s="656">
        <f t="shared" si="63"/>
        <v>0</v>
      </c>
      <c r="CN52" s="655">
        <f t="shared" si="64"/>
        <v>0</v>
      </c>
      <c r="CO52" s="196">
        <f>+SUMIF(Juillet!$BK$20:$BK$50,Juillet!AT8,$CG$18:$CG$48)</f>
        <v>0</v>
      </c>
      <c r="CP52" s="196">
        <f>+SUMIF(Juin!$BK$20:$BK$50,Juillet!AT8,'Retenue Juin'!$CG$18:$CG$48)</f>
        <v>0</v>
      </c>
      <c r="CQ52" s="196">
        <f>+SUMIF(Aout!$BK$20:$BK$50,Juillet!AT8,'Retenue Aout'!$CG$18:$CG$48)</f>
        <v>0</v>
      </c>
      <c r="CR52" s="656">
        <f t="shared" si="65"/>
        <v>0</v>
      </c>
      <c r="EE52" s="19"/>
      <c r="EF52" s="19"/>
      <c r="EG52" s="19"/>
      <c r="EH52" s="19"/>
      <c r="EI52" s="19"/>
    </row>
    <row r="53" spans="2:139" ht="13.5" thickBot="1" x14ac:dyDescent="0.25">
      <c r="N53" s="24"/>
      <c r="O53" s="24"/>
      <c r="P53" s="24"/>
      <c r="Q53" s="24"/>
      <c r="R53" s="24"/>
      <c r="S53" s="1328"/>
      <c r="U53" s="1301"/>
      <c r="V53" s="1301"/>
      <c r="W53" s="2538" t="str">
        <f t="shared" si="56"/>
        <v xml:space="preserve">Semaine numéro : </v>
      </c>
      <c r="X53" s="2538"/>
      <c r="Y53" s="2538"/>
      <c r="Z53" s="1323" t="str">
        <f t="shared" si="58"/>
        <v/>
      </c>
      <c r="AA53" s="1316">
        <f t="shared" si="59"/>
        <v>0</v>
      </c>
      <c r="AB53" s="1316">
        <f t="shared" si="60"/>
        <v>0</v>
      </c>
      <c r="AC53" s="1322">
        <f>+SUMIF(Juillet!$BK$20:$BK$50,Juillet!AT9,$D$18:$D$48)-SUMIF(Juillet!$BK$20:$BK$50,Juillet!AT9,$E$18:$E$48)</f>
        <v>0</v>
      </c>
      <c r="AD53" s="1322">
        <f>+SUMIF(Juin!$BK$20:$BK$50,Juillet!AT9,'Retenue Juin'!$D$18:$D$48)-SUMIF(Juin!$BK$20:$BK$50,Juillet!AT9,'Retenue Juin'!$E$18:$E$48)</f>
        <v>0</v>
      </c>
      <c r="AE53" s="1322">
        <f>+SUMIF(Aout!$BK$20:$BK$50,Juillet!AT9,'Retenue Aout'!$D$18:$D$48)-SUMIF(Aout!$BK$20:$BK$50,Juillet!AT9,'Retenue Aout'!$E$18:$E$48)</f>
        <v>0</v>
      </c>
      <c r="AF53" s="1316">
        <f t="shared" si="61"/>
        <v>0</v>
      </c>
      <c r="AG53" s="1328"/>
      <c r="BA53" s="328"/>
      <c r="BD53" s="374" t="s">
        <v>710</v>
      </c>
      <c r="BE53" s="376">
        <f>+COUNTIF(BE18:BE48,"&gt;0")</f>
        <v>0</v>
      </c>
      <c r="BF53" s="375"/>
      <c r="BH53" s="425"/>
      <c r="BI53" s="426" t="s">
        <v>689</v>
      </c>
      <c r="BJ53" s="427">
        <f>IF(BK3=S.CAL!BP2,BI50,IF(BK3=S.CAL!BP3,BW54,0))</f>
        <v>0</v>
      </c>
      <c r="BK53" s="425"/>
      <c r="BL53" s="35"/>
      <c r="CD53" s="328"/>
      <c r="CI53" s="2534" t="str">
        <f t="shared" si="57"/>
        <v xml:space="preserve">Semaine numéro : </v>
      </c>
      <c r="CJ53" s="2535"/>
      <c r="CK53" s="2536"/>
      <c r="CL53" s="875" t="str">
        <f t="shared" si="62"/>
        <v/>
      </c>
      <c r="CM53" s="656">
        <f t="shared" si="63"/>
        <v>0</v>
      </c>
      <c r="CN53" s="655">
        <f t="shared" si="64"/>
        <v>0</v>
      </c>
      <c r="CO53" s="196">
        <f>+SUMIF(Juillet!$BK$20:$BK$50,Juillet!AT9,$CG$18:$CG$48)</f>
        <v>0</v>
      </c>
      <c r="CP53" s="196">
        <f>+SUMIF(Juin!$BK$20:$BK$50,Juillet!AT9,'Retenue Juin'!$CG$18:$CG$48)</f>
        <v>0</v>
      </c>
      <c r="CQ53" s="196">
        <f>+SUMIF(Aout!$BK$20:$BK$50,Juillet!AT9,'Retenue Aout'!$CG$18:$CG$48)</f>
        <v>0</v>
      </c>
      <c r="CR53" s="656">
        <f t="shared" si="65"/>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63">
        <f>B17</f>
        <v>46204</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6">B18</f>
        <v>46204</v>
      </c>
      <c r="C57" s="169">
        <f t="shared" si="66"/>
        <v>46204</v>
      </c>
      <c r="D57" s="335" t="str">
        <f t="shared" ref="D57:D87" si="67">E18</f>
        <v/>
      </c>
      <c r="E57" s="335" t="str">
        <f>+IF(D57="","",VLOOKUP(C57,$CF$18:$CG$48,2,FALSE))</f>
        <v/>
      </c>
      <c r="F57" s="1530" t="str">
        <f t="shared" ref="F57:F87" si="68">+IFERROR(IF(VLOOKUP(E57,Liste_motif_formule,10,FALSE)="OUI",D57,""),"")</f>
        <v/>
      </c>
      <c r="G57" s="1530" t="str">
        <f t="shared" ref="G57:G87" si="69">+IFERROR(IF(VLOOKUP(E57,Liste_motif_formule,11,FALSE)="OUI",D57,""),"")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6"/>
        <v>46205</v>
      </c>
      <c r="C58" s="170">
        <f t="shared" si="66"/>
        <v>46205</v>
      </c>
      <c r="D58" s="171" t="str">
        <f t="shared" si="67"/>
        <v/>
      </c>
      <c r="E58" s="171" t="str">
        <f t="shared" ref="E58:E87" si="70">+IF(D58="","",VLOOKUP(C58,$CF$18:$CG$48,2,FALSE))</f>
        <v/>
      </c>
      <c r="F58" s="1531" t="str">
        <f t="shared" si="68"/>
        <v/>
      </c>
      <c r="G58" s="1531" t="str">
        <f t="shared" si="69"/>
        <v/>
      </c>
      <c r="AO58" s="1189" t="str">
        <f>+ROUND(AP47,4)&amp;" / "&amp;ROUND(AO47,4)&amp;" ="</f>
        <v>0 / 0 =</v>
      </c>
      <c r="AP58" s="563">
        <f>IFERROR(ROUND(+AP47/AO47,6),0)</f>
        <v>0</v>
      </c>
      <c r="BA58" s="328"/>
      <c r="CD58" s="328"/>
      <c r="EE58" s="19"/>
      <c r="EF58" s="19"/>
      <c r="EG58" s="19"/>
      <c r="EH58" s="19"/>
      <c r="EI58" s="19"/>
    </row>
    <row r="59" spans="2:139" x14ac:dyDescent="0.2">
      <c r="B59" s="107">
        <f t="shared" si="66"/>
        <v>46206</v>
      </c>
      <c r="C59" s="170">
        <f t="shared" si="66"/>
        <v>46206</v>
      </c>
      <c r="D59" s="171" t="str">
        <f t="shared" si="67"/>
        <v/>
      </c>
      <c r="E59" s="171" t="str">
        <f t="shared" si="70"/>
        <v/>
      </c>
      <c r="F59" s="1531" t="str">
        <f t="shared" si="68"/>
        <v/>
      </c>
      <c r="G59" s="1531" t="str">
        <f t="shared" si="69"/>
        <v/>
      </c>
      <c r="BA59" s="328"/>
      <c r="BH59" s="29" t="s">
        <v>779</v>
      </c>
      <c r="BI59" s="58">
        <f>+BJ45+BJ29</f>
        <v>0</v>
      </c>
      <c r="CD59" s="328"/>
    </row>
    <row r="60" spans="2:139" x14ac:dyDescent="0.2">
      <c r="B60" s="107">
        <f t="shared" si="66"/>
        <v>46207</v>
      </c>
      <c r="C60" s="170">
        <f t="shared" si="66"/>
        <v>46207</v>
      </c>
      <c r="D60" s="171" t="str">
        <f t="shared" si="67"/>
        <v/>
      </c>
      <c r="E60" s="171" t="str">
        <f t="shared" si="70"/>
        <v/>
      </c>
      <c r="F60" s="1531" t="str">
        <f t="shared" si="68"/>
        <v/>
      </c>
      <c r="G60" s="1531" t="str">
        <f t="shared" si="69"/>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6"/>
        <v>46208</v>
      </c>
      <c r="C61" s="170">
        <f t="shared" si="66"/>
        <v>46208</v>
      </c>
      <c r="D61" s="171" t="str">
        <f t="shared" si="67"/>
        <v/>
      </c>
      <c r="E61" s="171" t="str">
        <f t="shared" si="70"/>
        <v/>
      </c>
      <c r="F61" s="1531" t="str">
        <f t="shared" si="68"/>
        <v/>
      </c>
      <c r="G61" s="1531" t="str">
        <f t="shared" si="69"/>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6"/>
        <v>46209</v>
      </c>
      <c r="C62" s="170">
        <f t="shared" si="66"/>
        <v>46209</v>
      </c>
      <c r="D62" s="171" t="str">
        <f t="shared" si="67"/>
        <v/>
      </c>
      <c r="E62" s="171" t="str">
        <f t="shared" si="70"/>
        <v/>
      </c>
      <c r="F62" s="1531" t="str">
        <f t="shared" si="68"/>
        <v/>
      </c>
      <c r="G62" s="1531" t="str">
        <f t="shared" si="69"/>
        <v/>
      </c>
      <c r="BA62" s="328"/>
      <c r="BH62" s="425"/>
      <c r="BI62" s="425"/>
      <c r="BJ62" s="425"/>
      <c r="BK62" s="425"/>
      <c r="CD62" s="328"/>
    </row>
    <row r="63" spans="2:139" x14ac:dyDescent="0.2">
      <c r="B63" s="107">
        <f t="shared" si="66"/>
        <v>46210</v>
      </c>
      <c r="C63" s="170">
        <f t="shared" si="66"/>
        <v>46210</v>
      </c>
      <c r="D63" s="171" t="str">
        <f t="shared" si="67"/>
        <v/>
      </c>
      <c r="E63" s="171" t="str">
        <f t="shared" si="70"/>
        <v/>
      </c>
      <c r="F63" s="1531" t="str">
        <f t="shared" si="68"/>
        <v/>
      </c>
      <c r="G63" s="1531" t="str">
        <f t="shared" si="69"/>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6"/>
        <v>46211</v>
      </c>
      <c r="C64" s="170">
        <f t="shared" si="66"/>
        <v>46211</v>
      </c>
      <c r="D64" s="171" t="str">
        <f t="shared" si="67"/>
        <v/>
      </c>
      <c r="E64" s="171" t="str">
        <f t="shared" si="70"/>
        <v/>
      </c>
      <c r="F64" s="1531" t="str">
        <f t="shared" si="68"/>
        <v/>
      </c>
      <c r="G64" s="1531" t="str">
        <f t="shared" si="69"/>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6"/>
        <v>46212</v>
      </c>
      <c r="C65" s="170">
        <f t="shared" si="66"/>
        <v>46212</v>
      </c>
      <c r="D65" s="171" t="str">
        <f t="shared" si="67"/>
        <v/>
      </c>
      <c r="E65" s="171" t="str">
        <f t="shared" si="70"/>
        <v/>
      </c>
      <c r="F65" s="1531" t="str">
        <f t="shared" si="68"/>
        <v/>
      </c>
      <c r="G65" s="1531" t="str">
        <f t="shared" si="69"/>
        <v/>
      </c>
      <c r="BA65" s="328"/>
      <c r="CD65" s="328"/>
    </row>
    <row r="66" spans="2:82" x14ac:dyDescent="0.2">
      <c r="B66" s="107">
        <f t="shared" si="66"/>
        <v>46213</v>
      </c>
      <c r="C66" s="170">
        <f t="shared" si="66"/>
        <v>46213</v>
      </c>
      <c r="D66" s="171" t="str">
        <f t="shared" si="67"/>
        <v/>
      </c>
      <c r="E66" s="171" t="str">
        <f t="shared" si="70"/>
        <v/>
      </c>
      <c r="F66" s="1531" t="str">
        <f t="shared" si="68"/>
        <v/>
      </c>
      <c r="G66" s="1531" t="str">
        <f t="shared" si="69"/>
        <v/>
      </c>
      <c r="BA66" s="328"/>
      <c r="CD66" s="328"/>
    </row>
    <row r="67" spans="2:82" x14ac:dyDescent="0.2">
      <c r="B67" s="107">
        <f t="shared" si="66"/>
        <v>46214</v>
      </c>
      <c r="C67" s="170">
        <f t="shared" si="66"/>
        <v>46214</v>
      </c>
      <c r="D67" s="171" t="str">
        <f t="shared" si="67"/>
        <v/>
      </c>
      <c r="E67" s="171" t="str">
        <f t="shared" si="70"/>
        <v/>
      </c>
      <c r="F67" s="1531" t="str">
        <f t="shared" si="68"/>
        <v/>
      </c>
      <c r="G67" s="1531" t="str">
        <f t="shared" si="69"/>
        <v/>
      </c>
      <c r="BA67" s="328"/>
      <c r="CD67" s="328"/>
    </row>
    <row r="68" spans="2:82" x14ac:dyDescent="0.2">
      <c r="B68" s="107">
        <f t="shared" si="66"/>
        <v>46215</v>
      </c>
      <c r="C68" s="170">
        <f t="shared" si="66"/>
        <v>46215</v>
      </c>
      <c r="D68" s="171" t="str">
        <f t="shared" si="67"/>
        <v/>
      </c>
      <c r="E68" s="171" t="str">
        <f t="shared" si="70"/>
        <v/>
      </c>
      <c r="F68" s="1531" t="str">
        <f t="shared" si="68"/>
        <v/>
      </c>
      <c r="G68" s="1531" t="str">
        <f t="shared" si="69"/>
        <v/>
      </c>
      <c r="AI68" s="1332" t="s">
        <v>329</v>
      </c>
      <c r="BA68" s="328"/>
      <c r="CD68" s="328"/>
    </row>
    <row r="69" spans="2:82" x14ac:dyDescent="0.2">
      <c r="B69" s="107">
        <f t="shared" si="66"/>
        <v>46216</v>
      </c>
      <c r="C69" s="170">
        <f t="shared" si="66"/>
        <v>46216</v>
      </c>
      <c r="D69" s="171" t="str">
        <f t="shared" si="67"/>
        <v/>
      </c>
      <c r="E69" s="171" t="str">
        <f t="shared" si="70"/>
        <v/>
      </c>
      <c r="F69" s="1531" t="str">
        <f t="shared" si="68"/>
        <v/>
      </c>
      <c r="G69" s="1531" t="str">
        <f t="shared" si="69"/>
        <v/>
      </c>
      <c r="BA69" s="328"/>
      <c r="CD69" s="328"/>
    </row>
    <row r="70" spans="2:82" x14ac:dyDescent="0.2">
      <c r="B70" s="107">
        <f t="shared" si="66"/>
        <v>46217</v>
      </c>
      <c r="C70" s="170">
        <f t="shared" si="66"/>
        <v>46217</v>
      </c>
      <c r="D70" s="171" t="str">
        <f t="shared" si="67"/>
        <v/>
      </c>
      <c r="E70" s="171" t="str">
        <f t="shared" si="70"/>
        <v/>
      </c>
      <c r="F70" s="1531" t="str">
        <f t="shared" si="68"/>
        <v/>
      </c>
      <c r="G70" s="1531" t="str">
        <f t="shared" si="69"/>
        <v/>
      </c>
      <c r="AI70" s="563" t="s">
        <v>330</v>
      </c>
      <c r="BA70" s="328"/>
      <c r="CD70" s="328"/>
    </row>
    <row r="71" spans="2:82" x14ac:dyDescent="0.2">
      <c r="B71" s="107">
        <f t="shared" si="66"/>
        <v>46218</v>
      </c>
      <c r="C71" s="170">
        <f t="shared" si="66"/>
        <v>46218</v>
      </c>
      <c r="D71" s="171" t="str">
        <f t="shared" si="67"/>
        <v/>
      </c>
      <c r="E71" s="171" t="str">
        <f t="shared" si="70"/>
        <v/>
      </c>
      <c r="F71" s="1531" t="str">
        <f t="shared" si="68"/>
        <v/>
      </c>
      <c r="G71" s="1531" t="str">
        <f t="shared" si="69"/>
        <v/>
      </c>
      <c r="AI71" s="1333" t="s">
        <v>331</v>
      </c>
      <c r="BA71" s="328"/>
      <c r="CD71" s="328"/>
    </row>
    <row r="72" spans="2:82" x14ac:dyDescent="0.2">
      <c r="B72" s="107">
        <f t="shared" si="66"/>
        <v>46219</v>
      </c>
      <c r="C72" s="170">
        <f t="shared" si="66"/>
        <v>46219</v>
      </c>
      <c r="D72" s="171" t="str">
        <f t="shared" si="67"/>
        <v/>
      </c>
      <c r="E72" s="171" t="str">
        <f t="shared" si="70"/>
        <v/>
      </c>
      <c r="F72" s="1531" t="str">
        <f t="shared" si="68"/>
        <v/>
      </c>
      <c r="G72" s="1531" t="str">
        <f t="shared" si="69"/>
        <v/>
      </c>
      <c r="AI72" s="563" t="e">
        <f>ROUND(AL24,2)&amp;" / "&amp;AL22&amp;" ="&amp;ROUND(AL25,2)&amp;" hrs"</f>
        <v>#VALUE!</v>
      </c>
      <c r="BA72" s="328"/>
      <c r="CD72" s="328"/>
    </row>
    <row r="73" spans="2:82" x14ac:dyDescent="0.2">
      <c r="B73" s="107">
        <f t="shared" ref="B73:C87" si="71">B34</f>
        <v>46220</v>
      </c>
      <c r="C73" s="170">
        <f t="shared" si="71"/>
        <v>46220</v>
      </c>
      <c r="D73" s="171" t="str">
        <f t="shared" si="67"/>
        <v/>
      </c>
      <c r="E73" s="171" t="str">
        <f t="shared" si="70"/>
        <v/>
      </c>
      <c r="F73" s="1531" t="str">
        <f t="shared" si="68"/>
        <v/>
      </c>
      <c r="G73" s="1531" t="str">
        <f t="shared" si="69"/>
        <v/>
      </c>
      <c r="BA73" s="328"/>
      <c r="CD73" s="328"/>
    </row>
    <row r="74" spans="2:82" x14ac:dyDescent="0.2">
      <c r="B74" s="107">
        <f t="shared" si="71"/>
        <v>46221</v>
      </c>
      <c r="C74" s="170">
        <f t="shared" si="71"/>
        <v>46221</v>
      </c>
      <c r="D74" s="171" t="str">
        <f t="shared" si="67"/>
        <v/>
      </c>
      <c r="E74" s="171" t="str">
        <f t="shared" si="70"/>
        <v/>
      </c>
      <c r="F74" s="1531" t="str">
        <f t="shared" si="68"/>
        <v/>
      </c>
      <c r="G74" s="1531" t="str">
        <f t="shared" si="69"/>
        <v/>
      </c>
      <c r="AI74" s="563" t="s">
        <v>332</v>
      </c>
      <c r="BA74" s="328"/>
      <c r="CD74" s="328"/>
    </row>
    <row r="75" spans="2:82" x14ac:dyDescent="0.2">
      <c r="B75" s="107">
        <f t="shared" si="71"/>
        <v>46222</v>
      </c>
      <c r="C75" s="170">
        <f t="shared" si="71"/>
        <v>46222</v>
      </c>
      <c r="D75" s="171" t="str">
        <f t="shared" si="67"/>
        <v/>
      </c>
      <c r="E75" s="171" t="str">
        <f t="shared" si="70"/>
        <v/>
      </c>
      <c r="F75" s="1531" t="str">
        <f t="shared" si="68"/>
        <v/>
      </c>
      <c r="G75" s="1531" t="str">
        <f t="shared" si="69"/>
        <v/>
      </c>
      <c r="AI75" s="1333" t="s">
        <v>333</v>
      </c>
      <c r="BA75" s="328"/>
      <c r="CD75" s="328"/>
    </row>
    <row r="76" spans="2:82" x14ac:dyDescent="0.2">
      <c r="B76" s="107">
        <f t="shared" si="71"/>
        <v>46223</v>
      </c>
      <c r="C76" s="170">
        <f t="shared" si="71"/>
        <v>46223</v>
      </c>
      <c r="D76" s="171" t="str">
        <f t="shared" si="67"/>
        <v/>
      </c>
      <c r="E76" s="171" t="str">
        <f t="shared" si="70"/>
        <v/>
      </c>
      <c r="F76" s="1531" t="str">
        <f t="shared" si="68"/>
        <v/>
      </c>
      <c r="G76" s="1531" t="str">
        <f t="shared" si="69"/>
        <v/>
      </c>
      <c r="BA76" s="328"/>
      <c r="CD76" s="328"/>
    </row>
    <row r="77" spans="2:82" x14ac:dyDescent="0.2">
      <c r="B77" s="107">
        <f t="shared" si="71"/>
        <v>46224</v>
      </c>
      <c r="C77" s="170">
        <f t="shared" si="71"/>
        <v>46224</v>
      </c>
      <c r="D77" s="171" t="str">
        <f t="shared" si="67"/>
        <v/>
      </c>
      <c r="E77" s="171" t="str">
        <f t="shared" si="70"/>
        <v/>
      </c>
      <c r="F77" s="1531" t="str">
        <f t="shared" si="68"/>
        <v/>
      </c>
      <c r="G77" s="1531" t="str">
        <f t="shared" si="69"/>
        <v/>
      </c>
      <c r="AI77" s="563" t="s">
        <v>334</v>
      </c>
      <c r="BA77" s="328"/>
      <c r="CD77" s="328"/>
    </row>
    <row r="78" spans="2:82" x14ac:dyDescent="0.2">
      <c r="B78" s="107">
        <f t="shared" si="71"/>
        <v>46225</v>
      </c>
      <c r="C78" s="170">
        <f t="shared" si="71"/>
        <v>46225</v>
      </c>
      <c r="D78" s="171" t="str">
        <f t="shared" si="67"/>
        <v/>
      </c>
      <c r="E78" s="171" t="str">
        <f t="shared" si="70"/>
        <v/>
      </c>
      <c r="F78" s="1531" t="str">
        <f t="shared" si="68"/>
        <v/>
      </c>
      <c r="G78" s="1531" t="str">
        <f t="shared" si="69"/>
        <v/>
      </c>
      <c r="AI78" s="1333" t="s">
        <v>680</v>
      </c>
      <c r="BA78" s="328"/>
      <c r="CD78" s="328"/>
    </row>
    <row r="79" spans="2:82" x14ac:dyDescent="0.2">
      <c r="B79" s="107">
        <f t="shared" si="71"/>
        <v>46226</v>
      </c>
      <c r="C79" s="170">
        <f t="shared" si="71"/>
        <v>46226</v>
      </c>
      <c r="D79" s="171" t="str">
        <f t="shared" si="67"/>
        <v/>
      </c>
      <c r="E79" s="171" t="str">
        <f t="shared" si="70"/>
        <v/>
      </c>
      <c r="F79" s="1531" t="str">
        <f t="shared" si="68"/>
        <v/>
      </c>
      <c r="G79" s="1531" t="str">
        <f t="shared" si="69"/>
        <v/>
      </c>
      <c r="AI79" s="563" t="e">
        <f>ROUND(AT21,2)&amp;" /"&amp; AS21&amp;" = "&amp;ROUND(AL26,2)&amp;" hrs"</f>
        <v>#VALUE!</v>
      </c>
      <c r="BA79" s="328"/>
      <c r="CD79" s="328"/>
    </row>
    <row r="80" spans="2:82" x14ac:dyDescent="0.2">
      <c r="B80" s="107">
        <f t="shared" si="71"/>
        <v>46227</v>
      </c>
      <c r="C80" s="170">
        <f t="shared" si="71"/>
        <v>46227</v>
      </c>
      <c r="D80" s="171" t="str">
        <f t="shared" si="67"/>
        <v/>
      </c>
      <c r="E80" s="171" t="str">
        <f t="shared" si="70"/>
        <v/>
      </c>
      <c r="F80" s="1531" t="str">
        <f t="shared" si="68"/>
        <v/>
      </c>
      <c r="G80" s="1531" t="str">
        <f t="shared" si="69"/>
        <v/>
      </c>
      <c r="BA80" s="328"/>
      <c r="CD80" s="328"/>
    </row>
    <row r="81" spans="2:82" x14ac:dyDescent="0.2">
      <c r="B81" s="107">
        <f t="shared" si="71"/>
        <v>46228</v>
      </c>
      <c r="C81" s="170">
        <f t="shared" si="71"/>
        <v>46228</v>
      </c>
      <c r="D81" s="171" t="str">
        <f t="shared" si="67"/>
        <v/>
      </c>
      <c r="E81" s="171" t="str">
        <f t="shared" si="70"/>
        <v/>
      </c>
      <c r="F81" s="1531" t="str">
        <f t="shared" si="68"/>
        <v/>
      </c>
      <c r="G81" s="1531" t="str">
        <f t="shared" si="69"/>
        <v/>
      </c>
      <c r="AI81" s="563" t="s">
        <v>518</v>
      </c>
      <c r="BA81" s="328"/>
      <c r="CD81" s="328"/>
    </row>
    <row r="82" spans="2:82" x14ac:dyDescent="0.2">
      <c r="B82" s="107">
        <f t="shared" si="71"/>
        <v>46229</v>
      </c>
      <c r="C82" s="170">
        <f t="shared" si="71"/>
        <v>46229</v>
      </c>
      <c r="D82" s="171" t="str">
        <f t="shared" si="67"/>
        <v/>
      </c>
      <c r="E82" s="171" t="str">
        <f t="shared" si="70"/>
        <v/>
      </c>
      <c r="F82" s="1531" t="str">
        <f t="shared" si="68"/>
        <v/>
      </c>
      <c r="G82" s="1531" t="str">
        <f t="shared" si="69"/>
        <v/>
      </c>
      <c r="AI82" s="1333" t="s">
        <v>681</v>
      </c>
      <c r="BA82" s="328"/>
      <c r="CD82" s="328"/>
    </row>
    <row r="83" spans="2:82" x14ac:dyDescent="0.2">
      <c r="B83" s="107">
        <f t="shared" si="71"/>
        <v>46230</v>
      </c>
      <c r="C83" s="170">
        <f t="shared" si="71"/>
        <v>46230</v>
      </c>
      <c r="D83" s="171" t="str">
        <f t="shared" si="67"/>
        <v/>
      </c>
      <c r="E83" s="171" t="str">
        <f t="shared" si="70"/>
        <v/>
      </c>
      <c r="F83" s="1531" t="str">
        <f t="shared" si="68"/>
        <v/>
      </c>
      <c r="G83" s="1531" t="str">
        <f t="shared" si="69"/>
        <v/>
      </c>
      <c r="AI83" s="563" t="e">
        <f>AV21&amp;" / "&amp;AS21&amp;" = "&amp;ROUND(AL27,2)&amp;" jrs"</f>
        <v>#VALUE!</v>
      </c>
      <c r="BA83" s="328"/>
      <c r="CD83" s="328"/>
    </row>
    <row r="84" spans="2:82" x14ac:dyDescent="0.2">
      <c r="B84" s="107">
        <f t="shared" si="71"/>
        <v>46231</v>
      </c>
      <c r="C84" s="170">
        <f t="shared" si="71"/>
        <v>46231</v>
      </c>
      <c r="D84" s="171" t="str">
        <f t="shared" si="67"/>
        <v/>
      </c>
      <c r="E84" s="171" t="str">
        <f t="shared" si="70"/>
        <v/>
      </c>
      <c r="F84" s="1531" t="str">
        <f t="shared" si="68"/>
        <v/>
      </c>
      <c r="G84" s="1531" t="str">
        <f t="shared" si="69"/>
        <v/>
      </c>
      <c r="BA84" s="328"/>
      <c r="CD84" s="328"/>
    </row>
    <row r="85" spans="2:82" x14ac:dyDescent="0.2">
      <c r="B85" s="107">
        <f t="shared" si="71"/>
        <v>46232</v>
      </c>
      <c r="C85" s="170">
        <f t="shared" si="71"/>
        <v>46232</v>
      </c>
      <c r="D85" s="171" t="str">
        <f t="shared" si="67"/>
        <v/>
      </c>
      <c r="E85" s="171" t="str">
        <f t="shared" si="70"/>
        <v/>
      </c>
      <c r="F85" s="1531" t="str">
        <f t="shared" si="68"/>
        <v/>
      </c>
      <c r="G85" s="1531" t="str">
        <f t="shared" si="69"/>
        <v/>
      </c>
      <c r="AI85" s="1333" t="s">
        <v>335</v>
      </c>
      <c r="BA85" s="328"/>
      <c r="CD85" s="328"/>
    </row>
    <row r="86" spans="2:82" x14ac:dyDescent="0.2">
      <c r="B86" s="107">
        <f t="shared" si="71"/>
        <v>46233</v>
      </c>
      <c r="C86" s="170">
        <f t="shared" si="71"/>
        <v>46233</v>
      </c>
      <c r="D86" s="171" t="str">
        <f t="shared" si="67"/>
        <v/>
      </c>
      <c r="E86" s="171" t="str">
        <f t="shared" si="70"/>
        <v/>
      </c>
      <c r="F86" s="1531" t="str">
        <f t="shared" si="68"/>
        <v/>
      </c>
      <c r="G86" s="1531" t="str">
        <f t="shared" si="69"/>
        <v/>
      </c>
      <c r="AI86" s="1333" t="s">
        <v>336</v>
      </c>
      <c r="BA86" s="328"/>
      <c r="CD86" s="328"/>
    </row>
    <row r="87" spans="2:82" ht="13.5" thickBot="1" x14ac:dyDescent="0.25">
      <c r="B87" s="110">
        <f t="shared" si="71"/>
        <v>46234</v>
      </c>
      <c r="C87" s="190">
        <f t="shared" si="71"/>
        <v>46234</v>
      </c>
      <c r="D87" s="191" t="str">
        <f t="shared" si="67"/>
        <v/>
      </c>
      <c r="E87" s="191" t="str">
        <f t="shared" si="70"/>
        <v/>
      </c>
      <c r="F87" s="1532" t="str">
        <f t="shared" si="68"/>
        <v/>
      </c>
      <c r="G87" s="1532" t="str">
        <f t="shared" si="69"/>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1bD3LH3C7SrXmAwePBAbWYrDzJdkDryqSW8vgoIM3Js0i3ZKC7bxpC6bWtMCMo5WxWux7tsGzGh98CAFsVVk/g==" saltValue="spEFUWQcHNXu8ektxZDEL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618" priority="36">
      <formula>$R$3=$A$5</formula>
    </cfRule>
  </conditionalFormatting>
  <conditionalFormatting sqref="M19:Q23">
    <cfRule type="expression" dxfId="3617" priority="13">
      <formula>$E$11&gt;0</formula>
    </cfRule>
  </conditionalFormatting>
  <conditionalFormatting sqref="M26:R46">
    <cfRule type="expression" dxfId="3616" priority="3">
      <formula>$E$11=0</formula>
    </cfRule>
  </conditionalFormatting>
  <conditionalFormatting sqref="P17">
    <cfRule type="expression" dxfId="3615" priority="16">
      <formula>$E$11=0</formula>
    </cfRule>
  </conditionalFormatting>
  <conditionalFormatting sqref="P30">
    <cfRule type="expression" dxfId="3614" priority="7">
      <formula>AND($R$3="Méthode 1",$E$11&lt;0)</formula>
    </cfRule>
  </conditionalFormatting>
  <conditionalFormatting sqref="P33">
    <cfRule type="expression" dxfId="3613" priority="6">
      <formula>AND($R$3="Méthode 1",$E$11&lt;0)</formula>
    </cfRule>
  </conditionalFormatting>
  <conditionalFormatting sqref="Q17">
    <cfRule type="cellIs" dxfId="3612" priority="15" operator="equal">
      <formula>0</formula>
    </cfRule>
  </conditionalFormatting>
  <conditionalFormatting sqref="Q42">
    <cfRule type="expression" dxfId="3611" priority="5">
      <formula>AND($R$3="Méthode 1",$E$11&lt;0)</formula>
    </cfRule>
  </conditionalFormatting>
  <conditionalFormatting sqref="Q45">
    <cfRule type="expression" dxfId="3610" priority="4">
      <formula>AND($R$3="Méthode 1",$E$11&lt;0)</formula>
    </cfRule>
  </conditionalFormatting>
  <conditionalFormatting sqref="S7:AF7">
    <cfRule type="expression" dxfId="3609" priority="35">
      <formula>$R$3=$T$5</formula>
    </cfRule>
  </conditionalFormatting>
  <conditionalFormatting sqref="W19">
    <cfRule type="expression" dxfId="3608" priority="40">
      <formula>$EF$14=1</formula>
    </cfRule>
  </conditionalFormatting>
  <conditionalFormatting sqref="W21">
    <cfRule type="expression" dxfId="3607" priority="39">
      <formula>$EF$14=1</formula>
    </cfRule>
  </conditionalFormatting>
  <conditionalFormatting sqref="AC19">
    <cfRule type="expression" dxfId="3606" priority="38">
      <formula>$EF$14=1</formula>
    </cfRule>
  </conditionalFormatting>
  <conditionalFormatting sqref="AC21">
    <cfRule type="expression" dxfId="3605" priority="37">
      <formula>$EF$14=1</formula>
    </cfRule>
  </conditionalFormatting>
  <conditionalFormatting sqref="AH7:AZ7">
    <cfRule type="expression" dxfId="3604" priority="21">
      <formula>$R$3=$AI$5</formula>
    </cfRule>
  </conditionalFormatting>
  <conditionalFormatting sqref="AP50">
    <cfRule type="expression" dxfId="3603" priority="20">
      <formula>$R$3="Méthode 2"</formula>
    </cfRule>
  </conditionalFormatting>
  <conditionalFormatting sqref="AP52">
    <cfRule type="expression" dxfId="3602" priority="19">
      <formula>$R$3="Méthode 2"</formula>
    </cfRule>
  </conditionalFormatting>
  <conditionalFormatting sqref="AP61">
    <cfRule type="expression" dxfId="3601" priority="18">
      <formula>$R$3="Méthode 2"</formula>
    </cfRule>
  </conditionalFormatting>
  <conditionalFormatting sqref="AP64">
    <cfRule type="expression" dxfId="3600" priority="17">
      <formula>$R$3="Méthode 2"</formula>
    </cfRule>
  </conditionalFormatting>
  <conditionalFormatting sqref="BI50">
    <cfRule type="expression" dxfId="3599" priority="28">
      <formula>$BK$3="Méthode 1"</formula>
    </cfRule>
  </conditionalFormatting>
  <conditionalFormatting sqref="BJ29">
    <cfRule type="expression" dxfId="3598" priority="30">
      <formula>$BK$3="Méthode 1"</formula>
    </cfRule>
  </conditionalFormatting>
  <conditionalFormatting sqref="BJ45">
    <cfRule type="expression" dxfId="3597" priority="29">
      <formula>$BK$3="Méthode 1"</formula>
    </cfRule>
  </conditionalFormatting>
  <conditionalFormatting sqref="BR46">
    <cfRule type="expression" dxfId="3596" priority="27">
      <formula>$BK$3="Méthode 2"</formula>
    </cfRule>
  </conditionalFormatting>
  <conditionalFormatting sqref="BR49">
    <cfRule type="expression" dxfId="3595" priority="26">
      <formula>$BK$3="Méthode 2"</formula>
    </cfRule>
  </conditionalFormatting>
  <conditionalFormatting sqref="BW52">
    <cfRule type="expression" dxfId="3594" priority="23">
      <formula>$BK$3="Méthode 2"</formula>
    </cfRule>
  </conditionalFormatting>
  <conditionalFormatting sqref="BW54">
    <cfRule type="expression" dxfId="3593" priority="22">
      <formula>$BK$3="Méthode 2"</formula>
    </cfRule>
  </conditionalFormatting>
  <conditionalFormatting sqref="BZ46">
    <cfRule type="expression" dxfId="3592" priority="25">
      <formula>$BK$3="Méthode 2"</formula>
    </cfRule>
  </conditionalFormatting>
  <conditionalFormatting sqref="BZ49">
    <cfRule type="expression" dxfId="3591" priority="24">
      <formula>$BK$3="Méthode 2"</formula>
    </cfRule>
  </conditionalFormatting>
  <conditionalFormatting sqref="CG18:CG48">
    <cfRule type="cellIs" dxfId="3590"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2" manualBreakCount="2">
    <brk id="52" max="105" man="1"/>
    <brk id="63" max="1048575" man="1"/>
  </col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+Aout!DP4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+Aout!AR13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AG7" s="1332"/>
      <c r="BA7" s="329"/>
      <c r="BB7" s="146"/>
      <c r="BC7" s="146"/>
      <c r="BD7" s="146"/>
      <c r="BE7" s="146"/>
      <c r="BF7" s="146"/>
      <c r="BG7" s="146"/>
      <c r="BH7" s="146"/>
      <c r="BI7" s="146"/>
      <c r="BL7" s="35"/>
      <c r="CD7" s="328"/>
    </row>
    <row r="8" spans="1:144" ht="18" x14ac:dyDescent="0.25">
      <c r="A8" s="148"/>
      <c r="B8" s="340"/>
      <c r="C8" s="95" t="s">
        <v>119</v>
      </c>
      <c r="D8" s="2380">
        <f>+Aout!AI3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+Aout!I14</f>
        <v>0</v>
      </c>
      <c r="F10" s="149"/>
      <c r="G10" s="149"/>
      <c r="H10" s="149"/>
      <c r="I10" s="149"/>
      <c r="J10" s="149"/>
      <c r="K10" s="149"/>
      <c r="L10" s="149"/>
      <c r="P10" s="29" t="s">
        <v>1441</v>
      </c>
      <c r="Q10" s="338">
        <f>+Aout!P18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+Aout!T18+Aout!T19</f>
        <v>0</v>
      </c>
      <c r="BI10" s="29" t="s">
        <v>1449</v>
      </c>
      <c r="BJ10" s="338">
        <f>+Aout!AL14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+Aout!U14</f>
        <v>0</v>
      </c>
      <c r="F11" s="149"/>
      <c r="G11" s="149"/>
      <c r="H11" s="149"/>
      <c r="I11" s="149"/>
      <c r="J11" s="149"/>
      <c r="K11" s="149"/>
      <c r="L11" s="149"/>
      <c r="M11" s="1179"/>
      <c r="N11" s="181"/>
      <c r="O11" s="1180"/>
      <c r="P11" s="181" t="s">
        <v>1104</v>
      </c>
      <c r="Q11" s="1181">
        <f>+Aout!P19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+BJ10*(1+Aout!N15)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+Aout!X3</f>
        <v>46235</v>
      </c>
      <c r="M13" s="152"/>
      <c r="N13" s="153">
        <f>DATE(YEAR($D$13),MONTH($D$13)+1,DAY($D$13))</f>
        <v>46266</v>
      </c>
      <c r="O13" s="154">
        <f>N13</f>
        <v>46266</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46235</v>
      </c>
      <c r="BF13" s="152"/>
      <c r="BG13" s="153">
        <f>DATE(YEAR($D$13),MONTH($D$13)+1,DAY($D$13))</f>
        <v>46266</v>
      </c>
      <c r="BH13" s="154">
        <f>BG13</f>
        <v>46266</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46266</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46235</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46235</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46235</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+Aout!BJ20</f>
        <v>Fiche infoA6</v>
      </c>
      <c r="B18" s="168">
        <f>+D13</f>
        <v>46235</v>
      </c>
      <c r="C18" s="169">
        <f>+$D$13</f>
        <v>46235</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Aout!BC20</f>
        <v>0</v>
      </c>
      <c r="J18" s="34">
        <f>Aout!BE20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infoA6</v>
      </c>
      <c r="BB18" s="168">
        <f>+BD13</f>
        <v>46235</v>
      </c>
      <c r="BC18" s="169">
        <f>+$D$13</f>
        <v>46235</v>
      </c>
      <c r="BD18" s="171" t="str">
        <f>+D18</f>
        <v/>
      </c>
      <c r="BE18" s="335" t="str">
        <f>+IF(OR(BF18=S.CAL!$BJ$3,BF18=S.CAL!$BJ$4),BD18,"")</f>
        <v/>
      </c>
      <c r="BF18" s="332">
        <f>IF($DY$5=S.CAL!$CU$2,Aout!AR20,IF($DY$5=S.CAL!$CU$3,VLOOKUP(BC18,planning_fp,7,FALSE),""))</f>
        <v>0</v>
      </c>
      <c r="BG18" s="344" t="str">
        <f>Aout!BL20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46235</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IF(+Aout!AG20="",0,Aout!AG20)</f>
        <v>0</v>
      </c>
      <c r="DZ18" s="16">
        <f>+IF(Aout!AJ20="",0,Aout!AJ20)</f>
        <v>0</v>
      </c>
      <c r="EA18" s="16">
        <f>+IF(Aout!AM20="",0,Aout!AM20)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46235</v>
      </c>
      <c r="EM18" s="16" t="str">
        <f>A18&amp;C18</f>
        <v>Fiche infoA646235</v>
      </c>
      <c r="EN18" s="16">
        <f t="shared" ref="EN18:EN48" si="20">+VLOOKUP(EM18,Base_feuille_présence_heure_potentiel,11,FALSE)</f>
        <v>0</v>
      </c>
      <c r="EQ18" s="16" t="str">
        <f>Aout!FS20</f>
        <v/>
      </c>
    </row>
    <row r="19" spans="1:147" ht="18" customHeight="1" x14ac:dyDescent="0.2">
      <c r="A19" s="24" t="str">
        <f>+Aout!BJ21</f>
        <v>Fiche infoA7</v>
      </c>
      <c r="B19" s="107">
        <f>C19</f>
        <v>46236</v>
      </c>
      <c r="C19" s="170">
        <f>+$D$13+1</f>
        <v>46236</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Aout!BC21</f>
        <v>0</v>
      </c>
      <c r="J19" s="34">
        <f>Aout!BE21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infoA7</v>
      </c>
      <c r="BB19" s="107">
        <f>BC19</f>
        <v>46236</v>
      </c>
      <c r="BC19" s="170">
        <f>+$D$13+1</f>
        <v>46236</v>
      </c>
      <c r="BD19" s="171" t="str">
        <f>+D19</f>
        <v/>
      </c>
      <c r="BE19" s="171" t="str">
        <f>+IF(OR(BF19=S.CAL!$BJ$3,BF19=S.CAL!$BJ$4),BD19,"")</f>
        <v/>
      </c>
      <c r="BF19" s="333">
        <f>IF($DY$5=S.CAL!$CU$2,Aout!AR21,IF($DY$5=S.CAL!$CU$3,VLOOKUP(BC19,planning_fp,7,FALSE),""))</f>
        <v>0</v>
      </c>
      <c r="BG19" s="345" t="str">
        <f>Aout!BL21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46236</v>
      </c>
      <c r="CF19" s="170">
        <f>+$D$13+1</f>
        <v>46236</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IF(+Aout!AG21="",0,Aout!AG21)</f>
        <v>0</v>
      </c>
      <c r="DZ19" s="16">
        <f>+IF(Aout!AJ21="",0,Aout!AJ21)</f>
        <v>0</v>
      </c>
      <c r="EA19" s="16">
        <f>+IF(Aout!AM21="",0,Aout!AM21)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46236</v>
      </c>
      <c r="EM19" s="16" t="str">
        <f t="shared" ref="EM19:EM48" si="29">A19&amp;C19</f>
        <v>Fiche infoA746236</v>
      </c>
      <c r="EN19" s="16">
        <f t="shared" si="20"/>
        <v>0</v>
      </c>
      <c r="EQ19" s="16" t="str">
        <f>Aout!FS21</f>
        <v/>
      </c>
    </row>
    <row r="20" spans="1:147" ht="18" customHeight="1" x14ac:dyDescent="0.2">
      <c r="A20" s="24" t="str">
        <f>+Aout!BJ22</f>
        <v>Fiche infoA1</v>
      </c>
      <c r="B20" s="107">
        <f t="shared" ref="B20:B48" si="30">C20</f>
        <v>46237</v>
      </c>
      <c r="C20" s="170">
        <f>+$D$13+2</f>
        <v>46237</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Aout!BC22</f>
        <v>0</v>
      </c>
      <c r="J20" s="34">
        <f>Aout!BE22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infoA1</v>
      </c>
      <c r="BB20" s="107">
        <f t="shared" ref="BB20:BB48" si="31">BC20</f>
        <v>46237</v>
      </c>
      <c r="BC20" s="170">
        <f>+$D$13+2</f>
        <v>46237</v>
      </c>
      <c r="BD20" s="171" t="str">
        <f t="shared" ref="BD20:BD48" si="32">+D20</f>
        <v/>
      </c>
      <c r="BE20" s="171" t="str">
        <f>+IF(OR(BF20=S.CAL!$BJ$3,BF20=S.CAL!$BJ$4),BD20,"")</f>
        <v/>
      </c>
      <c r="BF20" s="333">
        <f>IF($DY$5=S.CAL!$CU$2,Aout!AR22,IF($DY$5=S.CAL!$CU$3,VLOOKUP(BC20,planning_fp,7,FALSE),""))</f>
        <v>0</v>
      </c>
      <c r="BG20" s="345" t="str">
        <f>Aout!BL22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46237</v>
      </c>
      <c r="CF20" s="170">
        <f>+$D$13+2</f>
        <v>46237</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IF(+Aout!AG22="",0,Aout!AG22)</f>
        <v>0</v>
      </c>
      <c r="DZ20" s="16">
        <f>+IF(Aout!AJ22="",0,Aout!AJ22)</f>
        <v>0</v>
      </c>
      <c r="EA20" s="16">
        <f>+IF(Aout!AM22="",0,Aout!AM22)</f>
        <v>0</v>
      </c>
      <c r="EB20" s="16">
        <f t="shared" si="25"/>
        <v>0</v>
      </c>
      <c r="ED20" s="16">
        <f t="shared" si="26"/>
        <v>0</v>
      </c>
      <c r="EE20" s="16">
        <f t="shared" si="17"/>
        <v>0</v>
      </c>
      <c r="EF20" s="30" t="str">
        <f t="shared" si="18"/>
        <v/>
      </c>
      <c r="EG20" s="30" t="str">
        <f t="shared" si="27"/>
        <v/>
      </c>
      <c r="EH20" s="16">
        <f t="shared" si="28"/>
        <v>0</v>
      </c>
      <c r="EI20" s="30"/>
      <c r="EJ20" s="30">
        <f t="shared" si="19"/>
        <v>46237</v>
      </c>
      <c r="EM20" s="16" t="str">
        <f t="shared" si="29"/>
        <v>Fiche infoA146237</v>
      </c>
      <c r="EN20" s="16">
        <f t="shared" si="20"/>
        <v>0</v>
      </c>
      <c r="EQ20" s="16" t="str">
        <f>Aout!FS22</f>
        <v/>
      </c>
    </row>
    <row r="21" spans="1:147" ht="18" customHeight="1" x14ac:dyDescent="0.2">
      <c r="A21" s="24" t="str">
        <f>+Aout!BJ23</f>
        <v>Fiche infoA2</v>
      </c>
      <c r="B21" s="107">
        <f t="shared" si="30"/>
        <v>46238</v>
      </c>
      <c r="C21" s="170">
        <f>+$D$13+3</f>
        <v>46238</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Aout!BC23</f>
        <v>0</v>
      </c>
      <c r="J21" s="34">
        <f>Aout!BE23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infoA2</v>
      </c>
      <c r="BB21" s="107">
        <f t="shared" si="31"/>
        <v>46238</v>
      </c>
      <c r="BC21" s="170">
        <f>+$D$13+3</f>
        <v>46238</v>
      </c>
      <c r="BD21" s="171" t="str">
        <f t="shared" si="32"/>
        <v/>
      </c>
      <c r="BE21" s="171" t="str">
        <f>+IF(OR(BF21=S.CAL!$BJ$3,BF21=S.CAL!$BJ$4),BD21,"")</f>
        <v/>
      </c>
      <c r="BF21" s="333">
        <f>IF($DY$5=S.CAL!$CU$2,Aout!AR23,IF($DY$5=S.CAL!$CU$3,VLOOKUP(BC21,planning_fp,7,FALSE),""))</f>
        <v>0</v>
      </c>
      <c r="BG21" s="345" t="str">
        <f>Aout!BL23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46238</v>
      </c>
      <c r="CF21" s="170">
        <f>+$D$13+3</f>
        <v>46238</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IF(+Aout!AG23="",0,Aout!AG23)</f>
        <v>0</v>
      </c>
      <c r="DZ21" s="16">
        <f>+IF(Aout!AJ23="",0,Aout!AJ23)</f>
        <v>0</v>
      </c>
      <c r="EA21" s="16">
        <f>+IF(Aout!AM23="",0,Aout!AM23)</f>
        <v>0</v>
      </c>
      <c r="EB21" s="16">
        <f t="shared" si="25"/>
        <v>0</v>
      </c>
      <c r="ED21" s="16">
        <f t="shared" si="26"/>
        <v>0</v>
      </c>
      <c r="EE21" s="16">
        <f t="shared" si="17"/>
        <v>0</v>
      </c>
      <c r="EF21" s="30" t="str">
        <f t="shared" si="18"/>
        <v/>
      </c>
      <c r="EG21" s="30" t="str">
        <f t="shared" si="27"/>
        <v/>
      </c>
      <c r="EH21" s="16">
        <f t="shared" si="28"/>
        <v>0</v>
      </c>
      <c r="EI21" s="30"/>
      <c r="EJ21" s="30">
        <f t="shared" si="19"/>
        <v>46238</v>
      </c>
      <c r="EM21" s="16" t="str">
        <f t="shared" si="29"/>
        <v>Fiche infoA246238</v>
      </c>
      <c r="EN21" s="16">
        <f t="shared" si="20"/>
        <v>0</v>
      </c>
      <c r="EQ21" s="16" t="str">
        <f>Aout!FS23</f>
        <v/>
      </c>
    </row>
    <row r="22" spans="1:147" ht="18" customHeight="1" x14ac:dyDescent="0.25">
      <c r="A22" s="24" t="str">
        <f>+Aout!BJ24</f>
        <v>Fiche infoA3</v>
      </c>
      <c r="B22" s="107">
        <f t="shared" si="30"/>
        <v>46239</v>
      </c>
      <c r="C22" s="170">
        <f>+$D$13+4</f>
        <v>46239</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Aout!BC24</f>
        <v>0</v>
      </c>
      <c r="J22" s="34">
        <f>Aout!BE24</f>
        <v>0</v>
      </c>
      <c r="K22" s="34">
        <f t="shared" si="15"/>
        <v>0</v>
      </c>
      <c r="L22" s="34" t="str">
        <f t="shared" si="21"/>
        <v/>
      </c>
      <c r="O22" s="19"/>
      <c r="AK22" s="1189" t="s">
        <v>37</v>
      </c>
      <c r="AL22" s="1318">
        <f>+Aout!AL14</f>
        <v>0</v>
      </c>
      <c r="BA22" s="331" t="str">
        <f t="shared" si="16"/>
        <v>Fiche infoA3</v>
      </c>
      <c r="BB22" s="107">
        <f t="shared" si="31"/>
        <v>46239</v>
      </c>
      <c r="BC22" s="170">
        <f>+$D$13+4</f>
        <v>46239</v>
      </c>
      <c r="BD22" s="171" t="str">
        <f t="shared" si="32"/>
        <v/>
      </c>
      <c r="BE22" s="171" t="str">
        <f>+IF(OR(BF22=S.CAL!$BJ$3,BF22=S.CAL!$BJ$4),BD22,"")</f>
        <v/>
      </c>
      <c r="BF22" s="333">
        <f>IF($DY$5=S.CAL!$CU$2,Aout!AR24,IF($DY$5=S.CAL!$CU$3,VLOOKUP(BC22,planning_fp,7,FALSE),""))</f>
        <v>0</v>
      </c>
      <c r="BG22" s="345" t="str">
        <f>Aout!BL24</f>
        <v>A</v>
      </c>
      <c r="BH22" s="148"/>
      <c r="BL22" s="144"/>
      <c r="BM22" s="195"/>
      <c r="CD22" s="328"/>
      <c r="CE22" s="107">
        <f t="shared" si="33"/>
        <v>46239</v>
      </c>
      <c r="CF22" s="170">
        <f>+$D$13+4</f>
        <v>46239</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IF(+Aout!AG24="",0,Aout!AG24)</f>
        <v>0</v>
      </c>
      <c r="DZ22" s="16">
        <f>+IF(Aout!AJ24="",0,Aout!AJ24)</f>
        <v>0</v>
      </c>
      <c r="EA22" s="16">
        <f>+IF(Aout!AM24="",0,Aout!AM24)</f>
        <v>0</v>
      </c>
      <c r="EB22" s="16">
        <f t="shared" si="25"/>
        <v>0</v>
      </c>
      <c r="ED22" s="16">
        <f t="shared" si="26"/>
        <v>0</v>
      </c>
      <c r="EE22" s="16">
        <f t="shared" si="17"/>
        <v>0</v>
      </c>
      <c r="EF22" s="30" t="str">
        <f t="shared" si="18"/>
        <v/>
      </c>
      <c r="EG22" s="30" t="str">
        <f t="shared" si="27"/>
        <v/>
      </c>
      <c r="EH22" s="16">
        <f t="shared" si="28"/>
        <v>0</v>
      </c>
      <c r="EI22" s="30"/>
      <c r="EJ22" s="30">
        <f t="shared" si="19"/>
        <v>46239</v>
      </c>
      <c r="EM22" s="16" t="str">
        <f t="shared" si="29"/>
        <v>Fiche infoA346239</v>
      </c>
      <c r="EN22" s="16">
        <f t="shared" si="20"/>
        <v>0</v>
      </c>
      <c r="EQ22" s="16" t="str">
        <f>Aout!FS24</f>
        <v/>
      </c>
    </row>
    <row r="23" spans="1:147" ht="18" customHeight="1" x14ac:dyDescent="0.2">
      <c r="A23" s="24" t="str">
        <f>+Aout!BJ25</f>
        <v>Fiche infoA4</v>
      </c>
      <c r="B23" s="107">
        <f t="shared" si="30"/>
        <v>46240</v>
      </c>
      <c r="C23" s="170">
        <f>+$D$13+5</f>
        <v>46240</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Aout!BC25</f>
        <v>0</v>
      </c>
      <c r="J23" s="34">
        <f>Aout!BE25</f>
        <v>0</v>
      </c>
      <c r="K23" s="34">
        <f t="shared" si="15"/>
        <v>0</v>
      </c>
      <c r="L23" s="34" t="str">
        <f t="shared" si="21"/>
        <v/>
      </c>
      <c r="O23" s="39" t="str">
        <f>+O21</f>
        <v xml:space="preserve">Retenue sur salaire = </v>
      </c>
      <c r="P23" s="671">
        <f>+P30+P33</f>
        <v>0</v>
      </c>
      <c r="T23" s="563" t="s">
        <v>1107</v>
      </c>
      <c r="Z23" s="563" t="s">
        <v>1107</v>
      </c>
      <c r="BA23" s="331" t="str">
        <f t="shared" si="16"/>
        <v>Fiche infoA4</v>
      </c>
      <c r="BB23" s="107">
        <f t="shared" si="31"/>
        <v>46240</v>
      </c>
      <c r="BC23" s="170">
        <f>+$D$13+5</f>
        <v>46240</v>
      </c>
      <c r="BD23" s="171" t="str">
        <f t="shared" si="32"/>
        <v/>
      </c>
      <c r="BE23" s="171" t="str">
        <f>+IF(OR(BF23=S.CAL!$BJ$3,BF23=S.CAL!$BJ$4),BD23,"")</f>
        <v/>
      </c>
      <c r="BF23" s="333">
        <f>IF($DY$5=S.CAL!$CU$2,Aout!AR25,IF($DY$5=S.CAL!$CU$3,VLOOKUP(BC23,planning_fp,7,FALSE),""))</f>
        <v>0</v>
      </c>
      <c r="BG23" s="345" t="str">
        <f>Aout!BL25</f>
        <v>A</v>
      </c>
      <c r="BH23" s="29"/>
      <c r="BI23" s="336"/>
      <c r="BL23" s="147"/>
      <c r="CD23" s="328"/>
      <c r="CE23" s="107">
        <f t="shared" si="33"/>
        <v>46240</v>
      </c>
      <c r="CF23" s="170">
        <f>+$D$13+5</f>
        <v>46240</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IF(+Aout!AG25="",0,Aout!AG25)</f>
        <v>0</v>
      </c>
      <c r="DZ23" s="16">
        <f>+IF(Aout!AJ25="",0,Aout!AJ25)</f>
        <v>0</v>
      </c>
      <c r="EA23" s="16">
        <f>+IF(Aout!AM25="",0,Aout!AM25)</f>
        <v>0</v>
      </c>
      <c r="EB23" s="16">
        <f t="shared" si="25"/>
        <v>0</v>
      </c>
      <c r="ED23" s="16">
        <f t="shared" si="26"/>
        <v>0</v>
      </c>
      <c r="EE23" s="16">
        <f t="shared" si="17"/>
        <v>0</v>
      </c>
      <c r="EF23" s="30" t="str">
        <f t="shared" si="18"/>
        <v/>
      </c>
      <c r="EG23" s="30" t="str">
        <f t="shared" si="27"/>
        <v/>
      </c>
      <c r="EH23" s="16">
        <f t="shared" si="28"/>
        <v>0</v>
      </c>
      <c r="EI23" s="30"/>
      <c r="EJ23" s="30">
        <f t="shared" si="19"/>
        <v>46240</v>
      </c>
      <c r="EM23" s="16" t="str">
        <f t="shared" si="29"/>
        <v>Fiche infoA446240</v>
      </c>
      <c r="EN23" s="16">
        <f t="shared" si="20"/>
        <v>0</v>
      </c>
      <c r="EQ23" s="16" t="str">
        <f>Aout!FS25</f>
        <v/>
      </c>
    </row>
    <row r="24" spans="1:147" ht="18" customHeight="1" x14ac:dyDescent="0.2">
      <c r="A24" s="24" t="str">
        <f>+Aout!BJ26</f>
        <v>Fiche infoA5</v>
      </c>
      <c r="B24" s="107">
        <f t="shared" si="30"/>
        <v>46241</v>
      </c>
      <c r="C24" s="170">
        <f>+$D$13+6</f>
        <v>46241</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Aout!BC26</f>
        <v>0</v>
      </c>
      <c r="J24" s="34">
        <f>Aout!BE26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infoA5</v>
      </c>
      <c r="BB24" s="107">
        <f t="shared" si="31"/>
        <v>46241</v>
      </c>
      <c r="BC24" s="170">
        <f>+$D$13+6</f>
        <v>46241</v>
      </c>
      <c r="BD24" s="171" t="str">
        <f t="shared" si="32"/>
        <v/>
      </c>
      <c r="BE24" s="171" t="str">
        <f>+IF(OR(BF24=S.CAL!$BJ$3,BF24=S.CAL!$BJ$4),BD24,"")</f>
        <v/>
      </c>
      <c r="BF24" s="333">
        <f>IF($DY$5=S.CAL!$CU$2,Aout!AR26,IF($DY$5=S.CAL!$CU$3,VLOOKUP(BC24,planning_fp,7,FALSE),""))</f>
        <v>0</v>
      </c>
      <c r="BG24" s="345" t="str">
        <f>Aout!BL26</f>
        <v>A</v>
      </c>
      <c r="BL24" s="35"/>
      <c r="BM24" s="195"/>
      <c r="BO24" s="29"/>
      <c r="BP24" s="182"/>
      <c r="BR24" s="16" t="s">
        <v>746</v>
      </c>
      <c r="BV24" s="355"/>
      <c r="BW24" s="355"/>
      <c r="BX24" s="355"/>
      <c r="BY24" s="355" t="s">
        <v>696</v>
      </c>
      <c r="BZ24" s="355"/>
      <c r="CA24" s="355"/>
      <c r="CB24" s="355"/>
      <c r="CD24" s="328"/>
      <c r="CE24" s="107">
        <f t="shared" si="33"/>
        <v>46241</v>
      </c>
      <c r="CF24" s="170">
        <f>+$D$13+6</f>
        <v>46241</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IF(+Aout!AG26="",0,Aout!AG26)</f>
        <v>0</v>
      </c>
      <c r="DZ24" s="16">
        <f>+IF(Aout!AJ26="",0,Aout!AJ26)</f>
        <v>0</v>
      </c>
      <c r="EA24" s="16">
        <f>+IF(Aout!AM26="",0,Aout!AM26)</f>
        <v>0</v>
      </c>
      <c r="EB24" s="16">
        <f t="shared" si="25"/>
        <v>0</v>
      </c>
      <c r="ED24" s="16">
        <f t="shared" si="26"/>
        <v>0</v>
      </c>
      <c r="EE24" s="16">
        <f t="shared" si="17"/>
        <v>0</v>
      </c>
      <c r="EF24" s="30" t="str">
        <f t="shared" si="18"/>
        <v/>
      </c>
      <c r="EG24" s="30" t="str">
        <f t="shared" si="27"/>
        <v/>
      </c>
      <c r="EH24" s="16">
        <f t="shared" si="28"/>
        <v>0</v>
      </c>
      <c r="EI24" s="30"/>
      <c r="EJ24" s="30">
        <f t="shared" si="19"/>
        <v>46241</v>
      </c>
      <c r="EM24" s="16" t="str">
        <f t="shared" si="29"/>
        <v>Fiche infoA546241</v>
      </c>
      <c r="EN24" s="16">
        <f t="shared" si="20"/>
        <v>0</v>
      </c>
      <c r="EQ24" s="16" t="str">
        <f>Aout!FS26</f>
        <v/>
      </c>
    </row>
    <row r="25" spans="1:147" ht="18" customHeight="1" x14ac:dyDescent="0.2">
      <c r="A25" s="24" t="str">
        <f>+Aout!BJ27</f>
        <v>Fiche infoA6</v>
      </c>
      <c r="B25" s="107">
        <f t="shared" si="30"/>
        <v>46242</v>
      </c>
      <c r="C25" s="170">
        <f>+$D$13+7</f>
        <v>46242</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Aout!BC27</f>
        <v>0</v>
      </c>
      <c r="J25" s="34">
        <f>Aout!BE27</f>
        <v>0</v>
      </c>
      <c r="K25" s="34">
        <f t="shared" si="15"/>
        <v>0</v>
      </c>
      <c r="L25" s="34" t="str">
        <f t="shared" si="21"/>
        <v/>
      </c>
      <c r="AK25" s="1189" t="s">
        <v>320</v>
      </c>
      <c r="AL25" s="1313">
        <f>+IF(AL22,AL24/AL22,0)</f>
        <v>0</v>
      </c>
      <c r="BA25" s="331" t="str">
        <f t="shared" si="16"/>
        <v>Fiche infoA6</v>
      </c>
      <c r="BB25" s="107">
        <f t="shared" si="31"/>
        <v>46242</v>
      </c>
      <c r="BC25" s="170">
        <f>+$D$13+7</f>
        <v>46242</v>
      </c>
      <c r="BD25" s="171" t="str">
        <f t="shared" si="32"/>
        <v/>
      </c>
      <c r="BE25" s="171" t="str">
        <f>+IF(OR(BF25=S.CAL!$BJ$3,BF25=S.CAL!$BJ$4),BD25,"")</f>
        <v/>
      </c>
      <c r="BF25" s="333">
        <f>IF($DY$5=S.CAL!$CU$2,Aout!AR27,IF($DY$5=S.CAL!$CU$3,VLOOKUP(BC25,planning_fp,7,FALSE),""))</f>
        <v>0</v>
      </c>
      <c r="BG25" s="345" t="str">
        <f>Aout!BL27</f>
        <v>A</v>
      </c>
      <c r="BH25" s="148"/>
      <c r="BL25" s="35"/>
      <c r="BO25" s="29"/>
      <c r="BP25" s="182"/>
      <c r="BV25" s="355"/>
      <c r="BW25" s="355"/>
      <c r="BX25" s="355"/>
      <c r="BY25" s="355"/>
      <c r="BZ25" s="355"/>
      <c r="CA25" s="355"/>
      <c r="CB25" s="355"/>
      <c r="CD25" s="328"/>
      <c r="CE25" s="107">
        <f t="shared" si="33"/>
        <v>46242</v>
      </c>
      <c r="CF25" s="170">
        <f>+$D$13+7</f>
        <v>46242</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IF(+Aout!AG27="",0,Aout!AG27)</f>
        <v>0</v>
      </c>
      <c r="DZ25" s="16">
        <f>+IF(Aout!AJ27="",0,Aout!AJ27)</f>
        <v>0</v>
      </c>
      <c r="EA25" s="16">
        <f>+IF(Aout!AM27="",0,Aout!AM27)</f>
        <v>0</v>
      </c>
      <c r="EB25" s="16">
        <f t="shared" si="25"/>
        <v>0</v>
      </c>
      <c r="ED25" s="16">
        <f t="shared" si="26"/>
        <v>0</v>
      </c>
      <c r="EE25" s="16">
        <f t="shared" si="17"/>
        <v>0</v>
      </c>
      <c r="EF25" s="30" t="str">
        <f t="shared" si="18"/>
        <v/>
      </c>
      <c r="EG25" s="30" t="str">
        <f t="shared" si="27"/>
        <v/>
      </c>
      <c r="EH25" s="16">
        <f t="shared" si="28"/>
        <v>0</v>
      </c>
      <c r="EI25" s="30"/>
      <c r="EJ25" s="30">
        <f t="shared" si="19"/>
        <v>46242</v>
      </c>
      <c r="EM25" s="16" t="str">
        <f t="shared" si="29"/>
        <v>Fiche infoA646242</v>
      </c>
      <c r="EN25" s="16">
        <f t="shared" si="20"/>
        <v>0</v>
      </c>
      <c r="EQ25" s="16" t="str">
        <f>Aout!FS27</f>
        <v/>
      </c>
    </row>
    <row r="26" spans="1:147" ht="18" customHeight="1" x14ac:dyDescent="0.2">
      <c r="A26" s="24" t="str">
        <f>+Aout!BJ28</f>
        <v>Fiche infoA7</v>
      </c>
      <c r="B26" s="107">
        <f t="shared" si="30"/>
        <v>46243</v>
      </c>
      <c r="C26" s="170">
        <f>+$D$13+8</f>
        <v>46243</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Aout!BC28</f>
        <v>0</v>
      </c>
      <c r="J26" s="34">
        <f>Aout!BE28</f>
        <v>0</v>
      </c>
      <c r="K26" s="34">
        <f t="shared" si="15"/>
        <v>0</v>
      </c>
      <c r="L26" s="34" t="str">
        <f t="shared" si="21"/>
        <v/>
      </c>
      <c r="O26" s="16" t="s">
        <v>1197</v>
      </c>
      <c r="AK26" s="1189" t="s">
        <v>321</v>
      </c>
      <c r="AL26" s="1313">
        <f>IF(AS21,SUM(AT13:AT20)/AS21,0)</f>
        <v>0</v>
      </c>
      <c r="BA26" s="331" t="str">
        <f t="shared" si="16"/>
        <v>Fiche infoA7</v>
      </c>
      <c r="BB26" s="107">
        <f t="shared" si="31"/>
        <v>46243</v>
      </c>
      <c r="BC26" s="170">
        <f>+$D$13+8</f>
        <v>46243</v>
      </c>
      <c r="BD26" s="171" t="str">
        <f t="shared" si="32"/>
        <v/>
      </c>
      <c r="BE26" s="171" t="str">
        <f>+IF(OR(BF26=S.CAL!$BJ$3,BF26=S.CAL!$BJ$4),BD26,"")</f>
        <v/>
      </c>
      <c r="BF26" s="333">
        <f>IF($DY$5=S.CAL!$CU$2,Aout!AR28,IF($DY$5=S.CAL!$CU$3,VLOOKUP(BC26,planning_fp,7,FALSE),""))</f>
        <v>0</v>
      </c>
      <c r="BG26" s="345" t="str">
        <f>Aout!BL28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46243</v>
      </c>
      <c r="CF26" s="170">
        <f>+$D$13+8</f>
        <v>46243</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IF(+Aout!AG28="",0,Aout!AG28)</f>
        <v>0</v>
      </c>
      <c r="DZ26" s="16">
        <f>+IF(Aout!AJ28="",0,Aout!AJ28)</f>
        <v>0</v>
      </c>
      <c r="EA26" s="16">
        <f>+IF(Aout!AM28="",0,Aout!AM28)</f>
        <v>0</v>
      </c>
      <c r="EB26" s="16">
        <f t="shared" si="25"/>
        <v>0</v>
      </c>
      <c r="ED26" s="16">
        <f t="shared" si="26"/>
        <v>0</v>
      </c>
      <c r="EE26" s="16">
        <f t="shared" si="17"/>
        <v>0</v>
      </c>
      <c r="EF26" s="30" t="str">
        <f t="shared" si="18"/>
        <v/>
      </c>
      <c r="EG26" s="30" t="str">
        <f t="shared" si="27"/>
        <v/>
      </c>
      <c r="EH26" s="16">
        <f t="shared" si="28"/>
        <v>0</v>
      </c>
      <c r="EI26" s="30"/>
      <c r="EJ26" s="30">
        <f t="shared" si="19"/>
        <v>46243</v>
      </c>
      <c r="EM26" s="16" t="str">
        <f t="shared" si="29"/>
        <v>Fiche infoA746243</v>
      </c>
      <c r="EN26" s="16">
        <f t="shared" si="20"/>
        <v>0</v>
      </c>
      <c r="EQ26" s="16" t="str">
        <f>Aout!FS28</f>
        <v/>
      </c>
    </row>
    <row r="27" spans="1:147" ht="18" customHeight="1" x14ac:dyDescent="0.2">
      <c r="A27" s="24" t="str">
        <f>+Aout!BJ29</f>
        <v>Fiche infoA1</v>
      </c>
      <c r="B27" s="107">
        <f t="shared" si="30"/>
        <v>46244</v>
      </c>
      <c r="C27" s="170">
        <f>+$D$13+9</f>
        <v>46244</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Aout!BC29</f>
        <v>0</v>
      </c>
      <c r="J27" s="34">
        <f>Aout!BE29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infoA1</v>
      </c>
      <c r="BB27" s="107">
        <f t="shared" si="31"/>
        <v>46244</v>
      </c>
      <c r="BC27" s="170">
        <f>+$D$13+9</f>
        <v>46244</v>
      </c>
      <c r="BD27" s="171" t="str">
        <f t="shared" si="32"/>
        <v/>
      </c>
      <c r="BE27" s="171" t="str">
        <f>+IF(OR(BF27=S.CAL!$BJ$3,BF27=S.CAL!$BJ$4),BD27,"")</f>
        <v/>
      </c>
      <c r="BF27" s="333">
        <f>IF($DY$5=S.CAL!$CU$2,Aout!AR29,IF($DY$5=S.CAL!$CU$3,VLOOKUP(BC27,planning_fp,7,FALSE),""))</f>
        <v>0</v>
      </c>
      <c r="BG27" s="345" t="str">
        <f>Aout!BL29</f>
        <v>A</v>
      </c>
      <c r="BI27" s="16" t="s">
        <v>746</v>
      </c>
      <c r="BL27" s="35"/>
      <c r="BP27" s="2465"/>
      <c r="BQ27" s="2465"/>
      <c r="BR27" s="2465"/>
      <c r="BS27" s="2465"/>
      <c r="BT27" s="2464"/>
      <c r="BV27" s="355"/>
      <c r="BW27" s="355"/>
      <c r="BX27" s="2543"/>
      <c r="BY27" s="2543"/>
      <c r="BZ27" s="2543"/>
      <c r="CA27" s="2543"/>
      <c r="CB27" s="2542"/>
      <c r="CD27" s="328"/>
      <c r="CE27" s="107">
        <f t="shared" si="33"/>
        <v>46244</v>
      </c>
      <c r="CF27" s="170">
        <f>+$D$13+9</f>
        <v>46244</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IF(+Aout!AG29="",0,Aout!AG29)</f>
        <v>0</v>
      </c>
      <c r="DZ27" s="16">
        <f>+IF(Aout!AJ29="",0,Aout!AJ29)</f>
        <v>0</v>
      </c>
      <c r="EA27" s="16">
        <f>+IF(Aout!AM29="",0,Aout!AM29)</f>
        <v>0</v>
      </c>
      <c r="EB27" s="16">
        <f t="shared" si="25"/>
        <v>0</v>
      </c>
      <c r="ED27" s="16">
        <f t="shared" si="26"/>
        <v>0</v>
      </c>
      <c r="EE27" s="16">
        <f t="shared" si="17"/>
        <v>0</v>
      </c>
      <c r="EF27" s="30" t="str">
        <f t="shared" si="18"/>
        <v/>
      </c>
      <c r="EG27" s="30" t="str">
        <f t="shared" si="27"/>
        <v/>
      </c>
      <c r="EH27" s="16">
        <f t="shared" si="28"/>
        <v>0</v>
      </c>
      <c r="EI27" s="30"/>
      <c r="EJ27" s="30">
        <f t="shared" si="19"/>
        <v>46244</v>
      </c>
      <c r="EM27" s="16" t="str">
        <f t="shared" si="29"/>
        <v>Fiche infoA146244</v>
      </c>
      <c r="EN27" s="16">
        <f t="shared" si="20"/>
        <v>0</v>
      </c>
      <c r="EQ27" s="16" t="str">
        <f>Aout!FS29</f>
        <v/>
      </c>
    </row>
    <row r="28" spans="1:147" ht="18" customHeight="1" x14ac:dyDescent="0.2">
      <c r="A28" s="24" t="str">
        <f>+Aout!BJ30</f>
        <v>Fiche infoA2</v>
      </c>
      <c r="B28" s="107">
        <f t="shared" si="30"/>
        <v>46245</v>
      </c>
      <c r="C28" s="170">
        <f>+$D$13+10</f>
        <v>46245</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Aout!BC30</f>
        <v>0</v>
      </c>
      <c r="J28" s="34">
        <f>Aout!BE30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infoA2</v>
      </c>
      <c r="BB28" s="107">
        <f t="shared" si="31"/>
        <v>46245</v>
      </c>
      <c r="BC28" s="170">
        <f>+$D$13+10</f>
        <v>46245</v>
      </c>
      <c r="BD28" s="171" t="str">
        <f t="shared" si="32"/>
        <v/>
      </c>
      <c r="BE28" s="171" t="str">
        <f>+IF(OR(BF28=S.CAL!$BJ$3,BF28=S.CAL!$BJ$4),BD28,"")</f>
        <v/>
      </c>
      <c r="BF28" s="333">
        <f>IF($DY$5=S.CAL!$CU$2,Aout!AR30,IF($DY$5=S.CAL!$CU$3,VLOOKUP(BC28,planning_fp,7,FALSE),""))</f>
        <v>0</v>
      </c>
      <c r="BG28" s="345" t="str">
        <f>Aout!BL30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46245</v>
      </c>
      <c r="CF28" s="170">
        <f>+$D$13+10</f>
        <v>46245</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IF(+Aout!AG30="",0,Aout!AG30)</f>
        <v>0</v>
      </c>
      <c r="DZ28" s="16">
        <f>+IF(Aout!AJ30="",0,Aout!AJ30)</f>
        <v>0</v>
      </c>
      <c r="EA28" s="16">
        <f>+IF(Aout!AM30="",0,Aout!AM30)</f>
        <v>0</v>
      </c>
      <c r="EB28" s="16">
        <f t="shared" si="25"/>
        <v>0</v>
      </c>
      <c r="ED28" s="16">
        <f t="shared" si="26"/>
        <v>0</v>
      </c>
      <c r="EE28" s="16">
        <f t="shared" si="17"/>
        <v>0</v>
      </c>
      <c r="EF28" s="30" t="str">
        <f t="shared" si="18"/>
        <v/>
      </c>
      <c r="EG28" s="30" t="str">
        <f t="shared" si="27"/>
        <v/>
      </c>
      <c r="EH28" s="16">
        <f t="shared" si="28"/>
        <v>0</v>
      </c>
      <c r="EI28" s="30"/>
      <c r="EJ28" s="30">
        <f t="shared" si="19"/>
        <v>46245</v>
      </c>
      <c r="EM28" s="16" t="str">
        <f t="shared" si="29"/>
        <v>Fiche infoA246245</v>
      </c>
      <c r="EN28" s="16">
        <f t="shared" si="20"/>
        <v>0</v>
      </c>
      <c r="EQ28" s="16" t="str">
        <f>Aout!FS30</f>
        <v/>
      </c>
    </row>
    <row r="29" spans="1:147" ht="18" customHeight="1" x14ac:dyDescent="0.2">
      <c r="A29" s="24" t="str">
        <f>+Aout!BJ31</f>
        <v>Fiche infoA3</v>
      </c>
      <c r="B29" s="107">
        <f t="shared" si="30"/>
        <v>46246</v>
      </c>
      <c r="C29" s="170">
        <f>+$D$13+11</f>
        <v>46246</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Aout!BC31</f>
        <v>0</v>
      </c>
      <c r="J29" s="34">
        <f>Aout!BE31</f>
        <v>0</v>
      </c>
      <c r="K29" s="34">
        <f t="shared" si="15"/>
        <v>0</v>
      </c>
      <c r="L29" s="34" t="str">
        <f t="shared" si="21"/>
        <v/>
      </c>
      <c r="O29" s="859" t="s">
        <v>1444</v>
      </c>
      <c r="P29" s="859"/>
      <c r="Q29" s="859"/>
      <c r="R29" s="859"/>
      <c r="BA29" s="331" t="str">
        <f t="shared" si="16"/>
        <v>Fiche infoA3</v>
      </c>
      <c r="BB29" s="107">
        <f t="shared" si="31"/>
        <v>46246</v>
      </c>
      <c r="BC29" s="170">
        <f>+$D$13+11</f>
        <v>46246</v>
      </c>
      <c r="BD29" s="171" t="str">
        <f t="shared" si="32"/>
        <v/>
      </c>
      <c r="BE29" s="171" t="str">
        <f>+IF(OR(BF29=S.CAL!$BJ$3,BF29=S.CAL!$BJ$4),BD29,"")</f>
        <v/>
      </c>
      <c r="BF29" s="333">
        <f>IF($DY$5=S.CAL!$CU$2,Aout!AR31,IF($DY$5=S.CAL!$CU$3,VLOOKUP(BC29,planning_fp,7,FALSE),""))</f>
        <v>0</v>
      </c>
      <c r="BG29" s="345" t="str">
        <f>Aout!BL31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46246</v>
      </c>
      <c r="CF29" s="170">
        <f>+$D$13+11</f>
        <v>46246</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IF(+Aout!AG31="",0,Aout!AG31)</f>
        <v>0</v>
      </c>
      <c r="DZ29" s="16">
        <f>+IF(Aout!AJ31="",0,Aout!AJ31)</f>
        <v>0</v>
      </c>
      <c r="EA29" s="16">
        <f>+IF(Aout!AM31="",0,Aout!AM31)</f>
        <v>0</v>
      </c>
      <c r="EB29" s="16">
        <f t="shared" si="25"/>
        <v>0</v>
      </c>
      <c r="ED29" s="16">
        <f t="shared" si="26"/>
        <v>0</v>
      </c>
      <c r="EE29" s="16">
        <f t="shared" si="17"/>
        <v>0</v>
      </c>
      <c r="EF29" s="30" t="str">
        <f t="shared" si="18"/>
        <v/>
      </c>
      <c r="EG29" s="30" t="str">
        <f t="shared" si="27"/>
        <v/>
      </c>
      <c r="EH29" s="16">
        <f t="shared" si="28"/>
        <v>0</v>
      </c>
      <c r="EI29" s="30"/>
      <c r="EJ29" s="30">
        <f t="shared" si="19"/>
        <v>46246</v>
      </c>
      <c r="EM29" s="16" t="str">
        <f t="shared" si="29"/>
        <v>Fiche infoA346246</v>
      </c>
      <c r="EN29" s="16">
        <f t="shared" si="20"/>
        <v>0</v>
      </c>
      <c r="EQ29" s="16" t="str">
        <f>Aout!FS31</f>
        <v/>
      </c>
    </row>
    <row r="30" spans="1:147" ht="18" customHeight="1" x14ac:dyDescent="0.25">
      <c r="A30" s="24" t="str">
        <f>+Aout!BJ32</f>
        <v>Fiche infoA4</v>
      </c>
      <c r="B30" s="107">
        <f t="shared" si="30"/>
        <v>46247</v>
      </c>
      <c r="C30" s="170">
        <f>+$D$13+12</f>
        <v>46247</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Aout!BC32</f>
        <v>0</v>
      </c>
      <c r="J30" s="34">
        <f>Aout!BE32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46235</v>
      </c>
      <c r="AP30" s="2555"/>
      <c r="AQ30" s="2555"/>
      <c r="BA30" s="331" t="str">
        <f t="shared" si="16"/>
        <v>Fiche infoA4</v>
      </c>
      <c r="BB30" s="107">
        <f t="shared" si="31"/>
        <v>46247</v>
      </c>
      <c r="BC30" s="170">
        <f>+$D$13+12</f>
        <v>46247</v>
      </c>
      <c r="BD30" s="171" t="str">
        <f t="shared" si="32"/>
        <v/>
      </c>
      <c r="BE30" s="171" t="str">
        <f>+IF(OR(BF30=S.CAL!$BJ$3,BF30=S.CAL!$BJ$4),BD30,"")</f>
        <v/>
      </c>
      <c r="BF30" s="333">
        <f>IF($DY$5=S.CAL!$CU$2,Aout!AR32,IF($DY$5=S.CAL!$CU$3,VLOOKUP(BC30,planning_fp,7,FALSE),""))</f>
        <v>0</v>
      </c>
      <c r="BG30" s="345" t="str">
        <f>Aout!BL32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46247</v>
      </c>
      <c r="CF30" s="170">
        <f>+$D$13+12</f>
        <v>46247</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IF(+Aout!AG32="",0,Aout!AG32)</f>
        <v>0</v>
      </c>
      <c r="DZ30" s="16">
        <f>+IF(Aout!AJ32="",0,Aout!AJ32)</f>
        <v>0</v>
      </c>
      <c r="EA30" s="16">
        <f>+IF(Aout!AM32="",0,Aout!AM32)</f>
        <v>0</v>
      </c>
      <c r="EB30" s="16">
        <f t="shared" si="25"/>
        <v>0</v>
      </c>
      <c r="ED30" s="16">
        <f t="shared" si="26"/>
        <v>0</v>
      </c>
      <c r="EE30" s="16">
        <f t="shared" si="17"/>
        <v>0</v>
      </c>
      <c r="EF30" s="30" t="str">
        <f t="shared" si="18"/>
        <v/>
      </c>
      <c r="EG30" s="30" t="str">
        <f t="shared" si="27"/>
        <v/>
      </c>
      <c r="EH30" s="16">
        <f t="shared" si="28"/>
        <v>0</v>
      </c>
      <c r="EI30" s="30"/>
      <c r="EJ30" s="30">
        <f t="shared" si="19"/>
        <v>46247</v>
      </c>
      <c r="EM30" s="16" t="str">
        <f t="shared" si="29"/>
        <v>Fiche infoA446247</v>
      </c>
      <c r="EN30" s="16">
        <f t="shared" si="20"/>
        <v>0</v>
      </c>
      <c r="EQ30" s="16" t="str">
        <f>Aout!FS32</f>
        <v/>
      </c>
    </row>
    <row r="31" spans="1:147" ht="18" customHeight="1" x14ac:dyDescent="0.2">
      <c r="A31" s="24" t="str">
        <f>+Aout!BJ33</f>
        <v>Fiche infoA5</v>
      </c>
      <c r="B31" s="107">
        <f t="shared" si="30"/>
        <v>46248</v>
      </c>
      <c r="C31" s="170">
        <f>+$D$13+13</f>
        <v>46248</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Aout!BC33</f>
        <v>0</v>
      </c>
      <c r="J31" s="34">
        <f>Aout!BE33</f>
        <v>0</v>
      </c>
      <c r="K31" s="34">
        <f t="shared" si="15"/>
        <v>0</v>
      </c>
      <c r="L31" s="34" t="str">
        <f t="shared" si="21"/>
        <v/>
      </c>
      <c r="AL31" s="563" t="s">
        <v>342</v>
      </c>
      <c r="BA31" s="331" t="str">
        <f t="shared" si="16"/>
        <v>Fiche infoA5</v>
      </c>
      <c r="BB31" s="107">
        <f t="shared" si="31"/>
        <v>46248</v>
      </c>
      <c r="BC31" s="170">
        <f>+$D$13+13</f>
        <v>46248</v>
      </c>
      <c r="BD31" s="171" t="str">
        <f t="shared" si="32"/>
        <v/>
      </c>
      <c r="BE31" s="171" t="str">
        <f>+IF(OR(BF31=S.CAL!$BJ$3,BF31=S.CAL!$BJ$4),BD31,"")</f>
        <v/>
      </c>
      <c r="BF31" s="333">
        <f>IF($DY$5=S.CAL!$CU$2,Aout!AR33,IF($DY$5=S.CAL!$CU$3,VLOOKUP(BC31,planning_fp,7,FALSE),""))</f>
        <v>0</v>
      </c>
      <c r="BG31" s="345" t="str">
        <f>Aout!BL33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46248</v>
      </c>
      <c r="CF31" s="170">
        <f>+$D$13+13</f>
        <v>46248</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IF(+Aout!AG33="",0,Aout!AG33)</f>
        <v>0</v>
      </c>
      <c r="DZ31" s="16">
        <f>+IF(Aout!AJ33="",0,Aout!AJ33)</f>
        <v>0</v>
      </c>
      <c r="EA31" s="16">
        <f>+IF(Aout!AM33="",0,Aout!AM33)</f>
        <v>0</v>
      </c>
      <c r="EB31" s="16">
        <f t="shared" si="25"/>
        <v>0</v>
      </c>
      <c r="ED31" s="16">
        <f t="shared" si="26"/>
        <v>0</v>
      </c>
      <c r="EE31" s="16">
        <f t="shared" si="17"/>
        <v>0</v>
      </c>
      <c r="EF31" s="30" t="str">
        <f t="shared" si="18"/>
        <v/>
      </c>
      <c r="EG31" s="30" t="str">
        <f t="shared" si="27"/>
        <v/>
      </c>
      <c r="EH31" s="16">
        <f t="shared" si="28"/>
        <v>0</v>
      </c>
      <c r="EI31" s="30"/>
      <c r="EJ31" s="30">
        <f t="shared" si="19"/>
        <v>46248</v>
      </c>
      <c r="EM31" s="16" t="str">
        <f t="shared" si="29"/>
        <v>Fiche infoA546248</v>
      </c>
      <c r="EN31" s="16">
        <f t="shared" si="20"/>
        <v>0</v>
      </c>
      <c r="EQ31" s="16" t="str">
        <f>Aout!FS33</f>
        <v/>
      </c>
    </row>
    <row r="32" spans="1:147" ht="18" customHeight="1" x14ac:dyDescent="0.2">
      <c r="A32" s="24" t="str">
        <f>+Aout!BJ34</f>
        <v>Fiche infoA6</v>
      </c>
      <c r="B32" s="107">
        <f t="shared" si="30"/>
        <v>46249</v>
      </c>
      <c r="C32" s="170">
        <f>+$D$13+14</f>
        <v>46249</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Aout!BC34</f>
        <v>0</v>
      </c>
      <c r="J32" s="34">
        <f>Aout!BE34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infoA6</v>
      </c>
      <c r="BB32" s="107">
        <f t="shared" si="31"/>
        <v>46249</v>
      </c>
      <c r="BC32" s="170">
        <f>+$D$13+14</f>
        <v>46249</v>
      </c>
      <c r="BD32" s="171" t="str">
        <f t="shared" si="32"/>
        <v/>
      </c>
      <c r="BE32" s="171" t="str">
        <f>+IF(OR(BF32=S.CAL!$BJ$3,BF32=S.CAL!$BJ$4),BD32,"")</f>
        <v/>
      </c>
      <c r="BF32" s="333">
        <f>IF($DY$5=S.CAL!$CU$2,Aout!AR34,IF($DY$5=S.CAL!$CU$3,VLOOKUP(BC32,planning_fp,7,FALSE),""))</f>
        <v>0</v>
      </c>
      <c r="BG32" s="345" t="str">
        <f>Aout!BL34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46249</v>
      </c>
      <c r="CF32" s="170">
        <f>+$D$13+14</f>
        <v>46249</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IF(+Aout!AG34="",0,Aout!AG34)</f>
        <v>0</v>
      </c>
      <c r="DZ32" s="16">
        <f>+IF(Aout!AJ34="",0,Aout!AJ34)</f>
        <v>0</v>
      </c>
      <c r="EA32" s="16">
        <f>+IF(Aout!AM34="",0,Aout!AM34)</f>
        <v>0</v>
      </c>
      <c r="EB32" s="16">
        <f t="shared" si="25"/>
        <v>0</v>
      </c>
      <c r="ED32" s="16">
        <f t="shared" si="26"/>
        <v>0</v>
      </c>
      <c r="EE32" s="16">
        <f t="shared" si="17"/>
        <v>0</v>
      </c>
      <c r="EF32" s="30" t="str">
        <f t="shared" si="18"/>
        <v/>
      </c>
      <c r="EG32" s="30" t="str">
        <f t="shared" si="27"/>
        <v/>
      </c>
      <c r="EH32" s="16">
        <f t="shared" si="28"/>
        <v>0</v>
      </c>
      <c r="EI32" s="30"/>
      <c r="EJ32" s="30">
        <f t="shared" si="19"/>
        <v>46249</v>
      </c>
      <c r="EM32" s="16" t="str">
        <f t="shared" si="29"/>
        <v>Fiche infoA646249</v>
      </c>
      <c r="EN32" s="16">
        <f t="shared" si="20"/>
        <v>0</v>
      </c>
      <c r="EQ32" s="16" t="str">
        <f>Aout!FS34</f>
        <v/>
      </c>
    </row>
    <row r="33" spans="1:147" ht="18" customHeight="1" x14ac:dyDescent="0.2">
      <c r="A33" s="24" t="str">
        <f>+Aout!BJ35</f>
        <v>Fiche infoA7</v>
      </c>
      <c r="B33" s="107">
        <f t="shared" si="30"/>
        <v>46250</v>
      </c>
      <c r="C33" s="170">
        <f>+$D$13+15</f>
        <v>46250</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Aout!BC35</f>
        <v>0</v>
      </c>
      <c r="J33" s="34">
        <f>Aout!BE35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infoA7</v>
      </c>
      <c r="BB33" s="107">
        <f t="shared" si="31"/>
        <v>46250</v>
      </c>
      <c r="BC33" s="170">
        <f>+$D$13+15</f>
        <v>46250</v>
      </c>
      <c r="BD33" s="171" t="str">
        <f t="shared" si="32"/>
        <v/>
      </c>
      <c r="BE33" s="171" t="str">
        <f>+IF(OR(BF33=S.CAL!$BJ$3,BF33=S.CAL!$BJ$4),BD33,"")</f>
        <v/>
      </c>
      <c r="BF33" s="333">
        <f>IF($DY$5=S.CAL!$CU$2,Aout!AR35,IF($DY$5=S.CAL!$CU$3,VLOOKUP(BC33,planning_fp,7,FALSE),""))</f>
        <v>0</v>
      </c>
      <c r="BG33" s="345" t="str">
        <f>Aout!BL35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46250</v>
      </c>
      <c r="CF33" s="170">
        <f>+$D$13+15</f>
        <v>46250</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IF(+Aout!AG35="",0,Aout!AG35)</f>
        <v>0</v>
      </c>
      <c r="DZ33" s="16">
        <f>+IF(Aout!AJ35="",0,Aout!AJ35)</f>
        <v>0</v>
      </c>
      <c r="EA33" s="16">
        <f>+IF(Aout!AM35="",0,Aout!AM35)</f>
        <v>0</v>
      </c>
      <c r="EB33" s="16">
        <f t="shared" si="25"/>
        <v>0</v>
      </c>
      <c r="ED33" s="16">
        <f t="shared" si="26"/>
        <v>0</v>
      </c>
      <c r="EE33" s="16">
        <f t="shared" si="17"/>
        <v>0</v>
      </c>
      <c r="EF33" s="30" t="str">
        <f t="shared" si="18"/>
        <v/>
      </c>
      <c r="EG33" s="30" t="str">
        <f t="shared" si="27"/>
        <v/>
      </c>
      <c r="EH33" s="16">
        <f t="shared" si="28"/>
        <v>0</v>
      </c>
      <c r="EI33" s="30"/>
      <c r="EJ33" s="30">
        <f t="shared" si="19"/>
        <v>46250</v>
      </c>
      <c r="EM33" s="16" t="str">
        <f t="shared" si="29"/>
        <v>Fiche infoA746250</v>
      </c>
      <c r="EN33" s="16">
        <f t="shared" si="20"/>
        <v>0</v>
      </c>
      <c r="EQ33" s="16" t="str">
        <f>Aout!FS35</f>
        <v/>
      </c>
    </row>
    <row r="34" spans="1:147" ht="18" customHeight="1" x14ac:dyDescent="0.2">
      <c r="A34" s="24" t="str">
        <f>+Aout!BJ36</f>
        <v>Fiche infoA1</v>
      </c>
      <c r="B34" s="107">
        <f t="shared" si="30"/>
        <v>46251</v>
      </c>
      <c r="C34" s="170">
        <f>+$D$13+16</f>
        <v>46251</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Aout!BC36</f>
        <v>0</v>
      </c>
      <c r="J34" s="34">
        <f>Aout!BE36</f>
        <v>0</v>
      </c>
      <c r="K34" s="34">
        <f t="shared" si="15"/>
        <v>0</v>
      </c>
      <c r="L34" s="34" t="str">
        <f t="shared" si="21"/>
        <v/>
      </c>
      <c r="N34" s="377"/>
      <c r="O34" s="377"/>
      <c r="P34" s="377"/>
      <c r="Q34" s="377"/>
      <c r="R34" s="377"/>
      <c r="T34" s="563">
        <f>+IF(AD34=0,V34,0)</f>
        <v>0</v>
      </c>
      <c r="U34" s="1301" t="str">
        <f>+Aout!AU4</f>
        <v>A</v>
      </c>
      <c r="V34" s="1301">
        <f>IFERROR(+VLOOKUP(U34,U35:AB39,7,FALSE),"")</f>
        <v>0</v>
      </c>
      <c r="W34" s="2538" t="str">
        <f>Aout!BS28</f>
        <v>Semaine numéro : 31</v>
      </c>
      <c r="X34" s="2538"/>
      <c r="Y34" s="2538"/>
      <c r="Z34" s="1323"/>
      <c r="AA34" s="1316">
        <f>+IF(Z34&lt;&gt;"",Z34,IF(T34&gt;0,T34,IF(AND(AD34&gt;0,AC34&gt;0),AD34+AC34,IF(AE34&gt;0,0,AC34))))</f>
        <v>0</v>
      </c>
      <c r="AB34" s="1316">
        <f>IF(AND(AA34&gt;45,AD34=AD48),AA34-45,0)</f>
        <v>0</v>
      </c>
      <c r="AC34" s="1322">
        <f>+SUMIF(Aout!$BK$20:$BK$50,Aout!AT4,$D$18:$D$48)</f>
        <v>0</v>
      </c>
      <c r="AD34" s="1322">
        <f>+SUMIF(Juillet!$BK$20:$BK$50,Aout!AT4,'Retenue Juil'!$D$18:$D$48)</f>
        <v>0</v>
      </c>
      <c r="AE34" s="1322">
        <f>+SUMIF(Septembre!$BK$20:$BK$50,Aout!AT4,'Retenue Sept'!$D$18:$D$48)</f>
        <v>0</v>
      </c>
      <c r="AF34" s="1316">
        <f>+AC34-AB34</f>
        <v>0</v>
      </c>
      <c r="AK34" s="1189" t="s">
        <v>324</v>
      </c>
      <c r="AL34" s="1302" t="e">
        <f>IF(AL32,+AL24/AL32,0)</f>
        <v>#VALUE!</v>
      </c>
      <c r="BA34" s="331" t="str">
        <f t="shared" si="16"/>
        <v>Fiche infoA1</v>
      </c>
      <c r="BB34" s="107">
        <f t="shared" si="31"/>
        <v>46251</v>
      </c>
      <c r="BC34" s="170">
        <f>+$D$13+16</f>
        <v>46251</v>
      </c>
      <c r="BD34" s="171" t="str">
        <f t="shared" si="32"/>
        <v/>
      </c>
      <c r="BE34" s="171" t="str">
        <f>+IF(OR(BF34=S.CAL!$BJ$3,BF34=S.CAL!$BJ$4),BD34,"")</f>
        <v/>
      </c>
      <c r="BF34" s="333">
        <f>IF($DY$5=S.CAL!$CU$2,Aout!AR36,IF($DY$5=S.CAL!$CU$3,VLOOKUP(BC34,planning_fp,7,FALSE),""))</f>
        <v>0</v>
      </c>
      <c r="BG34" s="345" t="str">
        <f>Aout!BL36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46251</v>
      </c>
      <c r="CF34" s="170">
        <f>+$D$13+16</f>
        <v>46251</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IF(+Aout!AG36="",0,Aout!AG36)</f>
        <v>0</v>
      </c>
      <c r="DZ34" s="16">
        <f>+IF(Aout!AJ36="",0,Aout!AJ36)</f>
        <v>0</v>
      </c>
      <c r="EA34" s="16">
        <f>+IF(Aout!AM36="",0,Aout!AM36)</f>
        <v>0</v>
      </c>
      <c r="EB34" s="16">
        <f t="shared" si="25"/>
        <v>0</v>
      </c>
      <c r="ED34" s="16">
        <f t="shared" si="26"/>
        <v>0</v>
      </c>
      <c r="EE34" s="16">
        <f t="shared" si="17"/>
        <v>0</v>
      </c>
      <c r="EF34" s="30" t="str">
        <f t="shared" si="18"/>
        <v/>
      </c>
      <c r="EG34" s="30" t="str">
        <f t="shared" si="27"/>
        <v/>
      </c>
      <c r="EH34" s="16">
        <f t="shared" si="28"/>
        <v>0</v>
      </c>
      <c r="EI34" s="30"/>
      <c r="EJ34" s="30">
        <f t="shared" si="19"/>
        <v>46251</v>
      </c>
      <c r="EM34" s="16" t="str">
        <f t="shared" si="29"/>
        <v>Fiche infoA146251</v>
      </c>
      <c r="EN34" s="16">
        <f t="shared" si="20"/>
        <v>0</v>
      </c>
      <c r="EQ34" s="16" t="str">
        <f>Aout!FS36</f>
        <v/>
      </c>
    </row>
    <row r="35" spans="1:147" ht="18" customHeight="1" x14ac:dyDescent="0.2">
      <c r="A35" s="24" t="str">
        <f>+Aout!BJ37</f>
        <v>Fiche infoA2</v>
      </c>
      <c r="B35" s="107">
        <f t="shared" si="30"/>
        <v>46252</v>
      </c>
      <c r="C35" s="170">
        <f>+$D$13+17</f>
        <v>46252</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Aout!BC37</f>
        <v>0</v>
      </c>
      <c r="J35" s="34">
        <f>Aout!BE37</f>
        <v>0</v>
      </c>
      <c r="K35" s="34">
        <f t="shared" si="15"/>
        <v>0</v>
      </c>
      <c r="L35" s="34" t="str">
        <f t="shared" si="21"/>
        <v/>
      </c>
      <c r="N35" s="377"/>
      <c r="O35" s="861" t="s">
        <v>1198</v>
      </c>
      <c r="P35" s="862"/>
      <c r="Q35" s="862"/>
      <c r="R35" s="858"/>
      <c r="T35" s="563">
        <f>+IF(AD35=0,V35,0)</f>
        <v>0</v>
      </c>
      <c r="U35" s="1301" t="str">
        <f>+Aout!AU5</f>
        <v>A</v>
      </c>
      <c r="V35" s="1301">
        <f>IFERROR(+VLOOKUP(U35,U36:AB39,7,FALSE),"")</f>
        <v>0</v>
      </c>
      <c r="W35" s="2538" t="str">
        <f>Aout!BS29</f>
        <v>Semaine numéro : 32</v>
      </c>
      <c r="X35" s="2538"/>
      <c r="Y35" s="2538"/>
      <c r="Z35" s="1323"/>
      <c r="AA35" s="1316">
        <f>+IF(Z35&lt;&gt;"",Z35,IF(T35&gt;0,T35,IF(AND(AD35&gt;0,AC35&gt;0),AD35+AC35,IF(AE35&gt;0,0,AC35))))</f>
        <v>0</v>
      </c>
      <c r="AB35" s="1316">
        <f t="shared" ref="AB35:AB39" si="44">IF(AND(AA35&gt;45,AD35=AD49),AA35-45,0)</f>
        <v>0</v>
      </c>
      <c r="AC35" s="1322">
        <f>+SUMIF(Aout!$BK$20:$BK$50,Aout!AT5,$D$18:$D$48)</f>
        <v>0</v>
      </c>
      <c r="AD35" s="1322">
        <f>+SUMIF(Juillet!$BK$20:$BK$50,Aout!AT5,'Retenue Juil'!$D$18:$D$48)</f>
        <v>0</v>
      </c>
      <c r="AE35" s="1322">
        <f>+SUMIF(Septembre!$BK$20:$BK$50,Aout!AT5,'Retenue Sept'!$D$18:$D$48)</f>
        <v>0</v>
      </c>
      <c r="AF35" s="1316">
        <f t="shared" ref="AF35:AF39" si="45">+AC35-AB35</f>
        <v>0</v>
      </c>
      <c r="AK35" s="1189"/>
      <c r="AL35" s="1302"/>
      <c r="BA35" s="331" t="str">
        <f t="shared" si="16"/>
        <v>Fiche infoA2</v>
      </c>
      <c r="BB35" s="107">
        <f t="shared" si="31"/>
        <v>46252</v>
      </c>
      <c r="BC35" s="170">
        <f>+$D$13+17</f>
        <v>46252</v>
      </c>
      <c r="BD35" s="171" t="str">
        <f t="shared" si="32"/>
        <v/>
      </c>
      <c r="BE35" s="171" t="str">
        <f>+IF(OR(BF35=S.CAL!$BJ$3,BF35=S.CAL!$BJ$4),BD35,"")</f>
        <v/>
      </c>
      <c r="BF35" s="333">
        <f>IF($DY$5=S.CAL!$CU$2,Aout!AR37,IF($DY$5=S.CAL!$CU$3,VLOOKUP(BC35,planning_fp,7,FALSE),""))</f>
        <v>0</v>
      </c>
      <c r="BG35" s="345" t="str">
        <f>Aout!BL37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46252</v>
      </c>
      <c r="CF35" s="170">
        <f>+$D$13+17</f>
        <v>46252</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IF(+Aout!AG37="",0,Aout!AG37)</f>
        <v>0</v>
      </c>
      <c r="DZ35" s="16">
        <f>+IF(Aout!AJ37="",0,Aout!AJ37)</f>
        <v>0</v>
      </c>
      <c r="EA35" s="16">
        <f>+IF(Aout!AM37="",0,Aout!AM37)</f>
        <v>0</v>
      </c>
      <c r="EB35" s="16">
        <f t="shared" si="25"/>
        <v>0</v>
      </c>
      <c r="ED35" s="16">
        <f t="shared" si="26"/>
        <v>0</v>
      </c>
      <c r="EE35" s="16">
        <f t="shared" si="17"/>
        <v>0</v>
      </c>
      <c r="EF35" s="30" t="str">
        <f t="shared" si="18"/>
        <v/>
      </c>
      <c r="EG35" s="30" t="str">
        <f t="shared" si="27"/>
        <v/>
      </c>
      <c r="EH35" s="16">
        <f t="shared" si="28"/>
        <v>0</v>
      </c>
      <c r="EI35" s="30"/>
      <c r="EJ35" s="30">
        <f t="shared" si="19"/>
        <v>46252</v>
      </c>
      <c r="EM35" s="16" t="str">
        <f t="shared" si="29"/>
        <v>Fiche infoA246252</v>
      </c>
      <c r="EN35" s="16">
        <f t="shared" si="20"/>
        <v>0</v>
      </c>
      <c r="EQ35" s="16" t="str">
        <f>Aout!FS37</f>
        <v/>
      </c>
    </row>
    <row r="36" spans="1:147" ht="18" customHeight="1" x14ac:dyDescent="0.2">
      <c r="A36" s="24" t="str">
        <f>+Aout!BJ38</f>
        <v>Fiche infoA3</v>
      </c>
      <c r="B36" s="107">
        <f t="shared" si="30"/>
        <v>46253</v>
      </c>
      <c r="C36" s="170">
        <f>+$D$13+18</f>
        <v>46253</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Aout!BC38</f>
        <v>0</v>
      </c>
      <c r="J36" s="34">
        <f>Aout!BE38</f>
        <v>0</v>
      </c>
      <c r="K36" s="34">
        <f t="shared" si="15"/>
        <v>0</v>
      </c>
      <c r="L36" s="34" t="str">
        <f t="shared" si="21"/>
        <v/>
      </c>
      <c r="N36" s="377"/>
      <c r="O36" s="468"/>
      <c r="P36" s="469" t="str">
        <f>+E11&amp;" / ( "&amp;E10&amp;" + "&amp;E11&amp;" ) ="</f>
        <v>0 / ( 0 + 0 ) =</v>
      </c>
      <c r="Q36" s="468" t="e">
        <f>+ROUND(E11/(E11+E10),6)</f>
        <v>#DIV/0!</v>
      </c>
      <c r="R36" s="377"/>
      <c r="U36" s="1301" t="str">
        <f>+Aout!AU6</f>
        <v>A</v>
      </c>
      <c r="V36" s="1301"/>
      <c r="W36" s="2538" t="str">
        <f>Aout!BS30</f>
        <v>Semaine numéro : 33</v>
      </c>
      <c r="X36" s="2538"/>
      <c r="Y36" s="2538"/>
      <c r="Z36" s="1323"/>
      <c r="AA36" s="1316">
        <f t="shared" ref="AA36:AA39" si="46">+IF(Z36="",IF(AND(AD36&gt;0,AC36&gt;0),AD36+AC36,IF(AE36&gt;0,0,AC36)),Z36)</f>
        <v>0</v>
      </c>
      <c r="AB36" s="1316">
        <f t="shared" si="44"/>
        <v>0</v>
      </c>
      <c r="AC36" s="1322">
        <f>+SUMIF(Aout!$BK$20:$BK$50,Aout!AT6,$D$18:$D$48)</f>
        <v>0</v>
      </c>
      <c r="AD36" s="1322">
        <f>+SUMIF(Juillet!$BK$20:$BK$50,Aout!AT6,'Retenue Juil'!$D$18:$D$48)</f>
        <v>0</v>
      </c>
      <c r="AE36" s="1322">
        <f>+SUMIF(Septembre!$BK$20:$BK$50,Aout!AT6,'Retenue Sept'!$D$18:$D$48)</f>
        <v>0</v>
      </c>
      <c r="AF36" s="1316">
        <f t="shared" si="45"/>
        <v>0</v>
      </c>
      <c r="AK36" s="1189"/>
      <c r="AL36" s="1302"/>
      <c r="BA36" s="331" t="str">
        <f t="shared" si="16"/>
        <v>Fiche infoA3</v>
      </c>
      <c r="BB36" s="107">
        <f t="shared" si="31"/>
        <v>46253</v>
      </c>
      <c r="BC36" s="170">
        <f>+$D$13+18</f>
        <v>46253</v>
      </c>
      <c r="BD36" s="171" t="str">
        <f t="shared" si="32"/>
        <v/>
      </c>
      <c r="BE36" s="171" t="str">
        <f>+IF(OR(BF36=S.CAL!$BJ$3,BF36=S.CAL!$BJ$4),BD36,"")</f>
        <v/>
      </c>
      <c r="BF36" s="333">
        <f>IF($DY$5=S.CAL!$CU$2,Aout!AR38,IF($DY$5=S.CAL!$CU$3,VLOOKUP(BC36,planning_fp,7,FALSE),""))</f>
        <v>0</v>
      </c>
      <c r="BG36" s="345" t="str">
        <f>Aout!BL38</f>
        <v>A</v>
      </c>
      <c r="BH36" s="356"/>
      <c r="BI36" s="357"/>
      <c r="BJ36" s="355"/>
      <c r="BK36" s="355"/>
      <c r="BL36" s="35"/>
      <c r="BS36" s="189"/>
      <c r="BT36" s="342"/>
      <c r="BU36" s="342"/>
      <c r="BV36" s="355"/>
      <c r="BW36" s="355"/>
      <c r="BX36" s="355"/>
      <c r="BY36" s="355"/>
      <c r="BZ36" s="355"/>
      <c r="CA36" s="355"/>
      <c r="CB36" s="355"/>
      <c r="CD36" s="328"/>
      <c r="CE36" s="107">
        <f t="shared" si="33"/>
        <v>46253</v>
      </c>
      <c r="CF36" s="170">
        <f>+$D$13+18</f>
        <v>46253</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IF(+Aout!AG38="",0,Aout!AG38)</f>
        <v>0</v>
      </c>
      <c r="DZ36" s="16">
        <f>+IF(Aout!AJ38="",0,Aout!AJ38)</f>
        <v>0</v>
      </c>
      <c r="EA36" s="16">
        <f>+IF(Aout!AM38="",0,Aout!AM38)</f>
        <v>0</v>
      </c>
      <c r="EB36" s="16">
        <f t="shared" si="25"/>
        <v>0</v>
      </c>
      <c r="ED36" s="16">
        <f t="shared" si="26"/>
        <v>0</v>
      </c>
      <c r="EE36" s="16">
        <f t="shared" si="17"/>
        <v>0</v>
      </c>
      <c r="EF36" s="30" t="str">
        <f t="shared" si="18"/>
        <v/>
      </c>
      <c r="EG36" s="30" t="str">
        <f t="shared" si="27"/>
        <v/>
      </c>
      <c r="EH36" s="16">
        <f t="shared" si="28"/>
        <v>0</v>
      </c>
      <c r="EI36" s="30"/>
      <c r="EJ36" s="30">
        <f t="shared" si="19"/>
        <v>46253</v>
      </c>
      <c r="EM36" s="16" t="str">
        <f t="shared" si="29"/>
        <v>Fiche infoA346253</v>
      </c>
      <c r="EN36" s="16">
        <f t="shared" si="20"/>
        <v>0</v>
      </c>
      <c r="EQ36" s="16" t="str">
        <f>Aout!FS38</f>
        <v/>
      </c>
    </row>
    <row r="37" spans="1:147" ht="18" customHeight="1" x14ac:dyDescent="0.2">
      <c r="A37" s="24" t="str">
        <f>+Aout!BJ39</f>
        <v>Fiche infoA4</v>
      </c>
      <c r="B37" s="107">
        <f t="shared" si="30"/>
        <v>46254</v>
      </c>
      <c r="C37" s="170">
        <f>+$D$13+19</f>
        <v>46254</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Aout!BC39</f>
        <v>0</v>
      </c>
      <c r="J37" s="34">
        <f>Aout!BE39</f>
        <v>0</v>
      </c>
      <c r="K37" s="34">
        <f t="shared" si="15"/>
        <v>0</v>
      </c>
      <c r="L37" s="34" t="str">
        <f t="shared" si="21"/>
        <v/>
      </c>
      <c r="N37" s="377"/>
      <c r="O37" s="863"/>
      <c r="P37" s="863"/>
      <c r="Q37" s="863"/>
      <c r="R37" s="377"/>
      <c r="U37" s="1301" t="str">
        <f>+Aout!AU7</f>
        <v>A</v>
      </c>
      <c r="V37" s="1301"/>
      <c r="W37" s="2538" t="str">
        <f>Aout!BS31</f>
        <v>Semaine numéro : 34</v>
      </c>
      <c r="X37" s="2538"/>
      <c r="Y37" s="2538"/>
      <c r="Z37" s="1323"/>
      <c r="AA37" s="1316">
        <f t="shared" si="46"/>
        <v>0</v>
      </c>
      <c r="AB37" s="1316">
        <f t="shared" si="44"/>
        <v>0</v>
      </c>
      <c r="AC37" s="1322">
        <f>+SUMIF(Aout!$BK$20:$BK$50,Aout!AT7,$D$18:$D$48)</f>
        <v>0</v>
      </c>
      <c r="AD37" s="1322">
        <f>+SUMIF(Juillet!$BK$20:$BK$50,Aout!AT7,'Retenue Juil'!$D$18:$D$48)</f>
        <v>0</v>
      </c>
      <c r="AE37" s="1322">
        <f>+SUMIF(Septembre!$BK$20:$BK$50,Aout!AT7,'Retenue Sept'!$D$18:$D$48)</f>
        <v>0</v>
      </c>
      <c r="AF37" s="1316">
        <f t="shared" si="45"/>
        <v>0</v>
      </c>
      <c r="AK37" s="1189"/>
      <c r="AL37" s="2553" t="s">
        <v>325</v>
      </c>
      <c r="AM37" s="2553" t="s">
        <v>326</v>
      </c>
      <c r="AN37" s="2554" t="s">
        <v>327</v>
      </c>
      <c r="AO37" s="2553" t="s">
        <v>328</v>
      </c>
      <c r="AP37" s="2553" t="s">
        <v>348</v>
      </c>
      <c r="AQ37" s="2553" t="s">
        <v>349</v>
      </c>
      <c r="BA37" s="331" t="str">
        <f t="shared" si="16"/>
        <v>Fiche infoA4</v>
      </c>
      <c r="BB37" s="107">
        <f t="shared" si="31"/>
        <v>46254</v>
      </c>
      <c r="BC37" s="170">
        <f>+$D$13+19</f>
        <v>46254</v>
      </c>
      <c r="BD37" s="171" t="str">
        <f t="shared" si="32"/>
        <v/>
      </c>
      <c r="BE37" s="171" t="str">
        <f>+IF(OR(BF37=S.CAL!$BJ$3,BF37=S.CAL!$BJ$4),BD37,"")</f>
        <v/>
      </c>
      <c r="BF37" s="333">
        <f>IF($DY$5=S.CAL!$CU$2,Aout!AR39,IF($DY$5=S.CAL!$CU$3,VLOOKUP(BC37,planning_fp,7,FALSE),""))</f>
        <v>0</v>
      </c>
      <c r="BG37" s="345" t="str">
        <f>Aout!BL39</f>
        <v>A</v>
      </c>
      <c r="BH37" s="355"/>
      <c r="BI37" s="355"/>
      <c r="BJ37" s="355"/>
      <c r="BK37" s="355"/>
      <c r="BL37" s="35"/>
      <c r="BO37" s="29"/>
      <c r="BP37" s="34"/>
      <c r="BS37" s="189"/>
      <c r="BT37" s="189"/>
      <c r="BV37" s="355"/>
      <c r="BW37" s="355"/>
      <c r="BX37" s="355"/>
      <c r="BY37" s="355"/>
      <c r="BZ37" s="355"/>
      <c r="CA37" s="355"/>
      <c r="CB37" s="355"/>
      <c r="CD37" s="328"/>
      <c r="CE37" s="107">
        <f t="shared" si="33"/>
        <v>46254</v>
      </c>
      <c r="CF37" s="170">
        <f>+$D$13+19</f>
        <v>46254</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IF(+Aout!AG39="",0,Aout!AG39)</f>
        <v>0</v>
      </c>
      <c r="DZ37" s="16">
        <f>+IF(Aout!AJ39="",0,Aout!AJ39)</f>
        <v>0</v>
      </c>
      <c r="EA37" s="16">
        <f>+IF(Aout!AM39="",0,Aout!AM39)</f>
        <v>0</v>
      </c>
      <c r="EB37" s="16">
        <f t="shared" si="25"/>
        <v>0</v>
      </c>
      <c r="ED37" s="16">
        <f t="shared" si="26"/>
        <v>0</v>
      </c>
      <c r="EE37" s="16">
        <f t="shared" si="17"/>
        <v>0</v>
      </c>
      <c r="EF37" s="30" t="str">
        <f t="shared" si="18"/>
        <v/>
      </c>
      <c r="EG37" s="30" t="str">
        <f t="shared" si="27"/>
        <v/>
      </c>
      <c r="EH37" s="16">
        <f t="shared" si="28"/>
        <v>0</v>
      </c>
      <c r="EI37" s="30"/>
      <c r="EJ37" s="30">
        <f t="shared" si="19"/>
        <v>46254</v>
      </c>
      <c r="EM37" s="16" t="str">
        <f t="shared" si="29"/>
        <v>Fiche infoA446254</v>
      </c>
      <c r="EN37" s="16">
        <f t="shared" si="20"/>
        <v>0</v>
      </c>
      <c r="EQ37" s="16" t="str">
        <f>Aout!FS39</f>
        <v/>
      </c>
    </row>
    <row r="38" spans="1:147" ht="18" customHeight="1" x14ac:dyDescent="0.2">
      <c r="A38" s="24" t="str">
        <f>+Aout!BJ40</f>
        <v>Fiche infoA5</v>
      </c>
      <c r="B38" s="107">
        <f t="shared" si="30"/>
        <v>46255</v>
      </c>
      <c r="C38" s="170">
        <f>+$D$13+20</f>
        <v>46255</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Aout!BC40</f>
        <v>0</v>
      </c>
      <c r="J38" s="34">
        <f>Aout!BE40</f>
        <v>0</v>
      </c>
      <c r="K38" s="34">
        <f t="shared" si="15"/>
        <v>0</v>
      </c>
      <c r="L38" s="34" t="str">
        <f t="shared" si="21"/>
        <v/>
      </c>
      <c r="N38" s="377"/>
      <c r="O38" s="864" t="s">
        <v>1445</v>
      </c>
      <c r="P38" s="864"/>
      <c r="Q38" s="864"/>
      <c r="R38" s="860"/>
      <c r="U38" s="1301" t="str">
        <f>+Aout!AU8</f>
        <v>A</v>
      </c>
      <c r="V38" s="1301"/>
      <c r="W38" s="2538" t="str">
        <f>Aout!BS32</f>
        <v>Semaine numéro : 35</v>
      </c>
      <c r="X38" s="2538"/>
      <c r="Y38" s="2538"/>
      <c r="Z38" s="1323"/>
      <c r="AA38" s="1316">
        <f t="shared" si="46"/>
        <v>0</v>
      </c>
      <c r="AB38" s="1316">
        <f t="shared" si="44"/>
        <v>0</v>
      </c>
      <c r="AC38" s="1322">
        <f>+SUMIF(Aout!$BK$20:$BK$50,Aout!AT8,$D$18:$D$48)</f>
        <v>0</v>
      </c>
      <c r="AD38" s="1322">
        <f>+SUMIF(Juillet!$BK$20:$BK$50,Aout!AT8,'Retenue Juil'!$D$18:$D$48)</f>
        <v>0</v>
      </c>
      <c r="AE38" s="1322">
        <f>+SUMIF(Septembre!$BK$20:$BK$50,Aout!AT8,'Retenue Sept'!$D$18:$D$48)</f>
        <v>0</v>
      </c>
      <c r="AF38" s="1316">
        <f t="shared" si="45"/>
        <v>0</v>
      </c>
      <c r="AL38" s="2553"/>
      <c r="AM38" s="2553"/>
      <c r="AN38" s="2554"/>
      <c r="AO38" s="2553"/>
      <c r="AP38" s="2553"/>
      <c r="AQ38" s="2553"/>
      <c r="BA38" s="331" t="str">
        <f t="shared" si="16"/>
        <v>Fiche infoA5</v>
      </c>
      <c r="BB38" s="107">
        <f t="shared" si="31"/>
        <v>46255</v>
      </c>
      <c r="BC38" s="170">
        <f>+$D$13+20</f>
        <v>46255</v>
      </c>
      <c r="BD38" s="171" t="str">
        <f t="shared" si="32"/>
        <v/>
      </c>
      <c r="BE38" s="171" t="str">
        <f>+IF(OR(BF38=S.CAL!$BJ$3,BF38=S.CAL!$BJ$4),BD38,"")</f>
        <v/>
      </c>
      <c r="BF38" s="333">
        <f>IF($DY$5=S.CAL!$CU$2,Aout!AR40,IF($DY$5=S.CAL!$CU$3,VLOOKUP(BC38,planning_fp,7,FALSE),""))</f>
        <v>0</v>
      </c>
      <c r="BG38" s="345" t="str">
        <f>Aout!BL40</f>
        <v>A</v>
      </c>
      <c r="BH38" s="355"/>
      <c r="BI38" s="355"/>
      <c r="BJ38" s="355"/>
      <c r="BK38" s="355"/>
      <c r="BL38" s="35"/>
      <c r="BO38" s="29"/>
      <c r="BP38" s="34"/>
      <c r="BS38" s="189"/>
      <c r="BT38" s="189"/>
      <c r="BV38" s="355"/>
      <c r="BW38" s="355"/>
      <c r="BX38" s="355"/>
      <c r="BY38" s="355"/>
      <c r="BZ38" s="355"/>
      <c r="CA38" s="355"/>
      <c r="CB38" s="355"/>
      <c r="CD38" s="328"/>
      <c r="CE38" s="107">
        <f t="shared" si="33"/>
        <v>46255</v>
      </c>
      <c r="CF38" s="170">
        <f>+$D$13+20</f>
        <v>46255</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IF(+Aout!AG40="",0,Aout!AG40)</f>
        <v>0</v>
      </c>
      <c r="DZ38" s="16">
        <f>+IF(Aout!AJ40="",0,Aout!AJ40)</f>
        <v>0</v>
      </c>
      <c r="EA38" s="16">
        <f>+IF(Aout!AM40="",0,Aout!AM40)</f>
        <v>0</v>
      </c>
      <c r="EB38" s="16">
        <f t="shared" si="25"/>
        <v>0</v>
      </c>
      <c r="ED38" s="16">
        <f t="shared" si="26"/>
        <v>0</v>
      </c>
      <c r="EE38" s="16">
        <f t="shared" si="17"/>
        <v>0</v>
      </c>
      <c r="EF38" s="30" t="str">
        <f t="shared" si="18"/>
        <v/>
      </c>
      <c r="EG38" s="30" t="str">
        <f t="shared" si="27"/>
        <v/>
      </c>
      <c r="EH38" s="16">
        <f t="shared" si="28"/>
        <v>0</v>
      </c>
      <c r="EI38" s="30"/>
      <c r="EJ38" s="30">
        <f t="shared" si="19"/>
        <v>46255</v>
      </c>
      <c r="EM38" s="16" t="str">
        <f t="shared" si="29"/>
        <v>Fiche infoA546255</v>
      </c>
      <c r="EN38" s="16">
        <f t="shared" si="20"/>
        <v>0</v>
      </c>
      <c r="EQ38" s="16" t="str">
        <f>Aout!FS40</f>
        <v/>
      </c>
    </row>
    <row r="39" spans="1:147" ht="18" customHeight="1" x14ac:dyDescent="0.2">
      <c r="A39" s="24" t="str">
        <f>+Aout!BJ41</f>
        <v>Fiche infoA6</v>
      </c>
      <c r="B39" s="107">
        <f t="shared" si="30"/>
        <v>46256</v>
      </c>
      <c r="C39" s="170">
        <f>+$D$13+21</f>
        <v>46256</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Aout!BC41</f>
        <v>0</v>
      </c>
      <c r="J39" s="34">
        <f>Aout!BE41</f>
        <v>0</v>
      </c>
      <c r="K39" s="34">
        <f t="shared" si="15"/>
        <v>0</v>
      </c>
      <c r="L39" s="34" t="str">
        <f t="shared" si="21"/>
        <v/>
      </c>
      <c r="N39" s="377"/>
      <c r="O39" s="468"/>
      <c r="P39" s="469" t="str">
        <f>+E10&amp;" / ( "&amp;E10&amp;" + "&amp;E11&amp;" ) ="</f>
        <v>0 / ( 0 + 0 ) =</v>
      </c>
      <c r="Q39" s="468" t="e">
        <f>ROUND(+E10/(E11+E10),6)</f>
        <v>#DIV/0!</v>
      </c>
      <c r="R39" s="377"/>
      <c r="U39" s="1301" t="str">
        <f>+Aout!AU9</f>
        <v>A</v>
      </c>
      <c r="V39" s="1301"/>
      <c r="W39" s="2538" t="str">
        <f>Aout!BS33</f>
        <v>Semaine numéro : 36</v>
      </c>
      <c r="X39" s="2538"/>
      <c r="Y39" s="2538"/>
      <c r="Z39" s="1323"/>
      <c r="AA39" s="1316">
        <f t="shared" si="46"/>
        <v>0</v>
      </c>
      <c r="AB39" s="1316">
        <f t="shared" si="44"/>
        <v>0</v>
      </c>
      <c r="AC39" s="1322">
        <f>+SUMIF(Aout!$BK$20:$BK$50,Aout!AT9,$D$18:$D$48)</f>
        <v>0</v>
      </c>
      <c r="AD39" s="1322">
        <f>+SUMIF(Juillet!$BK$20:$BK$50,Aout!AT9,'Retenue Juil'!$D$18:$D$48)</f>
        <v>0</v>
      </c>
      <c r="AE39" s="1322">
        <f>+SUMIF(Septembre!$BK$20:$BK$50,Aout!AT9,'Retenue Sept'!$D$18:$D$48)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infoA6</v>
      </c>
      <c r="BB39" s="107">
        <f t="shared" si="31"/>
        <v>46256</v>
      </c>
      <c r="BC39" s="170">
        <f>+$D$13+21</f>
        <v>46256</v>
      </c>
      <c r="BD39" s="171" t="str">
        <f t="shared" si="32"/>
        <v/>
      </c>
      <c r="BE39" s="171" t="str">
        <f>+IF(OR(BF39=S.CAL!$BJ$3,BF39=S.CAL!$BJ$4),BD39,"")</f>
        <v/>
      </c>
      <c r="BF39" s="333">
        <f>IF($DY$5=S.CAL!$CU$2,Aout!AR41,IF($DY$5=S.CAL!$CU$3,VLOOKUP(BC39,planning_fp,7,FALSE),""))</f>
        <v>0</v>
      </c>
      <c r="BG39" s="345" t="str">
        <f>Aout!BL41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46256</v>
      </c>
      <c r="CF39" s="170">
        <f>+$D$13+21</f>
        <v>46256</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IF(+Aout!AG41="",0,Aout!AG41)</f>
        <v>0</v>
      </c>
      <c r="DZ39" s="16">
        <f>+IF(Aout!AJ41="",0,Aout!AJ41)</f>
        <v>0</v>
      </c>
      <c r="EA39" s="16">
        <f>+IF(Aout!AM41="",0,Aout!AM41)</f>
        <v>0</v>
      </c>
      <c r="EB39" s="16">
        <f t="shared" si="25"/>
        <v>0</v>
      </c>
      <c r="ED39" s="16">
        <f t="shared" si="26"/>
        <v>0</v>
      </c>
      <c r="EE39" s="16">
        <f t="shared" si="17"/>
        <v>0</v>
      </c>
      <c r="EF39" s="30" t="str">
        <f t="shared" si="18"/>
        <v/>
      </c>
      <c r="EG39" s="30" t="str">
        <f t="shared" si="27"/>
        <v/>
      </c>
      <c r="EH39" s="16">
        <f t="shared" si="28"/>
        <v>0</v>
      </c>
      <c r="EI39" s="30"/>
      <c r="EJ39" s="30">
        <f t="shared" si="19"/>
        <v>46256</v>
      </c>
      <c r="EM39" s="16" t="str">
        <f t="shared" si="29"/>
        <v>Fiche infoA646256</v>
      </c>
      <c r="EN39" s="16">
        <f t="shared" si="20"/>
        <v>0</v>
      </c>
      <c r="EQ39" s="16" t="str">
        <f>Aout!FS41</f>
        <v/>
      </c>
    </row>
    <row r="40" spans="1:147" ht="18" customHeight="1" x14ac:dyDescent="0.2">
      <c r="A40" s="24" t="str">
        <f>+Aout!BJ42</f>
        <v>Fiche infoA7</v>
      </c>
      <c r="B40" s="107">
        <f t="shared" si="30"/>
        <v>46257</v>
      </c>
      <c r="C40" s="170">
        <f>+$D$13+22</f>
        <v>46257</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Aout!BC42</f>
        <v>0</v>
      </c>
      <c r="J40" s="34">
        <f>Aout!BE42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infoA7</v>
      </c>
      <c r="BB40" s="107">
        <f t="shared" si="31"/>
        <v>46257</v>
      </c>
      <c r="BC40" s="170">
        <f>+$D$13+22</f>
        <v>46257</v>
      </c>
      <c r="BD40" s="171" t="str">
        <f t="shared" si="32"/>
        <v/>
      </c>
      <c r="BE40" s="171" t="str">
        <f>+IF(OR(BF40=S.CAL!$BJ$3,BF40=S.CAL!$BJ$4),BD40,"")</f>
        <v/>
      </c>
      <c r="BF40" s="333">
        <f>IF($DY$5=S.CAL!$CU$2,Aout!AR42,IF($DY$5=S.CAL!$CU$3,VLOOKUP(BC40,planning_fp,7,FALSE),""))</f>
        <v>0</v>
      </c>
      <c r="BG40" s="345" t="str">
        <f>Aout!BL42</f>
        <v>A</v>
      </c>
      <c r="BH40" s="355"/>
      <c r="BI40" s="355"/>
      <c r="BJ40" s="355"/>
      <c r="BK40" s="355"/>
      <c r="BL40" s="35"/>
      <c r="BN40" s="19"/>
      <c r="BO40" s="39"/>
      <c r="BP40" s="194"/>
      <c r="BV40" s="355"/>
      <c r="BW40" s="355"/>
      <c r="BX40" s="372"/>
      <c r="BY40" s="355"/>
      <c r="BZ40" s="355"/>
      <c r="CA40" s="355"/>
      <c r="CB40" s="355"/>
      <c r="CD40" s="328"/>
      <c r="CE40" s="107">
        <f t="shared" si="33"/>
        <v>46257</v>
      </c>
      <c r="CF40" s="170">
        <f>+$D$13+22</f>
        <v>46257</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IF(+Aout!AG42="",0,Aout!AG42)</f>
        <v>0</v>
      </c>
      <c r="DZ40" s="16">
        <f>+IF(Aout!AJ42="",0,Aout!AJ42)</f>
        <v>0</v>
      </c>
      <c r="EA40" s="16">
        <f>+IF(Aout!AM42="",0,Aout!AM42)</f>
        <v>0</v>
      </c>
      <c r="EB40" s="16">
        <f t="shared" si="25"/>
        <v>0</v>
      </c>
      <c r="ED40" s="16">
        <f t="shared" si="26"/>
        <v>0</v>
      </c>
      <c r="EE40" s="16">
        <f t="shared" si="17"/>
        <v>0</v>
      </c>
      <c r="EF40" s="30" t="str">
        <f t="shared" si="18"/>
        <v/>
      </c>
      <c r="EG40" s="30" t="str">
        <f t="shared" si="27"/>
        <v/>
      </c>
      <c r="EH40" s="16">
        <f t="shared" si="28"/>
        <v>0</v>
      </c>
      <c r="EI40" s="30"/>
      <c r="EJ40" s="30">
        <f t="shared" si="19"/>
        <v>46257</v>
      </c>
      <c r="EM40" s="16" t="str">
        <f t="shared" si="29"/>
        <v>Fiche infoA746257</v>
      </c>
      <c r="EN40" s="16">
        <f t="shared" si="20"/>
        <v>0</v>
      </c>
      <c r="EQ40" s="16" t="str">
        <f>Aout!FS42</f>
        <v/>
      </c>
    </row>
    <row r="41" spans="1:147" ht="18" customHeight="1" x14ac:dyDescent="0.2">
      <c r="A41" s="24" t="str">
        <f>+Aout!BJ43</f>
        <v>Fiche infoA1</v>
      </c>
      <c r="B41" s="107">
        <f t="shared" si="30"/>
        <v>46258</v>
      </c>
      <c r="C41" s="170">
        <f>+$D$13+23</f>
        <v>46258</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Aout!BC43</f>
        <v>0</v>
      </c>
      <c r="J41" s="34">
        <f>Aout!BE43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infoA1</v>
      </c>
      <c r="BB41" s="107">
        <f t="shared" si="31"/>
        <v>46258</v>
      </c>
      <c r="BC41" s="170">
        <f>+$D$13+23</f>
        <v>46258</v>
      </c>
      <c r="BD41" s="171" t="str">
        <f t="shared" si="32"/>
        <v/>
      </c>
      <c r="BE41" s="171" t="str">
        <f>+IF(OR(BF41=S.CAL!$BJ$3,BF41=S.CAL!$BJ$4),BD41,"")</f>
        <v/>
      </c>
      <c r="BF41" s="333">
        <f>IF($DY$5=S.CAL!$CU$2,Aout!AR43,IF($DY$5=S.CAL!$CU$3,VLOOKUP(BC41,planning_fp,7,FALSE),""))</f>
        <v>0</v>
      </c>
      <c r="BG41" s="345" t="str">
        <f>Aout!BL43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46258</v>
      </c>
      <c r="CF41" s="170">
        <f>+$D$13+23</f>
        <v>46258</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IF(+Aout!AG43="",0,Aout!AG43)</f>
        <v>0</v>
      </c>
      <c r="DZ41" s="16">
        <f>+IF(Aout!AJ43="",0,Aout!AJ43)</f>
        <v>0</v>
      </c>
      <c r="EA41" s="16">
        <f>+IF(Aout!AM43="",0,Aout!AM43)</f>
        <v>0</v>
      </c>
      <c r="EB41" s="16">
        <f t="shared" si="25"/>
        <v>0</v>
      </c>
      <c r="ED41" s="16">
        <f t="shared" si="26"/>
        <v>0</v>
      </c>
      <c r="EE41" s="16">
        <f t="shared" si="17"/>
        <v>0</v>
      </c>
      <c r="EF41" s="30" t="str">
        <f t="shared" si="18"/>
        <v/>
      </c>
      <c r="EG41" s="30" t="str">
        <f t="shared" si="27"/>
        <v/>
      </c>
      <c r="EH41" s="16">
        <f t="shared" si="28"/>
        <v>0</v>
      </c>
      <c r="EI41" s="30"/>
      <c r="EJ41" s="30">
        <f t="shared" si="19"/>
        <v>46258</v>
      </c>
      <c r="EM41" s="16" t="str">
        <f t="shared" si="29"/>
        <v>Fiche infoA146258</v>
      </c>
      <c r="EN41" s="16">
        <f t="shared" si="20"/>
        <v>0</v>
      </c>
      <c r="EQ41" s="16" t="str">
        <f>Aout!FS43</f>
        <v/>
      </c>
    </row>
    <row r="42" spans="1:147" ht="18" customHeight="1" x14ac:dyDescent="0.2">
      <c r="A42" s="24" t="str">
        <f>+Aout!BJ44</f>
        <v>Fiche infoA2</v>
      </c>
      <c r="B42" s="107">
        <f t="shared" si="30"/>
        <v>46259</v>
      </c>
      <c r="C42" s="170">
        <f>+$D$13+24</f>
        <v>46259</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Aout!BC44</f>
        <v>0</v>
      </c>
      <c r="J42" s="34">
        <f>Aout!BE44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infoA2</v>
      </c>
      <c r="BB42" s="107">
        <f t="shared" si="31"/>
        <v>46259</v>
      </c>
      <c r="BC42" s="170">
        <f>+$D$13+24</f>
        <v>46259</v>
      </c>
      <c r="BD42" s="171" t="str">
        <f t="shared" si="32"/>
        <v/>
      </c>
      <c r="BE42" s="171" t="str">
        <f>+IF(OR(BF42=S.CAL!$BJ$3,BF42=S.CAL!$BJ$4),BD42,"")</f>
        <v/>
      </c>
      <c r="BF42" s="333">
        <f>IF($DY$5=S.CAL!$CU$2,Aout!AR44,IF($DY$5=S.CAL!$CU$3,VLOOKUP(BC42,planning_fp,7,FALSE),""))</f>
        <v>0</v>
      </c>
      <c r="BG42" s="345" t="str">
        <f>Aout!BL44</f>
        <v>A</v>
      </c>
      <c r="BH42" s="356"/>
      <c r="BI42" s="358"/>
      <c r="BJ42" s="355"/>
      <c r="BK42" s="355"/>
      <c r="BL42" s="35"/>
      <c r="BV42" s="355"/>
      <c r="BW42" s="355"/>
      <c r="BX42" s="355"/>
      <c r="BY42" s="355"/>
      <c r="BZ42" s="355"/>
      <c r="CA42" s="355"/>
      <c r="CB42" s="355"/>
      <c r="CD42" s="328"/>
      <c r="CE42" s="107">
        <f t="shared" si="33"/>
        <v>46259</v>
      </c>
      <c r="CF42" s="170">
        <f>+$D$13+24</f>
        <v>46259</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IF(+Aout!AG44="",0,Aout!AG44)</f>
        <v>0</v>
      </c>
      <c r="DZ42" s="16">
        <f>+IF(Aout!AJ44="",0,Aout!AJ44)</f>
        <v>0</v>
      </c>
      <c r="EA42" s="16">
        <f>+IF(Aout!AM44="",0,Aout!AM44)</f>
        <v>0</v>
      </c>
      <c r="EB42" s="16">
        <f t="shared" si="25"/>
        <v>0</v>
      </c>
      <c r="ED42" s="16">
        <f t="shared" si="26"/>
        <v>0</v>
      </c>
      <c r="EE42" s="16">
        <f t="shared" si="17"/>
        <v>0</v>
      </c>
      <c r="EF42" s="30" t="str">
        <f t="shared" si="18"/>
        <v/>
      </c>
      <c r="EG42" s="30" t="str">
        <f t="shared" si="27"/>
        <v/>
      </c>
      <c r="EH42" s="16">
        <f t="shared" si="28"/>
        <v>0</v>
      </c>
      <c r="EI42" s="30"/>
      <c r="EJ42" s="30">
        <f t="shared" si="19"/>
        <v>46259</v>
      </c>
      <c r="EM42" s="16" t="str">
        <f t="shared" si="29"/>
        <v>Fiche infoA246259</v>
      </c>
      <c r="EN42" s="16">
        <f t="shared" si="20"/>
        <v>0</v>
      </c>
      <c r="EQ42" s="16" t="str">
        <f>Aout!FS44</f>
        <v/>
      </c>
    </row>
    <row r="43" spans="1:147" ht="18" customHeight="1" x14ac:dyDescent="0.2">
      <c r="A43" s="24" t="str">
        <f>+Aout!BJ45</f>
        <v>Fiche infoA3</v>
      </c>
      <c r="B43" s="107">
        <f t="shared" si="30"/>
        <v>46260</v>
      </c>
      <c r="C43" s="170">
        <f>+$D$13+25</f>
        <v>46260</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Aout!BC45</f>
        <v>0</v>
      </c>
      <c r="J43" s="34">
        <f>Aout!BE45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infoA3</v>
      </c>
      <c r="BB43" s="107">
        <f t="shared" si="31"/>
        <v>46260</v>
      </c>
      <c r="BC43" s="170">
        <f>+$D$13+25</f>
        <v>46260</v>
      </c>
      <c r="BD43" s="171" t="str">
        <f t="shared" si="32"/>
        <v/>
      </c>
      <c r="BE43" s="171" t="str">
        <f>+IF(OR(BF43=S.CAL!$BJ$3,BF43=S.CAL!$BJ$4),BD43,"")</f>
        <v/>
      </c>
      <c r="BF43" s="333">
        <f>IF($DY$5=S.CAL!$CU$2,Aout!AR45,IF($DY$5=S.CAL!$CU$3,VLOOKUP(BC43,planning_fp,7,FALSE),""))</f>
        <v>0</v>
      </c>
      <c r="BG43" s="345" t="str">
        <f>Aout!BL45</f>
        <v>A</v>
      </c>
      <c r="BH43" s="24"/>
      <c r="BI43" s="24" t="s">
        <v>696</v>
      </c>
      <c r="BJ43" s="24"/>
      <c r="BK43" s="355"/>
      <c r="BL43" s="35"/>
      <c r="BV43" s="355"/>
      <c r="BW43" s="355"/>
      <c r="BX43" s="355"/>
      <c r="BY43" s="355"/>
      <c r="BZ43" s="355"/>
      <c r="CA43" s="355"/>
      <c r="CB43" s="355"/>
      <c r="CD43" s="328"/>
      <c r="CE43" s="107">
        <f t="shared" si="33"/>
        <v>46260</v>
      </c>
      <c r="CF43" s="170">
        <f>+$D$13+25</f>
        <v>46260</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IF(+Aout!AG45="",0,Aout!AG45)</f>
        <v>0</v>
      </c>
      <c r="DZ43" s="16">
        <f>+IF(Aout!AJ45="",0,Aout!AJ45)</f>
        <v>0</v>
      </c>
      <c r="EA43" s="16">
        <f>+IF(Aout!AM45="",0,Aout!AM45)</f>
        <v>0</v>
      </c>
      <c r="EB43" s="16">
        <f t="shared" si="25"/>
        <v>0</v>
      </c>
      <c r="ED43" s="16">
        <f t="shared" si="26"/>
        <v>0</v>
      </c>
      <c r="EE43" s="16">
        <f t="shared" si="17"/>
        <v>0</v>
      </c>
      <c r="EF43" s="30" t="str">
        <f t="shared" si="18"/>
        <v/>
      </c>
      <c r="EG43" s="30" t="str">
        <f t="shared" si="27"/>
        <v/>
      </c>
      <c r="EH43" s="16">
        <f t="shared" si="28"/>
        <v>0</v>
      </c>
      <c r="EI43" s="30"/>
      <c r="EJ43" s="30">
        <f t="shared" si="19"/>
        <v>46260</v>
      </c>
      <c r="EM43" s="16" t="str">
        <f t="shared" si="29"/>
        <v>Fiche infoA346260</v>
      </c>
      <c r="EN43" s="16">
        <f t="shared" si="20"/>
        <v>0</v>
      </c>
      <c r="EQ43" s="16" t="str">
        <f>Aout!FS45</f>
        <v/>
      </c>
    </row>
    <row r="44" spans="1:147" ht="18" customHeight="1" x14ac:dyDescent="0.25">
      <c r="A44" s="24" t="str">
        <f>+Aout!BJ46</f>
        <v>Fiche infoA4</v>
      </c>
      <c r="B44" s="107">
        <f t="shared" si="30"/>
        <v>46261</v>
      </c>
      <c r="C44" s="170">
        <f>+$D$13+26</f>
        <v>46261</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Aout!BC46</f>
        <v>0</v>
      </c>
      <c r="J44" s="34">
        <f>Aout!BE46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infoA4</v>
      </c>
      <c r="BB44" s="107">
        <f t="shared" si="31"/>
        <v>46261</v>
      </c>
      <c r="BC44" s="170">
        <f>+$D$13+26</f>
        <v>46261</v>
      </c>
      <c r="BD44" s="171" t="str">
        <f t="shared" si="32"/>
        <v/>
      </c>
      <c r="BE44" s="171" t="str">
        <f>+IF(OR(BF44=S.CAL!$BJ$3,BF44=S.CAL!$BJ$4),BD44,"")</f>
        <v/>
      </c>
      <c r="BF44" s="333">
        <f>IF($DY$5=S.CAL!$CU$2,Aout!AR46,IF($DY$5=S.CAL!$CU$3,VLOOKUP(BC44,planning_fp,7,FALSE),""))</f>
        <v>0</v>
      </c>
      <c r="BG44" s="345" t="str">
        <f>Aout!BL46</f>
        <v>A</v>
      </c>
      <c r="BH44" s="24" t="s">
        <v>788</v>
      </c>
      <c r="BI44" s="24"/>
      <c r="BJ44" s="24"/>
      <c r="BK44" s="355"/>
      <c r="BL44" s="35"/>
      <c r="BV44" s="355"/>
      <c r="BW44" s="355"/>
      <c r="BX44" s="355"/>
      <c r="BY44" s="355"/>
      <c r="BZ44" s="355"/>
      <c r="CA44" s="355"/>
      <c r="CB44" s="355"/>
      <c r="CD44" s="328"/>
      <c r="CE44" s="107">
        <f t="shared" si="33"/>
        <v>46261</v>
      </c>
      <c r="CF44" s="170">
        <f>+$D$13+26</f>
        <v>46261</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IF(+Aout!AG46="",0,Aout!AG46)</f>
        <v>0</v>
      </c>
      <c r="DZ44" s="16">
        <f>+IF(Aout!AJ46="",0,Aout!AJ46)</f>
        <v>0</v>
      </c>
      <c r="EA44" s="16">
        <f>+IF(Aout!AM46="",0,Aout!AM46)</f>
        <v>0</v>
      </c>
      <c r="EB44" s="16">
        <f t="shared" si="25"/>
        <v>0</v>
      </c>
      <c r="ED44" s="16">
        <f t="shared" si="26"/>
        <v>0</v>
      </c>
      <c r="EE44" s="16">
        <f t="shared" si="17"/>
        <v>0</v>
      </c>
      <c r="EF44" s="30" t="str">
        <f t="shared" si="18"/>
        <v/>
      </c>
      <c r="EG44" s="30" t="str">
        <f t="shared" si="27"/>
        <v/>
      </c>
      <c r="EH44" s="16">
        <f t="shared" si="28"/>
        <v>0</v>
      </c>
      <c r="EI44" s="30"/>
      <c r="EJ44" s="30">
        <f t="shared" si="19"/>
        <v>46261</v>
      </c>
      <c r="EM44" s="16" t="str">
        <f t="shared" si="29"/>
        <v>Fiche infoA446261</v>
      </c>
      <c r="EN44" s="16">
        <f t="shared" si="20"/>
        <v>0</v>
      </c>
      <c r="EQ44" s="16" t="str">
        <f>Aout!FS46</f>
        <v/>
      </c>
    </row>
    <row r="45" spans="1:147" ht="18" customHeight="1" x14ac:dyDescent="0.2">
      <c r="A45" s="24" t="str">
        <f>+Aout!BJ47</f>
        <v>Fiche infoA5</v>
      </c>
      <c r="B45" s="107">
        <f t="shared" si="30"/>
        <v>46262</v>
      </c>
      <c r="C45" s="170">
        <f>IF(C$18+27&lt;DATE(YEAR(O$13),MONTH(O$13),DAY(O$13)),C$18+27,"")</f>
        <v>46262</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Aout!BC47</f>
        <v>0</v>
      </c>
      <c r="J45" s="34">
        <f>Aout!BE47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infoA5</v>
      </c>
      <c r="BB45" s="107">
        <f t="shared" si="31"/>
        <v>46262</v>
      </c>
      <c r="BC45" s="170">
        <f>IF(BC$18+27&lt;DATE(YEAR(BH$13),MONTH(BH$13),DAY(BH$13)),BC$18+27,"")</f>
        <v>46262</v>
      </c>
      <c r="BD45" s="171" t="str">
        <f t="shared" si="32"/>
        <v/>
      </c>
      <c r="BE45" s="171" t="str">
        <f>+IF(OR(BF45=S.CAL!$BJ$3,BF45=S.CAL!$BJ$4),BD45,"")</f>
        <v/>
      </c>
      <c r="BF45" s="333">
        <f>IF($DY$5=S.CAL!$CU$2,Aout!AR47,IF($DY$5=S.CAL!$CU$3,VLOOKUP(BC45,planning_fp,7,FALSE),""))</f>
        <v>0</v>
      </c>
      <c r="BG45" s="345" t="str">
        <f>Aout!BL47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46262</v>
      </c>
      <c r="CF45" s="170">
        <f>IF(CF$18+27&lt;DATE(YEAR(CQ$13),MONTH(CQ$13),DAY(CQ$13)),CF$18+27,"")</f>
        <v>46262</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IF(+Aout!AG47="",0,Aout!AG47)</f>
        <v>0</v>
      </c>
      <c r="DZ45" s="16">
        <f>+IF(Aout!AJ47="",0,Aout!AJ47)</f>
        <v>0</v>
      </c>
      <c r="EA45" s="16">
        <f>+IF(Aout!AM47="",0,Aout!AM47)</f>
        <v>0</v>
      </c>
      <c r="EB45" s="16">
        <f t="shared" si="25"/>
        <v>0</v>
      </c>
      <c r="ED45" s="16">
        <f t="shared" si="26"/>
        <v>0</v>
      </c>
      <c r="EE45" s="16">
        <f t="shared" si="17"/>
        <v>0</v>
      </c>
      <c r="EF45" s="30" t="str">
        <f t="shared" si="18"/>
        <v/>
      </c>
      <c r="EG45" s="30" t="str">
        <f t="shared" si="27"/>
        <v/>
      </c>
      <c r="EH45" s="16">
        <f t="shared" si="28"/>
        <v>0</v>
      </c>
      <c r="EI45" s="30"/>
      <c r="EJ45" s="30">
        <f t="shared" si="19"/>
        <v>46262</v>
      </c>
      <c r="EM45" s="16" t="str">
        <f t="shared" si="29"/>
        <v>Fiche infoA546262</v>
      </c>
      <c r="EN45" s="16">
        <f t="shared" si="20"/>
        <v>0</v>
      </c>
      <c r="EQ45" s="16" t="str">
        <f>Aout!FS47</f>
        <v/>
      </c>
    </row>
    <row r="46" spans="1:147" ht="18" customHeight="1" x14ac:dyDescent="0.2">
      <c r="A46" s="24" t="str">
        <f>+Aout!BJ48</f>
        <v>Fiche infoA6</v>
      </c>
      <c r="B46" s="107">
        <f t="shared" si="30"/>
        <v>46263</v>
      </c>
      <c r="C46" s="170">
        <f>IF(C$18+28&lt;DATE(YEAR(O$13),MONTH(O$13),DAY(O$13)),C$18+28,"")</f>
        <v>46263</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Aout!BC48</f>
        <v>0</v>
      </c>
      <c r="J46" s="34">
        <f>Aout!BE48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infoA6</v>
      </c>
      <c r="BB46" s="107">
        <f t="shared" si="31"/>
        <v>46263</v>
      </c>
      <c r="BC46" s="170">
        <f>IF(BC$18+28&lt;DATE(YEAR(BH$13),MONTH(BH$13),DAY(BH$13)),BC$18+28,"")</f>
        <v>46263</v>
      </c>
      <c r="BD46" s="171" t="str">
        <f t="shared" si="32"/>
        <v/>
      </c>
      <c r="BE46" s="171" t="str">
        <f>+IF(OR(BF46=S.CAL!$BJ$3,BF46=S.CAL!$BJ$4),BD46,"")</f>
        <v/>
      </c>
      <c r="BF46" s="333">
        <f>IF($DY$5=S.CAL!$CU$2,Aout!AR48,IF($DY$5=S.CAL!$CU$3,VLOOKUP(BC46,planning_fp,7,FALSE),""))</f>
        <v>0</v>
      </c>
      <c r="BG46" s="345" t="str">
        <f>Aout!BL48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46263</v>
      </c>
      <c r="CF46" s="170">
        <f>IF(CF$18+28&lt;DATE(YEAR(CQ$13),MONTH(CQ$13),DAY(CQ$13)),CF$18+28,"")</f>
        <v>46263</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IF(+Aout!AG48="",0,Aout!AG48)</f>
        <v>0</v>
      </c>
      <c r="DZ46" s="16">
        <f>+IF(Aout!AJ48="",0,Aout!AJ48)</f>
        <v>0</v>
      </c>
      <c r="EA46" s="16">
        <f>+IF(Aout!AM48="",0,Aout!AM48)</f>
        <v>0</v>
      </c>
      <c r="EB46" s="16">
        <f t="shared" si="25"/>
        <v>0</v>
      </c>
      <c r="ED46" s="16">
        <f t="shared" si="26"/>
        <v>0</v>
      </c>
      <c r="EE46" s="16">
        <f t="shared" si="17"/>
        <v>0</v>
      </c>
      <c r="EF46" s="30" t="str">
        <f t="shared" si="18"/>
        <v/>
      </c>
      <c r="EG46" s="30" t="str">
        <f t="shared" si="27"/>
        <v/>
      </c>
      <c r="EH46" s="16">
        <f t="shared" si="28"/>
        <v>0</v>
      </c>
      <c r="EI46" s="30"/>
      <c r="EJ46" s="30">
        <f t="shared" si="19"/>
        <v>46263</v>
      </c>
      <c r="EM46" s="16" t="str">
        <f t="shared" si="29"/>
        <v>Fiche infoA646263</v>
      </c>
      <c r="EN46" s="16">
        <f t="shared" si="20"/>
        <v>0</v>
      </c>
      <c r="EQ46" s="16" t="str">
        <f>Aout!FS48</f>
        <v/>
      </c>
    </row>
    <row r="47" spans="1:147" ht="18" customHeight="1" x14ac:dyDescent="0.2">
      <c r="A47" s="24" t="str">
        <f>+Aout!BJ49</f>
        <v>Fiche infoA7</v>
      </c>
      <c r="B47" s="107">
        <f t="shared" si="30"/>
        <v>46264</v>
      </c>
      <c r="C47" s="170">
        <f>IF(C$18+29&lt;DATE(YEAR(O$13),MONTH(O$13),DAY(O$13)),C$18+29,"")</f>
        <v>46264</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Aout!BC49</f>
        <v>0</v>
      </c>
      <c r="J47" s="34">
        <f>Aout!BE49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infoA7</v>
      </c>
      <c r="BB47" s="107">
        <f t="shared" si="31"/>
        <v>46264</v>
      </c>
      <c r="BC47" s="170">
        <f>IF(BC$18+29&lt;DATE(YEAR(BH$13),MONTH(BH$13),DAY(BH$13)),BC$18+29,"")</f>
        <v>46264</v>
      </c>
      <c r="BD47" s="171" t="str">
        <f t="shared" si="32"/>
        <v/>
      </c>
      <c r="BE47" s="171" t="str">
        <f>+IF(OR(BF47=S.CAL!$BJ$3,BF47=S.CAL!$BJ$4),BD47,"")</f>
        <v/>
      </c>
      <c r="BF47" s="333">
        <f>IF($DY$5=S.CAL!$CU$2,Aout!AR49,IF($DY$5=S.CAL!$CU$3,VLOOKUP(BC47,planning_fp,7,FALSE),""))</f>
        <v>0</v>
      </c>
      <c r="BG47" s="345" t="str">
        <f>Aout!BL49</f>
        <v>A</v>
      </c>
      <c r="BH47" s="355"/>
      <c r="BI47" s="355"/>
      <c r="BJ47" s="355"/>
      <c r="BK47" s="355"/>
      <c r="BL47" s="35"/>
      <c r="BV47" s="355"/>
      <c r="BW47" s="355"/>
      <c r="BX47" s="355"/>
      <c r="BY47" s="355"/>
      <c r="BZ47" s="355"/>
      <c r="CA47" s="355"/>
      <c r="CB47" s="355"/>
      <c r="CD47" s="328"/>
      <c r="CE47" s="107">
        <f t="shared" si="33"/>
        <v>46264</v>
      </c>
      <c r="CF47" s="170">
        <f>IF(CF$18+29&lt;DATE(YEAR(CQ$13),MONTH(CQ$13),DAY(CQ$13)),CF$18+29,"")</f>
        <v>46264</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IF(+Aout!AG49="",0,Aout!AG49)</f>
        <v>0</v>
      </c>
      <c r="DZ47" s="16">
        <f>+IF(Aout!AJ49="",0,Aout!AJ49)</f>
        <v>0</v>
      </c>
      <c r="EA47" s="16">
        <f>+IF(Aout!AM49="",0,Aout!AM49)</f>
        <v>0</v>
      </c>
      <c r="EB47" s="16">
        <f t="shared" si="25"/>
        <v>0</v>
      </c>
      <c r="ED47" s="16">
        <f t="shared" si="26"/>
        <v>0</v>
      </c>
      <c r="EE47" s="16">
        <f t="shared" si="17"/>
        <v>0</v>
      </c>
      <c r="EF47" s="30" t="str">
        <f t="shared" si="18"/>
        <v/>
      </c>
      <c r="EG47" s="30" t="str">
        <f t="shared" si="27"/>
        <v/>
      </c>
      <c r="EH47" s="16">
        <f t="shared" si="28"/>
        <v>0</v>
      </c>
      <c r="EI47" s="30"/>
      <c r="EJ47" s="30">
        <f t="shared" si="19"/>
        <v>46264</v>
      </c>
      <c r="EM47" s="16" t="str">
        <f t="shared" si="29"/>
        <v>Fiche infoA746264</v>
      </c>
      <c r="EN47" s="16">
        <f t="shared" si="20"/>
        <v>0</v>
      </c>
      <c r="EQ47" s="16" t="str">
        <f>Aout!FS49</f>
        <v/>
      </c>
    </row>
    <row r="48" spans="1:147" ht="18" customHeight="1" thickBot="1" x14ac:dyDescent="0.25">
      <c r="A48" s="24" t="str">
        <f>+Aout!BJ50</f>
        <v>Fiche infoA1</v>
      </c>
      <c r="B48" s="110">
        <f t="shared" si="30"/>
        <v>46265</v>
      </c>
      <c r="C48" s="190">
        <f>IF(C$18+30&lt;DATE(YEAR(O$13),MONTH(O$13),DAY(O$13)),C$18+30,"")</f>
        <v>46265</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Aout!BC50</f>
        <v>0</v>
      </c>
      <c r="J48" s="34">
        <f>Aout!BE50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31</v>
      </c>
      <c r="X48" s="2538"/>
      <c r="Y48" s="2538"/>
      <c r="Z48" s="1323" t="str">
        <f>+IF(Z34="","",Z34)</f>
        <v/>
      </c>
      <c r="AA48" s="1316">
        <f>+IF(Z48="",IF(AND(AD48&gt;0,AC48&gt;0),AD48+AC48,IF(AE48&gt;0,0,AC48)),Z48)</f>
        <v>0</v>
      </c>
      <c r="AB48" s="1316">
        <f>IF(AA48&gt;45,AA48-45,0)</f>
        <v>0</v>
      </c>
      <c r="AC48" s="1322">
        <f>+SUMIF(Aout!$BK$20:$BK$50,Aout!AT4,$D$18:$D$48)-SUMIF(Aout!$BK$20:$BK$50,Aout!AT4,$E$18:$E$48)</f>
        <v>0</v>
      </c>
      <c r="AD48" s="1322">
        <f>+SUMIF(Juillet!$BK$20:$BK$50,Aout!AT4,'Retenue Juil'!$D$18:$D$48)-SUMIF(Juillet!$BK$20:$BK$50,Aout!AT4,'Retenue Juil'!$E$18:$E$48)</f>
        <v>0</v>
      </c>
      <c r="AE48" s="1322">
        <f>+SUMIF(Septembre!$BK$20:$BK$50,Aout!AT4,'Retenue Sept'!$D$18:$D$48)-SUMIF(Septembre!$BK$20:$BK$50,Aout!AT4,'Retenue Sept'!$E$18:$E$48)</f>
        <v>0</v>
      </c>
      <c r="AF48" s="1316">
        <f>+AC48-AB48</f>
        <v>0</v>
      </c>
      <c r="AK48" s="1189"/>
      <c r="AL48" s="1202"/>
      <c r="AO48" s="1202">
        <f>+AN39*AL26</f>
        <v>0</v>
      </c>
      <c r="AP48" s="1202">
        <f>+AO48*(1-AX21)</f>
        <v>0</v>
      </c>
      <c r="AQ48" s="1202">
        <f>+AO48-AP48</f>
        <v>0</v>
      </c>
      <c r="BA48" s="331" t="str">
        <f t="shared" si="16"/>
        <v>Fiche infoA1</v>
      </c>
      <c r="BB48" s="110">
        <f t="shared" si="31"/>
        <v>46265</v>
      </c>
      <c r="BC48" s="190">
        <f>IF(BC$18+30&lt;DATE(YEAR(BH$13),MONTH(BH$13),DAY(BH$13)),BC$18+30,"")</f>
        <v>46265</v>
      </c>
      <c r="BD48" s="191" t="str">
        <f t="shared" si="32"/>
        <v/>
      </c>
      <c r="BE48" s="191" t="str">
        <f>+IF(OR(BF48=S.CAL!$BJ$3,BF48=S.CAL!$BJ$4),BD48,"")</f>
        <v/>
      </c>
      <c r="BF48" s="334">
        <f>IF($DY$5=S.CAL!$CU$2,Aout!AR50,IF($DY$5=S.CAL!$CU$3,VLOOKUP(BC48,planning_fp,7,FALSE),""))</f>
        <v>0</v>
      </c>
      <c r="BG48" s="346" t="str">
        <f>Aout!BL50</f>
        <v>A</v>
      </c>
      <c r="BH48" s="356"/>
      <c r="BI48" s="355"/>
      <c r="BJ48" s="355"/>
      <c r="BK48" s="355"/>
      <c r="BL48" s="35"/>
      <c r="BQ48" s="16" t="s">
        <v>834</v>
      </c>
      <c r="BV48" s="355"/>
      <c r="BW48" s="355"/>
      <c r="BX48" s="355" t="s">
        <v>834</v>
      </c>
      <c r="BZ48" s="355"/>
      <c r="CA48" s="355"/>
      <c r="CB48" s="355"/>
      <c r="CD48" s="328"/>
      <c r="CE48" s="110">
        <f t="shared" si="33"/>
        <v>46265</v>
      </c>
      <c r="CF48" s="190">
        <f>IF(CF$18+30&lt;DATE(YEAR(CQ$13),MONTH(CQ$13),DAY(CQ$13)),CF$18+30,"")</f>
        <v>46265</v>
      </c>
      <c r="CG48" s="191">
        <f t="shared" si="22"/>
        <v>0</v>
      </c>
      <c r="CH48" s="34"/>
      <c r="CI48" s="2534" t="str">
        <f t="shared" ref="CI48:CI53" si="56">W48</f>
        <v>Semaine numéro : 31</v>
      </c>
      <c r="CJ48" s="2535"/>
      <c r="CK48" s="2536"/>
      <c r="CL48" s="875" t="str">
        <f>+IF(CL34="","",CL34)</f>
        <v/>
      </c>
      <c r="CM48" s="656">
        <f>+IF(CL48="",IF(AND(CP48&gt;0,CO48&gt;0),CP48+CO48,IF(CQ48&gt;0,0,CO48)),CL48)</f>
        <v>0</v>
      </c>
      <c r="CN48" s="655">
        <f>IF(CM48&gt;45,CM48-45,0)</f>
        <v>0</v>
      </c>
      <c r="CO48" s="196">
        <f>+SUMIF(Aout!$BK$20:$BK$50,Aout!AT4,$CG$18:$CG$48)</f>
        <v>0</v>
      </c>
      <c r="CP48" s="196">
        <f>+SUMIF(Juillet!$BK$20:$BK$50,Aout!AT4,'Retenue Juil'!$CG$18:$CG$48)</f>
        <v>0</v>
      </c>
      <c r="CQ48" s="196">
        <f>+SUMIF(Septembre!$BK$20:$BK$50,Aout!AT4,'Retenue Sept'!$CG$18:$CG$48)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IF(+Aout!AG50="",0,Aout!AG50)</f>
        <v>0</v>
      </c>
      <c r="DZ48" s="16">
        <f>+IF(Aout!AJ50="",0,Aout!AJ50)</f>
        <v>0</v>
      </c>
      <c r="EA48" s="16">
        <f>+IF(Aout!AM50="",0,Aout!AM50)</f>
        <v>0</v>
      </c>
      <c r="EB48" s="16">
        <f t="shared" si="25"/>
        <v>0</v>
      </c>
      <c r="ED48" s="16">
        <f t="shared" si="26"/>
        <v>0</v>
      </c>
      <c r="EE48" s="16">
        <f t="shared" si="17"/>
        <v>0</v>
      </c>
      <c r="EF48" s="30" t="str">
        <f t="shared" si="18"/>
        <v/>
      </c>
      <c r="EG48" s="30" t="str">
        <f t="shared" si="27"/>
        <v/>
      </c>
      <c r="EH48" s="16">
        <f t="shared" si="28"/>
        <v>0</v>
      </c>
      <c r="EI48" s="30"/>
      <c r="EJ48" s="30">
        <f t="shared" si="19"/>
        <v>46265</v>
      </c>
      <c r="EM48" s="16" t="str">
        <f t="shared" si="29"/>
        <v>Fiche infoA146265</v>
      </c>
      <c r="EN48" s="16">
        <f t="shared" si="20"/>
        <v>0</v>
      </c>
      <c r="EQ48" s="16" t="str">
        <f>Aout!FS50</f>
        <v/>
      </c>
    </row>
    <row r="49" spans="2:139" ht="18" customHeight="1" thickBot="1" x14ac:dyDescent="0.25">
      <c r="N49" s="24"/>
      <c r="O49" s="24"/>
      <c r="P49" s="24"/>
      <c r="Q49" s="24"/>
      <c r="R49" s="24"/>
      <c r="S49" s="1325"/>
      <c r="U49" s="1301"/>
      <c r="V49" s="1301"/>
      <c r="W49" s="2538" t="str">
        <f t="shared" si="55"/>
        <v>Semaine numéro : 32</v>
      </c>
      <c r="X49" s="2538"/>
      <c r="Y49" s="2538"/>
      <c r="Z49" s="1323" t="str">
        <f t="shared" ref="Z49:Z53" si="57">+IF(Z35="","",Z35)</f>
        <v/>
      </c>
      <c r="AA49" s="1316">
        <f t="shared" ref="AA49:AA53" si="58">+IF(Z49="",IF(AND(AD49&gt;0,AC49&gt;0),AD49+AC49,IF(AE49&gt;0,0,AC49)),Z49)</f>
        <v>0</v>
      </c>
      <c r="AB49" s="1316">
        <f t="shared" ref="AB49:AB53" si="59">IF(AA49&gt;45,AA49-45,0)</f>
        <v>0</v>
      </c>
      <c r="AC49" s="1322">
        <f>+SUMIF(Aout!$BK$20:$BK$50,Aout!AT5,$D$18:$D$48)-SUMIF(Aout!$BK$20:$BK$50,Aout!AT5,$E$18:$E$48)</f>
        <v>0</v>
      </c>
      <c r="AD49" s="1322">
        <f>+SUMIF(Juillet!$BK$20:$BK$50,Aout!AT5,'Retenue Juil'!$D$18:$D$48)-SUMIF(Juillet!$BK$20:$BK$50,Aout!AT5,'Retenue Juil'!$E$18:$E$48)</f>
        <v>0</v>
      </c>
      <c r="AE49" s="1322">
        <f>+SUMIF(Septembre!$BK$20:$BK$50,Aout!AT5,'Retenue Sept'!$D$18:$D$48)-SUMIF(Septembre!$BK$20:$BK$50,Aout!AT5,'Retenue Sept'!$E$18:$E$48)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32</v>
      </c>
      <c r="CJ49" s="2535"/>
      <c r="CK49" s="2536"/>
      <c r="CL49" s="875" t="str">
        <f t="shared" ref="CL49:CL53" si="61">+IF(CL35="","",CL35)</f>
        <v/>
      </c>
      <c r="CM49" s="656">
        <f t="shared" ref="CM49:CM53" si="62">+IF(CL49="",IF(AND(CP49&gt;0,CO49&gt;0),CP49+CO49,IF(CQ49&gt;0,0,CO49)),CL49)</f>
        <v>0</v>
      </c>
      <c r="CN49" s="655">
        <f t="shared" ref="CN49:CN53" si="63">IF(CM49&gt;45,CM49-45,0)</f>
        <v>0</v>
      </c>
      <c r="CO49" s="196">
        <f>+SUMIF(Aout!$BK$20:$BK$50,Aout!AT5,$CG$18:$CG$48)</f>
        <v>0</v>
      </c>
      <c r="CP49" s="196">
        <f>+SUMIF(Juillet!$BK$20:$BK$50,Aout!AT5,'Retenue Juil'!$CG$18:$CG$48)</f>
        <v>0</v>
      </c>
      <c r="CQ49" s="196">
        <f>+SUMIF(Septembre!$BK$20:$BK$50,Aout!AT5,'Retenue Sept'!$CG$18:$CG$48)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33</v>
      </c>
      <c r="X50" s="2538"/>
      <c r="Y50" s="2538"/>
      <c r="Z50" s="1323" t="str">
        <f t="shared" si="57"/>
        <v/>
      </c>
      <c r="AA50" s="1316">
        <f t="shared" si="58"/>
        <v>0</v>
      </c>
      <c r="AB50" s="1316">
        <f t="shared" si="59"/>
        <v>0</v>
      </c>
      <c r="AC50" s="1322">
        <f>+SUMIF(Aout!$BK$20:$BK$50,Aout!AT6,$D$18:$D$48)-SUMIF(Aout!$BK$20:$BK$50,Aout!AT6,$E$18:$E$48)</f>
        <v>0</v>
      </c>
      <c r="AD50" s="1322">
        <f>+SUMIF(Juillet!$BK$20:$BK$50,Aout!AT6,'Retenue Juil'!$D$18:$D$48)-SUMIF(Juillet!$BK$20:$BK$50,Aout!AT6,'Retenue Juil'!$E$18:$E$48)</f>
        <v>0</v>
      </c>
      <c r="AE50" s="1322">
        <f>+SUMIF(Septembre!$BK$20:$BK$50,Aout!AT6,'Retenue Sept'!$D$18:$D$48)-SUMIF(Septembre!$BK$20:$BK$50,Aout!AT6,'Retenue Sept'!$E$18:$E$48)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33</v>
      </c>
      <c r="CJ50" s="2535"/>
      <c r="CK50" s="2536"/>
      <c r="CL50" s="875" t="str">
        <f t="shared" si="61"/>
        <v/>
      </c>
      <c r="CM50" s="656">
        <f t="shared" si="62"/>
        <v>0</v>
      </c>
      <c r="CN50" s="655">
        <f t="shared" si="63"/>
        <v>0</v>
      </c>
      <c r="CO50" s="196">
        <f>+SUMIF(Aout!$BK$20:$BK$50,Aout!AT6,$CG$18:$CG$48)</f>
        <v>0</v>
      </c>
      <c r="CP50" s="196">
        <f>+SUMIF(Juillet!$BK$20:$BK$50,Aout!AT6,'Retenue Juil'!$CG$18:$CG$48)</f>
        <v>0</v>
      </c>
      <c r="CQ50" s="196">
        <f>+SUMIF(Septembre!$BK$20:$BK$50,Aout!AT6,'Retenue Sept'!$CG$18:$CG$48)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5"/>
        <v>Semaine numéro : 34</v>
      </c>
      <c r="X51" s="2538"/>
      <c r="Y51" s="2538"/>
      <c r="Z51" s="1323" t="str">
        <f t="shared" si="57"/>
        <v/>
      </c>
      <c r="AA51" s="1316">
        <f t="shared" si="58"/>
        <v>0</v>
      </c>
      <c r="AB51" s="1316">
        <f t="shared" si="59"/>
        <v>0</v>
      </c>
      <c r="AC51" s="1322">
        <f>+SUMIF(Aout!$BK$20:$BK$50,Aout!AT7,$D$18:$D$48)-SUMIF(Aout!$BK$20:$BK$50,Aout!AT7,$E$18:$E$48)</f>
        <v>0</v>
      </c>
      <c r="AD51" s="1322">
        <f>+SUMIF(Juillet!$BK$20:$BK$50,Aout!AT7,'Retenue Juil'!$D$18:$D$48)-SUMIF(Juillet!$BK$20:$BK$50,Aout!AT7,'Retenue Juil'!$E$18:$E$48)</f>
        <v>0</v>
      </c>
      <c r="AE51" s="1322">
        <f>+SUMIF(Septembre!$BK$20:$BK$50,Aout!AT7,'Retenue Sept'!$D$18:$D$48)-SUMIF(Septembre!$BK$20:$BK$50,Aout!AT7,'Retenue Sept'!$E$18:$E$48)</f>
        <v>0</v>
      </c>
      <c r="AF51" s="1316">
        <f t="shared" si="60"/>
        <v>0</v>
      </c>
      <c r="AG51" s="1327"/>
      <c r="AJ51" s="1304"/>
      <c r="AK51" s="1305"/>
      <c r="AL51" s="1307"/>
      <c r="BA51" s="328"/>
      <c r="BD51" s="351" t="s">
        <v>746</v>
      </c>
      <c r="BE51" s="192">
        <f>+SUMIFS(BE18:BE48,BF18:BF48,S.CAL!BJ3)</f>
        <v>0</v>
      </c>
      <c r="BF51" s="352">
        <f>IF(Aout!AZ90="",+COUNTIF(BF18:BF48,S.CAL!BJ3),Aout!AZ90)</f>
        <v>0</v>
      </c>
      <c r="BL51" s="35"/>
      <c r="CD51" s="328"/>
      <c r="CI51" s="2534" t="str">
        <f t="shared" si="56"/>
        <v>Semaine numéro : 34</v>
      </c>
      <c r="CJ51" s="2535"/>
      <c r="CK51" s="2536"/>
      <c r="CL51" s="875" t="str">
        <f t="shared" si="61"/>
        <v/>
      </c>
      <c r="CM51" s="656">
        <f t="shared" si="62"/>
        <v>0</v>
      </c>
      <c r="CN51" s="655">
        <f t="shared" si="63"/>
        <v>0</v>
      </c>
      <c r="CO51" s="196">
        <f>+SUMIF(Aout!$BK$20:$BK$50,Aout!AT7,$CG$18:$CG$48)</f>
        <v>0</v>
      </c>
      <c r="CP51" s="196">
        <f>+SUMIF(Juillet!$BK$20:$BK$50,Aout!AT7,'Retenue Juil'!$CG$18:$CG$48)</f>
        <v>0</v>
      </c>
      <c r="CQ51" s="196">
        <f>+SUMIF(Septembre!$BK$20:$BK$50,Aout!AT7,'Retenue Sept'!$CG$18:$CG$48)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35</v>
      </c>
      <c r="X52" s="2538"/>
      <c r="Y52" s="2538"/>
      <c r="Z52" s="1323" t="str">
        <f t="shared" si="57"/>
        <v/>
      </c>
      <c r="AA52" s="1316">
        <f t="shared" si="58"/>
        <v>0</v>
      </c>
      <c r="AB52" s="1316">
        <f t="shared" si="59"/>
        <v>0</v>
      </c>
      <c r="AC52" s="1322">
        <f>+SUMIF(Aout!$BK$20:$BK$50,Aout!AT8,$D$18:$D$48)-SUMIF(Aout!$BK$20:$BK$50,Aout!AT8,$E$18:$E$48)</f>
        <v>0</v>
      </c>
      <c r="AD52" s="1322">
        <f>+SUMIF(Juillet!$BK$20:$BK$50,Aout!AT8,'Retenue Juil'!$D$18:$D$48)-SUMIF(Juillet!$BK$20:$BK$50,Aout!AT8,'Retenue Juil'!$E$18:$E$48)</f>
        <v>0</v>
      </c>
      <c r="AE52" s="1322">
        <f>+SUMIF(Septembre!$BK$20:$BK$50,Aout!AT8,'Retenue Sept'!$D$18:$D$48)-SUMIF(Septembre!$BK$20:$BK$50,Aout!AT8,'Retenue Sept'!$E$18:$E$48)</f>
        <v>0</v>
      </c>
      <c r="AF52" s="1316">
        <f t="shared" si="60"/>
        <v>0</v>
      </c>
      <c r="AO52" s="1189" t="s">
        <v>1110</v>
      </c>
      <c r="AP52" s="1326">
        <f>IF(AL22,+ROUND((AQ48+SUM(AQ39:AQ46))*AL34/AL22*Q11,2),0)</f>
        <v>0</v>
      </c>
      <c r="BA52" s="328"/>
      <c r="BD52" s="1341" t="s">
        <v>696</v>
      </c>
      <c r="BE52" s="1342">
        <f>+SUMIFS(BE18:BE48,BF18:BF48,S.CAL!BJ4)</f>
        <v>0</v>
      </c>
      <c r="BF52" s="1343">
        <f>IF(Aout!BA90="",+COUNTIF(BF18:BF48,S.CAL!BJ4),Aout!BA90)</f>
        <v>0</v>
      </c>
      <c r="BL52" s="35"/>
      <c r="BU52" s="16" t="s">
        <v>776</v>
      </c>
      <c r="BW52" s="339">
        <f>+BR46+BR49+BZ46+BZ49</f>
        <v>0</v>
      </c>
      <c r="CD52" s="328"/>
      <c r="CI52" s="2534" t="str">
        <f t="shared" si="56"/>
        <v>Semaine numéro : 35</v>
      </c>
      <c r="CJ52" s="2535"/>
      <c r="CK52" s="2536"/>
      <c r="CL52" s="875" t="str">
        <f t="shared" si="61"/>
        <v/>
      </c>
      <c r="CM52" s="656">
        <f t="shared" si="62"/>
        <v>0</v>
      </c>
      <c r="CN52" s="655">
        <f t="shared" si="63"/>
        <v>0</v>
      </c>
      <c r="CO52" s="196">
        <f>+SUMIF(Aout!$BK$20:$BK$50,Aout!AT8,$CG$18:$CG$48)</f>
        <v>0</v>
      </c>
      <c r="CP52" s="196">
        <f>+SUMIF(Juillet!$BK$20:$BK$50,Aout!AT8,'Retenue Juil'!$CG$18:$CG$48)</f>
        <v>0</v>
      </c>
      <c r="CQ52" s="196">
        <f>+SUMIF(Septembre!$BK$20:$BK$50,Aout!AT8,'Retenue Sept'!$CG$18:$CG$48)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Semaine numéro : 36</v>
      </c>
      <c r="X53" s="2538"/>
      <c r="Y53" s="2538"/>
      <c r="Z53" s="1323" t="str">
        <f t="shared" si="57"/>
        <v/>
      </c>
      <c r="AA53" s="1316">
        <f t="shared" si="58"/>
        <v>0</v>
      </c>
      <c r="AB53" s="1316">
        <f t="shared" si="59"/>
        <v>0</v>
      </c>
      <c r="AC53" s="1322">
        <f>+SUMIF(Aout!$BK$20:$BK$50,Aout!AT9,$D$18:$D$48)-SUMIF(Aout!$BK$20:$BK$50,Aout!AT9,$E$18:$E$48)</f>
        <v>0</v>
      </c>
      <c r="AD53" s="1322">
        <f>+SUMIF(Juillet!$BK$20:$BK$50,Aout!AT9,'Retenue Juil'!$D$18:$D$48)-SUMIF(Juillet!$BK$20:$BK$50,Aout!AT9,'Retenue Juil'!$E$18:$E$48)</f>
        <v>0</v>
      </c>
      <c r="AE53" s="1322">
        <f>+SUMIF(Septembre!$BK$20:$BK$50,Aout!AT9,'Retenue Sept'!$D$18:$D$48)-SUMIF(Septembre!$BK$20:$BK$50,Aout!AT9,'Retenue Sept'!$E$18:$E$48)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Semaine numéro : 36</v>
      </c>
      <c r="CJ53" s="2535"/>
      <c r="CK53" s="2536"/>
      <c r="CL53" s="875" t="str">
        <f t="shared" si="61"/>
        <v/>
      </c>
      <c r="CM53" s="656">
        <f t="shared" si="62"/>
        <v>0</v>
      </c>
      <c r="CN53" s="655">
        <f t="shared" si="63"/>
        <v>0</v>
      </c>
      <c r="CO53" s="196">
        <f>+SUMIF(Aout!$BK$20:$BK$50,Aout!AT9,$CG$18:$CG$48)</f>
        <v>0</v>
      </c>
      <c r="CP53" s="196">
        <f>+SUMIF(Juillet!$BK$20:$BK$50,Aout!AT9,'Retenue Juil'!$CG$18:$CG$48)</f>
        <v>0</v>
      </c>
      <c r="CQ53" s="196">
        <f>+SUMIF(Septembre!$BK$20:$BK$50,Aout!AT9,'Retenue Sept'!$CG$18:$CG$48)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63">
        <f>B17</f>
        <v>46235</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46235</v>
      </c>
      <c r="C57" s="169">
        <f t="shared" si="65"/>
        <v>46235</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46236</v>
      </c>
      <c r="C58" s="170">
        <f t="shared" si="65"/>
        <v>46236</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46237</v>
      </c>
      <c r="C59" s="170">
        <f t="shared" si="65"/>
        <v>46237</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46238</v>
      </c>
      <c r="C60" s="170">
        <f t="shared" si="65"/>
        <v>46238</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46239</v>
      </c>
      <c r="C61" s="170">
        <f t="shared" si="65"/>
        <v>46239</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46240</v>
      </c>
      <c r="C62" s="170">
        <f t="shared" si="65"/>
        <v>46240</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46241</v>
      </c>
      <c r="C63" s="170">
        <f t="shared" si="65"/>
        <v>46241</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46242</v>
      </c>
      <c r="C64" s="170">
        <f t="shared" si="65"/>
        <v>46242</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46243</v>
      </c>
      <c r="C65" s="170">
        <f t="shared" si="65"/>
        <v>46243</v>
      </c>
      <c r="D65" s="171" t="str">
        <f t="shared" si="66"/>
        <v/>
      </c>
      <c r="E65" s="171" t="str">
        <f t="shared" si="69"/>
        <v/>
      </c>
      <c r="F65" s="1531" t="str">
        <f t="shared" si="67"/>
        <v/>
      </c>
      <c r="G65" s="1531" t="str">
        <f t="shared" si="68"/>
        <v/>
      </c>
      <c r="BA65" s="328"/>
      <c r="CD65" s="328"/>
    </row>
    <row r="66" spans="2:82" x14ac:dyDescent="0.2">
      <c r="B66" s="107">
        <f t="shared" si="65"/>
        <v>46244</v>
      </c>
      <c r="C66" s="170">
        <f t="shared" si="65"/>
        <v>46244</v>
      </c>
      <c r="D66" s="171" t="str">
        <f t="shared" si="66"/>
        <v/>
      </c>
      <c r="E66" s="171" t="str">
        <f t="shared" si="69"/>
        <v/>
      </c>
      <c r="F66" s="1531" t="str">
        <f t="shared" si="67"/>
        <v/>
      </c>
      <c r="G66" s="1531" t="str">
        <f t="shared" si="68"/>
        <v/>
      </c>
      <c r="BA66" s="328"/>
      <c r="CD66" s="328"/>
    </row>
    <row r="67" spans="2:82" x14ac:dyDescent="0.2">
      <c r="B67" s="107">
        <f t="shared" si="65"/>
        <v>46245</v>
      </c>
      <c r="C67" s="170">
        <f t="shared" si="65"/>
        <v>46245</v>
      </c>
      <c r="D67" s="171" t="str">
        <f t="shared" si="66"/>
        <v/>
      </c>
      <c r="E67" s="171" t="str">
        <f t="shared" si="69"/>
        <v/>
      </c>
      <c r="F67" s="1531" t="str">
        <f t="shared" si="67"/>
        <v/>
      </c>
      <c r="G67" s="1531" t="str">
        <f t="shared" si="68"/>
        <v/>
      </c>
      <c r="BA67" s="328"/>
      <c r="CD67" s="328"/>
    </row>
    <row r="68" spans="2:82" x14ac:dyDescent="0.2">
      <c r="B68" s="107">
        <f t="shared" si="65"/>
        <v>46246</v>
      </c>
      <c r="C68" s="170">
        <f t="shared" si="65"/>
        <v>46246</v>
      </c>
      <c r="D68" s="171" t="str">
        <f t="shared" si="66"/>
        <v/>
      </c>
      <c r="E68" s="171" t="str">
        <f t="shared" si="69"/>
        <v/>
      </c>
      <c r="F68" s="1531" t="str">
        <f t="shared" si="67"/>
        <v/>
      </c>
      <c r="G68" s="1531" t="str">
        <f t="shared" si="68"/>
        <v/>
      </c>
      <c r="AI68" s="1332" t="s">
        <v>329</v>
      </c>
      <c r="BA68" s="328"/>
      <c r="CD68" s="328"/>
    </row>
    <row r="69" spans="2:82" x14ac:dyDescent="0.2">
      <c r="B69" s="107">
        <f t="shared" si="65"/>
        <v>46247</v>
      </c>
      <c r="C69" s="170">
        <f t="shared" si="65"/>
        <v>46247</v>
      </c>
      <c r="D69" s="171" t="str">
        <f t="shared" si="66"/>
        <v/>
      </c>
      <c r="E69" s="171" t="str">
        <f t="shared" si="69"/>
        <v/>
      </c>
      <c r="F69" s="1531" t="str">
        <f t="shared" si="67"/>
        <v/>
      </c>
      <c r="G69" s="1531" t="str">
        <f t="shared" si="68"/>
        <v/>
      </c>
      <c r="BA69" s="328"/>
      <c r="CD69" s="328"/>
    </row>
    <row r="70" spans="2:82" x14ac:dyDescent="0.2">
      <c r="B70" s="107">
        <f t="shared" si="65"/>
        <v>46248</v>
      </c>
      <c r="C70" s="170">
        <f t="shared" si="65"/>
        <v>46248</v>
      </c>
      <c r="D70" s="171" t="str">
        <f t="shared" si="66"/>
        <v/>
      </c>
      <c r="E70" s="171" t="str">
        <f t="shared" si="69"/>
        <v/>
      </c>
      <c r="F70" s="1531" t="str">
        <f t="shared" si="67"/>
        <v/>
      </c>
      <c r="G70" s="1531" t="str">
        <f t="shared" si="68"/>
        <v/>
      </c>
      <c r="AI70" s="563" t="s">
        <v>330</v>
      </c>
      <c r="BA70" s="328"/>
      <c r="CD70" s="328"/>
    </row>
    <row r="71" spans="2:82" x14ac:dyDescent="0.2">
      <c r="B71" s="107">
        <f t="shared" si="65"/>
        <v>46249</v>
      </c>
      <c r="C71" s="170">
        <f t="shared" si="65"/>
        <v>46249</v>
      </c>
      <c r="D71" s="171" t="str">
        <f t="shared" si="66"/>
        <v/>
      </c>
      <c r="E71" s="171" t="str">
        <f t="shared" si="69"/>
        <v/>
      </c>
      <c r="F71" s="1531" t="str">
        <f t="shared" si="67"/>
        <v/>
      </c>
      <c r="G71" s="1531" t="str">
        <f t="shared" si="68"/>
        <v/>
      </c>
      <c r="AI71" s="1333" t="s">
        <v>331</v>
      </c>
      <c r="BA71" s="328"/>
      <c r="CD71" s="328"/>
    </row>
    <row r="72" spans="2:82" x14ac:dyDescent="0.2">
      <c r="B72" s="107">
        <f t="shared" si="65"/>
        <v>46250</v>
      </c>
      <c r="C72" s="170">
        <f t="shared" si="65"/>
        <v>46250</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46251</v>
      </c>
      <c r="C73" s="170">
        <f t="shared" si="70"/>
        <v>46251</v>
      </c>
      <c r="D73" s="171" t="str">
        <f t="shared" si="66"/>
        <v/>
      </c>
      <c r="E73" s="171" t="str">
        <f t="shared" si="69"/>
        <v/>
      </c>
      <c r="F73" s="1531" t="str">
        <f t="shared" si="67"/>
        <v/>
      </c>
      <c r="G73" s="1531" t="str">
        <f t="shared" si="68"/>
        <v/>
      </c>
      <c r="BA73" s="328"/>
      <c r="CD73" s="328"/>
    </row>
    <row r="74" spans="2:82" x14ac:dyDescent="0.2">
      <c r="B74" s="107">
        <f t="shared" si="70"/>
        <v>46252</v>
      </c>
      <c r="C74" s="170">
        <f t="shared" si="70"/>
        <v>46252</v>
      </c>
      <c r="D74" s="171" t="str">
        <f t="shared" si="66"/>
        <v/>
      </c>
      <c r="E74" s="171" t="str">
        <f t="shared" si="69"/>
        <v/>
      </c>
      <c r="F74" s="1531" t="str">
        <f t="shared" si="67"/>
        <v/>
      </c>
      <c r="G74" s="1531" t="str">
        <f t="shared" si="68"/>
        <v/>
      </c>
      <c r="AI74" s="563" t="s">
        <v>332</v>
      </c>
      <c r="BA74" s="328"/>
      <c r="CD74" s="328"/>
    </row>
    <row r="75" spans="2:82" x14ac:dyDescent="0.2">
      <c r="B75" s="107">
        <f t="shared" si="70"/>
        <v>46253</v>
      </c>
      <c r="C75" s="170">
        <f t="shared" si="70"/>
        <v>46253</v>
      </c>
      <c r="D75" s="171" t="str">
        <f t="shared" si="66"/>
        <v/>
      </c>
      <c r="E75" s="171" t="str">
        <f t="shared" si="69"/>
        <v/>
      </c>
      <c r="F75" s="1531" t="str">
        <f t="shared" si="67"/>
        <v/>
      </c>
      <c r="G75" s="1531" t="str">
        <f t="shared" si="68"/>
        <v/>
      </c>
      <c r="AI75" s="1333" t="s">
        <v>333</v>
      </c>
      <c r="BA75" s="328"/>
      <c r="CD75" s="328"/>
    </row>
    <row r="76" spans="2:82" x14ac:dyDescent="0.2">
      <c r="B76" s="107">
        <f t="shared" si="70"/>
        <v>46254</v>
      </c>
      <c r="C76" s="170">
        <f t="shared" si="70"/>
        <v>46254</v>
      </c>
      <c r="D76" s="171" t="str">
        <f t="shared" si="66"/>
        <v/>
      </c>
      <c r="E76" s="171" t="str">
        <f t="shared" si="69"/>
        <v/>
      </c>
      <c r="F76" s="1531" t="str">
        <f t="shared" si="67"/>
        <v/>
      </c>
      <c r="G76" s="1531" t="str">
        <f t="shared" si="68"/>
        <v/>
      </c>
      <c r="BA76" s="328"/>
      <c r="CD76" s="328"/>
    </row>
    <row r="77" spans="2:82" x14ac:dyDescent="0.2">
      <c r="B77" s="107">
        <f t="shared" si="70"/>
        <v>46255</v>
      </c>
      <c r="C77" s="170">
        <f t="shared" si="70"/>
        <v>46255</v>
      </c>
      <c r="D77" s="171" t="str">
        <f t="shared" si="66"/>
        <v/>
      </c>
      <c r="E77" s="171" t="str">
        <f t="shared" si="69"/>
        <v/>
      </c>
      <c r="F77" s="1531" t="str">
        <f t="shared" si="67"/>
        <v/>
      </c>
      <c r="G77" s="1531" t="str">
        <f t="shared" si="68"/>
        <v/>
      </c>
      <c r="AI77" s="563" t="s">
        <v>334</v>
      </c>
      <c r="BA77" s="328"/>
      <c r="CD77" s="328"/>
    </row>
    <row r="78" spans="2:82" x14ac:dyDescent="0.2">
      <c r="B78" s="107">
        <f t="shared" si="70"/>
        <v>46256</v>
      </c>
      <c r="C78" s="170">
        <f t="shared" si="70"/>
        <v>46256</v>
      </c>
      <c r="D78" s="171" t="str">
        <f t="shared" si="66"/>
        <v/>
      </c>
      <c r="E78" s="171" t="str">
        <f t="shared" si="69"/>
        <v/>
      </c>
      <c r="F78" s="1531" t="str">
        <f t="shared" si="67"/>
        <v/>
      </c>
      <c r="G78" s="1531" t="str">
        <f t="shared" si="68"/>
        <v/>
      </c>
      <c r="AI78" s="1333" t="s">
        <v>680</v>
      </c>
      <c r="BA78" s="328"/>
      <c r="CD78" s="328"/>
    </row>
    <row r="79" spans="2:82" x14ac:dyDescent="0.2">
      <c r="B79" s="107">
        <f t="shared" si="70"/>
        <v>46257</v>
      </c>
      <c r="C79" s="170">
        <f t="shared" si="70"/>
        <v>46257</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46258</v>
      </c>
      <c r="C80" s="170">
        <f t="shared" si="70"/>
        <v>46258</v>
      </c>
      <c r="D80" s="171" t="str">
        <f t="shared" si="66"/>
        <v/>
      </c>
      <c r="E80" s="171" t="str">
        <f t="shared" si="69"/>
        <v/>
      </c>
      <c r="F80" s="1531" t="str">
        <f t="shared" si="67"/>
        <v/>
      </c>
      <c r="G80" s="1531" t="str">
        <f t="shared" si="68"/>
        <v/>
      </c>
      <c r="BA80" s="328"/>
      <c r="CD80" s="328"/>
    </row>
    <row r="81" spans="2:82" x14ac:dyDescent="0.2">
      <c r="B81" s="107">
        <f t="shared" si="70"/>
        <v>46259</v>
      </c>
      <c r="C81" s="170">
        <f t="shared" si="70"/>
        <v>46259</v>
      </c>
      <c r="D81" s="171" t="str">
        <f t="shared" si="66"/>
        <v/>
      </c>
      <c r="E81" s="171" t="str">
        <f t="shared" si="69"/>
        <v/>
      </c>
      <c r="F81" s="1531" t="str">
        <f t="shared" si="67"/>
        <v/>
      </c>
      <c r="G81" s="1531" t="str">
        <f t="shared" si="68"/>
        <v/>
      </c>
      <c r="AI81" s="563" t="s">
        <v>518</v>
      </c>
      <c r="BA81" s="328"/>
      <c r="CD81" s="328"/>
    </row>
    <row r="82" spans="2:82" x14ac:dyDescent="0.2">
      <c r="B82" s="107">
        <f t="shared" si="70"/>
        <v>46260</v>
      </c>
      <c r="C82" s="170">
        <f t="shared" si="70"/>
        <v>46260</v>
      </c>
      <c r="D82" s="171" t="str">
        <f t="shared" si="66"/>
        <v/>
      </c>
      <c r="E82" s="171" t="str">
        <f t="shared" si="69"/>
        <v/>
      </c>
      <c r="F82" s="1531" t="str">
        <f t="shared" si="67"/>
        <v/>
      </c>
      <c r="G82" s="1531" t="str">
        <f t="shared" si="68"/>
        <v/>
      </c>
      <c r="AI82" s="1333" t="s">
        <v>681</v>
      </c>
      <c r="BA82" s="328"/>
      <c r="CD82" s="328"/>
    </row>
    <row r="83" spans="2:82" x14ac:dyDescent="0.2">
      <c r="B83" s="107">
        <f t="shared" si="70"/>
        <v>46261</v>
      </c>
      <c r="C83" s="170">
        <f t="shared" si="70"/>
        <v>46261</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46262</v>
      </c>
      <c r="C84" s="170">
        <f t="shared" si="70"/>
        <v>46262</v>
      </c>
      <c r="D84" s="171" t="str">
        <f t="shared" si="66"/>
        <v/>
      </c>
      <c r="E84" s="171" t="str">
        <f t="shared" si="69"/>
        <v/>
      </c>
      <c r="F84" s="1531" t="str">
        <f t="shared" si="67"/>
        <v/>
      </c>
      <c r="G84" s="1531" t="str">
        <f t="shared" si="68"/>
        <v/>
      </c>
      <c r="BA84" s="328"/>
      <c r="CD84" s="328"/>
    </row>
    <row r="85" spans="2:82" x14ac:dyDescent="0.2">
      <c r="B85" s="107">
        <f t="shared" si="70"/>
        <v>46263</v>
      </c>
      <c r="C85" s="170">
        <f t="shared" si="70"/>
        <v>46263</v>
      </c>
      <c r="D85" s="171" t="str">
        <f t="shared" si="66"/>
        <v/>
      </c>
      <c r="E85" s="171" t="str">
        <f t="shared" si="69"/>
        <v/>
      </c>
      <c r="F85" s="1531" t="str">
        <f t="shared" si="67"/>
        <v/>
      </c>
      <c r="G85" s="1531" t="str">
        <f t="shared" si="68"/>
        <v/>
      </c>
      <c r="AI85" s="1333" t="s">
        <v>335</v>
      </c>
      <c r="BA85" s="328"/>
      <c r="CD85" s="328"/>
    </row>
    <row r="86" spans="2:82" x14ac:dyDescent="0.2">
      <c r="B86" s="107">
        <f t="shared" si="70"/>
        <v>46264</v>
      </c>
      <c r="C86" s="170">
        <f t="shared" si="70"/>
        <v>46264</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46265</v>
      </c>
      <c r="C87" s="190">
        <f t="shared" si="70"/>
        <v>46265</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RSS1ENOfJY3YdO0qAf1dDhO+3IESgNTJjHnDiXg7MtYfgK1LINVPnqsq2CElAH/tEYRHba3gfeWjTc8H5ikJQ==" saltValue="zfQjVqR6xf2dPHxSa0rZe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AG7">
    <cfRule type="expression" dxfId="3589" priority="36">
      <formula>$R$3=$A$5</formula>
    </cfRule>
  </conditionalFormatting>
  <conditionalFormatting sqref="M19:Q23">
    <cfRule type="expression" dxfId="3588" priority="13">
      <formula>$E$11&gt;0</formula>
    </cfRule>
  </conditionalFormatting>
  <conditionalFormatting sqref="M26:R46">
    <cfRule type="expression" dxfId="3587" priority="3">
      <formula>$E$11=0</formula>
    </cfRule>
  </conditionalFormatting>
  <conditionalFormatting sqref="P17">
    <cfRule type="expression" dxfId="3586" priority="16">
      <formula>$E$11=0</formula>
    </cfRule>
  </conditionalFormatting>
  <conditionalFormatting sqref="P30">
    <cfRule type="expression" dxfId="3585" priority="7">
      <formula>AND($R$3="Méthode 1",$E$11&lt;0)</formula>
    </cfRule>
  </conditionalFormatting>
  <conditionalFormatting sqref="P33">
    <cfRule type="expression" dxfId="3584" priority="6">
      <formula>AND($R$3="Méthode 1",$E$11&lt;0)</formula>
    </cfRule>
  </conditionalFormatting>
  <conditionalFormatting sqref="Q17">
    <cfRule type="cellIs" dxfId="3583" priority="15" operator="equal">
      <formula>0</formula>
    </cfRule>
  </conditionalFormatting>
  <conditionalFormatting sqref="Q42">
    <cfRule type="expression" dxfId="3582" priority="5">
      <formula>AND($R$3="Méthode 1",$E$11&lt;0)</formula>
    </cfRule>
  </conditionalFormatting>
  <conditionalFormatting sqref="Q45">
    <cfRule type="expression" dxfId="3581" priority="4">
      <formula>AND($R$3="Méthode 1",$E$11&lt;0)</formula>
    </cfRule>
  </conditionalFormatting>
  <conditionalFormatting sqref="S7:AF7">
    <cfRule type="expression" dxfId="3580" priority="35">
      <formula>$R$3=$T$5</formula>
    </cfRule>
  </conditionalFormatting>
  <conditionalFormatting sqref="W19">
    <cfRule type="expression" dxfId="3579" priority="40">
      <formula>$EF$14=1</formula>
    </cfRule>
  </conditionalFormatting>
  <conditionalFormatting sqref="W21">
    <cfRule type="expression" dxfId="3578" priority="39">
      <formula>$EF$14=1</formula>
    </cfRule>
  </conditionalFormatting>
  <conditionalFormatting sqref="AC19">
    <cfRule type="expression" dxfId="3577" priority="38">
      <formula>$EF$14=1</formula>
    </cfRule>
  </conditionalFormatting>
  <conditionalFormatting sqref="AC21">
    <cfRule type="expression" dxfId="3576" priority="37">
      <formula>$EF$14=1</formula>
    </cfRule>
  </conditionalFormatting>
  <conditionalFormatting sqref="AH7:AZ7">
    <cfRule type="expression" dxfId="3575" priority="21">
      <formula>$R$3=$AI$5</formula>
    </cfRule>
  </conditionalFormatting>
  <conditionalFormatting sqref="AP50">
    <cfRule type="expression" dxfId="3574" priority="20">
      <formula>$R$3="Méthode 2"</formula>
    </cfRule>
  </conditionalFormatting>
  <conditionalFormatting sqref="AP52">
    <cfRule type="expression" dxfId="3573" priority="19">
      <formula>$R$3="Méthode 2"</formula>
    </cfRule>
  </conditionalFormatting>
  <conditionalFormatting sqref="AP61">
    <cfRule type="expression" dxfId="3572" priority="18">
      <formula>$R$3="Méthode 2"</formula>
    </cfRule>
  </conditionalFormatting>
  <conditionalFormatting sqref="AP64">
    <cfRule type="expression" dxfId="3571" priority="17">
      <formula>$R$3="Méthode 2"</formula>
    </cfRule>
  </conditionalFormatting>
  <conditionalFormatting sqref="BI50">
    <cfRule type="expression" dxfId="3570" priority="28">
      <formula>$BK$3="Méthode 1"</formula>
    </cfRule>
  </conditionalFormatting>
  <conditionalFormatting sqref="BJ29">
    <cfRule type="expression" dxfId="3569" priority="30">
      <formula>$BK$3="Méthode 1"</formula>
    </cfRule>
  </conditionalFormatting>
  <conditionalFormatting sqref="BJ45">
    <cfRule type="expression" dxfId="3568" priority="29">
      <formula>$BK$3="Méthode 1"</formula>
    </cfRule>
  </conditionalFormatting>
  <conditionalFormatting sqref="BR46">
    <cfRule type="expression" dxfId="3567" priority="27">
      <formula>$BK$3="Méthode 2"</formula>
    </cfRule>
  </conditionalFormatting>
  <conditionalFormatting sqref="BR49">
    <cfRule type="expression" dxfId="3566" priority="26">
      <formula>$BK$3="Méthode 2"</formula>
    </cfRule>
  </conditionalFormatting>
  <conditionalFormatting sqref="BW52">
    <cfRule type="expression" dxfId="3565" priority="23">
      <formula>$BK$3="Méthode 2"</formula>
    </cfRule>
  </conditionalFormatting>
  <conditionalFormatting sqref="BW54">
    <cfRule type="expression" dxfId="3564" priority="22">
      <formula>$BK$3="Méthode 2"</formula>
    </cfRule>
  </conditionalFormatting>
  <conditionalFormatting sqref="BZ46">
    <cfRule type="expression" dxfId="3563" priority="25">
      <formula>$BK$3="Méthode 2"</formula>
    </cfRule>
  </conditionalFormatting>
  <conditionalFormatting sqref="BZ49">
    <cfRule type="expression" dxfId="3562" priority="24">
      <formula>$BK$3="Méthode 2"</formula>
    </cfRule>
  </conditionalFormatting>
  <conditionalFormatting sqref="CG18:CG48">
    <cfRule type="cellIs" dxfId="3561"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3" max="106" man="1"/>
    <brk id="52" max="1048575" man="1"/>
    <brk id="63"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5" width="0" hidden="1" customWidth="1"/>
    <col min="106"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+Septembre!DP4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+Septembre!AR13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+Septembre!AI3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+Septembre!I14</f>
        <v>0</v>
      </c>
      <c r="F10" s="149"/>
      <c r="G10" s="149"/>
      <c r="H10" s="149"/>
      <c r="I10" s="149"/>
      <c r="J10" s="149"/>
      <c r="K10" s="149"/>
      <c r="L10" s="149"/>
      <c r="P10" s="29" t="s">
        <v>1441</v>
      </c>
      <c r="Q10" s="338">
        <f>+Septembre!P18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+Septembre!T18+Septembre!T19</f>
        <v>0</v>
      </c>
      <c r="BI10" s="29" t="s">
        <v>1449</v>
      </c>
      <c r="BJ10" s="338">
        <f>+Septembre!AL14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+Septembre!U14</f>
        <v>0</v>
      </c>
      <c r="F11" s="149"/>
      <c r="G11" s="149"/>
      <c r="H11" s="149"/>
      <c r="I11" s="149"/>
      <c r="J11" s="149"/>
      <c r="K11" s="149"/>
      <c r="L11" s="149"/>
      <c r="M11" s="1179"/>
      <c r="N11" s="181"/>
      <c r="O11" s="1180"/>
      <c r="P11" s="181" t="s">
        <v>1104</v>
      </c>
      <c r="Q11" s="1181">
        <f>+Septembre!P19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+BJ10*(1+Septembre!N15)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+Septembre!X3</f>
        <v>46266</v>
      </c>
      <c r="M13" s="152"/>
      <c r="N13" s="153">
        <f>DATE(YEAR($D$13),MONTH($D$13)+1,DAY($D$13))</f>
        <v>46296</v>
      </c>
      <c r="O13" s="154">
        <f>N13</f>
        <v>46296</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46266</v>
      </c>
      <c r="BF13" s="152"/>
      <c r="BG13" s="153">
        <f>DATE(YEAR($D$13),MONTH($D$13)+1,DAY($D$13))</f>
        <v>46296</v>
      </c>
      <c r="BH13" s="154">
        <f>BG13</f>
        <v>46296</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46296</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46266</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46266</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46266</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+Septembre!BJ20</f>
        <v>Fiche infoA2</v>
      </c>
      <c r="B18" s="168">
        <f>+D13</f>
        <v>46266</v>
      </c>
      <c r="C18" s="169">
        <f>+$D$13</f>
        <v>46266</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Septembre!BC20</f>
        <v>0</v>
      </c>
      <c r="J18" s="34">
        <f>Septembre!BE20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infoA2</v>
      </c>
      <c r="BB18" s="168">
        <f>+BD13</f>
        <v>46266</v>
      </c>
      <c r="BC18" s="169">
        <f>+$D$13</f>
        <v>46266</v>
      </c>
      <c r="BD18" s="171" t="str">
        <f>+D18</f>
        <v/>
      </c>
      <c r="BE18" s="335" t="str">
        <f>+IF(OR(BF18=S.CAL!$BJ$3,BF18=S.CAL!$BJ$4),BD18,"")</f>
        <v/>
      </c>
      <c r="BF18" s="332">
        <f>IF($DY$5=S.CAL!$CU$2,Septembre!AR20,IF($DY$5=S.CAL!$CU$3,VLOOKUP(BC18,planning_fp,7,FALSE),""))</f>
        <v>0</v>
      </c>
      <c r="BG18" s="344" t="str">
        <f>Septembre!BL20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46266</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IF(+Septembre!AG20="",0,Septembre!AG20)</f>
        <v>0</v>
      </c>
      <c r="DZ18" s="16">
        <f>+IF(Septembre!AJ20="",0,Septembre!AJ20)</f>
        <v>0</v>
      </c>
      <c r="EA18" s="16">
        <f>+IF(Septembre!AM20="",0,Septembre!AM20)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46266</v>
      </c>
      <c r="EM18" s="16" t="str">
        <f>A18&amp;C18</f>
        <v>Fiche infoA246266</v>
      </c>
      <c r="EN18" s="16">
        <f t="shared" ref="EN18:EN48" si="20">+VLOOKUP(EM18,Base_feuille_présence_heure_potentiel,11,FALSE)</f>
        <v>0</v>
      </c>
      <c r="EQ18" s="16" t="str">
        <f>Septembre!FS20</f>
        <v/>
      </c>
    </row>
    <row r="19" spans="1:147" ht="18" customHeight="1" x14ac:dyDescent="0.2">
      <c r="A19" s="24" t="str">
        <f>+Septembre!BJ21</f>
        <v>Fiche infoA3</v>
      </c>
      <c r="B19" s="107">
        <f>C19</f>
        <v>46267</v>
      </c>
      <c r="C19" s="170">
        <f>+$D$13+1</f>
        <v>46267</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Septembre!BC21</f>
        <v>0</v>
      </c>
      <c r="J19" s="34">
        <f>Septembre!BE21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infoA3</v>
      </c>
      <c r="BB19" s="107">
        <f>BC19</f>
        <v>46267</v>
      </c>
      <c r="BC19" s="170">
        <f>+$D$13+1</f>
        <v>46267</v>
      </c>
      <c r="BD19" s="171" t="str">
        <f>+D19</f>
        <v/>
      </c>
      <c r="BE19" s="171" t="str">
        <f>+IF(OR(BF19=S.CAL!$BJ$3,BF19=S.CAL!$BJ$4),BD19,"")</f>
        <v/>
      </c>
      <c r="BF19" s="333">
        <f>IF($DY$5=S.CAL!$CU$2,Septembre!AR21,IF($DY$5=S.CAL!$CU$3,VLOOKUP(BC19,planning_fp,7,FALSE),""))</f>
        <v>0</v>
      </c>
      <c r="BG19" s="345" t="str">
        <f>Septembre!BL21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46267</v>
      </c>
      <c r="CF19" s="170">
        <f>+$D$13+1</f>
        <v>46267</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IF(+Septembre!AG21="",0,Septembre!AG21)</f>
        <v>0</v>
      </c>
      <c r="DZ19" s="16">
        <f>+IF(Septembre!AJ21="",0,Septembre!AJ21)</f>
        <v>0</v>
      </c>
      <c r="EA19" s="16">
        <f>+IF(Septembre!AM21="",0,Septembre!AM21)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46267</v>
      </c>
      <c r="EM19" s="16" t="str">
        <f t="shared" ref="EM19:EM48" si="29">A19&amp;C19</f>
        <v>Fiche infoA346267</v>
      </c>
      <c r="EN19" s="16">
        <f t="shared" si="20"/>
        <v>0</v>
      </c>
      <c r="EQ19" s="16" t="str">
        <f>Septembre!FS21</f>
        <v/>
      </c>
    </row>
    <row r="20" spans="1:147" ht="18" customHeight="1" x14ac:dyDescent="0.2">
      <c r="A20" s="24" t="str">
        <f>+Septembre!BJ22</f>
        <v>Fiche infoA4</v>
      </c>
      <c r="B20" s="107">
        <f t="shared" ref="B20:B48" si="30">C20</f>
        <v>46268</v>
      </c>
      <c r="C20" s="170">
        <f>+$D$13+2</f>
        <v>46268</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Septembre!BC22</f>
        <v>0</v>
      </c>
      <c r="J20" s="34">
        <f>Septembre!BE22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infoA4</v>
      </c>
      <c r="BB20" s="107">
        <f t="shared" ref="BB20:BB48" si="31">BC20</f>
        <v>46268</v>
      </c>
      <c r="BC20" s="170">
        <f>+$D$13+2</f>
        <v>46268</v>
      </c>
      <c r="BD20" s="171" t="str">
        <f t="shared" ref="BD20:BD48" si="32">+D20</f>
        <v/>
      </c>
      <c r="BE20" s="171" t="str">
        <f>+IF(OR(BF20=S.CAL!$BJ$3,BF20=S.CAL!$BJ$4),BD20,"")</f>
        <v/>
      </c>
      <c r="BF20" s="333">
        <f>IF($DY$5=S.CAL!$CU$2,Septembre!AR22,IF($DY$5=S.CAL!$CU$3,VLOOKUP(BC20,planning_fp,7,FALSE),""))</f>
        <v>0</v>
      </c>
      <c r="BG20" s="345" t="str">
        <f>Septembre!BL22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46268</v>
      </c>
      <c r="CF20" s="170">
        <f>+$D$13+2</f>
        <v>46268</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IF(+Septembre!AG22="",0,Septembre!AG22)</f>
        <v>0</v>
      </c>
      <c r="DZ20" s="16">
        <f>+IF(Septembre!AJ22="",0,Septembre!AJ22)</f>
        <v>0</v>
      </c>
      <c r="EA20" s="16">
        <f>+IF(Septembre!AM22="",0,Septembre!AM22)</f>
        <v>0</v>
      </c>
      <c r="EB20" s="16">
        <f t="shared" si="25"/>
        <v>0</v>
      </c>
      <c r="ED20" s="16">
        <f t="shared" si="26"/>
        <v>0</v>
      </c>
      <c r="EE20" s="16">
        <f t="shared" si="17"/>
        <v>0</v>
      </c>
      <c r="EF20" s="30" t="str">
        <f t="shared" si="18"/>
        <v/>
      </c>
      <c r="EG20" s="30" t="str">
        <f t="shared" si="27"/>
        <v/>
      </c>
      <c r="EH20" s="16">
        <f t="shared" si="28"/>
        <v>0</v>
      </c>
      <c r="EI20" s="30"/>
      <c r="EJ20" s="30">
        <f t="shared" si="19"/>
        <v>46268</v>
      </c>
      <c r="EM20" s="16" t="str">
        <f t="shared" si="29"/>
        <v>Fiche infoA446268</v>
      </c>
      <c r="EN20" s="16">
        <f t="shared" si="20"/>
        <v>0</v>
      </c>
      <c r="EQ20" s="16" t="str">
        <f>Septembre!FS22</f>
        <v/>
      </c>
    </row>
    <row r="21" spans="1:147" ht="18" customHeight="1" x14ac:dyDescent="0.2">
      <c r="A21" s="24" t="str">
        <f>+Septembre!BJ23</f>
        <v>Fiche infoA5</v>
      </c>
      <c r="B21" s="107">
        <f t="shared" si="30"/>
        <v>46269</v>
      </c>
      <c r="C21" s="170">
        <f>+$D$13+3</f>
        <v>46269</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Septembre!BC23</f>
        <v>0</v>
      </c>
      <c r="J21" s="34">
        <f>Septembre!BE23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infoA5</v>
      </c>
      <c r="BB21" s="107">
        <f t="shared" si="31"/>
        <v>46269</v>
      </c>
      <c r="BC21" s="170">
        <f>+$D$13+3</f>
        <v>46269</v>
      </c>
      <c r="BD21" s="171" t="str">
        <f t="shared" si="32"/>
        <v/>
      </c>
      <c r="BE21" s="171" t="str">
        <f>+IF(OR(BF21=S.CAL!$BJ$3,BF21=S.CAL!$BJ$4),BD21,"")</f>
        <v/>
      </c>
      <c r="BF21" s="333">
        <f>IF($DY$5=S.CAL!$CU$2,Septembre!AR23,IF($DY$5=S.CAL!$CU$3,VLOOKUP(BC21,planning_fp,7,FALSE),""))</f>
        <v>0</v>
      </c>
      <c r="BG21" s="345" t="str">
        <f>Septembre!BL23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46269</v>
      </c>
      <c r="CF21" s="170">
        <f>+$D$13+3</f>
        <v>46269</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IF(+Septembre!AG23="",0,Septembre!AG23)</f>
        <v>0</v>
      </c>
      <c r="DZ21" s="16">
        <f>+IF(Septembre!AJ23="",0,Septembre!AJ23)</f>
        <v>0</v>
      </c>
      <c r="EA21" s="16">
        <f>+IF(Septembre!AM23="",0,Septembre!AM23)</f>
        <v>0</v>
      </c>
      <c r="EB21" s="16">
        <f t="shared" si="25"/>
        <v>0</v>
      </c>
      <c r="ED21" s="16">
        <f t="shared" si="26"/>
        <v>0</v>
      </c>
      <c r="EE21" s="16">
        <f t="shared" si="17"/>
        <v>0</v>
      </c>
      <c r="EF21" s="30" t="str">
        <f t="shared" si="18"/>
        <v/>
      </c>
      <c r="EG21" s="30" t="str">
        <f t="shared" si="27"/>
        <v/>
      </c>
      <c r="EH21" s="16">
        <f t="shared" si="28"/>
        <v>0</v>
      </c>
      <c r="EI21" s="30"/>
      <c r="EJ21" s="30">
        <f t="shared" si="19"/>
        <v>46269</v>
      </c>
      <c r="EM21" s="16" t="str">
        <f t="shared" si="29"/>
        <v>Fiche infoA546269</v>
      </c>
      <c r="EN21" s="16">
        <f t="shared" si="20"/>
        <v>0</v>
      </c>
      <c r="EQ21" s="16" t="str">
        <f>Septembre!FS23</f>
        <v/>
      </c>
    </row>
    <row r="22" spans="1:147" ht="18" customHeight="1" x14ac:dyDescent="0.25">
      <c r="A22" s="24" t="str">
        <f>+Septembre!BJ24</f>
        <v>Fiche infoA6</v>
      </c>
      <c r="B22" s="107">
        <f t="shared" si="30"/>
        <v>46270</v>
      </c>
      <c r="C22" s="170">
        <f>+$D$13+4</f>
        <v>46270</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Septembre!BC24</f>
        <v>0</v>
      </c>
      <c r="J22" s="34">
        <f>Septembre!BE24</f>
        <v>0</v>
      </c>
      <c r="K22" s="34">
        <f t="shared" si="15"/>
        <v>0</v>
      </c>
      <c r="L22" s="34" t="str">
        <f t="shared" si="21"/>
        <v/>
      </c>
      <c r="O22" s="19"/>
      <c r="AK22" s="1189" t="s">
        <v>37</v>
      </c>
      <c r="AL22" s="1318">
        <f>+Septembre!AL14</f>
        <v>0</v>
      </c>
      <c r="BA22" s="331" t="str">
        <f t="shared" si="16"/>
        <v>Fiche infoA6</v>
      </c>
      <c r="BB22" s="107">
        <f t="shared" si="31"/>
        <v>46270</v>
      </c>
      <c r="BC22" s="170">
        <f>+$D$13+4</f>
        <v>46270</v>
      </c>
      <c r="BD22" s="171" t="str">
        <f t="shared" si="32"/>
        <v/>
      </c>
      <c r="BE22" s="171" t="str">
        <f>+IF(OR(BF22=S.CAL!$BJ$3,BF22=S.CAL!$BJ$4),BD22,"")</f>
        <v/>
      </c>
      <c r="BF22" s="333">
        <f>IF($DY$5=S.CAL!$CU$2,Septembre!AR24,IF($DY$5=S.CAL!$CU$3,VLOOKUP(BC22,planning_fp,7,FALSE),""))</f>
        <v>0</v>
      </c>
      <c r="BG22" s="345" t="str">
        <f>Septembre!BL24</f>
        <v>A</v>
      </c>
      <c r="BH22" s="148"/>
      <c r="BL22" s="144"/>
      <c r="BM22" s="195"/>
      <c r="CD22" s="328"/>
      <c r="CE22" s="107">
        <f t="shared" si="33"/>
        <v>46270</v>
      </c>
      <c r="CF22" s="170">
        <f>+$D$13+4</f>
        <v>46270</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IF(+Septembre!AG24="",0,Septembre!AG24)</f>
        <v>0</v>
      </c>
      <c r="DZ22" s="16">
        <f>+IF(Septembre!AJ24="",0,Septembre!AJ24)</f>
        <v>0</v>
      </c>
      <c r="EA22" s="16">
        <f>+IF(Septembre!AM24="",0,Septembre!AM24)</f>
        <v>0</v>
      </c>
      <c r="EB22" s="16">
        <f t="shared" si="25"/>
        <v>0</v>
      </c>
      <c r="ED22" s="16">
        <f t="shared" si="26"/>
        <v>0</v>
      </c>
      <c r="EE22" s="16">
        <f t="shared" si="17"/>
        <v>0</v>
      </c>
      <c r="EF22" s="30" t="str">
        <f t="shared" si="18"/>
        <v/>
      </c>
      <c r="EG22" s="30" t="str">
        <f t="shared" si="27"/>
        <v/>
      </c>
      <c r="EH22" s="16">
        <f t="shared" si="28"/>
        <v>0</v>
      </c>
      <c r="EI22" s="30"/>
      <c r="EJ22" s="30">
        <f t="shared" si="19"/>
        <v>46270</v>
      </c>
      <c r="EM22" s="16" t="str">
        <f t="shared" si="29"/>
        <v>Fiche infoA646270</v>
      </c>
      <c r="EN22" s="16">
        <f t="shared" si="20"/>
        <v>0</v>
      </c>
      <c r="EQ22" s="16" t="str">
        <f>Septembre!FS24</f>
        <v/>
      </c>
    </row>
    <row r="23" spans="1:147" ht="18" customHeight="1" x14ac:dyDescent="0.2">
      <c r="A23" s="24" t="str">
        <f>+Septembre!BJ25</f>
        <v>Fiche infoA7</v>
      </c>
      <c r="B23" s="107">
        <f t="shared" si="30"/>
        <v>46271</v>
      </c>
      <c r="C23" s="170">
        <f>+$D$13+5</f>
        <v>46271</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Septembre!BC25</f>
        <v>0</v>
      </c>
      <c r="J23" s="34">
        <f>Septembre!BE25</f>
        <v>0</v>
      </c>
      <c r="K23" s="34">
        <f t="shared" si="15"/>
        <v>0</v>
      </c>
      <c r="L23" s="34" t="str">
        <f t="shared" si="21"/>
        <v/>
      </c>
      <c r="O23" s="39" t="str">
        <f>+O21</f>
        <v xml:space="preserve">Retenue sur salaire = </v>
      </c>
      <c r="P23" s="671">
        <f>+P30+P33</f>
        <v>0</v>
      </c>
      <c r="T23" s="563" t="s">
        <v>1107</v>
      </c>
      <c r="Z23" s="563" t="s">
        <v>1107</v>
      </c>
      <c r="BA23" s="331" t="str">
        <f t="shared" si="16"/>
        <v>Fiche infoA7</v>
      </c>
      <c r="BB23" s="107">
        <f t="shared" si="31"/>
        <v>46271</v>
      </c>
      <c r="BC23" s="170">
        <f>+$D$13+5</f>
        <v>46271</v>
      </c>
      <c r="BD23" s="171" t="str">
        <f t="shared" si="32"/>
        <v/>
      </c>
      <c r="BE23" s="171" t="str">
        <f>+IF(OR(BF23=S.CAL!$BJ$3,BF23=S.CAL!$BJ$4),BD23,"")</f>
        <v/>
      </c>
      <c r="BF23" s="333">
        <f>IF($DY$5=S.CAL!$CU$2,Septembre!AR25,IF($DY$5=S.CAL!$CU$3,VLOOKUP(BC23,planning_fp,7,FALSE),""))</f>
        <v>0</v>
      </c>
      <c r="BG23" s="345" t="str">
        <f>Septembre!BL25</f>
        <v>A</v>
      </c>
      <c r="BH23" s="29"/>
      <c r="BI23" s="336"/>
      <c r="BL23" s="147"/>
      <c r="CD23" s="328"/>
      <c r="CE23" s="107">
        <f t="shared" si="33"/>
        <v>46271</v>
      </c>
      <c r="CF23" s="170">
        <f>+$D$13+5</f>
        <v>46271</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IF(+Septembre!AG25="",0,Septembre!AG25)</f>
        <v>0</v>
      </c>
      <c r="DZ23" s="16">
        <f>+IF(Septembre!AJ25="",0,Septembre!AJ25)</f>
        <v>0</v>
      </c>
      <c r="EA23" s="16">
        <f>+IF(Septembre!AM25="",0,Septembre!AM25)</f>
        <v>0</v>
      </c>
      <c r="EB23" s="16">
        <f t="shared" si="25"/>
        <v>0</v>
      </c>
      <c r="ED23" s="16">
        <f t="shared" si="26"/>
        <v>0</v>
      </c>
      <c r="EE23" s="16">
        <f t="shared" si="17"/>
        <v>0</v>
      </c>
      <c r="EF23" s="30" t="str">
        <f t="shared" si="18"/>
        <v/>
      </c>
      <c r="EG23" s="30" t="str">
        <f t="shared" si="27"/>
        <v/>
      </c>
      <c r="EH23" s="16">
        <f t="shared" si="28"/>
        <v>0</v>
      </c>
      <c r="EI23" s="30"/>
      <c r="EJ23" s="30">
        <f t="shared" si="19"/>
        <v>46271</v>
      </c>
      <c r="EM23" s="16" t="str">
        <f t="shared" si="29"/>
        <v>Fiche infoA746271</v>
      </c>
      <c r="EN23" s="16">
        <f t="shared" si="20"/>
        <v>0</v>
      </c>
      <c r="EQ23" s="16" t="str">
        <f>Septembre!FS25</f>
        <v/>
      </c>
    </row>
    <row r="24" spans="1:147" ht="18" customHeight="1" x14ac:dyDescent="0.2">
      <c r="A24" s="24" t="str">
        <f>+Septembre!BJ26</f>
        <v>Fiche infoA1</v>
      </c>
      <c r="B24" s="107">
        <f t="shared" si="30"/>
        <v>46272</v>
      </c>
      <c r="C24" s="170">
        <f>+$D$13+6</f>
        <v>46272</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Septembre!BC26</f>
        <v>0</v>
      </c>
      <c r="J24" s="34">
        <f>Septembre!BE26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infoA1</v>
      </c>
      <c r="BB24" s="107">
        <f t="shared" si="31"/>
        <v>46272</v>
      </c>
      <c r="BC24" s="170">
        <f>+$D$13+6</f>
        <v>46272</v>
      </c>
      <c r="BD24" s="171" t="str">
        <f t="shared" si="32"/>
        <v/>
      </c>
      <c r="BE24" s="171" t="str">
        <f>+IF(OR(BF24=S.CAL!$BJ$3,BF24=S.CAL!$BJ$4),BD24,"")</f>
        <v/>
      </c>
      <c r="BF24" s="333">
        <f>IF($DY$5=S.CAL!$CU$2,Septembre!AR26,IF($DY$5=S.CAL!$CU$3,VLOOKUP(BC24,planning_fp,7,FALSE),""))</f>
        <v>0</v>
      </c>
      <c r="BG24" s="345" t="str">
        <f>Septembre!BL26</f>
        <v>A</v>
      </c>
      <c r="BL24" s="35"/>
      <c r="BM24" s="195"/>
      <c r="BO24" s="29"/>
      <c r="BP24" s="182"/>
      <c r="BR24" s="16" t="s">
        <v>746</v>
      </c>
      <c r="BV24" s="355"/>
      <c r="BW24" s="355"/>
      <c r="BX24" s="355"/>
      <c r="BY24" s="355" t="s">
        <v>696</v>
      </c>
      <c r="BZ24" s="355"/>
      <c r="CA24" s="355"/>
      <c r="CB24" s="355"/>
      <c r="CD24" s="328"/>
      <c r="CE24" s="107">
        <f t="shared" si="33"/>
        <v>46272</v>
      </c>
      <c r="CF24" s="170">
        <f>+$D$13+6</f>
        <v>46272</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IF(+Septembre!AG26="",0,Septembre!AG26)</f>
        <v>0</v>
      </c>
      <c r="DZ24" s="16">
        <f>+IF(Septembre!AJ26="",0,Septembre!AJ26)</f>
        <v>0</v>
      </c>
      <c r="EA24" s="16">
        <f>+IF(Septembre!AM26="",0,Septembre!AM26)</f>
        <v>0</v>
      </c>
      <c r="EB24" s="16">
        <f t="shared" si="25"/>
        <v>0</v>
      </c>
      <c r="ED24" s="16">
        <f t="shared" si="26"/>
        <v>0</v>
      </c>
      <c r="EE24" s="16">
        <f t="shared" si="17"/>
        <v>0</v>
      </c>
      <c r="EF24" s="30" t="str">
        <f t="shared" si="18"/>
        <v/>
      </c>
      <c r="EG24" s="30" t="str">
        <f t="shared" si="27"/>
        <v/>
      </c>
      <c r="EH24" s="16">
        <f t="shared" si="28"/>
        <v>0</v>
      </c>
      <c r="EI24" s="30"/>
      <c r="EJ24" s="30">
        <f t="shared" si="19"/>
        <v>46272</v>
      </c>
      <c r="EM24" s="16" t="str">
        <f t="shared" si="29"/>
        <v>Fiche infoA146272</v>
      </c>
      <c r="EN24" s="16">
        <f t="shared" si="20"/>
        <v>0</v>
      </c>
      <c r="EQ24" s="16" t="str">
        <f>Septembre!FS26</f>
        <v/>
      </c>
    </row>
    <row r="25" spans="1:147" ht="18" customHeight="1" x14ac:dyDescent="0.2">
      <c r="A25" s="24" t="str">
        <f>+Septembre!BJ27</f>
        <v>Fiche infoA2</v>
      </c>
      <c r="B25" s="107">
        <f t="shared" si="30"/>
        <v>46273</v>
      </c>
      <c r="C25" s="170">
        <f>+$D$13+7</f>
        <v>46273</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Septembre!BC27</f>
        <v>0</v>
      </c>
      <c r="J25" s="34">
        <f>Septembre!BE27</f>
        <v>0</v>
      </c>
      <c r="K25" s="34">
        <f t="shared" si="15"/>
        <v>0</v>
      </c>
      <c r="L25" s="34" t="str">
        <f t="shared" si="21"/>
        <v/>
      </c>
      <c r="AK25" s="1189" t="s">
        <v>320</v>
      </c>
      <c r="AL25" s="1313">
        <f>+IF(AL22,AL24/AL22,0)</f>
        <v>0</v>
      </c>
      <c r="BA25" s="331" t="str">
        <f t="shared" si="16"/>
        <v>Fiche infoA2</v>
      </c>
      <c r="BB25" s="107">
        <f t="shared" si="31"/>
        <v>46273</v>
      </c>
      <c r="BC25" s="170">
        <f>+$D$13+7</f>
        <v>46273</v>
      </c>
      <c r="BD25" s="171" t="str">
        <f t="shared" si="32"/>
        <v/>
      </c>
      <c r="BE25" s="171" t="str">
        <f>+IF(OR(BF25=S.CAL!$BJ$3,BF25=S.CAL!$BJ$4),BD25,"")</f>
        <v/>
      </c>
      <c r="BF25" s="333">
        <f>IF($DY$5=S.CAL!$CU$2,Septembre!AR27,IF($DY$5=S.CAL!$CU$3,VLOOKUP(BC25,planning_fp,7,FALSE),""))</f>
        <v>0</v>
      </c>
      <c r="BG25" s="345" t="str">
        <f>Septembre!BL27</f>
        <v>A</v>
      </c>
      <c r="BH25" s="148"/>
      <c r="BL25" s="35"/>
      <c r="BO25" s="29"/>
      <c r="BP25" s="182"/>
      <c r="BV25" s="355"/>
      <c r="BW25" s="355"/>
      <c r="BX25" s="355"/>
      <c r="BY25" s="355"/>
      <c r="BZ25" s="355"/>
      <c r="CA25" s="355"/>
      <c r="CB25" s="355"/>
      <c r="CD25" s="328"/>
      <c r="CE25" s="107">
        <f t="shared" si="33"/>
        <v>46273</v>
      </c>
      <c r="CF25" s="170">
        <f>+$D$13+7</f>
        <v>46273</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IF(+Septembre!AG27="",0,Septembre!AG27)</f>
        <v>0</v>
      </c>
      <c r="DZ25" s="16">
        <f>+IF(Septembre!AJ27="",0,Septembre!AJ27)</f>
        <v>0</v>
      </c>
      <c r="EA25" s="16">
        <f>+IF(Septembre!AM27="",0,Septembre!AM27)</f>
        <v>0</v>
      </c>
      <c r="EB25" s="16">
        <f t="shared" si="25"/>
        <v>0</v>
      </c>
      <c r="ED25" s="16">
        <f t="shared" si="26"/>
        <v>0</v>
      </c>
      <c r="EE25" s="16">
        <f t="shared" si="17"/>
        <v>0</v>
      </c>
      <c r="EF25" s="30" t="str">
        <f t="shared" si="18"/>
        <v/>
      </c>
      <c r="EG25" s="30" t="str">
        <f t="shared" si="27"/>
        <v/>
      </c>
      <c r="EH25" s="16">
        <f t="shared" si="28"/>
        <v>0</v>
      </c>
      <c r="EI25" s="30"/>
      <c r="EJ25" s="30">
        <f t="shared" si="19"/>
        <v>46273</v>
      </c>
      <c r="EM25" s="16" t="str">
        <f t="shared" si="29"/>
        <v>Fiche infoA246273</v>
      </c>
      <c r="EN25" s="16">
        <f t="shared" si="20"/>
        <v>0</v>
      </c>
      <c r="EQ25" s="16" t="str">
        <f>Septembre!FS27</f>
        <v/>
      </c>
    </row>
    <row r="26" spans="1:147" ht="18" customHeight="1" x14ac:dyDescent="0.2">
      <c r="A26" s="24" t="str">
        <f>+Septembre!BJ28</f>
        <v>Fiche infoA3</v>
      </c>
      <c r="B26" s="107">
        <f t="shared" si="30"/>
        <v>46274</v>
      </c>
      <c r="C26" s="170">
        <f>+$D$13+8</f>
        <v>46274</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Septembre!BC28</f>
        <v>0</v>
      </c>
      <c r="J26" s="34">
        <f>Septembre!BE28</f>
        <v>0</v>
      </c>
      <c r="K26" s="34">
        <f t="shared" si="15"/>
        <v>0</v>
      </c>
      <c r="L26" s="34" t="str">
        <f t="shared" si="21"/>
        <v/>
      </c>
      <c r="O26" s="16" t="s">
        <v>1197</v>
      </c>
      <c r="AK26" s="1189" t="s">
        <v>321</v>
      </c>
      <c r="AL26" s="1313">
        <f>IF(AS21,SUM(AT13:AT20)/AS21,0)</f>
        <v>0</v>
      </c>
      <c r="BA26" s="331" t="str">
        <f t="shared" si="16"/>
        <v>Fiche infoA3</v>
      </c>
      <c r="BB26" s="107">
        <f t="shared" si="31"/>
        <v>46274</v>
      </c>
      <c r="BC26" s="170">
        <f>+$D$13+8</f>
        <v>46274</v>
      </c>
      <c r="BD26" s="171" t="str">
        <f t="shared" si="32"/>
        <v/>
      </c>
      <c r="BE26" s="171" t="str">
        <f>+IF(OR(BF26=S.CAL!$BJ$3,BF26=S.CAL!$BJ$4),BD26,"")</f>
        <v/>
      </c>
      <c r="BF26" s="333">
        <f>IF($DY$5=S.CAL!$CU$2,Septembre!AR28,IF($DY$5=S.CAL!$CU$3,VLOOKUP(BC26,planning_fp,7,FALSE),""))</f>
        <v>0</v>
      </c>
      <c r="BG26" s="345" t="str">
        <f>Septembre!BL28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46274</v>
      </c>
      <c r="CF26" s="170">
        <f>+$D$13+8</f>
        <v>46274</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IF(+Septembre!AG28="",0,Septembre!AG28)</f>
        <v>0</v>
      </c>
      <c r="DZ26" s="16">
        <f>+IF(Septembre!AJ28="",0,Septembre!AJ28)</f>
        <v>0</v>
      </c>
      <c r="EA26" s="16">
        <f>+IF(Septembre!AM28="",0,Septembre!AM28)</f>
        <v>0</v>
      </c>
      <c r="EB26" s="16">
        <f t="shared" si="25"/>
        <v>0</v>
      </c>
      <c r="ED26" s="16">
        <f t="shared" si="26"/>
        <v>0</v>
      </c>
      <c r="EE26" s="16">
        <f t="shared" si="17"/>
        <v>0</v>
      </c>
      <c r="EF26" s="30" t="str">
        <f t="shared" si="18"/>
        <v/>
      </c>
      <c r="EG26" s="30" t="str">
        <f t="shared" si="27"/>
        <v/>
      </c>
      <c r="EH26" s="16">
        <f t="shared" si="28"/>
        <v>0</v>
      </c>
      <c r="EI26" s="30"/>
      <c r="EJ26" s="30">
        <f t="shared" si="19"/>
        <v>46274</v>
      </c>
      <c r="EM26" s="16" t="str">
        <f t="shared" si="29"/>
        <v>Fiche infoA346274</v>
      </c>
      <c r="EN26" s="16">
        <f t="shared" si="20"/>
        <v>0</v>
      </c>
      <c r="EQ26" s="16" t="str">
        <f>Septembre!FS28</f>
        <v/>
      </c>
    </row>
    <row r="27" spans="1:147" ht="18" customHeight="1" x14ac:dyDescent="0.2">
      <c r="A27" s="24" t="str">
        <f>+Septembre!BJ29</f>
        <v>Fiche infoA4</v>
      </c>
      <c r="B27" s="107">
        <f t="shared" si="30"/>
        <v>46275</v>
      </c>
      <c r="C27" s="170">
        <f>+$D$13+9</f>
        <v>46275</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Septembre!BC29</f>
        <v>0</v>
      </c>
      <c r="J27" s="34">
        <f>Septembre!BE29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infoA4</v>
      </c>
      <c r="BB27" s="107">
        <f t="shared" si="31"/>
        <v>46275</v>
      </c>
      <c r="BC27" s="170">
        <f>+$D$13+9</f>
        <v>46275</v>
      </c>
      <c r="BD27" s="171" t="str">
        <f t="shared" si="32"/>
        <v/>
      </c>
      <c r="BE27" s="171" t="str">
        <f>+IF(OR(BF27=S.CAL!$BJ$3,BF27=S.CAL!$BJ$4),BD27,"")</f>
        <v/>
      </c>
      <c r="BF27" s="333">
        <f>IF($DY$5=S.CAL!$CU$2,Septembre!AR29,IF($DY$5=S.CAL!$CU$3,VLOOKUP(BC27,planning_fp,7,FALSE),""))</f>
        <v>0</v>
      </c>
      <c r="BG27" s="345" t="str">
        <f>Septembre!BL29</f>
        <v>A</v>
      </c>
      <c r="BI27" s="16" t="s">
        <v>746</v>
      </c>
      <c r="BL27" s="35"/>
      <c r="BP27" s="2465"/>
      <c r="BQ27" s="2465"/>
      <c r="BR27" s="2465"/>
      <c r="BS27" s="2465"/>
      <c r="BT27" s="2464"/>
      <c r="BV27" s="355"/>
      <c r="BW27" s="355"/>
      <c r="BX27" s="2543"/>
      <c r="BY27" s="2543"/>
      <c r="BZ27" s="2543"/>
      <c r="CA27" s="2543"/>
      <c r="CB27" s="2542"/>
      <c r="CD27" s="328"/>
      <c r="CE27" s="107">
        <f t="shared" si="33"/>
        <v>46275</v>
      </c>
      <c r="CF27" s="170">
        <f>+$D$13+9</f>
        <v>46275</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IF(+Septembre!AG29="",0,Septembre!AG29)</f>
        <v>0</v>
      </c>
      <c r="DZ27" s="16">
        <f>+IF(Septembre!AJ29="",0,Septembre!AJ29)</f>
        <v>0</v>
      </c>
      <c r="EA27" s="16">
        <f>+IF(Septembre!AM29="",0,Septembre!AM29)</f>
        <v>0</v>
      </c>
      <c r="EB27" s="16">
        <f t="shared" si="25"/>
        <v>0</v>
      </c>
      <c r="ED27" s="16">
        <f t="shared" si="26"/>
        <v>0</v>
      </c>
      <c r="EE27" s="16">
        <f t="shared" si="17"/>
        <v>0</v>
      </c>
      <c r="EF27" s="30" t="str">
        <f t="shared" si="18"/>
        <v/>
      </c>
      <c r="EG27" s="30" t="str">
        <f t="shared" si="27"/>
        <v/>
      </c>
      <c r="EH27" s="16">
        <f t="shared" si="28"/>
        <v>0</v>
      </c>
      <c r="EI27" s="30"/>
      <c r="EJ27" s="30">
        <f t="shared" si="19"/>
        <v>46275</v>
      </c>
      <c r="EM27" s="16" t="str">
        <f t="shared" si="29"/>
        <v>Fiche infoA446275</v>
      </c>
      <c r="EN27" s="16">
        <f t="shared" si="20"/>
        <v>0</v>
      </c>
      <c r="EQ27" s="16" t="str">
        <f>Septembre!FS29</f>
        <v/>
      </c>
    </row>
    <row r="28" spans="1:147" ht="18" customHeight="1" x14ac:dyDescent="0.2">
      <c r="A28" s="24" t="str">
        <f>+Septembre!BJ30</f>
        <v>Fiche infoA5</v>
      </c>
      <c r="B28" s="107">
        <f t="shared" si="30"/>
        <v>46276</v>
      </c>
      <c r="C28" s="170">
        <f>+$D$13+10</f>
        <v>46276</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Septembre!BC30</f>
        <v>0</v>
      </c>
      <c r="J28" s="34">
        <f>Septembre!BE30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infoA5</v>
      </c>
      <c r="BB28" s="107">
        <f t="shared" si="31"/>
        <v>46276</v>
      </c>
      <c r="BC28" s="170">
        <f>+$D$13+10</f>
        <v>46276</v>
      </c>
      <c r="BD28" s="171" t="str">
        <f t="shared" si="32"/>
        <v/>
      </c>
      <c r="BE28" s="171" t="str">
        <f>+IF(OR(BF28=S.CAL!$BJ$3,BF28=S.CAL!$BJ$4),BD28,"")</f>
        <v/>
      </c>
      <c r="BF28" s="333">
        <f>IF($DY$5=S.CAL!$CU$2,Septembre!AR30,IF($DY$5=S.CAL!$CU$3,VLOOKUP(BC28,planning_fp,7,FALSE),""))</f>
        <v>0</v>
      </c>
      <c r="BG28" s="345" t="str">
        <f>Septembre!BL30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46276</v>
      </c>
      <c r="CF28" s="170">
        <f>+$D$13+10</f>
        <v>46276</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IF(+Septembre!AG30="",0,Septembre!AG30)</f>
        <v>0</v>
      </c>
      <c r="DZ28" s="16">
        <f>+IF(Septembre!AJ30="",0,Septembre!AJ30)</f>
        <v>0</v>
      </c>
      <c r="EA28" s="16">
        <f>+IF(Septembre!AM30="",0,Septembre!AM30)</f>
        <v>0</v>
      </c>
      <c r="EB28" s="16">
        <f t="shared" si="25"/>
        <v>0</v>
      </c>
      <c r="ED28" s="16">
        <f t="shared" si="26"/>
        <v>0</v>
      </c>
      <c r="EE28" s="16">
        <f t="shared" si="17"/>
        <v>0</v>
      </c>
      <c r="EF28" s="30" t="str">
        <f t="shared" si="18"/>
        <v/>
      </c>
      <c r="EG28" s="30" t="str">
        <f t="shared" si="27"/>
        <v/>
      </c>
      <c r="EH28" s="16">
        <f t="shared" si="28"/>
        <v>0</v>
      </c>
      <c r="EI28" s="30"/>
      <c r="EJ28" s="30">
        <f t="shared" si="19"/>
        <v>46276</v>
      </c>
      <c r="EM28" s="16" t="str">
        <f t="shared" si="29"/>
        <v>Fiche infoA546276</v>
      </c>
      <c r="EN28" s="16">
        <f t="shared" si="20"/>
        <v>0</v>
      </c>
      <c r="EQ28" s="16" t="str">
        <f>Septembre!FS30</f>
        <v/>
      </c>
    </row>
    <row r="29" spans="1:147" ht="18" customHeight="1" x14ac:dyDescent="0.2">
      <c r="A29" s="24" t="str">
        <f>+Septembre!BJ31</f>
        <v>Fiche infoA6</v>
      </c>
      <c r="B29" s="107">
        <f t="shared" si="30"/>
        <v>46277</v>
      </c>
      <c r="C29" s="170">
        <f>+$D$13+11</f>
        <v>46277</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Septembre!BC31</f>
        <v>0</v>
      </c>
      <c r="J29" s="34">
        <f>Septembre!BE31</f>
        <v>0</v>
      </c>
      <c r="K29" s="34">
        <f t="shared" si="15"/>
        <v>0</v>
      </c>
      <c r="L29" s="34" t="str">
        <f t="shared" si="21"/>
        <v/>
      </c>
      <c r="O29" s="859" t="s">
        <v>1444</v>
      </c>
      <c r="P29" s="859"/>
      <c r="Q29" s="859"/>
      <c r="R29" s="859"/>
      <c r="BA29" s="331" t="str">
        <f t="shared" si="16"/>
        <v>Fiche infoA6</v>
      </c>
      <c r="BB29" s="107">
        <f t="shared" si="31"/>
        <v>46277</v>
      </c>
      <c r="BC29" s="170">
        <f>+$D$13+11</f>
        <v>46277</v>
      </c>
      <c r="BD29" s="171" t="str">
        <f t="shared" si="32"/>
        <v/>
      </c>
      <c r="BE29" s="171" t="str">
        <f>+IF(OR(BF29=S.CAL!$BJ$3,BF29=S.CAL!$BJ$4),BD29,"")</f>
        <v/>
      </c>
      <c r="BF29" s="333">
        <f>IF($DY$5=S.CAL!$CU$2,Septembre!AR31,IF($DY$5=S.CAL!$CU$3,VLOOKUP(BC29,planning_fp,7,FALSE),""))</f>
        <v>0</v>
      </c>
      <c r="BG29" s="345" t="str">
        <f>Septembre!BL31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46277</v>
      </c>
      <c r="CF29" s="170">
        <f>+$D$13+11</f>
        <v>46277</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IF(+Septembre!AG31="",0,Septembre!AG31)</f>
        <v>0</v>
      </c>
      <c r="DZ29" s="16">
        <f>+IF(Septembre!AJ31="",0,Septembre!AJ31)</f>
        <v>0</v>
      </c>
      <c r="EA29" s="16">
        <f>+IF(Septembre!AM31="",0,Septembre!AM31)</f>
        <v>0</v>
      </c>
      <c r="EB29" s="16">
        <f t="shared" si="25"/>
        <v>0</v>
      </c>
      <c r="ED29" s="16">
        <f t="shared" si="26"/>
        <v>0</v>
      </c>
      <c r="EE29" s="16">
        <f t="shared" si="17"/>
        <v>0</v>
      </c>
      <c r="EF29" s="30" t="str">
        <f t="shared" si="18"/>
        <v/>
      </c>
      <c r="EG29" s="30" t="str">
        <f t="shared" si="27"/>
        <v/>
      </c>
      <c r="EH29" s="16">
        <f t="shared" si="28"/>
        <v>0</v>
      </c>
      <c r="EI29" s="30"/>
      <c r="EJ29" s="30">
        <f t="shared" si="19"/>
        <v>46277</v>
      </c>
      <c r="EM29" s="16" t="str">
        <f t="shared" si="29"/>
        <v>Fiche infoA646277</v>
      </c>
      <c r="EN29" s="16">
        <f t="shared" si="20"/>
        <v>0</v>
      </c>
      <c r="EQ29" s="16" t="str">
        <f>Septembre!FS31</f>
        <v/>
      </c>
    </row>
    <row r="30" spans="1:147" ht="18" customHeight="1" x14ac:dyDescent="0.25">
      <c r="A30" s="24" t="str">
        <f>+Septembre!BJ32</f>
        <v>Fiche infoA7</v>
      </c>
      <c r="B30" s="107">
        <f t="shared" si="30"/>
        <v>46278</v>
      </c>
      <c r="C30" s="170">
        <f>+$D$13+12</f>
        <v>46278</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Septembre!BC32</f>
        <v>0</v>
      </c>
      <c r="J30" s="34">
        <f>Septembre!BE32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46266</v>
      </c>
      <c r="AP30" s="2555"/>
      <c r="AQ30" s="2555"/>
      <c r="BA30" s="331" t="str">
        <f t="shared" si="16"/>
        <v>Fiche infoA7</v>
      </c>
      <c r="BB30" s="107">
        <f t="shared" si="31"/>
        <v>46278</v>
      </c>
      <c r="BC30" s="170">
        <f>+$D$13+12</f>
        <v>46278</v>
      </c>
      <c r="BD30" s="171" t="str">
        <f t="shared" si="32"/>
        <v/>
      </c>
      <c r="BE30" s="171" t="str">
        <f>+IF(OR(BF30=S.CAL!$BJ$3,BF30=S.CAL!$BJ$4),BD30,"")</f>
        <v/>
      </c>
      <c r="BF30" s="333">
        <f>IF($DY$5=S.CAL!$CU$2,Septembre!AR32,IF($DY$5=S.CAL!$CU$3,VLOOKUP(BC30,planning_fp,7,FALSE),""))</f>
        <v>0</v>
      </c>
      <c r="BG30" s="345" t="str">
        <f>Septembre!BL32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46278</v>
      </c>
      <c r="CF30" s="170">
        <f>+$D$13+12</f>
        <v>46278</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IF(+Septembre!AG32="",0,Septembre!AG32)</f>
        <v>0</v>
      </c>
      <c r="DZ30" s="16">
        <f>+IF(Septembre!AJ32="",0,Septembre!AJ32)</f>
        <v>0</v>
      </c>
      <c r="EA30" s="16">
        <f>+IF(Septembre!AM32="",0,Septembre!AM32)</f>
        <v>0</v>
      </c>
      <c r="EB30" s="16">
        <f t="shared" si="25"/>
        <v>0</v>
      </c>
      <c r="ED30" s="16">
        <f t="shared" si="26"/>
        <v>0</v>
      </c>
      <c r="EE30" s="16">
        <f t="shared" si="17"/>
        <v>0</v>
      </c>
      <c r="EF30" s="30" t="str">
        <f t="shared" si="18"/>
        <v/>
      </c>
      <c r="EG30" s="30" t="str">
        <f t="shared" si="27"/>
        <v/>
      </c>
      <c r="EH30" s="16">
        <f t="shared" si="28"/>
        <v>0</v>
      </c>
      <c r="EI30" s="30"/>
      <c r="EJ30" s="30">
        <f t="shared" si="19"/>
        <v>46278</v>
      </c>
      <c r="EM30" s="16" t="str">
        <f t="shared" si="29"/>
        <v>Fiche infoA746278</v>
      </c>
      <c r="EN30" s="16">
        <f t="shared" si="20"/>
        <v>0</v>
      </c>
      <c r="EQ30" s="16" t="str">
        <f>Septembre!FS32</f>
        <v/>
      </c>
    </row>
    <row r="31" spans="1:147" ht="18" customHeight="1" x14ac:dyDescent="0.2">
      <c r="A31" s="24" t="str">
        <f>+Septembre!BJ33</f>
        <v>Fiche infoA1</v>
      </c>
      <c r="B31" s="107">
        <f t="shared" si="30"/>
        <v>46279</v>
      </c>
      <c r="C31" s="170">
        <f>+$D$13+13</f>
        <v>46279</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Septembre!BC33</f>
        <v>0</v>
      </c>
      <c r="J31" s="34">
        <f>Septembre!BE33</f>
        <v>0</v>
      </c>
      <c r="K31" s="34">
        <f t="shared" si="15"/>
        <v>0</v>
      </c>
      <c r="L31" s="34" t="str">
        <f t="shared" si="21"/>
        <v/>
      </c>
      <c r="AL31" s="563" t="s">
        <v>342</v>
      </c>
      <c r="BA31" s="331" t="str">
        <f t="shared" si="16"/>
        <v>Fiche infoA1</v>
      </c>
      <c r="BB31" s="107">
        <f t="shared" si="31"/>
        <v>46279</v>
      </c>
      <c r="BC31" s="170">
        <f>+$D$13+13</f>
        <v>46279</v>
      </c>
      <c r="BD31" s="171" t="str">
        <f t="shared" si="32"/>
        <v/>
      </c>
      <c r="BE31" s="171" t="str">
        <f>+IF(OR(BF31=S.CAL!$BJ$3,BF31=S.CAL!$BJ$4),BD31,"")</f>
        <v/>
      </c>
      <c r="BF31" s="333">
        <f>IF($DY$5=S.CAL!$CU$2,Septembre!AR33,IF($DY$5=S.CAL!$CU$3,VLOOKUP(BC31,planning_fp,7,FALSE),""))</f>
        <v>0</v>
      </c>
      <c r="BG31" s="345" t="str">
        <f>Septembre!BL33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46279</v>
      </c>
      <c r="CF31" s="170">
        <f>+$D$13+13</f>
        <v>46279</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IF(+Septembre!AG33="",0,Septembre!AG33)</f>
        <v>0</v>
      </c>
      <c r="DZ31" s="16">
        <f>+IF(Septembre!AJ33="",0,Septembre!AJ33)</f>
        <v>0</v>
      </c>
      <c r="EA31" s="16">
        <f>+IF(Septembre!AM33="",0,Septembre!AM33)</f>
        <v>0</v>
      </c>
      <c r="EB31" s="16">
        <f t="shared" si="25"/>
        <v>0</v>
      </c>
      <c r="ED31" s="16">
        <f t="shared" si="26"/>
        <v>0</v>
      </c>
      <c r="EE31" s="16">
        <f t="shared" si="17"/>
        <v>0</v>
      </c>
      <c r="EF31" s="30" t="str">
        <f t="shared" si="18"/>
        <v/>
      </c>
      <c r="EG31" s="30" t="str">
        <f t="shared" si="27"/>
        <v/>
      </c>
      <c r="EH31" s="16">
        <f t="shared" si="28"/>
        <v>0</v>
      </c>
      <c r="EI31" s="30"/>
      <c r="EJ31" s="30">
        <f t="shared" si="19"/>
        <v>46279</v>
      </c>
      <c r="EM31" s="16" t="str">
        <f t="shared" si="29"/>
        <v>Fiche infoA146279</v>
      </c>
      <c r="EN31" s="16">
        <f t="shared" si="20"/>
        <v>0</v>
      </c>
      <c r="EQ31" s="16" t="str">
        <f>Septembre!FS33</f>
        <v/>
      </c>
    </row>
    <row r="32" spans="1:147" ht="18" customHeight="1" x14ac:dyDescent="0.2">
      <c r="A32" s="24" t="str">
        <f>+Septembre!BJ34</f>
        <v>Fiche infoA2</v>
      </c>
      <c r="B32" s="107">
        <f t="shared" si="30"/>
        <v>46280</v>
      </c>
      <c r="C32" s="170">
        <f>+$D$13+14</f>
        <v>46280</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Septembre!BC34</f>
        <v>0</v>
      </c>
      <c r="J32" s="34">
        <f>Septembre!BE34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infoA2</v>
      </c>
      <c r="BB32" s="107">
        <f t="shared" si="31"/>
        <v>46280</v>
      </c>
      <c r="BC32" s="170">
        <f>+$D$13+14</f>
        <v>46280</v>
      </c>
      <c r="BD32" s="171" t="str">
        <f t="shared" si="32"/>
        <v/>
      </c>
      <c r="BE32" s="171" t="str">
        <f>+IF(OR(BF32=S.CAL!$BJ$3,BF32=S.CAL!$BJ$4),BD32,"")</f>
        <v/>
      </c>
      <c r="BF32" s="333">
        <f>IF($DY$5=S.CAL!$CU$2,Septembre!AR34,IF($DY$5=S.CAL!$CU$3,VLOOKUP(BC32,planning_fp,7,FALSE),""))</f>
        <v>0</v>
      </c>
      <c r="BG32" s="345" t="str">
        <f>Septembre!BL34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46280</v>
      </c>
      <c r="CF32" s="170">
        <f>+$D$13+14</f>
        <v>46280</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IF(+Septembre!AG34="",0,Septembre!AG34)</f>
        <v>0</v>
      </c>
      <c r="DZ32" s="16">
        <f>+IF(Septembre!AJ34="",0,Septembre!AJ34)</f>
        <v>0</v>
      </c>
      <c r="EA32" s="16">
        <f>+IF(Septembre!AM34="",0,Septembre!AM34)</f>
        <v>0</v>
      </c>
      <c r="EB32" s="16">
        <f t="shared" si="25"/>
        <v>0</v>
      </c>
      <c r="ED32" s="16">
        <f t="shared" si="26"/>
        <v>0</v>
      </c>
      <c r="EE32" s="16">
        <f t="shared" si="17"/>
        <v>0</v>
      </c>
      <c r="EF32" s="30" t="str">
        <f t="shared" si="18"/>
        <v/>
      </c>
      <c r="EG32" s="30" t="str">
        <f t="shared" si="27"/>
        <v/>
      </c>
      <c r="EH32" s="16">
        <f t="shared" si="28"/>
        <v>0</v>
      </c>
      <c r="EI32" s="30"/>
      <c r="EJ32" s="30">
        <f t="shared" si="19"/>
        <v>46280</v>
      </c>
      <c r="EM32" s="16" t="str">
        <f t="shared" si="29"/>
        <v>Fiche infoA246280</v>
      </c>
      <c r="EN32" s="16">
        <f t="shared" si="20"/>
        <v>0</v>
      </c>
      <c r="EQ32" s="16" t="str">
        <f>Septembre!FS34</f>
        <v/>
      </c>
    </row>
    <row r="33" spans="1:147" ht="18" customHeight="1" x14ac:dyDescent="0.2">
      <c r="A33" s="24" t="str">
        <f>+Septembre!BJ35</f>
        <v>Fiche infoA3</v>
      </c>
      <c r="B33" s="107">
        <f t="shared" si="30"/>
        <v>46281</v>
      </c>
      <c r="C33" s="170">
        <f>+$D$13+15</f>
        <v>46281</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Septembre!BC35</f>
        <v>0</v>
      </c>
      <c r="J33" s="34">
        <f>Septembre!BE35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infoA3</v>
      </c>
      <c r="BB33" s="107">
        <f t="shared" si="31"/>
        <v>46281</v>
      </c>
      <c r="BC33" s="170">
        <f>+$D$13+15</f>
        <v>46281</v>
      </c>
      <c r="BD33" s="171" t="str">
        <f t="shared" si="32"/>
        <v/>
      </c>
      <c r="BE33" s="171" t="str">
        <f>+IF(OR(BF33=S.CAL!$BJ$3,BF33=S.CAL!$BJ$4),BD33,"")</f>
        <v/>
      </c>
      <c r="BF33" s="333">
        <f>IF($DY$5=S.CAL!$CU$2,Septembre!AR35,IF($DY$5=S.CAL!$CU$3,VLOOKUP(BC33,planning_fp,7,FALSE),""))</f>
        <v>0</v>
      </c>
      <c r="BG33" s="345" t="str">
        <f>Septembre!BL35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46281</v>
      </c>
      <c r="CF33" s="170">
        <f>+$D$13+15</f>
        <v>46281</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IF(+Septembre!AG35="",0,Septembre!AG35)</f>
        <v>0</v>
      </c>
      <c r="DZ33" s="16">
        <f>+IF(Septembre!AJ35="",0,Septembre!AJ35)</f>
        <v>0</v>
      </c>
      <c r="EA33" s="16">
        <f>+IF(Septembre!AM35="",0,Septembre!AM35)</f>
        <v>0</v>
      </c>
      <c r="EB33" s="16">
        <f t="shared" si="25"/>
        <v>0</v>
      </c>
      <c r="ED33" s="16">
        <f t="shared" si="26"/>
        <v>0</v>
      </c>
      <c r="EE33" s="16">
        <f t="shared" si="17"/>
        <v>0</v>
      </c>
      <c r="EF33" s="30" t="str">
        <f t="shared" si="18"/>
        <v/>
      </c>
      <c r="EG33" s="30" t="str">
        <f t="shared" si="27"/>
        <v/>
      </c>
      <c r="EH33" s="16">
        <f t="shared" si="28"/>
        <v>0</v>
      </c>
      <c r="EI33" s="30"/>
      <c r="EJ33" s="30">
        <f t="shared" si="19"/>
        <v>46281</v>
      </c>
      <c r="EM33" s="16" t="str">
        <f t="shared" si="29"/>
        <v>Fiche infoA346281</v>
      </c>
      <c r="EN33" s="16">
        <f t="shared" si="20"/>
        <v>0</v>
      </c>
      <c r="EQ33" s="16" t="str">
        <f>Septembre!FS35</f>
        <v/>
      </c>
    </row>
    <row r="34" spans="1:147" ht="18" customHeight="1" x14ac:dyDescent="0.2">
      <c r="A34" s="24" t="str">
        <f>+Septembre!BJ36</f>
        <v>Fiche infoA4</v>
      </c>
      <c r="B34" s="107">
        <f t="shared" si="30"/>
        <v>46282</v>
      </c>
      <c r="C34" s="170">
        <f>+$D$13+16</f>
        <v>46282</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Septembre!BC36</f>
        <v>0</v>
      </c>
      <c r="J34" s="34">
        <f>Septembre!BE36</f>
        <v>0</v>
      </c>
      <c r="K34" s="34">
        <f t="shared" si="15"/>
        <v>0</v>
      </c>
      <c r="L34" s="34" t="str">
        <f t="shared" si="21"/>
        <v/>
      </c>
      <c r="N34" s="377"/>
      <c r="O34" s="377"/>
      <c r="P34" s="377"/>
      <c r="Q34" s="377"/>
      <c r="R34" s="377"/>
      <c r="T34" s="563">
        <f>+IF(AD34=0,V34,0)</f>
        <v>0</v>
      </c>
      <c r="U34" s="1301" t="str">
        <f>+Septembre!AU4</f>
        <v>A</v>
      </c>
      <c r="V34" s="1301">
        <f>IFERROR(+VLOOKUP(U34,U35:AB39,7,FALSE),"")</f>
        <v>0</v>
      </c>
      <c r="W34" s="2538" t="str">
        <f>Septembre!BS28</f>
        <v>Semaine numéro : 36</v>
      </c>
      <c r="X34" s="2538"/>
      <c r="Y34" s="2538"/>
      <c r="Z34" s="1323"/>
      <c r="AA34" s="1316">
        <f>+IF(Z34&lt;&gt;"",Z34,IF(T34&gt;0,T34,IF(AND(AD34&gt;0,AC34&gt;0),AD34+AC34,IF(AE34&gt;0,0,AC34))))</f>
        <v>0</v>
      </c>
      <c r="AB34" s="1316">
        <f>IF(AND(AA34&gt;45,AD34=AD48),AA34-45,0)</f>
        <v>0</v>
      </c>
      <c r="AC34" s="1322">
        <f>+SUMIF(Septembre!$BK$20:$BK$50,Septembre!AT4,$D$18:$D$48)</f>
        <v>0</v>
      </c>
      <c r="AD34" s="1322">
        <f>+SUMIF(Aout!$BK$20:$BK$50,Septembre!AT4,'Retenue Aout'!$D$18:$D$48)</f>
        <v>0</v>
      </c>
      <c r="AE34" s="1322">
        <f>+SUMIF(Octobre!$BK$20:$BK$50,Septembre!AT4,'Retenue Oct'!$D$18:$D$48)</f>
        <v>0</v>
      </c>
      <c r="AF34" s="1316">
        <f>+AC34-AB34</f>
        <v>0</v>
      </c>
      <c r="AK34" s="1189" t="s">
        <v>324</v>
      </c>
      <c r="AL34" s="1302" t="e">
        <f>IF(AL32,+AL24/AL32,0)</f>
        <v>#VALUE!</v>
      </c>
      <c r="BA34" s="331" t="str">
        <f t="shared" si="16"/>
        <v>Fiche infoA4</v>
      </c>
      <c r="BB34" s="107">
        <f t="shared" si="31"/>
        <v>46282</v>
      </c>
      <c r="BC34" s="170">
        <f>+$D$13+16</f>
        <v>46282</v>
      </c>
      <c r="BD34" s="171" t="str">
        <f t="shared" si="32"/>
        <v/>
      </c>
      <c r="BE34" s="171" t="str">
        <f>+IF(OR(BF34=S.CAL!$BJ$3,BF34=S.CAL!$BJ$4),BD34,"")</f>
        <v/>
      </c>
      <c r="BF34" s="333">
        <f>IF($DY$5=S.CAL!$CU$2,Septembre!AR36,IF($DY$5=S.CAL!$CU$3,VLOOKUP(BC34,planning_fp,7,FALSE),""))</f>
        <v>0</v>
      </c>
      <c r="BG34" s="345" t="str">
        <f>Septembre!BL36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46282</v>
      </c>
      <c r="CF34" s="170">
        <f>+$D$13+16</f>
        <v>46282</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IF(+Septembre!AG36="",0,Septembre!AG36)</f>
        <v>0</v>
      </c>
      <c r="DZ34" s="16">
        <f>+IF(Septembre!AJ36="",0,Septembre!AJ36)</f>
        <v>0</v>
      </c>
      <c r="EA34" s="16">
        <f>+IF(Septembre!AM36="",0,Septembre!AM36)</f>
        <v>0</v>
      </c>
      <c r="EB34" s="16">
        <f t="shared" si="25"/>
        <v>0</v>
      </c>
      <c r="ED34" s="16">
        <f t="shared" si="26"/>
        <v>0</v>
      </c>
      <c r="EE34" s="16">
        <f t="shared" si="17"/>
        <v>0</v>
      </c>
      <c r="EF34" s="30" t="str">
        <f t="shared" si="18"/>
        <v/>
      </c>
      <c r="EG34" s="30" t="str">
        <f t="shared" si="27"/>
        <v/>
      </c>
      <c r="EH34" s="16">
        <f t="shared" si="28"/>
        <v>0</v>
      </c>
      <c r="EI34" s="30"/>
      <c r="EJ34" s="30">
        <f t="shared" si="19"/>
        <v>46282</v>
      </c>
      <c r="EM34" s="16" t="str">
        <f t="shared" si="29"/>
        <v>Fiche infoA446282</v>
      </c>
      <c r="EN34" s="16">
        <f t="shared" si="20"/>
        <v>0</v>
      </c>
      <c r="EQ34" s="16" t="str">
        <f>Septembre!FS36</f>
        <v/>
      </c>
    </row>
    <row r="35" spans="1:147" ht="18" customHeight="1" x14ac:dyDescent="0.2">
      <c r="A35" s="24" t="str">
        <f>+Septembre!BJ37</f>
        <v>Fiche infoA5</v>
      </c>
      <c r="B35" s="107">
        <f t="shared" si="30"/>
        <v>46283</v>
      </c>
      <c r="C35" s="170">
        <f>+$D$13+17</f>
        <v>46283</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Septembre!BC37</f>
        <v>0</v>
      </c>
      <c r="J35" s="34">
        <f>Septembre!BE37</f>
        <v>0</v>
      </c>
      <c r="K35" s="34">
        <f t="shared" si="15"/>
        <v>0</v>
      </c>
      <c r="L35" s="34" t="str">
        <f t="shared" si="21"/>
        <v/>
      </c>
      <c r="N35" s="377"/>
      <c r="O35" s="861" t="s">
        <v>1198</v>
      </c>
      <c r="P35" s="862"/>
      <c r="Q35" s="862"/>
      <c r="R35" s="858"/>
      <c r="T35" s="563">
        <f>+IF(AD35=0,V35,0)</f>
        <v>0</v>
      </c>
      <c r="U35" s="1301" t="str">
        <f>+Septembre!AU5</f>
        <v>A</v>
      </c>
      <c r="V35" s="1301">
        <f>IFERROR(+VLOOKUP(U35,U36:AB39,7,FALSE),"")</f>
        <v>0</v>
      </c>
      <c r="W35" s="2538" t="str">
        <f>Septembre!BS29</f>
        <v>Semaine numéro : 37</v>
      </c>
      <c r="X35" s="2538"/>
      <c r="Y35" s="2538"/>
      <c r="Z35" s="1323"/>
      <c r="AA35" s="1316">
        <f>+IF(Z35&lt;&gt;"",Z35,IF(T35&gt;0,T35,IF(AND(AD35&gt;0,AC35&gt;0),AD35+AC35,IF(AE35&gt;0,0,AC35))))</f>
        <v>0</v>
      </c>
      <c r="AB35" s="1316">
        <f t="shared" ref="AB35:AB39" si="44">IF(AND(AA35&gt;45,AD35=AD49),AA35-45,0)</f>
        <v>0</v>
      </c>
      <c r="AC35" s="1322">
        <f>+SUMIF(Septembre!$BK$20:$BK$50,Septembre!AT5,$D$18:$D$48)</f>
        <v>0</v>
      </c>
      <c r="AD35" s="1322">
        <f>+SUMIF(Aout!$BK$20:$BK$50,Septembre!AT5,'Retenue Aout'!$D$18:$D$48)</f>
        <v>0</v>
      </c>
      <c r="AE35" s="1322">
        <f>+SUMIF(Octobre!$BK$20:$BK$50,Septembre!AT5,'Retenue Oct'!$D$18:$D$48)</f>
        <v>0</v>
      </c>
      <c r="AF35" s="1316">
        <f t="shared" ref="AF35:AF39" si="45">+AC35-AB35</f>
        <v>0</v>
      </c>
      <c r="AK35" s="1189"/>
      <c r="AL35" s="1302"/>
      <c r="BA35" s="331" t="str">
        <f t="shared" si="16"/>
        <v>Fiche infoA5</v>
      </c>
      <c r="BB35" s="107">
        <f t="shared" si="31"/>
        <v>46283</v>
      </c>
      <c r="BC35" s="170">
        <f>+$D$13+17</f>
        <v>46283</v>
      </c>
      <c r="BD35" s="171" t="str">
        <f t="shared" si="32"/>
        <v/>
      </c>
      <c r="BE35" s="171" t="str">
        <f>+IF(OR(BF35=S.CAL!$BJ$3,BF35=S.CAL!$BJ$4),BD35,"")</f>
        <v/>
      </c>
      <c r="BF35" s="333">
        <f>IF($DY$5=S.CAL!$CU$2,Septembre!AR37,IF($DY$5=S.CAL!$CU$3,VLOOKUP(BC35,planning_fp,7,FALSE),""))</f>
        <v>0</v>
      </c>
      <c r="BG35" s="345" t="str">
        <f>Septembre!BL37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46283</v>
      </c>
      <c r="CF35" s="170">
        <f>+$D$13+17</f>
        <v>46283</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IF(+Septembre!AG37="",0,Septembre!AG37)</f>
        <v>0</v>
      </c>
      <c r="DZ35" s="16">
        <f>+IF(Septembre!AJ37="",0,Septembre!AJ37)</f>
        <v>0</v>
      </c>
      <c r="EA35" s="16">
        <f>+IF(Septembre!AM37="",0,Septembre!AM37)</f>
        <v>0</v>
      </c>
      <c r="EB35" s="16">
        <f t="shared" si="25"/>
        <v>0</v>
      </c>
      <c r="ED35" s="16">
        <f t="shared" si="26"/>
        <v>0</v>
      </c>
      <c r="EE35" s="16">
        <f t="shared" si="17"/>
        <v>0</v>
      </c>
      <c r="EF35" s="30" t="str">
        <f t="shared" si="18"/>
        <v/>
      </c>
      <c r="EG35" s="30" t="str">
        <f t="shared" si="27"/>
        <v/>
      </c>
      <c r="EH35" s="16">
        <f t="shared" si="28"/>
        <v>0</v>
      </c>
      <c r="EI35" s="30"/>
      <c r="EJ35" s="30">
        <f t="shared" si="19"/>
        <v>46283</v>
      </c>
      <c r="EM35" s="16" t="str">
        <f t="shared" si="29"/>
        <v>Fiche infoA546283</v>
      </c>
      <c r="EN35" s="16">
        <f t="shared" si="20"/>
        <v>0</v>
      </c>
      <c r="EQ35" s="16" t="str">
        <f>Septembre!FS37</f>
        <v/>
      </c>
    </row>
    <row r="36" spans="1:147" ht="18" customHeight="1" x14ac:dyDescent="0.2">
      <c r="A36" s="24" t="str">
        <f>+Septembre!BJ38</f>
        <v>Fiche infoA6</v>
      </c>
      <c r="B36" s="107">
        <f t="shared" si="30"/>
        <v>46284</v>
      </c>
      <c r="C36" s="170">
        <f>+$D$13+18</f>
        <v>46284</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Septembre!BC38</f>
        <v>0</v>
      </c>
      <c r="J36" s="34">
        <f>Septembre!BE38</f>
        <v>0</v>
      </c>
      <c r="K36" s="34">
        <f t="shared" si="15"/>
        <v>0</v>
      </c>
      <c r="L36" s="34" t="str">
        <f t="shared" si="21"/>
        <v/>
      </c>
      <c r="N36" s="377"/>
      <c r="O36" s="468"/>
      <c r="P36" s="469" t="str">
        <f>+E11&amp;" / ( "&amp;E10&amp;" + "&amp;E11&amp;" ) ="</f>
        <v>0 / ( 0 + 0 ) =</v>
      </c>
      <c r="Q36" s="468" t="e">
        <f>+ROUND(E11/(E11+E10),6)</f>
        <v>#DIV/0!</v>
      </c>
      <c r="R36" s="377"/>
      <c r="U36" s="1301" t="str">
        <f>+Septembre!AU6</f>
        <v>A</v>
      </c>
      <c r="V36" s="1301"/>
      <c r="W36" s="2538" t="str">
        <f>Septembre!BS30</f>
        <v>Semaine numéro : 38</v>
      </c>
      <c r="X36" s="2538"/>
      <c r="Y36" s="2538"/>
      <c r="Z36" s="1323"/>
      <c r="AA36" s="1316">
        <f t="shared" ref="AA36:AA39" si="46">+IF(Z36="",IF(AND(AD36&gt;0,AC36&gt;0),AD36+AC36,IF(AE36&gt;0,0,AC36)),Z36)</f>
        <v>0</v>
      </c>
      <c r="AB36" s="1316">
        <f t="shared" si="44"/>
        <v>0</v>
      </c>
      <c r="AC36" s="1322">
        <f>+SUMIF(Septembre!$BK$20:$BK$50,Septembre!AT6,$D$18:$D$48)</f>
        <v>0</v>
      </c>
      <c r="AD36" s="1322">
        <f>+SUMIF(Aout!$BK$20:$BK$50,Septembre!AT6,'Retenue Aout'!$D$18:$D$48)</f>
        <v>0</v>
      </c>
      <c r="AE36" s="1322">
        <f>+SUMIF(Octobre!$BK$20:$BK$50,Septembre!AT6,'Retenue Oct'!$D$18:$D$48)</f>
        <v>0</v>
      </c>
      <c r="AF36" s="1316">
        <f t="shared" si="45"/>
        <v>0</v>
      </c>
      <c r="AK36" s="1189"/>
      <c r="AL36" s="1302"/>
      <c r="BA36" s="331" t="str">
        <f t="shared" si="16"/>
        <v>Fiche infoA6</v>
      </c>
      <c r="BB36" s="107">
        <f t="shared" si="31"/>
        <v>46284</v>
      </c>
      <c r="BC36" s="170">
        <f>+$D$13+18</f>
        <v>46284</v>
      </c>
      <c r="BD36" s="171" t="str">
        <f t="shared" si="32"/>
        <v/>
      </c>
      <c r="BE36" s="171" t="str">
        <f>+IF(OR(BF36=S.CAL!$BJ$3,BF36=S.CAL!$BJ$4),BD36,"")</f>
        <v/>
      </c>
      <c r="BF36" s="333">
        <f>IF($DY$5=S.CAL!$CU$2,Septembre!AR38,IF($DY$5=S.CAL!$CU$3,VLOOKUP(BC36,planning_fp,7,FALSE),""))</f>
        <v>0</v>
      </c>
      <c r="BG36" s="345" t="str">
        <f>Septembre!BL38</f>
        <v>A</v>
      </c>
      <c r="BH36" s="356"/>
      <c r="BI36" s="357"/>
      <c r="BJ36" s="355"/>
      <c r="BK36" s="355"/>
      <c r="BL36" s="35"/>
      <c r="BS36" s="189"/>
      <c r="BT36" s="342"/>
      <c r="BU36" s="342"/>
      <c r="BV36" s="355"/>
      <c r="BW36" s="355"/>
      <c r="BX36" s="355"/>
      <c r="BY36" s="355"/>
      <c r="BZ36" s="355"/>
      <c r="CA36" s="355"/>
      <c r="CB36" s="355"/>
      <c r="CD36" s="328"/>
      <c r="CE36" s="107">
        <f t="shared" si="33"/>
        <v>46284</v>
      </c>
      <c r="CF36" s="170">
        <f>+$D$13+18</f>
        <v>46284</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IF(+Septembre!AG38="",0,Septembre!AG38)</f>
        <v>0</v>
      </c>
      <c r="DZ36" s="16">
        <f>+IF(Septembre!AJ38="",0,Septembre!AJ38)</f>
        <v>0</v>
      </c>
      <c r="EA36" s="16">
        <f>+IF(Septembre!AM38="",0,Septembre!AM38)</f>
        <v>0</v>
      </c>
      <c r="EB36" s="16">
        <f t="shared" si="25"/>
        <v>0</v>
      </c>
      <c r="ED36" s="16">
        <f t="shared" si="26"/>
        <v>0</v>
      </c>
      <c r="EE36" s="16">
        <f t="shared" si="17"/>
        <v>0</v>
      </c>
      <c r="EF36" s="30" t="str">
        <f t="shared" si="18"/>
        <v/>
      </c>
      <c r="EG36" s="30" t="str">
        <f t="shared" si="27"/>
        <v/>
      </c>
      <c r="EH36" s="16">
        <f t="shared" si="28"/>
        <v>0</v>
      </c>
      <c r="EI36" s="30"/>
      <c r="EJ36" s="30">
        <f t="shared" si="19"/>
        <v>46284</v>
      </c>
      <c r="EM36" s="16" t="str">
        <f t="shared" si="29"/>
        <v>Fiche infoA646284</v>
      </c>
      <c r="EN36" s="16">
        <f t="shared" si="20"/>
        <v>0</v>
      </c>
      <c r="EQ36" s="16" t="str">
        <f>Septembre!FS38</f>
        <v/>
      </c>
    </row>
    <row r="37" spans="1:147" ht="18" customHeight="1" x14ac:dyDescent="0.2">
      <c r="A37" s="24" t="str">
        <f>+Septembre!BJ39</f>
        <v>Fiche infoA7</v>
      </c>
      <c r="B37" s="107">
        <f t="shared" si="30"/>
        <v>46285</v>
      </c>
      <c r="C37" s="170">
        <f>+$D$13+19</f>
        <v>46285</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Septembre!BC39</f>
        <v>0</v>
      </c>
      <c r="J37" s="34">
        <f>Septembre!BE39</f>
        <v>0</v>
      </c>
      <c r="K37" s="34">
        <f t="shared" si="15"/>
        <v>0</v>
      </c>
      <c r="L37" s="34" t="str">
        <f t="shared" si="21"/>
        <v/>
      </c>
      <c r="N37" s="377"/>
      <c r="O37" s="863"/>
      <c r="P37" s="863"/>
      <c r="Q37" s="863"/>
      <c r="R37" s="377"/>
      <c r="U37" s="1301" t="str">
        <f>+Septembre!AU7</f>
        <v>A</v>
      </c>
      <c r="V37" s="1301"/>
      <c r="W37" s="2538" t="str">
        <f>Septembre!BS31</f>
        <v>Semaine numéro : 39</v>
      </c>
      <c r="X37" s="2538"/>
      <c r="Y37" s="2538"/>
      <c r="Z37" s="1323"/>
      <c r="AA37" s="1316">
        <f t="shared" si="46"/>
        <v>0</v>
      </c>
      <c r="AB37" s="1316">
        <f t="shared" si="44"/>
        <v>0</v>
      </c>
      <c r="AC37" s="1322">
        <f>+SUMIF(Septembre!$BK$20:$BK$50,Septembre!AT7,$D$18:$D$48)</f>
        <v>0</v>
      </c>
      <c r="AD37" s="1322">
        <f>+SUMIF(Aout!$BK$20:$BK$50,Septembre!AT7,'Retenue Aout'!$D$18:$D$48)</f>
        <v>0</v>
      </c>
      <c r="AE37" s="1322">
        <f>+SUMIF(Octobre!$BK$20:$BK$50,Septembre!AT7,'Retenue Oct'!$D$18:$D$48)</f>
        <v>0</v>
      </c>
      <c r="AF37" s="1316">
        <f t="shared" si="45"/>
        <v>0</v>
      </c>
      <c r="AK37" s="1189"/>
      <c r="AL37" s="2553" t="s">
        <v>325</v>
      </c>
      <c r="AM37" s="2553" t="s">
        <v>326</v>
      </c>
      <c r="AN37" s="2554" t="s">
        <v>327</v>
      </c>
      <c r="AO37" s="2553" t="s">
        <v>328</v>
      </c>
      <c r="AP37" s="2553" t="s">
        <v>348</v>
      </c>
      <c r="AQ37" s="2553" t="s">
        <v>349</v>
      </c>
      <c r="BA37" s="331" t="str">
        <f t="shared" si="16"/>
        <v>Fiche infoA7</v>
      </c>
      <c r="BB37" s="107">
        <f t="shared" si="31"/>
        <v>46285</v>
      </c>
      <c r="BC37" s="170">
        <f>+$D$13+19</f>
        <v>46285</v>
      </c>
      <c r="BD37" s="171" t="str">
        <f t="shared" si="32"/>
        <v/>
      </c>
      <c r="BE37" s="171" t="str">
        <f>+IF(OR(BF37=S.CAL!$BJ$3,BF37=S.CAL!$BJ$4),BD37,"")</f>
        <v/>
      </c>
      <c r="BF37" s="333">
        <f>IF($DY$5=S.CAL!$CU$2,Septembre!AR39,IF($DY$5=S.CAL!$CU$3,VLOOKUP(BC37,planning_fp,7,FALSE),""))</f>
        <v>0</v>
      </c>
      <c r="BG37" s="345" t="str">
        <f>Septembre!BL39</f>
        <v>A</v>
      </c>
      <c r="BH37" s="355"/>
      <c r="BI37" s="355"/>
      <c r="BJ37" s="355"/>
      <c r="BK37" s="355"/>
      <c r="BL37" s="35"/>
      <c r="BO37" s="29"/>
      <c r="BP37" s="34"/>
      <c r="BS37" s="189"/>
      <c r="BT37" s="189"/>
      <c r="BV37" s="355"/>
      <c r="BW37" s="355"/>
      <c r="BX37" s="355"/>
      <c r="BY37" s="355"/>
      <c r="BZ37" s="355"/>
      <c r="CA37" s="355"/>
      <c r="CB37" s="355"/>
      <c r="CD37" s="328"/>
      <c r="CE37" s="107">
        <f t="shared" si="33"/>
        <v>46285</v>
      </c>
      <c r="CF37" s="170">
        <f>+$D$13+19</f>
        <v>46285</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IF(+Septembre!AG39="",0,Septembre!AG39)</f>
        <v>0</v>
      </c>
      <c r="DZ37" s="16">
        <f>+IF(Septembre!AJ39="",0,Septembre!AJ39)</f>
        <v>0</v>
      </c>
      <c r="EA37" s="16">
        <f>+IF(Septembre!AM39="",0,Septembre!AM39)</f>
        <v>0</v>
      </c>
      <c r="EB37" s="16">
        <f t="shared" si="25"/>
        <v>0</v>
      </c>
      <c r="ED37" s="16">
        <f t="shared" si="26"/>
        <v>0</v>
      </c>
      <c r="EE37" s="16">
        <f t="shared" si="17"/>
        <v>0</v>
      </c>
      <c r="EF37" s="30" t="str">
        <f t="shared" si="18"/>
        <v/>
      </c>
      <c r="EG37" s="30" t="str">
        <f t="shared" si="27"/>
        <v/>
      </c>
      <c r="EH37" s="16">
        <f t="shared" si="28"/>
        <v>0</v>
      </c>
      <c r="EI37" s="30"/>
      <c r="EJ37" s="30">
        <f t="shared" si="19"/>
        <v>46285</v>
      </c>
      <c r="EM37" s="16" t="str">
        <f t="shared" si="29"/>
        <v>Fiche infoA746285</v>
      </c>
      <c r="EN37" s="16">
        <f t="shared" si="20"/>
        <v>0</v>
      </c>
      <c r="EQ37" s="16" t="str">
        <f>Septembre!FS39</f>
        <v/>
      </c>
    </row>
    <row r="38" spans="1:147" ht="18" customHeight="1" x14ac:dyDescent="0.2">
      <c r="A38" s="24" t="str">
        <f>+Septembre!BJ40</f>
        <v>Fiche infoA1</v>
      </c>
      <c r="B38" s="107">
        <f t="shared" si="30"/>
        <v>46286</v>
      </c>
      <c r="C38" s="170">
        <f>+$D$13+20</f>
        <v>46286</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Septembre!BC40</f>
        <v>0</v>
      </c>
      <c r="J38" s="34">
        <f>Septembre!BE40</f>
        <v>0</v>
      </c>
      <c r="K38" s="34">
        <f t="shared" si="15"/>
        <v>0</v>
      </c>
      <c r="L38" s="34" t="str">
        <f t="shared" si="21"/>
        <v/>
      </c>
      <c r="N38" s="377"/>
      <c r="O38" s="864" t="s">
        <v>1445</v>
      </c>
      <c r="P38" s="864"/>
      <c r="Q38" s="864"/>
      <c r="R38" s="860"/>
      <c r="U38" s="1301" t="str">
        <f>+Septembre!AU8</f>
        <v>A</v>
      </c>
      <c r="V38" s="1301"/>
      <c r="W38" s="2538" t="str">
        <f>Septembre!BS32</f>
        <v>Semaine numéro : 40</v>
      </c>
      <c r="X38" s="2538"/>
      <c r="Y38" s="2538"/>
      <c r="Z38" s="1323"/>
      <c r="AA38" s="1316">
        <f t="shared" si="46"/>
        <v>0</v>
      </c>
      <c r="AB38" s="1316">
        <f t="shared" si="44"/>
        <v>0</v>
      </c>
      <c r="AC38" s="1322">
        <f>+SUMIF(Septembre!$BK$20:$BK$50,Septembre!AT8,$D$18:$D$48)</f>
        <v>0</v>
      </c>
      <c r="AD38" s="1322">
        <f>+SUMIF(Aout!$BK$20:$BK$50,Septembre!AT8,'Retenue Aout'!$D$18:$D$48)</f>
        <v>0</v>
      </c>
      <c r="AE38" s="1322">
        <f>+SUMIF(Octobre!$BK$20:$BK$50,Septembre!AT8,'Retenue Oct'!$D$18:$D$48)</f>
        <v>0</v>
      </c>
      <c r="AF38" s="1316">
        <f t="shared" si="45"/>
        <v>0</v>
      </c>
      <c r="AL38" s="2553"/>
      <c r="AM38" s="2553"/>
      <c r="AN38" s="2554"/>
      <c r="AO38" s="2553"/>
      <c r="AP38" s="2553"/>
      <c r="AQ38" s="2553"/>
      <c r="BA38" s="331" t="str">
        <f t="shared" si="16"/>
        <v>Fiche infoA1</v>
      </c>
      <c r="BB38" s="107">
        <f t="shared" si="31"/>
        <v>46286</v>
      </c>
      <c r="BC38" s="170">
        <f>+$D$13+20</f>
        <v>46286</v>
      </c>
      <c r="BD38" s="171" t="str">
        <f t="shared" si="32"/>
        <v/>
      </c>
      <c r="BE38" s="171" t="str">
        <f>+IF(OR(BF38=S.CAL!$BJ$3,BF38=S.CAL!$BJ$4),BD38,"")</f>
        <v/>
      </c>
      <c r="BF38" s="333">
        <f>IF($DY$5=S.CAL!$CU$2,Septembre!AR40,IF($DY$5=S.CAL!$CU$3,VLOOKUP(BC38,planning_fp,7,FALSE),""))</f>
        <v>0</v>
      </c>
      <c r="BG38" s="345" t="str">
        <f>Septembre!BL40</f>
        <v>A</v>
      </c>
      <c r="BH38" s="355"/>
      <c r="BI38" s="355"/>
      <c r="BJ38" s="355"/>
      <c r="BK38" s="355"/>
      <c r="BL38" s="35"/>
      <c r="BO38" s="29"/>
      <c r="BP38" s="34"/>
      <c r="BS38" s="189"/>
      <c r="BT38" s="189"/>
      <c r="BV38" s="355"/>
      <c r="BW38" s="355"/>
      <c r="BX38" s="355"/>
      <c r="BY38" s="355"/>
      <c r="BZ38" s="355"/>
      <c r="CA38" s="355"/>
      <c r="CB38" s="355"/>
      <c r="CD38" s="328"/>
      <c r="CE38" s="107">
        <f t="shared" si="33"/>
        <v>46286</v>
      </c>
      <c r="CF38" s="170">
        <f>+$D$13+20</f>
        <v>46286</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IF(+Septembre!AG40="",0,Septembre!AG40)</f>
        <v>0</v>
      </c>
      <c r="DZ38" s="16">
        <f>+IF(Septembre!AJ40="",0,Septembre!AJ40)</f>
        <v>0</v>
      </c>
      <c r="EA38" s="16">
        <f>+IF(Septembre!AM40="",0,Septembre!AM40)</f>
        <v>0</v>
      </c>
      <c r="EB38" s="16">
        <f t="shared" si="25"/>
        <v>0</v>
      </c>
      <c r="ED38" s="16">
        <f t="shared" si="26"/>
        <v>0</v>
      </c>
      <c r="EE38" s="16">
        <f t="shared" si="17"/>
        <v>0</v>
      </c>
      <c r="EF38" s="30" t="str">
        <f t="shared" si="18"/>
        <v/>
      </c>
      <c r="EG38" s="30" t="str">
        <f t="shared" si="27"/>
        <v/>
      </c>
      <c r="EH38" s="16">
        <f t="shared" si="28"/>
        <v>0</v>
      </c>
      <c r="EI38" s="30"/>
      <c r="EJ38" s="30">
        <f t="shared" si="19"/>
        <v>46286</v>
      </c>
      <c r="EM38" s="16" t="str">
        <f t="shared" si="29"/>
        <v>Fiche infoA146286</v>
      </c>
      <c r="EN38" s="16">
        <f t="shared" si="20"/>
        <v>0</v>
      </c>
      <c r="EQ38" s="16" t="str">
        <f>Septembre!FS40</f>
        <v/>
      </c>
    </row>
    <row r="39" spans="1:147" ht="18" customHeight="1" x14ac:dyDescent="0.2">
      <c r="A39" s="24" t="str">
        <f>+Septembre!BJ41</f>
        <v>Fiche infoA2</v>
      </c>
      <c r="B39" s="107">
        <f t="shared" si="30"/>
        <v>46287</v>
      </c>
      <c r="C39" s="170">
        <f>+$D$13+21</f>
        <v>46287</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Septembre!BC41</f>
        <v>0</v>
      </c>
      <c r="J39" s="34">
        <f>Septembre!BE41</f>
        <v>0</v>
      </c>
      <c r="K39" s="34">
        <f t="shared" si="15"/>
        <v>0</v>
      </c>
      <c r="L39" s="34" t="str">
        <f t="shared" si="21"/>
        <v/>
      </c>
      <c r="N39" s="377"/>
      <c r="O39" s="468"/>
      <c r="P39" s="469" t="str">
        <f>+E10&amp;" / ( "&amp;E10&amp;" + "&amp;E11&amp;" ) ="</f>
        <v>0 / ( 0 + 0 ) =</v>
      </c>
      <c r="Q39" s="468" t="e">
        <f>ROUND(+E10/(E11+E10),6)</f>
        <v>#DIV/0!</v>
      </c>
      <c r="R39" s="377"/>
      <c r="U39" s="1301" t="str">
        <f>+Septembre!AU9</f>
        <v>A</v>
      </c>
      <c r="V39" s="1301"/>
      <c r="W39" s="2538" t="str">
        <f>Septembre!BS33</f>
        <v xml:space="preserve">Semaine numéro : </v>
      </c>
      <c r="X39" s="2538"/>
      <c r="Y39" s="2538"/>
      <c r="Z39" s="1323"/>
      <c r="AA39" s="1316">
        <f t="shared" si="46"/>
        <v>0</v>
      </c>
      <c r="AB39" s="1316">
        <f t="shared" si="44"/>
        <v>0</v>
      </c>
      <c r="AC39" s="1322">
        <f>+SUMIF(Septembre!$BK$20:$BK$50,Septembre!AT9,$D$18:$D$48)</f>
        <v>0</v>
      </c>
      <c r="AD39" s="1322">
        <f>+SUMIF(Aout!$BK$20:$BK$50,Septembre!AT9,'Retenue Aout'!$D$18:$D$48)</f>
        <v>0</v>
      </c>
      <c r="AE39" s="1322">
        <f>+SUMIF(Octobre!$BK$20:$BK$50,Septembre!AT9,'Retenue Oct'!$D$18:$D$48)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infoA2</v>
      </c>
      <c r="BB39" s="107">
        <f t="shared" si="31"/>
        <v>46287</v>
      </c>
      <c r="BC39" s="170">
        <f>+$D$13+21</f>
        <v>46287</v>
      </c>
      <c r="BD39" s="171" t="str">
        <f t="shared" si="32"/>
        <v/>
      </c>
      <c r="BE39" s="171" t="str">
        <f>+IF(OR(BF39=S.CAL!$BJ$3,BF39=S.CAL!$BJ$4),BD39,"")</f>
        <v/>
      </c>
      <c r="BF39" s="333">
        <f>IF($DY$5=S.CAL!$CU$2,Septembre!AR41,IF($DY$5=S.CAL!$CU$3,VLOOKUP(BC39,planning_fp,7,FALSE),""))</f>
        <v>0</v>
      </c>
      <c r="BG39" s="345" t="str">
        <f>Septembre!BL41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46287</v>
      </c>
      <c r="CF39" s="170">
        <f>+$D$13+21</f>
        <v>46287</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IF(+Septembre!AG41="",0,Septembre!AG41)</f>
        <v>0</v>
      </c>
      <c r="DZ39" s="16">
        <f>+IF(Septembre!AJ41="",0,Septembre!AJ41)</f>
        <v>0</v>
      </c>
      <c r="EA39" s="16">
        <f>+IF(Septembre!AM41="",0,Septembre!AM41)</f>
        <v>0</v>
      </c>
      <c r="EB39" s="16">
        <f t="shared" si="25"/>
        <v>0</v>
      </c>
      <c r="ED39" s="16">
        <f t="shared" si="26"/>
        <v>0</v>
      </c>
      <c r="EE39" s="16">
        <f t="shared" si="17"/>
        <v>0</v>
      </c>
      <c r="EF39" s="30" t="str">
        <f t="shared" si="18"/>
        <v/>
      </c>
      <c r="EG39" s="30" t="str">
        <f t="shared" si="27"/>
        <v/>
      </c>
      <c r="EH39" s="16">
        <f t="shared" si="28"/>
        <v>0</v>
      </c>
      <c r="EI39" s="30"/>
      <c r="EJ39" s="30">
        <f t="shared" si="19"/>
        <v>46287</v>
      </c>
      <c r="EM39" s="16" t="str">
        <f t="shared" si="29"/>
        <v>Fiche infoA246287</v>
      </c>
      <c r="EN39" s="16">
        <f t="shared" si="20"/>
        <v>0</v>
      </c>
      <c r="EQ39" s="16" t="str">
        <f>Septembre!FS41</f>
        <v/>
      </c>
    </row>
    <row r="40" spans="1:147" ht="18" customHeight="1" x14ac:dyDescent="0.2">
      <c r="A40" s="24" t="str">
        <f>+Septembre!BJ42</f>
        <v>Fiche infoA3</v>
      </c>
      <c r="B40" s="107">
        <f t="shared" si="30"/>
        <v>46288</v>
      </c>
      <c r="C40" s="170">
        <f>+$D$13+22</f>
        <v>46288</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Septembre!BC42</f>
        <v>0</v>
      </c>
      <c r="J40" s="34">
        <f>Septembre!BE42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infoA3</v>
      </c>
      <c r="BB40" s="107">
        <f t="shared" si="31"/>
        <v>46288</v>
      </c>
      <c r="BC40" s="170">
        <f>+$D$13+22</f>
        <v>46288</v>
      </c>
      <c r="BD40" s="171" t="str">
        <f t="shared" si="32"/>
        <v/>
      </c>
      <c r="BE40" s="171" t="str">
        <f>+IF(OR(BF40=S.CAL!$BJ$3,BF40=S.CAL!$BJ$4),BD40,"")</f>
        <v/>
      </c>
      <c r="BF40" s="333">
        <f>IF($DY$5=S.CAL!$CU$2,Septembre!AR42,IF($DY$5=S.CAL!$CU$3,VLOOKUP(BC40,planning_fp,7,FALSE),""))</f>
        <v>0</v>
      </c>
      <c r="BG40" s="345" t="str">
        <f>Septembre!BL42</f>
        <v>A</v>
      </c>
      <c r="BH40" s="355"/>
      <c r="BI40" s="355"/>
      <c r="BJ40" s="355"/>
      <c r="BK40" s="355"/>
      <c r="BL40" s="35"/>
      <c r="BN40" s="19"/>
      <c r="BO40" s="39"/>
      <c r="BP40" s="194"/>
      <c r="BV40" s="355"/>
      <c r="BW40" s="355"/>
      <c r="BX40" s="372"/>
      <c r="BY40" s="355"/>
      <c r="BZ40" s="355"/>
      <c r="CA40" s="355"/>
      <c r="CB40" s="355"/>
      <c r="CD40" s="328"/>
      <c r="CE40" s="107">
        <f t="shared" si="33"/>
        <v>46288</v>
      </c>
      <c r="CF40" s="170">
        <f>+$D$13+22</f>
        <v>46288</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IF(+Septembre!AG42="",0,Septembre!AG42)</f>
        <v>0</v>
      </c>
      <c r="DZ40" s="16">
        <f>+IF(Septembre!AJ42="",0,Septembre!AJ42)</f>
        <v>0</v>
      </c>
      <c r="EA40" s="16">
        <f>+IF(Septembre!AM42="",0,Septembre!AM42)</f>
        <v>0</v>
      </c>
      <c r="EB40" s="16">
        <f t="shared" si="25"/>
        <v>0</v>
      </c>
      <c r="ED40" s="16">
        <f t="shared" si="26"/>
        <v>0</v>
      </c>
      <c r="EE40" s="16">
        <f t="shared" si="17"/>
        <v>0</v>
      </c>
      <c r="EF40" s="30" t="str">
        <f t="shared" si="18"/>
        <v/>
      </c>
      <c r="EG40" s="30" t="str">
        <f t="shared" si="27"/>
        <v/>
      </c>
      <c r="EH40" s="16">
        <f t="shared" si="28"/>
        <v>0</v>
      </c>
      <c r="EI40" s="30"/>
      <c r="EJ40" s="30">
        <f t="shared" si="19"/>
        <v>46288</v>
      </c>
      <c r="EM40" s="16" t="str">
        <f t="shared" si="29"/>
        <v>Fiche infoA346288</v>
      </c>
      <c r="EN40" s="16">
        <f t="shared" si="20"/>
        <v>0</v>
      </c>
      <c r="EQ40" s="16" t="str">
        <f>Septembre!FS42</f>
        <v/>
      </c>
    </row>
    <row r="41" spans="1:147" ht="18" customHeight="1" x14ac:dyDescent="0.2">
      <c r="A41" s="24" t="str">
        <f>+Septembre!BJ43</f>
        <v>Fiche infoA4</v>
      </c>
      <c r="B41" s="107">
        <f t="shared" si="30"/>
        <v>46289</v>
      </c>
      <c r="C41" s="170">
        <f>+$D$13+23</f>
        <v>46289</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Septembre!BC43</f>
        <v>0</v>
      </c>
      <c r="J41" s="34">
        <f>Septembre!BE43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infoA4</v>
      </c>
      <c r="BB41" s="107">
        <f t="shared" si="31"/>
        <v>46289</v>
      </c>
      <c r="BC41" s="170">
        <f>+$D$13+23</f>
        <v>46289</v>
      </c>
      <c r="BD41" s="171" t="str">
        <f t="shared" si="32"/>
        <v/>
      </c>
      <c r="BE41" s="171" t="str">
        <f>+IF(OR(BF41=S.CAL!$BJ$3,BF41=S.CAL!$BJ$4),BD41,"")</f>
        <v/>
      </c>
      <c r="BF41" s="333">
        <f>IF($DY$5=S.CAL!$CU$2,Septembre!AR43,IF($DY$5=S.CAL!$CU$3,VLOOKUP(BC41,planning_fp,7,FALSE),""))</f>
        <v>0</v>
      </c>
      <c r="BG41" s="345" t="str">
        <f>Septembre!BL43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46289</v>
      </c>
      <c r="CF41" s="170">
        <f>+$D$13+23</f>
        <v>46289</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IF(+Septembre!AG43="",0,Septembre!AG43)</f>
        <v>0</v>
      </c>
      <c r="DZ41" s="16">
        <f>+IF(Septembre!AJ43="",0,Septembre!AJ43)</f>
        <v>0</v>
      </c>
      <c r="EA41" s="16">
        <f>+IF(Septembre!AM43="",0,Septembre!AM43)</f>
        <v>0</v>
      </c>
      <c r="EB41" s="16">
        <f t="shared" si="25"/>
        <v>0</v>
      </c>
      <c r="ED41" s="16">
        <f t="shared" si="26"/>
        <v>0</v>
      </c>
      <c r="EE41" s="16">
        <f t="shared" si="17"/>
        <v>0</v>
      </c>
      <c r="EF41" s="30" t="str">
        <f t="shared" si="18"/>
        <v/>
      </c>
      <c r="EG41" s="30" t="str">
        <f t="shared" si="27"/>
        <v/>
      </c>
      <c r="EH41" s="16">
        <f t="shared" si="28"/>
        <v>0</v>
      </c>
      <c r="EI41" s="30"/>
      <c r="EJ41" s="30">
        <f t="shared" si="19"/>
        <v>46289</v>
      </c>
      <c r="EM41" s="16" t="str">
        <f t="shared" si="29"/>
        <v>Fiche infoA446289</v>
      </c>
      <c r="EN41" s="16">
        <f t="shared" si="20"/>
        <v>0</v>
      </c>
      <c r="EQ41" s="16" t="str">
        <f>Septembre!FS43</f>
        <v/>
      </c>
    </row>
    <row r="42" spans="1:147" ht="18" customHeight="1" x14ac:dyDescent="0.2">
      <c r="A42" s="24" t="str">
        <f>+Septembre!BJ44</f>
        <v>Fiche infoA5</v>
      </c>
      <c r="B42" s="107">
        <f t="shared" si="30"/>
        <v>46290</v>
      </c>
      <c r="C42" s="170">
        <f>+$D$13+24</f>
        <v>46290</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Septembre!BC44</f>
        <v>0</v>
      </c>
      <c r="J42" s="34">
        <f>Septembre!BE44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infoA5</v>
      </c>
      <c r="BB42" s="107">
        <f t="shared" si="31"/>
        <v>46290</v>
      </c>
      <c r="BC42" s="170">
        <f>+$D$13+24</f>
        <v>46290</v>
      </c>
      <c r="BD42" s="171" t="str">
        <f t="shared" si="32"/>
        <v/>
      </c>
      <c r="BE42" s="171" t="str">
        <f>+IF(OR(BF42=S.CAL!$BJ$3,BF42=S.CAL!$BJ$4),BD42,"")</f>
        <v/>
      </c>
      <c r="BF42" s="333">
        <f>IF($DY$5=S.CAL!$CU$2,Septembre!AR44,IF($DY$5=S.CAL!$CU$3,VLOOKUP(BC42,planning_fp,7,FALSE),""))</f>
        <v>0</v>
      </c>
      <c r="BG42" s="345" t="str">
        <f>Septembre!BL44</f>
        <v>A</v>
      </c>
      <c r="BH42" s="356"/>
      <c r="BI42" s="358"/>
      <c r="BJ42" s="355"/>
      <c r="BK42" s="355"/>
      <c r="BL42" s="35"/>
      <c r="BV42" s="355"/>
      <c r="BW42" s="355"/>
      <c r="BX42" s="355"/>
      <c r="BY42" s="355"/>
      <c r="BZ42" s="355"/>
      <c r="CA42" s="355"/>
      <c r="CB42" s="355"/>
      <c r="CD42" s="328"/>
      <c r="CE42" s="107">
        <f t="shared" si="33"/>
        <v>46290</v>
      </c>
      <c r="CF42" s="170">
        <f>+$D$13+24</f>
        <v>46290</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IF(+Septembre!AG44="",0,Septembre!AG44)</f>
        <v>0</v>
      </c>
      <c r="DZ42" s="16">
        <f>+IF(Septembre!AJ44="",0,Septembre!AJ44)</f>
        <v>0</v>
      </c>
      <c r="EA42" s="16">
        <f>+IF(Septembre!AM44="",0,Septembre!AM44)</f>
        <v>0</v>
      </c>
      <c r="EB42" s="16">
        <f t="shared" si="25"/>
        <v>0</v>
      </c>
      <c r="ED42" s="16">
        <f t="shared" si="26"/>
        <v>0</v>
      </c>
      <c r="EE42" s="16">
        <f t="shared" si="17"/>
        <v>0</v>
      </c>
      <c r="EF42" s="30" t="str">
        <f t="shared" si="18"/>
        <v/>
      </c>
      <c r="EG42" s="30" t="str">
        <f t="shared" si="27"/>
        <v/>
      </c>
      <c r="EH42" s="16">
        <f t="shared" si="28"/>
        <v>0</v>
      </c>
      <c r="EI42" s="30"/>
      <c r="EJ42" s="30">
        <f t="shared" si="19"/>
        <v>46290</v>
      </c>
      <c r="EM42" s="16" t="str">
        <f t="shared" si="29"/>
        <v>Fiche infoA546290</v>
      </c>
      <c r="EN42" s="16">
        <f t="shared" si="20"/>
        <v>0</v>
      </c>
      <c r="EQ42" s="16" t="str">
        <f>Septembre!FS44</f>
        <v/>
      </c>
    </row>
    <row r="43" spans="1:147" ht="18" customHeight="1" x14ac:dyDescent="0.2">
      <c r="A43" s="24" t="str">
        <f>+Septembre!BJ45</f>
        <v>Fiche infoA6</v>
      </c>
      <c r="B43" s="107">
        <f t="shared" si="30"/>
        <v>46291</v>
      </c>
      <c r="C43" s="170">
        <f>+$D$13+25</f>
        <v>46291</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Septembre!BC45</f>
        <v>0</v>
      </c>
      <c r="J43" s="34">
        <f>Septembre!BE45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infoA6</v>
      </c>
      <c r="BB43" s="107">
        <f t="shared" si="31"/>
        <v>46291</v>
      </c>
      <c r="BC43" s="170">
        <f>+$D$13+25</f>
        <v>46291</v>
      </c>
      <c r="BD43" s="171" t="str">
        <f t="shared" si="32"/>
        <v/>
      </c>
      <c r="BE43" s="171" t="str">
        <f>+IF(OR(BF43=S.CAL!$BJ$3,BF43=S.CAL!$BJ$4),BD43,"")</f>
        <v/>
      </c>
      <c r="BF43" s="333">
        <f>IF($DY$5=S.CAL!$CU$2,Septembre!AR45,IF($DY$5=S.CAL!$CU$3,VLOOKUP(BC43,planning_fp,7,FALSE),""))</f>
        <v>0</v>
      </c>
      <c r="BG43" s="345" t="str">
        <f>Septembre!BL45</f>
        <v>A</v>
      </c>
      <c r="BH43" s="24"/>
      <c r="BI43" s="24" t="s">
        <v>696</v>
      </c>
      <c r="BJ43" s="24"/>
      <c r="BK43" s="355"/>
      <c r="BL43" s="35"/>
      <c r="BV43" s="355"/>
      <c r="BW43" s="355"/>
      <c r="BX43" s="355"/>
      <c r="BY43" s="355"/>
      <c r="BZ43" s="355"/>
      <c r="CA43" s="355"/>
      <c r="CB43" s="355"/>
      <c r="CD43" s="328"/>
      <c r="CE43" s="107">
        <f t="shared" si="33"/>
        <v>46291</v>
      </c>
      <c r="CF43" s="170">
        <f>+$D$13+25</f>
        <v>46291</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IF(+Septembre!AG45="",0,Septembre!AG45)</f>
        <v>0</v>
      </c>
      <c r="DZ43" s="16">
        <f>+IF(Septembre!AJ45="",0,Septembre!AJ45)</f>
        <v>0</v>
      </c>
      <c r="EA43" s="16">
        <f>+IF(Septembre!AM45="",0,Septembre!AM45)</f>
        <v>0</v>
      </c>
      <c r="EB43" s="16">
        <f t="shared" si="25"/>
        <v>0</v>
      </c>
      <c r="ED43" s="16">
        <f t="shared" si="26"/>
        <v>0</v>
      </c>
      <c r="EE43" s="16">
        <f t="shared" si="17"/>
        <v>0</v>
      </c>
      <c r="EF43" s="30" t="str">
        <f t="shared" si="18"/>
        <v/>
      </c>
      <c r="EG43" s="30" t="str">
        <f t="shared" si="27"/>
        <v/>
      </c>
      <c r="EH43" s="16">
        <f t="shared" si="28"/>
        <v>0</v>
      </c>
      <c r="EI43" s="30"/>
      <c r="EJ43" s="30">
        <f t="shared" si="19"/>
        <v>46291</v>
      </c>
      <c r="EM43" s="16" t="str">
        <f t="shared" si="29"/>
        <v>Fiche infoA646291</v>
      </c>
      <c r="EN43" s="16">
        <f t="shared" si="20"/>
        <v>0</v>
      </c>
      <c r="EQ43" s="16" t="str">
        <f>Septembre!FS45</f>
        <v/>
      </c>
    </row>
    <row r="44" spans="1:147" ht="18" customHeight="1" x14ac:dyDescent="0.25">
      <c r="A44" s="24" t="str">
        <f>+Septembre!BJ46</f>
        <v>Fiche infoA7</v>
      </c>
      <c r="B44" s="107">
        <f t="shared" si="30"/>
        <v>46292</v>
      </c>
      <c r="C44" s="170">
        <f>+$D$13+26</f>
        <v>46292</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Septembre!BC46</f>
        <v>0</v>
      </c>
      <c r="J44" s="34">
        <f>Septembre!BE46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infoA7</v>
      </c>
      <c r="BB44" s="107">
        <f t="shared" si="31"/>
        <v>46292</v>
      </c>
      <c r="BC44" s="170">
        <f>+$D$13+26</f>
        <v>46292</v>
      </c>
      <c r="BD44" s="171" t="str">
        <f t="shared" si="32"/>
        <v/>
      </c>
      <c r="BE44" s="171" t="str">
        <f>+IF(OR(BF44=S.CAL!$BJ$3,BF44=S.CAL!$BJ$4),BD44,"")</f>
        <v/>
      </c>
      <c r="BF44" s="333">
        <f>IF($DY$5=S.CAL!$CU$2,Septembre!AR46,IF($DY$5=S.CAL!$CU$3,VLOOKUP(BC44,planning_fp,7,FALSE),""))</f>
        <v>0</v>
      </c>
      <c r="BG44" s="345" t="str">
        <f>Septembre!BL46</f>
        <v>A</v>
      </c>
      <c r="BH44" s="24" t="s">
        <v>788</v>
      </c>
      <c r="BI44" s="24"/>
      <c r="BJ44" s="24"/>
      <c r="BK44" s="355"/>
      <c r="BL44" s="35"/>
      <c r="BV44" s="355"/>
      <c r="BW44" s="355"/>
      <c r="BX44" s="355"/>
      <c r="BY44" s="355"/>
      <c r="BZ44" s="355"/>
      <c r="CA44" s="355"/>
      <c r="CB44" s="355"/>
      <c r="CD44" s="328"/>
      <c r="CE44" s="107">
        <f t="shared" si="33"/>
        <v>46292</v>
      </c>
      <c r="CF44" s="170">
        <f>+$D$13+26</f>
        <v>46292</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IF(+Septembre!AG46="",0,Septembre!AG46)</f>
        <v>0</v>
      </c>
      <c r="DZ44" s="16">
        <f>+IF(Septembre!AJ46="",0,Septembre!AJ46)</f>
        <v>0</v>
      </c>
      <c r="EA44" s="16">
        <f>+IF(Septembre!AM46="",0,Septembre!AM46)</f>
        <v>0</v>
      </c>
      <c r="EB44" s="16">
        <f t="shared" si="25"/>
        <v>0</v>
      </c>
      <c r="ED44" s="16">
        <f t="shared" si="26"/>
        <v>0</v>
      </c>
      <c r="EE44" s="16">
        <f t="shared" si="17"/>
        <v>0</v>
      </c>
      <c r="EF44" s="30" t="str">
        <f t="shared" si="18"/>
        <v/>
      </c>
      <c r="EG44" s="30" t="str">
        <f t="shared" si="27"/>
        <v/>
      </c>
      <c r="EH44" s="16">
        <f t="shared" si="28"/>
        <v>0</v>
      </c>
      <c r="EI44" s="30"/>
      <c r="EJ44" s="30">
        <f t="shared" si="19"/>
        <v>46292</v>
      </c>
      <c r="EM44" s="16" t="str">
        <f t="shared" si="29"/>
        <v>Fiche infoA746292</v>
      </c>
      <c r="EN44" s="16">
        <f t="shared" si="20"/>
        <v>0</v>
      </c>
      <c r="EQ44" s="16" t="str">
        <f>Septembre!FS46</f>
        <v/>
      </c>
    </row>
    <row r="45" spans="1:147" ht="18" customHeight="1" x14ac:dyDescent="0.2">
      <c r="A45" s="24" t="str">
        <f>+Septembre!BJ47</f>
        <v>Fiche infoA1</v>
      </c>
      <c r="B45" s="107">
        <f t="shared" si="30"/>
        <v>46293</v>
      </c>
      <c r="C45" s="170">
        <f>IF(C$18+27&lt;DATE(YEAR(O$13),MONTH(O$13),DAY(O$13)),C$18+27,"")</f>
        <v>46293</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Septembre!BC47</f>
        <v>0</v>
      </c>
      <c r="J45" s="34">
        <f>Septembre!BE47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infoA1</v>
      </c>
      <c r="BB45" s="107">
        <f t="shared" si="31"/>
        <v>46293</v>
      </c>
      <c r="BC45" s="170">
        <f>IF(BC$18+27&lt;DATE(YEAR(BH$13),MONTH(BH$13),DAY(BH$13)),BC$18+27,"")</f>
        <v>46293</v>
      </c>
      <c r="BD45" s="171" t="str">
        <f t="shared" si="32"/>
        <v/>
      </c>
      <c r="BE45" s="171" t="str">
        <f>+IF(OR(BF45=S.CAL!$BJ$3,BF45=S.CAL!$BJ$4),BD45,"")</f>
        <v/>
      </c>
      <c r="BF45" s="333">
        <f>IF($DY$5=S.CAL!$CU$2,Septembre!AR47,IF($DY$5=S.CAL!$CU$3,VLOOKUP(BC45,planning_fp,7,FALSE),""))</f>
        <v>0</v>
      </c>
      <c r="BG45" s="345" t="str">
        <f>Septembre!BL47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46293</v>
      </c>
      <c r="CF45" s="170">
        <f>IF(CF$18+27&lt;DATE(YEAR(CQ$13),MONTH(CQ$13),DAY(CQ$13)),CF$18+27,"")</f>
        <v>46293</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IF(+Septembre!AG47="",0,Septembre!AG47)</f>
        <v>0</v>
      </c>
      <c r="DZ45" s="16">
        <f>+IF(Septembre!AJ47="",0,Septembre!AJ47)</f>
        <v>0</v>
      </c>
      <c r="EA45" s="16">
        <f>+IF(Septembre!AM47="",0,Septembre!AM47)</f>
        <v>0</v>
      </c>
      <c r="EB45" s="16">
        <f t="shared" si="25"/>
        <v>0</v>
      </c>
      <c r="ED45" s="16">
        <f t="shared" si="26"/>
        <v>0</v>
      </c>
      <c r="EE45" s="16">
        <f t="shared" si="17"/>
        <v>0</v>
      </c>
      <c r="EF45" s="30" t="str">
        <f t="shared" si="18"/>
        <v/>
      </c>
      <c r="EG45" s="30" t="str">
        <f t="shared" si="27"/>
        <v/>
      </c>
      <c r="EH45" s="16">
        <f t="shared" si="28"/>
        <v>0</v>
      </c>
      <c r="EI45" s="30"/>
      <c r="EJ45" s="30">
        <f t="shared" si="19"/>
        <v>46293</v>
      </c>
      <c r="EM45" s="16" t="str">
        <f t="shared" si="29"/>
        <v>Fiche infoA146293</v>
      </c>
      <c r="EN45" s="16">
        <f t="shared" si="20"/>
        <v>0</v>
      </c>
      <c r="EQ45" s="16" t="str">
        <f>Septembre!FS47</f>
        <v/>
      </c>
    </row>
    <row r="46" spans="1:147" ht="18" customHeight="1" x14ac:dyDescent="0.2">
      <c r="A46" s="24" t="str">
        <f>+Septembre!BJ48</f>
        <v>Fiche infoA2</v>
      </c>
      <c r="B46" s="107">
        <f t="shared" si="30"/>
        <v>46294</v>
      </c>
      <c r="C46" s="170">
        <f>IF(C$18+28&lt;DATE(YEAR(O$13),MONTH(O$13),DAY(O$13)),C$18+28,"")</f>
        <v>46294</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Septembre!BC48</f>
        <v>0</v>
      </c>
      <c r="J46" s="34">
        <f>Septembre!BE48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infoA2</v>
      </c>
      <c r="BB46" s="107">
        <f t="shared" si="31"/>
        <v>46294</v>
      </c>
      <c r="BC46" s="170">
        <f>IF(BC$18+28&lt;DATE(YEAR(BH$13),MONTH(BH$13),DAY(BH$13)),BC$18+28,"")</f>
        <v>46294</v>
      </c>
      <c r="BD46" s="171" t="str">
        <f t="shared" si="32"/>
        <v/>
      </c>
      <c r="BE46" s="171" t="str">
        <f>+IF(OR(BF46=S.CAL!$BJ$3,BF46=S.CAL!$BJ$4),BD46,"")</f>
        <v/>
      </c>
      <c r="BF46" s="333">
        <f>IF($DY$5=S.CAL!$CU$2,Septembre!AR48,IF($DY$5=S.CAL!$CU$3,VLOOKUP(BC46,planning_fp,7,FALSE),""))</f>
        <v>0</v>
      </c>
      <c r="BG46" s="345" t="str">
        <f>Septembre!BL48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46294</v>
      </c>
      <c r="CF46" s="170">
        <f>IF(CF$18+28&lt;DATE(YEAR(CQ$13),MONTH(CQ$13),DAY(CQ$13)),CF$18+28,"")</f>
        <v>46294</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IF(+Septembre!AG48="",0,Septembre!AG48)</f>
        <v>0</v>
      </c>
      <c r="DZ46" s="16">
        <f>+IF(Septembre!AJ48="",0,Septembre!AJ48)</f>
        <v>0</v>
      </c>
      <c r="EA46" s="16">
        <f>+IF(Septembre!AM48="",0,Septembre!AM48)</f>
        <v>0</v>
      </c>
      <c r="EB46" s="16">
        <f t="shared" si="25"/>
        <v>0</v>
      </c>
      <c r="ED46" s="16">
        <f t="shared" si="26"/>
        <v>0</v>
      </c>
      <c r="EE46" s="16">
        <f t="shared" si="17"/>
        <v>0</v>
      </c>
      <c r="EF46" s="30" t="str">
        <f t="shared" si="18"/>
        <v/>
      </c>
      <c r="EG46" s="30" t="str">
        <f t="shared" si="27"/>
        <v/>
      </c>
      <c r="EH46" s="16">
        <f t="shared" si="28"/>
        <v>0</v>
      </c>
      <c r="EI46" s="30"/>
      <c r="EJ46" s="30">
        <f t="shared" si="19"/>
        <v>46294</v>
      </c>
      <c r="EM46" s="16" t="str">
        <f t="shared" si="29"/>
        <v>Fiche infoA246294</v>
      </c>
      <c r="EN46" s="16">
        <f t="shared" si="20"/>
        <v>0</v>
      </c>
      <c r="EQ46" s="16" t="str">
        <f>Septembre!FS48</f>
        <v/>
      </c>
    </row>
    <row r="47" spans="1:147" ht="18" customHeight="1" x14ac:dyDescent="0.2">
      <c r="A47" s="24" t="str">
        <f>+Septembre!BJ49</f>
        <v>Fiche infoA3</v>
      </c>
      <c r="B47" s="107">
        <f t="shared" si="30"/>
        <v>46295</v>
      </c>
      <c r="C47" s="170">
        <f>IF(C$18+29&lt;DATE(YEAR(O$13),MONTH(O$13),DAY(O$13)),C$18+29,"")</f>
        <v>46295</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Septembre!BC49</f>
        <v>0</v>
      </c>
      <c r="J47" s="34">
        <f>Septembre!BE49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infoA3</v>
      </c>
      <c r="BB47" s="107">
        <f t="shared" si="31"/>
        <v>46295</v>
      </c>
      <c r="BC47" s="170">
        <f>IF(BC$18+29&lt;DATE(YEAR(BH$13),MONTH(BH$13),DAY(BH$13)),BC$18+29,"")</f>
        <v>46295</v>
      </c>
      <c r="BD47" s="171" t="str">
        <f t="shared" si="32"/>
        <v/>
      </c>
      <c r="BE47" s="171" t="str">
        <f>+IF(OR(BF47=S.CAL!$BJ$3,BF47=S.CAL!$BJ$4),BD47,"")</f>
        <v/>
      </c>
      <c r="BF47" s="333">
        <f>IF($DY$5=S.CAL!$CU$2,Septembre!AR49,IF($DY$5=S.CAL!$CU$3,VLOOKUP(BC47,planning_fp,7,FALSE),""))</f>
        <v>0</v>
      </c>
      <c r="BG47" s="345" t="str">
        <f>Septembre!BL49</f>
        <v>A</v>
      </c>
      <c r="BH47" s="355"/>
      <c r="BI47" s="355"/>
      <c r="BJ47" s="355"/>
      <c r="BK47" s="355"/>
      <c r="BL47" s="35"/>
      <c r="BV47" s="355"/>
      <c r="BW47" s="355"/>
      <c r="BX47" s="355"/>
      <c r="BY47" s="355"/>
      <c r="BZ47" s="355"/>
      <c r="CA47" s="355"/>
      <c r="CB47" s="355"/>
      <c r="CD47" s="328"/>
      <c r="CE47" s="107">
        <f t="shared" si="33"/>
        <v>46295</v>
      </c>
      <c r="CF47" s="170">
        <f>IF(CF$18+29&lt;DATE(YEAR(CQ$13),MONTH(CQ$13),DAY(CQ$13)),CF$18+29,"")</f>
        <v>46295</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IF(+Septembre!AG49="",0,Septembre!AG49)</f>
        <v>0</v>
      </c>
      <c r="DZ47" s="16">
        <f>+IF(Septembre!AJ49="",0,Septembre!AJ49)</f>
        <v>0</v>
      </c>
      <c r="EA47" s="16">
        <f>+IF(Septembre!AM49="",0,Septembre!AM49)</f>
        <v>0</v>
      </c>
      <c r="EB47" s="16">
        <f t="shared" si="25"/>
        <v>0</v>
      </c>
      <c r="ED47" s="16">
        <f t="shared" si="26"/>
        <v>0</v>
      </c>
      <c r="EE47" s="16">
        <f t="shared" si="17"/>
        <v>0</v>
      </c>
      <c r="EF47" s="30" t="str">
        <f t="shared" si="18"/>
        <v/>
      </c>
      <c r="EG47" s="30" t="str">
        <f t="shared" si="27"/>
        <v/>
      </c>
      <c r="EH47" s="16">
        <f t="shared" si="28"/>
        <v>0</v>
      </c>
      <c r="EI47" s="30"/>
      <c r="EJ47" s="30">
        <f t="shared" si="19"/>
        <v>46295</v>
      </c>
      <c r="EM47" s="16" t="str">
        <f t="shared" si="29"/>
        <v>Fiche infoA346295</v>
      </c>
      <c r="EN47" s="16">
        <f t="shared" si="20"/>
        <v>0</v>
      </c>
      <c r="EQ47" s="16" t="str">
        <f>Septembre!FS49</f>
        <v/>
      </c>
    </row>
    <row r="48" spans="1:147" ht="18" customHeight="1" thickBot="1" x14ac:dyDescent="0.25">
      <c r="A48" s="24" t="str">
        <f>+Septembre!BJ50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Septembre!BC50</f>
        <v>0</v>
      </c>
      <c r="J48" s="34">
        <f>Septembre!BE50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36</v>
      </c>
      <c r="X48" s="2538"/>
      <c r="Y48" s="2538"/>
      <c r="Z48" s="1323" t="str">
        <f>+IF(Z34="","",Z34)</f>
        <v/>
      </c>
      <c r="AA48" s="1316">
        <f>+IF(Z48="",IF(AND(AD48&gt;0,AC48&gt;0),AD48+AC48,IF(AE48&gt;0,0,AC48)),Z48)</f>
        <v>0</v>
      </c>
      <c r="AB48" s="1316">
        <f>IF(AA48&gt;45,AA48-45,0)</f>
        <v>0</v>
      </c>
      <c r="AC48" s="1322">
        <f>+SUMIF(Septembre!$BK$20:$BK$50,Septembre!AT4,$D$18:$D$48)-SUMIF(Septembre!$BK$20:$BK$50,Septembre!AT4,$E$18:$E$48)</f>
        <v>0</v>
      </c>
      <c r="AD48" s="1322">
        <f>+SUMIF(Aout!$BK$20:$BK$50,Septembre!AT4,'Retenue Aout'!$D$18:$D$48)-SUMIF(Aout!$BK$20:$BK$50,Septembre!AT4,'Retenue Aout'!$E$18:$E$48)</f>
        <v>0</v>
      </c>
      <c r="AE48" s="1322">
        <f>+SUMIF(Octobre!$BK$20:$BK$50,Septembre!AT4,'Retenue Oct'!$D$18:$D$48)-SUMIF(Octobre!$BK$20:$BK$50,Septembre!AT4,'Retenue Oct'!$E$18:$E$48)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IF($DY$5=S.CAL!$CU$2,Septembre!AR50,IF($DY$5=S.CAL!$CU$3,VLOOKUP(BC48,planning_fp,7,FALSE),""))</f>
        <v>0</v>
      </c>
      <c r="BG48" s="346" t="str">
        <f>Septembre!BL50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534" t="str">
        <f t="shared" ref="CI48:CI53" si="56">W48</f>
        <v>Semaine numéro : 36</v>
      </c>
      <c r="CJ48" s="2535"/>
      <c r="CK48" s="2536"/>
      <c r="CL48" s="875" t="str">
        <f>+IF(CL34="","",CL34)</f>
        <v/>
      </c>
      <c r="CM48" s="656">
        <f>+IF(CL48="",IF(AND(CP48&gt;0,CO48&gt;0),CP48+CO48,IF(CQ48&gt;0,0,CO48)),CL48)</f>
        <v>0</v>
      </c>
      <c r="CN48" s="655">
        <f>IF(CM48&gt;45,CM48-45,0)</f>
        <v>0</v>
      </c>
      <c r="CO48" s="196">
        <f>+SUMIF(Septembre!$BK$20:$BK$50,Septembre!AT4,$CG$18:$CG$48)</f>
        <v>0</v>
      </c>
      <c r="CP48" s="196">
        <f>+SUMIF(Aout!$BK$20:$BK$50,Septembre!AT4,'Retenue Aout'!$CG$18:$CG$48)</f>
        <v>0</v>
      </c>
      <c r="CQ48" s="196">
        <f>+SUMIF(Octobre!$BK$20:$BK$50,Septembre!AT4,'Retenue Oct'!$CG$18:$CG$48)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IF(+Septembre!AG50="",0,Septembre!AG50)</f>
        <v>0</v>
      </c>
      <c r="DZ48" s="16">
        <f>+IF(Septembre!AJ50="",0,Septembre!AJ50)</f>
        <v>0</v>
      </c>
      <c r="EA48" s="16">
        <f>+IF(Septembre!AM50="",0,Septembre!AM50)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Septembre!FS50</f>
        <v/>
      </c>
    </row>
    <row r="49" spans="2:139" ht="18" customHeight="1" thickBot="1" x14ac:dyDescent="0.25">
      <c r="N49" s="24"/>
      <c r="O49" s="24"/>
      <c r="P49" s="24"/>
      <c r="Q49" s="24"/>
      <c r="R49" s="24"/>
      <c r="S49" s="1325"/>
      <c r="U49" s="1301"/>
      <c r="V49" s="1301"/>
      <c r="W49" s="2538" t="str">
        <f t="shared" si="55"/>
        <v>Semaine numéro : 37</v>
      </c>
      <c r="X49" s="2538"/>
      <c r="Y49" s="2538"/>
      <c r="Z49" s="1323" t="str">
        <f t="shared" ref="Z49:Z53" si="57">+IF(Z35="","",Z35)</f>
        <v/>
      </c>
      <c r="AA49" s="1316">
        <f t="shared" ref="AA49:AA53" si="58">+IF(Z49="",IF(AND(AD49&gt;0,AC49&gt;0),AD49+AC49,IF(AE49&gt;0,0,AC49)),Z49)</f>
        <v>0</v>
      </c>
      <c r="AB49" s="1316">
        <f t="shared" ref="AB49:AB53" si="59">IF(AA49&gt;45,AA49-45,0)</f>
        <v>0</v>
      </c>
      <c r="AC49" s="1322">
        <f>+SUMIF(Septembre!$BK$20:$BK$50,Septembre!AT5,$D$18:$D$48)-SUMIF(Septembre!$BK$20:$BK$50,Septembre!AT5,$E$18:$E$48)</f>
        <v>0</v>
      </c>
      <c r="AD49" s="1322">
        <f>+SUMIF(Aout!$BK$20:$BK$50,Septembre!AT5,'Retenue Aout'!$D$18:$D$48)-SUMIF(Aout!$BK$20:$BK$50,Septembre!AT5,'Retenue Aout'!$E$18:$E$48)</f>
        <v>0</v>
      </c>
      <c r="AE49" s="1322">
        <f>+SUMIF(Octobre!$BK$20:$BK$50,Septembre!AT5,'Retenue Oct'!$D$18:$D$48)-SUMIF(Octobre!$BK$20:$BK$50,Septembre!AT5,'Retenue Oct'!$E$18:$E$48)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37</v>
      </c>
      <c r="CJ49" s="2535"/>
      <c r="CK49" s="2536"/>
      <c r="CL49" s="875" t="str">
        <f t="shared" ref="CL49:CL53" si="61">+IF(CL35="","",CL35)</f>
        <v/>
      </c>
      <c r="CM49" s="656">
        <f t="shared" ref="CM49:CM53" si="62">+IF(CL49="",IF(AND(CP49&gt;0,CO49&gt;0),CP49+CO49,IF(CQ49&gt;0,0,CO49)),CL49)</f>
        <v>0</v>
      </c>
      <c r="CN49" s="655">
        <f t="shared" ref="CN49:CN53" si="63">IF(CM49&gt;45,CM49-45,0)</f>
        <v>0</v>
      </c>
      <c r="CO49" s="196">
        <f>+SUMIF(Septembre!$BK$20:$BK$50,Septembre!AT5,$CG$18:$CG$48)</f>
        <v>0</v>
      </c>
      <c r="CP49" s="196">
        <f>+SUMIF(Aout!$BK$20:$BK$50,Septembre!AT5,'Retenue Aout'!$CG$18:$CG$48)</f>
        <v>0</v>
      </c>
      <c r="CQ49" s="196">
        <f>+SUMIF(Octobre!$BK$20:$BK$50,Septembre!AT5,'Retenue Oct'!$CG$18:$CG$48)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38</v>
      </c>
      <c r="X50" s="2538"/>
      <c r="Y50" s="2538"/>
      <c r="Z50" s="1323" t="str">
        <f t="shared" si="57"/>
        <v/>
      </c>
      <c r="AA50" s="1316">
        <f t="shared" si="58"/>
        <v>0</v>
      </c>
      <c r="AB50" s="1316">
        <f t="shared" si="59"/>
        <v>0</v>
      </c>
      <c r="AC50" s="1322">
        <f>+SUMIF(Septembre!$BK$20:$BK$50,Septembre!AT6,$D$18:$D$48)-SUMIF(Septembre!$BK$20:$BK$50,Septembre!AT6,$E$18:$E$48)</f>
        <v>0</v>
      </c>
      <c r="AD50" s="1322">
        <f>+SUMIF(Aout!$BK$20:$BK$50,Septembre!AT6,'Retenue Aout'!$D$18:$D$48)-SUMIF(Aout!$BK$20:$BK$50,Septembre!AT6,'Retenue Aout'!$E$18:$E$48)</f>
        <v>0</v>
      </c>
      <c r="AE50" s="1322">
        <f>+SUMIF(Octobre!$BK$20:$BK$50,Septembre!AT6,'Retenue Oct'!$D$18:$D$48)-SUMIF(Octobre!$BK$20:$BK$50,Septembre!AT6,'Retenue Oct'!$E$18:$E$48)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38</v>
      </c>
      <c r="CJ50" s="2535"/>
      <c r="CK50" s="2536"/>
      <c r="CL50" s="875" t="str">
        <f t="shared" si="61"/>
        <v/>
      </c>
      <c r="CM50" s="656">
        <f t="shared" si="62"/>
        <v>0</v>
      </c>
      <c r="CN50" s="655">
        <f t="shared" si="63"/>
        <v>0</v>
      </c>
      <c r="CO50" s="196">
        <f>+SUMIF(Septembre!$BK$20:$BK$50,Septembre!AT6,$CG$18:$CG$48)</f>
        <v>0</v>
      </c>
      <c r="CP50" s="196">
        <f>+SUMIF(Aout!$BK$20:$BK$50,Septembre!AT6,'Retenue Aout'!$CG$18:$CG$48)</f>
        <v>0</v>
      </c>
      <c r="CQ50" s="196">
        <f>+SUMIF(Octobre!$BK$20:$BK$50,Septembre!AT6,'Retenue Oct'!$CG$18:$CG$48)</f>
        <v>0</v>
      </c>
      <c r="CR50" s="656">
        <f t="shared" si="64"/>
        <v>0</v>
      </c>
    </row>
    <row r="51" spans="2:139" ht="19.5" customHeight="1" thickBot="1" x14ac:dyDescent="0.25">
      <c r="B51" s="24"/>
      <c r="C51" s="24"/>
      <c r="D51" s="181" t="s">
        <v>1205</v>
      </c>
      <c r="E51" s="24">
        <f>+COUNTIF(C18:C48,"&gt;0")-E52</f>
        <v>30</v>
      </c>
      <c r="N51" s="24"/>
      <c r="O51" s="24"/>
      <c r="P51" s="24"/>
      <c r="Q51" s="24"/>
      <c r="R51" s="24"/>
      <c r="S51" s="1327"/>
      <c r="U51" s="1301"/>
      <c r="V51" s="1301"/>
      <c r="W51" s="2538" t="str">
        <f t="shared" si="55"/>
        <v>Semaine numéro : 39</v>
      </c>
      <c r="X51" s="2538"/>
      <c r="Y51" s="2538"/>
      <c r="Z51" s="1323" t="str">
        <f t="shared" si="57"/>
        <v/>
      </c>
      <c r="AA51" s="1316">
        <f t="shared" si="58"/>
        <v>0</v>
      </c>
      <c r="AB51" s="1316">
        <f t="shared" si="59"/>
        <v>0</v>
      </c>
      <c r="AC51" s="1322">
        <f>+SUMIF(Septembre!$BK$20:$BK$50,Septembre!AT7,$D$18:$D$48)-SUMIF(Septembre!$BK$20:$BK$50,Septembre!AT7,$E$18:$E$48)</f>
        <v>0</v>
      </c>
      <c r="AD51" s="1322">
        <f>+SUMIF(Aout!$BK$20:$BK$50,Septembre!AT7,'Retenue Aout'!$D$18:$D$48)-SUMIF(Aout!$BK$20:$BK$50,Septembre!AT7,'Retenue Aout'!$E$18:$E$48)</f>
        <v>0</v>
      </c>
      <c r="AE51" s="1322">
        <f>+SUMIF(Octobre!$BK$20:$BK$50,Septembre!AT7,'Retenue Oct'!$D$18:$D$48)-SUMIF(Octobre!$BK$20:$BK$50,Septembre!AT7,'Retenue Oct'!$E$18:$E$48)</f>
        <v>0</v>
      </c>
      <c r="AF51" s="1316">
        <f t="shared" si="60"/>
        <v>0</v>
      </c>
      <c r="AG51" s="1327"/>
      <c r="AJ51" s="1304"/>
      <c r="AK51" s="1305"/>
      <c r="AL51" s="1307"/>
      <c r="BA51" s="328"/>
      <c r="BD51" s="351" t="s">
        <v>746</v>
      </c>
      <c r="BE51" s="192">
        <f>+SUMIFS(BE18:BE48,BF18:BF48,S.CAL!BJ3)</f>
        <v>0</v>
      </c>
      <c r="BF51" s="352">
        <f>IF(Septembre!AZ90="",+COUNTIF(BF18:BF48,S.CAL!BJ3),Septembre!AZ90)</f>
        <v>0</v>
      </c>
      <c r="BL51" s="35"/>
      <c r="CD51" s="328"/>
      <c r="CI51" s="2534" t="str">
        <f t="shared" si="56"/>
        <v>Semaine numéro : 39</v>
      </c>
      <c r="CJ51" s="2535"/>
      <c r="CK51" s="2536"/>
      <c r="CL51" s="875" t="str">
        <f t="shared" si="61"/>
        <v/>
      </c>
      <c r="CM51" s="656">
        <f t="shared" si="62"/>
        <v>0</v>
      </c>
      <c r="CN51" s="655">
        <f t="shared" si="63"/>
        <v>0</v>
      </c>
      <c r="CO51" s="196">
        <f>+SUMIF(Septembre!$BK$20:$BK$50,Septembre!AT7,$CG$18:$CG$48)</f>
        <v>0</v>
      </c>
      <c r="CP51" s="196">
        <f>+SUMIF(Aout!$BK$20:$BK$50,Septembre!AT7,'Retenue Aout'!$CG$18:$CG$48)</f>
        <v>0</v>
      </c>
      <c r="CQ51" s="196">
        <f>+SUMIF(Octobre!$BK$20:$BK$50,Septembre!AT7,'Retenue Oct'!$CG$18:$CG$48)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40</v>
      </c>
      <c r="X52" s="2538"/>
      <c r="Y52" s="2538"/>
      <c r="Z52" s="1323" t="str">
        <f t="shared" si="57"/>
        <v/>
      </c>
      <c r="AA52" s="1316">
        <f t="shared" si="58"/>
        <v>0</v>
      </c>
      <c r="AB52" s="1316">
        <f t="shared" si="59"/>
        <v>0</v>
      </c>
      <c r="AC52" s="1322">
        <f>+SUMIF(Septembre!$BK$20:$BK$50,Septembre!AT8,$D$18:$D$48)-SUMIF(Septembre!$BK$20:$BK$50,Septembre!AT8,$E$18:$E$48)</f>
        <v>0</v>
      </c>
      <c r="AD52" s="1322">
        <f>+SUMIF(Aout!$BK$20:$BK$50,Septembre!AT8,'Retenue Aout'!$D$18:$D$48)-SUMIF(Aout!$BK$20:$BK$50,Septembre!AT8,'Retenue Aout'!$E$18:$E$48)</f>
        <v>0</v>
      </c>
      <c r="AE52" s="1322">
        <f>+SUMIF(Octobre!$BK$20:$BK$50,Septembre!AT8,'Retenue Oct'!$D$18:$D$48)-SUMIF(Octobre!$BK$20:$BK$50,Septembre!AT8,'Retenue Oct'!$E$18:$E$48)</f>
        <v>0</v>
      </c>
      <c r="AF52" s="1316">
        <f t="shared" si="60"/>
        <v>0</v>
      </c>
      <c r="AO52" s="1189" t="s">
        <v>1110</v>
      </c>
      <c r="AP52" s="1326">
        <f>IF(AL22,+ROUND((AQ48+SUM(AQ39:AQ46))*AL34/AL22*Q11,2),0)</f>
        <v>0</v>
      </c>
      <c r="BA52" s="328"/>
      <c r="BD52" s="1341" t="s">
        <v>696</v>
      </c>
      <c r="BE52" s="1342">
        <f>+SUMIFS(BE18:BE48,BF18:BF48,S.CAL!BJ4)</f>
        <v>0</v>
      </c>
      <c r="BF52" s="1343">
        <f>IF(Septembre!BA90="",+COUNTIF(BF18:BF48,S.CAL!BJ4),Septembre!BA90)</f>
        <v>0</v>
      </c>
      <c r="BL52" s="35"/>
      <c r="BU52" s="16" t="s">
        <v>776</v>
      </c>
      <c r="BW52" s="339">
        <f>+BR46+BR49+BZ46+BZ49</f>
        <v>0</v>
      </c>
      <c r="CD52" s="328"/>
      <c r="CI52" s="2534" t="str">
        <f t="shared" si="56"/>
        <v>Semaine numéro : 40</v>
      </c>
      <c r="CJ52" s="2535"/>
      <c r="CK52" s="2536"/>
      <c r="CL52" s="875" t="str">
        <f t="shared" si="61"/>
        <v/>
      </c>
      <c r="CM52" s="656">
        <f t="shared" si="62"/>
        <v>0</v>
      </c>
      <c r="CN52" s="655">
        <f t="shared" si="63"/>
        <v>0</v>
      </c>
      <c r="CO52" s="196">
        <f>+SUMIF(Septembre!$BK$20:$BK$50,Septembre!AT8,$CG$18:$CG$48)</f>
        <v>0</v>
      </c>
      <c r="CP52" s="196">
        <f>+SUMIF(Aout!$BK$20:$BK$50,Septembre!AT8,'Retenue Aout'!$CG$18:$CG$48)</f>
        <v>0</v>
      </c>
      <c r="CQ52" s="196">
        <f>+SUMIF(Octobre!$BK$20:$BK$50,Septembre!AT8,'Retenue Oct'!$CG$18:$CG$48)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 xml:space="preserve">Semaine numéro : </v>
      </c>
      <c r="X53" s="2538"/>
      <c r="Y53" s="2538"/>
      <c r="Z53" s="1323" t="str">
        <f t="shared" si="57"/>
        <v/>
      </c>
      <c r="AA53" s="1316">
        <f t="shared" si="58"/>
        <v>0</v>
      </c>
      <c r="AB53" s="1316">
        <f t="shared" si="59"/>
        <v>0</v>
      </c>
      <c r="AC53" s="1322">
        <f>+SUMIF(Septembre!$BK$20:$BK$50,Septembre!AT9,$D$18:$D$48)-SUMIF(Septembre!$BK$20:$BK$50,Septembre!AT9,$E$18:$E$48)</f>
        <v>0</v>
      </c>
      <c r="AD53" s="1322">
        <f>+SUMIF(Aout!$BK$20:$BK$50,Septembre!AT9,'Retenue Aout'!$D$18:$D$48)-SUMIF(Aout!$BK$20:$BK$50,Septembre!AT9,'Retenue Aout'!$E$18:$E$48)</f>
        <v>0</v>
      </c>
      <c r="AE53" s="1322">
        <f>+SUMIF(Octobre!$BK$20:$BK$50,Septembre!AT9,'Retenue Oct'!$D$18:$D$48)-SUMIF(Octobre!$BK$20:$BK$50,Septembre!AT9,'Retenue Oct'!$E$18:$E$48)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 xml:space="preserve">Semaine numéro : </v>
      </c>
      <c r="CJ53" s="2535"/>
      <c r="CK53" s="2536"/>
      <c r="CL53" s="875" t="str">
        <f t="shared" si="61"/>
        <v/>
      </c>
      <c r="CM53" s="656">
        <f t="shared" si="62"/>
        <v>0</v>
      </c>
      <c r="CN53" s="655">
        <f t="shared" si="63"/>
        <v>0</v>
      </c>
      <c r="CO53" s="196">
        <f>+SUMIF(Septembre!$BK$20:$BK$50,Septembre!AT9,$CG$18:$CG$48)</f>
        <v>0</v>
      </c>
      <c r="CP53" s="196">
        <f>+SUMIF(Aout!$BK$20:$BK$50,Septembre!AT9,'Retenue Aout'!$CG$18:$CG$48)</f>
        <v>0</v>
      </c>
      <c r="CQ53" s="196">
        <f>+SUMIF(Octobre!$BK$20:$BK$50,Septembre!AT9,'Retenue Oct'!$CG$18:$CG$48)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63">
        <f>B17</f>
        <v>46266</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46266</v>
      </c>
      <c r="C57" s="169">
        <f t="shared" si="65"/>
        <v>46266</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46267</v>
      </c>
      <c r="C58" s="170">
        <f t="shared" si="65"/>
        <v>46267</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46268</v>
      </c>
      <c r="C59" s="170">
        <f t="shared" si="65"/>
        <v>46268</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46269</v>
      </c>
      <c r="C60" s="170">
        <f t="shared" si="65"/>
        <v>46269</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46270</v>
      </c>
      <c r="C61" s="170">
        <f t="shared" si="65"/>
        <v>46270</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46271</v>
      </c>
      <c r="C62" s="170">
        <f t="shared" si="65"/>
        <v>46271</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46272</v>
      </c>
      <c r="C63" s="170">
        <f t="shared" si="65"/>
        <v>46272</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46273</v>
      </c>
      <c r="C64" s="170">
        <f t="shared" si="65"/>
        <v>46273</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46274</v>
      </c>
      <c r="C65" s="170">
        <f t="shared" si="65"/>
        <v>46274</v>
      </c>
      <c r="D65" s="171" t="str">
        <f t="shared" si="66"/>
        <v/>
      </c>
      <c r="E65" s="171" t="str">
        <f t="shared" si="69"/>
        <v/>
      </c>
      <c r="F65" s="1531" t="str">
        <f t="shared" si="67"/>
        <v/>
      </c>
      <c r="G65" s="1531" t="str">
        <f t="shared" si="68"/>
        <v/>
      </c>
      <c r="BA65" s="328"/>
      <c r="CD65" s="328"/>
    </row>
    <row r="66" spans="2:82" x14ac:dyDescent="0.2">
      <c r="B66" s="107">
        <f t="shared" si="65"/>
        <v>46275</v>
      </c>
      <c r="C66" s="170">
        <f t="shared" si="65"/>
        <v>46275</v>
      </c>
      <c r="D66" s="171" t="str">
        <f t="shared" si="66"/>
        <v/>
      </c>
      <c r="E66" s="171" t="str">
        <f t="shared" si="69"/>
        <v/>
      </c>
      <c r="F66" s="1531" t="str">
        <f t="shared" si="67"/>
        <v/>
      </c>
      <c r="G66" s="1531" t="str">
        <f t="shared" si="68"/>
        <v/>
      </c>
      <c r="BA66" s="328"/>
      <c r="CD66" s="328"/>
    </row>
    <row r="67" spans="2:82" x14ac:dyDescent="0.2">
      <c r="B67" s="107">
        <f t="shared" si="65"/>
        <v>46276</v>
      </c>
      <c r="C67" s="170">
        <f t="shared" si="65"/>
        <v>46276</v>
      </c>
      <c r="D67" s="171" t="str">
        <f t="shared" si="66"/>
        <v/>
      </c>
      <c r="E67" s="171" t="str">
        <f t="shared" si="69"/>
        <v/>
      </c>
      <c r="F67" s="1531" t="str">
        <f t="shared" si="67"/>
        <v/>
      </c>
      <c r="G67" s="1531" t="str">
        <f t="shared" si="68"/>
        <v/>
      </c>
      <c r="BA67" s="328"/>
      <c r="CD67" s="328"/>
    </row>
    <row r="68" spans="2:82" x14ac:dyDescent="0.2">
      <c r="B68" s="107">
        <f t="shared" si="65"/>
        <v>46277</v>
      </c>
      <c r="C68" s="170">
        <f t="shared" si="65"/>
        <v>46277</v>
      </c>
      <c r="D68" s="171" t="str">
        <f t="shared" si="66"/>
        <v/>
      </c>
      <c r="E68" s="171" t="str">
        <f t="shared" si="69"/>
        <v/>
      </c>
      <c r="F68" s="1531" t="str">
        <f t="shared" si="67"/>
        <v/>
      </c>
      <c r="G68" s="1531" t="str">
        <f t="shared" si="68"/>
        <v/>
      </c>
      <c r="AI68" s="1332" t="s">
        <v>329</v>
      </c>
      <c r="BA68" s="328"/>
      <c r="CD68" s="328"/>
    </row>
    <row r="69" spans="2:82" x14ac:dyDescent="0.2">
      <c r="B69" s="107">
        <f t="shared" si="65"/>
        <v>46278</v>
      </c>
      <c r="C69" s="170">
        <f t="shared" si="65"/>
        <v>46278</v>
      </c>
      <c r="D69" s="171" t="str">
        <f t="shared" si="66"/>
        <v/>
      </c>
      <c r="E69" s="171" t="str">
        <f t="shared" si="69"/>
        <v/>
      </c>
      <c r="F69" s="1531" t="str">
        <f t="shared" si="67"/>
        <v/>
      </c>
      <c r="G69" s="1531" t="str">
        <f t="shared" si="68"/>
        <v/>
      </c>
      <c r="BA69" s="328"/>
      <c r="CD69" s="328"/>
    </row>
    <row r="70" spans="2:82" x14ac:dyDescent="0.2">
      <c r="B70" s="107">
        <f t="shared" si="65"/>
        <v>46279</v>
      </c>
      <c r="C70" s="170">
        <f t="shared" si="65"/>
        <v>46279</v>
      </c>
      <c r="D70" s="171" t="str">
        <f t="shared" si="66"/>
        <v/>
      </c>
      <c r="E70" s="171" t="str">
        <f t="shared" si="69"/>
        <v/>
      </c>
      <c r="F70" s="1531" t="str">
        <f t="shared" si="67"/>
        <v/>
      </c>
      <c r="G70" s="1531" t="str">
        <f t="shared" si="68"/>
        <v/>
      </c>
      <c r="AI70" s="563" t="s">
        <v>330</v>
      </c>
      <c r="BA70" s="328"/>
      <c r="CD70" s="328"/>
    </row>
    <row r="71" spans="2:82" x14ac:dyDescent="0.2">
      <c r="B71" s="107">
        <f t="shared" si="65"/>
        <v>46280</v>
      </c>
      <c r="C71" s="170">
        <f t="shared" si="65"/>
        <v>46280</v>
      </c>
      <c r="D71" s="171" t="str">
        <f t="shared" si="66"/>
        <v/>
      </c>
      <c r="E71" s="171" t="str">
        <f t="shared" si="69"/>
        <v/>
      </c>
      <c r="F71" s="1531" t="str">
        <f t="shared" si="67"/>
        <v/>
      </c>
      <c r="G71" s="1531" t="str">
        <f t="shared" si="68"/>
        <v/>
      </c>
      <c r="AI71" s="1333" t="s">
        <v>331</v>
      </c>
      <c r="BA71" s="328"/>
      <c r="CD71" s="328"/>
    </row>
    <row r="72" spans="2:82" x14ac:dyDescent="0.2">
      <c r="B72" s="107">
        <f t="shared" si="65"/>
        <v>46281</v>
      </c>
      <c r="C72" s="170">
        <f t="shared" si="65"/>
        <v>46281</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46282</v>
      </c>
      <c r="C73" s="170">
        <f t="shared" si="70"/>
        <v>46282</v>
      </c>
      <c r="D73" s="171" t="str">
        <f t="shared" si="66"/>
        <v/>
      </c>
      <c r="E73" s="171" t="str">
        <f t="shared" si="69"/>
        <v/>
      </c>
      <c r="F73" s="1531" t="str">
        <f t="shared" si="67"/>
        <v/>
      </c>
      <c r="G73" s="1531" t="str">
        <f t="shared" si="68"/>
        <v/>
      </c>
      <c r="BA73" s="328"/>
      <c r="CD73" s="328"/>
    </row>
    <row r="74" spans="2:82" x14ac:dyDescent="0.2">
      <c r="B74" s="107">
        <f t="shared" si="70"/>
        <v>46283</v>
      </c>
      <c r="C74" s="170">
        <f t="shared" si="70"/>
        <v>46283</v>
      </c>
      <c r="D74" s="171" t="str">
        <f t="shared" si="66"/>
        <v/>
      </c>
      <c r="E74" s="171" t="str">
        <f t="shared" si="69"/>
        <v/>
      </c>
      <c r="F74" s="1531" t="str">
        <f t="shared" si="67"/>
        <v/>
      </c>
      <c r="G74" s="1531" t="str">
        <f t="shared" si="68"/>
        <v/>
      </c>
      <c r="AI74" s="563" t="s">
        <v>332</v>
      </c>
      <c r="BA74" s="328"/>
      <c r="CD74" s="328"/>
    </row>
    <row r="75" spans="2:82" x14ac:dyDescent="0.2">
      <c r="B75" s="107">
        <f t="shared" si="70"/>
        <v>46284</v>
      </c>
      <c r="C75" s="170">
        <f t="shared" si="70"/>
        <v>46284</v>
      </c>
      <c r="D75" s="171" t="str">
        <f t="shared" si="66"/>
        <v/>
      </c>
      <c r="E75" s="171" t="str">
        <f t="shared" si="69"/>
        <v/>
      </c>
      <c r="F75" s="1531" t="str">
        <f t="shared" si="67"/>
        <v/>
      </c>
      <c r="G75" s="1531" t="str">
        <f t="shared" si="68"/>
        <v/>
      </c>
      <c r="AI75" s="1333" t="s">
        <v>333</v>
      </c>
      <c r="BA75" s="328"/>
      <c r="CD75" s="328"/>
    </row>
    <row r="76" spans="2:82" x14ac:dyDescent="0.2">
      <c r="B76" s="107">
        <f t="shared" si="70"/>
        <v>46285</v>
      </c>
      <c r="C76" s="170">
        <f t="shared" si="70"/>
        <v>46285</v>
      </c>
      <c r="D76" s="171" t="str">
        <f t="shared" si="66"/>
        <v/>
      </c>
      <c r="E76" s="171" t="str">
        <f t="shared" si="69"/>
        <v/>
      </c>
      <c r="F76" s="1531" t="str">
        <f t="shared" si="67"/>
        <v/>
      </c>
      <c r="G76" s="1531" t="str">
        <f t="shared" si="68"/>
        <v/>
      </c>
      <c r="BA76" s="328"/>
      <c r="CD76" s="328"/>
    </row>
    <row r="77" spans="2:82" x14ac:dyDescent="0.2">
      <c r="B77" s="107">
        <f t="shared" si="70"/>
        <v>46286</v>
      </c>
      <c r="C77" s="170">
        <f t="shared" si="70"/>
        <v>46286</v>
      </c>
      <c r="D77" s="171" t="str">
        <f t="shared" si="66"/>
        <v/>
      </c>
      <c r="E77" s="171" t="str">
        <f t="shared" si="69"/>
        <v/>
      </c>
      <c r="F77" s="1531" t="str">
        <f t="shared" si="67"/>
        <v/>
      </c>
      <c r="G77" s="1531" t="str">
        <f t="shared" si="68"/>
        <v/>
      </c>
      <c r="AI77" s="563" t="s">
        <v>334</v>
      </c>
      <c r="BA77" s="328"/>
      <c r="CD77" s="328"/>
    </row>
    <row r="78" spans="2:82" x14ac:dyDescent="0.2">
      <c r="B78" s="107">
        <f t="shared" si="70"/>
        <v>46287</v>
      </c>
      <c r="C78" s="170">
        <f t="shared" si="70"/>
        <v>46287</v>
      </c>
      <c r="D78" s="171" t="str">
        <f t="shared" si="66"/>
        <v/>
      </c>
      <c r="E78" s="171" t="str">
        <f t="shared" si="69"/>
        <v/>
      </c>
      <c r="F78" s="1531" t="str">
        <f t="shared" si="67"/>
        <v/>
      </c>
      <c r="G78" s="1531" t="str">
        <f t="shared" si="68"/>
        <v/>
      </c>
      <c r="AI78" s="1333" t="s">
        <v>680</v>
      </c>
      <c r="BA78" s="328"/>
      <c r="CD78" s="328"/>
    </row>
    <row r="79" spans="2:82" x14ac:dyDescent="0.2">
      <c r="B79" s="107">
        <f t="shared" si="70"/>
        <v>46288</v>
      </c>
      <c r="C79" s="170">
        <f t="shared" si="70"/>
        <v>46288</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46289</v>
      </c>
      <c r="C80" s="170">
        <f t="shared" si="70"/>
        <v>46289</v>
      </c>
      <c r="D80" s="171" t="str">
        <f t="shared" si="66"/>
        <v/>
      </c>
      <c r="E80" s="171" t="str">
        <f t="shared" si="69"/>
        <v/>
      </c>
      <c r="F80" s="1531" t="str">
        <f t="shared" si="67"/>
        <v/>
      </c>
      <c r="G80" s="1531" t="str">
        <f t="shared" si="68"/>
        <v/>
      </c>
      <c r="BA80" s="328"/>
      <c r="CD80" s="328"/>
    </row>
    <row r="81" spans="2:82" x14ac:dyDescent="0.2">
      <c r="B81" s="107">
        <f t="shared" si="70"/>
        <v>46290</v>
      </c>
      <c r="C81" s="170">
        <f t="shared" si="70"/>
        <v>46290</v>
      </c>
      <c r="D81" s="171" t="str">
        <f t="shared" si="66"/>
        <v/>
      </c>
      <c r="E81" s="171" t="str">
        <f t="shared" si="69"/>
        <v/>
      </c>
      <c r="F81" s="1531" t="str">
        <f t="shared" si="67"/>
        <v/>
      </c>
      <c r="G81" s="1531" t="str">
        <f t="shared" si="68"/>
        <v/>
      </c>
      <c r="AI81" s="563" t="s">
        <v>518</v>
      </c>
      <c r="BA81" s="328"/>
      <c r="CD81" s="328"/>
    </row>
    <row r="82" spans="2:82" x14ac:dyDescent="0.2">
      <c r="B82" s="107">
        <f t="shared" si="70"/>
        <v>46291</v>
      </c>
      <c r="C82" s="170">
        <f t="shared" si="70"/>
        <v>46291</v>
      </c>
      <c r="D82" s="171" t="str">
        <f t="shared" si="66"/>
        <v/>
      </c>
      <c r="E82" s="171" t="str">
        <f t="shared" si="69"/>
        <v/>
      </c>
      <c r="F82" s="1531" t="str">
        <f t="shared" si="67"/>
        <v/>
      </c>
      <c r="G82" s="1531" t="str">
        <f t="shared" si="68"/>
        <v/>
      </c>
      <c r="AI82" s="1333" t="s">
        <v>681</v>
      </c>
      <c r="BA82" s="328"/>
      <c r="CD82" s="328"/>
    </row>
    <row r="83" spans="2:82" x14ac:dyDescent="0.2">
      <c r="B83" s="107">
        <f t="shared" si="70"/>
        <v>46292</v>
      </c>
      <c r="C83" s="170">
        <f t="shared" si="70"/>
        <v>46292</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46293</v>
      </c>
      <c r="C84" s="170">
        <f t="shared" si="70"/>
        <v>46293</v>
      </c>
      <c r="D84" s="171" t="str">
        <f t="shared" si="66"/>
        <v/>
      </c>
      <c r="E84" s="171" t="str">
        <f t="shared" si="69"/>
        <v/>
      </c>
      <c r="F84" s="1531" t="str">
        <f t="shared" si="67"/>
        <v/>
      </c>
      <c r="G84" s="1531" t="str">
        <f t="shared" si="68"/>
        <v/>
      </c>
      <c r="BA84" s="328"/>
      <c r="CD84" s="328"/>
    </row>
    <row r="85" spans="2:82" x14ac:dyDescent="0.2">
      <c r="B85" s="107">
        <f t="shared" si="70"/>
        <v>46294</v>
      </c>
      <c r="C85" s="170">
        <f t="shared" si="70"/>
        <v>46294</v>
      </c>
      <c r="D85" s="171" t="str">
        <f t="shared" si="66"/>
        <v/>
      </c>
      <c r="E85" s="171" t="str">
        <f t="shared" si="69"/>
        <v/>
      </c>
      <c r="F85" s="1531" t="str">
        <f t="shared" si="67"/>
        <v/>
      </c>
      <c r="G85" s="1531" t="str">
        <f t="shared" si="68"/>
        <v/>
      </c>
      <c r="AI85" s="1333" t="s">
        <v>335</v>
      </c>
      <c r="BA85" s="328"/>
      <c r="CD85" s="328"/>
    </row>
    <row r="86" spans="2:82" x14ac:dyDescent="0.2">
      <c r="B86" s="107">
        <f t="shared" si="70"/>
        <v>46295</v>
      </c>
      <c r="C86" s="170">
        <f t="shared" si="70"/>
        <v>46295</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C/AS4Ibc0DGjadF4sfjp5/NOzvAE3JBMTJHcGk2jzG2tjs/zFxx4Jg8dR2i1gbbU1hUkkKyVV/qfx0R80zxsDw==" saltValue="sxZZ5QkLyuA2jbXwoEaCu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560" priority="36">
      <formula>$R$3=$A$5</formula>
    </cfRule>
  </conditionalFormatting>
  <conditionalFormatting sqref="M19:Q23">
    <cfRule type="expression" dxfId="3559" priority="13">
      <formula>$E$11&gt;0</formula>
    </cfRule>
  </conditionalFormatting>
  <conditionalFormatting sqref="M26:R46">
    <cfRule type="expression" dxfId="3558" priority="3">
      <formula>$E$11=0</formula>
    </cfRule>
  </conditionalFormatting>
  <conditionalFormatting sqref="P17">
    <cfRule type="expression" dxfId="3557" priority="16">
      <formula>$E$11=0</formula>
    </cfRule>
  </conditionalFormatting>
  <conditionalFormatting sqref="P30">
    <cfRule type="expression" dxfId="3556" priority="7">
      <formula>AND($R$3="Méthode 1",$E$11&lt;0)</formula>
    </cfRule>
  </conditionalFormatting>
  <conditionalFormatting sqref="P33">
    <cfRule type="expression" dxfId="3555" priority="6">
      <formula>AND($R$3="Méthode 1",$E$11&lt;0)</formula>
    </cfRule>
  </conditionalFormatting>
  <conditionalFormatting sqref="Q17">
    <cfRule type="cellIs" dxfId="3554" priority="15" operator="equal">
      <formula>0</formula>
    </cfRule>
  </conditionalFormatting>
  <conditionalFormatting sqref="Q42">
    <cfRule type="expression" dxfId="3553" priority="5">
      <formula>AND($R$3="Méthode 1",$E$11&lt;0)</formula>
    </cfRule>
  </conditionalFormatting>
  <conditionalFormatting sqref="Q45">
    <cfRule type="expression" dxfId="3552" priority="4">
      <formula>AND($R$3="Méthode 1",$E$11&lt;0)</formula>
    </cfRule>
  </conditionalFormatting>
  <conditionalFormatting sqref="S7:AF7">
    <cfRule type="expression" dxfId="3551" priority="35">
      <formula>$R$3=$T$5</formula>
    </cfRule>
  </conditionalFormatting>
  <conditionalFormatting sqref="W19">
    <cfRule type="expression" dxfId="3550" priority="40">
      <formula>$EF$14=1</formula>
    </cfRule>
  </conditionalFormatting>
  <conditionalFormatting sqref="W21">
    <cfRule type="expression" dxfId="3549" priority="39">
      <formula>$EF$14=1</formula>
    </cfRule>
  </conditionalFormatting>
  <conditionalFormatting sqref="AC19">
    <cfRule type="expression" dxfId="3548" priority="38">
      <formula>$EF$14=1</formula>
    </cfRule>
  </conditionalFormatting>
  <conditionalFormatting sqref="AC21">
    <cfRule type="expression" dxfId="3547" priority="37">
      <formula>$EF$14=1</formula>
    </cfRule>
  </conditionalFormatting>
  <conditionalFormatting sqref="AH7:AZ7">
    <cfRule type="expression" dxfId="3546" priority="21">
      <formula>$R$3=$AI$5</formula>
    </cfRule>
  </conditionalFormatting>
  <conditionalFormatting sqref="AP50">
    <cfRule type="expression" dxfId="3545" priority="20">
      <formula>$R$3="Méthode 2"</formula>
    </cfRule>
  </conditionalFormatting>
  <conditionalFormatting sqref="AP52">
    <cfRule type="expression" dxfId="3544" priority="19">
      <formula>$R$3="Méthode 2"</formula>
    </cfRule>
  </conditionalFormatting>
  <conditionalFormatting sqref="AP61">
    <cfRule type="expression" dxfId="3543" priority="18">
      <formula>$R$3="Méthode 2"</formula>
    </cfRule>
  </conditionalFormatting>
  <conditionalFormatting sqref="AP64">
    <cfRule type="expression" dxfId="3542" priority="17">
      <formula>$R$3="Méthode 2"</formula>
    </cfRule>
  </conditionalFormatting>
  <conditionalFormatting sqref="BI50">
    <cfRule type="expression" dxfId="3541" priority="28">
      <formula>$BK$3="Méthode 1"</formula>
    </cfRule>
  </conditionalFormatting>
  <conditionalFormatting sqref="BJ29">
    <cfRule type="expression" dxfId="3540" priority="30">
      <formula>$BK$3="Méthode 1"</formula>
    </cfRule>
  </conditionalFormatting>
  <conditionalFormatting sqref="BJ45">
    <cfRule type="expression" dxfId="3539" priority="29">
      <formula>$BK$3="Méthode 1"</formula>
    </cfRule>
  </conditionalFormatting>
  <conditionalFormatting sqref="BR46">
    <cfRule type="expression" dxfId="3538" priority="27">
      <formula>$BK$3="Méthode 2"</formula>
    </cfRule>
  </conditionalFormatting>
  <conditionalFormatting sqref="BR49">
    <cfRule type="expression" dxfId="3537" priority="26">
      <formula>$BK$3="Méthode 2"</formula>
    </cfRule>
  </conditionalFormatting>
  <conditionalFormatting sqref="BW52">
    <cfRule type="expression" dxfId="3536" priority="23">
      <formula>$BK$3="Méthode 2"</formula>
    </cfRule>
  </conditionalFormatting>
  <conditionalFormatting sqref="BW54">
    <cfRule type="expression" dxfId="3535" priority="22">
      <formula>$BK$3="Méthode 2"</formula>
    </cfRule>
  </conditionalFormatting>
  <conditionalFormatting sqref="BZ46">
    <cfRule type="expression" dxfId="3534" priority="25">
      <formula>$BK$3="Méthode 2"</formula>
    </cfRule>
  </conditionalFormatting>
  <conditionalFormatting sqref="BZ49">
    <cfRule type="expression" dxfId="3533" priority="24">
      <formula>$BK$3="Méthode 2"</formula>
    </cfRule>
  </conditionalFormatting>
  <conditionalFormatting sqref="CG18:CG48">
    <cfRule type="cellIs" dxfId="3532"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6" man="1"/>
    <brk id="32" max="106" man="1"/>
    <brk id="52" max="106" man="1"/>
    <brk id="63"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+Octobre!DP4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+Octobre!AR13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+Octobre!AI3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+Octobre!I14</f>
        <v>0</v>
      </c>
      <c r="F10" s="149"/>
      <c r="G10" s="149"/>
      <c r="H10" s="149"/>
      <c r="I10" s="149"/>
      <c r="J10" s="149"/>
      <c r="K10" s="149"/>
      <c r="L10" s="149"/>
      <c r="P10" s="29" t="s">
        <v>1441</v>
      </c>
      <c r="Q10" s="338">
        <f>+Octobre!P18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+Octobre!T18+Octobre!T19</f>
        <v>0</v>
      </c>
      <c r="BI10" s="29" t="s">
        <v>1449</v>
      </c>
      <c r="BJ10" s="338">
        <f>+Octobre!AL14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+Octobre!U14</f>
        <v>0</v>
      </c>
      <c r="F11" s="149"/>
      <c r="G11" s="149"/>
      <c r="H11" s="149"/>
      <c r="I11" s="149"/>
      <c r="J11" s="149"/>
      <c r="K11" s="149"/>
      <c r="L11" s="149"/>
      <c r="M11" s="1179"/>
      <c r="N11" s="181"/>
      <c r="O11" s="1180"/>
      <c r="P11" s="181" t="s">
        <v>1104</v>
      </c>
      <c r="Q11" s="1181">
        <f>+Octobre!P19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+BJ10*(1+Octobre!N15)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+Octobre!X3</f>
        <v>46296</v>
      </c>
      <c r="M13" s="152"/>
      <c r="N13" s="153">
        <f>DATE(YEAR($D$13),MONTH($D$13)+1,DAY($D$13))</f>
        <v>46327</v>
      </c>
      <c r="O13" s="154">
        <f>N13</f>
        <v>46327</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46296</v>
      </c>
      <c r="BF13" s="152"/>
      <c r="BG13" s="153">
        <f>DATE(YEAR($D$13),MONTH($D$13)+1,DAY($D$13))</f>
        <v>46327</v>
      </c>
      <c r="BH13" s="154">
        <f>BG13</f>
        <v>46327</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46327</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46296</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46296</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46296</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+Octobre!BJ20</f>
        <v>Fiche infoA4</v>
      </c>
      <c r="B18" s="168">
        <f>+D13</f>
        <v>46296</v>
      </c>
      <c r="C18" s="169">
        <f>+$D$13</f>
        <v>46296</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Octobre!BC20</f>
        <v>0</v>
      </c>
      <c r="J18" s="34">
        <f>Octobre!BE20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infoA4</v>
      </c>
      <c r="BB18" s="168">
        <f>+BD13</f>
        <v>46296</v>
      </c>
      <c r="BC18" s="169">
        <f>+$D$13</f>
        <v>46296</v>
      </c>
      <c r="BD18" s="171" t="str">
        <f>+D18</f>
        <v/>
      </c>
      <c r="BE18" s="335" t="str">
        <f>+IF(OR(BF18=S.CAL!$BJ$3,BF18=S.CAL!$BJ$4),BD18,"")</f>
        <v/>
      </c>
      <c r="BF18" s="332">
        <f>IF($DY$5=S.CAL!$CU$2,Octobre!AR20,IF($DY$5=S.CAL!$CU$3,VLOOKUP(BC18,planning_fp,7,FALSE),""))</f>
        <v>0</v>
      </c>
      <c r="BG18" s="344" t="str">
        <f>Octobre!BL20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46296</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IF(+Octobre!AG20="",0,Octobre!AG20)</f>
        <v>0</v>
      </c>
      <c r="DZ18" s="16">
        <f>+IF(Octobre!AJ20="",0,Octobre!AJ20)</f>
        <v>0</v>
      </c>
      <c r="EA18" s="16">
        <f>+IF(Octobre!AM20="",0,Octobre!AM20)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46296</v>
      </c>
      <c r="EM18" s="16" t="str">
        <f>A18&amp;C18</f>
        <v>Fiche infoA446296</v>
      </c>
      <c r="EN18" s="16">
        <f t="shared" ref="EN18:EN48" si="20">+VLOOKUP(EM18,Base_feuille_présence_heure_potentiel,11,FALSE)</f>
        <v>0</v>
      </c>
      <c r="EQ18" s="16" t="str">
        <f>Octobre!FS20</f>
        <v/>
      </c>
    </row>
    <row r="19" spans="1:147" ht="18" customHeight="1" x14ac:dyDescent="0.2">
      <c r="A19" s="24" t="str">
        <f>+Octobre!BJ21</f>
        <v>Fiche infoA5</v>
      </c>
      <c r="B19" s="107">
        <f>C19</f>
        <v>46297</v>
      </c>
      <c r="C19" s="170">
        <f>+$D$13+1</f>
        <v>46297</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Octobre!BC21</f>
        <v>0</v>
      </c>
      <c r="J19" s="34">
        <f>Octobre!BE21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infoA5</v>
      </c>
      <c r="BB19" s="107">
        <f>BC19</f>
        <v>46297</v>
      </c>
      <c r="BC19" s="170">
        <f>+$D$13+1</f>
        <v>46297</v>
      </c>
      <c r="BD19" s="171" t="str">
        <f>+D19</f>
        <v/>
      </c>
      <c r="BE19" s="171" t="str">
        <f>+IF(OR(BF19=S.CAL!$BJ$3,BF19=S.CAL!$BJ$4),BD19,"")</f>
        <v/>
      </c>
      <c r="BF19" s="333">
        <f>IF($DY$5=S.CAL!$CU$2,Octobre!AR21,IF($DY$5=S.CAL!$CU$3,VLOOKUP(BC19,planning_fp,7,FALSE),""))</f>
        <v>0</v>
      </c>
      <c r="BG19" s="345" t="str">
        <f>Octobre!BL21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46297</v>
      </c>
      <c r="CF19" s="170">
        <f>+$D$13+1</f>
        <v>46297</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IF(+Octobre!AG21="",0,Octobre!AG21)</f>
        <v>0</v>
      </c>
      <c r="DZ19" s="16">
        <f>+IF(Octobre!AJ21="",0,Octobre!AJ21)</f>
        <v>0</v>
      </c>
      <c r="EA19" s="16">
        <f>+IF(Octobre!AM21="",0,Octobre!AM21)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46297</v>
      </c>
      <c r="EM19" s="16" t="str">
        <f t="shared" ref="EM19:EM48" si="29">A19&amp;C19</f>
        <v>Fiche infoA546297</v>
      </c>
      <c r="EN19" s="16">
        <f t="shared" si="20"/>
        <v>0</v>
      </c>
      <c r="EQ19" s="16" t="str">
        <f>Octobre!FS21</f>
        <v/>
      </c>
    </row>
    <row r="20" spans="1:147" ht="18" customHeight="1" x14ac:dyDescent="0.2">
      <c r="A20" s="24" t="str">
        <f>+Octobre!BJ22</f>
        <v>Fiche infoA6</v>
      </c>
      <c r="B20" s="107">
        <f t="shared" ref="B20:B48" si="30">C20</f>
        <v>46298</v>
      </c>
      <c r="C20" s="170">
        <f>+$D$13+2</f>
        <v>46298</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Octobre!BC22</f>
        <v>0</v>
      </c>
      <c r="J20" s="34">
        <f>Octobre!BE22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infoA6</v>
      </c>
      <c r="BB20" s="107">
        <f t="shared" ref="BB20:BB48" si="31">BC20</f>
        <v>46298</v>
      </c>
      <c r="BC20" s="170">
        <f>+$D$13+2</f>
        <v>46298</v>
      </c>
      <c r="BD20" s="171" t="str">
        <f t="shared" ref="BD20:BD48" si="32">+D20</f>
        <v/>
      </c>
      <c r="BE20" s="171" t="str">
        <f>+IF(OR(BF20=S.CAL!$BJ$3,BF20=S.CAL!$BJ$4),BD20,"")</f>
        <v/>
      </c>
      <c r="BF20" s="333">
        <f>IF($DY$5=S.CAL!$CU$2,Octobre!AR22,IF($DY$5=S.CAL!$CU$3,VLOOKUP(BC20,planning_fp,7,FALSE),""))</f>
        <v>0</v>
      </c>
      <c r="BG20" s="345" t="str">
        <f>Octobre!BL22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46298</v>
      </c>
      <c r="CF20" s="170">
        <f>+$D$13+2</f>
        <v>46298</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IF(+Octobre!AG22="",0,Octobre!AG22)</f>
        <v>0</v>
      </c>
      <c r="DZ20" s="16">
        <f>+IF(Octobre!AJ22="",0,Octobre!AJ22)</f>
        <v>0</v>
      </c>
      <c r="EA20" s="16">
        <f>+IF(Octobre!AM22="",0,Octobre!AM22)</f>
        <v>0</v>
      </c>
      <c r="EB20" s="16">
        <f t="shared" si="25"/>
        <v>0</v>
      </c>
      <c r="ED20" s="16">
        <f t="shared" si="26"/>
        <v>0</v>
      </c>
      <c r="EE20" s="16">
        <f t="shared" si="17"/>
        <v>0</v>
      </c>
      <c r="EF20" s="30" t="str">
        <f t="shared" si="18"/>
        <v/>
      </c>
      <c r="EG20" s="30" t="str">
        <f t="shared" si="27"/>
        <v/>
      </c>
      <c r="EH20" s="16">
        <f t="shared" si="28"/>
        <v>0</v>
      </c>
      <c r="EI20" s="30"/>
      <c r="EJ20" s="30">
        <f t="shared" si="19"/>
        <v>46298</v>
      </c>
      <c r="EM20" s="16" t="str">
        <f t="shared" si="29"/>
        <v>Fiche infoA646298</v>
      </c>
      <c r="EN20" s="16">
        <f t="shared" si="20"/>
        <v>0</v>
      </c>
      <c r="EQ20" s="16" t="str">
        <f>Octobre!FS22</f>
        <v/>
      </c>
    </row>
    <row r="21" spans="1:147" ht="18" customHeight="1" x14ac:dyDescent="0.2">
      <c r="A21" s="24" t="str">
        <f>+Octobre!BJ23</f>
        <v>Fiche infoA7</v>
      </c>
      <c r="B21" s="107">
        <f t="shared" si="30"/>
        <v>46299</v>
      </c>
      <c r="C21" s="170">
        <f>+$D$13+3</f>
        <v>46299</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Octobre!BC23</f>
        <v>0</v>
      </c>
      <c r="J21" s="34">
        <f>Octobre!BE23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infoA7</v>
      </c>
      <c r="BB21" s="107">
        <f t="shared" si="31"/>
        <v>46299</v>
      </c>
      <c r="BC21" s="170">
        <f>+$D$13+3</f>
        <v>46299</v>
      </c>
      <c r="BD21" s="171" t="str">
        <f t="shared" si="32"/>
        <v/>
      </c>
      <c r="BE21" s="171" t="str">
        <f>+IF(OR(BF21=S.CAL!$BJ$3,BF21=S.CAL!$BJ$4),BD21,"")</f>
        <v/>
      </c>
      <c r="BF21" s="333">
        <f>IF($DY$5=S.CAL!$CU$2,Octobre!AR23,IF($DY$5=S.CAL!$CU$3,VLOOKUP(BC21,planning_fp,7,FALSE),""))</f>
        <v>0</v>
      </c>
      <c r="BG21" s="345" t="str">
        <f>Octobre!BL23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46299</v>
      </c>
      <c r="CF21" s="170">
        <f>+$D$13+3</f>
        <v>46299</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IF(+Octobre!AG23="",0,Octobre!AG23)</f>
        <v>0</v>
      </c>
      <c r="DZ21" s="16">
        <f>+IF(Octobre!AJ23="",0,Octobre!AJ23)</f>
        <v>0</v>
      </c>
      <c r="EA21" s="16">
        <f>+IF(Octobre!AM23="",0,Octobre!AM23)</f>
        <v>0</v>
      </c>
      <c r="EB21" s="16">
        <f t="shared" si="25"/>
        <v>0</v>
      </c>
      <c r="ED21" s="16">
        <f t="shared" si="26"/>
        <v>0</v>
      </c>
      <c r="EE21" s="16">
        <f t="shared" si="17"/>
        <v>0</v>
      </c>
      <c r="EF21" s="30" t="str">
        <f t="shared" si="18"/>
        <v/>
      </c>
      <c r="EG21" s="30" t="str">
        <f t="shared" si="27"/>
        <v/>
      </c>
      <c r="EH21" s="16">
        <f t="shared" si="28"/>
        <v>0</v>
      </c>
      <c r="EI21" s="30"/>
      <c r="EJ21" s="30">
        <f t="shared" si="19"/>
        <v>46299</v>
      </c>
      <c r="EM21" s="16" t="str">
        <f t="shared" si="29"/>
        <v>Fiche infoA746299</v>
      </c>
      <c r="EN21" s="16">
        <f t="shared" si="20"/>
        <v>0</v>
      </c>
      <c r="EQ21" s="16" t="str">
        <f>Octobre!FS23</f>
        <v/>
      </c>
    </row>
    <row r="22" spans="1:147" ht="18" customHeight="1" x14ac:dyDescent="0.25">
      <c r="A22" s="24" t="str">
        <f>+Octobre!BJ24</f>
        <v>Fiche infoA1</v>
      </c>
      <c r="B22" s="107">
        <f t="shared" si="30"/>
        <v>46300</v>
      </c>
      <c r="C22" s="170">
        <f>+$D$13+4</f>
        <v>46300</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Octobre!BC24</f>
        <v>0</v>
      </c>
      <c r="J22" s="34">
        <f>Octobre!BE24</f>
        <v>0</v>
      </c>
      <c r="K22" s="34">
        <f t="shared" si="15"/>
        <v>0</v>
      </c>
      <c r="L22" s="34" t="str">
        <f t="shared" si="21"/>
        <v/>
      </c>
      <c r="O22" s="19"/>
      <c r="AK22" s="1189" t="s">
        <v>37</v>
      </c>
      <c r="AL22" s="1318">
        <f>+Octobre!AL14</f>
        <v>0</v>
      </c>
      <c r="BA22" s="331" t="str">
        <f t="shared" si="16"/>
        <v>Fiche infoA1</v>
      </c>
      <c r="BB22" s="107">
        <f t="shared" si="31"/>
        <v>46300</v>
      </c>
      <c r="BC22" s="170">
        <f>+$D$13+4</f>
        <v>46300</v>
      </c>
      <c r="BD22" s="171" t="str">
        <f t="shared" si="32"/>
        <v/>
      </c>
      <c r="BE22" s="171" t="str">
        <f>+IF(OR(BF22=S.CAL!$BJ$3,BF22=S.CAL!$BJ$4),BD22,"")</f>
        <v/>
      </c>
      <c r="BF22" s="333">
        <f>IF($DY$5=S.CAL!$CU$2,Octobre!AR24,IF($DY$5=S.CAL!$CU$3,VLOOKUP(BC22,planning_fp,7,FALSE),""))</f>
        <v>0</v>
      </c>
      <c r="BG22" s="345" t="str">
        <f>Octobre!BL24</f>
        <v>A</v>
      </c>
      <c r="BH22" s="148"/>
      <c r="BL22" s="144"/>
      <c r="BM22" s="195"/>
      <c r="CD22" s="328"/>
      <c r="CE22" s="107">
        <f t="shared" si="33"/>
        <v>46300</v>
      </c>
      <c r="CF22" s="170">
        <f>+$D$13+4</f>
        <v>46300</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IF(+Octobre!AG24="",0,Octobre!AG24)</f>
        <v>0</v>
      </c>
      <c r="DZ22" s="16">
        <f>+IF(Octobre!AJ24="",0,Octobre!AJ24)</f>
        <v>0</v>
      </c>
      <c r="EA22" s="16">
        <f>+IF(Octobre!AM24="",0,Octobre!AM24)</f>
        <v>0</v>
      </c>
      <c r="EB22" s="16">
        <f t="shared" si="25"/>
        <v>0</v>
      </c>
      <c r="ED22" s="16">
        <f t="shared" si="26"/>
        <v>0</v>
      </c>
      <c r="EE22" s="16">
        <f t="shared" si="17"/>
        <v>0</v>
      </c>
      <c r="EF22" s="30" t="str">
        <f t="shared" si="18"/>
        <v/>
      </c>
      <c r="EG22" s="30" t="str">
        <f t="shared" si="27"/>
        <v/>
      </c>
      <c r="EH22" s="16">
        <f t="shared" si="28"/>
        <v>0</v>
      </c>
      <c r="EI22" s="30"/>
      <c r="EJ22" s="30">
        <f t="shared" si="19"/>
        <v>46300</v>
      </c>
      <c r="EM22" s="16" t="str">
        <f t="shared" si="29"/>
        <v>Fiche infoA146300</v>
      </c>
      <c r="EN22" s="16">
        <f t="shared" si="20"/>
        <v>0</v>
      </c>
      <c r="EQ22" s="16" t="str">
        <f>Octobre!FS24</f>
        <v/>
      </c>
    </row>
    <row r="23" spans="1:147" ht="18" customHeight="1" x14ac:dyDescent="0.2">
      <c r="A23" s="24" t="str">
        <f>+Octobre!BJ25</f>
        <v>Fiche infoA2</v>
      </c>
      <c r="B23" s="107">
        <f t="shared" si="30"/>
        <v>46301</v>
      </c>
      <c r="C23" s="170">
        <f>+$D$13+5</f>
        <v>46301</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Octobre!BC25</f>
        <v>0</v>
      </c>
      <c r="J23" s="34">
        <f>Octobre!BE25</f>
        <v>0</v>
      </c>
      <c r="K23" s="34">
        <f t="shared" si="15"/>
        <v>0</v>
      </c>
      <c r="L23" s="34" t="str">
        <f t="shared" si="21"/>
        <v/>
      </c>
      <c r="O23" s="39" t="str">
        <f>+O21</f>
        <v xml:space="preserve">Retenue sur salaire = </v>
      </c>
      <c r="P23" s="671">
        <f>+P30+P33</f>
        <v>0</v>
      </c>
      <c r="T23" s="563" t="s">
        <v>1107</v>
      </c>
      <c r="Z23" s="563" t="s">
        <v>1107</v>
      </c>
      <c r="BA23" s="331" t="str">
        <f t="shared" si="16"/>
        <v>Fiche infoA2</v>
      </c>
      <c r="BB23" s="107">
        <f t="shared" si="31"/>
        <v>46301</v>
      </c>
      <c r="BC23" s="170">
        <f>+$D$13+5</f>
        <v>46301</v>
      </c>
      <c r="BD23" s="171" t="str">
        <f t="shared" si="32"/>
        <v/>
      </c>
      <c r="BE23" s="171" t="str">
        <f>+IF(OR(BF23=S.CAL!$BJ$3,BF23=S.CAL!$BJ$4),BD23,"")</f>
        <v/>
      </c>
      <c r="BF23" s="333">
        <f>IF($DY$5=S.CAL!$CU$2,Octobre!AR25,IF($DY$5=S.CAL!$CU$3,VLOOKUP(BC23,planning_fp,7,FALSE),""))</f>
        <v>0</v>
      </c>
      <c r="BG23" s="345" t="str">
        <f>Octobre!BL25</f>
        <v>A</v>
      </c>
      <c r="BH23" s="29"/>
      <c r="BI23" s="336"/>
      <c r="BL23" s="147"/>
      <c r="CD23" s="328"/>
      <c r="CE23" s="107">
        <f t="shared" si="33"/>
        <v>46301</v>
      </c>
      <c r="CF23" s="170">
        <f>+$D$13+5</f>
        <v>46301</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IF(+Octobre!AG25="",0,Octobre!AG25)</f>
        <v>0</v>
      </c>
      <c r="DZ23" s="16">
        <f>+IF(Octobre!AJ25="",0,Octobre!AJ25)</f>
        <v>0</v>
      </c>
      <c r="EA23" s="16">
        <f>+IF(Octobre!AM25="",0,Octobre!AM25)</f>
        <v>0</v>
      </c>
      <c r="EB23" s="16">
        <f t="shared" si="25"/>
        <v>0</v>
      </c>
      <c r="ED23" s="16">
        <f t="shared" si="26"/>
        <v>0</v>
      </c>
      <c r="EE23" s="16">
        <f t="shared" si="17"/>
        <v>0</v>
      </c>
      <c r="EF23" s="30" t="str">
        <f t="shared" si="18"/>
        <v/>
      </c>
      <c r="EG23" s="30" t="str">
        <f t="shared" si="27"/>
        <v/>
      </c>
      <c r="EH23" s="16">
        <f t="shared" si="28"/>
        <v>0</v>
      </c>
      <c r="EI23" s="30"/>
      <c r="EJ23" s="30">
        <f t="shared" si="19"/>
        <v>46301</v>
      </c>
      <c r="EM23" s="16" t="str">
        <f t="shared" si="29"/>
        <v>Fiche infoA246301</v>
      </c>
      <c r="EN23" s="16">
        <f t="shared" si="20"/>
        <v>0</v>
      </c>
      <c r="EQ23" s="16" t="str">
        <f>Octobre!FS25</f>
        <v/>
      </c>
    </row>
    <row r="24" spans="1:147" ht="18" customHeight="1" x14ac:dyDescent="0.2">
      <c r="A24" s="24" t="str">
        <f>+Octobre!BJ26</f>
        <v>Fiche infoA3</v>
      </c>
      <c r="B24" s="107">
        <f t="shared" si="30"/>
        <v>46302</v>
      </c>
      <c r="C24" s="170">
        <f>+$D$13+6</f>
        <v>46302</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Octobre!BC26</f>
        <v>0</v>
      </c>
      <c r="J24" s="34">
        <f>Octobre!BE26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infoA3</v>
      </c>
      <c r="BB24" s="107">
        <f t="shared" si="31"/>
        <v>46302</v>
      </c>
      <c r="BC24" s="170">
        <f>+$D$13+6</f>
        <v>46302</v>
      </c>
      <c r="BD24" s="171" t="str">
        <f t="shared" si="32"/>
        <v/>
      </c>
      <c r="BE24" s="171" t="str">
        <f>+IF(OR(BF24=S.CAL!$BJ$3,BF24=S.CAL!$BJ$4),BD24,"")</f>
        <v/>
      </c>
      <c r="BF24" s="333">
        <f>IF($DY$5=S.CAL!$CU$2,Octobre!AR26,IF($DY$5=S.CAL!$CU$3,VLOOKUP(BC24,planning_fp,7,FALSE),""))</f>
        <v>0</v>
      </c>
      <c r="BG24" s="345" t="str">
        <f>Octobre!BL26</f>
        <v>A</v>
      </c>
      <c r="BL24" s="35"/>
      <c r="BM24" s="195"/>
      <c r="BO24" s="29"/>
      <c r="BP24" s="182"/>
      <c r="BR24" s="16" t="s">
        <v>746</v>
      </c>
      <c r="BV24" s="355"/>
      <c r="BW24" s="355"/>
      <c r="BX24" s="355"/>
      <c r="BY24" s="355" t="s">
        <v>696</v>
      </c>
      <c r="BZ24" s="355"/>
      <c r="CA24" s="355"/>
      <c r="CB24" s="355"/>
      <c r="CD24" s="328"/>
      <c r="CE24" s="107">
        <f t="shared" si="33"/>
        <v>46302</v>
      </c>
      <c r="CF24" s="170">
        <f>+$D$13+6</f>
        <v>46302</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IF(+Octobre!AG26="",0,Octobre!AG26)</f>
        <v>0</v>
      </c>
      <c r="DZ24" s="16">
        <f>+IF(Octobre!AJ26="",0,Octobre!AJ26)</f>
        <v>0</v>
      </c>
      <c r="EA24" s="16">
        <f>+IF(Octobre!AM26="",0,Octobre!AM26)</f>
        <v>0</v>
      </c>
      <c r="EB24" s="16">
        <f t="shared" si="25"/>
        <v>0</v>
      </c>
      <c r="ED24" s="16">
        <f t="shared" si="26"/>
        <v>0</v>
      </c>
      <c r="EE24" s="16">
        <f t="shared" si="17"/>
        <v>0</v>
      </c>
      <c r="EF24" s="30" t="str">
        <f t="shared" si="18"/>
        <v/>
      </c>
      <c r="EG24" s="30" t="str">
        <f t="shared" si="27"/>
        <v/>
      </c>
      <c r="EH24" s="16">
        <f t="shared" si="28"/>
        <v>0</v>
      </c>
      <c r="EI24" s="30"/>
      <c r="EJ24" s="30">
        <f t="shared" si="19"/>
        <v>46302</v>
      </c>
      <c r="EM24" s="16" t="str">
        <f t="shared" si="29"/>
        <v>Fiche infoA346302</v>
      </c>
      <c r="EN24" s="16">
        <f t="shared" si="20"/>
        <v>0</v>
      </c>
      <c r="EQ24" s="16" t="str">
        <f>Octobre!FS26</f>
        <v/>
      </c>
    </row>
    <row r="25" spans="1:147" ht="18" customHeight="1" x14ac:dyDescent="0.2">
      <c r="A25" s="24" t="str">
        <f>+Octobre!BJ27</f>
        <v>Fiche infoA4</v>
      </c>
      <c r="B25" s="107">
        <f t="shared" si="30"/>
        <v>46303</v>
      </c>
      <c r="C25" s="170">
        <f>+$D$13+7</f>
        <v>46303</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Octobre!BC27</f>
        <v>0</v>
      </c>
      <c r="J25" s="34">
        <f>Octobre!BE27</f>
        <v>0</v>
      </c>
      <c r="K25" s="34">
        <f t="shared" si="15"/>
        <v>0</v>
      </c>
      <c r="L25" s="34" t="str">
        <f t="shared" si="21"/>
        <v/>
      </c>
      <c r="AK25" s="1189" t="s">
        <v>320</v>
      </c>
      <c r="AL25" s="1313">
        <f>+IF(AL22,AL24/AL22,0)</f>
        <v>0</v>
      </c>
      <c r="BA25" s="331" t="str">
        <f t="shared" si="16"/>
        <v>Fiche infoA4</v>
      </c>
      <c r="BB25" s="107">
        <f t="shared" si="31"/>
        <v>46303</v>
      </c>
      <c r="BC25" s="170">
        <f>+$D$13+7</f>
        <v>46303</v>
      </c>
      <c r="BD25" s="171" t="str">
        <f t="shared" si="32"/>
        <v/>
      </c>
      <c r="BE25" s="171" t="str">
        <f>+IF(OR(BF25=S.CAL!$BJ$3,BF25=S.CAL!$BJ$4),BD25,"")</f>
        <v/>
      </c>
      <c r="BF25" s="333">
        <f>IF($DY$5=S.CAL!$CU$2,Octobre!AR27,IF($DY$5=S.CAL!$CU$3,VLOOKUP(BC25,planning_fp,7,FALSE),""))</f>
        <v>0</v>
      </c>
      <c r="BG25" s="345" t="str">
        <f>Octobre!BL27</f>
        <v>A</v>
      </c>
      <c r="BH25" s="148"/>
      <c r="BL25" s="35"/>
      <c r="BO25" s="29"/>
      <c r="BP25" s="182"/>
      <c r="BV25" s="355"/>
      <c r="BW25" s="355"/>
      <c r="BX25" s="355"/>
      <c r="BY25" s="355"/>
      <c r="BZ25" s="355"/>
      <c r="CA25" s="355"/>
      <c r="CB25" s="355"/>
      <c r="CD25" s="328"/>
      <c r="CE25" s="107">
        <f t="shared" si="33"/>
        <v>46303</v>
      </c>
      <c r="CF25" s="170">
        <f>+$D$13+7</f>
        <v>46303</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IF(+Octobre!AG27="",0,Octobre!AG27)</f>
        <v>0</v>
      </c>
      <c r="DZ25" s="16">
        <f>+IF(Octobre!AJ27="",0,Octobre!AJ27)</f>
        <v>0</v>
      </c>
      <c r="EA25" s="16">
        <f>+IF(Octobre!AM27="",0,Octobre!AM27)</f>
        <v>0</v>
      </c>
      <c r="EB25" s="16">
        <f t="shared" si="25"/>
        <v>0</v>
      </c>
      <c r="ED25" s="16">
        <f t="shared" si="26"/>
        <v>0</v>
      </c>
      <c r="EE25" s="16">
        <f t="shared" si="17"/>
        <v>0</v>
      </c>
      <c r="EF25" s="30" t="str">
        <f t="shared" si="18"/>
        <v/>
      </c>
      <c r="EG25" s="30" t="str">
        <f t="shared" si="27"/>
        <v/>
      </c>
      <c r="EH25" s="16">
        <f t="shared" si="28"/>
        <v>0</v>
      </c>
      <c r="EI25" s="30"/>
      <c r="EJ25" s="30">
        <f t="shared" si="19"/>
        <v>46303</v>
      </c>
      <c r="EM25" s="16" t="str">
        <f t="shared" si="29"/>
        <v>Fiche infoA446303</v>
      </c>
      <c r="EN25" s="16">
        <f t="shared" si="20"/>
        <v>0</v>
      </c>
      <c r="EQ25" s="16" t="str">
        <f>Octobre!FS27</f>
        <v/>
      </c>
    </row>
    <row r="26" spans="1:147" ht="18" customHeight="1" x14ac:dyDescent="0.2">
      <c r="A26" s="24" t="str">
        <f>+Octobre!BJ28</f>
        <v>Fiche infoA5</v>
      </c>
      <c r="B26" s="107">
        <f t="shared" si="30"/>
        <v>46304</v>
      </c>
      <c r="C26" s="170">
        <f>+$D$13+8</f>
        <v>46304</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Octobre!BC28</f>
        <v>0</v>
      </c>
      <c r="J26" s="34">
        <f>Octobre!BE28</f>
        <v>0</v>
      </c>
      <c r="K26" s="34">
        <f t="shared" si="15"/>
        <v>0</v>
      </c>
      <c r="L26" s="34" t="str">
        <f t="shared" si="21"/>
        <v/>
      </c>
      <c r="O26" s="16" t="s">
        <v>1197</v>
      </c>
      <c r="AK26" s="1189" t="s">
        <v>321</v>
      </c>
      <c r="AL26" s="1313">
        <f>IF(AS21,SUM(AT13:AT20)/AS21,0)</f>
        <v>0</v>
      </c>
      <c r="BA26" s="331" t="str">
        <f t="shared" si="16"/>
        <v>Fiche infoA5</v>
      </c>
      <c r="BB26" s="107">
        <f t="shared" si="31"/>
        <v>46304</v>
      </c>
      <c r="BC26" s="170">
        <f>+$D$13+8</f>
        <v>46304</v>
      </c>
      <c r="BD26" s="171" t="str">
        <f t="shared" si="32"/>
        <v/>
      </c>
      <c r="BE26" s="171" t="str">
        <f>+IF(OR(BF26=S.CAL!$BJ$3,BF26=S.CAL!$BJ$4),BD26,"")</f>
        <v/>
      </c>
      <c r="BF26" s="333">
        <f>IF($DY$5=S.CAL!$CU$2,Octobre!AR28,IF($DY$5=S.CAL!$CU$3,VLOOKUP(BC26,planning_fp,7,FALSE),""))</f>
        <v>0</v>
      </c>
      <c r="BG26" s="345" t="str">
        <f>Octobre!BL28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46304</v>
      </c>
      <c r="CF26" s="170">
        <f>+$D$13+8</f>
        <v>46304</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IF(+Octobre!AG28="",0,Octobre!AG28)</f>
        <v>0</v>
      </c>
      <c r="DZ26" s="16">
        <f>+IF(Octobre!AJ28="",0,Octobre!AJ28)</f>
        <v>0</v>
      </c>
      <c r="EA26" s="16">
        <f>+IF(Octobre!AM28="",0,Octobre!AM28)</f>
        <v>0</v>
      </c>
      <c r="EB26" s="16">
        <f t="shared" si="25"/>
        <v>0</v>
      </c>
      <c r="ED26" s="16">
        <f t="shared" si="26"/>
        <v>0</v>
      </c>
      <c r="EE26" s="16">
        <f t="shared" si="17"/>
        <v>0</v>
      </c>
      <c r="EF26" s="30" t="str">
        <f t="shared" si="18"/>
        <v/>
      </c>
      <c r="EG26" s="30" t="str">
        <f t="shared" si="27"/>
        <v/>
      </c>
      <c r="EH26" s="16">
        <f t="shared" si="28"/>
        <v>0</v>
      </c>
      <c r="EI26" s="30"/>
      <c r="EJ26" s="30">
        <f t="shared" si="19"/>
        <v>46304</v>
      </c>
      <c r="EM26" s="16" t="str">
        <f t="shared" si="29"/>
        <v>Fiche infoA546304</v>
      </c>
      <c r="EN26" s="16">
        <f t="shared" si="20"/>
        <v>0</v>
      </c>
      <c r="EQ26" s="16" t="str">
        <f>Octobre!FS28</f>
        <v/>
      </c>
    </row>
    <row r="27" spans="1:147" ht="18" customHeight="1" x14ac:dyDescent="0.2">
      <c r="A27" s="24" t="str">
        <f>+Octobre!BJ29</f>
        <v>Fiche infoA6</v>
      </c>
      <c r="B27" s="107">
        <f t="shared" si="30"/>
        <v>46305</v>
      </c>
      <c r="C27" s="170">
        <f>+$D$13+9</f>
        <v>46305</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Octobre!BC29</f>
        <v>0</v>
      </c>
      <c r="J27" s="34">
        <f>Octobre!BE29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infoA6</v>
      </c>
      <c r="BB27" s="107">
        <f t="shared" si="31"/>
        <v>46305</v>
      </c>
      <c r="BC27" s="170">
        <f>+$D$13+9</f>
        <v>46305</v>
      </c>
      <c r="BD27" s="171" t="str">
        <f t="shared" si="32"/>
        <v/>
      </c>
      <c r="BE27" s="171" t="str">
        <f>+IF(OR(BF27=S.CAL!$BJ$3,BF27=S.CAL!$BJ$4),BD27,"")</f>
        <v/>
      </c>
      <c r="BF27" s="333">
        <f>IF($DY$5=S.CAL!$CU$2,Octobre!AR29,IF($DY$5=S.CAL!$CU$3,VLOOKUP(BC27,planning_fp,7,FALSE),""))</f>
        <v>0</v>
      </c>
      <c r="BG27" s="345" t="str">
        <f>Octobre!BL29</f>
        <v>A</v>
      </c>
      <c r="BI27" s="16" t="s">
        <v>746</v>
      </c>
      <c r="BL27" s="35"/>
      <c r="BP27" s="2465"/>
      <c r="BQ27" s="2465"/>
      <c r="BR27" s="2465"/>
      <c r="BS27" s="2465"/>
      <c r="BT27" s="2464"/>
      <c r="BV27" s="355"/>
      <c r="BW27" s="355"/>
      <c r="BX27" s="2543"/>
      <c r="BY27" s="2543"/>
      <c r="BZ27" s="2543"/>
      <c r="CA27" s="2543"/>
      <c r="CB27" s="2542"/>
      <c r="CD27" s="328"/>
      <c r="CE27" s="107">
        <f t="shared" si="33"/>
        <v>46305</v>
      </c>
      <c r="CF27" s="170">
        <f>+$D$13+9</f>
        <v>46305</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IF(+Octobre!AG29="",0,Octobre!AG29)</f>
        <v>0</v>
      </c>
      <c r="DZ27" s="16">
        <f>+IF(Octobre!AJ29="",0,Octobre!AJ29)</f>
        <v>0</v>
      </c>
      <c r="EA27" s="16">
        <f>+IF(Octobre!AM29="",0,Octobre!AM29)</f>
        <v>0</v>
      </c>
      <c r="EB27" s="16">
        <f t="shared" si="25"/>
        <v>0</v>
      </c>
      <c r="ED27" s="16">
        <f t="shared" si="26"/>
        <v>0</v>
      </c>
      <c r="EE27" s="16">
        <f t="shared" si="17"/>
        <v>0</v>
      </c>
      <c r="EF27" s="30" t="str">
        <f t="shared" si="18"/>
        <v/>
      </c>
      <c r="EG27" s="30" t="str">
        <f t="shared" si="27"/>
        <v/>
      </c>
      <c r="EH27" s="16">
        <f t="shared" si="28"/>
        <v>0</v>
      </c>
      <c r="EI27" s="30"/>
      <c r="EJ27" s="30">
        <f t="shared" si="19"/>
        <v>46305</v>
      </c>
      <c r="EM27" s="16" t="str">
        <f t="shared" si="29"/>
        <v>Fiche infoA646305</v>
      </c>
      <c r="EN27" s="16">
        <f t="shared" si="20"/>
        <v>0</v>
      </c>
      <c r="EQ27" s="16" t="str">
        <f>Octobre!FS29</f>
        <v/>
      </c>
    </row>
    <row r="28" spans="1:147" ht="18" customHeight="1" x14ac:dyDescent="0.2">
      <c r="A28" s="24" t="str">
        <f>+Octobre!BJ30</f>
        <v>Fiche infoA7</v>
      </c>
      <c r="B28" s="107">
        <f t="shared" si="30"/>
        <v>46306</v>
      </c>
      <c r="C28" s="170">
        <f>+$D$13+10</f>
        <v>46306</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Octobre!BC30</f>
        <v>0</v>
      </c>
      <c r="J28" s="34">
        <f>Octobre!BE30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infoA7</v>
      </c>
      <c r="BB28" s="107">
        <f t="shared" si="31"/>
        <v>46306</v>
      </c>
      <c r="BC28" s="170">
        <f>+$D$13+10</f>
        <v>46306</v>
      </c>
      <c r="BD28" s="171" t="str">
        <f t="shared" si="32"/>
        <v/>
      </c>
      <c r="BE28" s="171" t="str">
        <f>+IF(OR(BF28=S.CAL!$BJ$3,BF28=S.CAL!$BJ$4),BD28,"")</f>
        <v/>
      </c>
      <c r="BF28" s="333">
        <f>IF($DY$5=S.CAL!$CU$2,Octobre!AR30,IF($DY$5=S.CAL!$CU$3,VLOOKUP(BC28,planning_fp,7,FALSE),""))</f>
        <v>0</v>
      </c>
      <c r="BG28" s="345" t="str">
        <f>Octobre!BL30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46306</v>
      </c>
      <c r="CF28" s="170">
        <f>+$D$13+10</f>
        <v>46306</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IF(+Octobre!AG30="",0,Octobre!AG30)</f>
        <v>0</v>
      </c>
      <c r="DZ28" s="16">
        <f>+IF(Octobre!AJ30="",0,Octobre!AJ30)</f>
        <v>0</v>
      </c>
      <c r="EA28" s="16">
        <f>+IF(Octobre!AM30="",0,Octobre!AM30)</f>
        <v>0</v>
      </c>
      <c r="EB28" s="16">
        <f t="shared" si="25"/>
        <v>0</v>
      </c>
      <c r="ED28" s="16">
        <f t="shared" si="26"/>
        <v>0</v>
      </c>
      <c r="EE28" s="16">
        <f t="shared" si="17"/>
        <v>0</v>
      </c>
      <c r="EF28" s="30" t="str">
        <f t="shared" si="18"/>
        <v/>
      </c>
      <c r="EG28" s="30" t="str">
        <f t="shared" si="27"/>
        <v/>
      </c>
      <c r="EH28" s="16">
        <f t="shared" si="28"/>
        <v>0</v>
      </c>
      <c r="EI28" s="30"/>
      <c r="EJ28" s="30">
        <f t="shared" si="19"/>
        <v>46306</v>
      </c>
      <c r="EM28" s="16" t="str">
        <f t="shared" si="29"/>
        <v>Fiche infoA746306</v>
      </c>
      <c r="EN28" s="16">
        <f t="shared" si="20"/>
        <v>0</v>
      </c>
      <c r="EQ28" s="16" t="str">
        <f>Octobre!FS30</f>
        <v/>
      </c>
    </row>
    <row r="29" spans="1:147" ht="18" customHeight="1" x14ac:dyDescent="0.2">
      <c r="A29" s="24" t="str">
        <f>+Octobre!BJ31</f>
        <v>Fiche infoA1</v>
      </c>
      <c r="B29" s="107">
        <f t="shared" si="30"/>
        <v>46307</v>
      </c>
      <c r="C29" s="170">
        <f>+$D$13+11</f>
        <v>46307</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Octobre!BC31</f>
        <v>0</v>
      </c>
      <c r="J29" s="34">
        <f>Octobre!BE31</f>
        <v>0</v>
      </c>
      <c r="K29" s="34">
        <f t="shared" si="15"/>
        <v>0</v>
      </c>
      <c r="L29" s="34" t="str">
        <f t="shared" si="21"/>
        <v/>
      </c>
      <c r="O29" s="859" t="s">
        <v>1444</v>
      </c>
      <c r="P29" s="859"/>
      <c r="Q29" s="859"/>
      <c r="R29" s="859"/>
      <c r="BA29" s="331" t="str">
        <f t="shared" si="16"/>
        <v>Fiche infoA1</v>
      </c>
      <c r="BB29" s="107">
        <f t="shared" si="31"/>
        <v>46307</v>
      </c>
      <c r="BC29" s="170">
        <f>+$D$13+11</f>
        <v>46307</v>
      </c>
      <c r="BD29" s="171" t="str">
        <f t="shared" si="32"/>
        <v/>
      </c>
      <c r="BE29" s="171" t="str">
        <f>+IF(OR(BF29=S.CAL!$BJ$3,BF29=S.CAL!$BJ$4),BD29,"")</f>
        <v/>
      </c>
      <c r="BF29" s="333">
        <f>IF($DY$5=S.CAL!$CU$2,Octobre!AR31,IF($DY$5=S.CAL!$CU$3,VLOOKUP(BC29,planning_fp,7,FALSE),""))</f>
        <v>0</v>
      </c>
      <c r="BG29" s="345" t="str">
        <f>Octobre!BL31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46307</v>
      </c>
      <c r="CF29" s="170">
        <f>+$D$13+11</f>
        <v>46307</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IF(+Octobre!AG31="",0,Octobre!AG31)</f>
        <v>0</v>
      </c>
      <c r="DZ29" s="16">
        <f>+IF(Octobre!AJ31="",0,Octobre!AJ31)</f>
        <v>0</v>
      </c>
      <c r="EA29" s="16">
        <f>+IF(Octobre!AM31="",0,Octobre!AM31)</f>
        <v>0</v>
      </c>
      <c r="EB29" s="16">
        <f t="shared" si="25"/>
        <v>0</v>
      </c>
      <c r="ED29" s="16">
        <f t="shared" si="26"/>
        <v>0</v>
      </c>
      <c r="EE29" s="16">
        <f t="shared" si="17"/>
        <v>0</v>
      </c>
      <c r="EF29" s="30" t="str">
        <f t="shared" si="18"/>
        <v/>
      </c>
      <c r="EG29" s="30" t="str">
        <f t="shared" si="27"/>
        <v/>
      </c>
      <c r="EH29" s="16">
        <f t="shared" si="28"/>
        <v>0</v>
      </c>
      <c r="EI29" s="30"/>
      <c r="EJ29" s="30">
        <f t="shared" si="19"/>
        <v>46307</v>
      </c>
      <c r="EM29" s="16" t="str">
        <f t="shared" si="29"/>
        <v>Fiche infoA146307</v>
      </c>
      <c r="EN29" s="16">
        <f t="shared" si="20"/>
        <v>0</v>
      </c>
      <c r="EQ29" s="16" t="str">
        <f>Octobre!FS31</f>
        <v/>
      </c>
    </row>
    <row r="30" spans="1:147" ht="18" customHeight="1" x14ac:dyDescent="0.25">
      <c r="A30" s="24" t="str">
        <f>+Octobre!BJ32</f>
        <v>Fiche infoA2</v>
      </c>
      <c r="B30" s="107">
        <f t="shared" si="30"/>
        <v>46308</v>
      </c>
      <c r="C30" s="170">
        <f>+$D$13+12</f>
        <v>46308</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Octobre!BC32</f>
        <v>0</v>
      </c>
      <c r="J30" s="34">
        <f>Octobre!BE32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46296</v>
      </c>
      <c r="AP30" s="2555"/>
      <c r="AQ30" s="2555"/>
      <c r="BA30" s="331" t="str">
        <f t="shared" si="16"/>
        <v>Fiche infoA2</v>
      </c>
      <c r="BB30" s="107">
        <f t="shared" si="31"/>
        <v>46308</v>
      </c>
      <c r="BC30" s="170">
        <f>+$D$13+12</f>
        <v>46308</v>
      </c>
      <c r="BD30" s="171" t="str">
        <f t="shared" si="32"/>
        <v/>
      </c>
      <c r="BE30" s="171" t="str">
        <f>+IF(OR(BF30=S.CAL!$BJ$3,BF30=S.CAL!$BJ$4),BD30,"")</f>
        <v/>
      </c>
      <c r="BF30" s="333">
        <f>IF($DY$5=S.CAL!$CU$2,Octobre!AR32,IF($DY$5=S.CAL!$CU$3,VLOOKUP(BC30,planning_fp,7,FALSE),""))</f>
        <v>0</v>
      </c>
      <c r="BG30" s="345" t="str">
        <f>Octobre!BL32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46308</v>
      </c>
      <c r="CF30" s="170">
        <f>+$D$13+12</f>
        <v>46308</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IF(+Octobre!AG32="",0,Octobre!AG32)</f>
        <v>0</v>
      </c>
      <c r="DZ30" s="16">
        <f>+IF(Octobre!AJ32="",0,Octobre!AJ32)</f>
        <v>0</v>
      </c>
      <c r="EA30" s="16">
        <f>+IF(Octobre!AM32="",0,Octobre!AM32)</f>
        <v>0</v>
      </c>
      <c r="EB30" s="16">
        <f t="shared" si="25"/>
        <v>0</v>
      </c>
      <c r="ED30" s="16">
        <f t="shared" si="26"/>
        <v>0</v>
      </c>
      <c r="EE30" s="16">
        <f t="shared" si="17"/>
        <v>0</v>
      </c>
      <c r="EF30" s="30" t="str">
        <f t="shared" si="18"/>
        <v/>
      </c>
      <c r="EG30" s="30" t="str">
        <f t="shared" si="27"/>
        <v/>
      </c>
      <c r="EH30" s="16">
        <f t="shared" si="28"/>
        <v>0</v>
      </c>
      <c r="EI30" s="30"/>
      <c r="EJ30" s="30">
        <f t="shared" si="19"/>
        <v>46308</v>
      </c>
      <c r="EM30" s="16" t="str">
        <f t="shared" si="29"/>
        <v>Fiche infoA246308</v>
      </c>
      <c r="EN30" s="16">
        <f t="shared" si="20"/>
        <v>0</v>
      </c>
      <c r="EQ30" s="16" t="str">
        <f>Octobre!FS32</f>
        <v/>
      </c>
    </row>
    <row r="31" spans="1:147" ht="18" customHeight="1" x14ac:dyDescent="0.2">
      <c r="A31" s="24" t="str">
        <f>+Octobre!BJ33</f>
        <v>Fiche infoA3</v>
      </c>
      <c r="B31" s="107">
        <f t="shared" si="30"/>
        <v>46309</v>
      </c>
      <c r="C31" s="170">
        <f>+$D$13+13</f>
        <v>46309</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Octobre!BC33</f>
        <v>0</v>
      </c>
      <c r="J31" s="34">
        <f>Octobre!BE33</f>
        <v>0</v>
      </c>
      <c r="K31" s="34">
        <f t="shared" si="15"/>
        <v>0</v>
      </c>
      <c r="L31" s="34" t="str">
        <f t="shared" si="21"/>
        <v/>
      </c>
      <c r="AL31" s="563" t="s">
        <v>342</v>
      </c>
      <c r="BA31" s="331" t="str">
        <f t="shared" si="16"/>
        <v>Fiche infoA3</v>
      </c>
      <c r="BB31" s="107">
        <f t="shared" si="31"/>
        <v>46309</v>
      </c>
      <c r="BC31" s="170">
        <f>+$D$13+13</f>
        <v>46309</v>
      </c>
      <c r="BD31" s="171" t="str">
        <f t="shared" si="32"/>
        <v/>
      </c>
      <c r="BE31" s="171" t="str">
        <f>+IF(OR(BF31=S.CAL!$BJ$3,BF31=S.CAL!$BJ$4),BD31,"")</f>
        <v/>
      </c>
      <c r="BF31" s="333">
        <f>IF($DY$5=S.CAL!$CU$2,Octobre!AR33,IF($DY$5=S.CAL!$CU$3,VLOOKUP(BC31,planning_fp,7,FALSE),""))</f>
        <v>0</v>
      </c>
      <c r="BG31" s="345" t="str">
        <f>Octobre!BL33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46309</v>
      </c>
      <c r="CF31" s="170">
        <f>+$D$13+13</f>
        <v>46309</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IF(+Octobre!AG33="",0,Octobre!AG33)</f>
        <v>0</v>
      </c>
      <c r="DZ31" s="16">
        <f>+IF(Octobre!AJ33="",0,Octobre!AJ33)</f>
        <v>0</v>
      </c>
      <c r="EA31" s="16">
        <f>+IF(Octobre!AM33="",0,Octobre!AM33)</f>
        <v>0</v>
      </c>
      <c r="EB31" s="16">
        <f t="shared" si="25"/>
        <v>0</v>
      </c>
      <c r="ED31" s="16">
        <f t="shared" si="26"/>
        <v>0</v>
      </c>
      <c r="EE31" s="16">
        <f t="shared" si="17"/>
        <v>0</v>
      </c>
      <c r="EF31" s="30" t="str">
        <f t="shared" si="18"/>
        <v/>
      </c>
      <c r="EG31" s="30" t="str">
        <f t="shared" si="27"/>
        <v/>
      </c>
      <c r="EH31" s="16">
        <f t="shared" si="28"/>
        <v>0</v>
      </c>
      <c r="EI31" s="30"/>
      <c r="EJ31" s="30">
        <f t="shared" si="19"/>
        <v>46309</v>
      </c>
      <c r="EM31" s="16" t="str">
        <f t="shared" si="29"/>
        <v>Fiche infoA346309</v>
      </c>
      <c r="EN31" s="16">
        <f t="shared" si="20"/>
        <v>0</v>
      </c>
      <c r="EQ31" s="16" t="str">
        <f>Octobre!FS33</f>
        <v/>
      </c>
    </row>
    <row r="32" spans="1:147" ht="18" customHeight="1" x14ac:dyDescent="0.2">
      <c r="A32" s="24" t="str">
        <f>+Octobre!BJ34</f>
        <v>Fiche infoA4</v>
      </c>
      <c r="B32" s="107">
        <f t="shared" si="30"/>
        <v>46310</v>
      </c>
      <c r="C32" s="170">
        <f>+$D$13+14</f>
        <v>46310</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Octobre!BC34</f>
        <v>0</v>
      </c>
      <c r="J32" s="34">
        <f>Octobre!BE34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infoA4</v>
      </c>
      <c r="BB32" s="107">
        <f t="shared" si="31"/>
        <v>46310</v>
      </c>
      <c r="BC32" s="170">
        <f>+$D$13+14</f>
        <v>46310</v>
      </c>
      <c r="BD32" s="171" t="str">
        <f t="shared" si="32"/>
        <v/>
      </c>
      <c r="BE32" s="171" t="str">
        <f>+IF(OR(BF32=S.CAL!$BJ$3,BF32=S.CAL!$BJ$4),BD32,"")</f>
        <v/>
      </c>
      <c r="BF32" s="333">
        <f>IF($DY$5=S.CAL!$CU$2,Octobre!AR34,IF($DY$5=S.CAL!$CU$3,VLOOKUP(BC32,planning_fp,7,FALSE),""))</f>
        <v>0</v>
      </c>
      <c r="BG32" s="345" t="str">
        <f>Octobre!BL34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46310</v>
      </c>
      <c r="CF32" s="170">
        <f>+$D$13+14</f>
        <v>46310</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IF(+Octobre!AG34="",0,Octobre!AG34)</f>
        <v>0</v>
      </c>
      <c r="DZ32" s="16">
        <f>+IF(Octobre!AJ34="",0,Octobre!AJ34)</f>
        <v>0</v>
      </c>
      <c r="EA32" s="16">
        <f>+IF(Octobre!AM34="",0,Octobre!AM34)</f>
        <v>0</v>
      </c>
      <c r="EB32" s="16">
        <f t="shared" si="25"/>
        <v>0</v>
      </c>
      <c r="ED32" s="16">
        <f t="shared" si="26"/>
        <v>0</v>
      </c>
      <c r="EE32" s="16">
        <f t="shared" si="17"/>
        <v>0</v>
      </c>
      <c r="EF32" s="30" t="str">
        <f t="shared" si="18"/>
        <v/>
      </c>
      <c r="EG32" s="30" t="str">
        <f t="shared" si="27"/>
        <v/>
      </c>
      <c r="EH32" s="16">
        <f t="shared" si="28"/>
        <v>0</v>
      </c>
      <c r="EI32" s="30"/>
      <c r="EJ32" s="30">
        <f t="shared" si="19"/>
        <v>46310</v>
      </c>
      <c r="EM32" s="16" t="str">
        <f t="shared" si="29"/>
        <v>Fiche infoA446310</v>
      </c>
      <c r="EN32" s="16">
        <f t="shared" si="20"/>
        <v>0</v>
      </c>
      <c r="EQ32" s="16" t="str">
        <f>Octobre!FS34</f>
        <v/>
      </c>
    </row>
    <row r="33" spans="1:147" ht="18" customHeight="1" x14ac:dyDescent="0.2">
      <c r="A33" s="24" t="str">
        <f>+Octobre!BJ35</f>
        <v>Fiche infoA5</v>
      </c>
      <c r="B33" s="107">
        <f t="shared" si="30"/>
        <v>46311</v>
      </c>
      <c r="C33" s="170">
        <f>+$D$13+15</f>
        <v>46311</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Octobre!BC35</f>
        <v>0</v>
      </c>
      <c r="J33" s="34">
        <f>Octobre!BE35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infoA5</v>
      </c>
      <c r="BB33" s="107">
        <f t="shared" si="31"/>
        <v>46311</v>
      </c>
      <c r="BC33" s="170">
        <f>+$D$13+15</f>
        <v>46311</v>
      </c>
      <c r="BD33" s="171" t="str">
        <f t="shared" si="32"/>
        <v/>
      </c>
      <c r="BE33" s="171" t="str">
        <f>+IF(OR(BF33=S.CAL!$BJ$3,BF33=S.CAL!$BJ$4),BD33,"")</f>
        <v/>
      </c>
      <c r="BF33" s="333">
        <f>IF($DY$5=S.CAL!$CU$2,Octobre!AR35,IF($DY$5=S.CAL!$CU$3,VLOOKUP(BC33,planning_fp,7,FALSE),""))</f>
        <v>0</v>
      </c>
      <c r="BG33" s="345" t="str">
        <f>Octobre!BL35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46311</v>
      </c>
      <c r="CF33" s="170">
        <f>+$D$13+15</f>
        <v>46311</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IF(+Octobre!AG35="",0,Octobre!AG35)</f>
        <v>0</v>
      </c>
      <c r="DZ33" s="16">
        <f>+IF(Octobre!AJ35="",0,Octobre!AJ35)</f>
        <v>0</v>
      </c>
      <c r="EA33" s="16">
        <f>+IF(Octobre!AM35="",0,Octobre!AM35)</f>
        <v>0</v>
      </c>
      <c r="EB33" s="16">
        <f t="shared" si="25"/>
        <v>0</v>
      </c>
      <c r="ED33" s="16">
        <f t="shared" si="26"/>
        <v>0</v>
      </c>
      <c r="EE33" s="16">
        <f t="shared" si="17"/>
        <v>0</v>
      </c>
      <c r="EF33" s="30" t="str">
        <f t="shared" si="18"/>
        <v/>
      </c>
      <c r="EG33" s="30" t="str">
        <f t="shared" si="27"/>
        <v/>
      </c>
      <c r="EH33" s="16">
        <f t="shared" si="28"/>
        <v>0</v>
      </c>
      <c r="EI33" s="30"/>
      <c r="EJ33" s="30">
        <f t="shared" si="19"/>
        <v>46311</v>
      </c>
      <c r="EM33" s="16" t="str">
        <f t="shared" si="29"/>
        <v>Fiche infoA546311</v>
      </c>
      <c r="EN33" s="16">
        <f t="shared" si="20"/>
        <v>0</v>
      </c>
      <c r="EQ33" s="16" t="str">
        <f>Octobre!FS35</f>
        <v/>
      </c>
    </row>
    <row r="34" spans="1:147" ht="18" customHeight="1" x14ac:dyDescent="0.2">
      <c r="A34" s="24" t="str">
        <f>+Octobre!BJ36</f>
        <v>Fiche infoA6</v>
      </c>
      <c r="B34" s="107">
        <f t="shared" si="30"/>
        <v>46312</v>
      </c>
      <c r="C34" s="170">
        <f>+$D$13+16</f>
        <v>46312</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Octobre!BC36</f>
        <v>0</v>
      </c>
      <c r="J34" s="34">
        <f>Octobre!BE36</f>
        <v>0</v>
      </c>
      <c r="K34" s="34">
        <f t="shared" si="15"/>
        <v>0</v>
      </c>
      <c r="L34" s="34" t="str">
        <f t="shared" si="21"/>
        <v/>
      </c>
      <c r="N34" s="377"/>
      <c r="O34" s="377"/>
      <c r="P34" s="377"/>
      <c r="Q34" s="377"/>
      <c r="R34" s="377"/>
      <c r="T34" s="563">
        <f>+IF(AD34=0,V34,0)</f>
        <v>0</v>
      </c>
      <c r="U34" s="1301" t="str">
        <f>+Octobre!AU4</f>
        <v>A</v>
      </c>
      <c r="V34" s="1301">
        <f>IFERROR(+VLOOKUP(U34,U35:AB39,7,FALSE),"")</f>
        <v>0</v>
      </c>
      <c r="W34" s="2538" t="str">
        <f>Octobre!BS28</f>
        <v>Semaine numéro : 40</v>
      </c>
      <c r="X34" s="2538"/>
      <c r="Y34" s="2538"/>
      <c r="Z34" s="1323"/>
      <c r="AA34" s="1316">
        <f>+IF(Z34&lt;&gt;"",Z34,IF(T34&gt;0,T34,IF(AND(AD34&gt;0,AC34&gt;0),AD34+AC34,IF(AE34&gt;0,0,AC34))))</f>
        <v>0</v>
      </c>
      <c r="AB34" s="1316">
        <f>IF(AND(AA34&gt;45,AD34=AD48),AA34-45,0)</f>
        <v>0</v>
      </c>
      <c r="AC34" s="1322">
        <f>+SUMIF(Octobre!$BK$20:$BK$50,Octobre!AT4,$D$18:$D$48)</f>
        <v>0</v>
      </c>
      <c r="AD34" s="1322">
        <f>+SUMIF(Septembre!$BK$20:$BK$50,Octobre!AT4,'Retenue Sept'!$D$18:$D$48)</f>
        <v>0</v>
      </c>
      <c r="AE34" s="1322">
        <f>+SUMIF(Novembre!$BK$20:$BK$50,Octobre!AT4,'Retenue Nov'!$D$18:$D$48)</f>
        <v>0</v>
      </c>
      <c r="AF34" s="1316">
        <f>+AC34-AB34</f>
        <v>0</v>
      </c>
      <c r="AK34" s="1189" t="s">
        <v>324</v>
      </c>
      <c r="AL34" s="1302" t="e">
        <f>IF(AL32,+AL24/AL32,0)</f>
        <v>#VALUE!</v>
      </c>
      <c r="BA34" s="331" t="str">
        <f t="shared" si="16"/>
        <v>Fiche infoA6</v>
      </c>
      <c r="BB34" s="107">
        <f t="shared" si="31"/>
        <v>46312</v>
      </c>
      <c r="BC34" s="170">
        <f>+$D$13+16</f>
        <v>46312</v>
      </c>
      <c r="BD34" s="171" t="str">
        <f t="shared" si="32"/>
        <v/>
      </c>
      <c r="BE34" s="171" t="str">
        <f>+IF(OR(BF34=S.CAL!$BJ$3,BF34=S.CAL!$BJ$4),BD34,"")</f>
        <v/>
      </c>
      <c r="BF34" s="333">
        <f>IF($DY$5=S.CAL!$CU$2,Octobre!AR36,IF($DY$5=S.CAL!$CU$3,VLOOKUP(BC34,planning_fp,7,FALSE),""))</f>
        <v>0</v>
      </c>
      <c r="BG34" s="345" t="str">
        <f>Octobre!BL36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46312</v>
      </c>
      <c r="CF34" s="170">
        <f>+$D$13+16</f>
        <v>46312</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IF(+Octobre!AG36="",0,Octobre!AG36)</f>
        <v>0</v>
      </c>
      <c r="DZ34" s="16">
        <f>+IF(Octobre!AJ36="",0,Octobre!AJ36)</f>
        <v>0</v>
      </c>
      <c r="EA34" s="16">
        <f>+IF(Octobre!AM36="",0,Octobre!AM36)</f>
        <v>0</v>
      </c>
      <c r="EB34" s="16">
        <f t="shared" si="25"/>
        <v>0</v>
      </c>
      <c r="ED34" s="16">
        <f t="shared" si="26"/>
        <v>0</v>
      </c>
      <c r="EE34" s="16">
        <f t="shared" si="17"/>
        <v>0</v>
      </c>
      <c r="EF34" s="30" t="str">
        <f t="shared" si="18"/>
        <v/>
      </c>
      <c r="EG34" s="30" t="str">
        <f t="shared" si="27"/>
        <v/>
      </c>
      <c r="EH34" s="16">
        <f t="shared" si="28"/>
        <v>0</v>
      </c>
      <c r="EI34" s="30"/>
      <c r="EJ34" s="30">
        <f t="shared" si="19"/>
        <v>46312</v>
      </c>
      <c r="EM34" s="16" t="str">
        <f t="shared" si="29"/>
        <v>Fiche infoA646312</v>
      </c>
      <c r="EN34" s="16">
        <f t="shared" si="20"/>
        <v>0</v>
      </c>
      <c r="EQ34" s="16" t="str">
        <f>Octobre!FS36</f>
        <v/>
      </c>
    </row>
    <row r="35" spans="1:147" ht="18" customHeight="1" x14ac:dyDescent="0.2">
      <c r="A35" s="24" t="str">
        <f>+Octobre!BJ37</f>
        <v>Fiche infoA7</v>
      </c>
      <c r="B35" s="107">
        <f t="shared" si="30"/>
        <v>46313</v>
      </c>
      <c r="C35" s="170">
        <f>+$D$13+17</f>
        <v>46313</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Octobre!BC37</f>
        <v>0</v>
      </c>
      <c r="J35" s="34">
        <f>Octobre!BE37</f>
        <v>0</v>
      </c>
      <c r="K35" s="34">
        <f t="shared" si="15"/>
        <v>0</v>
      </c>
      <c r="L35" s="34" t="str">
        <f t="shared" si="21"/>
        <v/>
      </c>
      <c r="N35" s="377"/>
      <c r="O35" s="861" t="s">
        <v>1198</v>
      </c>
      <c r="P35" s="862"/>
      <c r="Q35" s="862"/>
      <c r="R35" s="858"/>
      <c r="T35" s="563">
        <f>+IF(AD35=0,V35,0)</f>
        <v>0</v>
      </c>
      <c r="U35" s="1301" t="str">
        <f>+Octobre!AU5</f>
        <v>A</v>
      </c>
      <c r="V35" s="1301">
        <f>IFERROR(+VLOOKUP(U35,U36:AB39,7,FALSE),"")</f>
        <v>0</v>
      </c>
      <c r="W35" s="2538" t="str">
        <f>Octobre!BS29</f>
        <v>Semaine numéro : 41</v>
      </c>
      <c r="X35" s="2538"/>
      <c r="Y35" s="2538"/>
      <c r="Z35" s="1323"/>
      <c r="AA35" s="1316">
        <f>+IF(Z35&lt;&gt;"",Z35,IF(T35&gt;0,T35,IF(AND(AD35&gt;0,AC35&gt;0),AD35+AC35,IF(AE35&gt;0,0,AC35))))</f>
        <v>0</v>
      </c>
      <c r="AB35" s="1316">
        <f t="shared" ref="AB35:AB39" si="44">IF(AND(AA35&gt;45,AD35=AD49),AA35-45,0)</f>
        <v>0</v>
      </c>
      <c r="AC35" s="1322">
        <f>+SUMIF(Octobre!$BK$20:$BK$50,Octobre!AT5,$D$18:$D$48)</f>
        <v>0</v>
      </c>
      <c r="AD35" s="1322">
        <f>+SUMIF(Septembre!$BK$20:$BK$50,Octobre!AT5,'Retenue Sept'!$D$18:$D$48)</f>
        <v>0</v>
      </c>
      <c r="AE35" s="1322">
        <f>+SUMIF(Novembre!$BK$20:$BK$50,Octobre!AT5,'Retenue Nov'!$D$18:$D$48)</f>
        <v>0</v>
      </c>
      <c r="AF35" s="1316">
        <f t="shared" ref="AF35:AF39" si="45">+AC35-AB35</f>
        <v>0</v>
      </c>
      <c r="AK35" s="1189"/>
      <c r="AL35" s="1302"/>
      <c r="BA35" s="331" t="str">
        <f t="shared" si="16"/>
        <v>Fiche infoA7</v>
      </c>
      <c r="BB35" s="107">
        <f t="shared" si="31"/>
        <v>46313</v>
      </c>
      <c r="BC35" s="170">
        <f>+$D$13+17</f>
        <v>46313</v>
      </c>
      <c r="BD35" s="171" t="str">
        <f t="shared" si="32"/>
        <v/>
      </c>
      <c r="BE35" s="171" t="str">
        <f>+IF(OR(BF35=S.CAL!$BJ$3,BF35=S.CAL!$BJ$4),BD35,"")</f>
        <v/>
      </c>
      <c r="BF35" s="333">
        <f>IF($DY$5=S.CAL!$CU$2,Octobre!AR37,IF($DY$5=S.CAL!$CU$3,VLOOKUP(BC35,planning_fp,7,FALSE),""))</f>
        <v>0</v>
      </c>
      <c r="BG35" s="345" t="str">
        <f>Octobre!BL37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46313</v>
      </c>
      <c r="CF35" s="170">
        <f>+$D$13+17</f>
        <v>46313</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IF(+Octobre!AG37="",0,Octobre!AG37)</f>
        <v>0</v>
      </c>
      <c r="DZ35" s="16">
        <f>+IF(Octobre!AJ37="",0,Octobre!AJ37)</f>
        <v>0</v>
      </c>
      <c r="EA35" s="16">
        <f>+IF(Octobre!AM37="",0,Octobre!AM37)</f>
        <v>0</v>
      </c>
      <c r="EB35" s="16">
        <f t="shared" si="25"/>
        <v>0</v>
      </c>
      <c r="ED35" s="16">
        <f t="shared" si="26"/>
        <v>0</v>
      </c>
      <c r="EE35" s="16">
        <f t="shared" si="17"/>
        <v>0</v>
      </c>
      <c r="EF35" s="30" t="str">
        <f t="shared" si="18"/>
        <v/>
      </c>
      <c r="EG35" s="30" t="str">
        <f t="shared" si="27"/>
        <v/>
      </c>
      <c r="EH35" s="16">
        <f t="shared" si="28"/>
        <v>0</v>
      </c>
      <c r="EI35" s="30"/>
      <c r="EJ35" s="30">
        <f t="shared" si="19"/>
        <v>46313</v>
      </c>
      <c r="EM35" s="16" t="str">
        <f t="shared" si="29"/>
        <v>Fiche infoA746313</v>
      </c>
      <c r="EN35" s="16">
        <f t="shared" si="20"/>
        <v>0</v>
      </c>
      <c r="EQ35" s="16" t="str">
        <f>Octobre!FS37</f>
        <v/>
      </c>
    </row>
    <row r="36" spans="1:147" ht="18" customHeight="1" x14ac:dyDescent="0.2">
      <c r="A36" s="24" t="str">
        <f>+Octobre!BJ38</f>
        <v>Fiche infoA1</v>
      </c>
      <c r="B36" s="107">
        <f t="shared" si="30"/>
        <v>46314</v>
      </c>
      <c r="C36" s="170">
        <f>+$D$13+18</f>
        <v>46314</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Octobre!BC38</f>
        <v>0</v>
      </c>
      <c r="J36" s="34">
        <f>Octobre!BE38</f>
        <v>0</v>
      </c>
      <c r="K36" s="34">
        <f t="shared" si="15"/>
        <v>0</v>
      </c>
      <c r="L36" s="34" t="str">
        <f t="shared" si="21"/>
        <v/>
      </c>
      <c r="N36" s="377"/>
      <c r="O36" s="468"/>
      <c r="P36" s="469" t="str">
        <f>+E11&amp;" / ( "&amp;E10&amp;" + "&amp;E11&amp;" ) ="</f>
        <v>0 / ( 0 + 0 ) =</v>
      </c>
      <c r="Q36" s="468" t="e">
        <f>+ROUND(E11/(E11+E10),6)</f>
        <v>#DIV/0!</v>
      </c>
      <c r="R36" s="377"/>
      <c r="U36" s="1301" t="str">
        <f>+Octobre!AU6</f>
        <v>A</v>
      </c>
      <c r="V36" s="1301"/>
      <c r="W36" s="2538" t="str">
        <f>Octobre!BS30</f>
        <v>Semaine numéro : 42</v>
      </c>
      <c r="X36" s="2538"/>
      <c r="Y36" s="2538"/>
      <c r="Z36" s="1323"/>
      <c r="AA36" s="1316">
        <f t="shared" ref="AA36:AA39" si="46">+IF(Z36="",IF(AND(AD36&gt;0,AC36&gt;0),AD36+AC36,IF(AE36&gt;0,0,AC36)),Z36)</f>
        <v>0</v>
      </c>
      <c r="AB36" s="1316">
        <f t="shared" si="44"/>
        <v>0</v>
      </c>
      <c r="AC36" s="1322">
        <f>+SUMIF(Octobre!$BK$20:$BK$50,Octobre!AT6,$D$18:$D$48)</f>
        <v>0</v>
      </c>
      <c r="AD36" s="1322">
        <f>+SUMIF(Septembre!$BK$20:$BK$50,Octobre!AT6,'Retenue Sept'!$D$18:$D$48)</f>
        <v>0</v>
      </c>
      <c r="AE36" s="1322">
        <f>+SUMIF(Novembre!$BK$20:$BK$50,Octobre!AT6,'Retenue Nov'!$D$18:$D$48)</f>
        <v>0</v>
      </c>
      <c r="AF36" s="1316">
        <f t="shared" si="45"/>
        <v>0</v>
      </c>
      <c r="AK36" s="1189"/>
      <c r="AL36" s="1302"/>
      <c r="BA36" s="331" t="str">
        <f t="shared" si="16"/>
        <v>Fiche infoA1</v>
      </c>
      <c r="BB36" s="107">
        <f t="shared" si="31"/>
        <v>46314</v>
      </c>
      <c r="BC36" s="170">
        <f>+$D$13+18</f>
        <v>46314</v>
      </c>
      <c r="BD36" s="171" t="str">
        <f t="shared" si="32"/>
        <v/>
      </c>
      <c r="BE36" s="171" t="str">
        <f>+IF(OR(BF36=S.CAL!$BJ$3,BF36=S.CAL!$BJ$4),BD36,"")</f>
        <v/>
      </c>
      <c r="BF36" s="333">
        <f>IF($DY$5=S.CAL!$CU$2,Octobre!AR38,IF($DY$5=S.CAL!$CU$3,VLOOKUP(BC36,planning_fp,7,FALSE),""))</f>
        <v>0</v>
      </c>
      <c r="BG36" s="345" t="str">
        <f>Octobre!BL38</f>
        <v>A</v>
      </c>
      <c r="BH36" s="356"/>
      <c r="BI36" s="357"/>
      <c r="BJ36" s="355"/>
      <c r="BK36" s="355"/>
      <c r="BL36" s="35"/>
      <c r="BS36" s="189"/>
      <c r="BT36" s="342"/>
      <c r="BU36" s="342"/>
      <c r="BV36" s="355"/>
      <c r="BW36" s="355"/>
      <c r="BX36" s="355"/>
      <c r="BY36" s="355"/>
      <c r="BZ36" s="355"/>
      <c r="CA36" s="355"/>
      <c r="CB36" s="355"/>
      <c r="CD36" s="328"/>
      <c r="CE36" s="107">
        <f t="shared" si="33"/>
        <v>46314</v>
      </c>
      <c r="CF36" s="170">
        <f>+$D$13+18</f>
        <v>46314</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IF(+Octobre!AG38="",0,Octobre!AG38)</f>
        <v>0</v>
      </c>
      <c r="DZ36" s="16">
        <f>+IF(Octobre!AJ38="",0,Octobre!AJ38)</f>
        <v>0</v>
      </c>
      <c r="EA36" s="16">
        <f>+IF(Octobre!AM38="",0,Octobre!AM38)</f>
        <v>0</v>
      </c>
      <c r="EB36" s="16">
        <f t="shared" si="25"/>
        <v>0</v>
      </c>
      <c r="ED36" s="16">
        <f t="shared" si="26"/>
        <v>0</v>
      </c>
      <c r="EE36" s="16">
        <f t="shared" si="17"/>
        <v>0</v>
      </c>
      <c r="EF36" s="30" t="str">
        <f t="shared" si="18"/>
        <v/>
      </c>
      <c r="EG36" s="30" t="str">
        <f t="shared" si="27"/>
        <v/>
      </c>
      <c r="EH36" s="16">
        <f t="shared" si="28"/>
        <v>0</v>
      </c>
      <c r="EI36" s="30"/>
      <c r="EJ36" s="30">
        <f t="shared" si="19"/>
        <v>46314</v>
      </c>
      <c r="EM36" s="16" t="str">
        <f t="shared" si="29"/>
        <v>Fiche infoA146314</v>
      </c>
      <c r="EN36" s="16">
        <f t="shared" si="20"/>
        <v>0</v>
      </c>
      <c r="EQ36" s="16" t="str">
        <f>Octobre!FS38</f>
        <v/>
      </c>
    </row>
    <row r="37" spans="1:147" ht="18" customHeight="1" x14ac:dyDescent="0.2">
      <c r="A37" s="24" t="str">
        <f>+Octobre!BJ39</f>
        <v>Fiche infoA2</v>
      </c>
      <c r="B37" s="107">
        <f t="shared" si="30"/>
        <v>46315</v>
      </c>
      <c r="C37" s="170">
        <f>+$D$13+19</f>
        <v>46315</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Octobre!BC39</f>
        <v>0</v>
      </c>
      <c r="J37" s="34">
        <f>Octobre!BE39</f>
        <v>0</v>
      </c>
      <c r="K37" s="34">
        <f t="shared" si="15"/>
        <v>0</v>
      </c>
      <c r="L37" s="34" t="str">
        <f t="shared" si="21"/>
        <v/>
      </c>
      <c r="N37" s="377"/>
      <c r="O37" s="863"/>
      <c r="P37" s="863"/>
      <c r="Q37" s="863"/>
      <c r="R37" s="377"/>
      <c r="U37" s="1301" t="str">
        <f>+Octobre!AU7</f>
        <v>A</v>
      </c>
      <c r="V37" s="1301"/>
      <c r="W37" s="2538" t="str">
        <f>Octobre!BS31</f>
        <v>Semaine numéro : 43</v>
      </c>
      <c r="X37" s="2538"/>
      <c r="Y37" s="2538"/>
      <c r="Z37" s="1323"/>
      <c r="AA37" s="1316">
        <f t="shared" si="46"/>
        <v>0</v>
      </c>
      <c r="AB37" s="1316">
        <f t="shared" si="44"/>
        <v>0</v>
      </c>
      <c r="AC37" s="1322">
        <f>+SUMIF(Octobre!$BK$20:$BK$50,Octobre!AT7,$D$18:$D$48)</f>
        <v>0</v>
      </c>
      <c r="AD37" s="1322">
        <f>+SUMIF(Septembre!$BK$20:$BK$50,Octobre!AT7,'Retenue Sept'!$D$18:$D$48)</f>
        <v>0</v>
      </c>
      <c r="AE37" s="1322">
        <f>+SUMIF(Novembre!$BK$20:$BK$50,Octobre!AT7,'Retenue Nov'!$D$18:$D$48)</f>
        <v>0</v>
      </c>
      <c r="AF37" s="1316">
        <f t="shared" si="45"/>
        <v>0</v>
      </c>
      <c r="AK37" s="1189"/>
      <c r="AL37" s="2553" t="s">
        <v>325</v>
      </c>
      <c r="AM37" s="2553" t="s">
        <v>326</v>
      </c>
      <c r="AN37" s="2554" t="s">
        <v>327</v>
      </c>
      <c r="AO37" s="2553" t="s">
        <v>328</v>
      </c>
      <c r="AP37" s="2553" t="s">
        <v>348</v>
      </c>
      <c r="AQ37" s="2553" t="s">
        <v>349</v>
      </c>
      <c r="BA37" s="331" t="str">
        <f t="shared" si="16"/>
        <v>Fiche infoA2</v>
      </c>
      <c r="BB37" s="107">
        <f t="shared" si="31"/>
        <v>46315</v>
      </c>
      <c r="BC37" s="170">
        <f>+$D$13+19</f>
        <v>46315</v>
      </c>
      <c r="BD37" s="171" t="str">
        <f t="shared" si="32"/>
        <v/>
      </c>
      <c r="BE37" s="171" t="str">
        <f>+IF(OR(BF37=S.CAL!$BJ$3,BF37=S.CAL!$BJ$4),BD37,"")</f>
        <v/>
      </c>
      <c r="BF37" s="333">
        <f>IF($DY$5=S.CAL!$CU$2,Octobre!AR39,IF($DY$5=S.CAL!$CU$3,VLOOKUP(BC37,planning_fp,7,FALSE),""))</f>
        <v>0</v>
      </c>
      <c r="BG37" s="345" t="str">
        <f>Octobre!BL39</f>
        <v>A</v>
      </c>
      <c r="BH37" s="355"/>
      <c r="BI37" s="355"/>
      <c r="BJ37" s="355"/>
      <c r="BK37" s="355"/>
      <c r="BL37" s="35"/>
      <c r="BO37" s="29"/>
      <c r="BP37" s="34"/>
      <c r="BS37" s="189"/>
      <c r="BT37" s="189"/>
      <c r="BV37" s="355"/>
      <c r="BW37" s="355"/>
      <c r="BX37" s="355"/>
      <c r="BY37" s="355"/>
      <c r="BZ37" s="355"/>
      <c r="CA37" s="355"/>
      <c r="CB37" s="355"/>
      <c r="CD37" s="328"/>
      <c r="CE37" s="107">
        <f t="shared" si="33"/>
        <v>46315</v>
      </c>
      <c r="CF37" s="170">
        <f>+$D$13+19</f>
        <v>46315</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IF(+Octobre!AG39="",0,Octobre!AG39)</f>
        <v>0</v>
      </c>
      <c r="DZ37" s="16">
        <f>+IF(Octobre!AJ39="",0,Octobre!AJ39)</f>
        <v>0</v>
      </c>
      <c r="EA37" s="16">
        <f>+IF(Octobre!AM39="",0,Octobre!AM39)</f>
        <v>0</v>
      </c>
      <c r="EB37" s="16">
        <f t="shared" si="25"/>
        <v>0</v>
      </c>
      <c r="ED37" s="16">
        <f t="shared" si="26"/>
        <v>0</v>
      </c>
      <c r="EE37" s="16">
        <f t="shared" si="17"/>
        <v>0</v>
      </c>
      <c r="EF37" s="30" t="str">
        <f t="shared" si="18"/>
        <v/>
      </c>
      <c r="EG37" s="30" t="str">
        <f t="shared" si="27"/>
        <v/>
      </c>
      <c r="EH37" s="16">
        <f t="shared" si="28"/>
        <v>0</v>
      </c>
      <c r="EI37" s="30"/>
      <c r="EJ37" s="30">
        <f t="shared" si="19"/>
        <v>46315</v>
      </c>
      <c r="EM37" s="16" t="str">
        <f t="shared" si="29"/>
        <v>Fiche infoA246315</v>
      </c>
      <c r="EN37" s="16">
        <f t="shared" si="20"/>
        <v>0</v>
      </c>
      <c r="EQ37" s="16" t="str">
        <f>Octobre!FS39</f>
        <v/>
      </c>
    </row>
    <row r="38" spans="1:147" ht="18" customHeight="1" x14ac:dyDescent="0.2">
      <c r="A38" s="24" t="str">
        <f>+Octobre!BJ40</f>
        <v>Fiche infoA3</v>
      </c>
      <c r="B38" s="107">
        <f t="shared" si="30"/>
        <v>46316</v>
      </c>
      <c r="C38" s="170">
        <f>+$D$13+20</f>
        <v>46316</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Octobre!BC40</f>
        <v>0</v>
      </c>
      <c r="J38" s="34">
        <f>Octobre!BE40</f>
        <v>0</v>
      </c>
      <c r="K38" s="34">
        <f t="shared" si="15"/>
        <v>0</v>
      </c>
      <c r="L38" s="34" t="str">
        <f t="shared" si="21"/>
        <v/>
      </c>
      <c r="N38" s="377"/>
      <c r="O38" s="864" t="s">
        <v>1445</v>
      </c>
      <c r="P38" s="864"/>
      <c r="Q38" s="864"/>
      <c r="R38" s="860"/>
      <c r="U38" s="1301" t="str">
        <f>+Octobre!AU8</f>
        <v>A</v>
      </c>
      <c r="V38" s="1301"/>
      <c r="W38" s="2538" t="str">
        <f>Octobre!BS32</f>
        <v>Semaine numéro : 44</v>
      </c>
      <c r="X38" s="2538"/>
      <c r="Y38" s="2538"/>
      <c r="Z38" s="1323"/>
      <c r="AA38" s="1316">
        <f t="shared" si="46"/>
        <v>0</v>
      </c>
      <c r="AB38" s="1316">
        <f t="shared" si="44"/>
        <v>0</v>
      </c>
      <c r="AC38" s="1322">
        <f>+SUMIF(Octobre!$BK$20:$BK$50,Octobre!AT8,$D$18:$D$48)</f>
        <v>0</v>
      </c>
      <c r="AD38" s="1322">
        <f>+SUMIF(Septembre!$BK$20:$BK$50,Octobre!AT8,'Retenue Sept'!$D$18:$D$48)</f>
        <v>0</v>
      </c>
      <c r="AE38" s="1322">
        <f>+SUMIF(Novembre!$BK$20:$BK$50,Octobre!AT8,'Retenue Nov'!$D$18:$D$48)</f>
        <v>0</v>
      </c>
      <c r="AF38" s="1316">
        <f t="shared" si="45"/>
        <v>0</v>
      </c>
      <c r="AL38" s="2553"/>
      <c r="AM38" s="2553"/>
      <c r="AN38" s="2554"/>
      <c r="AO38" s="2553"/>
      <c r="AP38" s="2553"/>
      <c r="AQ38" s="2553"/>
      <c r="BA38" s="331" t="str">
        <f t="shared" si="16"/>
        <v>Fiche infoA3</v>
      </c>
      <c r="BB38" s="107">
        <f t="shared" si="31"/>
        <v>46316</v>
      </c>
      <c r="BC38" s="170">
        <f>+$D$13+20</f>
        <v>46316</v>
      </c>
      <c r="BD38" s="171" t="str">
        <f t="shared" si="32"/>
        <v/>
      </c>
      <c r="BE38" s="171" t="str">
        <f>+IF(OR(BF38=S.CAL!$BJ$3,BF38=S.CAL!$BJ$4),BD38,"")</f>
        <v/>
      </c>
      <c r="BF38" s="333">
        <f>IF($DY$5=S.CAL!$CU$2,Octobre!AR40,IF($DY$5=S.CAL!$CU$3,VLOOKUP(BC38,planning_fp,7,FALSE),""))</f>
        <v>0</v>
      </c>
      <c r="BG38" s="345" t="str">
        <f>Octobre!BL40</f>
        <v>A</v>
      </c>
      <c r="BH38" s="355"/>
      <c r="BI38" s="355"/>
      <c r="BJ38" s="355"/>
      <c r="BK38" s="355"/>
      <c r="BL38" s="35"/>
      <c r="BO38" s="29"/>
      <c r="BP38" s="34"/>
      <c r="BS38" s="189"/>
      <c r="BT38" s="189"/>
      <c r="BV38" s="355"/>
      <c r="BW38" s="355"/>
      <c r="BX38" s="355"/>
      <c r="BY38" s="355"/>
      <c r="BZ38" s="355"/>
      <c r="CA38" s="355"/>
      <c r="CB38" s="355"/>
      <c r="CD38" s="328"/>
      <c r="CE38" s="107">
        <f t="shared" si="33"/>
        <v>46316</v>
      </c>
      <c r="CF38" s="170">
        <f>+$D$13+20</f>
        <v>46316</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IF(+Octobre!AG40="",0,Octobre!AG40)</f>
        <v>0</v>
      </c>
      <c r="DZ38" s="16">
        <f>+IF(Octobre!AJ40="",0,Octobre!AJ40)</f>
        <v>0</v>
      </c>
      <c r="EA38" s="16">
        <f>+IF(Octobre!AM40="",0,Octobre!AM40)</f>
        <v>0</v>
      </c>
      <c r="EB38" s="16">
        <f t="shared" si="25"/>
        <v>0</v>
      </c>
      <c r="ED38" s="16">
        <f t="shared" si="26"/>
        <v>0</v>
      </c>
      <c r="EE38" s="16">
        <f t="shared" si="17"/>
        <v>0</v>
      </c>
      <c r="EF38" s="30" t="str">
        <f t="shared" si="18"/>
        <v/>
      </c>
      <c r="EG38" s="30" t="str">
        <f t="shared" si="27"/>
        <v/>
      </c>
      <c r="EH38" s="16">
        <f t="shared" si="28"/>
        <v>0</v>
      </c>
      <c r="EI38" s="30"/>
      <c r="EJ38" s="30">
        <f t="shared" si="19"/>
        <v>46316</v>
      </c>
      <c r="EM38" s="16" t="str">
        <f t="shared" si="29"/>
        <v>Fiche infoA346316</v>
      </c>
      <c r="EN38" s="16">
        <f t="shared" si="20"/>
        <v>0</v>
      </c>
      <c r="EQ38" s="16" t="str">
        <f>Octobre!FS40</f>
        <v/>
      </c>
    </row>
    <row r="39" spans="1:147" ht="18" customHeight="1" x14ac:dyDescent="0.2">
      <c r="A39" s="24" t="str">
        <f>+Octobre!BJ41</f>
        <v>Fiche infoA4</v>
      </c>
      <c r="B39" s="107">
        <f t="shared" si="30"/>
        <v>46317</v>
      </c>
      <c r="C39" s="170">
        <f>+$D$13+21</f>
        <v>46317</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Octobre!BC41</f>
        <v>0</v>
      </c>
      <c r="J39" s="34">
        <f>Octobre!BE41</f>
        <v>0</v>
      </c>
      <c r="K39" s="34">
        <f t="shared" si="15"/>
        <v>0</v>
      </c>
      <c r="L39" s="34" t="str">
        <f t="shared" si="21"/>
        <v/>
      </c>
      <c r="N39" s="377"/>
      <c r="O39" s="468"/>
      <c r="P39" s="469" t="str">
        <f>+E10&amp;" / ( "&amp;E10&amp;" + "&amp;E11&amp;" ) ="</f>
        <v>0 / ( 0 + 0 ) =</v>
      </c>
      <c r="Q39" s="468" t="e">
        <f>ROUND(+E10/(E11+E10),6)</f>
        <v>#DIV/0!</v>
      </c>
      <c r="R39" s="377"/>
      <c r="U39" s="1301" t="str">
        <f>+Octobre!AU9</f>
        <v>A</v>
      </c>
      <c r="V39" s="1301"/>
      <c r="W39" s="2538" t="str">
        <f>Octobre!BS33</f>
        <v xml:space="preserve">Semaine numéro : </v>
      </c>
      <c r="X39" s="2538"/>
      <c r="Y39" s="2538"/>
      <c r="Z39" s="1323"/>
      <c r="AA39" s="1316">
        <f t="shared" si="46"/>
        <v>0</v>
      </c>
      <c r="AB39" s="1316">
        <f t="shared" si="44"/>
        <v>0</v>
      </c>
      <c r="AC39" s="1322">
        <f>+SUMIF(Octobre!$BK$20:$BK$50,Octobre!AT9,$D$18:$D$48)</f>
        <v>0</v>
      </c>
      <c r="AD39" s="1322">
        <f>+SUMIF(Septembre!$BK$20:$BK$50,Octobre!AT9,'Retenue Sept'!$D$18:$D$48)</f>
        <v>0</v>
      </c>
      <c r="AE39" s="1322">
        <f>+SUMIF(Novembre!$BK$20:$BK$50,Octobre!AT9,'Retenue Nov'!$D$18:$D$48)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infoA4</v>
      </c>
      <c r="BB39" s="107">
        <f t="shared" si="31"/>
        <v>46317</v>
      </c>
      <c r="BC39" s="170">
        <f>+$D$13+21</f>
        <v>46317</v>
      </c>
      <c r="BD39" s="171" t="str">
        <f t="shared" si="32"/>
        <v/>
      </c>
      <c r="BE39" s="171" t="str">
        <f>+IF(OR(BF39=S.CAL!$BJ$3,BF39=S.CAL!$BJ$4),BD39,"")</f>
        <v/>
      </c>
      <c r="BF39" s="333">
        <f>IF($DY$5=S.CAL!$CU$2,Octobre!AR41,IF($DY$5=S.CAL!$CU$3,VLOOKUP(BC39,planning_fp,7,FALSE),""))</f>
        <v>0</v>
      </c>
      <c r="BG39" s="345" t="str">
        <f>Octobre!BL41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46317</v>
      </c>
      <c r="CF39" s="170">
        <f>+$D$13+21</f>
        <v>46317</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IF(+Octobre!AG41="",0,Octobre!AG41)</f>
        <v>0</v>
      </c>
      <c r="DZ39" s="16">
        <f>+IF(Octobre!AJ41="",0,Octobre!AJ41)</f>
        <v>0</v>
      </c>
      <c r="EA39" s="16">
        <f>+IF(Octobre!AM41="",0,Octobre!AM41)</f>
        <v>0</v>
      </c>
      <c r="EB39" s="16">
        <f t="shared" si="25"/>
        <v>0</v>
      </c>
      <c r="ED39" s="16">
        <f t="shared" si="26"/>
        <v>0</v>
      </c>
      <c r="EE39" s="16">
        <f t="shared" si="17"/>
        <v>0</v>
      </c>
      <c r="EF39" s="30" t="str">
        <f t="shared" si="18"/>
        <v/>
      </c>
      <c r="EG39" s="30" t="str">
        <f t="shared" si="27"/>
        <v/>
      </c>
      <c r="EH39" s="16">
        <f t="shared" si="28"/>
        <v>0</v>
      </c>
      <c r="EI39" s="30"/>
      <c r="EJ39" s="30">
        <f t="shared" si="19"/>
        <v>46317</v>
      </c>
      <c r="EM39" s="16" t="str">
        <f t="shared" si="29"/>
        <v>Fiche infoA446317</v>
      </c>
      <c r="EN39" s="16">
        <f t="shared" si="20"/>
        <v>0</v>
      </c>
      <c r="EQ39" s="16" t="str">
        <f>Octobre!FS41</f>
        <v/>
      </c>
    </row>
    <row r="40" spans="1:147" ht="18" customHeight="1" x14ac:dyDescent="0.2">
      <c r="A40" s="24" t="str">
        <f>+Octobre!BJ42</f>
        <v>Fiche infoA5</v>
      </c>
      <c r="B40" s="107">
        <f t="shared" si="30"/>
        <v>46318</v>
      </c>
      <c r="C40" s="170">
        <f>+$D$13+22</f>
        <v>46318</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Octobre!BC42</f>
        <v>0</v>
      </c>
      <c r="J40" s="34">
        <f>Octobre!BE42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infoA5</v>
      </c>
      <c r="BB40" s="107">
        <f t="shared" si="31"/>
        <v>46318</v>
      </c>
      <c r="BC40" s="170">
        <f>+$D$13+22</f>
        <v>46318</v>
      </c>
      <c r="BD40" s="171" t="str">
        <f t="shared" si="32"/>
        <v/>
      </c>
      <c r="BE40" s="171" t="str">
        <f>+IF(OR(BF40=S.CAL!$BJ$3,BF40=S.CAL!$BJ$4),BD40,"")</f>
        <v/>
      </c>
      <c r="BF40" s="333">
        <f>IF($DY$5=S.CAL!$CU$2,Octobre!AR42,IF($DY$5=S.CAL!$CU$3,VLOOKUP(BC40,planning_fp,7,FALSE),""))</f>
        <v>0</v>
      </c>
      <c r="BG40" s="345" t="str">
        <f>Octobre!BL42</f>
        <v>A</v>
      </c>
      <c r="BH40" s="355"/>
      <c r="BI40" s="355"/>
      <c r="BJ40" s="355"/>
      <c r="BK40" s="355"/>
      <c r="BL40" s="35"/>
      <c r="BN40" s="19"/>
      <c r="BO40" s="39"/>
      <c r="BP40" s="194"/>
      <c r="BV40" s="355"/>
      <c r="BW40" s="355"/>
      <c r="BX40" s="372"/>
      <c r="BY40" s="355"/>
      <c r="BZ40" s="355"/>
      <c r="CA40" s="355"/>
      <c r="CB40" s="355"/>
      <c r="CD40" s="328"/>
      <c r="CE40" s="107">
        <f t="shared" si="33"/>
        <v>46318</v>
      </c>
      <c r="CF40" s="170">
        <f>+$D$13+22</f>
        <v>46318</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IF(+Octobre!AG42="",0,Octobre!AG42)</f>
        <v>0</v>
      </c>
      <c r="DZ40" s="16">
        <f>+IF(Octobre!AJ42="",0,Octobre!AJ42)</f>
        <v>0</v>
      </c>
      <c r="EA40" s="16">
        <f>+IF(Octobre!AM42="",0,Octobre!AM42)</f>
        <v>0</v>
      </c>
      <c r="EB40" s="16">
        <f t="shared" si="25"/>
        <v>0</v>
      </c>
      <c r="ED40" s="16">
        <f t="shared" si="26"/>
        <v>0</v>
      </c>
      <c r="EE40" s="16">
        <f t="shared" si="17"/>
        <v>0</v>
      </c>
      <c r="EF40" s="30" t="str">
        <f t="shared" si="18"/>
        <v/>
      </c>
      <c r="EG40" s="30" t="str">
        <f t="shared" si="27"/>
        <v/>
      </c>
      <c r="EH40" s="16">
        <f t="shared" si="28"/>
        <v>0</v>
      </c>
      <c r="EI40" s="30"/>
      <c r="EJ40" s="30">
        <f t="shared" si="19"/>
        <v>46318</v>
      </c>
      <c r="EM40" s="16" t="str">
        <f t="shared" si="29"/>
        <v>Fiche infoA546318</v>
      </c>
      <c r="EN40" s="16">
        <f t="shared" si="20"/>
        <v>0</v>
      </c>
      <c r="EQ40" s="16" t="str">
        <f>Octobre!FS42</f>
        <v/>
      </c>
    </row>
    <row r="41" spans="1:147" ht="18" customHeight="1" x14ac:dyDescent="0.2">
      <c r="A41" s="24" t="str">
        <f>+Octobre!BJ43</f>
        <v>Fiche infoA6</v>
      </c>
      <c r="B41" s="107">
        <f t="shared" si="30"/>
        <v>46319</v>
      </c>
      <c r="C41" s="170">
        <f>+$D$13+23</f>
        <v>46319</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Octobre!BC43</f>
        <v>0</v>
      </c>
      <c r="J41" s="34">
        <f>Octobre!BE43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infoA6</v>
      </c>
      <c r="BB41" s="107">
        <f t="shared" si="31"/>
        <v>46319</v>
      </c>
      <c r="BC41" s="170">
        <f>+$D$13+23</f>
        <v>46319</v>
      </c>
      <c r="BD41" s="171" t="str">
        <f t="shared" si="32"/>
        <v/>
      </c>
      <c r="BE41" s="171" t="str">
        <f>+IF(OR(BF41=S.CAL!$BJ$3,BF41=S.CAL!$BJ$4),BD41,"")</f>
        <v/>
      </c>
      <c r="BF41" s="333">
        <f>IF($DY$5=S.CAL!$CU$2,Octobre!AR43,IF($DY$5=S.CAL!$CU$3,VLOOKUP(BC41,planning_fp,7,FALSE),""))</f>
        <v>0</v>
      </c>
      <c r="BG41" s="345" t="str">
        <f>Octobre!BL43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46319</v>
      </c>
      <c r="CF41" s="170">
        <f>+$D$13+23</f>
        <v>46319</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IF(+Octobre!AG43="",0,Octobre!AG43)</f>
        <v>0</v>
      </c>
      <c r="DZ41" s="16">
        <f>+IF(Octobre!AJ43="",0,Octobre!AJ43)</f>
        <v>0</v>
      </c>
      <c r="EA41" s="16">
        <f>+IF(Octobre!AM43="",0,Octobre!AM43)</f>
        <v>0</v>
      </c>
      <c r="EB41" s="16">
        <f t="shared" si="25"/>
        <v>0</v>
      </c>
      <c r="ED41" s="16">
        <f t="shared" si="26"/>
        <v>0</v>
      </c>
      <c r="EE41" s="16">
        <f t="shared" si="17"/>
        <v>0</v>
      </c>
      <c r="EF41" s="30" t="str">
        <f t="shared" si="18"/>
        <v/>
      </c>
      <c r="EG41" s="30" t="str">
        <f t="shared" si="27"/>
        <v/>
      </c>
      <c r="EH41" s="16">
        <f t="shared" si="28"/>
        <v>0</v>
      </c>
      <c r="EI41" s="30"/>
      <c r="EJ41" s="30">
        <f t="shared" si="19"/>
        <v>46319</v>
      </c>
      <c r="EM41" s="16" t="str">
        <f t="shared" si="29"/>
        <v>Fiche infoA646319</v>
      </c>
      <c r="EN41" s="16">
        <f t="shared" si="20"/>
        <v>0</v>
      </c>
      <c r="EQ41" s="16" t="str">
        <f>Octobre!FS43</f>
        <v/>
      </c>
    </row>
    <row r="42" spans="1:147" ht="18" customHeight="1" x14ac:dyDescent="0.2">
      <c r="A42" s="24" t="str">
        <f>+Octobre!BJ44</f>
        <v>Fiche infoA7</v>
      </c>
      <c r="B42" s="107">
        <f t="shared" si="30"/>
        <v>46320</v>
      </c>
      <c r="C42" s="170">
        <f>+$D$13+24</f>
        <v>46320</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Octobre!BC44</f>
        <v>0</v>
      </c>
      <c r="J42" s="34">
        <f>Octobre!BE44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infoA7</v>
      </c>
      <c r="BB42" s="107">
        <f t="shared" si="31"/>
        <v>46320</v>
      </c>
      <c r="BC42" s="170">
        <f>+$D$13+24</f>
        <v>46320</v>
      </c>
      <c r="BD42" s="171" t="str">
        <f t="shared" si="32"/>
        <v/>
      </c>
      <c r="BE42" s="171" t="str">
        <f>+IF(OR(BF42=S.CAL!$BJ$3,BF42=S.CAL!$BJ$4),BD42,"")</f>
        <v/>
      </c>
      <c r="BF42" s="333">
        <f>IF($DY$5=S.CAL!$CU$2,Octobre!AR44,IF($DY$5=S.CAL!$CU$3,VLOOKUP(BC42,planning_fp,7,FALSE),""))</f>
        <v>0</v>
      </c>
      <c r="BG42" s="345" t="str">
        <f>Octobre!BL44</f>
        <v>A</v>
      </c>
      <c r="BH42" s="356"/>
      <c r="BI42" s="358"/>
      <c r="BJ42" s="355"/>
      <c r="BK42" s="355"/>
      <c r="BL42" s="35"/>
      <c r="BV42" s="355"/>
      <c r="BW42" s="355"/>
      <c r="BX42" s="355"/>
      <c r="BY42" s="355"/>
      <c r="BZ42" s="355"/>
      <c r="CA42" s="355"/>
      <c r="CB42" s="355"/>
      <c r="CD42" s="328"/>
      <c r="CE42" s="107">
        <f t="shared" si="33"/>
        <v>46320</v>
      </c>
      <c r="CF42" s="170">
        <f>+$D$13+24</f>
        <v>46320</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IF(+Octobre!AG44="",0,Octobre!AG44)</f>
        <v>0</v>
      </c>
      <c r="DZ42" s="16">
        <f>+IF(Octobre!AJ44="",0,Octobre!AJ44)</f>
        <v>0</v>
      </c>
      <c r="EA42" s="16">
        <f>+IF(Octobre!AM44="",0,Octobre!AM44)</f>
        <v>0</v>
      </c>
      <c r="EB42" s="16">
        <f t="shared" si="25"/>
        <v>0</v>
      </c>
      <c r="ED42" s="16">
        <f t="shared" si="26"/>
        <v>0</v>
      </c>
      <c r="EE42" s="16">
        <f t="shared" si="17"/>
        <v>0</v>
      </c>
      <c r="EF42" s="30" t="str">
        <f t="shared" si="18"/>
        <v/>
      </c>
      <c r="EG42" s="30" t="str">
        <f t="shared" si="27"/>
        <v/>
      </c>
      <c r="EH42" s="16">
        <f t="shared" si="28"/>
        <v>0</v>
      </c>
      <c r="EI42" s="30"/>
      <c r="EJ42" s="30">
        <f t="shared" si="19"/>
        <v>46320</v>
      </c>
      <c r="EM42" s="16" t="str">
        <f t="shared" si="29"/>
        <v>Fiche infoA746320</v>
      </c>
      <c r="EN42" s="16">
        <f t="shared" si="20"/>
        <v>0</v>
      </c>
      <c r="EQ42" s="16" t="str">
        <f>Octobre!FS44</f>
        <v/>
      </c>
    </row>
    <row r="43" spans="1:147" ht="18" customHeight="1" x14ac:dyDescent="0.2">
      <c r="A43" s="24" t="str">
        <f>+Octobre!BJ45</f>
        <v>Fiche infoA1</v>
      </c>
      <c r="B43" s="107">
        <f t="shared" si="30"/>
        <v>46321</v>
      </c>
      <c r="C43" s="170">
        <f>+$D$13+25</f>
        <v>46321</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Octobre!BC45</f>
        <v>0</v>
      </c>
      <c r="J43" s="34">
        <f>Octobre!BE45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infoA1</v>
      </c>
      <c r="BB43" s="107">
        <f t="shared" si="31"/>
        <v>46321</v>
      </c>
      <c r="BC43" s="170">
        <f>+$D$13+25</f>
        <v>46321</v>
      </c>
      <c r="BD43" s="171" t="str">
        <f t="shared" si="32"/>
        <v/>
      </c>
      <c r="BE43" s="171" t="str">
        <f>+IF(OR(BF43=S.CAL!$BJ$3,BF43=S.CAL!$BJ$4),BD43,"")</f>
        <v/>
      </c>
      <c r="BF43" s="333">
        <f>IF($DY$5=S.CAL!$CU$2,Octobre!AR45,IF($DY$5=S.CAL!$CU$3,VLOOKUP(BC43,planning_fp,7,FALSE),""))</f>
        <v>0</v>
      </c>
      <c r="BG43" s="345" t="str">
        <f>Octobre!BL45</f>
        <v>A</v>
      </c>
      <c r="BH43" s="24"/>
      <c r="BI43" s="24" t="s">
        <v>696</v>
      </c>
      <c r="BJ43" s="24"/>
      <c r="BK43" s="355"/>
      <c r="BL43" s="35"/>
      <c r="BV43" s="355"/>
      <c r="BW43" s="355"/>
      <c r="BX43" s="355"/>
      <c r="BY43" s="355"/>
      <c r="BZ43" s="355"/>
      <c r="CA43" s="355"/>
      <c r="CB43" s="355"/>
      <c r="CD43" s="328"/>
      <c r="CE43" s="107">
        <f t="shared" si="33"/>
        <v>46321</v>
      </c>
      <c r="CF43" s="170">
        <f>+$D$13+25</f>
        <v>46321</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IF(+Octobre!AG45="",0,Octobre!AG45)</f>
        <v>0</v>
      </c>
      <c r="DZ43" s="16">
        <f>+IF(Octobre!AJ45="",0,Octobre!AJ45)</f>
        <v>0</v>
      </c>
      <c r="EA43" s="16">
        <f>+IF(Octobre!AM45="",0,Octobre!AM45)</f>
        <v>0</v>
      </c>
      <c r="EB43" s="16">
        <f t="shared" si="25"/>
        <v>0</v>
      </c>
      <c r="ED43" s="16">
        <f t="shared" si="26"/>
        <v>0</v>
      </c>
      <c r="EE43" s="16">
        <f t="shared" si="17"/>
        <v>0</v>
      </c>
      <c r="EF43" s="30" t="str">
        <f t="shared" si="18"/>
        <v/>
      </c>
      <c r="EG43" s="30" t="str">
        <f t="shared" si="27"/>
        <v/>
      </c>
      <c r="EH43" s="16">
        <f t="shared" si="28"/>
        <v>0</v>
      </c>
      <c r="EI43" s="30"/>
      <c r="EJ43" s="30">
        <f t="shared" si="19"/>
        <v>46321</v>
      </c>
      <c r="EM43" s="16" t="str">
        <f t="shared" si="29"/>
        <v>Fiche infoA146321</v>
      </c>
      <c r="EN43" s="16">
        <f t="shared" si="20"/>
        <v>0</v>
      </c>
      <c r="EQ43" s="16" t="str">
        <f>Octobre!FS45</f>
        <v/>
      </c>
    </row>
    <row r="44" spans="1:147" ht="18" customHeight="1" x14ac:dyDescent="0.25">
      <c r="A44" s="24" t="str">
        <f>+Octobre!BJ46</f>
        <v>Fiche infoA2</v>
      </c>
      <c r="B44" s="107">
        <f t="shared" si="30"/>
        <v>46322</v>
      </c>
      <c r="C44" s="170">
        <f>+$D$13+26</f>
        <v>46322</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Octobre!BC46</f>
        <v>0</v>
      </c>
      <c r="J44" s="34">
        <f>Octobre!BE46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infoA2</v>
      </c>
      <c r="BB44" s="107">
        <f t="shared" si="31"/>
        <v>46322</v>
      </c>
      <c r="BC44" s="170">
        <f>+$D$13+26</f>
        <v>46322</v>
      </c>
      <c r="BD44" s="171" t="str">
        <f t="shared" si="32"/>
        <v/>
      </c>
      <c r="BE44" s="171" t="str">
        <f>+IF(OR(BF44=S.CAL!$BJ$3,BF44=S.CAL!$BJ$4),BD44,"")</f>
        <v/>
      </c>
      <c r="BF44" s="333">
        <f>IF($DY$5=S.CAL!$CU$2,Octobre!AR46,IF($DY$5=S.CAL!$CU$3,VLOOKUP(BC44,planning_fp,7,FALSE),""))</f>
        <v>0</v>
      </c>
      <c r="BG44" s="345" t="str">
        <f>Octobre!BL46</f>
        <v>A</v>
      </c>
      <c r="BH44" s="24" t="s">
        <v>788</v>
      </c>
      <c r="BI44" s="24"/>
      <c r="BJ44" s="24"/>
      <c r="BK44" s="355"/>
      <c r="BL44" s="35"/>
      <c r="BV44" s="355"/>
      <c r="BW44" s="355"/>
      <c r="BX44" s="355"/>
      <c r="BY44" s="355"/>
      <c r="BZ44" s="355"/>
      <c r="CA44" s="355"/>
      <c r="CB44" s="355"/>
      <c r="CD44" s="328"/>
      <c r="CE44" s="107">
        <f t="shared" si="33"/>
        <v>46322</v>
      </c>
      <c r="CF44" s="170">
        <f>+$D$13+26</f>
        <v>46322</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IF(+Octobre!AG46="",0,Octobre!AG46)</f>
        <v>0</v>
      </c>
      <c r="DZ44" s="16">
        <f>+IF(Octobre!AJ46="",0,Octobre!AJ46)</f>
        <v>0</v>
      </c>
      <c r="EA44" s="16">
        <f>+IF(Octobre!AM46="",0,Octobre!AM46)</f>
        <v>0</v>
      </c>
      <c r="EB44" s="16">
        <f t="shared" si="25"/>
        <v>0</v>
      </c>
      <c r="ED44" s="16">
        <f t="shared" si="26"/>
        <v>0</v>
      </c>
      <c r="EE44" s="16">
        <f t="shared" si="17"/>
        <v>0</v>
      </c>
      <c r="EF44" s="30" t="str">
        <f t="shared" si="18"/>
        <v/>
      </c>
      <c r="EG44" s="30" t="str">
        <f t="shared" si="27"/>
        <v/>
      </c>
      <c r="EH44" s="16">
        <f t="shared" si="28"/>
        <v>0</v>
      </c>
      <c r="EI44" s="30"/>
      <c r="EJ44" s="30">
        <f t="shared" si="19"/>
        <v>46322</v>
      </c>
      <c r="EM44" s="16" t="str">
        <f t="shared" si="29"/>
        <v>Fiche infoA246322</v>
      </c>
      <c r="EN44" s="16">
        <f t="shared" si="20"/>
        <v>0</v>
      </c>
      <c r="EQ44" s="16" t="str">
        <f>Octobre!FS46</f>
        <v/>
      </c>
    </row>
    <row r="45" spans="1:147" ht="18" customHeight="1" x14ac:dyDescent="0.2">
      <c r="A45" s="24" t="str">
        <f>+Octobre!BJ47</f>
        <v>Fiche infoA3</v>
      </c>
      <c r="B45" s="107">
        <f t="shared" si="30"/>
        <v>46323</v>
      </c>
      <c r="C45" s="170">
        <f>IF(C$18+27&lt;DATE(YEAR(O$13),MONTH(O$13),DAY(O$13)),C$18+27,"")</f>
        <v>46323</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Octobre!BC47</f>
        <v>0</v>
      </c>
      <c r="J45" s="34">
        <f>Octobre!BE47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infoA3</v>
      </c>
      <c r="BB45" s="107">
        <f t="shared" si="31"/>
        <v>46323</v>
      </c>
      <c r="BC45" s="170">
        <f>IF(BC$18+27&lt;DATE(YEAR(BH$13),MONTH(BH$13),DAY(BH$13)),BC$18+27,"")</f>
        <v>46323</v>
      </c>
      <c r="BD45" s="171" t="str">
        <f t="shared" si="32"/>
        <v/>
      </c>
      <c r="BE45" s="171" t="str">
        <f>+IF(OR(BF45=S.CAL!$BJ$3,BF45=S.CAL!$BJ$4),BD45,"")</f>
        <v/>
      </c>
      <c r="BF45" s="333">
        <f>IF($DY$5=S.CAL!$CU$2,Octobre!AR47,IF($DY$5=S.CAL!$CU$3,VLOOKUP(BC45,planning_fp,7,FALSE),""))</f>
        <v>0</v>
      </c>
      <c r="BG45" s="345" t="str">
        <f>Octobre!BL47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46323</v>
      </c>
      <c r="CF45" s="170">
        <f>IF(CF$18+27&lt;DATE(YEAR(CQ$13),MONTH(CQ$13),DAY(CQ$13)),CF$18+27,"")</f>
        <v>46323</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IF(+Octobre!AG47="",0,Octobre!AG47)</f>
        <v>0</v>
      </c>
      <c r="DZ45" s="16">
        <f>+IF(Octobre!AJ47="",0,Octobre!AJ47)</f>
        <v>0</v>
      </c>
      <c r="EA45" s="16">
        <f>+IF(Octobre!AM47="",0,Octobre!AM47)</f>
        <v>0</v>
      </c>
      <c r="EB45" s="16">
        <f t="shared" si="25"/>
        <v>0</v>
      </c>
      <c r="ED45" s="16">
        <f t="shared" si="26"/>
        <v>0</v>
      </c>
      <c r="EE45" s="16">
        <f t="shared" si="17"/>
        <v>0</v>
      </c>
      <c r="EF45" s="30" t="str">
        <f t="shared" si="18"/>
        <v/>
      </c>
      <c r="EG45" s="30" t="str">
        <f t="shared" si="27"/>
        <v/>
      </c>
      <c r="EH45" s="16">
        <f t="shared" si="28"/>
        <v>0</v>
      </c>
      <c r="EI45" s="30"/>
      <c r="EJ45" s="30">
        <f t="shared" si="19"/>
        <v>46323</v>
      </c>
      <c r="EM45" s="16" t="str">
        <f t="shared" si="29"/>
        <v>Fiche infoA346323</v>
      </c>
      <c r="EN45" s="16">
        <f t="shared" si="20"/>
        <v>0</v>
      </c>
      <c r="EQ45" s="16" t="str">
        <f>Octobre!FS47</f>
        <v/>
      </c>
    </row>
    <row r="46" spans="1:147" ht="18" customHeight="1" x14ac:dyDescent="0.2">
      <c r="A46" s="24" t="str">
        <f>+Octobre!BJ48</f>
        <v>Fiche infoA4</v>
      </c>
      <c r="B46" s="107">
        <f t="shared" si="30"/>
        <v>46324</v>
      </c>
      <c r="C46" s="170">
        <f>IF(C$18+28&lt;DATE(YEAR(O$13),MONTH(O$13),DAY(O$13)),C$18+28,"")</f>
        <v>46324</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Octobre!BC48</f>
        <v>0</v>
      </c>
      <c r="J46" s="34">
        <f>Octobre!BE48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infoA4</v>
      </c>
      <c r="BB46" s="107">
        <f t="shared" si="31"/>
        <v>46324</v>
      </c>
      <c r="BC46" s="170">
        <f>IF(BC$18+28&lt;DATE(YEAR(BH$13),MONTH(BH$13),DAY(BH$13)),BC$18+28,"")</f>
        <v>46324</v>
      </c>
      <c r="BD46" s="171" t="str">
        <f t="shared" si="32"/>
        <v/>
      </c>
      <c r="BE46" s="171" t="str">
        <f>+IF(OR(BF46=S.CAL!$BJ$3,BF46=S.CAL!$BJ$4),BD46,"")</f>
        <v/>
      </c>
      <c r="BF46" s="333">
        <f>IF($DY$5=S.CAL!$CU$2,Octobre!AR48,IF($DY$5=S.CAL!$CU$3,VLOOKUP(BC46,planning_fp,7,FALSE),""))</f>
        <v>0</v>
      </c>
      <c r="BG46" s="345" t="str">
        <f>Octobre!BL48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46324</v>
      </c>
      <c r="CF46" s="170">
        <f>IF(CF$18+28&lt;DATE(YEAR(CQ$13),MONTH(CQ$13),DAY(CQ$13)),CF$18+28,"")</f>
        <v>46324</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IF(+Octobre!AG48="",0,Octobre!AG48)</f>
        <v>0</v>
      </c>
      <c r="DZ46" s="16">
        <f>+IF(Octobre!AJ48="",0,Octobre!AJ48)</f>
        <v>0</v>
      </c>
      <c r="EA46" s="16">
        <f>+IF(Octobre!AM48="",0,Octobre!AM48)</f>
        <v>0</v>
      </c>
      <c r="EB46" s="16">
        <f t="shared" si="25"/>
        <v>0</v>
      </c>
      <c r="ED46" s="16">
        <f t="shared" si="26"/>
        <v>0</v>
      </c>
      <c r="EE46" s="16">
        <f t="shared" si="17"/>
        <v>0</v>
      </c>
      <c r="EF46" s="30" t="str">
        <f t="shared" si="18"/>
        <v/>
      </c>
      <c r="EG46" s="30" t="str">
        <f t="shared" si="27"/>
        <v/>
      </c>
      <c r="EH46" s="16">
        <f t="shared" si="28"/>
        <v>0</v>
      </c>
      <c r="EI46" s="30"/>
      <c r="EJ46" s="30">
        <f t="shared" si="19"/>
        <v>46324</v>
      </c>
      <c r="EM46" s="16" t="str">
        <f t="shared" si="29"/>
        <v>Fiche infoA446324</v>
      </c>
      <c r="EN46" s="16">
        <f t="shared" si="20"/>
        <v>0</v>
      </c>
      <c r="EQ46" s="16" t="str">
        <f>Octobre!FS48</f>
        <v/>
      </c>
    </row>
    <row r="47" spans="1:147" ht="18" customHeight="1" x14ac:dyDescent="0.2">
      <c r="A47" s="24" t="str">
        <f>+Octobre!BJ49</f>
        <v>Fiche infoA5</v>
      </c>
      <c r="B47" s="107">
        <f t="shared" si="30"/>
        <v>46325</v>
      </c>
      <c r="C47" s="170">
        <f>IF(C$18+29&lt;DATE(YEAR(O$13),MONTH(O$13),DAY(O$13)),C$18+29,"")</f>
        <v>46325</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Octobre!BC49</f>
        <v>0</v>
      </c>
      <c r="J47" s="34">
        <f>Octobre!BE49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infoA5</v>
      </c>
      <c r="BB47" s="107">
        <f t="shared" si="31"/>
        <v>46325</v>
      </c>
      <c r="BC47" s="170">
        <f>IF(BC$18+29&lt;DATE(YEAR(BH$13),MONTH(BH$13),DAY(BH$13)),BC$18+29,"")</f>
        <v>46325</v>
      </c>
      <c r="BD47" s="171" t="str">
        <f t="shared" si="32"/>
        <v/>
      </c>
      <c r="BE47" s="171" t="str">
        <f>+IF(OR(BF47=S.CAL!$BJ$3,BF47=S.CAL!$BJ$4),BD47,"")</f>
        <v/>
      </c>
      <c r="BF47" s="333">
        <f>IF($DY$5=S.CAL!$CU$2,Octobre!AR49,IF($DY$5=S.CAL!$CU$3,VLOOKUP(BC47,planning_fp,7,FALSE),""))</f>
        <v>0</v>
      </c>
      <c r="BG47" s="345" t="str">
        <f>Octobre!BL49</f>
        <v>A</v>
      </c>
      <c r="BH47" s="355"/>
      <c r="BI47" s="355"/>
      <c r="BJ47" s="355"/>
      <c r="BK47" s="355"/>
      <c r="BL47" s="35"/>
      <c r="BV47" s="355"/>
      <c r="BW47" s="355"/>
      <c r="BX47" s="355"/>
      <c r="BY47" s="355"/>
      <c r="BZ47" s="355"/>
      <c r="CA47" s="355"/>
      <c r="CB47" s="355"/>
      <c r="CD47" s="328"/>
      <c r="CE47" s="107">
        <f t="shared" si="33"/>
        <v>46325</v>
      </c>
      <c r="CF47" s="170">
        <f>IF(CF$18+29&lt;DATE(YEAR(CQ$13),MONTH(CQ$13),DAY(CQ$13)),CF$18+29,"")</f>
        <v>46325</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IF(+Octobre!AG49="",0,Octobre!AG49)</f>
        <v>0</v>
      </c>
      <c r="DZ47" s="16">
        <f>+IF(Octobre!AJ49="",0,Octobre!AJ49)</f>
        <v>0</v>
      </c>
      <c r="EA47" s="16">
        <f>+IF(Octobre!AM49="",0,Octobre!AM49)</f>
        <v>0</v>
      </c>
      <c r="EB47" s="16">
        <f t="shared" si="25"/>
        <v>0</v>
      </c>
      <c r="ED47" s="16">
        <f t="shared" si="26"/>
        <v>0</v>
      </c>
      <c r="EE47" s="16">
        <f t="shared" si="17"/>
        <v>0</v>
      </c>
      <c r="EF47" s="30" t="str">
        <f t="shared" si="18"/>
        <v/>
      </c>
      <c r="EG47" s="30" t="str">
        <f t="shared" si="27"/>
        <v/>
      </c>
      <c r="EH47" s="16">
        <f t="shared" si="28"/>
        <v>0</v>
      </c>
      <c r="EI47" s="30"/>
      <c r="EJ47" s="30">
        <f t="shared" si="19"/>
        <v>46325</v>
      </c>
      <c r="EM47" s="16" t="str">
        <f t="shared" si="29"/>
        <v>Fiche infoA546325</v>
      </c>
      <c r="EN47" s="16">
        <f t="shared" si="20"/>
        <v>0</v>
      </c>
      <c r="EQ47" s="16" t="str">
        <f>Octobre!FS49</f>
        <v/>
      </c>
    </row>
    <row r="48" spans="1:147" ht="18" customHeight="1" thickBot="1" x14ac:dyDescent="0.25">
      <c r="A48" s="24" t="str">
        <f>+Octobre!BJ50</f>
        <v>Fiche infoA6</v>
      </c>
      <c r="B48" s="110">
        <f t="shared" si="30"/>
        <v>46326</v>
      </c>
      <c r="C48" s="190">
        <f>IF(C$18+30&lt;DATE(YEAR(O$13),MONTH(O$13),DAY(O$13)),C$18+30,"")</f>
        <v>46326</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Octobre!BC50</f>
        <v>0</v>
      </c>
      <c r="J48" s="34">
        <f>Octobre!BE50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40</v>
      </c>
      <c r="X48" s="2538"/>
      <c r="Y48" s="2538"/>
      <c r="Z48" s="1323" t="str">
        <f>+IF(Z34="","",Z34)</f>
        <v/>
      </c>
      <c r="AA48" s="1316">
        <f>+IF(Z48="",IF(AND(AD48&gt;0,AC48&gt;0),AD48+AC48,IF(AE48&gt;0,0,AC48)),Z48)</f>
        <v>0</v>
      </c>
      <c r="AB48" s="1316">
        <f>IF(AA48&gt;45,AA48-45,0)</f>
        <v>0</v>
      </c>
      <c r="AC48" s="1322">
        <f>+SUMIF(Octobre!$BK$20:$BK$50,Octobre!AT4,$D$18:$D$48)-SUMIF(Octobre!$BK$20:$BK$50,Octobre!AT4,$E$18:$E$48)</f>
        <v>0</v>
      </c>
      <c r="AD48" s="1322">
        <f>+SUMIF(Septembre!$BK$20:$BK$50,Octobre!AT4,'Retenue Sept'!$D$18:$D$48)-SUMIF(Septembre!$BK$20:$BK$50,Octobre!AT4,'Retenue Sept'!$E$18:$E$48)</f>
        <v>0</v>
      </c>
      <c r="AE48" s="1322">
        <f>+SUMIF(Novembre!$BK$20:$BK$50,Octobre!AT4,'Retenue Nov'!$D$18:$D$48)-SUMIF(Novembre!$BK$20:$BK$50,Octobre!AT4,'Retenue Nov'!$E$18:$E$48)</f>
        <v>0</v>
      </c>
      <c r="AF48" s="1316">
        <f>+AC48-AB48</f>
        <v>0</v>
      </c>
      <c r="AK48" s="1189"/>
      <c r="AL48" s="1202"/>
      <c r="AO48" s="1202">
        <f>+AN39*AL26</f>
        <v>0</v>
      </c>
      <c r="AP48" s="1202">
        <f>+AO48*(1-AX21)</f>
        <v>0</v>
      </c>
      <c r="AQ48" s="1202">
        <f>+AO48-AP48</f>
        <v>0</v>
      </c>
      <c r="BA48" s="331" t="str">
        <f t="shared" si="16"/>
        <v>Fiche infoA6</v>
      </c>
      <c r="BB48" s="110">
        <f t="shared" si="31"/>
        <v>46326</v>
      </c>
      <c r="BC48" s="190">
        <f>IF(BC$18+30&lt;DATE(YEAR(BH$13),MONTH(BH$13),DAY(BH$13)),BC$18+30,"")</f>
        <v>46326</v>
      </c>
      <c r="BD48" s="191" t="str">
        <f t="shared" si="32"/>
        <v/>
      </c>
      <c r="BE48" s="191" t="str">
        <f>+IF(OR(BF48=S.CAL!$BJ$3,BF48=S.CAL!$BJ$4),BD48,"")</f>
        <v/>
      </c>
      <c r="BF48" s="334">
        <f>IF($DY$5=S.CAL!$CU$2,Octobre!AR50,IF($DY$5=S.CAL!$CU$3,VLOOKUP(BC48,planning_fp,7,FALSE),""))</f>
        <v>0</v>
      </c>
      <c r="BG48" s="346" t="str">
        <f>Octobre!BL50</f>
        <v>A</v>
      </c>
      <c r="BH48" s="356"/>
      <c r="BI48" s="355"/>
      <c r="BJ48" s="355"/>
      <c r="BK48" s="355"/>
      <c r="BL48" s="35"/>
      <c r="BQ48" s="16" t="s">
        <v>834</v>
      </c>
      <c r="BV48" s="355"/>
      <c r="BW48" s="355"/>
      <c r="BX48" s="355" t="s">
        <v>834</v>
      </c>
      <c r="BZ48" s="355"/>
      <c r="CA48" s="355"/>
      <c r="CB48" s="355"/>
      <c r="CD48" s="328"/>
      <c r="CE48" s="110">
        <f t="shared" si="33"/>
        <v>46326</v>
      </c>
      <c r="CF48" s="190">
        <f>IF(CF$18+30&lt;DATE(YEAR(CQ$13),MONTH(CQ$13),DAY(CQ$13)),CF$18+30,"")</f>
        <v>46326</v>
      </c>
      <c r="CG48" s="191">
        <f t="shared" si="22"/>
        <v>0</v>
      </c>
      <c r="CH48" s="34"/>
      <c r="CI48" s="2534" t="str">
        <f t="shared" ref="CI48:CI53" si="56">W48</f>
        <v>Semaine numéro : 40</v>
      </c>
      <c r="CJ48" s="2535"/>
      <c r="CK48" s="2536"/>
      <c r="CL48" s="875" t="str">
        <f>+IF(CL34="","",CL34)</f>
        <v/>
      </c>
      <c r="CM48" s="656">
        <f>+IF(CL48="",IF(AND(CP48&gt;0,CO48&gt;0),CP48+CO48,IF(CQ48&gt;0,0,CO48)),CL48)</f>
        <v>0</v>
      </c>
      <c r="CN48" s="655">
        <f>IF(CM48&gt;45,CM48-45,0)</f>
        <v>0</v>
      </c>
      <c r="CO48" s="196">
        <f>+SUMIF(Octobre!$BK$20:$BK$50,Octobre!AT4,$CG$18:$CG$48)</f>
        <v>0</v>
      </c>
      <c r="CP48" s="196">
        <f>+SUMIF(Septembre!$BK$20:$BK$50,Octobre!AT4,'Retenue Sept'!$CG$18:$CG$48)</f>
        <v>0</v>
      </c>
      <c r="CQ48" s="196">
        <f>+SUMIF(Novembre!$BK$20:$BK$50,Octobre!AT4,'Retenue Nov'!$CG$18:$CG$48)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IF(+Octobre!AG50="",0,Octobre!AG50)</f>
        <v>0</v>
      </c>
      <c r="DZ48" s="16">
        <f>+IF(Octobre!AJ50="",0,Octobre!AJ50)</f>
        <v>0</v>
      </c>
      <c r="EA48" s="16">
        <f>+IF(Octobre!AM50="",0,Octobre!AM50)</f>
        <v>0</v>
      </c>
      <c r="EB48" s="16">
        <f t="shared" si="25"/>
        <v>0</v>
      </c>
      <c r="ED48" s="16">
        <f t="shared" si="26"/>
        <v>0</v>
      </c>
      <c r="EE48" s="16">
        <f t="shared" si="17"/>
        <v>0</v>
      </c>
      <c r="EF48" s="30" t="str">
        <f t="shared" si="18"/>
        <v/>
      </c>
      <c r="EG48" s="30" t="str">
        <f t="shared" si="27"/>
        <v/>
      </c>
      <c r="EH48" s="16">
        <f t="shared" si="28"/>
        <v>0</v>
      </c>
      <c r="EI48" s="30"/>
      <c r="EJ48" s="30">
        <f t="shared" si="19"/>
        <v>46326</v>
      </c>
      <c r="EM48" s="16" t="str">
        <f t="shared" si="29"/>
        <v>Fiche infoA646326</v>
      </c>
      <c r="EN48" s="16">
        <f t="shared" si="20"/>
        <v>0</v>
      </c>
      <c r="EQ48" s="16" t="str">
        <f>Octobre!FS50</f>
        <v/>
      </c>
    </row>
    <row r="49" spans="2:139" ht="18" customHeight="1" thickBot="1" x14ac:dyDescent="0.25">
      <c r="N49" s="24"/>
      <c r="O49" s="24"/>
      <c r="P49" s="24"/>
      <c r="Q49" s="24"/>
      <c r="R49" s="24"/>
      <c r="S49" s="1325"/>
      <c r="U49" s="1301"/>
      <c r="V49" s="1301"/>
      <c r="W49" s="2538" t="str">
        <f t="shared" si="55"/>
        <v>Semaine numéro : 41</v>
      </c>
      <c r="X49" s="2538"/>
      <c r="Y49" s="2538"/>
      <c r="Z49" s="1323" t="str">
        <f t="shared" ref="Z49:Z53" si="57">+IF(Z35="","",Z35)</f>
        <v/>
      </c>
      <c r="AA49" s="1316">
        <f t="shared" ref="AA49:AA53" si="58">+IF(Z49="",IF(AND(AD49&gt;0,AC49&gt;0),AD49+AC49,IF(AE49&gt;0,0,AC49)),Z49)</f>
        <v>0</v>
      </c>
      <c r="AB49" s="1316">
        <f t="shared" ref="AB49:AB53" si="59">IF(AA49&gt;45,AA49-45,0)</f>
        <v>0</v>
      </c>
      <c r="AC49" s="1322">
        <f>+SUMIF(Octobre!$BK$20:$BK$50,Octobre!AT5,$D$18:$D$48)-SUMIF(Octobre!$BK$20:$BK$50,Octobre!AT5,$E$18:$E$48)</f>
        <v>0</v>
      </c>
      <c r="AD49" s="1322">
        <f>+SUMIF(Septembre!$BK$20:$BK$50,Octobre!AT5,'Retenue Sept'!$D$18:$D$48)-SUMIF(Septembre!$BK$20:$BK$50,Octobre!AT5,'Retenue Sept'!$E$18:$E$48)</f>
        <v>0</v>
      </c>
      <c r="AE49" s="1322">
        <f>+SUMIF(Novembre!$BK$20:$BK$50,Octobre!AT5,'Retenue Nov'!$D$18:$D$48)-SUMIF(Novembre!$BK$20:$BK$50,Octobre!AT5,'Retenue Nov'!$E$18:$E$48)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41</v>
      </c>
      <c r="CJ49" s="2535"/>
      <c r="CK49" s="2536"/>
      <c r="CL49" s="875" t="str">
        <f t="shared" ref="CL49:CL53" si="61">+IF(CL35="","",CL35)</f>
        <v/>
      </c>
      <c r="CM49" s="656">
        <f t="shared" ref="CM49:CM53" si="62">+IF(CL49="",IF(AND(CP49&gt;0,CO49&gt;0),CP49+CO49,IF(CQ49&gt;0,0,CO49)),CL49)</f>
        <v>0</v>
      </c>
      <c r="CN49" s="655">
        <f t="shared" ref="CN49:CN53" si="63">IF(CM49&gt;45,CM49-45,0)</f>
        <v>0</v>
      </c>
      <c r="CO49" s="196">
        <f>+SUMIF(Octobre!$BK$20:$BK$50,Octobre!AT5,$CG$18:$CG$48)</f>
        <v>0</v>
      </c>
      <c r="CP49" s="196">
        <f>+SUMIF(Septembre!$BK$20:$BK$50,Octobre!AT5,'Retenue Sept'!$CG$18:$CG$48)</f>
        <v>0</v>
      </c>
      <c r="CQ49" s="196">
        <f>+SUMIF(Novembre!$BK$20:$BK$50,Octobre!AT5,'Retenue Nov'!$CG$18:$CG$48)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42</v>
      </c>
      <c r="X50" s="2538"/>
      <c r="Y50" s="2538"/>
      <c r="Z50" s="1323" t="str">
        <f t="shared" si="57"/>
        <v/>
      </c>
      <c r="AA50" s="1316">
        <f t="shared" si="58"/>
        <v>0</v>
      </c>
      <c r="AB50" s="1316">
        <f t="shared" si="59"/>
        <v>0</v>
      </c>
      <c r="AC50" s="1322">
        <f>+SUMIF(Octobre!$BK$20:$BK$50,Octobre!AT6,$D$18:$D$48)-SUMIF(Octobre!$BK$20:$BK$50,Octobre!AT6,$E$18:$E$48)</f>
        <v>0</v>
      </c>
      <c r="AD50" s="1322">
        <f>+SUMIF(Septembre!$BK$20:$BK$50,Octobre!AT6,'Retenue Sept'!$D$18:$D$48)-SUMIF(Septembre!$BK$20:$BK$50,Octobre!AT6,'Retenue Sept'!$E$18:$E$48)</f>
        <v>0</v>
      </c>
      <c r="AE50" s="1322">
        <f>+SUMIF(Novembre!$BK$20:$BK$50,Octobre!AT6,'Retenue Nov'!$D$18:$D$48)-SUMIF(Novembre!$BK$20:$BK$50,Octobre!AT6,'Retenue Nov'!$E$18:$E$48)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42</v>
      </c>
      <c r="CJ50" s="2535"/>
      <c r="CK50" s="2536"/>
      <c r="CL50" s="875" t="str">
        <f t="shared" si="61"/>
        <v/>
      </c>
      <c r="CM50" s="656">
        <f t="shared" si="62"/>
        <v>0</v>
      </c>
      <c r="CN50" s="655">
        <f t="shared" si="63"/>
        <v>0</v>
      </c>
      <c r="CO50" s="196">
        <f>+SUMIF(Octobre!$BK$20:$BK$50,Octobre!AT6,$CG$18:$CG$48)</f>
        <v>0</v>
      </c>
      <c r="CP50" s="196">
        <f>+SUMIF(Septembre!$BK$20:$BK$50,Octobre!AT6,'Retenue Sept'!$CG$18:$CG$48)</f>
        <v>0</v>
      </c>
      <c r="CQ50" s="196">
        <f>+SUMIF(Novembre!$BK$20:$BK$50,Octobre!AT6,'Retenue Nov'!$CG$18:$CG$48)</f>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5"/>
        <v>Semaine numéro : 43</v>
      </c>
      <c r="X51" s="2538"/>
      <c r="Y51" s="2538"/>
      <c r="Z51" s="1323" t="str">
        <f t="shared" si="57"/>
        <v/>
      </c>
      <c r="AA51" s="1316">
        <f t="shared" si="58"/>
        <v>0</v>
      </c>
      <c r="AB51" s="1316">
        <f t="shared" si="59"/>
        <v>0</v>
      </c>
      <c r="AC51" s="1322">
        <f>+SUMIF(Octobre!$BK$20:$BK$50,Octobre!AT7,$D$18:$D$48)-SUMIF(Octobre!$BK$20:$BK$50,Octobre!AT7,$E$18:$E$48)</f>
        <v>0</v>
      </c>
      <c r="AD51" s="1322">
        <f>+SUMIF(Septembre!$BK$20:$BK$50,Octobre!AT7,'Retenue Sept'!$D$18:$D$48)-SUMIF(Septembre!$BK$20:$BK$50,Octobre!AT7,'Retenue Sept'!$E$18:$E$48)</f>
        <v>0</v>
      </c>
      <c r="AE51" s="1322">
        <f>+SUMIF(Novembre!$BK$20:$BK$50,Octobre!AT7,'Retenue Nov'!$D$18:$D$48)-SUMIF(Novembre!$BK$20:$BK$50,Octobre!AT7,'Retenue Nov'!$E$18:$E$48)</f>
        <v>0</v>
      </c>
      <c r="AF51" s="1316">
        <f t="shared" si="60"/>
        <v>0</v>
      </c>
      <c r="AG51" s="1327"/>
      <c r="AJ51" s="1304"/>
      <c r="AK51" s="1305"/>
      <c r="AL51" s="1307"/>
      <c r="BA51" s="328"/>
      <c r="BD51" s="351" t="s">
        <v>746</v>
      </c>
      <c r="BE51" s="192">
        <f>+SUMIFS(BE18:BE48,BF18:BF48,S.CAL!BJ3)</f>
        <v>0</v>
      </c>
      <c r="BF51" s="352">
        <f>IF(Octobre!AZ90="",+COUNTIF(BF18:BF48,S.CAL!BJ3),Octobre!AZ90)</f>
        <v>0</v>
      </c>
      <c r="BL51" s="35"/>
      <c r="CD51" s="328"/>
      <c r="CI51" s="2534" t="str">
        <f t="shared" si="56"/>
        <v>Semaine numéro : 43</v>
      </c>
      <c r="CJ51" s="2535"/>
      <c r="CK51" s="2536"/>
      <c r="CL51" s="875" t="str">
        <f t="shared" si="61"/>
        <v/>
      </c>
      <c r="CM51" s="656">
        <f t="shared" si="62"/>
        <v>0</v>
      </c>
      <c r="CN51" s="655">
        <f t="shared" si="63"/>
        <v>0</v>
      </c>
      <c r="CO51" s="196">
        <f>+SUMIF(Octobre!$BK$20:$BK$50,Octobre!AT7,$CG$18:$CG$48)</f>
        <v>0</v>
      </c>
      <c r="CP51" s="196">
        <f>+SUMIF(Septembre!$BK$20:$BK$50,Octobre!AT7,'Retenue Sept'!$CG$18:$CG$48)</f>
        <v>0</v>
      </c>
      <c r="CQ51" s="196">
        <f>+SUMIF(Novembre!$BK$20:$BK$50,Octobre!AT7,'Retenue Nov'!$CG$18:$CG$48)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44</v>
      </c>
      <c r="X52" s="2538"/>
      <c r="Y52" s="2538"/>
      <c r="Z52" s="1323" t="str">
        <f t="shared" si="57"/>
        <v/>
      </c>
      <c r="AA52" s="1316">
        <f t="shared" si="58"/>
        <v>0</v>
      </c>
      <c r="AB52" s="1316">
        <f t="shared" si="59"/>
        <v>0</v>
      </c>
      <c r="AC52" s="1322">
        <f>+SUMIF(Octobre!$BK$20:$BK$50,Octobre!AT8,$D$18:$D$48)-SUMIF(Octobre!$BK$20:$BK$50,Octobre!AT8,$E$18:$E$48)</f>
        <v>0</v>
      </c>
      <c r="AD52" s="1322">
        <f>+SUMIF(Septembre!$BK$20:$BK$50,Octobre!AT8,'Retenue Sept'!$D$18:$D$48)-SUMIF(Septembre!$BK$20:$BK$50,Octobre!AT8,'Retenue Sept'!$E$18:$E$48)</f>
        <v>0</v>
      </c>
      <c r="AE52" s="1322">
        <f>+SUMIF(Novembre!$BK$20:$BK$50,Octobre!AT8,'Retenue Nov'!$D$18:$D$48)-SUMIF(Novembre!$BK$20:$BK$50,Octobre!AT8,'Retenue Nov'!$E$18:$E$48)</f>
        <v>0</v>
      </c>
      <c r="AF52" s="1316">
        <f t="shared" si="60"/>
        <v>0</v>
      </c>
      <c r="AO52" s="1189" t="s">
        <v>1110</v>
      </c>
      <c r="AP52" s="1326">
        <f>IF(AL22,+ROUND((AQ48+SUM(AQ39:AQ46))*AL34/AL22*Q11,2),0)</f>
        <v>0</v>
      </c>
      <c r="BA52" s="328"/>
      <c r="BD52" s="1341" t="s">
        <v>696</v>
      </c>
      <c r="BE52" s="1342">
        <f>+SUMIFS(BE18:BE48,BF18:BF48,S.CAL!BJ4)</f>
        <v>0</v>
      </c>
      <c r="BF52" s="1343">
        <f>IF(Octobre!BA90="",+COUNTIF(BF18:BF48,S.CAL!BJ4),Octobre!BA90)</f>
        <v>0</v>
      </c>
      <c r="BL52" s="35"/>
      <c r="BU52" s="16" t="s">
        <v>776</v>
      </c>
      <c r="BW52" s="339">
        <f>+BR46+BR49+BZ46+BZ49</f>
        <v>0</v>
      </c>
      <c r="CD52" s="328"/>
      <c r="CI52" s="2534" t="str">
        <f t="shared" si="56"/>
        <v>Semaine numéro : 44</v>
      </c>
      <c r="CJ52" s="2535"/>
      <c r="CK52" s="2536"/>
      <c r="CL52" s="875" t="str">
        <f t="shared" si="61"/>
        <v/>
      </c>
      <c r="CM52" s="656">
        <f t="shared" si="62"/>
        <v>0</v>
      </c>
      <c r="CN52" s="655">
        <f t="shared" si="63"/>
        <v>0</v>
      </c>
      <c r="CO52" s="196">
        <f>+SUMIF(Octobre!$BK$20:$BK$50,Octobre!AT8,$CG$18:$CG$48)</f>
        <v>0</v>
      </c>
      <c r="CP52" s="196">
        <f>+SUMIF(Septembre!$BK$20:$BK$50,Octobre!AT8,'Retenue Sept'!$CG$18:$CG$48)</f>
        <v>0</v>
      </c>
      <c r="CQ52" s="196">
        <f>+SUMIF(Novembre!$BK$20:$BK$50,Octobre!AT8,'Retenue Nov'!$CG$18:$CG$48)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 xml:space="preserve">Semaine numéro : </v>
      </c>
      <c r="X53" s="2538"/>
      <c r="Y53" s="2538"/>
      <c r="Z53" s="1323" t="str">
        <f t="shared" si="57"/>
        <v/>
      </c>
      <c r="AA53" s="1316">
        <f t="shared" si="58"/>
        <v>0</v>
      </c>
      <c r="AB53" s="1316">
        <f t="shared" si="59"/>
        <v>0</v>
      </c>
      <c r="AC53" s="1322">
        <f>+SUMIF(Octobre!$BK$20:$BK$50,Octobre!AT9,$D$18:$D$48)-SUMIF(Octobre!$BK$20:$BK$50,Octobre!AT9,$E$18:$E$48)</f>
        <v>0</v>
      </c>
      <c r="AD53" s="1322">
        <f>+SUMIF(Septembre!$BK$20:$BK$50,Octobre!AT9,'Retenue Sept'!$D$18:$D$48)-SUMIF(Septembre!$BK$20:$BK$50,Octobre!AT9,'Retenue Sept'!$E$18:$E$48)</f>
        <v>0</v>
      </c>
      <c r="AE53" s="1322">
        <f>+SUMIF(Novembre!$BK$20:$BK$50,Octobre!AT9,'Retenue Nov'!$D$18:$D$48)-SUMIF(Novembre!$BK$20:$BK$50,Octobre!AT9,'Retenue Nov'!$E$18:$E$48)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 xml:space="preserve">Semaine numéro : </v>
      </c>
      <c r="CJ53" s="2535"/>
      <c r="CK53" s="2536"/>
      <c r="CL53" s="875" t="str">
        <f t="shared" si="61"/>
        <v/>
      </c>
      <c r="CM53" s="656">
        <f t="shared" si="62"/>
        <v>0</v>
      </c>
      <c r="CN53" s="655">
        <f t="shared" si="63"/>
        <v>0</v>
      </c>
      <c r="CO53" s="196">
        <f>+SUMIF(Octobre!$BK$20:$BK$50,Octobre!AT9,$CG$18:$CG$48)</f>
        <v>0</v>
      </c>
      <c r="CP53" s="196">
        <f>+SUMIF(Septembre!$BK$20:$BK$50,Octobre!AT9,'Retenue Sept'!$CG$18:$CG$48)</f>
        <v>0</v>
      </c>
      <c r="CQ53" s="196">
        <f>+SUMIF(Novembre!$BK$20:$BK$50,Octobre!AT9,'Retenue Nov'!$CG$18:$CG$48)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63">
        <f>B17</f>
        <v>46296</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46296</v>
      </c>
      <c r="C57" s="169">
        <f t="shared" si="65"/>
        <v>46296</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46297</v>
      </c>
      <c r="C58" s="170">
        <f t="shared" si="65"/>
        <v>46297</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46298</v>
      </c>
      <c r="C59" s="170">
        <f t="shared" si="65"/>
        <v>46298</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46299</v>
      </c>
      <c r="C60" s="170">
        <f t="shared" si="65"/>
        <v>46299</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46300</v>
      </c>
      <c r="C61" s="170">
        <f t="shared" si="65"/>
        <v>46300</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46301</v>
      </c>
      <c r="C62" s="170">
        <f t="shared" si="65"/>
        <v>46301</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46302</v>
      </c>
      <c r="C63" s="170">
        <f t="shared" si="65"/>
        <v>46302</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46303</v>
      </c>
      <c r="C64" s="170">
        <f t="shared" si="65"/>
        <v>46303</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46304</v>
      </c>
      <c r="C65" s="170">
        <f t="shared" si="65"/>
        <v>46304</v>
      </c>
      <c r="D65" s="171" t="str">
        <f t="shared" si="66"/>
        <v/>
      </c>
      <c r="E65" s="171" t="str">
        <f t="shared" si="69"/>
        <v/>
      </c>
      <c r="F65" s="1531" t="str">
        <f t="shared" si="67"/>
        <v/>
      </c>
      <c r="G65" s="1531" t="str">
        <f t="shared" si="68"/>
        <v/>
      </c>
      <c r="BA65" s="328"/>
      <c r="CD65" s="328"/>
    </row>
    <row r="66" spans="2:82" x14ac:dyDescent="0.2">
      <c r="B66" s="107">
        <f t="shared" si="65"/>
        <v>46305</v>
      </c>
      <c r="C66" s="170">
        <f t="shared" si="65"/>
        <v>46305</v>
      </c>
      <c r="D66" s="171" t="str">
        <f t="shared" si="66"/>
        <v/>
      </c>
      <c r="E66" s="171" t="str">
        <f t="shared" si="69"/>
        <v/>
      </c>
      <c r="F66" s="1531" t="str">
        <f t="shared" si="67"/>
        <v/>
      </c>
      <c r="G66" s="1531" t="str">
        <f t="shared" si="68"/>
        <v/>
      </c>
      <c r="BA66" s="328"/>
      <c r="CD66" s="328"/>
    </row>
    <row r="67" spans="2:82" x14ac:dyDescent="0.2">
      <c r="B67" s="107">
        <f t="shared" si="65"/>
        <v>46306</v>
      </c>
      <c r="C67" s="170">
        <f t="shared" si="65"/>
        <v>46306</v>
      </c>
      <c r="D67" s="171" t="str">
        <f t="shared" si="66"/>
        <v/>
      </c>
      <c r="E67" s="171" t="str">
        <f t="shared" si="69"/>
        <v/>
      </c>
      <c r="F67" s="1531" t="str">
        <f t="shared" si="67"/>
        <v/>
      </c>
      <c r="G67" s="1531" t="str">
        <f t="shared" si="68"/>
        <v/>
      </c>
      <c r="BA67" s="328"/>
      <c r="CD67" s="328"/>
    </row>
    <row r="68" spans="2:82" x14ac:dyDescent="0.2">
      <c r="B68" s="107">
        <f t="shared" si="65"/>
        <v>46307</v>
      </c>
      <c r="C68" s="170">
        <f t="shared" si="65"/>
        <v>46307</v>
      </c>
      <c r="D68" s="171" t="str">
        <f t="shared" si="66"/>
        <v/>
      </c>
      <c r="E68" s="171" t="str">
        <f t="shared" si="69"/>
        <v/>
      </c>
      <c r="F68" s="1531" t="str">
        <f t="shared" si="67"/>
        <v/>
      </c>
      <c r="G68" s="1531" t="str">
        <f t="shared" si="68"/>
        <v/>
      </c>
      <c r="AI68" s="1332" t="s">
        <v>329</v>
      </c>
      <c r="BA68" s="328"/>
      <c r="CD68" s="328"/>
    </row>
    <row r="69" spans="2:82" x14ac:dyDescent="0.2">
      <c r="B69" s="107">
        <f t="shared" si="65"/>
        <v>46308</v>
      </c>
      <c r="C69" s="170">
        <f t="shared" si="65"/>
        <v>46308</v>
      </c>
      <c r="D69" s="171" t="str">
        <f t="shared" si="66"/>
        <v/>
      </c>
      <c r="E69" s="171" t="str">
        <f t="shared" si="69"/>
        <v/>
      </c>
      <c r="F69" s="1531" t="str">
        <f t="shared" si="67"/>
        <v/>
      </c>
      <c r="G69" s="1531" t="str">
        <f t="shared" si="68"/>
        <v/>
      </c>
      <c r="BA69" s="328"/>
      <c r="CD69" s="328"/>
    </row>
    <row r="70" spans="2:82" x14ac:dyDescent="0.2">
      <c r="B70" s="107">
        <f t="shared" si="65"/>
        <v>46309</v>
      </c>
      <c r="C70" s="170">
        <f t="shared" si="65"/>
        <v>46309</v>
      </c>
      <c r="D70" s="171" t="str">
        <f t="shared" si="66"/>
        <v/>
      </c>
      <c r="E70" s="171" t="str">
        <f t="shared" si="69"/>
        <v/>
      </c>
      <c r="F70" s="1531" t="str">
        <f t="shared" si="67"/>
        <v/>
      </c>
      <c r="G70" s="1531" t="str">
        <f t="shared" si="68"/>
        <v/>
      </c>
      <c r="AI70" s="563" t="s">
        <v>330</v>
      </c>
      <c r="BA70" s="328"/>
      <c r="CD70" s="328"/>
    </row>
    <row r="71" spans="2:82" x14ac:dyDescent="0.2">
      <c r="B71" s="107">
        <f t="shared" si="65"/>
        <v>46310</v>
      </c>
      <c r="C71" s="170">
        <f t="shared" si="65"/>
        <v>46310</v>
      </c>
      <c r="D71" s="171" t="str">
        <f t="shared" si="66"/>
        <v/>
      </c>
      <c r="E71" s="171" t="str">
        <f t="shared" si="69"/>
        <v/>
      </c>
      <c r="F71" s="1531" t="str">
        <f t="shared" si="67"/>
        <v/>
      </c>
      <c r="G71" s="1531" t="str">
        <f t="shared" si="68"/>
        <v/>
      </c>
      <c r="AI71" s="1333" t="s">
        <v>331</v>
      </c>
      <c r="BA71" s="328"/>
      <c r="CD71" s="328"/>
    </row>
    <row r="72" spans="2:82" x14ac:dyDescent="0.2">
      <c r="B72" s="107">
        <f t="shared" si="65"/>
        <v>46311</v>
      </c>
      <c r="C72" s="170">
        <f t="shared" si="65"/>
        <v>46311</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46312</v>
      </c>
      <c r="C73" s="170">
        <f t="shared" si="70"/>
        <v>46312</v>
      </c>
      <c r="D73" s="171" t="str">
        <f t="shared" si="66"/>
        <v/>
      </c>
      <c r="E73" s="171" t="str">
        <f t="shared" si="69"/>
        <v/>
      </c>
      <c r="F73" s="1531" t="str">
        <f t="shared" si="67"/>
        <v/>
      </c>
      <c r="G73" s="1531" t="str">
        <f t="shared" si="68"/>
        <v/>
      </c>
      <c r="BA73" s="328"/>
      <c r="CD73" s="328"/>
    </row>
    <row r="74" spans="2:82" x14ac:dyDescent="0.2">
      <c r="B74" s="107">
        <f t="shared" si="70"/>
        <v>46313</v>
      </c>
      <c r="C74" s="170">
        <f t="shared" si="70"/>
        <v>46313</v>
      </c>
      <c r="D74" s="171" t="str">
        <f t="shared" si="66"/>
        <v/>
      </c>
      <c r="E74" s="171" t="str">
        <f t="shared" si="69"/>
        <v/>
      </c>
      <c r="F74" s="1531" t="str">
        <f t="shared" si="67"/>
        <v/>
      </c>
      <c r="G74" s="1531" t="str">
        <f t="shared" si="68"/>
        <v/>
      </c>
      <c r="AI74" s="563" t="s">
        <v>332</v>
      </c>
      <c r="BA74" s="328"/>
      <c r="CD74" s="328"/>
    </row>
    <row r="75" spans="2:82" x14ac:dyDescent="0.2">
      <c r="B75" s="107">
        <f t="shared" si="70"/>
        <v>46314</v>
      </c>
      <c r="C75" s="170">
        <f t="shared" si="70"/>
        <v>46314</v>
      </c>
      <c r="D75" s="171" t="str">
        <f t="shared" si="66"/>
        <v/>
      </c>
      <c r="E75" s="171" t="str">
        <f t="shared" si="69"/>
        <v/>
      </c>
      <c r="F75" s="1531" t="str">
        <f t="shared" si="67"/>
        <v/>
      </c>
      <c r="G75" s="1531" t="str">
        <f t="shared" si="68"/>
        <v/>
      </c>
      <c r="AI75" s="1333" t="s">
        <v>333</v>
      </c>
      <c r="BA75" s="328"/>
      <c r="CD75" s="328"/>
    </row>
    <row r="76" spans="2:82" x14ac:dyDescent="0.2">
      <c r="B76" s="107">
        <f t="shared" si="70"/>
        <v>46315</v>
      </c>
      <c r="C76" s="170">
        <f t="shared" si="70"/>
        <v>46315</v>
      </c>
      <c r="D76" s="171" t="str">
        <f t="shared" si="66"/>
        <v/>
      </c>
      <c r="E76" s="171" t="str">
        <f t="shared" si="69"/>
        <v/>
      </c>
      <c r="F76" s="1531" t="str">
        <f t="shared" si="67"/>
        <v/>
      </c>
      <c r="G76" s="1531" t="str">
        <f t="shared" si="68"/>
        <v/>
      </c>
      <c r="BA76" s="328"/>
      <c r="CD76" s="328"/>
    </row>
    <row r="77" spans="2:82" x14ac:dyDescent="0.2">
      <c r="B77" s="107">
        <f t="shared" si="70"/>
        <v>46316</v>
      </c>
      <c r="C77" s="170">
        <f t="shared" si="70"/>
        <v>46316</v>
      </c>
      <c r="D77" s="171" t="str">
        <f t="shared" si="66"/>
        <v/>
      </c>
      <c r="E77" s="171" t="str">
        <f t="shared" si="69"/>
        <v/>
      </c>
      <c r="F77" s="1531" t="str">
        <f t="shared" si="67"/>
        <v/>
      </c>
      <c r="G77" s="1531" t="str">
        <f t="shared" si="68"/>
        <v/>
      </c>
      <c r="AI77" s="563" t="s">
        <v>334</v>
      </c>
      <c r="BA77" s="328"/>
      <c r="CD77" s="328"/>
    </row>
    <row r="78" spans="2:82" x14ac:dyDescent="0.2">
      <c r="B78" s="107">
        <f t="shared" si="70"/>
        <v>46317</v>
      </c>
      <c r="C78" s="170">
        <f t="shared" si="70"/>
        <v>46317</v>
      </c>
      <c r="D78" s="171" t="str">
        <f t="shared" si="66"/>
        <v/>
      </c>
      <c r="E78" s="171" t="str">
        <f t="shared" si="69"/>
        <v/>
      </c>
      <c r="F78" s="1531" t="str">
        <f t="shared" si="67"/>
        <v/>
      </c>
      <c r="G78" s="1531" t="str">
        <f t="shared" si="68"/>
        <v/>
      </c>
      <c r="AI78" s="1333" t="s">
        <v>680</v>
      </c>
      <c r="BA78" s="328"/>
      <c r="CD78" s="328"/>
    </row>
    <row r="79" spans="2:82" x14ac:dyDescent="0.2">
      <c r="B79" s="107">
        <f t="shared" si="70"/>
        <v>46318</v>
      </c>
      <c r="C79" s="170">
        <f t="shared" si="70"/>
        <v>46318</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46319</v>
      </c>
      <c r="C80" s="170">
        <f t="shared" si="70"/>
        <v>46319</v>
      </c>
      <c r="D80" s="171" t="str">
        <f t="shared" si="66"/>
        <v/>
      </c>
      <c r="E80" s="171" t="str">
        <f t="shared" si="69"/>
        <v/>
      </c>
      <c r="F80" s="1531" t="str">
        <f t="shared" si="67"/>
        <v/>
      </c>
      <c r="G80" s="1531" t="str">
        <f t="shared" si="68"/>
        <v/>
      </c>
      <c r="BA80" s="328"/>
      <c r="CD80" s="328"/>
    </row>
    <row r="81" spans="2:82" x14ac:dyDescent="0.2">
      <c r="B81" s="107">
        <f t="shared" si="70"/>
        <v>46320</v>
      </c>
      <c r="C81" s="170">
        <f t="shared" si="70"/>
        <v>46320</v>
      </c>
      <c r="D81" s="171" t="str">
        <f t="shared" si="66"/>
        <v/>
      </c>
      <c r="E81" s="171" t="str">
        <f t="shared" si="69"/>
        <v/>
      </c>
      <c r="F81" s="1531" t="str">
        <f t="shared" si="67"/>
        <v/>
      </c>
      <c r="G81" s="1531" t="str">
        <f t="shared" si="68"/>
        <v/>
      </c>
      <c r="AI81" s="563" t="s">
        <v>518</v>
      </c>
      <c r="BA81" s="328"/>
      <c r="CD81" s="328"/>
    </row>
    <row r="82" spans="2:82" x14ac:dyDescent="0.2">
      <c r="B82" s="107">
        <f t="shared" si="70"/>
        <v>46321</v>
      </c>
      <c r="C82" s="170">
        <f t="shared" si="70"/>
        <v>46321</v>
      </c>
      <c r="D82" s="171" t="str">
        <f t="shared" si="66"/>
        <v/>
      </c>
      <c r="E82" s="171" t="str">
        <f t="shared" si="69"/>
        <v/>
      </c>
      <c r="F82" s="1531" t="str">
        <f t="shared" si="67"/>
        <v/>
      </c>
      <c r="G82" s="1531" t="str">
        <f t="shared" si="68"/>
        <v/>
      </c>
      <c r="AI82" s="1333" t="s">
        <v>681</v>
      </c>
      <c r="BA82" s="328"/>
      <c r="CD82" s="328"/>
    </row>
    <row r="83" spans="2:82" x14ac:dyDescent="0.2">
      <c r="B83" s="107">
        <f t="shared" si="70"/>
        <v>46322</v>
      </c>
      <c r="C83" s="170">
        <f t="shared" si="70"/>
        <v>46322</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46323</v>
      </c>
      <c r="C84" s="170">
        <f t="shared" si="70"/>
        <v>46323</v>
      </c>
      <c r="D84" s="171" t="str">
        <f t="shared" si="66"/>
        <v/>
      </c>
      <c r="E84" s="171" t="str">
        <f t="shared" si="69"/>
        <v/>
      </c>
      <c r="F84" s="1531" t="str">
        <f t="shared" si="67"/>
        <v/>
      </c>
      <c r="G84" s="1531" t="str">
        <f t="shared" si="68"/>
        <v/>
      </c>
      <c r="BA84" s="328"/>
      <c r="CD84" s="328"/>
    </row>
    <row r="85" spans="2:82" x14ac:dyDescent="0.2">
      <c r="B85" s="107">
        <f t="shared" si="70"/>
        <v>46324</v>
      </c>
      <c r="C85" s="170">
        <f t="shared" si="70"/>
        <v>46324</v>
      </c>
      <c r="D85" s="171" t="str">
        <f t="shared" si="66"/>
        <v/>
      </c>
      <c r="E85" s="171" t="str">
        <f t="shared" si="69"/>
        <v/>
      </c>
      <c r="F85" s="1531" t="str">
        <f t="shared" si="67"/>
        <v/>
      </c>
      <c r="G85" s="1531" t="str">
        <f t="shared" si="68"/>
        <v/>
      </c>
      <c r="AI85" s="1333" t="s">
        <v>335</v>
      </c>
      <c r="BA85" s="328"/>
      <c r="CD85" s="328"/>
    </row>
    <row r="86" spans="2:82" x14ac:dyDescent="0.2">
      <c r="B86" s="107">
        <f t="shared" si="70"/>
        <v>46325</v>
      </c>
      <c r="C86" s="170">
        <f t="shared" si="70"/>
        <v>46325</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46326</v>
      </c>
      <c r="C87" s="190">
        <f t="shared" si="70"/>
        <v>46326</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rdzSBzeGx6j25yAOq5Ppw0AuOwybZ3sdQKeTvJIm2RpMqNwwPDEPzmff+zRWUeayy4AAlyD82tgNrzqyUWff0Q==" saltValue="gJaRkfbZDhsJIYoF+tVYk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531" priority="36">
      <formula>$R$3=$A$5</formula>
    </cfRule>
  </conditionalFormatting>
  <conditionalFormatting sqref="M19:Q23">
    <cfRule type="expression" dxfId="3530" priority="13">
      <formula>$E$11&gt;0</formula>
    </cfRule>
  </conditionalFormatting>
  <conditionalFormatting sqref="M26:R46">
    <cfRule type="expression" dxfId="3529" priority="3">
      <formula>$E$11=0</formula>
    </cfRule>
  </conditionalFormatting>
  <conditionalFormatting sqref="P17">
    <cfRule type="expression" dxfId="3528" priority="16">
      <formula>$E$11=0</formula>
    </cfRule>
  </conditionalFormatting>
  <conditionalFormatting sqref="P30">
    <cfRule type="expression" dxfId="3527" priority="7">
      <formula>AND($R$3="Méthode 1",$E$11&lt;0)</formula>
    </cfRule>
  </conditionalFormatting>
  <conditionalFormatting sqref="P33">
    <cfRule type="expression" dxfId="3526" priority="6">
      <formula>AND($R$3="Méthode 1",$E$11&lt;0)</formula>
    </cfRule>
  </conditionalFormatting>
  <conditionalFormatting sqref="Q17">
    <cfRule type="cellIs" dxfId="3525" priority="15" operator="equal">
      <formula>0</formula>
    </cfRule>
  </conditionalFormatting>
  <conditionalFormatting sqref="Q42">
    <cfRule type="expression" dxfId="3524" priority="5">
      <formula>AND($R$3="Méthode 1",$E$11&lt;0)</formula>
    </cfRule>
  </conditionalFormatting>
  <conditionalFormatting sqref="Q45">
    <cfRule type="expression" dxfId="3523" priority="4">
      <formula>AND($R$3="Méthode 1",$E$11&lt;0)</formula>
    </cfRule>
  </conditionalFormatting>
  <conditionalFormatting sqref="S7:AF7">
    <cfRule type="expression" dxfId="3522" priority="35">
      <formula>$R$3=$T$5</formula>
    </cfRule>
  </conditionalFormatting>
  <conditionalFormatting sqref="W19">
    <cfRule type="expression" dxfId="3521" priority="40">
      <formula>$EF$14=1</formula>
    </cfRule>
  </conditionalFormatting>
  <conditionalFormatting sqref="W21">
    <cfRule type="expression" dxfId="3520" priority="39">
      <formula>$EF$14=1</formula>
    </cfRule>
  </conditionalFormatting>
  <conditionalFormatting sqref="AC19">
    <cfRule type="expression" dxfId="3519" priority="38">
      <formula>$EF$14=1</formula>
    </cfRule>
  </conditionalFormatting>
  <conditionalFormatting sqref="AC21">
    <cfRule type="expression" dxfId="3518" priority="37">
      <formula>$EF$14=1</formula>
    </cfRule>
  </conditionalFormatting>
  <conditionalFormatting sqref="AH7:AZ7">
    <cfRule type="expression" dxfId="3517" priority="21">
      <formula>$R$3=$AI$5</formula>
    </cfRule>
  </conditionalFormatting>
  <conditionalFormatting sqref="AP50">
    <cfRule type="expression" dxfId="3516" priority="20">
      <formula>$R$3="Méthode 2"</formula>
    </cfRule>
  </conditionalFormatting>
  <conditionalFormatting sqref="AP52">
    <cfRule type="expression" dxfId="3515" priority="19">
      <formula>$R$3="Méthode 2"</formula>
    </cfRule>
  </conditionalFormatting>
  <conditionalFormatting sqref="AP61">
    <cfRule type="expression" dxfId="3514" priority="18">
      <formula>$R$3="Méthode 2"</formula>
    </cfRule>
  </conditionalFormatting>
  <conditionalFormatting sqref="AP64">
    <cfRule type="expression" dxfId="3513" priority="17">
      <formula>$R$3="Méthode 2"</formula>
    </cfRule>
  </conditionalFormatting>
  <conditionalFormatting sqref="BI50">
    <cfRule type="expression" dxfId="3512" priority="28">
      <formula>$BK$3="Méthode 1"</formula>
    </cfRule>
  </conditionalFormatting>
  <conditionalFormatting sqref="BJ29">
    <cfRule type="expression" dxfId="3511" priority="30">
      <formula>$BK$3="Méthode 1"</formula>
    </cfRule>
  </conditionalFormatting>
  <conditionalFormatting sqref="BJ45">
    <cfRule type="expression" dxfId="3510" priority="29">
      <formula>$BK$3="Méthode 1"</formula>
    </cfRule>
  </conditionalFormatting>
  <conditionalFormatting sqref="BR46">
    <cfRule type="expression" dxfId="3509" priority="27">
      <formula>$BK$3="Méthode 2"</formula>
    </cfRule>
  </conditionalFormatting>
  <conditionalFormatting sqref="BR49">
    <cfRule type="expression" dxfId="3508" priority="26">
      <formula>$BK$3="Méthode 2"</formula>
    </cfRule>
  </conditionalFormatting>
  <conditionalFormatting sqref="BW52">
    <cfRule type="expression" dxfId="3507" priority="23">
      <formula>$BK$3="Méthode 2"</formula>
    </cfRule>
  </conditionalFormatting>
  <conditionalFormatting sqref="BW54">
    <cfRule type="expression" dxfId="3506" priority="22">
      <formula>$BK$3="Méthode 2"</formula>
    </cfRule>
  </conditionalFormatting>
  <conditionalFormatting sqref="BZ46">
    <cfRule type="expression" dxfId="3505" priority="25">
      <formula>$BK$3="Méthode 2"</formula>
    </cfRule>
  </conditionalFormatting>
  <conditionalFormatting sqref="BZ49">
    <cfRule type="expression" dxfId="3504" priority="24">
      <formula>$BK$3="Méthode 2"</formula>
    </cfRule>
  </conditionalFormatting>
  <conditionalFormatting sqref="CG18:CG48">
    <cfRule type="cellIs" dxfId="3503"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rowBreaks count="1" manualBreakCount="1">
    <brk id="66" max="79" man="1"/>
  </rowBreaks>
  <colBreaks count="4" manualBreakCount="4">
    <brk id="18" max="105" man="1"/>
    <brk id="33" max="105" man="1"/>
    <brk id="52" max="105" man="1"/>
    <brk id="63" max="1048575"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+Novembre!DP4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+Novembre!AR13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+Novembre!AI3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+Novembre!I14</f>
        <v>0</v>
      </c>
      <c r="F10" s="149"/>
      <c r="G10" s="149"/>
      <c r="H10" s="149"/>
      <c r="I10" s="149"/>
      <c r="J10" s="149"/>
      <c r="K10" s="149"/>
      <c r="L10" s="149"/>
      <c r="P10" s="29" t="s">
        <v>1441</v>
      </c>
      <c r="Q10" s="338">
        <f>+Novembre!P18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+Novembre!T18+Novembre!T19</f>
        <v>0</v>
      </c>
      <c r="BI10" s="29" t="s">
        <v>1449</v>
      </c>
      <c r="BJ10" s="338">
        <f>+Novembre!AL14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95" t="s">
        <v>835</v>
      </c>
      <c r="E11" s="149">
        <f>+Novembre!U14</f>
        <v>0</v>
      </c>
      <c r="F11" s="149"/>
      <c r="G11" s="149"/>
      <c r="H11" s="149"/>
      <c r="I11" s="149"/>
      <c r="J11" s="149"/>
      <c r="K11" s="149"/>
      <c r="L11" s="149"/>
      <c r="M11" s="1179"/>
      <c r="N11" s="181"/>
      <c r="O11" s="1180"/>
      <c r="P11" s="181" t="s">
        <v>1104</v>
      </c>
      <c r="Q11" s="1181">
        <f>+Novembre!P19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+BJ10*(1+Novembre!N15)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+Novembre!X3</f>
        <v>46327</v>
      </c>
      <c r="M13" s="152"/>
      <c r="N13" s="153">
        <f>DATE(YEAR($D$13),MONTH($D$13)+1,DAY($D$13))</f>
        <v>46357</v>
      </c>
      <c r="O13" s="154">
        <f>N13</f>
        <v>46357</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46327</v>
      </c>
      <c r="BF13" s="152"/>
      <c r="BG13" s="153">
        <f>DATE(YEAR($D$13),MONTH($D$13)+1,DAY($D$13))</f>
        <v>46357</v>
      </c>
      <c r="BH13" s="154">
        <f>BG13</f>
        <v>46357</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46357</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46327</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46327</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46327</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+Novembre!BJ20</f>
        <v>Fiche infoA7</v>
      </c>
      <c r="B18" s="168">
        <f>+D13</f>
        <v>46327</v>
      </c>
      <c r="C18" s="169">
        <f>+$D$13</f>
        <v>46327</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Novembre!BC20</f>
        <v>0</v>
      </c>
      <c r="J18" s="34">
        <f>Novembre!BE20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infoA7</v>
      </c>
      <c r="BB18" s="168">
        <f>+BD13</f>
        <v>46327</v>
      </c>
      <c r="BC18" s="169">
        <f>+$D$13</f>
        <v>46327</v>
      </c>
      <c r="BD18" s="171" t="str">
        <f>+D18</f>
        <v/>
      </c>
      <c r="BE18" s="335" t="str">
        <f>+IF(OR(BF18=S.CAL!$BJ$3,BF18=S.CAL!$BJ$4),BD18,"")</f>
        <v/>
      </c>
      <c r="BF18" s="332">
        <f>IF($DY$5=S.CAL!$CU$2,Novembre!AR20,IF($DY$5=S.CAL!$CU$3,VLOOKUP(BC18,planning_fp,7,FALSE),""))</f>
        <v>0</v>
      </c>
      <c r="BG18" s="344" t="str">
        <f>Novembre!BL20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46327</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IF(+Novembre!AG20="",0,Novembre!AG20)</f>
        <v>0</v>
      </c>
      <c r="DZ18" s="16">
        <f>+IF(Novembre!AJ20="",0,Novembre!AJ20)</f>
        <v>0</v>
      </c>
      <c r="EA18" s="16">
        <f>+IF(Novembre!AM20="",0,Novembre!AM20)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46327</v>
      </c>
      <c r="EM18" s="16" t="str">
        <f>A18&amp;C18</f>
        <v>Fiche infoA746327</v>
      </c>
      <c r="EN18" s="16">
        <f t="shared" ref="EN18:EN48" si="20">+VLOOKUP(EM18,Base_feuille_présence_heure_potentiel,11,FALSE)</f>
        <v>0</v>
      </c>
      <c r="EQ18" s="16" t="str">
        <f>Novembre!FS20</f>
        <v/>
      </c>
    </row>
    <row r="19" spans="1:147" ht="18" customHeight="1" x14ac:dyDescent="0.2">
      <c r="A19" s="24" t="str">
        <f>+Novembre!BJ21</f>
        <v>Fiche infoA1</v>
      </c>
      <c r="B19" s="107">
        <f>C19</f>
        <v>46328</v>
      </c>
      <c r="C19" s="170">
        <f>+$D$13+1</f>
        <v>46328</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Novembre!BC21</f>
        <v>0</v>
      </c>
      <c r="J19" s="34">
        <f>Novembre!BE21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infoA1</v>
      </c>
      <c r="BB19" s="107">
        <f>BC19</f>
        <v>46328</v>
      </c>
      <c r="BC19" s="170">
        <f>+$D$13+1</f>
        <v>46328</v>
      </c>
      <c r="BD19" s="171" t="str">
        <f>+D19</f>
        <v/>
      </c>
      <c r="BE19" s="171" t="str">
        <f>+IF(OR(BF19=S.CAL!$BJ$3,BF19=S.CAL!$BJ$4),BD19,"")</f>
        <v/>
      </c>
      <c r="BF19" s="333">
        <f>IF($DY$5=S.CAL!$CU$2,Novembre!AR21,IF($DY$5=S.CAL!$CU$3,VLOOKUP(BC19,planning_fp,7,FALSE),""))</f>
        <v>0</v>
      </c>
      <c r="BG19" s="345" t="str">
        <f>Novembre!BL21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46328</v>
      </c>
      <c r="CF19" s="170">
        <f>+$D$13+1</f>
        <v>46328</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IF(+Novembre!AG21="",0,Novembre!AG21)</f>
        <v>0</v>
      </c>
      <c r="DZ19" s="16">
        <f>+IF(Novembre!AJ21="",0,Novembre!AJ21)</f>
        <v>0</v>
      </c>
      <c r="EA19" s="16">
        <f>+IF(Novembre!AM21="",0,Novembre!AM21)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46328</v>
      </c>
      <c r="EM19" s="16" t="str">
        <f t="shared" ref="EM19:EM48" si="29">A19&amp;C19</f>
        <v>Fiche infoA146328</v>
      </c>
      <c r="EN19" s="16">
        <f t="shared" si="20"/>
        <v>0</v>
      </c>
      <c r="EQ19" s="16" t="str">
        <f>Novembre!FS21</f>
        <v/>
      </c>
    </row>
    <row r="20" spans="1:147" ht="18" customHeight="1" x14ac:dyDescent="0.2">
      <c r="A20" s="24" t="str">
        <f>+Novembre!BJ22</f>
        <v>Fiche infoA2</v>
      </c>
      <c r="B20" s="107">
        <f t="shared" ref="B20:B48" si="30">C20</f>
        <v>46329</v>
      </c>
      <c r="C20" s="170">
        <f>+$D$13+2</f>
        <v>46329</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Novembre!BC22</f>
        <v>0</v>
      </c>
      <c r="J20" s="34">
        <f>Novembre!BE22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infoA2</v>
      </c>
      <c r="BB20" s="107">
        <f t="shared" ref="BB20:BB48" si="31">BC20</f>
        <v>46329</v>
      </c>
      <c r="BC20" s="170">
        <f>+$D$13+2</f>
        <v>46329</v>
      </c>
      <c r="BD20" s="171" t="str">
        <f t="shared" ref="BD20:BD48" si="32">+D20</f>
        <v/>
      </c>
      <c r="BE20" s="171" t="str">
        <f>+IF(OR(BF20=S.CAL!$BJ$3,BF20=S.CAL!$BJ$4),BD20,"")</f>
        <v/>
      </c>
      <c r="BF20" s="333">
        <f>IF($DY$5=S.CAL!$CU$2,Novembre!AR22,IF($DY$5=S.CAL!$CU$3,VLOOKUP(BC20,planning_fp,7,FALSE),""))</f>
        <v>0</v>
      </c>
      <c r="BG20" s="345" t="str">
        <f>Novembre!BL22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46329</v>
      </c>
      <c r="CF20" s="170">
        <f>+$D$13+2</f>
        <v>46329</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IF(+Novembre!AG22="",0,Novembre!AG22)</f>
        <v>0</v>
      </c>
      <c r="DZ20" s="16">
        <f>+IF(Novembre!AJ22="",0,Novembre!AJ22)</f>
        <v>0</v>
      </c>
      <c r="EA20" s="16">
        <f>+IF(Novembre!AM22="",0,Novembre!AM22)</f>
        <v>0</v>
      </c>
      <c r="EB20" s="16">
        <f t="shared" si="25"/>
        <v>0</v>
      </c>
      <c r="ED20" s="16">
        <f t="shared" si="26"/>
        <v>0</v>
      </c>
      <c r="EE20" s="16">
        <f t="shared" si="17"/>
        <v>0</v>
      </c>
      <c r="EF20" s="30" t="str">
        <f t="shared" si="18"/>
        <v/>
      </c>
      <c r="EG20" s="30" t="str">
        <f t="shared" si="27"/>
        <v/>
      </c>
      <c r="EH20" s="16">
        <f t="shared" si="28"/>
        <v>0</v>
      </c>
      <c r="EI20" s="30"/>
      <c r="EJ20" s="30">
        <f t="shared" si="19"/>
        <v>46329</v>
      </c>
      <c r="EM20" s="16" t="str">
        <f t="shared" si="29"/>
        <v>Fiche infoA246329</v>
      </c>
      <c r="EN20" s="16">
        <f t="shared" si="20"/>
        <v>0</v>
      </c>
      <c r="EQ20" s="16" t="str">
        <f>Novembre!FS22</f>
        <v/>
      </c>
    </row>
    <row r="21" spans="1:147" ht="18" customHeight="1" x14ac:dyDescent="0.2">
      <c r="A21" s="24" t="str">
        <f>+Novembre!BJ23</f>
        <v>Fiche infoA3</v>
      </c>
      <c r="B21" s="107">
        <f t="shared" si="30"/>
        <v>46330</v>
      </c>
      <c r="C21" s="170">
        <f>+$D$13+3</f>
        <v>46330</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Novembre!BC23</f>
        <v>0</v>
      </c>
      <c r="J21" s="34">
        <f>Novembre!BE23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infoA3</v>
      </c>
      <c r="BB21" s="107">
        <f t="shared" si="31"/>
        <v>46330</v>
      </c>
      <c r="BC21" s="170">
        <f>+$D$13+3</f>
        <v>46330</v>
      </c>
      <c r="BD21" s="171" t="str">
        <f t="shared" si="32"/>
        <v/>
      </c>
      <c r="BE21" s="171" t="str">
        <f>+IF(OR(BF21=S.CAL!$BJ$3,BF21=S.CAL!$BJ$4),BD21,"")</f>
        <v/>
      </c>
      <c r="BF21" s="333">
        <f>IF($DY$5=S.CAL!$CU$2,Novembre!AR23,IF($DY$5=S.CAL!$CU$3,VLOOKUP(BC21,planning_fp,7,FALSE),""))</f>
        <v>0</v>
      </c>
      <c r="BG21" s="345" t="str">
        <f>Novembre!BL23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46330</v>
      </c>
      <c r="CF21" s="170">
        <f>+$D$13+3</f>
        <v>46330</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IF(+Novembre!AG23="",0,Novembre!AG23)</f>
        <v>0</v>
      </c>
      <c r="DZ21" s="16">
        <f>+IF(Novembre!AJ23="",0,Novembre!AJ23)</f>
        <v>0</v>
      </c>
      <c r="EA21" s="16">
        <f>+IF(Novembre!AM23="",0,Novembre!AM23)</f>
        <v>0</v>
      </c>
      <c r="EB21" s="16">
        <f t="shared" si="25"/>
        <v>0</v>
      </c>
      <c r="ED21" s="16">
        <f t="shared" si="26"/>
        <v>0</v>
      </c>
      <c r="EE21" s="16">
        <f t="shared" si="17"/>
        <v>0</v>
      </c>
      <c r="EF21" s="30" t="str">
        <f t="shared" si="18"/>
        <v/>
      </c>
      <c r="EG21" s="30" t="str">
        <f t="shared" si="27"/>
        <v/>
      </c>
      <c r="EH21" s="16">
        <f t="shared" si="28"/>
        <v>0</v>
      </c>
      <c r="EI21" s="30"/>
      <c r="EJ21" s="30">
        <f t="shared" si="19"/>
        <v>46330</v>
      </c>
      <c r="EM21" s="16" t="str">
        <f t="shared" si="29"/>
        <v>Fiche infoA346330</v>
      </c>
      <c r="EN21" s="16">
        <f t="shared" si="20"/>
        <v>0</v>
      </c>
      <c r="EQ21" s="16" t="str">
        <f>Novembre!FS23</f>
        <v/>
      </c>
    </row>
    <row r="22" spans="1:147" ht="18" customHeight="1" x14ac:dyDescent="0.25">
      <c r="A22" s="24" t="str">
        <f>+Novembre!BJ24</f>
        <v>Fiche infoA4</v>
      </c>
      <c r="B22" s="107">
        <f t="shared" si="30"/>
        <v>46331</v>
      </c>
      <c r="C22" s="170">
        <f>+$D$13+4</f>
        <v>46331</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Novembre!BC24</f>
        <v>0</v>
      </c>
      <c r="J22" s="34">
        <f>Novembre!BE24</f>
        <v>0</v>
      </c>
      <c r="K22" s="34">
        <f t="shared" si="15"/>
        <v>0</v>
      </c>
      <c r="L22" s="34" t="str">
        <f t="shared" si="21"/>
        <v/>
      </c>
      <c r="O22" s="19"/>
      <c r="AK22" s="1189" t="s">
        <v>37</v>
      </c>
      <c r="AL22" s="1318">
        <f>+Novembre!AL14</f>
        <v>0</v>
      </c>
      <c r="BA22" s="331" t="str">
        <f t="shared" si="16"/>
        <v>Fiche infoA4</v>
      </c>
      <c r="BB22" s="107">
        <f t="shared" si="31"/>
        <v>46331</v>
      </c>
      <c r="BC22" s="170">
        <f>+$D$13+4</f>
        <v>46331</v>
      </c>
      <c r="BD22" s="171" t="str">
        <f t="shared" si="32"/>
        <v/>
      </c>
      <c r="BE22" s="171" t="str">
        <f>+IF(OR(BF22=S.CAL!$BJ$3,BF22=S.CAL!$BJ$4),BD22,"")</f>
        <v/>
      </c>
      <c r="BF22" s="333">
        <f>IF($DY$5=S.CAL!$CU$2,Novembre!AR24,IF($DY$5=S.CAL!$CU$3,VLOOKUP(BC22,planning_fp,7,FALSE),""))</f>
        <v>0</v>
      </c>
      <c r="BG22" s="345" t="str">
        <f>Novembre!BL24</f>
        <v>A</v>
      </c>
      <c r="BH22" s="148"/>
      <c r="BL22" s="144"/>
      <c r="BM22" s="195"/>
      <c r="CD22" s="328"/>
      <c r="CE22" s="107">
        <f t="shared" si="33"/>
        <v>46331</v>
      </c>
      <c r="CF22" s="170">
        <f>+$D$13+4</f>
        <v>46331</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IF(+Novembre!AG24="",0,Novembre!AG24)</f>
        <v>0</v>
      </c>
      <c r="DZ22" s="16">
        <f>+IF(Novembre!AJ24="",0,Novembre!AJ24)</f>
        <v>0</v>
      </c>
      <c r="EA22" s="16">
        <f>+IF(Novembre!AM24="",0,Novembre!AM24)</f>
        <v>0</v>
      </c>
      <c r="EB22" s="16">
        <f t="shared" si="25"/>
        <v>0</v>
      </c>
      <c r="ED22" s="16">
        <f t="shared" si="26"/>
        <v>0</v>
      </c>
      <c r="EE22" s="16">
        <f t="shared" si="17"/>
        <v>0</v>
      </c>
      <c r="EF22" s="30" t="str">
        <f t="shared" si="18"/>
        <v/>
      </c>
      <c r="EG22" s="30" t="str">
        <f t="shared" si="27"/>
        <v/>
      </c>
      <c r="EH22" s="16">
        <f t="shared" si="28"/>
        <v>0</v>
      </c>
      <c r="EI22" s="30"/>
      <c r="EJ22" s="30">
        <f t="shared" si="19"/>
        <v>46331</v>
      </c>
      <c r="EM22" s="16" t="str">
        <f t="shared" si="29"/>
        <v>Fiche infoA446331</v>
      </c>
      <c r="EN22" s="16">
        <f t="shared" si="20"/>
        <v>0</v>
      </c>
      <c r="EQ22" s="16" t="str">
        <f>Novembre!FS24</f>
        <v/>
      </c>
    </row>
    <row r="23" spans="1:147" ht="18" customHeight="1" x14ac:dyDescent="0.2">
      <c r="A23" s="24" t="str">
        <f>+Novembre!BJ25</f>
        <v>Fiche infoA5</v>
      </c>
      <c r="B23" s="107">
        <f t="shared" si="30"/>
        <v>46332</v>
      </c>
      <c r="C23" s="170">
        <f>+$D$13+5</f>
        <v>46332</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Novembre!BC25</f>
        <v>0</v>
      </c>
      <c r="J23" s="34">
        <f>Novembre!BE25</f>
        <v>0</v>
      </c>
      <c r="K23" s="34">
        <f t="shared" si="15"/>
        <v>0</v>
      </c>
      <c r="L23" s="34" t="str">
        <f t="shared" si="21"/>
        <v/>
      </c>
      <c r="O23" s="39" t="str">
        <f>+O21</f>
        <v xml:space="preserve">Retenue sur salaire = </v>
      </c>
      <c r="P23" s="671">
        <f>+P30+P33</f>
        <v>0</v>
      </c>
      <c r="T23" s="563" t="s">
        <v>1107</v>
      </c>
      <c r="Z23" s="563" t="s">
        <v>1107</v>
      </c>
      <c r="BA23" s="331" t="str">
        <f t="shared" si="16"/>
        <v>Fiche infoA5</v>
      </c>
      <c r="BB23" s="107">
        <f t="shared" si="31"/>
        <v>46332</v>
      </c>
      <c r="BC23" s="170">
        <f>+$D$13+5</f>
        <v>46332</v>
      </c>
      <c r="BD23" s="171" t="str">
        <f t="shared" si="32"/>
        <v/>
      </c>
      <c r="BE23" s="171" t="str">
        <f>+IF(OR(BF23=S.CAL!$BJ$3,BF23=S.CAL!$BJ$4),BD23,"")</f>
        <v/>
      </c>
      <c r="BF23" s="333">
        <f>IF($DY$5=S.CAL!$CU$2,Novembre!AR25,IF($DY$5=S.CAL!$CU$3,VLOOKUP(BC23,planning_fp,7,FALSE),""))</f>
        <v>0</v>
      </c>
      <c r="BG23" s="345" t="str">
        <f>Novembre!BL25</f>
        <v>A</v>
      </c>
      <c r="BH23" s="29"/>
      <c r="BI23" s="336"/>
      <c r="BL23" s="147"/>
      <c r="CD23" s="328"/>
      <c r="CE23" s="107">
        <f t="shared" si="33"/>
        <v>46332</v>
      </c>
      <c r="CF23" s="170">
        <f>+$D$13+5</f>
        <v>46332</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IF(+Novembre!AG25="",0,Novembre!AG25)</f>
        <v>0</v>
      </c>
      <c r="DZ23" s="16">
        <f>+IF(Novembre!AJ25="",0,Novembre!AJ25)</f>
        <v>0</v>
      </c>
      <c r="EA23" s="16">
        <f>+IF(Novembre!AM25="",0,Novembre!AM25)</f>
        <v>0</v>
      </c>
      <c r="EB23" s="16">
        <f t="shared" si="25"/>
        <v>0</v>
      </c>
      <c r="ED23" s="16">
        <f t="shared" si="26"/>
        <v>0</v>
      </c>
      <c r="EE23" s="16">
        <f t="shared" si="17"/>
        <v>0</v>
      </c>
      <c r="EF23" s="30" t="str">
        <f t="shared" si="18"/>
        <v/>
      </c>
      <c r="EG23" s="30" t="str">
        <f t="shared" si="27"/>
        <v/>
      </c>
      <c r="EH23" s="16">
        <f t="shared" si="28"/>
        <v>0</v>
      </c>
      <c r="EI23" s="30"/>
      <c r="EJ23" s="30">
        <f t="shared" si="19"/>
        <v>46332</v>
      </c>
      <c r="EM23" s="16" t="str">
        <f t="shared" si="29"/>
        <v>Fiche infoA546332</v>
      </c>
      <c r="EN23" s="16">
        <f t="shared" si="20"/>
        <v>0</v>
      </c>
      <c r="EQ23" s="16" t="str">
        <f>Novembre!FS25</f>
        <v/>
      </c>
    </row>
    <row r="24" spans="1:147" ht="18" customHeight="1" x14ac:dyDescent="0.2">
      <c r="A24" s="24" t="str">
        <f>+Novembre!BJ26</f>
        <v>Fiche infoA6</v>
      </c>
      <c r="B24" s="107">
        <f t="shared" si="30"/>
        <v>46333</v>
      </c>
      <c r="C24" s="170">
        <f>+$D$13+6</f>
        <v>46333</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Novembre!BC26</f>
        <v>0</v>
      </c>
      <c r="J24" s="34">
        <f>Novembre!BE26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infoA6</v>
      </c>
      <c r="BB24" s="107">
        <f t="shared" si="31"/>
        <v>46333</v>
      </c>
      <c r="BC24" s="170">
        <f>+$D$13+6</f>
        <v>46333</v>
      </c>
      <c r="BD24" s="171" t="str">
        <f t="shared" si="32"/>
        <v/>
      </c>
      <c r="BE24" s="171" t="str">
        <f>+IF(OR(BF24=S.CAL!$BJ$3,BF24=S.CAL!$BJ$4),BD24,"")</f>
        <v/>
      </c>
      <c r="BF24" s="333">
        <f>IF($DY$5=S.CAL!$CU$2,Novembre!AR26,IF($DY$5=S.CAL!$CU$3,VLOOKUP(BC24,planning_fp,7,FALSE),""))</f>
        <v>0</v>
      </c>
      <c r="BG24" s="345" t="str">
        <f>Novembre!BL26</f>
        <v>A</v>
      </c>
      <c r="BL24" s="35"/>
      <c r="BM24" s="195"/>
      <c r="BO24" s="29"/>
      <c r="BP24" s="182"/>
      <c r="BR24" s="16" t="s">
        <v>746</v>
      </c>
      <c r="BV24" s="355"/>
      <c r="BW24" s="355"/>
      <c r="BX24" s="355"/>
      <c r="BY24" s="355" t="s">
        <v>696</v>
      </c>
      <c r="BZ24" s="355"/>
      <c r="CA24" s="355"/>
      <c r="CB24" s="355"/>
      <c r="CD24" s="328"/>
      <c r="CE24" s="107">
        <f t="shared" si="33"/>
        <v>46333</v>
      </c>
      <c r="CF24" s="170">
        <f>+$D$13+6</f>
        <v>46333</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IF(+Novembre!AG26="",0,Novembre!AG26)</f>
        <v>0</v>
      </c>
      <c r="DZ24" s="16">
        <f>+IF(Novembre!AJ26="",0,Novembre!AJ26)</f>
        <v>0</v>
      </c>
      <c r="EA24" s="16">
        <f>+IF(Novembre!AM26="",0,Novembre!AM26)</f>
        <v>0</v>
      </c>
      <c r="EB24" s="16">
        <f t="shared" si="25"/>
        <v>0</v>
      </c>
      <c r="ED24" s="16">
        <f t="shared" si="26"/>
        <v>0</v>
      </c>
      <c r="EE24" s="16">
        <f t="shared" si="17"/>
        <v>0</v>
      </c>
      <c r="EF24" s="30" t="str">
        <f t="shared" si="18"/>
        <v/>
      </c>
      <c r="EG24" s="30" t="str">
        <f t="shared" si="27"/>
        <v/>
      </c>
      <c r="EH24" s="16">
        <f t="shared" si="28"/>
        <v>0</v>
      </c>
      <c r="EI24" s="30"/>
      <c r="EJ24" s="30">
        <f t="shared" si="19"/>
        <v>46333</v>
      </c>
      <c r="EM24" s="16" t="str">
        <f t="shared" si="29"/>
        <v>Fiche infoA646333</v>
      </c>
      <c r="EN24" s="16">
        <f t="shared" si="20"/>
        <v>0</v>
      </c>
      <c r="EQ24" s="16" t="str">
        <f>Novembre!FS26</f>
        <v/>
      </c>
    </row>
    <row r="25" spans="1:147" ht="18" customHeight="1" x14ac:dyDescent="0.2">
      <c r="A25" s="24" t="str">
        <f>+Novembre!BJ27</f>
        <v>Fiche infoA7</v>
      </c>
      <c r="B25" s="107">
        <f t="shared" si="30"/>
        <v>46334</v>
      </c>
      <c r="C25" s="170">
        <f>+$D$13+7</f>
        <v>46334</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Novembre!BC27</f>
        <v>0</v>
      </c>
      <c r="J25" s="34">
        <f>Novembre!BE27</f>
        <v>0</v>
      </c>
      <c r="K25" s="34">
        <f t="shared" si="15"/>
        <v>0</v>
      </c>
      <c r="L25" s="34" t="str">
        <f t="shared" si="21"/>
        <v/>
      </c>
      <c r="AK25" s="1189" t="s">
        <v>320</v>
      </c>
      <c r="AL25" s="1313">
        <f>+IF(AL22,AL24/AL22,0)</f>
        <v>0</v>
      </c>
      <c r="BA25" s="331" t="str">
        <f t="shared" si="16"/>
        <v>Fiche infoA7</v>
      </c>
      <c r="BB25" s="107">
        <f t="shared" si="31"/>
        <v>46334</v>
      </c>
      <c r="BC25" s="170">
        <f>+$D$13+7</f>
        <v>46334</v>
      </c>
      <c r="BD25" s="171" t="str">
        <f t="shared" si="32"/>
        <v/>
      </c>
      <c r="BE25" s="171" t="str">
        <f>+IF(OR(BF25=S.CAL!$BJ$3,BF25=S.CAL!$BJ$4),BD25,"")</f>
        <v/>
      </c>
      <c r="BF25" s="333">
        <f>IF($DY$5=S.CAL!$CU$2,Novembre!AR27,IF($DY$5=S.CAL!$CU$3,VLOOKUP(BC25,planning_fp,7,FALSE),""))</f>
        <v>0</v>
      </c>
      <c r="BG25" s="345" t="str">
        <f>Novembre!BL27</f>
        <v>A</v>
      </c>
      <c r="BH25" s="148"/>
      <c r="BL25" s="35"/>
      <c r="BO25" s="29"/>
      <c r="BP25" s="182"/>
      <c r="BV25" s="355"/>
      <c r="BW25" s="355"/>
      <c r="BX25" s="355"/>
      <c r="BY25" s="355"/>
      <c r="BZ25" s="355"/>
      <c r="CA25" s="355"/>
      <c r="CB25" s="355"/>
      <c r="CD25" s="328"/>
      <c r="CE25" s="107">
        <f t="shared" si="33"/>
        <v>46334</v>
      </c>
      <c r="CF25" s="170">
        <f>+$D$13+7</f>
        <v>46334</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IF(+Novembre!AG27="",0,Novembre!AG27)</f>
        <v>0</v>
      </c>
      <c r="DZ25" s="16">
        <f>+IF(Novembre!AJ27="",0,Novembre!AJ27)</f>
        <v>0</v>
      </c>
      <c r="EA25" s="16">
        <f>+IF(Novembre!AM27="",0,Novembre!AM27)</f>
        <v>0</v>
      </c>
      <c r="EB25" s="16">
        <f t="shared" si="25"/>
        <v>0</v>
      </c>
      <c r="ED25" s="16">
        <f t="shared" si="26"/>
        <v>0</v>
      </c>
      <c r="EE25" s="16">
        <f t="shared" si="17"/>
        <v>0</v>
      </c>
      <c r="EF25" s="30" t="str">
        <f t="shared" si="18"/>
        <v/>
      </c>
      <c r="EG25" s="30" t="str">
        <f t="shared" si="27"/>
        <v/>
      </c>
      <c r="EH25" s="16">
        <f t="shared" si="28"/>
        <v>0</v>
      </c>
      <c r="EI25" s="30"/>
      <c r="EJ25" s="30">
        <f t="shared" si="19"/>
        <v>46334</v>
      </c>
      <c r="EM25" s="16" t="str">
        <f t="shared" si="29"/>
        <v>Fiche infoA746334</v>
      </c>
      <c r="EN25" s="16">
        <f t="shared" si="20"/>
        <v>0</v>
      </c>
      <c r="EQ25" s="16" t="str">
        <f>Novembre!FS27</f>
        <v/>
      </c>
    </row>
    <row r="26" spans="1:147" ht="18" customHeight="1" x14ac:dyDescent="0.2">
      <c r="A26" s="24" t="str">
        <f>+Novembre!BJ28</f>
        <v>Fiche infoA1</v>
      </c>
      <c r="B26" s="107">
        <f t="shared" si="30"/>
        <v>46335</v>
      </c>
      <c r="C26" s="170">
        <f>+$D$13+8</f>
        <v>46335</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Novembre!BC28</f>
        <v>0</v>
      </c>
      <c r="J26" s="34">
        <f>Novembre!BE28</f>
        <v>0</v>
      </c>
      <c r="K26" s="34">
        <f t="shared" si="15"/>
        <v>0</v>
      </c>
      <c r="L26" s="34" t="str">
        <f t="shared" si="21"/>
        <v/>
      </c>
      <c r="O26" s="16" t="s">
        <v>1197</v>
      </c>
      <c r="AK26" s="1189" t="s">
        <v>321</v>
      </c>
      <c r="AL26" s="1313">
        <f>IF(AS21,SUM(AT13:AT20)/AS21,0)</f>
        <v>0</v>
      </c>
      <c r="BA26" s="331" t="str">
        <f t="shared" si="16"/>
        <v>Fiche infoA1</v>
      </c>
      <c r="BB26" s="107">
        <f t="shared" si="31"/>
        <v>46335</v>
      </c>
      <c r="BC26" s="170">
        <f>+$D$13+8</f>
        <v>46335</v>
      </c>
      <c r="BD26" s="171" t="str">
        <f t="shared" si="32"/>
        <v/>
      </c>
      <c r="BE26" s="171" t="str">
        <f>+IF(OR(BF26=S.CAL!$BJ$3,BF26=S.CAL!$BJ$4),BD26,"")</f>
        <v/>
      </c>
      <c r="BF26" s="333">
        <f>IF($DY$5=S.CAL!$CU$2,Novembre!AR28,IF($DY$5=S.CAL!$CU$3,VLOOKUP(BC26,planning_fp,7,FALSE),""))</f>
        <v>0</v>
      </c>
      <c r="BG26" s="345" t="str">
        <f>Novembre!BL28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46335</v>
      </c>
      <c r="CF26" s="170">
        <f>+$D$13+8</f>
        <v>46335</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IF(+Novembre!AG28="",0,Novembre!AG28)</f>
        <v>0</v>
      </c>
      <c r="DZ26" s="16">
        <f>+IF(Novembre!AJ28="",0,Novembre!AJ28)</f>
        <v>0</v>
      </c>
      <c r="EA26" s="16">
        <f>+IF(Novembre!AM28="",0,Novembre!AM28)</f>
        <v>0</v>
      </c>
      <c r="EB26" s="16">
        <f t="shared" si="25"/>
        <v>0</v>
      </c>
      <c r="ED26" s="16">
        <f t="shared" si="26"/>
        <v>0</v>
      </c>
      <c r="EE26" s="16">
        <f t="shared" si="17"/>
        <v>0</v>
      </c>
      <c r="EF26" s="30" t="str">
        <f t="shared" si="18"/>
        <v/>
      </c>
      <c r="EG26" s="30" t="str">
        <f t="shared" si="27"/>
        <v/>
      </c>
      <c r="EH26" s="16">
        <f t="shared" si="28"/>
        <v>0</v>
      </c>
      <c r="EI26" s="30"/>
      <c r="EJ26" s="30">
        <f t="shared" si="19"/>
        <v>46335</v>
      </c>
      <c r="EM26" s="16" t="str">
        <f t="shared" si="29"/>
        <v>Fiche infoA146335</v>
      </c>
      <c r="EN26" s="16">
        <f t="shared" si="20"/>
        <v>0</v>
      </c>
      <c r="EQ26" s="16" t="str">
        <f>Novembre!FS28</f>
        <v/>
      </c>
    </row>
    <row r="27" spans="1:147" ht="18" customHeight="1" x14ac:dyDescent="0.2">
      <c r="A27" s="24" t="str">
        <f>+Novembre!BJ29</f>
        <v>Fiche infoA2</v>
      </c>
      <c r="B27" s="107">
        <f t="shared" si="30"/>
        <v>46336</v>
      </c>
      <c r="C27" s="170">
        <f>+$D$13+9</f>
        <v>46336</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Novembre!BC29</f>
        <v>0</v>
      </c>
      <c r="J27" s="34">
        <f>Novembre!BE29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infoA2</v>
      </c>
      <c r="BB27" s="107">
        <f t="shared" si="31"/>
        <v>46336</v>
      </c>
      <c r="BC27" s="170">
        <f>+$D$13+9</f>
        <v>46336</v>
      </c>
      <c r="BD27" s="171" t="str">
        <f t="shared" si="32"/>
        <v/>
      </c>
      <c r="BE27" s="171" t="str">
        <f>+IF(OR(BF27=S.CAL!$BJ$3,BF27=S.CAL!$BJ$4),BD27,"")</f>
        <v/>
      </c>
      <c r="BF27" s="333">
        <f>IF($DY$5=S.CAL!$CU$2,Novembre!AR29,IF($DY$5=S.CAL!$CU$3,VLOOKUP(BC27,planning_fp,7,FALSE),""))</f>
        <v>0</v>
      </c>
      <c r="BG27" s="345" t="str">
        <f>Novembre!BL29</f>
        <v>A</v>
      </c>
      <c r="BI27" s="16" t="s">
        <v>746</v>
      </c>
      <c r="BL27" s="35"/>
      <c r="BP27" s="2465"/>
      <c r="BQ27" s="2465"/>
      <c r="BR27" s="2465"/>
      <c r="BS27" s="2465"/>
      <c r="BT27" s="2464"/>
      <c r="BV27" s="355"/>
      <c r="BW27" s="355"/>
      <c r="BX27" s="2543"/>
      <c r="BY27" s="2543"/>
      <c r="BZ27" s="2543"/>
      <c r="CA27" s="2543"/>
      <c r="CB27" s="2542"/>
      <c r="CD27" s="328"/>
      <c r="CE27" s="107">
        <f t="shared" si="33"/>
        <v>46336</v>
      </c>
      <c r="CF27" s="170">
        <f>+$D$13+9</f>
        <v>46336</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IF(+Novembre!AG29="",0,Novembre!AG29)</f>
        <v>0</v>
      </c>
      <c r="DZ27" s="16">
        <f>+IF(Novembre!AJ29="",0,Novembre!AJ29)</f>
        <v>0</v>
      </c>
      <c r="EA27" s="16">
        <f>+IF(Novembre!AM29="",0,Novembre!AM29)</f>
        <v>0</v>
      </c>
      <c r="EB27" s="16">
        <f t="shared" si="25"/>
        <v>0</v>
      </c>
      <c r="ED27" s="16">
        <f t="shared" si="26"/>
        <v>0</v>
      </c>
      <c r="EE27" s="16">
        <f t="shared" si="17"/>
        <v>0</v>
      </c>
      <c r="EF27" s="30" t="str">
        <f t="shared" si="18"/>
        <v/>
      </c>
      <c r="EG27" s="30" t="str">
        <f t="shared" si="27"/>
        <v/>
      </c>
      <c r="EH27" s="16">
        <f t="shared" si="28"/>
        <v>0</v>
      </c>
      <c r="EI27" s="30"/>
      <c r="EJ27" s="30">
        <f t="shared" si="19"/>
        <v>46336</v>
      </c>
      <c r="EM27" s="16" t="str">
        <f t="shared" si="29"/>
        <v>Fiche infoA246336</v>
      </c>
      <c r="EN27" s="16">
        <f t="shared" si="20"/>
        <v>0</v>
      </c>
      <c r="EQ27" s="16" t="str">
        <f>Novembre!FS29</f>
        <v/>
      </c>
    </row>
    <row r="28" spans="1:147" ht="18" customHeight="1" x14ac:dyDescent="0.2">
      <c r="A28" s="24" t="str">
        <f>+Novembre!BJ30</f>
        <v>Fiche infoA3</v>
      </c>
      <c r="B28" s="107">
        <f t="shared" si="30"/>
        <v>46337</v>
      </c>
      <c r="C28" s="170">
        <f>+$D$13+10</f>
        <v>46337</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Novembre!BC30</f>
        <v>0</v>
      </c>
      <c r="J28" s="34">
        <f>Novembre!BE30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infoA3</v>
      </c>
      <c r="BB28" s="107">
        <f t="shared" si="31"/>
        <v>46337</v>
      </c>
      <c r="BC28" s="170">
        <f>+$D$13+10</f>
        <v>46337</v>
      </c>
      <c r="BD28" s="171" t="str">
        <f t="shared" si="32"/>
        <v/>
      </c>
      <c r="BE28" s="171" t="str">
        <f>+IF(OR(BF28=S.CAL!$BJ$3,BF28=S.CAL!$BJ$4),BD28,"")</f>
        <v/>
      </c>
      <c r="BF28" s="333">
        <f>IF($DY$5=S.CAL!$CU$2,Novembre!AR30,IF($DY$5=S.CAL!$CU$3,VLOOKUP(BC28,planning_fp,7,FALSE),""))</f>
        <v>0</v>
      </c>
      <c r="BG28" s="345" t="str">
        <f>Novembre!BL30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46337</v>
      </c>
      <c r="CF28" s="170">
        <f>+$D$13+10</f>
        <v>46337</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IF(+Novembre!AG30="",0,Novembre!AG30)</f>
        <v>0</v>
      </c>
      <c r="DZ28" s="16">
        <f>+IF(Novembre!AJ30="",0,Novembre!AJ30)</f>
        <v>0</v>
      </c>
      <c r="EA28" s="16">
        <f>+IF(Novembre!AM30="",0,Novembre!AM30)</f>
        <v>0</v>
      </c>
      <c r="EB28" s="16">
        <f t="shared" si="25"/>
        <v>0</v>
      </c>
      <c r="ED28" s="16">
        <f t="shared" si="26"/>
        <v>0</v>
      </c>
      <c r="EE28" s="16">
        <f t="shared" si="17"/>
        <v>0</v>
      </c>
      <c r="EF28" s="30" t="str">
        <f t="shared" si="18"/>
        <v/>
      </c>
      <c r="EG28" s="30" t="str">
        <f t="shared" si="27"/>
        <v/>
      </c>
      <c r="EH28" s="16">
        <f t="shared" si="28"/>
        <v>0</v>
      </c>
      <c r="EI28" s="30"/>
      <c r="EJ28" s="30">
        <f t="shared" si="19"/>
        <v>46337</v>
      </c>
      <c r="EM28" s="16" t="str">
        <f t="shared" si="29"/>
        <v>Fiche infoA346337</v>
      </c>
      <c r="EN28" s="16">
        <f t="shared" si="20"/>
        <v>0</v>
      </c>
      <c r="EQ28" s="16" t="str">
        <f>Novembre!FS30</f>
        <v/>
      </c>
    </row>
    <row r="29" spans="1:147" ht="18" customHeight="1" x14ac:dyDescent="0.2">
      <c r="A29" s="24" t="str">
        <f>+Novembre!BJ31</f>
        <v>Fiche infoA4</v>
      </c>
      <c r="B29" s="107">
        <f t="shared" si="30"/>
        <v>46338</v>
      </c>
      <c r="C29" s="170">
        <f>+$D$13+11</f>
        <v>46338</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Novembre!BC31</f>
        <v>0</v>
      </c>
      <c r="J29" s="34">
        <f>Novembre!BE31</f>
        <v>0</v>
      </c>
      <c r="K29" s="34">
        <f t="shared" si="15"/>
        <v>0</v>
      </c>
      <c r="L29" s="34" t="str">
        <f t="shared" si="21"/>
        <v/>
      </c>
      <c r="O29" s="859" t="s">
        <v>1444</v>
      </c>
      <c r="P29" s="859"/>
      <c r="Q29" s="859"/>
      <c r="R29" s="859"/>
      <c r="BA29" s="331" t="str">
        <f t="shared" si="16"/>
        <v>Fiche infoA4</v>
      </c>
      <c r="BB29" s="107">
        <f t="shared" si="31"/>
        <v>46338</v>
      </c>
      <c r="BC29" s="170">
        <f>+$D$13+11</f>
        <v>46338</v>
      </c>
      <c r="BD29" s="171" t="str">
        <f t="shared" si="32"/>
        <v/>
      </c>
      <c r="BE29" s="171" t="str">
        <f>+IF(OR(BF29=S.CAL!$BJ$3,BF29=S.CAL!$BJ$4),BD29,"")</f>
        <v/>
      </c>
      <c r="BF29" s="333">
        <f>IF($DY$5=S.CAL!$CU$2,Novembre!AR31,IF($DY$5=S.CAL!$CU$3,VLOOKUP(BC29,planning_fp,7,FALSE),""))</f>
        <v>0</v>
      </c>
      <c r="BG29" s="345" t="str">
        <f>Novembre!BL31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46338</v>
      </c>
      <c r="CF29" s="170">
        <f>+$D$13+11</f>
        <v>46338</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IF(+Novembre!AG31="",0,Novembre!AG31)</f>
        <v>0</v>
      </c>
      <c r="DZ29" s="16">
        <f>+IF(Novembre!AJ31="",0,Novembre!AJ31)</f>
        <v>0</v>
      </c>
      <c r="EA29" s="16">
        <f>+IF(Novembre!AM31="",0,Novembre!AM31)</f>
        <v>0</v>
      </c>
      <c r="EB29" s="16">
        <f t="shared" si="25"/>
        <v>0</v>
      </c>
      <c r="ED29" s="16">
        <f t="shared" si="26"/>
        <v>0</v>
      </c>
      <c r="EE29" s="16">
        <f t="shared" si="17"/>
        <v>0</v>
      </c>
      <c r="EF29" s="30" t="str">
        <f t="shared" si="18"/>
        <v/>
      </c>
      <c r="EG29" s="30" t="str">
        <f t="shared" si="27"/>
        <v/>
      </c>
      <c r="EH29" s="16">
        <f t="shared" si="28"/>
        <v>0</v>
      </c>
      <c r="EI29" s="30"/>
      <c r="EJ29" s="30">
        <f t="shared" si="19"/>
        <v>46338</v>
      </c>
      <c r="EM29" s="16" t="str">
        <f t="shared" si="29"/>
        <v>Fiche infoA446338</v>
      </c>
      <c r="EN29" s="16">
        <f t="shared" si="20"/>
        <v>0</v>
      </c>
      <c r="EQ29" s="16" t="str">
        <f>Novembre!FS31</f>
        <v/>
      </c>
    </row>
    <row r="30" spans="1:147" ht="18" customHeight="1" x14ac:dyDescent="0.25">
      <c r="A30" s="24" t="str">
        <f>+Novembre!BJ32</f>
        <v>Fiche infoA5</v>
      </c>
      <c r="B30" s="107">
        <f t="shared" si="30"/>
        <v>46339</v>
      </c>
      <c r="C30" s="170">
        <f>+$D$13+12</f>
        <v>46339</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Novembre!BC32</f>
        <v>0</v>
      </c>
      <c r="J30" s="34">
        <f>Novembre!BE32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46327</v>
      </c>
      <c r="AP30" s="2555"/>
      <c r="AQ30" s="2555"/>
      <c r="BA30" s="331" t="str">
        <f t="shared" si="16"/>
        <v>Fiche infoA5</v>
      </c>
      <c r="BB30" s="107">
        <f t="shared" si="31"/>
        <v>46339</v>
      </c>
      <c r="BC30" s="170">
        <f>+$D$13+12</f>
        <v>46339</v>
      </c>
      <c r="BD30" s="171" t="str">
        <f t="shared" si="32"/>
        <v/>
      </c>
      <c r="BE30" s="171" t="str">
        <f>+IF(OR(BF30=S.CAL!$BJ$3,BF30=S.CAL!$BJ$4),BD30,"")</f>
        <v/>
      </c>
      <c r="BF30" s="333">
        <f>IF($DY$5=S.CAL!$CU$2,Novembre!AR32,IF($DY$5=S.CAL!$CU$3,VLOOKUP(BC30,planning_fp,7,FALSE),""))</f>
        <v>0</v>
      </c>
      <c r="BG30" s="345" t="str">
        <f>Novembre!BL32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46339</v>
      </c>
      <c r="CF30" s="170">
        <f>+$D$13+12</f>
        <v>46339</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IF(+Novembre!AG32="",0,Novembre!AG32)</f>
        <v>0</v>
      </c>
      <c r="DZ30" s="16">
        <f>+IF(Novembre!AJ32="",0,Novembre!AJ32)</f>
        <v>0</v>
      </c>
      <c r="EA30" s="16">
        <f>+IF(Novembre!AM32="",0,Novembre!AM32)</f>
        <v>0</v>
      </c>
      <c r="EB30" s="16">
        <f t="shared" si="25"/>
        <v>0</v>
      </c>
      <c r="ED30" s="16">
        <f t="shared" si="26"/>
        <v>0</v>
      </c>
      <c r="EE30" s="16">
        <f t="shared" si="17"/>
        <v>0</v>
      </c>
      <c r="EF30" s="30" t="str">
        <f t="shared" si="18"/>
        <v/>
      </c>
      <c r="EG30" s="30" t="str">
        <f t="shared" si="27"/>
        <v/>
      </c>
      <c r="EH30" s="16">
        <f t="shared" si="28"/>
        <v>0</v>
      </c>
      <c r="EI30" s="30"/>
      <c r="EJ30" s="30">
        <f t="shared" si="19"/>
        <v>46339</v>
      </c>
      <c r="EM30" s="16" t="str">
        <f t="shared" si="29"/>
        <v>Fiche infoA546339</v>
      </c>
      <c r="EN30" s="16">
        <f t="shared" si="20"/>
        <v>0</v>
      </c>
      <c r="EQ30" s="16" t="str">
        <f>Novembre!FS32</f>
        <v/>
      </c>
    </row>
    <row r="31" spans="1:147" ht="18" customHeight="1" x14ac:dyDescent="0.2">
      <c r="A31" s="24" t="str">
        <f>+Novembre!BJ33</f>
        <v>Fiche infoA6</v>
      </c>
      <c r="B31" s="107">
        <f t="shared" si="30"/>
        <v>46340</v>
      </c>
      <c r="C31" s="170">
        <f>+$D$13+13</f>
        <v>46340</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Novembre!BC33</f>
        <v>0</v>
      </c>
      <c r="J31" s="34">
        <f>Novembre!BE33</f>
        <v>0</v>
      </c>
      <c r="K31" s="34">
        <f t="shared" si="15"/>
        <v>0</v>
      </c>
      <c r="L31" s="34" t="str">
        <f t="shared" si="21"/>
        <v/>
      </c>
      <c r="AL31" s="563" t="s">
        <v>342</v>
      </c>
      <c r="BA31" s="331" t="str">
        <f t="shared" si="16"/>
        <v>Fiche infoA6</v>
      </c>
      <c r="BB31" s="107">
        <f t="shared" si="31"/>
        <v>46340</v>
      </c>
      <c r="BC31" s="170">
        <f>+$D$13+13</f>
        <v>46340</v>
      </c>
      <c r="BD31" s="171" t="str">
        <f t="shared" si="32"/>
        <v/>
      </c>
      <c r="BE31" s="171" t="str">
        <f>+IF(OR(BF31=S.CAL!$BJ$3,BF31=S.CAL!$BJ$4),BD31,"")</f>
        <v/>
      </c>
      <c r="BF31" s="333">
        <f>IF($DY$5=S.CAL!$CU$2,Novembre!AR33,IF($DY$5=S.CAL!$CU$3,VLOOKUP(BC31,planning_fp,7,FALSE),""))</f>
        <v>0</v>
      </c>
      <c r="BG31" s="345" t="str">
        <f>Novembre!BL33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46340</v>
      </c>
      <c r="CF31" s="170">
        <f>+$D$13+13</f>
        <v>46340</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IF(+Novembre!AG33="",0,Novembre!AG33)</f>
        <v>0</v>
      </c>
      <c r="DZ31" s="16">
        <f>+IF(Novembre!AJ33="",0,Novembre!AJ33)</f>
        <v>0</v>
      </c>
      <c r="EA31" s="16">
        <f>+IF(Novembre!AM33="",0,Novembre!AM33)</f>
        <v>0</v>
      </c>
      <c r="EB31" s="16">
        <f t="shared" si="25"/>
        <v>0</v>
      </c>
      <c r="ED31" s="16">
        <f t="shared" si="26"/>
        <v>0</v>
      </c>
      <c r="EE31" s="16">
        <f t="shared" si="17"/>
        <v>0</v>
      </c>
      <c r="EF31" s="30" t="str">
        <f t="shared" si="18"/>
        <v/>
      </c>
      <c r="EG31" s="30" t="str">
        <f t="shared" si="27"/>
        <v/>
      </c>
      <c r="EH31" s="16">
        <f t="shared" si="28"/>
        <v>0</v>
      </c>
      <c r="EI31" s="30"/>
      <c r="EJ31" s="30">
        <f t="shared" si="19"/>
        <v>46340</v>
      </c>
      <c r="EM31" s="16" t="str">
        <f t="shared" si="29"/>
        <v>Fiche infoA646340</v>
      </c>
      <c r="EN31" s="16">
        <f t="shared" si="20"/>
        <v>0</v>
      </c>
      <c r="EQ31" s="16" t="str">
        <f>Novembre!FS33</f>
        <v/>
      </c>
    </row>
    <row r="32" spans="1:147" ht="18" customHeight="1" x14ac:dyDescent="0.2">
      <c r="A32" s="24" t="str">
        <f>+Novembre!BJ34</f>
        <v>Fiche infoA7</v>
      </c>
      <c r="B32" s="107">
        <f t="shared" si="30"/>
        <v>46341</v>
      </c>
      <c r="C32" s="170">
        <f>+$D$13+14</f>
        <v>46341</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Novembre!BC34</f>
        <v>0</v>
      </c>
      <c r="J32" s="34">
        <f>Novembre!BE34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infoA7</v>
      </c>
      <c r="BB32" s="107">
        <f t="shared" si="31"/>
        <v>46341</v>
      </c>
      <c r="BC32" s="170">
        <f>+$D$13+14</f>
        <v>46341</v>
      </c>
      <c r="BD32" s="171" t="str">
        <f t="shared" si="32"/>
        <v/>
      </c>
      <c r="BE32" s="171" t="str">
        <f>+IF(OR(BF32=S.CAL!$BJ$3,BF32=S.CAL!$BJ$4),BD32,"")</f>
        <v/>
      </c>
      <c r="BF32" s="333">
        <f>IF($DY$5=S.CAL!$CU$2,Novembre!AR34,IF($DY$5=S.CAL!$CU$3,VLOOKUP(BC32,planning_fp,7,FALSE),""))</f>
        <v>0</v>
      </c>
      <c r="BG32" s="345" t="str">
        <f>Novembre!BL34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46341</v>
      </c>
      <c r="CF32" s="170">
        <f>+$D$13+14</f>
        <v>46341</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IF(+Novembre!AG34="",0,Novembre!AG34)</f>
        <v>0</v>
      </c>
      <c r="DZ32" s="16">
        <f>+IF(Novembre!AJ34="",0,Novembre!AJ34)</f>
        <v>0</v>
      </c>
      <c r="EA32" s="16">
        <f>+IF(Novembre!AM34="",0,Novembre!AM34)</f>
        <v>0</v>
      </c>
      <c r="EB32" s="16">
        <f t="shared" si="25"/>
        <v>0</v>
      </c>
      <c r="ED32" s="16">
        <f t="shared" si="26"/>
        <v>0</v>
      </c>
      <c r="EE32" s="16">
        <f t="shared" si="17"/>
        <v>0</v>
      </c>
      <c r="EF32" s="30" t="str">
        <f t="shared" si="18"/>
        <v/>
      </c>
      <c r="EG32" s="30" t="str">
        <f t="shared" si="27"/>
        <v/>
      </c>
      <c r="EH32" s="16">
        <f t="shared" si="28"/>
        <v>0</v>
      </c>
      <c r="EI32" s="30"/>
      <c r="EJ32" s="30">
        <f t="shared" si="19"/>
        <v>46341</v>
      </c>
      <c r="EM32" s="16" t="str">
        <f t="shared" si="29"/>
        <v>Fiche infoA746341</v>
      </c>
      <c r="EN32" s="16">
        <f t="shared" si="20"/>
        <v>0</v>
      </c>
      <c r="EQ32" s="16" t="str">
        <f>Novembre!FS34</f>
        <v/>
      </c>
    </row>
    <row r="33" spans="1:147" ht="18" customHeight="1" x14ac:dyDescent="0.2">
      <c r="A33" s="24" t="str">
        <f>+Novembre!BJ35</f>
        <v>Fiche infoA1</v>
      </c>
      <c r="B33" s="107">
        <f t="shared" si="30"/>
        <v>46342</v>
      </c>
      <c r="C33" s="170">
        <f>+$D$13+15</f>
        <v>46342</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Novembre!BC35</f>
        <v>0</v>
      </c>
      <c r="J33" s="34">
        <f>Novembre!BE35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BA33" s="331" t="str">
        <f t="shared" si="16"/>
        <v>Fiche infoA1</v>
      </c>
      <c r="BB33" s="107">
        <f t="shared" si="31"/>
        <v>46342</v>
      </c>
      <c r="BC33" s="170">
        <f>+$D$13+15</f>
        <v>46342</v>
      </c>
      <c r="BD33" s="171" t="str">
        <f t="shared" si="32"/>
        <v/>
      </c>
      <c r="BE33" s="171" t="str">
        <f>+IF(OR(BF33=S.CAL!$BJ$3,BF33=S.CAL!$BJ$4),BD33,"")</f>
        <v/>
      </c>
      <c r="BF33" s="333">
        <f>IF($DY$5=S.CAL!$CU$2,Novembre!AR35,IF($DY$5=S.CAL!$CU$3,VLOOKUP(BC33,planning_fp,7,FALSE),""))</f>
        <v>0</v>
      </c>
      <c r="BG33" s="345" t="str">
        <f>Novembre!BL35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46342</v>
      </c>
      <c r="CF33" s="170">
        <f>+$D$13+15</f>
        <v>46342</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IF(+Novembre!AG35="",0,Novembre!AG35)</f>
        <v>0</v>
      </c>
      <c r="DZ33" s="16">
        <f>+IF(Novembre!AJ35="",0,Novembre!AJ35)</f>
        <v>0</v>
      </c>
      <c r="EA33" s="16">
        <f>+IF(Novembre!AM35="",0,Novembre!AM35)</f>
        <v>0</v>
      </c>
      <c r="EB33" s="16">
        <f t="shared" si="25"/>
        <v>0</v>
      </c>
      <c r="ED33" s="16">
        <f t="shared" si="26"/>
        <v>0</v>
      </c>
      <c r="EE33" s="16">
        <f t="shared" si="17"/>
        <v>0</v>
      </c>
      <c r="EF33" s="30" t="str">
        <f t="shared" si="18"/>
        <v/>
      </c>
      <c r="EG33" s="30" t="str">
        <f t="shared" si="27"/>
        <v/>
      </c>
      <c r="EH33" s="16">
        <f t="shared" si="28"/>
        <v>0</v>
      </c>
      <c r="EI33" s="30"/>
      <c r="EJ33" s="30">
        <f t="shared" si="19"/>
        <v>46342</v>
      </c>
      <c r="EM33" s="16" t="str">
        <f t="shared" si="29"/>
        <v>Fiche infoA146342</v>
      </c>
      <c r="EN33" s="16">
        <f t="shared" si="20"/>
        <v>0</v>
      </c>
      <c r="EQ33" s="16" t="str">
        <f>Novembre!FS35</f>
        <v/>
      </c>
    </row>
    <row r="34" spans="1:147" ht="18" customHeight="1" x14ac:dyDescent="0.2">
      <c r="A34" s="24" t="str">
        <f>+Novembre!BJ36</f>
        <v>Fiche infoA2</v>
      </c>
      <c r="B34" s="107">
        <f t="shared" si="30"/>
        <v>46343</v>
      </c>
      <c r="C34" s="170">
        <f>+$D$13+16</f>
        <v>46343</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Novembre!BC36</f>
        <v>0</v>
      </c>
      <c r="J34" s="34">
        <f>Novembre!BE36</f>
        <v>0</v>
      </c>
      <c r="K34" s="34">
        <f t="shared" si="15"/>
        <v>0</v>
      </c>
      <c r="L34" s="34" t="str">
        <f t="shared" si="21"/>
        <v/>
      </c>
      <c r="N34" s="377"/>
      <c r="O34" s="377"/>
      <c r="P34" s="377"/>
      <c r="Q34" s="377"/>
      <c r="R34" s="377"/>
      <c r="T34" s="563">
        <f>+IF(AD34=0,V34,0)</f>
        <v>0</v>
      </c>
      <c r="U34" s="1301" t="str">
        <f>+Novembre!AU4</f>
        <v>A</v>
      </c>
      <c r="V34" s="1301">
        <f>IFERROR(+VLOOKUP(U34,U35:AB39,7,FALSE),"")</f>
        <v>0</v>
      </c>
      <c r="W34" s="2538" t="str">
        <f>Novembre!BS28</f>
        <v>Semaine numéro : 44</v>
      </c>
      <c r="X34" s="2538"/>
      <c r="Y34" s="2538"/>
      <c r="Z34" s="1323"/>
      <c r="AA34" s="1316">
        <f>+IF(Z34&lt;&gt;"",Z34,IF(T34&gt;0,T34,IF(AND(AD34&gt;0,AC34&gt;0),AD34+AC34,IF(AE34&gt;0,0,AC34))))</f>
        <v>0</v>
      </c>
      <c r="AB34" s="1316">
        <f>IF(AND(AA34&gt;45,AD34=AD48),AA34-45,0)</f>
        <v>0</v>
      </c>
      <c r="AC34" s="1322">
        <f>+SUMIF(Novembre!$BK$20:$BK$50,Novembre!AT4,$D$18:$D$48)</f>
        <v>0</v>
      </c>
      <c r="AD34" s="1322">
        <f>+SUMIF(Octobre!$BK$20:$BK$50,Novembre!AT4,'Retenue Oct'!$D$18:$D$48)</f>
        <v>0</v>
      </c>
      <c r="AE34" s="1322">
        <f>+SUMIF(Décembre!$BK$20:$BK$50,Novembre!AT4,'Retenue Déc'!$D$18:$D$48)</f>
        <v>0</v>
      </c>
      <c r="AF34" s="1316">
        <f>+AC34-AB34</f>
        <v>0</v>
      </c>
      <c r="AK34" s="1189" t="s">
        <v>324</v>
      </c>
      <c r="AL34" s="1302" t="e">
        <f>IF(AL32,+AL24/AL32,0)</f>
        <v>#VALUE!</v>
      </c>
      <c r="BA34" s="331" t="str">
        <f t="shared" si="16"/>
        <v>Fiche infoA2</v>
      </c>
      <c r="BB34" s="107">
        <f t="shared" si="31"/>
        <v>46343</v>
      </c>
      <c r="BC34" s="170">
        <f>+$D$13+16</f>
        <v>46343</v>
      </c>
      <c r="BD34" s="171" t="str">
        <f t="shared" si="32"/>
        <v/>
      </c>
      <c r="BE34" s="171" t="str">
        <f>+IF(OR(BF34=S.CAL!$BJ$3,BF34=S.CAL!$BJ$4),BD34,"")</f>
        <v/>
      </c>
      <c r="BF34" s="333">
        <f>IF($DY$5=S.CAL!$CU$2,Novembre!AR36,IF($DY$5=S.CAL!$CU$3,VLOOKUP(BC34,planning_fp,7,FALSE),""))</f>
        <v>0</v>
      </c>
      <c r="BG34" s="345" t="str">
        <f>Novembre!BL36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46343</v>
      </c>
      <c r="CF34" s="170">
        <f>+$D$13+16</f>
        <v>46343</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IF(+Novembre!AG36="",0,Novembre!AG36)</f>
        <v>0</v>
      </c>
      <c r="DZ34" s="16">
        <f>+IF(Novembre!AJ36="",0,Novembre!AJ36)</f>
        <v>0</v>
      </c>
      <c r="EA34" s="16">
        <f>+IF(Novembre!AM36="",0,Novembre!AM36)</f>
        <v>0</v>
      </c>
      <c r="EB34" s="16">
        <f t="shared" si="25"/>
        <v>0</v>
      </c>
      <c r="ED34" s="16">
        <f t="shared" si="26"/>
        <v>0</v>
      </c>
      <c r="EE34" s="16">
        <f t="shared" si="17"/>
        <v>0</v>
      </c>
      <c r="EF34" s="30" t="str">
        <f t="shared" si="18"/>
        <v/>
      </c>
      <c r="EG34" s="30" t="str">
        <f t="shared" si="27"/>
        <v/>
      </c>
      <c r="EH34" s="16">
        <f t="shared" si="28"/>
        <v>0</v>
      </c>
      <c r="EI34" s="30"/>
      <c r="EJ34" s="30">
        <f t="shared" si="19"/>
        <v>46343</v>
      </c>
      <c r="EM34" s="16" t="str">
        <f t="shared" si="29"/>
        <v>Fiche infoA246343</v>
      </c>
      <c r="EN34" s="16">
        <f t="shared" si="20"/>
        <v>0</v>
      </c>
      <c r="EQ34" s="16" t="str">
        <f>Novembre!FS36</f>
        <v/>
      </c>
    </row>
    <row r="35" spans="1:147" ht="18" customHeight="1" x14ac:dyDescent="0.2">
      <c r="A35" s="24" t="str">
        <f>+Novembre!BJ37</f>
        <v>Fiche infoA3</v>
      </c>
      <c r="B35" s="107">
        <f t="shared" si="30"/>
        <v>46344</v>
      </c>
      <c r="C35" s="170">
        <f>+$D$13+17</f>
        <v>46344</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Novembre!BC37</f>
        <v>0</v>
      </c>
      <c r="J35" s="34">
        <f>Novembre!BE37</f>
        <v>0</v>
      </c>
      <c r="K35" s="34">
        <f t="shared" si="15"/>
        <v>0</v>
      </c>
      <c r="L35" s="34" t="str">
        <f t="shared" si="21"/>
        <v/>
      </c>
      <c r="N35" s="377"/>
      <c r="O35" s="861" t="s">
        <v>1198</v>
      </c>
      <c r="P35" s="862"/>
      <c r="Q35" s="862"/>
      <c r="R35" s="858"/>
      <c r="T35" s="563">
        <f>+IF(AD35=0,V35,0)</f>
        <v>0</v>
      </c>
      <c r="U35" s="1301" t="str">
        <f>+Novembre!AU5</f>
        <v>A</v>
      </c>
      <c r="V35" s="1301">
        <f>IFERROR(+VLOOKUP(U35,U36:AB39,7,FALSE),"")</f>
        <v>0</v>
      </c>
      <c r="W35" s="2538" t="str">
        <f>Novembre!BS29</f>
        <v>Semaine numéro : 45</v>
      </c>
      <c r="X35" s="2538"/>
      <c r="Y35" s="2538"/>
      <c r="Z35" s="1323"/>
      <c r="AA35" s="1316">
        <f>+IF(Z35&lt;&gt;"",Z35,IF(T35&gt;0,T35,IF(AND(AD35&gt;0,AC35&gt;0),AD35+AC35,IF(AE35&gt;0,0,AC35))))</f>
        <v>0</v>
      </c>
      <c r="AB35" s="1316">
        <f t="shared" ref="AB35:AB39" si="44">IF(AND(AA35&gt;45,AD35=AD49),AA35-45,0)</f>
        <v>0</v>
      </c>
      <c r="AC35" s="1322">
        <f>+SUMIF(Novembre!$BK$20:$BK$50,Novembre!AT5,$D$18:$D$48)</f>
        <v>0</v>
      </c>
      <c r="AD35" s="1322">
        <f>+SUMIF(Octobre!$BK$20:$BK$50,Novembre!AT5,'Retenue Oct'!$D$18:$D$48)</f>
        <v>0</v>
      </c>
      <c r="AE35" s="1322">
        <f>+SUMIF(Décembre!$BK$20:$BK$50,Novembre!AT5,'Retenue Déc'!$D$18:$D$48)</f>
        <v>0</v>
      </c>
      <c r="AF35" s="1316">
        <f t="shared" ref="AF35:AF39" si="45">+AC35-AB35</f>
        <v>0</v>
      </c>
      <c r="AK35" s="1189"/>
      <c r="AL35" s="1302"/>
      <c r="BA35" s="331" t="str">
        <f t="shared" si="16"/>
        <v>Fiche infoA3</v>
      </c>
      <c r="BB35" s="107">
        <f t="shared" si="31"/>
        <v>46344</v>
      </c>
      <c r="BC35" s="170">
        <f>+$D$13+17</f>
        <v>46344</v>
      </c>
      <c r="BD35" s="171" t="str">
        <f t="shared" si="32"/>
        <v/>
      </c>
      <c r="BE35" s="171" t="str">
        <f>+IF(OR(BF35=S.CAL!$BJ$3,BF35=S.CAL!$BJ$4),BD35,"")</f>
        <v/>
      </c>
      <c r="BF35" s="333">
        <f>IF($DY$5=S.CAL!$CU$2,Novembre!AR37,IF($DY$5=S.CAL!$CU$3,VLOOKUP(BC35,planning_fp,7,FALSE),""))</f>
        <v>0</v>
      </c>
      <c r="BG35" s="345" t="str">
        <f>Novembre!BL37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46344</v>
      </c>
      <c r="CF35" s="170">
        <f>+$D$13+17</f>
        <v>46344</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IF(+Novembre!AG37="",0,Novembre!AG37)</f>
        <v>0</v>
      </c>
      <c r="DZ35" s="16">
        <f>+IF(Novembre!AJ37="",0,Novembre!AJ37)</f>
        <v>0</v>
      </c>
      <c r="EA35" s="16">
        <f>+IF(Novembre!AM37="",0,Novembre!AM37)</f>
        <v>0</v>
      </c>
      <c r="EB35" s="16">
        <f t="shared" si="25"/>
        <v>0</v>
      </c>
      <c r="ED35" s="16">
        <f t="shared" si="26"/>
        <v>0</v>
      </c>
      <c r="EE35" s="16">
        <f t="shared" si="17"/>
        <v>0</v>
      </c>
      <c r="EF35" s="30" t="str">
        <f t="shared" si="18"/>
        <v/>
      </c>
      <c r="EG35" s="30" t="str">
        <f t="shared" si="27"/>
        <v/>
      </c>
      <c r="EH35" s="16">
        <f t="shared" si="28"/>
        <v>0</v>
      </c>
      <c r="EI35" s="30"/>
      <c r="EJ35" s="30">
        <f t="shared" si="19"/>
        <v>46344</v>
      </c>
      <c r="EM35" s="16" t="str">
        <f t="shared" si="29"/>
        <v>Fiche infoA346344</v>
      </c>
      <c r="EN35" s="16">
        <f t="shared" si="20"/>
        <v>0</v>
      </c>
      <c r="EQ35" s="16" t="str">
        <f>Novembre!FS37</f>
        <v/>
      </c>
    </row>
    <row r="36" spans="1:147" ht="18" customHeight="1" x14ac:dyDescent="0.2">
      <c r="A36" s="24" t="str">
        <f>+Novembre!BJ38</f>
        <v>Fiche infoA4</v>
      </c>
      <c r="B36" s="107">
        <f t="shared" si="30"/>
        <v>46345</v>
      </c>
      <c r="C36" s="170">
        <f>+$D$13+18</f>
        <v>46345</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Novembre!BC38</f>
        <v>0</v>
      </c>
      <c r="J36" s="34">
        <f>Novembre!BE38</f>
        <v>0</v>
      </c>
      <c r="K36" s="34">
        <f t="shared" si="15"/>
        <v>0</v>
      </c>
      <c r="L36" s="34" t="str">
        <f t="shared" si="21"/>
        <v/>
      </c>
      <c r="N36" s="377"/>
      <c r="O36" s="468"/>
      <c r="P36" s="469" t="str">
        <f>+E11&amp;" / ( "&amp;E10&amp;" + "&amp;E11&amp;" ) ="</f>
        <v>0 / ( 0 + 0 ) =</v>
      </c>
      <c r="Q36" s="468" t="e">
        <f>+ROUND(E11/(E11+E10),6)</f>
        <v>#DIV/0!</v>
      </c>
      <c r="R36" s="377"/>
      <c r="U36" s="1301" t="str">
        <f>+Novembre!AU6</f>
        <v>A</v>
      </c>
      <c r="V36" s="1301"/>
      <c r="W36" s="2538" t="str">
        <f>Novembre!BS30</f>
        <v>Semaine numéro : 46</v>
      </c>
      <c r="X36" s="2538"/>
      <c r="Y36" s="2538"/>
      <c r="Z36" s="1323"/>
      <c r="AA36" s="1316">
        <f t="shared" ref="AA36:AA39" si="46">+IF(Z36="",IF(AND(AD36&gt;0,AC36&gt;0),AD36+AC36,IF(AE36&gt;0,0,AC36)),Z36)</f>
        <v>0</v>
      </c>
      <c r="AB36" s="1316">
        <f t="shared" si="44"/>
        <v>0</v>
      </c>
      <c r="AC36" s="1322">
        <f>+SUMIF(Novembre!$BK$20:$BK$50,Novembre!AT6,$D$18:$D$48)</f>
        <v>0</v>
      </c>
      <c r="AD36" s="1322">
        <f>+SUMIF(Octobre!$BK$20:$BK$50,Novembre!AT6,'Retenue Oct'!$D$18:$D$48)</f>
        <v>0</v>
      </c>
      <c r="AE36" s="1322">
        <f>+SUMIF(Décembre!$BK$20:$BK$50,Novembre!AT6,'Retenue Déc'!$D$18:$D$48)</f>
        <v>0</v>
      </c>
      <c r="AF36" s="1316">
        <f t="shared" si="45"/>
        <v>0</v>
      </c>
      <c r="AK36" s="1189"/>
      <c r="AL36" s="1302"/>
      <c r="BA36" s="331" t="str">
        <f t="shared" si="16"/>
        <v>Fiche infoA4</v>
      </c>
      <c r="BB36" s="107">
        <f t="shared" si="31"/>
        <v>46345</v>
      </c>
      <c r="BC36" s="170">
        <f>+$D$13+18</f>
        <v>46345</v>
      </c>
      <c r="BD36" s="171" t="str">
        <f t="shared" si="32"/>
        <v/>
      </c>
      <c r="BE36" s="171" t="str">
        <f>+IF(OR(BF36=S.CAL!$BJ$3,BF36=S.CAL!$BJ$4),BD36,"")</f>
        <v/>
      </c>
      <c r="BF36" s="333">
        <f>IF($DY$5=S.CAL!$CU$2,Novembre!AR38,IF($DY$5=S.CAL!$CU$3,VLOOKUP(BC36,planning_fp,7,FALSE),""))</f>
        <v>0</v>
      </c>
      <c r="BG36" s="345" t="str">
        <f>Novembre!BL38</f>
        <v>A</v>
      </c>
      <c r="BH36" s="356"/>
      <c r="BI36" s="357"/>
      <c r="BJ36" s="355"/>
      <c r="BK36" s="355"/>
      <c r="BL36" s="35"/>
      <c r="BS36" s="189"/>
      <c r="BT36" s="342"/>
      <c r="BU36" s="342"/>
      <c r="BV36" s="355"/>
      <c r="BW36" s="355"/>
      <c r="BX36" s="355"/>
      <c r="BY36" s="355"/>
      <c r="BZ36" s="355"/>
      <c r="CA36" s="355"/>
      <c r="CB36" s="355"/>
      <c r="CD36" s="328"/>
      <c r="CE36" s="107">
        <f t="shared" si="33"/>
        <v>46345</v>
      </c>
      <c r="CF36" s="170">
        <f>+$D$13+18</f>
        <v>46345</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IF(+Novembre!AG38="",0,Novembre!AG38)</f>
        <v>0</v>
      </c>
      <c r="DZ36" s="16">
        <f>+IF(Novembre!AJ38="",0,Novembre!AJ38)</f>
        <v>0</v>
      </c>
      <c r="EA36" s="16">
        <f>+IF(Novembre!AM38="",0,Novembre!AM38)</f>
        <v>0</v>
      </c>
      <c r="EB36" s="16">
        <f t="shared" si="25"/>
        <v>0</v>
      </c>
      <c r="ED36" s="16">
        <f t="shared" si="26"/>
        <v>0</v>
      </c>
      <c r="EE36" s="16">
        <f t="shared" si="17"/>
        <v>0</v>
      </c>
      <c r="EF36" s="30" t="str">
        <f t="shared" si="18"/>
        <v/>
      </c>
      <c r="EG36" s="30" t="str">
        <f t="shared" si="27"/>
        <v/>
      </c>
      <c r="EH36" s="16">
        <f t="shared" si="28"/>
        <v>0</v>
      </c>
      <c r="EI36" s="30"/>
      <c r="EJ36" s="30">
        <f t="shared" si="19"/>
        <v>46345</v>
      </c>
      <c r="EM36" s="16" t="str">
        <f t="shared" si="29"/>
        <v>Fiche infoA446345</v>
      </c>
      <c r="EN36" s="16">
        <f t="shared" si="20"/>
        <v>0</v>
      </c>
      <c r="EQ36" s="16" t="str">
        <f>Novembre!FS38</f>
        <v/>
      </c>
    </row>
    <row r="37" spans="1:147" ht="18" customHeight="1" x14ac:dyDescent="0.2">
      <c r="A37" s="24" t="str">
        <f>+Novembre!BJ39</f>
        <v>Fiche infoA5</v>
      </c>
      <c r="B37" s="107">
        <f t="shared" si="30"/>
        <v>46346</v>
      </c>
      <c r="C37" s="170">
        <f>+$D$13+19</f>
        <v>46346</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Novembre!BC39</f>
        <v>0</v>
      </c>
      <c r="J37" s="34">
        <f>Novembre!BE39</f>
        <v>0</v>
      </c>
      <c r="K37" s="34">
        <f t="shared" si="15"/>
        <v>0</v>
      </c>
      <c r="L37" s="34" t="str">
        <f t="shared" si="21"/>
        <v/>
      </c>
      <c r="N37" s="377"/>
      <c r="O37" s="863"/>
      <c r="P37" s="863"/>
      <c r="Q37" s="863"/>
      <c r="R37" s="377"/>
      <c r="U37" s="1301" t="str">
        <f>+Novembre!AU7</f>
        <v>A</v>
      </c>
      <c r="V37" s="1301"/>
      <c r="W37" s="2538" t="str">
        <f>Novembre!BS31</f>
        <v>Semaine numéro : 47</v>
      </c>
      <c r="X37" s="2538"/>
      <c r="Y37" s="2538"/>
      <c r="Z37" s="1323"/>
      <c r="AA37" s="1316">
        <f t="shared" si="46"/>
        <v>0</v>
      </c>
      <c r="AB37" s="1316">
        <f t="shared" si="44"/>
        <v>0</v>
      </c>
      <c r="AC37" s="1322">
        <f>+SUMIF(Novembre!$BK$20:$BK$50,Novembre!AT7,$D$18:$D$48)</f>
        <v>0</v>
      </c>
      <c r="AD37" s="1322">
        <f>+SUMIF(Octobre!$BK$20:$BK$50,Novembre!AT7,'Retenue Oct'!$D$18:$D$48)</f>
        <v>0</v>
      </c>
      <c r="AE37" s="1322">
        <f>+SUMIF(Décembre!$BK$20:$BK$50,Novembre!AT7,'Retenue Déc'!$D$18:$D$48)</f>
        <v>0</v>
      </c>
      <c r="AF37" s="1316">
        <f t="shared" si="45"/>
        <v>0</v>
      </c>
      <c r="AK37" s="1189"/>
      <c r="AL37" s="2553" t="s">
        <v>325</v>
      </c>
      <c r="AM37" s="2553" t="s">
        <v>326</v>
      </c>
      <c r="AN37" s="2554" t="s">
        <v>327</v>
      </c>
      <c r="AO37" s="2553" t="s">
        <v>328</v>
      </c>
      <c r="AP37" s="2553" t="s">
        <v>348</v>
      </c>
      <c r="AQ37" s="2553" t="s">
        <v>349</v>
      </c>
      <c r="BA37" s="331" t="str">
        <f t="shared" si="16"/>
        <v>Fiche infoA5</v>
      </c>
      <c r="BB37" s="107">
        <f t="shared" si="31"/>
        <v>46346</v>
      </c>
      <c r="BC37" s="170">
        <f>+$D$13+19</f>
        <v>46346</v>
      </c>
      <c r="BD37" s="171" t="str">
        <f t="shared" si="32"/>
        <v/>
      </c>
      <c r="BE37" s="171" t="str">
        <f>+IF(OR(BF37=S.CAL!$BJ$3,BF37=S.CAL!$BJ$4),BD37,"")</f>
        <v/>
      </c>
      <c r="BF37" s="333">
        <f>IF($DY$5=S.CAL!$CU$2,Novembre!AR39,IF($DY$5=S.CAL!$CU$3,VLOOKUP(BC37,planning_fp,7,FALSE),""))</f>
        <v>0</v>
      </c>
      <c r="BG37" s="345" t="str">
        <f>Novembre!BL39</f>
        <v>A</v>
      </c>
      <c r="BH37" s="355"/>
      <c r="BI37" s="355"/>
      <c r="BJ37" s="355"/>
      <c r="BK37" s="355"/>
      <c r="BL37" s="35"/>
      <c r="BO37" s="29"/>
      <c r="BP37" s="34"/>
      <c r="BS37" s="189"/>
      <c r="BT37" s="189"/>
      <c r="BV37" s="355"/>
      <c r="BW37" s="355"/>
      <c r="BX37" s="355"/>
      <c r="BY37" s="355"/>
      <c r="BZ37" s="355"/>
      <c r="CA37" s="355"/>
      <c r="CB37" s="355"/>
      <c r="CD37" s="328"/>
      <c r="CE37" s="107">
        <f t="shared" si="33"/>
        <v>46346</v>
      </c>
      <c r="CF37" s="170">
        <f>+$D$13+19</f>
        <v>46346</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IF(+Novembre!AG39="",0,Novembre!AG39)</f>
        <v>0</v>
      </c>
      <c r="DZ37" s="16">
        <f>+IF(Novembre!AJ39="",0,Novembre!AJ39)</f>
        <v>0</v>
      </c>
      <c r="EA37" s="16">
        <f>+IF(Novembre!AM39="",0,Novembre!AM39)</f>
        <v>0</v>
      </c>
      <c r="EB37" s="16">
        <f t="shared" si="25"/>
        <v>0</v>
      </c>
      <c r="ED37" s="16">
        <f t="shared" si="26"/>
        <v>0</v>
      </c>
      <c r="EE37" s="16">
        <f t="shared" si="17"/>
        <v>0</v>
      </c>
      <c r="EF37" s="30" t="str">
        <f t="shared" si="18"/>
        <v/>
      </c>
      <c r="EG37" s="30" t="str">
        <f t="shared" si="27"/>
        <v/>
      </c>
      <c r="EH37" s="16">
        <f t="shared" si="28"/>
        <v>0</v>
      </c>
      <c r="EI37" s="30"/>
      <c r="EJ37" s="30">
        <f t="shared" si="19"/>
        <v>46346</v>
      </c>
      <c r="EM37" s="16" t="str">
        <f t="shared" si="29"/>
        <v>Fiche infoA546346</v>
      </c>
      <c r="EN37" s="16">
        <f t="shared" si="20"/>
        <v>0</v>
      </c>
      <c r="EQ37" s="16" t="str">
        <f>Novembre!FS39</f>
        <v/>
      </c>
    </row>
    <row r="38" spans="1:147" ht="18" customHeight="1" x14ac:dyDescent="0.2">
      <c r="A38" s="24" t="str">
        <f>+Novembre!BJ40</f>
        <v>Fiche infoA6</v>
      </c>
      <c r="B38" s="107">
        <f t="shared" si="30"/>
        <v>46347</v>
      </c>
      <c r="C38" s="170">
        <f>+$D$13+20</f>
        <v>46347</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Novembre!BC40</f>
        <v>0</v>
      </c>
      <c r="J38" s="34">
        <f>Novembre!BE40</f>
        <v>0</v>
      </c>
      <c r="K38" s="34">
        <f t="shared" si="15"/>
        <v>0</v>
      </c>
      <c r="L38" s="34" t="str">
        <f t="shared" si="21"/>
        <v/>
      </c>
      <c r="N38" s="377"/>
      <c r="O38" s="864" t="s">
        <v>1445</v>
      </c>
      <c r="P38" s="864"/>
      <c r="Q38" s="864"/>
      <c r="R38" s="860"/>
      <c r="U38" s="1301" t="str">
        <f>+Novembre!AU8</f>
        <v>A</v>
      </c>
      <c r="V38" s="1301"/>
      <c r="W38" s="2538" t="str">
        <f>Novembre!BS32</f>
        <v>Semaine numéro : 48</v>
      </c>
      <c r="X38" s="2538"/>
      <c r="Y38" s="2538"/>
      <c r="Z38" s="1323"/>
      <c r="AA38" s="1316">
        <f t="shared" si="46"/>
        <v>0</v>
      </c>
      <c r="AB38" s="1316">
        <f t="shared" si="44"/>
        <v>0</v>
      </c>
      <c r="AC38" s="1322">
        <f>+SUMIF(Novembre!$BK$20:$BK$50,Novembre!AT8,$D$18:$D$48)</f>
        <v>0</v>
      </c>
      <c r="AD38" s="1322">
        <f>+SUMIF(Octobre!$BK$20:$BK$50,Novembre!AT8,'Retenue Oct'!$D$18:$D$48)</f>
        <v>0</v>
      </c>
      <c r="AE38" s="1322">
        <f>+SUMIF(Décembre!$BK$20:$BK$50,Novembre!AT8,'Retenue Déc'!$D$18:$D$48)</f>
        <v>0</v>
      </c>
      <c r="AF38" s="1316">
        <f t="shared" si="45"/>
        <v>0</v>
      </c>
      <c r="AL38" s="2553"/>
      <c r="AM38" s="2553"/>
      <c r="AN38" s="2554"/>
      <c r="AO38" s="2553"/>
      <c r="AP38" s="2553"/>
      <c r="AQ38" s="2553"/>
      <c r="BA38" s="331" t="str">
        <f t="shared" si="16"/>
        <v>Fiche infoA6</v>
      </c>
      <c r="BB38" s="107">
        <f t="shared" si="31"/>
        <v>46347</v>
      </c>
      <c r="BC38" s="170">
        <f>+$D$13+20</f>
        <v>46347</v>
      </c>
      <c r="BD38" s="171" t="str">
        <f t="shared" si="32"/>
        <v/>
      </c>
      <c r="BE38" s="171" t="str">
        <f>+IF(OR(BF38=S.CAL!$BJ$3,BF38=S.CAL!$BJ$4),BD38,"")</f>
        <v/>
      </c>
      <c r="BF38" s="333">
        <f>IF($DY$5=S.CAL!$CU$2,Novembre!AR40,IF($DY$5=S.CAL!$CU$3,VLOOKUP(BC38,planning_fp,7,FALSE),""))</f>
        <v>0</v>
      </c>
      <c r="BG38" s="345" t="str">
        <f>Novembre!BL40</f>
        <v>A</v>
      </c>
      <c r="BH38" s="355"/>
      <c r="BI38" s="355"/>
      <c r="BJ38" s="355"/>
      <c r="BK38" s="355"/>
      <c r="BL38" s="35"/>
      <c r="BO38" s="29"/>
      <c r="BP38" s="34"/>
      <c r="BS38" s="189"/>
      <c r="BT38" s="189"/>
      <c r="BV38" s="355"/>
      <c r="BW38" s="355"/>
      <c r="BX38" s="355"/>
      <c r="BY38" s="355"/>
      <c r="BZ38" s="355"/>
      <c r="CA38" s="355"/>
      <c r="CB38" s="355"/>
      <c r="CD38" s="328"/>
      <c r="CE38" s="107">
        <f t="shared" si="33"/>
        <v>46347</v>
      </c>
      <c r="CF38" s="170">
        <f>+$D$13+20</f>
        <v>46347</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IF(+Novembre!AG40="",0,Novembre!AG40)</f>
        <v>0</v>
      </c>
      <c r="DZ38" s="16">
        <f>+IF(Novembre!AJ40="",0,Novembre!AJ40)</f>
        <v>0</v>
      </c>
      <c r="EA38" s="16">
        <f>+IF(Novembre!AM40="",0,Novembre!AM40)</f>
        <v>0</v>
      </c>
      <c r="EB38" s="16">
        <f t="shared" si="25"/>
        <v>0</v>
      </c>
      <c r="ED38" s="16">
        <f t="shared" si="26"/>
        <v>0</v>
      </c>
      <c r="EE38" s="16">
        <f t="shared" si="17"/>
        <v>0</v>
      </c>
      <c r="EF38" s="30" t="str">
        <f t="shared" si="18"/>
        <v/>
      </c>
      <c r="EG38" s="30" t="str">
        <f t="shared" si="27"/>
        <v/>
      </c>
      <c r="EH38" s="16">
        <f t="shared" si="28"/>
        <v>0</v>
      </c>
      <c r="EI38" s="30"/>
      <c r="EJ38" s="30">
        <f t="shared" si="19"/>
        <v>46347</v>
      </c>
      <c r="EM38" s="16" t="str">
        <f t="shared" si="29"/>
        <v>Fiche infoA646347</v>
      </c>
      <c r="EN38" s="16">
        <f t="shared" si="20"/>
        <v>0</v>
      </c>
      <c r="EQ38" s="16" t="str">
        <f>Novembre!FS40</f>
        <v/>
      </c>
    </row>
    <row r="39" spans="1:147" ht="18" customHeight="1" x14ac:dyDescent="0.2">
      <c r="A39" s="24" t="str">
        <f>+Novembre!BJ41</f>
        <v>Fiche infoA7</v>
      </c>
      <c r="B39" s="107">
        <f t="shared" si="30"/>
        <v>46348</v>
      </c>
      <c r="C39" s="170">
        <f>+$D$13+21</f>
        <v>46348</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Novembre!BC41</f>
        <v>0</v>
      </c>
      <c r="J39" s="34">
        <f>Novembre!BE41</f>
        <v>0</v>
      </c>
      <c r="K39" s="34">
        <f t="shared" si="15"/>
        <v>0</v>
      </c>
      <c r="L39" s="34" t="str">
        <f t="shared" si="21"/>
        <v/>
      </c>
      <c r="N39" s="377"/>
      <c r="O39" s="468"/>
      <c r="P39" s="469" t="str">
        <f>+E10&amp;" / ( "&amp;E10&amp;" + "&amp;E11&amp;" ) ="</f>
        <v>0 / ( 0 + 0 ) =</v>
      </c>
      <c r="Q39" s="468" t="e">
        <f>ROUND(+E10/(E11+E10),6)</f>
        <v>#DIV/0!</v>
      </c>
      <c r="R39" s="377"/>
      <c r="U39" s="1301" t="str">
        <f>+Novembre!AU9</f>
        <v>A</v>
      </c>
      <c r="V39" s="1301"/>
      <c r="W39" s="2538" t="str">
        <f>Novembre!BS33</f>
        <v>Semaine numéro : 49</v>
      </c>
      <c r="X39" s="2538"/>
      <c r="Y39" s="2538"/>
      <c r="Z39" s="1323"/>
      <c r="AA39" s="1316">
        <f t="shared" si="46"/>
        <v>0</v>
      </c>
      <c r="AB39" s="1316">
        <f t="shared" si="44"/>
        <v>0</v>
      </c>
      <c r="AC39" s="1322">
        <f>+SUMIF(Novembre!$BK$20:$BK$50,Novembre!AT9,$D$18:$D$48)</f>
        <v>0</v>
      </c>
      <c r="AD39" s="1322">
        <f>+SUMIF(Octobre!$BK$20:$BK$50,Novembre!AT9,'Retenue Oct'!$D$18:$D$48)</f>
        <v>0</v>
      </c>
      <c r="AE39" s="1322">
        <f>+SUMIF(Décembre!$BK$20:$BK$50,Novembre!AT9,'Retenue Déc'!$D$18:$D$48)</f>
        <v>0</v>
      </c>
      <c r="AF39" s="1316">
        <f t="shared" si="45"/>
        <v>0</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infoA7</v>
      </c>
      <c r="BB39" s="107">
        <f t="shared" si="31"/>
        <v>46348</v>
      </c>
      <c r="BC39" s="170">
        <f>+$D$13+21</f>
        <v>46348</v>
      </c>
      <c r="BD39" s="171" t="str">
        <f t="shared" si="32"/>
        <v/>
      </c>
      <c r="BE39" s="171" t="str">
        <f>+IF(OR(BF39=S.CAL!$BJ$3,BF39=S.CAL!$BJ$4),BD39,"")</f>
        <v/>
      </c>
      <c r="BF39" s="333">
        <f>IF($DY$5=S.CAL!$CU$2,Novembre!AR41,IF($DY$5=S.CAL!$CU$3,VLOOKUP(BC39,planning_fp,7,FALSE),""))</f>
        <v>0</v>
      </c>
      <c r="BG39" s="345" t="str">
        <f>Novembre!BL41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46348</v>
      </c>
      <c r="CF39" s="170">
        <f>+$D$13+21</f>
        <v>46348</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IF(+Novembre!AG41="",0,Novembre!AG41)</f>
        <v>0</v>
      </c>
      <c r="DZ39" s="16">
        <f>+IF(Novembre!AJ41="",0,Novembre!AJ41)</f>
        <v>0</v>
      </c>
      <c r="EA39" s="16">
        <f>+IF(Novembre!AM41="",0,Novembre!AM41)</f>
        <v>0</v>
      </c>
      <c r="EB39" s="16">
        <f t="shared" si="25"/>
        <v>0</v>
      </c>
      <c r="ED39" s="16">
        <f t="shared" si="26"/>
        <v>0</v>
      </c>
      <c r="EE39" s="16">
        <f t="shared" si="17"/>
        <v>0</v>
      </c>
      <c r="EF39" s="30" t="str">
        <f t="shared" si="18"/>
        <v/>
      </c>
      <c r="EG39" s="30" t="str">
        <f t="shared" si="27"/>
        <v/>
      </c>
      <c r="EH39" s="16">
        <f t="shared" si="28"/>
        <v>0</v>
      </c>
      <c r="EI39" s="30"/>
      <c r="EJ39" s="30">
        <f t="shared" si="19"/>
        <v>46348</v>
      </c>
      <c r="EM39" s="16" t="str">
        <f t="shared" si="29"/>
        <v>Fiche infoA746348</v>
      </c>
      <c r="EN39" s="16">
        <f t="shared" si="20"/>
        <v>0</v>
      </c>
      <c r="EQ39" s="16" t="str">
        <f>Novembre!FS41</f>
        <v/>
      </c>
    </row>
    <row r="40" spans="1:147" ht="18" customHeight="1" x14ac:dyDescent="0.2">
      <c r="A40" s="24" t="str">
        <f>+Novembre!BJ42</f>
        <v>Fiche infoA1</v>
      </c>
      <c r="B40" s="107">
        <f t="shared" si="30"/>
        <v>46349</v>
      </c>
      <c r="C40" s="170">
        <f>+$D$13+22</f>
        <v>46349</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Novembre!BC42</f>
        <v>0</v>
      </c>
      <c r="J40" s="34">
        <f>Novembre!BE42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infoA1</v>
      </c>
      <c r="BB40" s="107">
        <f t="shared" si="31"/>
        <v>46349</v>
      </c>
      <c r="BC40" s="170">
        <f>+$D$13+22</f>
        <v>46349</v>
      </c>
      <c r="BD40" s="171" t="str">
        <f t="shared" si="32"/>
        <v/>
      </c>
      <c r="BE40" s="171" t="str">
        <f>+IF(OR(BF40=S.CAL!$BJ$3,BF40=S.CAL!$BJ$4),BD40,"")</f>
        <v/>
      </c>
      <c r="BF40" s="333">
        <f>IF($DY$5=S.CAL!$CU$2,Novembre!AR42,IF($DY$5=S.CAL!$CU$3,VLOOKUP(BC40,planning_fp,7,FALSE),""))</f>
        <v>0</v>
      </c>
      <c r="BG40" s="345" t="str">
        <f>Novembre!BL42</f>
        <v>A</v>
      </c>
      <c r="BH40" s="355"/>
      <c r="BI40" s="355"/>
      <c r="BJ40" s="355"/>
      <c r="BK40" s="355"/>
      <c r="BL40" s="35"/>
      <c r="BN40" s="19"/>
      <c r="BO40" s="39"/>
      <c r="BP40" s="194"/>
      <c r="BV40" s="355"/>
      <c r="BW40" s="355"/>
      <c r="BX40" s="372"/>
      <c r="BY40" s="355"/>
      <c r="BZ40" s="355"/>
      <c r="CA40" s="355"/>
      <c r="CB40" s="355"/>
      <c r="CD40" s="328"/>
      <c r="CE40" s="107">
        <f t="shared" si="33"/>
        <v>46349</v>
      </c>
      <c r="CF40" s="170">
        <f>+$D$13+22</f>
        <v>46349</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IF(+Novembre!AG42="",0,Novembre!AG42)</f>
        <v>0</v>
      </c>
      <c r="DZ40" s="16">
        <f>+IF(Novembre!AJ42="",0,Novembre!AJ42)</f>
        <v>0</v>
      </c>
      <c r="EA40" s="16">
        <f>+IF(Novembre!AM42="",0,Novembre!AM42)</f>
        <v>0</v>
      </c>
      <c r="EB40" s="16">
        <f t="shared" si="25"/>
        <v>0</v>
      </c>
      <c r="ED40" s="16">
        <f t="shared" si="26"/>
        <v>0</v>
      </c>
      <c r="EE40" s="16">
        <f t="shared" si="17"/>
        <v>0</v>
      </c>
      <c r="EF40" s="30" t="str">
        <f t="shared" si="18"/>
        <v/>
      </c>
      <c r="EG40" s="30" t="str">
        <f t="shared" si="27"/>
        <v/>
      </c>
      <c r="EH40" s="16">
        <f t="shared" si="28"/>
        <v>0</v>
      </c>
      <c r="EI40" s="30"/>
      <c r="EJ40" s="30">
        <f t="shared" si="19"/>
        <v>46349</v>
      </c>
      <c r="EM40" s="16" t="str">
        <f t="shared" si="29"/>
        <v>Fiche infoA146349</v>
      </c>
      <c r="EN40" s="16">
        <f t="shared" si="20"/>
        <v>0</v>
      </c>
      <c r="EQ40" s="16" t="str">
        <f>Novembre!FS42</f>
        <v/>
      </c>
    </row>
    <row r="41" spans="1:147" ht="18" customHeight="1" x14ac:dyDescent="0.2">
      <c r="A41" s="24" t="str">
        <f>+Novembre!BJ43</f>
        <v>Fiche infoA2</v>
      </c>
      <c r="B41" s="107">
        <f t="shared" si="30"/>
        <v>46350</v>
      </c>
      <c r="C41" s="170">
        <f>+$D$13+23</f>
        <v>46350</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Novembre!BC43</f>
        <v>0</v>
      </c>
      <c r="J41" s="34">
        <f>Novembre!BE43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infoA2</v>
      </c>
      <c r="BB41" s="107">
        <f t="shared" si="31"/>
        <v>46350</v>
      </c>
      <c r="BC41" s="170">
        <f>+$D$13+23</f>
        <v>46350</v>
      </c>
      <c r="BD41" s="171" t="str">
        <f t="shared" si="32"/>
        <v/>
      </c>
      <c r="BE41" s="171" t="str">
        <f>+IF(OR(BF41=S.CAL!$BJ$3,BF41=S.CAL!$BJ$4),BD41,"")</f>
        <v/>
      </c>
      <c r="BF41" s="333">
        <f>IF($DY$5=S.CAL!$CU$2,Novembre!AR43,IF($DY$5=S.CAL!$CU$3,VLOOKUP(BC41,planning_fp,7,FALSE),""))</f>
        <v>0</v>
      </c>
      <c r="BG41" s="345" t="str">
        <f>Novembre!BL43</f>
        <v>A</v>
      </c>
      <c r="BH41" s="355"/>
      <c r="BI41" s="355"/>
      <c r="BJ41" s="355"/>
      <c r="BK41" s="355"/>
      <c r="BL41" s="35"/>
      <c r="BS41" s="95" t="s">
        <v>833</v>
      </c>
      <c r="BT41" s="194">
        <f>ROUND(SUM(BT28:BT35),2)</f>
        <v>0</v>
      </c>
      <c r="BV41" s="355"/>
      <c r="BW41" s="355"/>
      <c r="BX41" s="355"/>
      <c r="BY41" s="355"/>
      <c r="BZ41" s="355"/>
      <c r="CA41" s="356" t="s">
        <v>833</v>
      </c>
      <c r="CB41" s="372">
        <f>ROUND(SUM(CB28:CB35),2)</f>
        <v>0</v>
      </c>
      <c r="CD41" s="328"/>
      <c r="CE41" s="107">
        <f t="shared" si="33"/>
        <v>46350</v>
      </c>
      <c r="CF41" s="170">
        <f>+$D$13+23</f>
        <v>46350</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IF(+Novembre!AG43="",0,Novembre!AG43)</f>
        <v>0</v>
      </c>
      <c r="DZ41" s="16">
        <f>+IF(Novembre!AJ43="",0,Novembre!AJ43)</f>
        <v>0</v>
      </c>
      <c r="EA41" s="16">
        <f>+IF(Novembre!AM43="",0,Novembre!AM43)</f>
        <v>0</v>
      </c>
      <c r="EB41" s="16">
        <f t="shared" si="25"/>
        <v>0</v>
      </c>
      <c r="ED41" s="16">
        <f t="shared" si="26"/>
        <v>0</v>
      </c>
      <c r="EE41" s="16">
        <f t="shared" si="17"/>
        <v>0</v>
      </c>
      <c r="EF41" s="30" t="str">
        <f t="shared" si="18"/>
        <v/>
      </c>
      <c r="EG41" s="30" t="str">
        <f t="shared" si="27"/>
        <v/>
      </c>
      <c r="EH41" s="16">
        <f t="shared" si="28"/>
        <v>0</v>
      </c>
      <c r="EI41" s="30"/>
      <c r="EJ41" s="30">
        <f t="shared" si="19"/>
        <v>46350</v>
      </c>
      <c r="EM41" s="16" t="str">
        <f t="shared" si="29"/>
        <v>Fiche infoA246350</v>
      </c>
      <c r="EN41" s="16">
        <f t="shared" si="20"/>
        <v>0</v>
      </c>
      <c r="EQ41" s="16" t="str">
        <f>Novembre!FS43</f>
        <v/>
      </c>
    </row>
    <row r="42" spans="1:147" ht="18" customHeight="1" x14ac:dyDescent="0.2">
      <c r="A42" s="24" t="str">
        <f>+Novembre!BJ44</f>
        <v>Fiche infoA3</v>
      </c>
      <c r="B42" s="107">
        <f t="shared" si="30"/>
        <v>46351</v>
      </c>
      <c r="C42" s="170">
        <f>+$D$13+24</f>
        <v>46351</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Novembre!BC44</f>
        <v>0</v>
      </c>
      <c r="J42" s="34">
        <f>Novembre!BE44</f>
        <v>0</v>
      </c>
      <c r="K42" s="34">
        <f t="shared" si="15"/>
        <v>0</v>
      </c>
      <c r="L42" s="34" t="str">
        <f t="shared" si="21"/>
        <v/>
      </c>
      <c r="N42" s="377"/>
      <c r="P42" s="29" t="e">
        <f>+IF(ED1=S.CAL!EP1,+E50&amp;" hrs x "&amp;Q39&amp;" =",E10&amp;" hrs X "&amp;E50&amp;" hrs / "&amp;D50&amp;" hrs =")</f>
        <v>#DIV/0!</v>
      </c>
      <c r="Q42" s="673" t="e">
        <f>+IF(ED1=S.CAL!EP1,+ROUND(E50*Q39,2),ROUND(E10*E50/D50,3))</f>
        <v>#DIV/0!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infoA3</v>
      </c>
      <c r="BB42" s="107">
        <f t="shared" si="31"/>
        <v>46351</v>
      </c>
      <c r="BC42" s="170">
        <f>+$D$13+24</f>
        <v>46351</v>
      </c>
      <c r="BD42" s="171" t="str">
        <f t="shared" si="32"/>
        <v/>
      </c>
      <c r="BE42" s="171" t="str">
        <f>+IF(OR(BF42=S.CAL!$BJ$3,BF42=S.CAL!$BJ$4),BD42,"")</f>
        <v/>
      </c>
      <c r="BF42" s="333">
        <f>IF($DY$5=S.CAL!$CU$2,Novembre!AR44,IF($DY$5=S.CAL!$CU$3,VLOOKUP(BC42,planning_fp,7,FALSE),""))</f>
        <v>0</v>
      </c>
      <c r="BG42" s="345" t="str">
        <f>Novembre!BL44</f>
        <v>A</v>
      </c>
      <c r="BH42" s="356"/>
      <c r="BI42" s="358"/>
      <c r="BJ42" s="355"/>
      <c r="BK42" s="355"/>
      <c r="BL42" s="35"/>
      <c r="BV42" s="355"/>
      <c r="BW42" s="355"/>
      <c r="BX42" s="355"/>
      <c r="BY42" s="355"/>
      <c r="BZ42" s="355"/>
      <c r="CA42" s="355"/>
      <c r="CB42" s="355"/>
      <c r="CD42" s="328"/>
      <c r="CE42" s="107">
        <f t="shared" si="33"/>
        <v>46351</v>
      </c>
      <c r="CF42" s="170">
        <f>+$D$13+24</f>
        <v>46351</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IF(+Novembre!AG44="",0,Novembre!AG44)</f>
        <v>0</v>
      </c>
      <c r="DZ42" s="16">
        <f>+IF(Novembre!AJ44="",0,Novembre!AJ44)</f>
        <v>0</v>
      </c>
      <c r="EA42" s="16">
        <f>+IF(Novembre!AM44="",0,Novembre!AM44)</f>
        <v>0</v>
      </c>
      <c r="EB42" s="16">
        <f t="shared" si="25"/>
        <v>0</v>
      </c>
      <c r="ED42" s="16">
        <f t="shared" si="26"/>
        <v>0</v>
      </c>
      <c r="EE42" s="16">
        <f t="shared" si="17"/>
        <v>0</v>
      </c>
      <c r="EF42" s="30" t="str">
        <f t="shared" si="18"/>
        <v/>
      </c>
      <c r="EG42" s="30" t="str">
        <f t="shared" si="27"/>
        <v/>
      </c>
      <c r="EH42" s="16">
        <f t="shared" si="28"/>
        <v>0</v>
      </c>
      <c r="EI42" s="30"/>
      <c r="EJ42" s="30">
        <f t="shared" si="19"/>
        <v>46351</v>
      </c>
      <c r="EM42" s="16" t="str">
        <f t="shared" si="29"/>
        <v>Fiche infoA346351</v>
      </c>
      <c r="EN42" s="16">
        <f t="shared" si="20"/>
        <v>0</v>
      </c>
      <c r="EQ42" s="16" t="str">
        <f>Novembre!FS44</f>
        <v/>
      </c>
    </row>
    <row r="43" spans="1:147" ht="18" customHeight="1" x14ac:dyDescent="0.2">
      <c r="A43" s="24" t="str">
        <f>+Novembre!BJ45</f>
        <v>Fiche infoA4</v>
      </c>
      <c r="B43" s="107">
        <f t="shared" si="30"/>
        <v>46352</v>
      </c>
      <c r="C43" s="170">
        <f>+$D$13+25</f>
        <v>46352</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Novembre!BC45</f>
        <v>0</v>
      </c>
      <c r="J43" s="34">
        <f>Novembre!BE45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infoA4</v>
      </c>
      <c r="BB43" s="107">
        <f t="shared" si="31"/>
        <v>46352</v>
      </c>
      <c r="BC43" s="170">
        <f>+$D$13+25</f>
        <v>46352</v>
      </c>
      <c r="BD43" s="171" t="str">
        <f t="shared" si="32"/>
        <v/>
      </c>
      <c r="BE43" s="171" t="str">
        <f>+IF(OR(BF43=S.CAL!$BJ$3,BF43=S.CAL!$BJ$4),BD43,"")</f>
        <v/>
      </c>
      <c r="BF43" s="333">
        <f>IF($DY$5=S.CAL!$CU$2,Novembre!AR45,IF($DY$5=S.CAL!$CU$3,VLOOKUP(BC43,planning_fp,7,FALSE),""))</f>
        <v>0</v>
      </c>
      <c r="BG43" s="345" t="str">
        <f>Novembre!BL45</f>
        <v>A</v>
      </c>
      <c r="BH43" s="24"/>
      <c r="BI43" s="24" t="s">
        <v>696</v>
      </c>
      <c r="BJ43" s="24"/>
      <c r="BK43" s="355"/>
      <c r="BL43" s="35"/>
      <c r="BV43" s="355"/>
      <c r="BW43" s="355"/>
      <c r="BX43" s="355"/>
      <c r="BY43" s="355"/>
      <c r="BZ43" s="355"/>
      <c r="CA43" s="355"/>
      <c r="CB43" s="355"/>
      <c r="CD43" s="328"/>
      <c r="CE43" s="107">
        <f t="shared" si="33"/>
        <v>46352</v>
      </c>
      <c r="CF43" s="170">
        <f>+$D$13+25</f>
        <v>46352</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IF(+Novembre!AG45="",0,Novembre!AG45)</f>
        <v>0</v>
      </c>
      <c r="DZ43" s="16">
        <f>+IF(Novembre!AJ45="",0,Novembre!AJ45)</f>
        <v>0</v>
      </c>
      <c r="EA43" s="16">
        <f>+IF(Novembre!AM45="",0,Novembre!AM45)</f>
        <v>0</v>
      </c>
      <c r="EB43" s="16">
        <f t="shared" si="25"/>
        <v>0</v>
      </c>
      <c r="ED43" s="16">
        <f t="shared" si="26"/>
        <v>0</v>
      </c>
      <c r="EE43" s="16">
        <f t="shared" si="17"/>
        <v>0</v>
      </c>
      <c r="EF43" s="30" t="str">
        <f t="shared" si="18"/>
        <v/>
      </c>
      <c r="EG43" s="30" t="str">
        <f t="shared" si="27"/>
        <v/>
      </c>
      <c r="EH43" s="16">
        <f t="shared" si="28"/>
        <v>0</v>
      </c>
      <c r="EI43" s="30"/>
      <c r="EJ43" s="30">
        <f t="shared" si="19"/>
        <v>46352</v>
      </c>
      <c r="EM43" s="16" t="str">
        <f t="shared" si="29"/>
        <v>Fiche infoA446352</v>
      </c>
      <c r="EN43" s="16">
        <f t="shared" si="20"/>
        <v>0</v>
      </c>
      <c r="EQ43" s="16" t="str">
        <f>Novembre!FS45</f>
        <v/>
      </c>
    </row>
    <row r="44" spans="1:147" ht="18" customHeight="1" x14ac:dyDescent="0.25">
      <c r="A44" s="24" t="str">
        <f>+Novembre!BJ46</f>
        <v>Fiche infoA5</v>
      </c>
      <c r="B44" s="107">
        <f t="shared" si="30"/>
        <v>46353</v>
      </c>
      <c r="C44" s="170">
        <f>+$D$13+26</f>
        <v>46353</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Novembre!BC46</f>
        <v>0</v>
      </c>
      <c r="J44" s="34">
        <f>Novembre!BE46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infoA5</v>
      </c>
      <c r="BB44" s="107">
        <f t="shared" si="31"/>
        <v>46353</v>
      </c>
      <c r="BC44" s="170">
        <f>+$D$13+26</f>
        <v>46353</v>
      </c>
      <c r="BD44" s="171" t="str">
        <f t="shared" si="32"/>
        <v/>
      </c>
      <c r="BE44" s="171" t="str">
        <f>+IF(OR(BF44=S.CAL!$BJ$3,BF44=S.CAL!$BJ$4),BD44,"")</f>
        <v/>
      </c>
      <c r="BF44" s="333">
        <f>IF($DY$5=S.CAL!$CU$2,Novembre!AR46,IF($DY$5=S.CAL!$CU$3,VLOOKUP(BC44,planning_fp,7,FALSE),""))</f>
        <v>0</v>
      </c>
      <c r="BG44" s="345" t="str">
        <f>Novembre!BL46</f>
        <v>A</v>
      </c>
      <c r="BH44" s="24" t="s">
        <v>788</v>
      </c>
      <c r="BI44" s="24"/>
      <c r="BJ44" s="24"/>
      <c r="BK44" s="355"/>
      <c r="BL44" s="35"/>
      <c r="BV44" s="355"/>
      <c r="BW44" s="355"/>
      <c r="BX44" s="355"/>
      <c r="BY44" s="355"/>
      <c r="BZ44" s="355"/>
      <c r="CA44" s="355"/>
      <c r="CB44" s="355"/>
      <c r="CD44" s="328"/>
      <c r="CE44" s="107">
        <f t="shared" si="33"/>
        <v>46353</v>
      </c>
      <c r="CF44" s="170">
        <f>+$D$13+26</f>
        <v>46353</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IF(+Novembre!AG46="",0,Novembre!AG46)</f>
        <v>0</v>
      </c>
      <c r="DZ44" s="16">
        <f>+IF(Novembre!AJ46="",0,Novembre!AJ46)</f>
        <v>0</v>
      </c>
      <c r="EA44" s="16">
        <f>+IF(Novembre!AM46="",0,Novembre!AM46)</f>
        <v>0</v>
      </c>
      <c r="EB44" s="16">
        <f t="shared" si="25"/>
        <v>0</v>
      </c>
      <c r="ED44" s="16">
        <f t="shared" si="26"/>
        <v>0</v>
      </c>
      <c r="EE44" s="16">
        <f t="shared" si="17"/>
        <v>0</v>
      </c>
      <c r="EF44" s="30" t="str">
        <f t="shared" si="18"/>
        <v/>
      </c>
      <c r="EG44" s="30" t="str">
        <f t="shared" si="27"/>
        <v/>
      </c>
      <c r="EH44" s="16">
        <f t="shared" si="28"/>
        <v>0</v>
      </c>
      <c r="EI44" s="30"/>
      <c r="EJ44" s="30">
        <f t="shared" si="19"/>
        <v>46353</v>
      </c>
      <c r="EM44" s="16" t="str">
        <f t="shared" si="29"/>
        <v>Fiche infoA546353</v>
      </c>
      <c r="EN44" s="16">
        <f t="shared" si="20"/>
        <v>0</v>
      </c>
      <c r="EQ44" s="16" t="str">
        <f>Novembre!FS46</f>
        <v/>
      </c>
    </row>
    <row r="45" spans="1:147" ht="18" customHeight="1" x14ac:dyDescent="0.2">
      <c r="A45" s="24" t="str">
        <f>+Novembre!BJ47</f>
        <v>Fiche infoA6</v>
      </c>
      <c r="B45" s="107">
        <f t="shared" si="30"/>
        <v>46354</v>
      </c>
      <c r="C45" s="170">
        <f>IF(C$18+27&lt;DATE(YEAR(O$13),MONTH(O$13),DAY(O$13)),C$18+27,"")</f>
        <v>46354</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Novembre!BC47</f>
        <v>0</v>
      </c>
      <c r="J45" s="34">
        <f>Novembre!BE47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infoA6</v>
      </c>
      <c r="BB45" s="107">
        <f t="shared" si="31"/>
        <v>46354</v>
      </c>
      <c r="BC45" s="170">
        <f>IF(BC$18+27&lt;DATE(YEAR(BH$13),MONTH(BH$13),DAY(BH$13)),BC$18+27,"")</f>
        <v>46354</v>
      </c>
      <c r="BD45" s="171" t="str">
        <f t="shared" si="32"/>
        <v/>
      </c>
      <c r="BE45" s="171" t="str">
        <f>+IF(OR(BF45=S.CAL!$BJ$3,BF45=S.CAL!$BJ$4),BD45,"")</f>
        <v/>
      </c>
      <c r="BF45" s="333">
        <f>IF($DY$5=S.CAL!$CU$2,Novembre!AR47,IF($DY$5=S.CAL!$CU$3,VLOOKUP(BC45,planning_fp,7,FALSE),""))</f>
        <v>0</v>
      </c>
      <c r="BG45" s="345" t="str">
        <f>Novembre!BL47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46354</v>
      </c>
      <c r="CF45" s="170">
        <f>IF(CF$18+27&lt;DATE(YEAR(CQ$13),MONTH(CQ$13),DAY(CQ$13)),CF$18+27,"")</f>
        <v>46354</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IF(+Novembre!AG47="",0,Novembre!AG47)</f>
        <v>0</v>
      </c>
      <c r="DZ45" s="16">
        <f>+IF(Novembre!AJ47="",0,Novembre!AJ47)</f>
        <v>0</v>
      </c>
      <c r="EA45" s="16">
        <f>+IF(Novembre!AM47="",0,Novembre!AM47)</f>
        <v>0</v>
      </c>
      <c r="EB45" s="16">
        <f t="shared" si="25"/>
        <v>0</v>
      </c>
      <c r="ED45" s="16">
        <f t="shared" si="26"/>
        <v>0</v>
      </c>
      <c r="EE45" s="16">
        <f t="shared" si="17"/>
        <v>0</v>
      </c>
      <c r="EF45" s="30" t="str">
        <f t="shared" si="18"/>
        <v/>
      </c>
      <c r="EG45" s="30" t="str">
        <f t="shared" si="27"/>
        <v/>
      </c>
      <c r="EH45" s="16">
        <f t="shared" si="28"/>
        <v>0</v>
      </c>
      <c r="EI45" s="30"/>
      <c r="EJ45" s="30">
        <f t="shared" si="19"/>
        <v>46354</v>
      </c>
      <c r="EM45" s="16" t="str">
        <f t="shared" si="29"/>
        <v>Fiche infoA646354</v>
      </c>
      <c r="EN45" s="16">
        <f t="shared" si="20"/>
        <v>0</v>
      </c>
      <c r="EQ45" s="16" t="str">
        <f>Novembre!FS47</f>
        <v/>
      </c>
    </row>
    <row r="46" spans="1:147" ht="18" customHeight="1" x14ac:dyDescent="0.2">
      <c r="A46" s="24" t="str">
        <f>+Novembre!BJ48</f>
        <v>Fiche infoA7</v>
      </c>
      <c r="B46" s="107">
        <f t="shared" si="30"/>
        <v>46355</v>
      </c>
      <c r="C46" s="170">
        <f>IF(C$18+28&lt;DATE(YEAR(O$13),MONTH(O$13),DAY(O$13)),C$18+28,"")</f>
        <v>46355</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Novembre!BC48</f>
        <v>0</v>
      </c>
      <c r="J46" s="34">
        <f>Novembre!BE48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infoA7</v>
      </c>
      <c r="BB46" s="107">
        <f t="shared" si="31"/>
        <v>46355</v>
      </c>
      <c r="BC46" s="170">
        <f>IF(BC$18+28&lt;DATE(YEAR(BH$13),MONTH(BH$13),DAY(BH$13)),BC$18+28,"")</f>
        <v>46355</v>
      </c>
      <c r="BD46" s="171" t="str">
        <f t="shared" si="32"/>
        <v/>
      </c>
      <c r="BE46" s="171" t="str">
        <f>+IF(OR(BF46=S.CAL!$BJ$3,BF46=S.CAL!$BJ$4),BD46,"")</f>
        <v/>
      </c>
      <c r="BF46" s="333">
        <f>IF($DY$5=S.CAL!$CU$2,Novembre!AR48,IF($DY$5=S.CAL!$CU$3,VLOOKUP(BC46,planning_fp,7,FALSE),""))</f>
        <v>0</v>
      </c>
      <c r="BG46" s="345" t="str">
        <f>Novembre!BL48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46355</v>
      </c>
      <c r="CF46" s="170">
        <f>IF(CF$18+28&lt;DATE(YEAR(CQ$13),MONTH(CQ$13),DAY(CQ$13)),CF$18+28,"")</f>
        <v>46355</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IF(+Novembre!AG48="",0,Novembre!AG48)</f>
        <v>0</v>
      </c>
      <c r="DZ46" s="16">
        <f>+IF(Novembre!AJ48="",0,Novembre!AJ48)</f>
        <v>0</v>
      </c>
      <c r="EA46" s="16">
        <f>+IF(Novembre!AM48="",0,Novembre!AM48)</f>
        <v>0</v>
      </c>
      <c r="EB46" s="16">
        <f t="shared" si="25"/>
        <v>0</v>
      </c>
      <c r="ED46" s="16">
        <f t="shared" si="26"/>
        <v>0</v>
      </c>
      <c r="EE46" s="16">
        <f t="shared" si="17"/>
        <v>0</v>
      </c>
      <c r="EF46" s="30" t="str">
        <f t="shared" si="18"/>
        <v/>
      </c>
      <c r="EG46" s="30" t="str">
        <f t="shared" si="27"/>
        <v/>
      </c>
      <c r="EH46" s="16">
        <f t="shared" si="28"/>
        <v>0</v>
      </c>
      <c r="EI46" s="30"/>
      <c r="EJ46" s="30">
        <f t="shared" si="19"/>
        <v>46355</v>
      </c>
      <c r="EM46" s="16" t="str">
        <f t="shared" si="29"/>
        <v>Fiche infoA746355</v>
      </c>
      <c r="EN46" s="16">
        <f t="shared" si="20"/>
        <v>0</v>
      </c>
      <c r="EQ46" s="16" t="str">
        <f>Novembre!FS48</f>
        <v/>
      </c>
    </row>
    <row r="47" spans="1:147" ht="18" customHeight="1" x14ac:dyDescent="0.2">
      <c r="A47" s="24" t="str">
        <f>+Novembre!BJ49</f>
        <v>Fiche infoA1</v>
      </c>
      <c r="B47" s="107">
        <f t="shared" si="30"/>
        <v>46356</v>
      </c>
      <c r="C47" s="170">
        <f>IF(C$18+29&lt;DATE(YEAR(O$13),MONTH(O$13),DAY(O$13)),C$18+29,"")</f>
        <v>46356</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Novembre!BC49</f>
        <v>0</v>
      </c>
      <c r="J47" s="34">
        <f>Novembre!BE49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1325"/>
      <c r="AO47" s="1202">
        <f>SUM(AO39:AO46)</f>
        <v>0</v>
      </c>
      <c r="AP47" s="1202">
        <f t="shared" ref="AP47:AQ47" si="51">SUM(AP39:AP46)</f>
        <v>0</v>
      </c>
      <c r="AQ47" s="1202">
        <f t="shared" si="51"/>
        <v>0</v>
      </c>
      <c r="BA47" s="331" t="str">
        <f t="shared" si="16"/>
        <v>Fiche infoA1</v>
      </c>
      <c r="BB47" s="107">
        <f t="shared" si="31"/>
        <v>46356</v>
      </c>
      <c r="BC47" s="170">
        <f>IF(BC$18+29&lt;DATE(YEAR(BH$13),MONTH(BH$13),DAY(BH$13)),BC$18+29,"")</f>
        <v>46356</v>
      </c>
      <c r="BD47" s="171" t="str">
        <f t="shared" si="32"/>
        <v/>
      </c>
      <c r="BE47" s="171" t="str">
        <f>+IF(OR(BF47=S.CAL!$BJ$3,BF47=S.CAL!$BJ$4),BD47,"")</f>
        <v/>
      </c>
      <c r="BF47" s="333">
        <f>IF($DY$5=S.CAL!$CU$2,Novembre!AR49,IF($DY$5=S.CAL!$CU$3,VLOOKUP(BC47,planning_fp,7,FALSE),""))</f>
        <v>0</v>
      </c>
      <c r="BG47" s="345" t="str">
        <f>Novembre!BL49</f>
        <v>A</v>
      </c>
      <c r="BH47" s="355"/>
      <c r="BI47" s="355"/>
      <c r="BJ47" s="355"/>
      <c r="BK47" s="355"/>
      <c r="BL47" s="35"/>
      <c r="BV47" s="355"/>
      <c r="BW47" s="355"/>
      <c r="BX47" s="355"/>
      <c r="BY47" s="355"/>
      <c r="BZ47" s="355"/>
      <c r="CA47" s="355"/>
      <c r="CB47" s="355"/>
      <c r="CD47" s="328"/>
      <c r="CE47" s="107">
        <f t="shared" si="33"/>
        <v>46356</v>
      </c>
      <c r="CF47" s="170">
        <f>IF(CF$18+29&lt;DATE(YEAR(CQ$13),MONTH(CQ$13),DAY(CQ$13)),CF$18+29,"")</f>
        <v>46356</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IF(+Novembre!AG49="",0,Novembre!AG49)</f>
        <v>0</v>
      </c>
      <c r="DZ47" s="16">
        <f>+IF(Novembre!AJ49="",0,Novembre!AJ49)</f>
        <v>0</v>
      </c>
      <c r="EA47" s="16">
        <f>+IF(Novembre!AM49="",0,Novembre!AM49)</f>
        <v>0</v>
      </c>
      <c r="EB47" s="16">
        <f t="shared" si="25"/>
        <v>0</v>
      </c>
      <c r="ED47" s="16">
        <f t="shared" si="26"/>
        <v>0</v>
      </c>
      <c r="EE47" s="16">
        <f t="shared" si="17"/>
        <v>0</v>
      </c>
      <c r="EF47" s="30" t="str">
        <f t="shared" si="18"/>
        <v/>
      </c>
      <c r="EG47" s="30" t="str">
        <f t="shared" si="27"/>
        <v/>
      </c>
      <c r="EH47" s="16">
        <f t="shared" si="28"/>
        <v>0</v>
      </c>
      <c r="EI47" s="30"/>
      <c r="EJ47" s="30">
        <f t="shared" si="19"/>
        <v>46356</v>
      </c>
      <c r="EM47" s="16" t="str">
        <f t="shared" si="29"/>
        <v>Fiche infoA146356</v>
      </c>
      <c r="EN47" s="16">
        <f t="shared" si="20"/>
        <v>0</v>
      </c>
      <c r="EQ47" s="16" t="str">
        <f>Novembre!FS49</f>
        <v/>
      </c>
    </row>
    <row r="48" spans="1:147" ht="18" customHeight="1" thickBot="1" x14ac:dyDescent="0.25">
      <c r="A48" s="24" t="str">
        <f>+Novembre!BJ50</f>
        <v>Fiche infoA0</v>
      </c>
      <c r="B48" s="110" t="str">
        <f t="shared" si="30"/>
        <v/>
      </c>
      <c r="C48" s="190" t="str">
        <f>IF(C$18+30&lt;DATE(YEAR(O$13),MONTH(O$13),DAY(O$13)),C$18+30,"")</f>
        <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f t="shared" si="14"/>
        <v>0</v>
      </c>
      <c r="I48" s="34">
        <f>Novembre!BC50</f>
        <v>0</v>
      </c>
      <c r="J48" s="34">
        <f>Novembre!BE50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44</v>
      </c>
      <c r="X48" s="2538"/>
      <c r="Y48" s="2538"/>
      <c r="Z48" s="1323" t="str">
        <f>+IF(Z34="","",Z34)</f>
        <v/>
      </c>
      <c r="AA48" s="1316">
        <f>+IF(Z48="",IF(AND(AD48&gt;0,AC48&gt;0),AD48+AC48,IF(AE48&gt;0,0,AC48)),Z48)</f>
        <v>0</v>
      </c>
      <c r="AB48" s="1316">
        <f>IF(AA48&gt;45,AA48-45,0)</f>
        <v>0</v>
      </c>
      <c r="AC48" s="1322">
        <f>+SUMIF(Novembre!$BK$20:$BK$50,Novembre!AT4,$D$18:$D$48)-SUMIF(Novembre!$BK$20:$BK$50,Novembre!AT4,$E$18:$E$48)</f>
        <v>0</v>
      </c>
      <c r="AD48" s="1322">
        <f>+SUMIF(Octobre!$BK$20:$BK$50,Novembre!AT4,'Retenue Oct'!$D$18:$D$48)-SUMIF(Octobre!$BK$20:$BK$50,Novembre!AT4,'Retenue Oct'!$E$18:$E$48)</f>
        <v>0</v>
      </c>
      <c r="AE48" s="1322">
        <f>+SUMIF(Décembre!$BK$20:$BK$50,Novembre!AT4,'Retenue Déc'!$D$18:$D$48)-SUMIF(Décembre!$BK$20:$BK$50,Novembre!AT4,'Retenue Déc'!$E$18:$E$48)</f>
        <v>0</v>
      </c>
      <c r="AF48" s="1316">
        <f>+AC48-AB48</f>
        <v>0</v>
      </c>
      <c r="AK48" s="1189"/>
      <c r="AL48" s="1202"/>
      <c r="AO48" s="1202">
        <f>+AN39*AL26</f>
        <v>0</v>
      </c>
      <c r="AP48" s="1202">
        <f>+AO48*(1-AX21)</f>
        <v>0</v>
      </c>
      <c r="AQ48" s="1202">
        <f>+AO48-AP48</f>
        <v>0</v>
      </c>
      <c r="BA48" s="331" t="str">
        <f t="shared" si="16"/>
        <v>Fiche infoA0</v>
      </c>
      <c r="BB48" s="110" t="str">
        <f t="shared" si="31"/>
        <v/>
      </c>
      <c r="BC48" s="190" t="str">
        <f>IF(BC$18+30&lt;DATE(YEAR(BH$13),MONTH(BH$13),DAY(BH$13)),BC$18+30,"")</f>
        <v/>
      </c>
      <c r="BD48" s="191" t="str">
        <f t="shared" si="32"/>
        <v/>
      </c>
      <c r="BE48" s="191" t="str">
        <f>+IF(OR(BF48=S.CAL!$BJ$3,BF48=S.CAL!$BJ$4),BD48,"")</f>
        <v/>
      </c>
      <c r="BF48" s="334">
        <f>IF($DY$5=S.CAL!$CU$2,Novembre!AR50,IF($DY$5=S.CAL!$CU$3,VLOOKUP(BC48,planning_fp,7,FALSE),""))</f>
        <v>0</v>
      </c>
      <c r="BG48" s="346" t="str">
        <f>Novembre!BL50</f>
        <v>A</v>
      </c>
      <c r="BH48" s="356"/>
      <c r="BI48" s="355"/>
      <c r="BJ48" s="355"/>
      <c r="BK48" s="355"/>
      <c r="BL48" s="35"/>
      <c r="BQ48" s="16" t="s">
        <v>834</v>
      </c>
      <c r="BV48" s="355"/>
      <c r="BW48" s="355"/>
      <c r="BX48" s="355" t="s">
        <v>834</v>
      </c>
      <c r="BZ48" s="355"/>
      <c r="CA48" s="355"/>
      <c r="CB48" s="355"/>
      <c r="CD48" s="328"/>
      <c r="CE48" s="110" t="str">
        <f t="shared" si="33"/>
        <v/>
      </c>
      <c r="CF48" s="190" t="str">
        <f>IF(CF$18+30&lt;DATE(YEAR(CQ$13),MONTH(CQ$13),DAY(CQ$13)),CF$18+30,"")</f>
        <v/>
      </c>
      <c r="CG48" s="191">
        <f t="shared" si="22"/>
        <v>0</v>
      </c>
      <c r="CH48" s="34"/>
      <c r="CI48" s="2534" t="str">
        <f t="shared" ref="CI48:CI53" si="56">W48</f>
        <v>Semaine numéro : 44</v>
      </c>
      <c r="CJ48" s="2535"/>
      <c r="CK48" s="2571"/>
      <c r="CL48" s="875" t="str">
        <f>+IF(CL34="","",CL34)</f>
        <v/>
      </c>
      <c r="CM48" s="656">
        <f>+IF(CL48="",IF(AND(CP48&gt;0,CO48&gt;0),CP48+CO48,IF(CQ48&gt;0,0,CO48)),CL48)</f>
        <v>0</v>
      </c>
      <c r="CN48" s="655">
        <f>IF(CM48&gt;45,CM48-45,0)</f>
        <v>0</v>
      </c>
      <c r="CO48" s="196">
        <f>+SUMIF(Novembre!$BK$20:$BK$50,Novembre!AT4,$CG$18:$CG$48)</f>
        <v>0</v>
      </c>
      <c r="CP48" s="196">
        <f>+SUMIF(Octobre!$BK$20:$BK$50,Novembre!AT4,'Retenue Oct'!$CG$18:$CG$48)</f>
        <v>0</v>
      </c>
      <c r="CQ48" s="196">
        <f>+SUMIF(Décembre!$BK$20:$BK$50,Novembre!AT4,'Retenue Déc'!$CG$18:$CG$48)</f>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IF(+Novembre!AG50="",0,Novembre!AG50)</f>
        <v>0</v>
      </c>
      <c r="DZ48" s="16">
        <f>+IF(Novembre!AJ50="",0,Novembre!AJ50)</f>
        <v>0</v>
      </c>
      <c r="EA48" s="16">
        <f>+IF(Novembre!AM50="",0,Novembre!AM50)</f>
        <v>0</v>
      </c>
      <c r="EB48" s="16">
        <f t="shared" si="25"/>
        <v>0</v>
      </c>
      <c r="ED48" s="16">
        <f t="shared" si="26"/>
        <v>0</v>
      </c>
      <c r="EE48" s="16">
        <f t="shared" si="17"/>
        <v>0</v>
      </c>
      <c r="EF48" s="30" t="str">
        <f t="shared" si="18"/>
        <v/>
      </c>
      <c r="EG48" s="30" t="str">
        <f t="shared" si="27"/>
        <v/>
      </c>
      <c r="EH48" s="16">
        <f t="shared" si="28"/>
        <v>0</v>
      </c>
      <c r="EI48" s="30"/>
      <c r="EJ48" s="30" t="str">
        <f t="shared" si="19"/>
        <v/>
      </c>
      <c r="EM48" s="16" t="str">
        <f t="shared" si="29"/>
        <v>Fiche infoA0</v>
      </c>
      <c r="EN48" s="16">
        <f t="shared" si="20"/>
        <v>0</v>
      </c>
      <c r="EQ48" s="16" t="str">
        <f>Novembre!FS50</f>
        <v/>
      </c>
    </row>
    <row r="49" spans="2:139" ht="18" customHeight="1" thickBot="1" x14ac:dyDescent="0.25">
      <c r="N49" s="24"/>
      <c r="O49" s="24"/>
      <c r="P49" s="24"/>
      <c r="Q49" s="24"/>
      <c r="R49" s="24"/>
      <c r="S49" s="1325"/>
      <c r="U49" s="1301"/>
      <c r="V49" s="1301"/>
      <c r="W49" s="2538" t="str">
        <f t="shared" si="55"/>
        <v>Semaine numéro : 45</v>
      </c>
      <c r="X49" s="2538"/>
      <c r="Y49" s="2538"/>
      <c r="Z49" s="1323" t="str">
        <f t="shared" ref="Z49:Z53" si="57">+IF(Z35="","",Z35)</f>
        <v/>
      </c>
      <c r="AA49" s="1316">
        <f t="shared" ref="AA49:AA53" si="58">+IF(Z49="",IF(AND(AD49&gt;0,AC49&gt;0),AD49+AC49,IF(AE49&gt;0,0,AC49)),Z49)</f>
        <v>0</v>
      </c>
      <c r="AB49" s="1316">
        <f t="shared" ref="AB49:AB53" si="59">IF(AA49&gt;45,AA49-45,0)</f>
        <v>0</v>
      </c>
      <c r="AC49" s="1322">
        <f>+SUMIF(Novembre!$BK$20:$BK$50,Novembre!AT5,$D$18:$D$48)-SUMIF(Novembre!$BK$20:$BK$50,Novembre!AT5,$E$18:$E$48)</f>
        <v>0</v>
      </c>
      <c r="AD49" s="1322">
        <f>+SUMIF(Octobre!$BK$20:$BK$50,Novembre!AT5,'Retenue Oct'!$D$18:$D$48)-SUMIF(Octobre!$BK$20:$BK$50,Novembre!AT5,'Retenue Oct'!$E$18:$E$48)</f>
        <v>0</v>
      </c>
      <c r="AE49" s="1322">
        <f>+SUMIF(Décembre!$BK$20:$BK$50,Novembre!AT5,'Retenue Déc'!$D$18:$D$48)-SUMIF(Décembre!$BK$20:$BK$50,Novembre!AT5,'Retenue Déc'!$E$18:$E$48)</f>
        <v>0</v>
      </c>
      <c r="AF49" s="1316">
        <f t="shared" ref="AF49:AF53" si="60">+AC49-AB49</f>
        <v>0</v>
      </c>
      <c r="AG49" s="1325"/>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45</v>
      </c>
      <c r="CJ49" s="2535"/>
      <c r="CK49" s="2571"/>
      <c r="CL49" s="875" t="str">
        <f t="shared" ref="CL49:CL53" si="61">+IF(CL35="","",CL35)</f>
        <v/>
      </c>
      <c r="CM49" s="656">
        <f t="shared" ref="CM49:CM53" si="62">+IF(CL49="",IF(AND(CP49&gt;0,CO49&gt;0),CP49+CO49,IF(CQ49&gt;0,0,CO49)),CL49)</f>
        <v>0</v>
      </c>
      <c r="CN49" s="655">
        <f t="shared" ref="CN49:CN53" si="63">IF(CM49&gt;45,CM49-45,0)</f>
        <v>0</v>
      </c>
      <c r="CO49" s="196">
        <f>+SUMIF(Novembre!$BK$20:$BK$50,Novembre!AT5,$CG$18:$CG$48)</f>
        <v>0</v>
      </c>
      <c r="CP49" s="196">
        <f>+SUMIF(Octobre!$BK$20:$BK$50,Novembre!AT5,'Retenue Oct'!$CG$18:$CG$48)</f>
        <v>0</v>
      </c>
      <c r="CQ49" s="196">
        <f>+SUMIF(Décembre!$BK$20:$BK$50,Novembre!AT5,'Retenue Déc'!$CG$18:$CG$48)</f>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46</v>
      </c>
      <c r="X50" s="2538"/>
      <c r="Y50" s="2538"/>
      <c r="Z50" s="1323" t="str">
        <f t="shared" si="57"/>
        <v/>
      </c>
      <c r="AA50" s="1316">
        <f t="shared" si="58"/>
        <v>0</v>
      </c>
      <c r="AB50" s="1316">
        <f t="shared" si="59"/>
        <v>0</v>
      </c>
      <c r="AC50" s="1322">
        <f>+SUMIF(Novembre!$BK$20:$BK$50,Novembre!AT6,$D$18:$D$48)-SUMIF(Novembre!$BK$20:$BK$50,Novembre!AT6,$E$18:$E$48)</f>
        <v>0</v>
      </c>
      <c r="AD50" s="1322">
        <f>+SUMIF(Octobre!$BK$20:$BK$50,Novembre!AT6,'Retenue Oct'!$D$18:$D$48)-SUMIF(Octobre!$BK$20:$BK$50,Novembre!AT6,'Retenue Oct'!$E$18:$E$48)</f>
        <v>0</v>
      </c>
      <c r="AE50" s="1322">
        <f>+SUMIF(Décembre!$BK$20:$BK$50,Novembre!AT6,'Retenue Déc'!$D$18:$D$48)-SUMIF(Décembre!$BK$20:$BK$50,Novembre!AT6,'Retenue Déc'!$E$18:$E$48)</f>
        <v>0</v>
      </c>
      <c r="AF50" s="1316">
        <f t="shared" si="60"/>
        <v>0</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46</v>
      </c>
      <c r="CJ50" s="2535"/>
      <c r="CK50" s="2571"/>
      <c r="CL50" s="875" t="str">
        <f t="shared" si="61"/>
        <v/>
      </c>
      <c r="CM50" s="656">
        <f t="shared" si="62"/>
        <v>0</v>
      </c>
      <c r="CN50" s="655">
        <f t="shared" si="63"/>
        <v>0</v>
      </c>
      <c r="CO50" s="196">
        <f>+SUMIF(Novembre!$BK$20:$BK$50,Novembre!AT6,$CG$18:$CG$48)</f>
        <v>0</v>
      </c>
      <c r="CP50" s="196">
        <f>+SUMIF(Octobre!$BK$20:$BK$50,Novembre!AT6,'Retenue Oct'!$CG$18:$CG$48)</f>
        <v>0</v>
      </c>
      <c r="CQ50" s="196">
        <f>+SUMIF(Décembre!$BK$20:$BK$50,Novembre!AT6,'Retenue Déc'!$CG$18:$CG$48)</f>
        <v>0</v>
      </c>
      <c r="CR50" s="656">
        <f t="shared" si="64"/>
        <v>0</v>
      </c>
    </row>
    <row r="51" spans="2:139" ht="19.5" customHeight="1" thickBot="1" x14ac:dyDescent="0.25">
      <c r="B51" s="24"/>
      <c r="C51" s="24"/>
      <c r="D51" s="181" t="s">
        <v>1205</v>
      </c>
      <c r="E51" s="24">
        <f>+COUNTIF(C18:C48,"&gt;0")-E52</f>
        <v>30</v>
      </c>
      <c r="N51" s="24"/>
      <c r="O51" s="24"/>
      <c r="P51" s="24"/>
      <c r="Q51" s="24"/>
      <c r="R51" s="24"/>
      <c r="S51" s="1327"/>
      <c r="U51" s="1301"/>
      <c r="V51" s="1301"/>
      <c r="W51" s="2538" t="str">
        <f t="shared" si="55"/>
        <v>Semaine numéro : 47</v>
      </c>
      <c r="X51" s="2538"/>
      <c r="Y51" s="2538"/>
      <c r="Z51" s="1323" t="str">
        <f t="shared" si="57"/>
        <v/>
      </c>
      <c r="AA51" s="1316">
        <f t="shared" si="58"/>
        <v>0</v>
      </c>
      <c r="AB51" s="1316">
        <f t="shared" si="59"/>
        <v>0</v>
      </c>
      <c r="AC51" s="1322">
        <f>+SUMIF(Novembre!$BK$20:$BK$50,Novembre!AT7,$D$18:$D$48)-SUMIF(Novembre!$BK$20:$BK$50,Novembre!AT7,$E$18:$E$48)</f>
        <v>0</v>
      </c>
      <c r="AD51" s="1322">
        <f>+SUMIF(Octobre!$BK$20:$BK$50,Novembre!AT7,'Retenue Oct'!$D$18:$D$48)-SUMIF(Octobre!$BK$20:$BK$50,Novembre!AT7,'Retenue Oct'!$E$18:$E$48)</f>
        <v>0</v>
      </c>
      <c r="AE51" s="1322">
        <f>+SUMIF(Décembre!$BK$20:$BK$50,Novembre!AT7,'Retenue Déc'!$D$18:$D$48)-SUMIF(Décembre!$BK$20:$BK$50,Novembre!AT7,'Retenue Déc'!$E$18:$E$48)</f>
        <v>0</v>
      </c>
      <c r="AF51" s="1316">
        <f t="shared" si="60"/>
        <v>0</v>
      </c>
      <c r="AG51" s="1327"/>
      <c r="AJ51" s="1304"/>
      <c r="AK51" s="1305"/>
      <c r="AL51" s="1307"/>
      <c r="BA51" s="328"/>
      <c r="BD51" s="351" t="s">
        <v>746</v>
      </c>
      <c r="BE51" s="192">
        <f>+SUMIFS(BE18:BE48,BF18:BF48,S.CAL!BJ3)</f>
        <v>0</v>
      </c>
      <c r="BF51" s="352">
        <f>IF(Novembre!AZ90="",+COUNTIF(BF18:BF48,S.CAL!BJ3),Novembre!AZ90)</f>
        <v>0</v>
      </c>
      <c r="BL51" s="35"/>
      <c r="CD51" s="328"/>
      <c r="CI51" s="2534" t="str">
        <f t="shared" si="56"/>
        <v>Semaine numéro : 47</v>
      </c>
      <c r="CJ51" s="2535"/>
      <c r="CK51" s="2571"/>
      <c r="CL51" s="875" t="str">
        <f t="shared" si="61"/>
        <v/>
      </c>
      <c r="CM51" s="656">
        <f t="shared" si="62"/>
        <v>0</v>
      </c>
      <c r="CN51" s="655">
        <f t="shared" si="63"/>
        <v>0</v>
      </c>
      <c r="CO51" s="196">
        <f>+SUMIF(Novembre!$BK$20:$BK$50,Novembre!AT7,$CG$18:$CG$48)</f>
        <v>0</v>
      </c>
      <c r="CP51" s="196">
        <f>+SUMIF(Octobre!$BK$20:$BK$50,Novembre!AT7,'Retenue Oct'!$CG$18:$CG$48)</f>
        <v>0</v>
      </c>
      <c r="CQ51" s="196">
        <f>+SUMIF(Décembre!$BK$20:$BK$50,Novembre!AT7,'Retenue Déc'!$CG$18:$CG$48)</f>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48</v>
      </c>
      <c r="X52" s="2538"/>
      <c r="Y52" s="2538"/>
      <c r="Z52" s="1323" t="str">
        <f t="shared" si="57"/>
        <v/>
      </c>
      <c r="AA52" s="1316">
        <f t="shared" si="58"/>
        <v>0</v>
      </c>
      <c r="AB52" s="1316">
        <f t="shared" si="59"/>
        <v>0</v>
      </c>
      <c r="AC52" s="1322">
        <f>+SUMIF(Novembre!$BK$20:$BK$50,Novembre!AT8,$D$18:$D$48)-SUMIF(Novembre!$BK$20:$BK$50,Novembre!AT8,$E$18:$E$48)</f>
        <v>0</v>
      </c>
      <c r="AD52" s="1322">
        <f>+SUMIF(Octobre!$BK$20:$BK$50,Novembre!AT8,'Retenue Oct'!$D$18:$D$48)-SUMIF(Octobre!$BK$20:$BK$50,Novembre!AT8,'Retenue Oct'!$E$18:$E$48)</f>
        <v>0</v>
      </c>
      <c r="AE52" s="1322">
        <f>+SUMIF(Décembre!$BK$20:$BK$50,Novembre!AT8,'Retenue Déc'!$D$18:$D$48)-SUMIF(Décembre!$BK$20:$BK$50,Novembre!AT8,'Retenue Déc'!$E$18:$E$48)</f>
        <v>0</v>
      </c>
      <c r="AF52" s="1316">
        <f t="shared" si="60"/>
        <v>0</v>
      </c>
      <c r="AO52" s="1189" t="s">
        <v>1110</v>
      </c>
      <c r="AP52" s="1326">
        <f>IF(AL22,+ROUND((AQ48+SUM(AQ39:AQ46))*AL34/AL22*Q11,2),0)</f>
        <v>0</v>
      </c>
      <c r="BA52" s="328"/>
      <c r="BD52" s="1341" t="s">
        <v>696</v>
      </c>
      <c r="BE52" s="1342">
        <f>+SUMIFS(BE18:BE48,BF18:BF48,S.CAL!BJ4)</f>
        <v>0</v>
      </c>
      <c r="BF52" s="1343">
        <f>IF(Novembre!BA90="",+COUNTIF(BF18:BF48,S.CAL!BJ4),Novembre!BA90)</f>
        <v>0</v>
      </c>
      <c r="BL52" s="35"/>
      <c r="BU52" s="16" t="s">
        <v>776</v>
      </c>
      <c r="BW52" s="339">
        <f>+BR46+BR49+BZ46+BZ49</f>
        <v>0</v>
      </c>
      <c r="CD52" s="328"/>
      <c r="CI52" s="2534" t="str">
        <f t="shared" si="56"/>
        <v>Semaine numéro : 48</v>
      </c>
      <c r="CJ52" s="2535"/>
      <c r="CK52" s="2571"/>
      <c r="CL52" s="875" t="str">
        <f t="shared" si="61"/>
        <v/>
      </c>
      <c r="CM52" s="656">
        <f t="shared" si="62"/>
        <v>0</v>
      </c>
      <c r="CN52" s="655">
        <f t="shared" si="63"/>
        <v>0</v>
      </c>
      <c r="CO52" s="196">
        <f>+SUMIF(Novembre!$BK$20:$BK$50,Novembre!AT8,$CG$18:$CG$48)</f>
        <v>0</v>
      </c>
      <c r="CP52" s="196">
        <f>+SUMIF(Octobre!$BK$20:$BK$50,Novembre!AT8,'Retenue Oct'!$CG$18:$CG$48)</f>
        <v>0</v>
      </c>
      <c r="CQ52" s="196">
        <f>+SUMIF(Décembre!$BK$20:$BK$50,Novembre!AT8,'Retenue Déc'!$CG$18:$CG$48)</f>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Semaine numéro : 49</v>
      </c>
      <c r="X53" s="2538"/>
      <c r="Y53" s="2538"/>
      <c r="Z53" s="1323" t="str">
        <f t="shared" si="57"/>
        <v/>
      </c>
      <c r="AA53" s="1316">
        <f t="shared" si="58"/>
        <v>0</v>
      </c>
      <c r="AB53" s="1316">
        <f t="shared" si="59"/>
        <v>0</v>
      </c>
      <c r="AC53" s="1322">
        <f>+SUMIF(Novembre!$BK$20:$BK$50,Novembre!AT9,$D$18:$D$48)-SUMIF(Novembre!$BK$20:$BK$50,Novembre!AT9,$E$18:$E$48)</f>
        <v>0</v>
      </c>
      <c r="AD53" s="1322">
        <f>+SUMIF(Octobre!$BK$20:$BK$50,Novembre!AT9,'Retenue Oct'!$D$18:$D$48)-SUMIF(Octobre!$BK$20:$BK$50,Novembre!AT9,'Retenue Oct'!$E$18:$E$48)</f>
        <v>0</v>
      </c>
      <c r="AE53" s="1322">
        <f>+SUMIF(Décembre!$BK$20:$BK$50,Novembre!AT9,'Retenue Déc'!$D$18:$D$48)-SUMIF(Décembre!$BK$20:$BK$50,Novembre!AT9,'Retenue Déc'!$E$18:$E$48)</f>
        <v>0</v>
      </c>
      <c r="AF53" s="1316">
        <f t="shared" si="60"/>
        <v>0</v>
      </c>
      <c r="AG53" s="1328"/>
      <c r="BA53" s="328"/>
      <c r="BD53" s="374" t="s">
        <v>710</v>
      </c>
      <c r="BE53" s="376">
        <f>+COUNTIF(BE18:BE48,"&gt;0")</f>
        <v>0</v>
      </c>
      <c r="BF53" s="375"/>
      <c r="BH53" s="425"/>
      <c r="BI53" s="426" t="s">
        <v>689</v>
      </c>
      <c r="BJ53" s="427">
        <f>IF(BK3=S.CAL!BP2,BI50,IF(BK3=S.CAL!BP3,BW54,0))</f>
        <v>0</v>
      </c>
      <c r="BK53" s="425"/>
      <c r="BL53" s="35"/>
      <c r="CD53" s="328"/>
      <c r="CI53" s="2534" t="str">
        <f t="shared" si="56"/>
        <v>Semaine numéro : 49</v>
      </c>
      <c r="CJ53" s="2535"/>
      <c r="CK53" s="2571"/>
      <c r="CL53" s="875" t="str">
        <f t="shared" si="61"/>
        <v/>
      </c>
      <c r="CM53" s="656">
        <f t="shared" si="62"/>
        <v>0</v>
      </c>
      <c r="CN53" s="655">
        <f t="shared" si="63"/>
        <v>0</v>
      </c>
      <c r="CO53" s="196">
        <f>+SUMIF(Novembre!$BK$20:$BK$50,Novembre!AT9,$CG$18:$CG$48)</f>
        <v>0</v>
      </c>
      <c r="CP53" s="196">
        <f>+SUMIF(Octobre!$BK$20:$BK$50,Novembre!AT9,'Retenue Oct'!$CG$18:$CG$48)</f>
        <v>0</v>
      </c>
      <c r="CQ53" s="196">
        <f>+SUMIF(Décembre!$BK$20:$BK$50,Novembre!AT9,'Retenue Déc'!$CG$18:$CG$48)</f>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2"/>
      <c r="CP54" s="882"/>
      <c r="CQ54" s="882"/>
      <c r="CR54" s="659">
        <f>SUM(CR48:CR53)</f>
        <v>0</v>
      </c>
      <c r="EE54" s="19"/>
      <c r="EF54" s="19"/>
      <c r="EG54" s="19"/>
      <c r="EH54" s="19"/>
      <c r="EI54" s="19"/>
    </row>
    <row r="55" spans="2:139" ht="13.5" thickBot="1" x14ac:dyDescent="0.25">
      <c r="B55" s="2563">
        <f>B17</f>
        <v>46327</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46327</v>
      </c>
      <c r="C57" s="169">
        <f t="shared" si="65"/>
        <v>46327</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46328</v>
      </c>
      <c r="C58" s="170">
        <f t="shared" si="65"/>
        <v>46328</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46329</v>
      </c>
      <c r="C59" s="170">
        <f t="shared" si="65"/>
        <v>46329</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46330</v>
      </c>
      <c r="C60" s="170">
        <f t="shared" si="65"/>
        <v>46330</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46331</v>
      </c>
      <c r="C61" s="170">
        <f t="shared" si="65"/>
        <v>46331</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46332</v>
      </c>
      <c r="C62" s="170">
        <f t="shared" si="65"/>
        <v>46332</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46333</v>
      </c>
      <c r="C63" s="170">
        <f t="shared" si="65"/>
        <v>46333</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46334</v>
      </c>
      <c r="C64" s="170">
        <f t="shared" si="65"/>
        <v>46334</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46335</v>
      </c>
      <c r="C65" s="170">
        <f t="shared" si="65"/>
        <v>46335</v>
      </c>
      <c r="D65" s="171" t="str">
        <f t="shared" si="66"/>
        <v/>
      </c>
      <c r="E65" s="171" t="str">
        <f t="shared" si="69"/>
        <v/>
      </c>
      <c r="F65" s="1531" t="str">
        <f t="shared" si="67"/>
        <v/>
      </c>
      <c r="G65" s="1531" t="str">
        <f t="shared" si="68"/>
        <v/>
      </c>
      <c r="BA65" s="328"/>
      <c r="CD65" s="328"/>
    </row>
    <row r="66" spans="2:82" x14ac:dyDescent="0.2">
      <c r="B66" s="107">
        <f t="shared" si="65"/>
        <v>46336</v>
      </c>
      <c r="C66" s="170">
        <f t="shared" si="65"/>
        <v>46336</v>
      </c>
      <c r="D66" s="171" t="str">
        <f t="shared" si="66"/>
        <v/>
      </c>
      <c r="E66" s="171" t="str">
        <f t="shared" si="69"/>
        <v/>
      </c>
      <c r="F66" s="1531" t="str">
        <f t="shared" si="67"/>
        <v/>
      </c>
      <c r="G66" s="1531" t="str">
        <f t="shared" si="68"/>
        <v/>
      </c>
      <c r="BA66" s="328"/>
      <c r="CD66" s="328"/>
    </row>
    <row r="67" spans="2:82" x14ac:dyDescent="0.2">
      <c r="B67" s="107">
        <f t="shared" si="65"/>
        <v>46337</v>
      </c>
      <c r="C67" s="170">
        <f t="shared" si="65"/>
        <v>46337</v>
      </c>
      <c r="D67" s="171" t="str">
        <f t="shared" si="66"/>
        <v/>
      </c>
      <c r="E67" s="171" t="str">
        <f t="shared" si="69"/>
        <v/>
      </c>
      <c r="F67" s="1531" t="str">
        <f t="shared" si="67"/>
        <v/>
      </c>
      <c r="G67" s="1531" t="str">
        <f t="shared" si="68"/>
        <v/>
      </c>
      <c r="BA67" s="328"/>
      <c r="CD67" s="328"/>
    </row>
    <row r="68" spans="2:82" x14ac:dyDescent="0.2">
      <c r="B68" s="107">
        <f t="shared" si="65"/>
        <v>46338</v>
      </c>
      <c r="C68" s="170">
        <f t="shared" si="65"/>
        <v>46338</v>
      </c>
      <c r="D68" s="171" t="str">
        <f t="shared" si="66"/>
        <v/>
      </c>
      <c r="E68" s="171" t="str">
        <f t="shared" si="69"/>
        <v/>
      </c>
      <c r="F68" s="1531" t="str">
        <f t="shared" si="67"/>
        <v/>
      </c>
      <c r="G68" s="1531" t="str">
        <f t="shared" si="68"/>
        <v/>
      </c>
      <c r="AI68" s="1332" t="s">
        <v>329</v>
      </c>
      <c r="BA68" s="328"/>
      <c r="CD68" s="328"/>
    </row>
    <row r="69" spans="2:82" x14ac:dyDescent="0.2">
      <c r="B69" s="107">
        <f t="shared" si="65"/>
        <v>46339</v>
      </c>
      <c r="C69" s="170">
        <f t="shared" si="65"/>
        <v>46339</v>
      </c>
      <c r="D69" s="171" t="str">
        <f t="shared" si="66"/>
        <v/>
      </c>
      <c r="E69" s="171" t="str">
        <f t="shared" si="69"/>
        <v/>
      </c>
      <c r="F69" s="1531" t="str">
        <f t="shared" si="67"/>
        <v/>
      </c>
      <c r="G69" s="1531" t="str">
        <f t="shared" si="68"/>
        <v/>
      </c>
      <c r="BA69" s="328"/>
      <c r="CD69" s="328"/>
    </row>
    <row r="70" spans="2:82" x14ac:dyDescent="0.2">
      <c r="B70" s="107">
        <f t="shared" si="65"/>
        <v>46340</v>
      </c>
      <c r="C70" s="170">
        <f t="shared" si="65"/>
        <v>46340</v>
      </c>
      <c r="D70" s="171" t="str">
        <f t="shared" si="66"/>
        <v/>
      </c>
      <c r="E70" s="171" t="str">
        <f t="shared" si="69"/>
        <v/>
      </c>
      <c r="F70" s="1531" t="str">
        <f t="shared" si="67"/>
        <v/>
      </c>
      <c r="G70" s="1531" t="str">
        <f t="shared" si="68"/>
        <v/>
      </c>
      <c r="AI70" s="563" t="s">
        <v>330</v>
      </c>
      <c r="BA70" s="328"/>
      <c r="CD70" s="328"/>
    </row>
    <row r="71" spans="2:82" x14ac:dyDescent="0.2">
      <c r="B71" s="107">
        <f t="shared" si="65"/>
        <v>46341</v>
      </c>
      <c r="C71" s="170">
        <f t="shared" si="65"/>
        <v>46341</v>
      </c>
      <c r="D71" s="171" t="str">
        <f t="shared" si="66"/>
        <v/>
      </c>
      <c r="E71" s="171" t="str">
        <f t="shared" si="69"/>
        <v/>
      </c>
      <c r="F71" s="1531" t="str">
        <f t="shared" si="67"/>
        <v/>
      </c>
      <c r="G71" s="1531" t="str">
        <f t="shared" si="68"/>
        <v/>
      </c>
      <c r="AI71" s="1333" t="s">
        <v>331</v>
      </c>
      <c r="BA71" s="328"/>
      <c r="CD71" s="328"/>
    </row>
    <row r="72" spans="2:82" x14ac:dyDescent="0.2">
      <c r="B72" s="107">
        <f t="shared" si="65"/>
        <v>46342</v>
      </c>
      <c r="C72" s="170">
        <f t="shared" si="65"/>
        <v>46342</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46343</v>
      </c>
      <c r="C73" s="170">
        <f t="shared" si="70"/>
        <v>46343</v>
      </c>
      <c r="D73" s="171" t="str">
        <f t="shared" si="66"/>
        <v/>
      </c>
      <c r="E73" s="171" t="str">
        <f t="shared" si="69"/>
        <v/>
      </c>
      <c r="F73" s="1531" t="str">
        <f t="shared" si="67"/>
        <v/>
      </c>
      <c r="G73" s="1531" t="str">
        <f t="shared" si="68"/>
        <v/>
      </c>
      <c r="BA73" s="328"/>
      <c r="CD73" s="328"/>
    </row>
    <row r="74" spans="2:82" x14ac:dyDescent="0.2">
      <c r="B74" s="107">
        <f t="shared" si="70"/>
        <v>46344</v>
      </c>
      <c r="C74" s="170">
        <f t="shared" si="70"/>
        <v>46344</v>
      </c>
      <c r="D74" s="171" t="str">
        <f t="shared" si="66"/>
        <v/>
      </c>
      <c r="E74" s="171" t="str">
        <f t="shared" si="69"/>
        <v/>
      </c>
      <c r="F74" s="1531" t="str">
        <f t="shared" si="67"/>
        <v/>
      </c>
      <c r="G74" s="1531" t="str">
        <f t="shared" si="68"/>
        <v/>
      </c>
      <c r="AI74" s="563" t="s">
        <v>332</v>
      </c>
      <c r="BA74" s="328"/>
      <c r="CD74" s="328"/>
    </row>
    <row r="75" spans="2:82" x14ac:dyDescent="0.2">
      <c r="B75" s="107">
        <f t="shared" si="70"/>
        <v>46345</v>
      </c>
      <c r="C75" s="170">
        <f t="shared" si="70"/>
        <v>46345</v>
      </c>
      <c r="D75" s="171" t="str">
        <f t="shared" si="66"/>
        <v/>
      </c>
      <c r="E75" s="171" t="str">
        <f t="shared" si="69"/>
        <v/>
      </c>
      <c r="F75" s="1531" t="str">
        <f t="shared" si="67"/>
        <v/>
      </c>
      <c r="G75" s="1531" t="str">
        <f t="shared" si="68"/>
        <v/>
      </c>
      <c r="AI75" s="1333" t="s">
        <v>333</v>
      </c>
      <c r="BA75" s="328"/>
      <c r="CD75" s="328"/>
    </row>
    <row r="76" spans="2:82" x14ac:dyDescent="0.2">
      <c r="B76" s="107">
        <f t="shared" si="70"/>
        <v>46346</v>
      </c>
      <c r="C76" s="170">
        <f t="shared" si="70"/>
        <v>46346</v>
      </c>
      <c r="D76" s="171" t="str">
        <f t="shared" si="66"/>
        <v/>
      </c>
      <c r="E76" s="171" t="str">
        <f t="shared" si="69"/>
        <v/>
      </c>
      <c r="F76" s="1531" t="str">
        <f t="shared" si="67"/>
        <v/>
      </c>
      <c r="G76" s="1531" t="str">
        <f t="shared" si="68"/>
        <v/>
      </c>
      <c r="BA76" s="328"/>
      <c r="CD76" s="328"/>
    </row>
    <row r="77" spans="2:82" x14ac:dyDescent="0.2">
      <c r="B77" s="107">
        <f t="shared" si="70"/>
        <v>46347</v>
      </c>
      <c r="C77" s="170">
        <f t="shared" si="70"/>
        <v>46347</v>
      </c>
      <c r="D77" s="171" t="str">
        <f t="shared" si="66"/>
        <v/>
      </c>
      <c r="E77" s="171" t="str">
        <f t="shared" si="69"/>
        <v/>
      </c>
      <c r="F77" s="1531" t="str">
        <f t="shared" si="67"/>
        <v/>
      </c>
      <c r="G77" s="1531" t="str">
        <f t="shared" si="68"/>
        <v/>
      </c>
      <c r="AI77" s="563" t="s">
        <v>334</v>
      </c>
      <c r="BA77" s="328"/>
      <c r="CD77" s="328"/>
    </row>
    <row r="78" spans="2:82" x14ac:dyDescent="0.2">
      <c r="B78" s="107">
        <f t="shared" si="70"/>
        <v>46348</v>
      </c>
      <c r="C78" s="170">
        <f t="shared" si="70"/>
        <v>46348</v>
      </c>
      <c r="D78" s="171" t="str">
        <f t="shared" si="66"/>
        <v/>
      </c>
      <c r="E78" s="171" t="str">
        <f t="shared" si="69"/>
        <v/>
      </c>
      <c r="F78" s="1531" t="str">
        <f t="shared" si="67"/>
        <v/>
      </c>
      <c r="G78" s="1531" t="str">
        <f t="shared" si="68"/>
        <v/>
      </c>
      <c r="AI78" s="1333" t="s">
        <v>680</v>
      </c>
      <c r="BA78" s="328"/>
      <c r="CD78" s="328"/>
    </row>
    <row r="79" spans="2:82" x14ac:dyDescent="0.2">
      <c r="B79" s="107">
        <f t="shared" si="70"/>
        <v>46349</v>
      </c>
      <c r="C79" s="170">
        <f t="shared" si="70"/>
        <v>46349</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46350</v>
      </c>
      <c r="C80" s="170">
        <f t="shared" si="70"/>
        <v>46350</v>
      </c>
      <c r="D80" s="171" t="str">
        <f t="shared" si="66"/>
        <v/>
      </c>
      <c r="E80" s="171" t="str">
        <f t="shared" si="69"/>
        <v/>
      </c>
      <c r="F80" s="1531" t="str">
        <f t="shared" si="67"/>
        <v/>
      </c>
      <c r="G80" s="1531" t="str">
        <f t="shared" si="68"/>
        <v/>
      </c>
      <c r="BA80" s="328"/>
      <c r="CD80" s="328"/>
    </row>
    <row r="81" spans="2:82" x14ac:dyDescent="0.2">
      <c r="B81" s="107">
        <f t="shared" si="70"/>
        <v>46351</v>
      </c>
      <c r="C81" s="170">
        <f t="shared" si="70"/>
        <v>46351</v>
      </c>
      <c r="D81" s="171" t="str">
        <f t="shared" si="66"/>
        <v/>
      </c>
      <c r="E81" s="171" t="str">
        <f t="shared" si="69"/>
        <v/>
      </c>
      <c r="F81" s="1531" t="str">
        <f t="shared" si="67"/>
        <v/>
      </c>
      <c r="G81" s="1531" t="str">
        <f t="shared" si="68"/>
        <v/>
      </c>
      <c r="AI81" s="563" t="s">
        <v>518</v>
      </c>
      <c r="BA81" s="328"/>
      <c r="CD81" s="328"/>
    </row>
    <row r="82" spans="2:82" x14ac:dyDescent="0.2">
      <c r="B82" s="107">
        <f t="shared" si="70"/>
        <v>46352</v>
      </c>
      <c r="C82" s="170">
        <f t="shared" si="70"/>
        <v>46352</v>
      </c>
      <c r="D82" s="171" t="str">
        <f t="shared" si="66"/>
        <v/>
      </c>
      <c r="E82" s="171" t="str">
        <f t="shared" si="69"/>
        <v/>
      </c>
      <c r="F82" s="1531" t="str">
        <f t="shared" si="67"/>
        <v/>
      </c>
      <c r="G82" s="1531" t="str">
        <f t="shared" si="68"/>
        <v/>
      </c>
      <c r="AI82" s="1333" t="s">
        <v>681</v>
      </c>
      <c r="BA82" s="328"/>
      <c r="CD82" s="328"/>
    </row>
    <row r="83" spans="2:82" x14ac:dyDescent="0.2">
      <c r="B83" s="107">
        <f t="shared" si="70"/>
        <v>46353</v>
      </c>
      <c r="C83" s="170">
        <f t="shared" si="70"/>
        <v>46353</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46354</v>
      </c>
      <c r="C84" s="170">
        <f t="shared" si="70"/>
        <v>46354</v>
      </c>
      <c r="D84" s="171" t="str">
        <f t="shared" si="66"/>
        <v/>
      </c>
      <c r="E84" s="171" t="str">
        <f t="shared" si="69"/>
        <v/>
      </c>
      <c r="F84" s="1531" t="str">
        <f t="shared" si="67"/>
        <v/>
      </c>
      <c r="G84" s="1531" t="str">
        <f t="shared" si="68"/>
        <v/>
      </c>
      <c r="BA84" s="328"/>
      <c r="CD84" s="328"/>
    </row>
    <row r="85" spans="2:82" x14ac:dyDescent="0.2">
      <c r="B85" s="107">
        <f t="shared" si="70"/>
        <v>46355</v>
      </c>
      <c r="C85" s="170">
        <f t="shared" si="70"/>
        <v>46355</v>
      </c>
      <c r="D85" s="171" t="str">
        <f t="shared" si="66"/>
        <v/>
      </c>
      <c r="E85" s="171" t="str">
        <f t="shared" si="69"/>
        <v/>
      </c>
      <c r="F85" s="1531" t="str">
        <f t="shared" si="67"/>
        <v/>
      </c>
      <c r="G85" s="1531" t="str">
        <f t="shared" si="68"/>
        <v/>
      </c>
      <c r="AI85" s="1333" t="s">
        <v>335</v>
      </c>
      <c r="BA85" s="328"/>
      <c r="CD85" s="328"/>
    </row>
    <row r="86" spans="2:82" x14ac:dyDescent="0.2">
      <c r="B86" s="107">
        <f t="shared" si="70"/>
        <v>46356</v>
      </c>
      <c r="C86" s="170">
        <f t="shared" si="70"/>
        <v>46356</v>
      </c>
      <c r="D86" s="171" t="str">
        <f t="shared" si="66"/>
        <v/>
      </c>
      <c r="E86" s="171" t="str">
        <f t="shared" si="69"/>
        <v/>
      </c>
      <c r="F86" s="1531" t="str">
        <f t="shared" si="67"/>
        <v/>
      </c>
      <c r="G86" s="1531" t="str">
        <f t="shared" si="68"/>
        <v/>
      </c>
      <c r="AI86" s="1333" t="s">
        <v>336</v>
      </c>
      <c r="BA86" s="328"/>
      <c r="CD86" s="328"/>
    </row>
    <row r="87" spans="2:82" ht="13.5" thickBot="1" x14ac:dyDescent="0.25">
      <c r="B87" s="110" t="str">
        <f t="shared" si="70"/>
        <v/>
      </c>
      <c r="C87" s="190" t="str">
        <f t="shared" si="70"/>
        <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LUCjwFh0hLtjD+fPfI2jRifHcEYV1R+zk+F9i/NUfJ+UXASs7+cZaVAMaPnMhKjDooGe5r4IIxrpkaa+YT8FPg==" saltValue="4UW6ONYxdxvfsKINdKgOlg=="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502" priority="36">
      <formula>$R$3=$A$5</formula>
    </cfRule>
  </conditionalFormatting>
  <conditionalFormatting sqref="M19:Q23">
    <cfRule type="expression" dxfId="3501" priority="13">
      <formula>$E$11&gt;0</formula>
    </cfRule>
  </conditionalFormatting>
  <conditionalFormatting sqref="M26:R46">
    <cfRule type="expression" dxfId="3500" priority="3">
      <formula>$E$11=0</formula>
    </cfRule>
  </conditionalFormatting>
  <conditionalFormatting sqref="P17">
    <cfRule type="expression" dxfId="3499" priority="16">
      <formula>$E$11=0</formula>
    </cfRule>
  </conditionalFormatting>
  <conditionalFormatting sqref="P30">
    <cfRule type="expression" dxfId="3498" priority="7">
      <formula>AND($R$3="Méthode 1",$E$11&lt;0)</formula>
    </cfRule>
  </conditionalFormatting>
  <conditionalFormatting sqref="P33">
    <cfRule type="expression" dxfId="3497" priority="6">
      <formula>AND($R$3="Méthode 1",$E$11&lt;0)</formula>
    </cfRule>
  </conditionalFormatting>
  <conditionalFormatting sqref="Q17">
    <cfRule type="cellIs" dxfId="3496" priority="15" operator="equal">
      <formula>0</formula>
    </cfRule>
  </conditionalFormatting>
  <conditionalFormatting sqref="Q42">
    <cfRule type="expression" dxfId="3495" priority="5">
      <formula>AND($R$3="Méthode 1",$E$11&lt;0)</formula>
    </cfRule>
  </conditionalFormatting>
  <conditionalFormatting sqref="Q45">
    <cfRule type="expression" dxfId="3494" priority="4">
      <formula>AND($R$3="Méthode 1",$E$11&lt;0)</formula>
    </cfRule>
  </conditionalFormatting>
  <conditionalFormatting sqref="S7:AF7">
    <cfRule type="expression" dxfId="3493" priority="35">
      <formula>$R$3=$T$5</formula>
    </cfRule>
  </conditionalFormatting>
  <conditionalFormatting sqref="W19">
    <cfRule type="expression" dxfId="3492" priority="40">
      <formula>$EF$14=1</formula>
    </cfRule>
  </conditionalFormatting>
  <conditionalFormatting sqref="W21">
    <cfRule type="expression" dxfId="3491" priority="39">
      <formula>$EF$14=1</formula>
    </cfRule>
  </conditionalFormatting>
  <conditionalFormatting sqref="AC19">
    <cfRule type="expression" dxfId="3490" priority="38">
      <formula>$EF$14=1</formula>
    </cfRule>
  </conditionalFormatting>
  <conditionalFormatting sqref="AC21">
    <cfRule type="expression" dxfId="3489" priority="37">
      <formula>$EF$14=1</formula>
    </cfRule>
  </conditionalFormatting>
  <conditionalFormatting sqref="AH7:AZ7">
    <cfRule type="expression" dxfId="3488" priority="21">
      <formula>$R$3=$AI$5</formula>
    </cfRule>
  </conditionalFormatting>
  <conditionalFormatting sqref="AP50">
    <cfRule type="expression" dxfId="3487" priority="20">
      <formula>$R$3="Méthode 2"</formula>
    </cfRule>
  </conditionalFormatting>
  <conditionalFormatting sqref="AP52">
    <cfRule type="expression" dxfId="3486" priority="19">
      <formula>$R$3="Méthode 2"</formula>
    </cfRule>
  </conditionalFormatting>
  <conditionalFormatting sqref="AP61">
    <cfRule type="expression" dxfId="3485" priority="18">
      <formula>$R$3="Méthode 2"</formula>
    </cfRule>
  </conditionalFormatting>
  <conditionalFormatting sqref="AP64">
    <cfRule type="expression" dxfId="3484" priority="17">
      <formula>$R$3="Méthode 2"</formula>
    </cfRule>
  </conditionalFormatting>
  <conditionalFormatting sqref="BI50">
    <cfRule type="expression" dxfId="3483" priority="28">
      <formula>$BK$3="Méthode 1"</formula>
    </cfRule>
  </conditionalFormatting>
  <conditionalFormatting sqref="BJ29">
    <cfRule type="expression" dxfId="3482" priority="30">
      <formula>$BK$3="Méthode 1"</formula>
    </cfRule>
  </conditionalFormatting>
  <conditionalFormatting sqref="BJ45">
    <cfRule type="expression" dxfId="3481" priority="29">
      <formula>$BK$3="Méthode 1"</formula>
    </cfRule>
  </conditionalFormatting>
  <conditionalFormatting sqref="BR46">
    <cfRule type="expression" dxfId="3480" priority="27">
      <formula>$BK$3="Méthode 2"</formula>
    </cfRule>
  </conditionalFormatting>
  <conditionalFormatting sqref="BR49">
    <cfRule type="expression" dxfId="3479" priority="26">
      <formula>$BK$3="Méthode 2"</formula>
    </cfRule>
  </conditionalFormatting>
  <conditionalFormatting sqref="BW52">
    <cfRule type="expression" dxfId="3478" priority="23">
      <formula>$BK$3="Méthode 2"</formula>
    </cfRule>
  </conditionalFormatting>
  <conditionalFormatting sqref="BW54">
    <cfRule type="expression" dxfId="3477" priority="22">
      <formula>$BK$3="Méthode 2"</formula>
    </cfRule>
  </conditionalFormatting>
  <conditionalFormatting sqref="BZ46">
    <cfRule type="expression" dxfId="3476" priority="25">
      <formula>$BK$3="Méthode 2"</formula>
    </cfRule>
  </conditionalFormatting>
  <conditionalFormatting sqref="BZ49">
    <cfRule type="expression" dxfId="3475" priority="24">
      <formula>$BK$3="Méthode 2"</formula>
    </cfRule>
  </conditionalFormatting>
  <conditionalFormatting sqref="CG18:CG48">
    <cfRule type="cellIs" dxfId="3474"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4" man="1"/>
    <brk id="33" max="104" man="1"/>
    <brk id="52" max="104" man="1"/>
    <brk id="63" max="1048575" man="1"/>
  </col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FF0000"/>
  </sheetPr>
  <dimension ref="A1:FB104"/>
  <sheetViews>
    <sheetView showGridLines="0" zoomScale="80" zoomScaleNormal="80" workbookViewId="0">
      <selection activeCell="E1" sqref="E1"/>
    </sheetView>
  </sheetViews>
  <sheetFormatPr baseColWidth="10" defaultRowHeight="12.75" x14ac:dyDescent="0.2"/>
  <cols>
    <col min="1" max="1" width="7.140625" style="16" customWidth="1"/>
    <col min="2" max="3" width="6.28515625" style="16" customWidth="1"/>
    <col min="4" max="4" width="18.28515625" style="16" customWidth="1"/>
    <col min="5" max="7" width="13.85546875" style="16" customWidth="1"/>
    <col min="8" max="12" width="13.85546875" style="16" hidden="1" customWidth="1"/>
    <col min="13" max="13" width="6.28515625" style="16" customWidth="1"/>
    <col min="14" max="14" width="4.5703125" style="16" customWidth="1"/>
    <col min="15" max="15" width="11.42578125" style="16" customWidth="1"/>
    <col min="16" max="16" width="13.5703125" style="16" customWidth="1"/>
    <col min="17" max="17" width="11.42578125" style="16" customWidth="1"/>
    <col min="18" max="18" width="38.5703125" style="16" customWidth="1"/>
    <col min="19" max="25" width="11.42578125" style="563" hidden="1" customWidth="1"/>
    <col min="26" max="26" width="17" style="563" hidden="1" customWidth="1"/>
    <col min="27" max="27" width="14.28515625" style="563" hidden="1" customWidth="1"/>
    <col min="28" max="28" width="16.85546875" style="563" hidden="1" customWidth="1"/>
    <col min="29" max="30" width="11.42578125" style="563" hidden="1" customWidth="1"/>
    <col min="31" max="31" width="10.28515625" style="563" hidden="1" customWidth="1"/>
    <col min="32" max="32" width="16.42578125" style="563" hidden="1" customWidth="1"/>
    <col min="33" max="33" width="8.28515625" style="563" hidden="1" customWidth="1"/>
    <col min="34" max="51" width="11.42578125" style="563" hidden="1" customWidth="1"/>
    <col min="52" max="52" width="11.42578125" style="16" hidden="1" customWidth="1"/>
    <col min="53" max="54" width="11.42578125" style="16"/>
    <col min="55" max="55" width="7.5703125" style="16" customWidth="1"/>
    <col min="56" max="56" width="18.7109375" style="16" customWidth="1"/>
    <col min="57" max="58" width="11.42578125" style="16"/>
    <col min="59" max="59" width="10" style="16" customWidth="1"/>
    <col min="60" max="60" width="21.7109375" style="16" customWidth="1"/>
    <col min="61" max="61" width="10.5703125" style="16" customWidth="1"/>
    <col min="62" max="62" width="11.42578125" style="16"/>
    <col min="63" max="63" width="22.42578125" style="16" customWidth="1"/>
    <col min="64" max="81" width="0" style="16" hidden="1" customWidth="1"/>
    <col min="82" max="84" width="11.42578125" style="16"/>
    <col min="85" max="85" width="21.5703125" style="16" customWidth="1"/>
    <col min="86" max="86" width="11.42578125" style="16"/>
    <col min="87" max="94" width="0" style="16" hidden="1" customWidth="1"/>
    <col min="95" max="95" width="11.28515625" style="16" hidden="1" customWidth="1"/>
    <col min="96" max="96" width="16.85546875" hidden="1" customWidth="1"/>
    <col min="97" max="106" width="0" hidden="1" customWidth="1"/>
    <col min="107" max="108" width="11.42578125" hidden="1" customWidth="1"/>
    <col min="109" max="158" width="11.42578125" style="16" hidden="1" customWidth="1"/>
    <col min="159" max="209" width="0" style="16" hidden="1" customWidth="1"/>
    <col min="210" max="251" width="11.42578125" style="16"/>
    <col min="252" max="252" width="11" style="16" customWidth="1"/>
    <col min="253" max="254" width="6.28515625" style="16" customWidth="1"/>
    <col min="255" max="255" width="18.28515625" style="16" customWidth="1"/>
    <col min="256" max="256" width="13.85546875" style="16" customWidth="1"/>
    <col min="257" max="257" width="6.28515625" style="16" customWidth="1"/>
    <col min="258" max="258" width="4.5703125" style="16" customWidth="1"/>
    <col min="259" max="507" width="11.42578125" style="16"/>
    <col min="508" max="508" width="11" style="16" customWidth="1"/>
    <col min="509" max="510" width="6.28515625" style="16" customWidth="1"/>
    <col min="511" max="511" width="18.28515625" style="16" customWidth="1"/>
    <col min="512" max="512" width="13.85546875" style="16" customWidth="1"/>
    <col min="513" max="513" width="6.28515625" style="16" customWidth="1"/>
    <col min="514" max="514" width="4.5703125" style="16" customWidth="1"/>
    <col min="515" max="763" width="11.42578125" style="16"/>
    <col min="764" max="764" width="11" style="16" customWidth="1"/>
    <col min="765" max="766" width="6.28515625" style="16" customWidth="1"/>
    <col min="767" max="767" width="18.28515625" style="16" customWidth="1"/>
    <col min="768" max="768" width="13.85546875" style="16" customWidth="1"/>
    <col min="769" max="769" width="6.28515625" style="16" customWidth="1"/>
    <col min="770" max="770" width="4.5703125" style="16" customWidth="1"/>
    <col min="771" max="1019" width="11.42578125" style="16"/>
    <col min="1020" max="1020" width="11" style="16" customWidth="1"/>
    <col min="1021" max="1022" width="6.28515625" style="16" customWidth="1"/>
    <col min="1023" max="1023" width="18.28515625" style="16" customWidth="1"/>
    <col min="1024" max="1024" width="13.85546875" style="16" customWidth="1"/>
    <col min="1025" max="1025" width="6.28515625" style="16" customWidth="1"/>
    <col min="1026" max="1026" width="4.5703125" style="16" customWidth="1"/>
    <col min="1027" max="1275" width="11.42578125" style="16"/>
    <col min="1276" max="1276" width="11" style="16" customWidth="1"/>
    <col min="1277" max="1278" width="6.28515625" style="16" customWidth="1"/>
    <col min="1279" max="1279" width="18.28515625" style="16" customWidth="1"/>
    <col min="1280" max="1280" width="13.85546875" style="16" customWidth="1"/>
    <col min="1281" max="1281" width="6.28515625" style="16" customWidth="1"/>
    <col min="1282" max="1282" width="4.5703125" style="16" customWidth="1"/>
    <col min="1283" max="1531" width="11.42578125" style="16"/>
    <col min="1532" max="1532" width="11" style="16" customWidth="1"/>
    <col min="1533" max="1534" width="6.28515625" style="16" customWidth="1"/>
    <col min="1535" max="1535" width="18.28515625" style="16" customWidth="1"/>
    <col min="1536" max="1536" width="13.85546875" style="16" customWidth="1"/>
    <col min="1537" max="1537" width="6.28515625" style="16" customWidth="1"/>
    <col min="1538" max="1538" width="4.5703125" style="16" customWidth="1"/>
    <col min="1539" max="1787" width="11.42578125" style="16"/>
    <col min="1788" max="1788" width="11" style="16" customWidth="1"/>
    <col min="1789" max="1790" width="6.28515625" style="16" customWidth="1"/>
    <col min="1791" max="1791" width="18.28515625" style="16" customWidth="1"/>
    <col min="1792" max="1792" width="13.85546875" style="16" customWidth="1"/>
    <col min="1793" max="1793" width="6.28515625" style="16" customWidth="1"/>
    <col min="1794" max="1794" width="4.5703125" style="16" customWidth="1"/>
    <col min="1795" max="2043" width="11.42578125" style="16"/>
    <col min="2044" max="2044" width="11" style="16" customWidth="1"/>
    <col min="2045" max="2046" width="6.28515625" style="16" customWidth="1"/>
    <col min="2047" max="2047" width="18.28515625" style="16" customWidth="1"/>
    <col min="2048" max="2048" width="13.85546875" style="16" customWidth="1"/>
    <col min="2049" max="2049" width="6.28515625" style="16" customWidth="1"/>
    <col min="2050" max="2050" width="4.5703125" style="16" customWidth="1"/>
    <col min="2051" max="2299" width="11.42578125" style="16"/>
    <col min="2300" max="2300" width="11" style="16" customWidth="1"/>
    <col min="2301" max="2302" width="6.28515625" style="16" customWidth="1"/>
    <col min="2303" max="2303" width="18.28515625" style="16" customWidth="1"/>
    <col min="2304" max="2304" width="13.85546875" style="16" customWidth="1"/>
    <col min="2305" max="2305" width="6.28515625" style="16" customWidth="1"/>
    <col min="2306" max="2306" width="4.5703125" style="16" customWidth="1"/>
    <col min="2307" max="2555" width="11.42578125" style="16"/>
    <col min="2556" max="2556" width="11" style="16" customWidth="1"/>
    <col min="2557" max="2558" width="6.28515625" style="16" customWidth="1"/>
    <col min="2559" max="2559" width="18.28515625" style="16" customWidth="1"/>
    <col min="2560" max="2560" width="13.85546875" style="16" customWidth="1"/>
    <col min="2561" max="2561" width="6.28515625" style="16" customWidth="1"/>
    <col min="2562" max="2562" width="4.5703125" style="16" customWidth="1"/>
    <col min="2563" max="2811" width="11.42578125" style="16"/>
    <col min="2812" max="2812" width="11" style="16" customWidth="1"/>
    <col min="2813" max="2814" width="6.28515625" style="16" customWidth="1"/>
    <col min="2815" max="2815" width="18.28515625" style="16" customWidth="1"/>
    <col min="2816" max="2816" width="13.85546875" style="16" customWidth="1"/>
    <col min="2817" max="2817" width="6.28515625" style="16" customWidth="1"/>
    <col min="2818" max="2818" width="4.5703125" style="16" customWidth="1"/>
    <col min="2819" max="3067" width="11.42578125" style="16"/>
    <col min="3068" max="3068" width="11" style="16" customWidth="1"/>
    <col min="3069" max="3070" width="6.28515625" style="16" customWidth="1"/>
    <col min="3071" max="3071" width="18.28515625" style="16" customWidth="1"/>
    <col min="3072" max="3072" width="13.85546875" style="16" customWidth="1"/>
    <col min="3073" max="3073" width="6.28515625" style="16" customWidth="1"/>
    <col min="3074" max="3074" width="4.5703125" style="16" customWidth="1"/>
    <col min="3075" max="3323" width="11.42578125" style="16"/>
    <col min="3324" max="3324" width="11" style="16" customWidth="1"/>
    <col min="3325" max="3326" width="6.28515625" style="16" customWidth="1"/>
    <col min="3327" max="3327" width="18.28515625" style="16" customWidth="1"/>
    <col min="3328" max="3328" width="13.85546875" style="16" customWidth="1"/>
    <col min="3329" max="3329" width="6.28515625" style="16" customWidth="1"/>
    <col min="3330" max="3330" width="4.5703125" style="16" customWidth="1"/>
    <col min="3331" max="3579" width="11.42578125" style="16"/>
    <col min="3580" max="3580" width="11" style="16" customWidth="1"/>
    <col min="3581" max="3582" width="6.28515625" style="16" customWidth="1"/>
    <col min="3583" max="3583" width="18.28515625" style="16" customWidth="1"/>
    <col min="3584" max="3584" width="13.85546875" style="16" customWidth="1"/>
    <col min="3585" max="3585" width="6.28515625" style="16" customWidth="1"/>
    <col min="3586" max="3586" width="4.5703125" style="16" customWidth="1"/>
    <col min="3587" max="3835" width="11.42578125" style="16"/>
    <col min="3836" max="3836" width="11" style="16" customWidth="1"/>
    <col min="3837" max="3838" width="6.28515625" style="16" customWidth="1"/>
    <col min="3839" max="3839" width="18.28515625" style="16" customWidth="1"/>
    <col min="3840" max="3840" width="13.85546875" style="16" customWidth="1"/>
    <col min="3841" max="3841" width="6.28515625" style="16" customWidth="1"/>
    <col min="3842" max="3842" width="4.5703125" style="16" customWidth="1"/>
    <col min="3843" max="4091" width="11.42578125" style="16"/>
    <col min="4092" max="4092" width="11" style="16" customWidth="1"/>
    <col min="4093" max="4094" width="6.28515625" style="16" customWidth="1"/>
    <col min="4095" max="4095" width="18.28515625" style="16" customWidth="1"/>
    <col min="4096" max="4096" width="13.85546875" style="16" customWidth="1"/>
    <col min="4097" max="4097" width="6.28515625" style="16" customWidth="1"/>
    <col min="4098" max="4098" width="4.5703125" style="16" customWidth="1"/>
    <col min="4099" max="4347" width="11.42578125" style="16"/>
    <col min="4348" max="4348" width="11" style="16" customWidth="1"/>
    <col min="4349" max="4350" width="6.28515625" style="16" customWidth="1"/>
    <col min="4351" max="4351" width="18.28515625" style="16" customWidth="1"/>
    <col min="4352" max="4352" width="13.85546875" style="16" customWidth="1"/>
    <col min="4353" max="4353" width="6.28515625" style="16" customWidth="1"/>
    <col min="4354" max="4354" width="4.5703125" style="16" customWidth="1"/>
    <col min="4355" max="4603" width="11.42578125" style="16"/>
    <col min="4604" max="4604" width="11" style="16" customWidth="1"/>
    <col min="4605" max="4606" width="6.28515625" style="16" customWidth="1"/>
    <col min="4607" max="4607" width="18.28515625" style="16" customWidth="1"/>
    <col min="4608" max="4608" width="13.85546875" style="16" customWidth="1"/>
    <col min="4609" max="4609" width="6.28515625" style="16" customWidth="1"/>
    <col min="4610" max="4610" width="4.5703125" style="16" customWidth="1"/>
    <col min="4611" max="4859" width="11.42578125" style="16"/>
    <col min="4860" max="4860" width="11" style="16" customWidth="1"/>
    <col min="4861" max="4862" width="6.28515625" style="16" customWidth="1"/>
    <col min="4863" max="4863" width="18.28515625" style="16" customWidth="1"/>
    <col min="4864" max="4864" width="13.85546875" style="16" customWidth="1"/>
    <col min="4865" max="4865" width="6.28515625" style="16" customWidth="1"/>
    <col min="4866" max="4866" width="4.5703125" style="16" customWidth="1"/>
    <col min="4867" max="5115" width="11.42578125" style="16"/>
    <col min="5116" max="5116" width="11" style="16" customWidth="1"/>
    <col min="5117" max="5118" width="6.28515625" style="16" customWidth="1"/>
    <col min="5119" max="5119" width="18.28515625" style="16" customWidth="1"/>
    <col min="5120" max="5120" width="13.85546875" style="16" customWidth="1"/>
    <col min="5121" max="5121" width="6.28515625" style="16" customWidth="1"/>
    <col min="5122" max="5122" width="4.5703125" style="16" customWidth="1"/>
    <col min="5123" max="5371" width="11.42578125" style="16"/>
    <col min="5372" max="5372" width="11" style="16" customWidth="1"/>
    <col min="5373" max="5374" width="6.28515625" style="16" customWidth="1"/>
    <col min="5375" max="5375" width="18.28515625" style="16" customWidth="1"/>
    <col min="5376" max="5376" width="13.85546875" style="16" customWidth="1"/>
    <col min="5377" max="5377" width="6.28515625" style="16" customWidth="1"/>
    <col min="5378" max="5378" width="4.5703125" style="16" customWidth="1"/>
    <col min="5379" max="5627" width="11.42578125" style="16"/>
    <col min="5628" max="5628" width="11" style="16" customWidth="1"/>
    <col min="5629" max="5630" width="6.28515625" style="16" customWidth="1"/>
    <col min="5631" max="5631" width="18.28515625" style="16" customWidth="1"/>
    <col min="5632" max="5632" width="13.85546875" style="16" customWidth="1"/>
    <col min="5633" max="5633" width="6.28515625" style="16" customWidth="1"/>
    <col min="5634" max="5634" width="4.5703125" style="16" customWidth="1"/>
    <col min="5635" max="5883" width="11.42578125" style="16"/>
    <col min="5884" max="5884" width="11" style="16" customWidth="1"/>
    <col min="5885" max="5886" width="6.28515625" style="16" customWidth="1"/>
    <col min="5887" max="5887" width="18.28515625" style="16" customWidth="1"/>
    <col min="5888" max="5888" width="13.85546875" style="16" customWidth="1"/>
    <col min="5889" max="5889" width="6.28515625" style="16" customWidth="1"/>
    <col min="5890" max="5890" width="4.5703125" style="16" customWidth="1"/>
    <col min="5891" max="6139" width="11.42578125" style="16"/>
    <col min="6140" max="6140" width="11" style="16" customWidth="1"/>
    <col min="6141" max="6142" width="6.28515625" style="16" customWidth="1"/>
    <col min="6143" max="6143" width="18.28515625" style="16" customWidth="1"/>
    <col min="6144" max="6144" width="13.85546875" style="16" customWidth="1"/>
    <col min="6145" max="6145" width="6.28515625" style="16" customWidth="1"/>
    <col min="6146" max="6146" width="4.5703125" style="16" customWidth="1"/>
    <col min="6147" max="6395" width="11.42578125" style="16"/>
    <col min="6396" max="6396" width="11" style="16" customWidth="1"/>
    <col min="6397" max="6398" width="6.28515625" style="16" customWidth="1"/>
    <col min="6399" max="6399" width="18.28515625" style="16" customWidth="1"/>
    <col min="6400" max="6400" width="13.85546875" style="16" customWidth="1"/>
    <col min="6401" max="6401" width="6.28515625" style="16" customWidth="1"/>
    <col min="6402" max="6402" width="4.5703125" style="16" customWidth="1"/>
    <col min="6403" max="6651" width="11.42578125" style="16"/>
    <col min="6652" max="6652" width="11" style="16" customWidth="1"/>
    <col min="6653" max="6654" width="6.28515625" style="16" customWidth="1"/>
    <col min="6655" max="6655" width="18.28515625" style="16" customWidth="1"/>
    <col min="6656" max="6656" width="13.85546875" style="16" customWidth="1"/>
    <col min="6657" max="6657" width="6.28515625" style="16" customWidth="1"/>
    <col min="6658" max="6658" width="4.5703125" style="16" customWidth="1"/>
    <col min="6659" max="6907" width="11.42578125" style="16"/>
    <col min="6908" max="6908" width="11" style="16" customWidth="1"/>
    <col min="6909" max="6910" width="6.28515625" style="16" customWidth="1"/>
    <col min="6911" max="6911" width="18.28515625" style="16" customWidth="1"/>
    <col min="6912" max="6912" width="13.85546875" style="16" customWidth="1"/>
    <col min="6913" max="6913" width="6.28515625" style="16" customWidth="1"/>
    <col min="6914" max="6914" width="4.5703125" style="16" customWidth="1"/>
    <col min="6915" max="7163" width="11.42578125" style="16"/>
    <col min="7164" max="7164" width="11" style="16" customWidth="1"/>
    <col min="7165" max="7166" width="6.28515625" style="16" customWidth="1"/>
    <col min="7167" max="7167" width="18.28515625" style="16" customWidth="1"/>
    <col min="7168" max="7168" width="13.85546875" style="16" customWidth="1"/>
    <col min="7169" max="7169" width="6.28515625" style="16" customWidth="1"/>
    <col min="7170" max="7170" width="4.5703125" style="16" customWidth="1"/>
    <col min="7171" max="7419" width="11.42578125" style="16"/>
    <col min="7420" max="7420" width="11" style="16" customWidth="1"/>
    <col min="7421" max="7422" width="6.28515625" style="16" customWidth="1"/>
    <col min="7423" max="7423" width="18.28515625" style="16" customWidth="1"/>
    <col min="7424" max="7424" width="13.85546875" style="16" customWidth="1"/>
    <col min="7425" max="7425" width="6.28515625" style="16" customWidth="1"/>
    <col min="7426" max="7426" width="4.5703125" style="16" customWidth="1"/>
    <col min="7427" max="7675" width="11.42578125" style="16"/>
    <col min="7676" max="7676" width="11" style="16" customWidth="1"/>
    <col min="7677" max="7678" width="6.28515625" style="16" customWidth="1"/>
    <col min="7679" max="7679" width="18.28515625" style="16" customWidth="1"/>
    <col min="7680" max="7680" width="13.85546875" style="16" customWidth="1"/>
    <col min="7681" max="7681" width="6.28515625" style="16" customWidth="1"/>
    <col min="7682" max="7682" width="4.5703125" style="16" customWidth="1"/>
    <col min="7683" max="7931" width="11.42578125" style="16"/>
    <col min="7932" max="7932" width="11" style="16" customWidth="1"/>
    <col min="7933" max="7934" width="6.28515625" style="16" customWidth="1"/>
    <col min="7935" max="7935" width="18.28515625" style="16" customWidth="1"/>
    <col min="7936" max="7936" width="13.85546875" style="16" customWidth="1"/>
    <col min="7937" max="7937" width="6.28515625" style="16" customWidth="1"/>
    <col min="7938" max="7938" width="4.5703125" style="16" customWidth="1"/>
    <col min="7939" max="8187" width="11.42578125" style="16"/>
    <col min="8188" max="8188" width="11" style="16" customWidth="1"/>
    <col min="8189" max="8190" width="6.28515625" style="16" customWidth="1"/>
    <col min="8191" max="8191" width="18.28515625" style="16" customWidth="1"/>
    <col min="8192" max="8192" width="13.85546875" style="16" customWidth="1"/>
    <col min="8193" max="8193" width="6.28515625" style="16" customWidth="1"/>
    <col min="8194" max="8194" width="4.5703125" style="16" customWidth="1"/>
    <col min="8195" max="8443" width="11.42578125" style="16"/>
    <col min="8444" max="8444" width="11" style="16" customWidth="1"/>
    <col min="8445" max="8446" width="6.28515625" style="16" customWidth="1"/>
    <col min="8447" max="8447" width="18.28515625" style="16" customWidth="1"/>
    <col min="8448" max="8448" width="13.85546875" style="16" customWidth="1"/>
    <col min="8449" max="8449" width="6.28515625" style="16" customWidth="1"/>
    <col min="8450" max="8450" width="4.5703125" style="16" customWidth="1"/>
    <col min="8451" max="8699" width="11.42578125" style="16"/>
    <col min="8700" max="8700" width="11" style="16" customWidth="1"/>
    <col min="8701" max="8702" width="6.28515625" style="16" customWidth="1"/>
    <col min="8703" max="8703" width="18.28515625" style="16" customWidth="1"/>
    <col min="8704" max="8704" width="13.85546875" style="16" customWidth="1"/>
    <col min="8705" max="8705" width="6.28515625" style="16" customWidth="1"/>
    <col min="8706" max="8706" width="4.5703125" style="16" customWidth="1"/>
    <col min="8707" max="8955" width="11.42578125" style="16"/>
    <col min="8956" max="8956" width="11" style="16" customWidth="1"/>
    <col min="8957" max="8958" width="6.28515625" style="16" customWidth="1"/>
    <col min="8959" max="8959" width="18.28515625" style="16" customWidth="1"/>
    <col min="8960" max="8960" width="13.85546875" style="16" customWidth="1"/>
    <col min="8961" max="8961" width="6.28515625" style="16" customWidth="1"/>
    <col min="8962" max="8962" width="4.5703125" style="16" customWidth="1"/>
    <col min="8963" max="9211" width="11.42578125" style="16"/>
    <col min="9212" max="9212" width="11" style="16" customWidth="1"/>
    <col min="9213" max="9214" width="6.28515625" style="16" customWidth="1"/>
    <col min="9215" max="9215" width="18.28515625" style="16" customWidth="1"/>
    <col min="9216" max="9216" width="13.85546875" style="16" customWidth="1"/>
    <col min="9217" max="9217" width="6.28515625" style="16" customWidth="1"/>
    <col min="9218" max="9218" width="4.5703125" style="16" customWidth="1"/>
    <col min="9219" max="9467" width="11.42578125" style="16"/>
    <col min="9468" max="9468" width="11" style="16" customWidth="1"/>
    <col min="9469" max="9470" width="6.28515625" style="16" customWidth="1"/>
    <col min="9471" max="9471" width="18.28515625" style="16" customWidth="1"/>
    <col min="9472" max="9472" width="13.85546875" style="16" customWidth="1"/>
    <col min="9473" max="9473" width="6.28515625" style="16" customWidth="1"/>
    <col min="9474" max="9474" width="4.5703125" style="16" customWidth="1"/>
    <col min="9475" max="9723" width="11.42578125" style="16"/>
    <col min="9724" max="9724" width="11" style="16" customWidth="1"/>
    <col min="9725" max="9726" width="6.28515625" style="16" customWidth="1"/>
    <col min="9727" max="9727" width="18.28515625" style="16" customWidth="1"/>
    <col min="9728" max="9728" width="13.85546875" style="16" customWidth="1"/>
    <col min="9729" max="9729" width="6.28515625" style="16" customWidth="1"/>
    <col min="9730" max="9730" width="4.5703125" style="16" customWidth="1"/>
    <col min="9731" max="9979" width="11.42578125" style="16"/>
    <col min="9980" max="9980" width="11" style="16" customWidth="1"/>
    <col min="9981" max="9982" width="6.28515625" style="16" customWidth="1"/>
    <col min="9983" max="9983" width="18.28515625" style="16" customWidth="1"/>
    <col min="9984" max="9984" width="13.85546875" style="16" customWidth="1"/>
    <col min="9985" max="9985" width="6.28515625" style="16" customWidth="1"/>
    <col min="9986" max="9986" width="4.5703125" style="16" customWidth="1"/>
    <col min="9987" max="10235" width="11.42578125" style="16"/>
    <col min="10236" max="10236" width="11" style="16" customWidth="1"/>
    <col min="10237" max="10238" width="6.28515625" style="16" customWidth="1"/>
    <col min="10239" max="10239" width="18.28515625" style="16" customWidth="1"/>
    <col min="10240" max="10240" width="13.85546875" style="16" customWidth="1"/>
    <col min="10241" max="10241" width="6.28515625" style="16" customWidth="1"/>
    <col min="10242" max="10242" width="4.5703125" style="16" customWidth="1"/>
    <col min="10243" max="10491" width="11.42578125" style="16"/>
    <col min="10492" max="10492" width="11" style="16" customWidth="1"/>
    <col min="10493" max="10494" width="6.28515625" style="16" customWidth="1"/>
    <col min="10495" max="10495" width="18.28515625" style="16" customWidth="1"/>
    <col min="10496" max="10496" width="13.85546875" style="16" customWidth="1"/>
    <col min="10497" max="10497" width="6.28515625" style="16" customWidth="1"/>
    <col min="10498" max="10498" width="4.5703125" style="16" customWidth="1"/>
    <col min="10499" max="10747" width="11.42578125" style="16"/>
    <col min="10748" max="10748" width="11" style="16" customWidth="1"/>
    <col min="10749" max="10750" width="6.28515625" style="16" customWidth="1"/>
    <col min="10751" max="10751" width="18.28515625" style="16" customWidth="1"/>
    <col min="10752" max="10752" width="13.85546875" style="16" customWidth="1"/>
    <col min="10753" max="10753" width="6.28515625" style="16" customWidth="1"/>
    <col min="10754" max="10754" width="4.5703125" style="16" customWidth="1"/>
    <col min="10755" max="11003" width="11.42578125" style="16"/>
    <col min="11004" max="11004" width="11" style="16" customWidth="1"/>
    <col min="11005" max="11006" width="6.28515625" style="16" customWidth="1"/>
    <col min="11007" max="11007" width="18.28515625" style="16" customWidth="1"/>
    <col min="11008" max="11008" width="13.85546875" style="16" customWidth="1"/>
    <col min="11009" max="11009" width="6.28515625" style="16" customWidth="1"/>
    <col min="11010" max="11010" width="4.5703125" style="16" customWidth="1"/>
    <col min="11011" max="11259" width="11.42578125" style="16"/>
    <col min="11260" max="11260" width="11" style="16" customWidth="1"/>
    <col min="11261" max="11262" width="6.28515625" style="16" customWidth="1"/>
    <col min="11263" max="11263" width="18.28515625" style="16" customWidth="1"/>
    <col min="11264" max="11264" width="13.85546875" style="16" customWidth="1"/>
    <col min="11265" max="11265" width="6.28515625" style="16" customWidth="1"/>
    <col min="11266" max="11266" width="4.5703125" style="16" customWidth="1"/>
    <col min="11267" max="11515" width="11.42578125" style="16"/>
    <col min="11516" max="11516" width="11" style="16" customWidth="1"/>
    <col min="11517" max="11518" width="6.28515625" style="16" customWidth="1"/>
    <col min="11519" max="11519" width="18.28515625" style="16" customWidth="1"/>
    <col min="11520" max="11520" width="13.85546875" style="16" customWidth="1"/>
    <col min="11521" max="11521" width="6.28515625" style="16" customWidth="1"/>
    <col min="11522" max="11522" width="4.5703125" style="16" customWidth="1"/>
    <col min="11523" max="11771" width="11.42578125" style="16"/>
    <col min="11772" max="11772" width="11" style="16" customWidth="1"/>
    <col min="11773" max="11774" width="6.28515625" style="16" customWidth="1"/>
    <col min="11775" max="11775" width="18.28515625" style="16" customWidth="1"/>
    <col min="11776" max="11776" width="13.85546875" style="16" customWidth="1"/>
    <col min="11777" max="11777" width="6.28515625" style="16" customWidth="1"/>
    <col min="11778" max="11778" width="4.5703125" style="16" customWidth="1"/>
    <col min="11779" max="12027" width="11.42578125" style="16"/>
    <col min="12028" max="12028" width="11" style="16" customWidth="1"/>
    <col min="12029" max="12030" width="6.28515625" style="16" customWidth="1"/>
    <col min="12031" max="12031" width="18.28515625" style="16" customWidth="1"/>
    <col min="12032" max="12032" width="13.85546875" style="16" customWidth="1"/>
    <col min="12033" max="12033" width="6.28515625" style="16" customWidth="1"/>
    <col min="12034" max="12034" width="4.5703125" style="16" customWidth="1"/>
    <col min="12035" max="12283" width="11.42578125" style="16"/>
    <col min="12284" max="12284" width="11" style="16" customWidth="1"/>
    <col min="12285" max="12286" width="6.28515625" style="16" customWidth="1"/>
    <col min="12287" max="12287" width="18.28515625" style="16" customWidth="1"/>
    <col min="12288" max="12288" width="13.85546875" style="16" customWidth="1"/>
    <col min="12289" max="12289" width="6.28515625" style="16" customWidth="1"/>
    <col min="12290" max="12290" width="4.5703125" style="16" customWidth="1"/>
    <col min="12291" max="12539" width="11.42578125" style="16"/>
    <col min="12540" max="12540" width="11" style="16" customWidth="1"/>
    <col min="12541" max="12542" width="6.28515625" style="16" customWidth="1"/>
    <col min="12543" max="12543" width="18.28515625" style="16" customWidth="1"/>
    <col min="12544" max="12544" width="13.85546875" style="16" customWidth="1"/>
    <col min="12545" max="12545" width="6.28515625" style="16" customWidth="1"/>
    <col min="12546" max="12546" width="4.5703125" style="16" customWidth="1"/>
    <col min="12547" max="12795" width="11.42578125" style="16"/>
    <col min="12796" max="12796" width="11" style="16" customWidth="1"/>
    <col min="12797" max="12798" width="6.28515625" style="16" customWidth="1"/>
    <col min="12799" max="12799" width="18.28515625" style="16" customWidth="1"/>
    <col min="12800" max="12800" width="13.85546875" style="16" customWidth="1"/>
    <col min="12801" max="12801" width="6.28515625" style="16" customWidth="1"/>
    <col min="12802" max="12802" width="4.5703125" style="16" customWidth="1"/>
    <col min="12803" max="13051" width="11.42578125" style="16"/>
    <col min="13052" max="13052" width="11" style="16" customWidth="1"/>
    <col min="13053" max="13054" width="6.28515625" style="16" customWidth="1"/>
    <col min="13055" max="13055" width="18.28515625" style="16" customWidth="1"/>
    <col min="13056" max="13056" width="13.85546875" style="16" customWidth="1"/>
    <col min="13057" max="13057" width="6.28515625" style="16" customWidth="1"/>
    <col min="13058" max="13058" width="4.5703125" style="16" customWidth="1"/>
    <col min="13059" max="13307" width="11.42578125" style="16"/>
    <col min="13308" max="13308" width="11" style="16" customWidth="1"/>
    <col min="13309" max="13310" width="6.28515625" style="16" customWidth="1"/>
    <col min="13311" max="13311" width="18.28515625" style="16" customWidth="1"/>
    <col min="13312" max="13312" width="13.85546875" style="16" customWidth="1"/>
    <col min="13313" max="13313" width="6.28515625" style="16" customWidth="1"/>
    <col min="13314" max="13314" width="4.5703125" style="16" customWidth="1"/>
    <col min="13315" max="13563" width="11.42578125" style="16"/>
    <col min="13564" max="13564" width="11" style="16" customWidth="1"/>
    <col min="13565" max="13566" width="6.28515625" style="16" customWidth="1"/>
    <col min="13567" max="13567" width="18.28515625" style="16" customWidth="1"/>
    <col min="13568" max="13568" width="13.85546875" style="16" customWidth="1"/>
    <col min="13569" max="13569" width="6.28515625" style="16" customWidth="1"/>
    <col min="13570" max="13570" width="4.5703125" style="16" customWidth="1"/>
    <col min="13571" max="13819" width="11.42578125" style="16"/>
    <col min="13820" max="13820" width="11" style="16" customWidth="1"/>
    <col min="13821" max="13822" width="6.28515625" style="16" customWidth="1"/>
    <col min="13823" max="13823" width="18.28515625" style="16" customWidth="1"/>
    <col min="13824" max="13824" width="13.85546875" style="16" customWidth="1"/>
    <col min="13825" max="13825" width="6.28515625" style="16" customWidth="1"/>
    <col min="13826" max="13826" width="4.5703125" style="16" customWidth="1"/>
    <col min="13827" max="14075" width="11.42578125" style="16"/>
    <col min="14076" max="14076" width="11" style="16" customWidth="1"/>
    <col min="14077" max="14078" width="6.28515625" style="16" customWidth="1"/>
    <col min="14079" max="14079" width="18.28515625" style="16" customWidth="1"/>
    <col min="14080" max="14080" width="13.85546875" style="16" customWidth="1"/>
    <col min="14081" max="14081" width="6.28515625" style="16" customWidth="1"/>
    <col min="14082" max="14082" width="4.5703125" style="16" customWidth="1"/>
    <col min="14083" max="14331" width="11.42578125" style="16"/>
    <col min="14332" max="14332" width="11" style="16" customWidth="1"/>
    <col min="14333" max="14334" width="6.28515625" style="16" customWidth="1"/>
    <col min="14335" max="14335" width="18.28515625" style="16" customWidth="1"/>
    <col min="14336" max="14336" width="13.85546875" style="16" customWidth="1"/>
    <col min="14337" max="14337" width="6.28515625" style="16" customWidth="1"/>
    <col min="14338" max="14338" width="4.5703125" style="16" customWidth="1"/>
    <col min="14339" max="14587" width="11.42578125" style="16"/>
    <col min="14588" max="14588" width="11" style="16" customWidth="1"/>
    <col min="14589" max="14590" width="6.28515625" style="16" customWidth="1"/>
    <col min="14591" max="14591" width="18.28515625" style="16" customWidth="1"/>
    <col min="14592" max="14592" width="13.85546875" style="16" customWidth="1"/>
    <col min="14593" max="14593" width="6.28515625" style="16" customWidth="1"/>
    <col min="14594" max="14594" width="4.5703125" style="16" customWidth="1"/>
    <col min="14595" max="14843" width="11.42578125" style="16"/>
    <col min="14844" max="14844" width="11" style="16" customWidth="1"/>
    <col min="14845" max="14846" width="6.28515625" style="16" customWidth="1"/>
    <col min="14847" max="14847" width="18.28515625" style="16" customWidth="1"/>
    <col min="14848" max="14848" width="13.85546875" style="16" customWidth="1"/>
    <col min="14849" max="14849" width="6.28515625" style="16" customWidth="1"/>
    <col min="14850" max="14850" width="4.5703125" style="16" customWidth="1"/>
    <col min="14851" max="15099" width="11.42578125" style="16"/>
    <col min="15100" max="15100" width="11" style="16" customWidth="1"/>
    <col min="15101" max="15102" width="6.28515625" style="16" customWidth="1"/>
    <col min="15103" max="15103" width="18.28515625" style="16" customWidth="1"/>
    <col min="15104" max="15104" width="13.85546875" style="16" customWidth="1"/>
    <col min="15105" max="15105" width="6.28515625" style="16" customWidth="1"/>
    <col min="15106" max="15106" width="4.5703125" style="16" customWidth="1"/>
    <col min="15107" max="15355" width="11.42578125" style="16"/>
    <col min="15356" max="15356" width="11" style="16" customWidth="1"/>
    <col min="15357" max="15358" width="6.28515625" style="16" customWidth="1"/>
    <col min="15359" max="15359" width="18.28515625" style="16" customWidth="1"/>
    <col min="15360" max="15360" width="13.85546875" style="16" customWidth="1"/>
    <col min="15361" max="15361" width="6.28515625" style="16" customWidth="1"/>
    <col min="15362" max="15362" width="4.5703125" style="16" customWidth="1"/>
    <col min="15363" max="15611" width="11.42578125" style="16"/>
    <col min="15612" max="15612" width="11" style="16" customWidth="1"/>
    <col min="15613" max="15614" width="6.28515625" style="16" customWidth="1"/>
    <col min="15615" max="15615" width="18.28515625" style="16" customWidth="1"/>
    <col min="15616" max="15616" width="13.85546875" style="16" customWidth="1"/>
    <col min="15617" max="15617" width="6.28515625" style="16" customWidth="1"/>
    <col min="15618" max="15618" width="4.5703125" style="16" customWidth="1"/>
    <col min="15619" max="15867" width="11.42578125" style="16"/>
    <col min="15868" max="15868" width="11" style="16" customWidth="1"/>
    <col min="15869" max="15870" width="6.28515625" style="16" customWidth="1"/>
    <col min="15871" max="15871" width="18.28515625" style="16" customWidth="1"/>
    <col min="15872" max="15872" width="13.85546875" style="16" customWidth="1"/>
    <col min="15873" max="15873" width="6.28515625" style="16" customWidth="1"/>
    <col min="15874" max="15874" width="4.5703125" style="16" customWidth="1"/>
    <col min="15875" max="16123" width="11.42578125" style="16"/>
    <col min="16124" max="16124" width="11" style="16" customWidth="1"/>
    <col min="16125" max="16126" width="6.28515625" style="16" customWidth="1"/>
    <col min="16127" max="16127" width="18.28515625" style="16" customWidth="1"/>
    <col min="16128" max="16128" width="13.85546875" style="16" customWidth="1"/>
    <col min="16129" max="16129" width="6.28515625" style="16" customWidth="1"/>
    <col min="16130" max="16130" width="4.5703125" style="16" customWidth="1"/>
    <col min="16131" max="16384" width="11.42578125" style="16"/>
  </cols>
  <sheetData>
    <row r="1" spans="1:144" ht="18" x14ac:dyDescent="0.25">
      <c r="C1" s="17"/>
      <c r="D1" s="17"/>
      <c r="E1" s="17" t="s">
        <v>118</v>
      </c>
      <c r="F1" s="17"/>
      <c r="G1" s="17"/>
      <c r="H1" s="17"/>
      <c r="I1" s="17"/>
      <c r="J1" s="140"/>
      <c r="K1" s="17"/>
      <c r="L1" s="17"/>
      <c r="M1" s="17"/>
      <c r="N1" s="17"/>
      <c r="AL1" s="563" t="s">
        <v>748</v>
      </c>
      <c r="BA1" s="328"/>
      <c r="BC1" s="17"/>
      <c r="BD1" s="17"/>
      <c r="BE1" s="17"/>
      <c r="BF1" s="17"/>
      <c r="BG1" s="17"/>
      <c r="BI1" s="17" t="s">
        <v>686</v>
      </c>
      <c r="CD1" s="328"/>
      <c r="EC1" s="29" t="s">
        <v>1242</v>
      </c>
      <c r="ED1" s="16" t="str">
        <f>+Identification!B117</f>
        <v>Heures réelles déduites</v>
      </c>
    </row>
    <row r="2" spans="1:144" ht="18" x14ac:dyDescent="0.25">
      <c r="C2" s="17"/>
      <c r="D2" s="17"/>
      <c r="E2" s="17"/>
      <c r="F2" s="17"/>
      <c r="G2" s="17"/>
      <c r="H2" s="17"/>
      <c r="I2" s="17"/>
      <c r="J2" s="140"/>
      <c r="K2" s="17"/>
      <c r="L2" s="17"/>
      <c r="M2" s="17"/>
      <c r="N2" s="17"/>
      <c r="P2" s="17"/>
      <c r="BA2" s="328"/>
      <c r="BC2" s="17"/>
      <c r="BD2" s="17"/>
      <c r="BE2" s="17"/>
      <c r="BF2" s="17"/>
      <c r="BG2" s="17"/>
      <c r="BI2" s="17"/>
      <c r="CD2" s="328"/>
    </row>
    <row r="3" spans="1:144" ht="18" x14ac:dyDescent="0.25">
      <c r="C3" s="17"/>
      <c r="D3" s="17"/>
      <c r="E3" s="17"/>
      <c r="F3" s="17"/>
      <c r="G3" s="17"/>
      <c r="H3" s="17"/>
      <c r="I3" s="17"/>
      <c r="J3" s="140"/>
      <c r="K3" s="17"/>
      <c r="L3" s="17"/>
      <c r="M3" s="17"/>
      <c r="N3" s="17"/>
      <c r="P3" s="1334"/>
      <c r="Q3" s="181" t="s">
        <v>352</v>
      </c>
      <c r="R3" s="1335" t="str">
        <f>+VLOOKUP(AT5,base_donné_contrat,10,FALSE)</f>
        <v>Méthode 1</v>
      </c>
      <c r="BA3" s="328"/>
      <c r="BC3" s="17"/>
      <c r="BD3" s="17"/>
      <c r="BE3" s="17"/>
      <c r="BF3" s="17"/>
      <c r="BG3" s="1334"/>
      <c r="BH3" s="24"/>
      <c r="BI3" s="1334"/>
      <c r="BJ3" s="181" t="s">
        <v>747</v>
      </c>
      <c r="BK3" s="1337" t="str">
        <f>+VLOOKUP(AT5,base_donné_contrat,11,FALSE)</f>
        <v>Méthode 1</v>
      </c>
      <c r="CD3" s="328"/>
    </row>
    <row r="4" spans="1:144" ht="18" x14ac:dyDescent="0.25">
      <c r="C4" s="17"/>
      <c r="D4" s="17"/>
      <c r="E4" s="17"/>
      <c r="F4" s="17"/>
      <c r="G4" s="17"/>
      <c r="H4" s="17"/>
      <c r="I4" s="17"/>
      <c r="J4" s="140"/>
      <c r="K4" s="17"/>
      <c r="L4" s="17"/>
      <c r="M4" s="17"/>
      <c r="N4" s="17"/>
      <c r="P4" s="17"/>
      <c r="BA4" s="328"/>
      <c r="BC4" s="17"/>
      <c r="BD4" s="17"/>
      <c r="BE4" s="17"/>
      <c r="BF4" s="17"/>
      <c r="BG4" s="17"/>
      <c r="BI4" s="17"/>
      <c r="CD4" s="328"/>
    </row>
    <row r="5" spans="1:144" ht="26.25" customHeight="1" x14ac:dyDescent="0.25">
      <c r="A5" s="1168" t="s">
        <v>353</v>
      </c>
      <c r="B5" s="526"/>
      <c r="C5" s="1168" t="s">
        <v>1234</v>
      </c>
      <c r="D5" s="526"/>
      <c r="E5" s="526"/>
      <c r="F5" s="526"/>
      <c r="G5" s="526"/>
      <c r="H5" s="526"/>
      <c r="I5" s="526"/>
      <c r="J5" s="1178"/>
      <c r="K5" s="526"/>
      <c r="L5" s="526"/>
      <c r="M5" s="24"/>
      <c r="N5" s="24"/>
      <c r="O5" s="24"/>
      <c r="P5" s="526"/>
      <c r="Q5" s="24"/>
      <c r="R5" s="24"/>
      <c r="T5" s="1309" t="s">
        <v>1218</v>
      </c>
      <c r="U5" s="1303" t="s">
        <v>1222</v>
      </c>
      <c r="V5" s="1303"/>
      <c r="W5" s="1303"/>
      <c r="X5" s="1303"/>
      <c r="Y5" s="1303"/>
      <c r="Z5" s="1303"/>
      <c r="AA5" s="1303"/>
      <c r="AB5" s="1303"/>
      <c r="AI5" s="1310" t="s">
        <v>443</v>
      </c>
      <c r="AS5" s="563" t="s">
        <v>343</v>
      </c>
      <c r="AT5" s="563" t="str">
        <f>+Décembre!DP4</f>
        <v>Fiche info</v>
      </c>
      <c r="BA5" s="1338" t="s">
        <v>350</v>
      </c>
      <c r="BB5" s="340"/>
      <c r="BC5" s="340"/>
      <c r="BD5" s="340"/>
      <c r="BE5" s="340"/>
      <c r="BF5" s="340"/>
      <c r="BG5" s="340"/>
      <c r="BH5" s="340"/>
      <c r="BI5" s="340"/>
      <c r="BL5" s="144" t="s">
        <v>351</v>
      </c>
      <c r="BW5" s="16" t="s">
        <v>343</v>
      </c>
      <c r="BX5" s="16" t="str">
        <f>+AT5</f>
        <v>Fiche info</v>
      </c>
      <c r="CD5" s="328"/>
      <c r="DT5" s="526"/>
      <c r="DU5" s="526"/>
      <c r="DV5" s="526"/>
      <c r="DW5" s="526"/>
      <c r="DX5" s="527"/>
      <c r="DY5" s="667" t="str">
        <f>+Décembre!AR13</f>
        <v>à partir du tableau ci-dessous</v>
      </c>
    </row>
    <row r="6" spans="1:144" ht="29.25" customHeight="1" x14ac:dyDescent="0.25">
      <c r="A6" s="2531" t="s">
        <v>1452</v>
      </c>
      <c r="B6" s="2531"/>
      <c r="C6" s="2531"/>
      <c r="D6" s="2531"/>
      <c r="E6" s="2531"/>
      <c r="F6" s="2531"/>
      <c r="G6" s="2531"/>
      <c r="H6" s="2531"/>
      <c r="I6" s="2531"/>
      <c r="J6" s="2531"/>
      <c r="K6" s="2531"/>
      <c r="L6" s="2531"/>
      <c r="M6" s="2531"/>
      <c r="N6" s="2531"/>
      <c r="O6" s="2531"/>
      <c r="P6" s="2531"/>
      <c r="Q6" s="2531"/>
      <c r="R6" s="2532"/>
      <c r="T6" s="2533" t="s">
        <v>1453</v>
      </c>
      <c r="U6" s="2533"/>
      <c r="V6" s="2533"/>
      <c r="W6" s="2533"/>
      <c r="X6" s="2533"/>
      <c r="Y6" s="2533"/>
      <c r="Z6" s="2533"/>
      <c r="AA6" s="2533"/>
      <c r="AB6" s="2533"/>
      <c r="AC6" s="2533"/>
      <c r="AD6" s="2533"/>
      <c r="AE6" s="2533"/>
      <c r="AF6" s="2533"/>
      <c r="AI6" s="563" t="s">
        <v>514</v>
      </c>
      <c r="BA6" s="1336" t="s">
        <v>513</v>
      </c>
      <c r="BB6" s="146"/>
      <c r="BC6" s="146"/>
      <c r="BD6" s="146"/>
      <c r="BE6" s="146"/>
      <c r="BF6" s="146"/>
      <c r="BG6" s="146"/>
      <c r="BH6" s="146"/>
      <c r="BI6" s="146"/>
      <c r="BL6" s="147" t="s">
        <v>1199</v>
      </c>
      <c r="CD6" s="328"/>
    </row>
    <row r="7" spans="1:144" ht="18" hidden="1" x14ac:dyDescent="0.25">
      <c r="A7" s="145"/>
      <c r="B7" s="146"/>
      <c r="C7" s="146"/>
      <c r="D7" s="146"/>
      <c r="E7" s="146"/>
      <c r="F7" s="146"/>
      <c r="G7" s="146"/>
      <c r="H7" s="146"/>
      <c r="I7" s="146"/>
      <c r="J7" s="525"/>
      <c r="K7" s="146"/>
      <c r="L7" s="146"/>
      <c r="M7" s="146"/>
      <c r="N7" s="146"/>
      <c r="O7" s="146"/>
      <c r="P7" s="146"/>
      <c r="BA7" s="329"/>
      <c r="BB7" s="146"/>
      <c r="BC7" s="146"/>
      <c r="BD7" s="146"/>
      <c r="BE7" s="146"/>
      <c r="BF7" s="146"/>
      <c r="BG7" s="146"/>
      <c r="BH7" s="146"/>
      <c r="BI7" s="146"/>
      <c r="BL7" s="35"/>
      <c r="CD7" s="328"/>
    </row>
    <row r="8" spans="1:144" ht="18" x14ac:dyDescent="0.25">
      <c r="A8" s="148"/>
      <c r="B8" s="340"/>
      <c r="C8" s="95" t="s">
        <v>119</v>
      </c>
      <c r="D8" s="2380">
        <f>+Décembre!AI3</f>
        <v>0</v>
      </c>
      <c r="E8" s="2380"/>
      <c r="F8" s="63"/>
      <c r="G8" s="63"/>
      <c r="H8" s="63"/>
      <c r="I8" s="63"/>
      <c r="J8" s="27"/>
      <c r="K8" s="63"/>
      <c r="L8" s="63"/>
      <c r="M8" s="340"/>
      <c r="N8" s="340"/>
      <c r="O8" s="340"/>
      <c r="P8" s="340"/>
      <c r="T8" s="1189" t="s">
        <v>119</v>
      </c>
      <c r="U8" s="2562">
        <f>Janvier!AI3</f>
        <v>0</v>
      </c>
      <c r="V8" s="2562"/>
      <c r="AI8" s="1189" t="s">
        <v>119</v>
      </c>
      <c r="AJ8" s="2562">
        <f>+D8</f>
        <v>0</v>
      </c>
      <c r="AK8" s="2562"/>
      <c r="BA8" s="330"/>
      <c r="BB8" s="340"/>
      <c r="BC8" s="95" t="s">
        <v>119</v>
      </c>
      <c r="BD8" s="2380">
        <f>+D8</f>
        <v>0</v>
      </c>
      <c r="BE8" s="2380"/>
      <c r="BF8" s="340"/>
      <c r="BG8" s="340"/>
      <c r="BH8" s="340"/>
      <c r="BI8" s="340"/>
      <c r="BL8" s="35"/>
      <c r="BM8" s="95" t="s">
        <v>119</v>
      </c>
      <c r="BN8" s="2380">
        <f>+AJ8</f>
        <v>0</v>
      </c>
      <c r="BO8" s="2380"/>
      <c r="CD8" s="328"/>
    </row>
    <row r="9" spans="1:144" ht="18" x14ac:dyDescent="0.25">
      <c r="A9" s="148"/>
      <c r="B9" s="340"/>
      <c r="C9" s="95"/>
      <c r="D9" s="63"/>
      <c r="E9" s="63"/>
      <c r="F9" s="63"/>
      <c r="G9" s="63"/>
      <c r="H9" s="63"/>
      <c r="I9" s="63"/>
      <c r="J9" s="27"/>
      <c r="K9" s="63"/>
      <c r="L9" s="63"/>
      <c r="M9" s="340"/>
      <c r="N9" s="340"/>
      <c r="O9" s="340"/>
      <c r="P9" s="340"/>
      <c r="S9" s="1311"/>
      <c r="AG9" s="1311"/>
      <c r="AI9" s="1189"/>
      <c r="AJ9" s="1312"/>
      <c r="AK9" s="1312"/>
      <c r="BA9" s="330"/>
      <c r="BB9" s="340"/>
      <c r="BC9" s="95"/>
      <c r="BD9" s="63"/>
      <c r="BE9" s="63"/>
      <c r="BF9" s="340"/>
      <c r="BG9" s="340"/>
      <c r="BH9" s="340"/>
      <c r="BI9" s="340"/>
      <c r="BL9" s="35"/>
      <c r="BM9" s="95"/>
      <c r="BN9" s="63"/>
      <c r="BO9" s="63"/>
      <c r="CD9" s="328"/>
    </row>
    <row r="10" spans="1:144" x14ac:dyDescent="0.2">
      <c r="D10" s="95" t="str">
        <f>+IF(E11=0,"Heures mensualisées :","Hrs mens. (&lt; ou = à 45 hrs / sem) :")</f>
        <v>Heures mensualisées :</v>
      </c>
      <c r="E10" s="149">
        <f>+Décembre!I14</f>
        <v>0</v>
      </c>
      <c r="F10" s="149"/>
      <c r="G10" s="149"/>
      <c r="H10" s="149"/>
      <c r="I10" s="149"/>
      <c r="J10" s="149"/>
      <c r="K10" s="149"/>
      <c r="L10" s="149"/>
      <c r="P10" s="29" t="s">
        <v>1441</v>
      </c>
      <c r="Q10" s="338">
        <f>+Décembre!P18</f>
        <v>0</v>
      </c>
      <c r="V10" s="1189" t="s">
        <v>1442</v>
      </c>
      <c r="W10" s="1313">
        <f>+E10</f>
        <v>0</v>
      </c>
      <c r="AB10" s="1189" t="s">
        <v>1439</v>
      </c>
      <c r="AC10" s="1314">
        <f>+Q10</f>
        <v>0</v>
      </c>
      <c r="AJ10" s="563" t="s">
        <v>783</v>
      </c>
      <c r="AK10" s="563">
        <f>IF(AK11&gt;0,+NETWORKDAYS.INTL(C18,EOMONTH(C18,0),"0111111"),0)</f>
        <v>0</v>
      </c>
      <c r="AL10" s="563">
        <f>IF(AL11&gt;0,+NETWORKDAYS.INTL(C18,EOMONTH(C18,0),"1011111"),0)</f>
        <v>0</v>
      </c>
      <c r="AM10" s="563">
        <f>IF(AM11&gt;0,+NETWORKDAYS.INTL(C18,EOMONTH(C18,0),"1101111"),0)</f>
        <v>0</v>
      </c>
      <c r="AN10" s="563">
        <f>IF(AN11&gt;0,+NETWORKDAYS.INTL(C18,EOMONTH(C18,0),"1110111"),0)</f>
        <v>0</v>
      </c>
      <c r="AO10" s="563">
        <f>IF(AO11&gt;0,+NETWORKDAYS.INTL(C18,EOMONTH(C18,0),"1111011"),0)</f>
        <v>0</v>
      </c>
      <c r="AP10" s="563">
        <f>IF(AP11&gt;0,+NETWORKDAYS.INTL(C18,EOMONTH(C18,0),"1111101"),0)</f>
        <v>0</v>
      </c>
      <c r="AQ10" s="563">
        <f>IF(AQ11&gt;0,+NETWORKDAYS.INTL(C18,EOMONTH(C18,0),"1111110"),0)</f>
        <v>0</v>
      </c>
      <c r="BA10" s="328"/>
      <c r="BD10" s="95" t="s">
        <v>787</v>
      </c>
      <c r="BE10" s="430">
        <f>+Décembre!T18+Décembre!T19</f>
        <v>0</v>
      </c>
      <c r="BI10" s="29" t="s">
        <v>1449</v>
      </c>
      <c r="BJ10" s="338">
        <f>+Décembre!AL14</f>
        <v>0</v>
      </c>
      <c r="BL10" s="35"/>
      <c r="BN10" s="24" t="s">
        <v>783</v>
      </c>
      <c r="BO10" s="24">
        <f>IF(BO11&gt;0,+NETWORKDAYS.INTL(BC18,EOMONTH(BC18,0),"0111111"),0)</f>
        <v>0</v>
      </c>
      <c r="BP10" s="24">
        <f>IF(BP11&gt;0,+NETWORKDAYS.INTL(BC18,EOMONTH(BC18,0),"1011111"),0)</f>
        <v>0</v>
      </c>
      <c r="BQ10" s="24">
        <f>IF(BQ11&gt;0,+NETWORKDAYS.INTL(BC18,EOMONTH(BC18,0),"1101111"),0)</f>
        <v>0</v>
      </c>
      <c r="BR10" s="24">
        <f>IF(BR11&gt;0,+NETWORKDAYS.INTL(BC18,EOMONTH(BC18,0),"1110111"),0)</f>
        <v>0</v>
      </c>
      <c r="BS10" s="24">
        <f>IF(BS11&gt;0,+NETWORKDAYS.INTL(BC18,EOMONTH(BC18,0),"1111011"),0)</f>
        <v>0</v>
      </c>
      <c r="BT10" s="24">
        <f>IF(BT11&gt;0,+NETWORKDAYS.INTL(BC18,EOMONTH(BC18,0),"1111101"),0)</f>
        <v>0</v>
      </c>
      <c r="BU10" s="24">
        <f>IF(BU11&gt;0,+NETWORKDAYS.INTL(BC18,EOMONTH(BC18,0),"1111110"),0)</f>
        <v>0</v>
      </c>
      <c r="CD10" s="328"/>
    </row>
    <row r="11" spans="1:144" ht="15.75" x14ac:dyDescent="0.25">
      <c r="D11" s="29" t="s">
        <v>835</v>
      </c>
      <c r="E11" s="149">
        <f>+Décembre!U14</f>
        <v>0</v>
      </c>
      <c r="F11" s="149"/>
      <c r="G11" s="149"/>
      <c r="H11" s="149"/>
      <c r="I11" s="149"/>
      <c r="J11" s="149"/>
      <c r="K11" s="149"/>
      <c r="L11" s="149"/>
      <c r="M11" s="1179"/>
      <c r="N11" s="181"/>
      <c r="O11" s="1180"/>
      <c r="P11" s="181" t="s">
        <v>1104</v>
      </c>
      <c r="Q11" s="1181">
        <f>+Décembre!P19</f>
        <v>0</v>
      </c>
      <c r="V11" s="1189" t="s">
        <v>835</v>
      </c>
      <c r="W11" s="1313">
        <f>+E11</f>
        <v>0</v>
      </c>
      <c r="AB11" s="1189" t="s">
        <v>1104</v>
      </c>
      <c r="AC11" s="1314">
        <f>+Q11</f>
        <v>0</v>
      </c>
      <c r="AK11" s="563">
        <f>+IF(AK21&gt;0,1,0)</f>
        <v>0</v>
      </c>
      <c r="AL11" s="563">
        <f t="shared" ref="AL11:AQ11" si="0">+IF(AL21&gt;0,1,0)</f>
        <v>0</v>
      </c>
      <c r="AM11" s="563">
        <f t="shared" si="0"/>
        <v>0</v>
      </c>
      <c r="AN11" s="563">
        <f t="shared" si="0"/>
        <v>0</v>
      </c>
      <c r="AO11" s="563">
        <f t="shared" si="0"/>
        <v>0</v>
      </c>
      <c r="AP11" s="563">
        <f t="shared" si="0"/>
        <v>0</v>
      </c>
      <c r="AQ11" s="563">
        <f t="shared" si="0"/>
        <v>0</v>
      </c>
      <c r="BA11" s="328"/>
      <c r="BD11" s="95"/>
      <c r="BE11" s="149"/>
      <c r="BF11" s="96"/>
      <c r="BG11" s="29"/>
      <c r="BH11" s="337"/>
      <c r="BI11" s="29" t="s">
        <v>688</v>
      </c>
      <c r="BJ11" s="338">
        <f>+BJ10*(1+Décembre!N15)</f>
        <v>0</v>
      </c>
      <c r="BL11" s="35"/>
      <c r="BO11" s="24">
        <f>+IF(BO21&gt;0,1,0)</f>
        <v>0</v>
      </c>
      <c r="BP11" s="24">
        <f t="shared" ref="BP11:BU11" si="1">+IF(BP21&gt;0,1,0)</f>
        <v>0</v>
      </c>
      <c r="BQ11" s="24">
        <f t="shared" si="1"/>
        <v>0</v>
      </c>
      <c r="BR11" s="24">
        <f t="shared" si="1"/>
        <v>0</v>
      </c>
      <c r="BS11" s="24">
        <f t="shared" si="1"/>
        <v>0</v>
      </c>
      <c r="BT11" s="24">
        <f t="shared" si="1"/>
        <v>0</v>
      </c>
      <c r="BU11" s="24">
        <f t="shared" si="1"/>
        <v>0</v>
      </c>
      <c r="CD11" s="328"/>
      <c r="CE11" s="99" t="s">
        <v>1406</v>
      </c>
    </row>
    <row r="12" spans="1:144" ht="38.25" x14ac:dyDescent="0.2">
      <c r="AK12" s="1275" t="s">
        <v>17</v>
      </c>
      <c r="AL12" s="1275" t="s">
        <v>18</v>
      </c>
      <c r="AM12" s="1275" t="s">
        <v>19</v>
      </c>
      <c r="AN12" s="1275" t="s">
        <v>20</v>
      </c>
      <c r="AO12" s="1275" t="s">
        <v>21</v>
      </c>
      <c r="AP12" s="1275" t="s">
        <v>184</v>
      </c>
      <c r="AQ12" s="1275" t="s">
        <v>185</v>
      </c>
      <c r="AR12" s="1275" t="s">
        <v>307</v>
      </c>
      <c r="AS12" s="1275" t="s">
        <v>308</v>
      </c>
      <c r="AT12" s="1275" t="s">
        <v>309</v>
      </c>
      <c r="AU12" s="1275" t="s">
        <v>310</v>
      </c>
      <c r="AV12" s="1275" t="s">
        <v>311</v>
      </c>
      <c r="AW12" s="1275" t="s">
        <v>345</v>
      </c>
      <c r="AX12" s="1275" t="s">
        <v>346</v>
      </c>
      <c r="BA12" s="328"/>
      <c r="BL12" s="35"/>
      <c r="BO12" s="54" t="s">
        <v>17</v>
      </c>
      <c r="BP12" s="54" t="s">
        <v>18</v>
      </c>
      <c r="BQ12" s="54" t="s">
        <v>19</v>
      </c>
      <c r="BR12" s="54" t="s">
        <v>20</v>
      </c>
      <c r="BS12" s="54" t="s">
        <v>21</v>
      </c>
      <c r="BT12" s="54" t="s">
        <v>184</v>
      </c>
      <c r="BU12" s="54" t="s">
        <v>185</v>
      </c>
      <c r="BV12" s="150" t="s">
        <v>307</v>
      </c>
      <c r="BW12" s="150" t="s">
        <v>308</v>
      </c>
      <c r="BX12" s="151" t="s">
        <v>309</v>
      </c>
      <c r="BY12" s="151" t="s">
        <v>310</v>
      </c>
      <c r="BZ12" s="54" t="s">
        <v>311</v>
      </c>
      <c r="CA12" s="54" t="s">
        <v>345</v>
      </c>
      <c r="CB12" s="54" t="s">
        <v>346</v>
      </c>
      <c r="CD12" s="328"/>
    </row>
    <row r="13" spans="1:144" x14ac:dyDescent="0.2">
      <c r="C13" s="95" t="s">
        <v>120</v>
      </c>
      <c r="D13" s="152">
        <f>+Décembre!X3</f>
        <v>46357</v>
      </c>
      <c r="M13" s="152"/>
      <c r="N13" s="153">
        <f>DATE(YEAR($D$13),MONTH($D$13)+1,DAY($D$13))</f>
        <v>46388</v>
      </c>
      <c r="O13" s="154">
        <f>N13</f>
        <v>46388</v>
      </c>
      <c r="V13" s="1189" t="s">
        <v>1443</v>
      </c>
      <c r="W13" s="1315">
        <f>+Q16</f>
        <v>0</v>
      </c>
      <c r="AJ13" s="1189" t="s">
        <v>312</v>
      </c>
      <c r="AK13" s="1313" t="str">
        <f>+VLOOKUP($AT$5&amp;"A"&amp;"1",Base_heures,6,FALSE)</f>
        <v/>
      </c>
      <c r="AL13" s="1313" t="str">
        <f>+VLOOKUP($AT$5&amp;"A"&amp;"2",Base_heures,6,FALSE)</f>
        <v/>
      </c>
      <c r="AM13" s="1313" t="str">
        <f>+VLOOKUP($AT$5&amp;"A"&amp;"3",Base_heures,6,FALSE)</f>
        <v/>
      </c>
      <c r="AN13" s="1313" t="str">
        <f>+VLOOKUP($AT$5&amp;"A"&amp;"4",Base_heures,6,FALSE)</f>
        <v/>
      </c>
      <c r="AO13" s="1313" t="str">
        <f>+VLOOKUP($AT$5&amp;"A"&amp;"5",Base_heures,6,FALSE)</f>
        <v/>
      </c>
      <c r="AP13" s="1313" t="str">
        <f>+VLOOKUP($AT$5&amp;"A"&amp;"6",Base_heures,6,FALSE)</f>
        <v/>
      </c>
      <c r="AQ13" s="1313" t="str">
        <f>+VLOOKUP($AT$5&amp;"A"&amp;"7",Base_heures,6,FALSE)</f>
        <v/>
      </c>
      <c r="AR13" s="1313">
        <f t="shared" ref="AR13:AR20" si="2">SUM(AK13:AQ13)</f>
        <v>0</v>
      </c>
      <c r="AS13" s="1299" t="str">
        <f>+VLOOKUP($AT$5&amp;"ASem",basesem,2,FALSE)</f>
        <v/>
      </c>
      <c r="AT13" s="1313" t="e">
        <f t="shared" ref="AT13:AT20" si="3">+AS13*AR13</f>
        <v>#VALUE!</v>
      </c>
      <c r="AU13" s="563">
        <f t="shared" ref="AU13:AU20" si="4">COUNT(AK13:AQ13)</f>
        <v>0</v>
      </c>
      <c r="AV13" s="563" t="e">
        <f t="shared" ref="AV13:AV20" si="5">+AU13*AS13</f>
        <v>#VALUE!</v>
      </c>
      <c r="AW13" s="1313">
        <f>+IF(AR13&gt;45,AR13-45,0)</f>
        <v>0</v>
      </c>
      <c r="AX13" s="563">
        <f>+IF(AR13,AW13/AR13,0)</f>
        <v>0</v>
      </c>
      <c r="BA13" s="328"/>
      <c r="BC13" s="95" t="s">
        <v>120</v>
      </c>
      <c r="BD13" s="152">
        <f>+D13</f>
        <v>46357</v>
      </c>
      <c r="BF13" s="152"/>
      <c r="BG13" s="153">
        <f>DATE(YEAR($D$13),MONTH($D$13)+1,DAY($D$13))</f>
        <v>46388</v>
      </c>
      <c r="BH13" s="154">
        <f>BG13</f>
        <v>46388</v>
      </c>
      <c r="BL13" s="35"/>
      <c r="BM13" s="155"/>
      <c r="BN13" s="156" t="s">
        <v>312</v>
      </c>
      <c r="BO13" s="157" t="str">
        <f>+VLOOKUP($AT$5&amp;"A"&amp;"1",Base_heures,6,FALSE)</f>
        <v/>
      </c>
      <c r="BP13" s="157" t="str">
        <f>+VLOOKUP($AT$5&amp;"A"&amp;"2",Base_heures,6,FALSE)</f>
        <v/>
      </c>
      <c r="BQ13" s="157" t="str">
        <f>+VLOOKUP($AT$5&amp;"A"&amp;"3",Base_heures,6,FALSE)</f>
        <v/>
      </c>
      <c r="BR13" s="157" t="str">
        <f>+VLOOKUP($AT$5&amp;"A"&amp;"4",Base_heures,6,FALSE)</f>
        <v/>
      </c>
      <c r="BS13" s="157" t="str">
        <f>+VLOOKUP($AT$5&amp;"A"&amp;"5",Base_heures,6,FALSE)</f>
        <v/>
      </c>
      <c r="BT13" s="157" t="str">
        <f>+VLOOKUP($AT$5&amp;"A"&amp;"6",Base_heures,6,FALSE)</f>
        <v/>
      </c>
      <c r="BU13" s="157" t="str">
        <f>+VLOOKUP($AT$5&amp;"A"&amp;"7",Base_heures,6,FALSE)</f>
        <v/>
      </c>
      <c r="BV13" s="158">
        <f t="shared" ref="BV13:BV20" si="6">SUM(BO13:BU13)</f>
        <v>0</v>
      </c>
      <c r="BW13" s="159" t="str">
        <f>+VLOOKUP($AT$5&amp;"ASem",basesem,2,FALSE)</f>
        <v/>
      </c>
      <c r="BX13" s="160" t="e">
        <f t="shared" ref="BX13:BX20" si="7">+BW13*BV13</f>
        <v>#VALUE!</v>
      </c>
      <c r="BY13" s="161">
        <f t="shared" ref="BY13:BY20" si="8">COUNT(BO13:BU13)</f>
        <v>0</v>
      </c>
      <c r="BZ13" s="161" t="e">
        <f t="shared" ref="BZ13:BZ20" si="9">+BY13*BW13</f>
        <v>#VALUE!</v>
      </c>
      <c r="CA13" s="158">
        <f>+IF(BV13&gt;45,BV13-45,0)</f>
        <v>0</v>
      </c>
      <c r="CB13" s="162">
        <f>+IF(BV13,CA13/BV13,0)</f>
        <v>0</v>
      </c>
      <c r="CD13" s="328"/>
      <c r="CQ13" s="153">
        <f>+BG13</f>
        <v>46388</v>
      </c>
    </row>
    <row r="14" spans="1:144" ht="13.5" thickBot="1" x14ac:dyDescent="0.25">
      <c r="C14" s="95"/>
      <c r="D14" s="152"/>
      <c r="M14" s="152"/>
      <c r="N14" s="153"/>
      <c r="O14" s="154"/>
      <c r="V14" s="1189" t="s">
        <v>1103</v>
      </c>
      <c r="W14" s="1315">
        <f>+Q17</f>
        <v>0</v>
      </c>
      <c r="AJ14" s="1189" t="s">
        <v>313</v>
      </c>
      <c r="AK14" s="1313" t="str">
        <f>+VLOOKUP($AT$5&amp;"B"&amp;"1",Base_heures,6,FALSE)</f>
        <v/>
      </c>
      <c r="AL14" s="1313" t="str">
        <f>+VLOOKUP($AT$5&amp;"B"&amp;"2",Base_heures,6,FALSE)</f>
        <v/>
      </c>
      <c r="AM14" s="1313" t="str">
        <f>+VLOOKUP($AT$5&amp;"B"&amp;"3",Base_heures,6,FALSE)</f>
        <v/>
      </c>
      <c r="AN14" s="1313" t="str">
        <f>+VLOOKUP($AT$5&amp;"B"&amp;"4",Base_heures,6,FALSE)</f>
        <v/>
      </c>
      <c r="AO14" s="1313" t="str">
        <f>+VLOOKUP($AT$5&amp;"B"&amp;"5",Base_heures,6,FALSE)</f>
        <v/>
      </c>
      <c r="AP14" s="1313" t="str">
        <f>+VLOOKUP($AT$5&amp;"B"&amp;"6",Base_heures,6,FALSE)</f>
        <v/>
      </c>
      <c r="AQ14" s="1313" t="str">
        <f>+VLOOKUP($AT$5&amp;"B"&amp;"7",Base_heures,6,FALSE)</f>
        <v/>
      </c>
      <c r="AR14" s="1313">
        <f t="shared" si="2"/>
        <v>0</v>
      </c>
      <c r="AS14" s="1299">
        <f>+VLOOKUP($AT$5&amp;"BSem",basesem,2,FALSE)</f>
        <v>0</v>
      </c>
      <c r="AT14" s="1313">
        <f t="shared" si="3"/>
        <v>0</v>
      </c>
      <c r="AU14" s="563">
        <f t="shared" si="4"/>
        <v>0</v>
      </c>
      <c r="AV14" s="563">
        <f t="shared" si="5"/>
        <v>0</v>
      </c>
      <c r="AW14" s="1313">
        <f t="shared" ref="AW14:AW20" si="10">+IF(AR14&gt;45,AR14-45,0)</f>
        <v>0</v>
      </c>
      <c r="AX14" s="563">
        <f t="shared" ref="AX14:AX21" si="11">+IF(AR14,AW14/AR14,0)</f>
        <v>0</v>
      </c>
      <c r="BA14" s="328"/>
      <c r="BC14" s="95"/>
      <c r="BD14" s="152"/>
      <c r="BF14" s="152"/>
      <c r="BG14" s="153"/>
      <c r="BH14" s="154"/>
      <c r="BL14" s="35"/>
      <c r="BM14" s="163"/>
      <c r="BN14" s="29" t="s">
        <v>313</v>
      </c>
      <c r="BO14" s="157" t="str">
        <f>+VLOOKUP($AT$5&amp;"B"&amp;"1",Base_heures,6,FALSE)</f>
        <v/>
      </c>
      <c r="BP14" s="157" t="str">
        <f>+VLOOKUP($AT$5&amp;"B"&amp;"2",Base_heures,6,FALSE)</f>
        <v/>
      </c>
      <c r="BQ14" s="157" t="str">
        <f>+VLOOKUP($AT$5&amp;"B"&amp;"3",Base_heures,6,FALSE)</f>
        <v/>
      </c>
      <c r="BR14" s="157" t="str">
        <f>+VLOOKUP($AT$5&amp;"B"&amp;"4",Base_heures,6,FALSE)</f>
        <v/>
      </c>
      <c r="BS14" s="157" t="str">
        <f>+VLOOKUP($AT$5&amp;"B"&amp;"5",Base_heures,6,FALSE)</f>
        <v/>
      </c>
      <c r="BT14" s="157" t="str">
        <f>+VLOOKUP($AT$5&amp;"B"&amp;"6",Base_heures,6,FALSE)</f>
        <v/>
      </c>
      <c r="BU14" s="157" t="str">
        <f>+VLOOKUP($AT$5&amp;"B"&amp;"7",Base_heures,6,FALSE)</f>
        <v/>
      </c>
      <c r="BV14" s="164">
        <f t="shared" si="6"/>
        <v>0</v>
      </c>
      <c r="BW14" s="165">
        <f>+VLOOKUP($AT$5&amp;"BSem",basesem,2,FALSE)</f>
        <v>0</v>
      </c>
      <c r="BX14" s="166">
        <f t="shared" si="7"/>
        <v>0</v>
      </c>
      <c r="BY14" s="162">
        <f t="shared" si="8"/>
        <v>0</v>
      </c>
      <c r="BZ14" s="162">
        <f t="shared" si="9"/>
        <v>0</v>
      </c>
      <c r="CA14" s="164">
        <f t="shared" ref="CA14:CA20" si="12">+IF(BV14&gt;45,BV14-45,0)</f>
        <v>0</v>
      </c>
      <c r="CB14" s="162">
        <f t="shared" ref="CB14:CB21" si="13">+IF(BV14,CA14/BV14,0)</f>
        <v>0</v>
      </c>
      <c r="CD14" s="328"/>
    </row>
    <row r="15" spans="1:144" ht="12.75" customHeight="1" x14ac:dyDescent="0.2">
      <c r="D15" s="2540" t="s">
        <v>987</v>
      </c>
      <c r="E15" s="2540" t="s">
        <v>129</v>
      </c>
      <c r="F15" s="82"/>
      <c r="G15" s="82"/>
      <c r="H15" s="82"/>
      <c r="I15" s="82"/>
      <c r="J15" s="82"/>
      <c r="K15" s="82"/>
      <c r="L15" s="82"/>
      <c r="M15" s="167"/>
      <c r="N15" s="167"/>
      <c r="AJ15" s="1189" t="s">
        <v>314</v>
      </c>
      <c r="AK15" s="1313" t="str">
        <f>+VLOOKUP($AT$5&amp;"C"&amp;"1",Base_heures,6,FALSE)</f>
        <v/>
      </c>
      <c r="AL15" s="1313" t="str">
        <f>+VLOOKUP($AT$5&amp;"C"&amp;"2",Base_heures,6,FALSE)</f>
        <v/>
      </c>
      <c r="AM15" s="1313" t="str">
        <f>+VLOOKUP($AT$5&amp;"C"&amp;"3",Base_heures,6,FALSE)</f>
        <v/>
      </c>
      <c r="AN15" s="1313" t="str">
        <f>+VLOOKUP($AT$5&amp;"C"&amp;"4",Base_heures,6,FALSE)</f>
        <v/>
      </c>
      <c r="AO15" s="1313" t="str">
        <f>+VLOOKUP($AT$5&amp;"C"&amp;"5",Base_heures,6,FALSE)</f>
        <v/>
      </c>
      <c r="AP15" s="1313" t="str">
        <f>+VLOOKUP($AT$5&amp;"C"&amp;"6",Base_heures,6,FALSE)</f>
        <v/>
      </c>
      <c r="AQ15" s="1313" t="str">
        <f>+VLOOKUP($AT$5&amp;"C"&amp;"7",Base_heures,6,FALSE)</f>
        <v/>
      </c>
      <c r="AR15" s="1313">
        <f t="shared" si="2"/>
        <v>0</v>
      </c>
      <c r="AS15" s="1299">
        <f>+VLOOKUP($AT$5&amp;"CSem",basesem,2,FALSE)</f>
        <v>0</v>
      </c>
      <c r="AT15" s="1313">
        <f t="shared" si="3"/>
        <v>0</v>
      </c>
      <c r="AU15" s="563">
        <f t="shared" si="4"/>
        <v>0</v>
      </c>
      <c r="AV15" s="563">
        <f t="shared" si="5"/>
        <v>0</v>
      </c>
      <c r="AW15" s="1313">
        <f t="shared" si="10"/>
        <v>0</v>
      </c>
      <c r="AX15" s="563">
        <f t="shared" si="11"/>
        <v>0</v>
      </c>
      <c r="BA15" s="328"/>
      <c r="BD15" s="2569" t="s">
        <v>121</v>
      </c>
      <c r="BE15" s="2540" t="s">
        <v>687</v>
      </c>
      <c r="BF15" s="2540" t="s">
        <v>684</v>
      </c>
      <c r="BG15" s="2567" t="s">
        <v>241</v>
      </c>
      <c r="BL15" s="35"/>
      <c r="BM15" s="163"/>
      <c r="BN15" s="95" t="s">
        <v>314</v>
      </c>
      <c r="BO15" s="157" t="str">
        <f>+VLOOKUP($AT$5&amp;"C"&amp;"1",Base_heures,6,FALSE)</f>
        <v/>
      </c>
      <c r="BP15" s="157" t="str">
        <f>+VLOOKUP($AT$5&amp;"C"&amp;"2",Base_heures,6,FALSE)</f>
        <v/>
      </c>
      <c r="BQ15" s="157" t="str">
        <f>+VLOOKUP($AT$5&amp;"C"&amp;"3",Base_heures,6,FALSE)</f>
        <v/>
      </c>
      <c r="BR15" s="157" t="str">
        <f>+VLOOKUP($AT$5&amp;"C"&amp;"4",Base_heures,6,FALSE)</f>
        <v/>
      </c>
      <c r="BS15" s="157" t="str">
        <f>+VLOOKUP($AT$5&amp;"C"&amp;"5",Base_heures,6,FALSE)</f>
        <v/>
      </c>
      <c r="BT15" s="157" t="str">
        <f>+VLOOKUP($AT$5&amp;"C"&amp;"6",Base_heures,6,FALSE)</f>
        <v/>
      </c>
      <c r="BU15" s="157" t="str">
        <f>+VLOOKUP($AT$5&amp;"C"&amp;"7",Base_heures,6,FALSE)</f>
        <v/>
      </c>
      <c r="BV15" s="164">
        <f t="shared" si="6"/>
        <v>0</v>
      </c>
      <c r="BW15" s="165">
        <f>+VLOOKUP($AT$5&amp;"CSem",basesem,2,FALSE)</f>
        <v>0</v>
      </c>
      <c r="BX15" s="166">
        <f t="shared" si="7"/>
        <v>0</v>
      </c>
      <c r="BY15" s="162">
        <f t="shared" si="8"/>
        <v>0</v>
      </c>
      <c r="BZ15" s="162">
        <f t="shared" si="9"/>
        <v>0</v>
      </c>
      <c r="CA15" s="164">
        <f t="shared" si="12"/>
        <v>0</v>
      </c>
      <c r="CB15" s="162">
        <f t="shared" si="13"/>
        <v>0</v>
      </c>
      <c r="CD15" s="328"/>
      <c r="CG15" s="2540" t="s">
        <v>1405</v>
      </c>
      <c r="CH15" s="2508"/>
    </row>
    <row r="16" spans="1:144" ht="25.5" customHeight="1" thickBot="1" x14ac:dyDescent="0.25">
      <c r="D16" s="2566"/>
      <c r="E16" s="2566"/>
      <c r="F16" s="82"/>
      <c r="G16" s="82"/>
      <c r="H16" s="82"/>
      <c r="I16" s="82"/>
      <c r="J16" s="82"/>
      <c r="K16" s="82"/>
      <c r="L16" s="82"/>
      <c r="N16" s="103"/>
      <c r="P16" s="29" t="str">
        <f>+IF(E11=0,"Mensualisation :","Mensualisation (heures &lt; ou = à 45 hrs / sem) :")</f>
        <v>Mensualisation :</v>
      </c>
      <c r="Q16" s="670">
        <f>+ROUND(E10*Q10,2)</f>
        <v>0</v>
      </c>
      <c r="AJ16" s="1189" t="s">
        <v>315</v>
      </c>
      <c r="AK16" s="1313" t="str">
        <f>+VLOOKUP($AT$5&amp;"D"&amp;"1",Base_heures,6,FALSE)</f>
        <v/>
      </c>
      <c r="AL16" s="1313" t="str">
        <f>+VLOOKUP($AT$5&amp;"D"&amp;"2",Base_heures,6,FALSE)</f>
        <v/>
      </c>
      <c r="AM16" s="1313" t="str">
        <f>+VLOOKUP($AT$5&amp;"D"&amp;"3",Base_heures,6,FALSE)</f>
        <v/>
      </c>
      <c r="AN16" s="1313" t="str">
        <f>+VLOOKUP($AT$5&amp;"D"&amp;"4",Base_heures,6,FALSE)</f>
        <v/>
      </c>
      <c r="AO16" s="1313" t="str">
        <f>+VLOOKUP($AT$5&amp;"D"&amp;"5",Base_heures,6,FALSE)</f>
        <v/>
      </c>
      <c r="AP16" s="1313" t="str">
        <f>+VLOOKUP($AT$5&amp;"D"&amp;"6",Base_heures,6,FALSE)</f>
        <v/>
      </c>
      <c r="AQ16" s="1313" t="str">
        <f>+VLOOKUP($AT$5&amp;"D"&amp;"7",Base_heures,6,FALSE)</f>
        <v/>
      </c>
      <c r="AR16" s="1313">
        <f t="shared" si="2"/>
        <v>0</v>
      </c>
      <c r="AS16" s="1299">
        <f>+VLOOKUP($AT$5&amp;"DSem",basesem,2,FALSE)</f>
        <v>0</v>
      </c>
      <c r="AT16" s="1313">
        <f t="shared" si="3"/>
        <v>0</v>
      </c>
      <c r="AU16" s="563">
        <f t="shared" si="4"/>
        <v>0</v>
      </c>
      <c r="AV16" s="563">
        <f t="shared" si="5"/>
        <v>0</v>
      </c>
      <c r="AW16" s="1313">
        <f t="shared" si="10"/>
        <v>0</v>
      </c>
      <c r="AX16" s="563">
        <f t="shared" si="11"/>
        <v>0</v>
      </c>
      <c r="BA16" s="328"/>
      <c r="BD16" s="2570"/>
      <c r="BE16" s="2566"/>
      <c r="BF16" s="2566"/>
      <c r="BG16" s="2568"/>
      <c r="BL16" s="35"/>
      <c r="BM16" s="163"/>
      <c r="BN16" s="95" t="s">
        <v>315</v>
      </c>
      <c r="BO16" s="157" t="str">
        <f>+VLOOKUP($AT$5&amp;"D"&amp;"1",Base_heures,6,FALSE)</f>
        <v/>
      </c>
      <c r="BP16" s="157" t="str">
        <f>+VLOOKUP($AT$5&amp;"D"&amp;"2",Base_heures,6,FALSE)</f>
        <v/>
      </c>
      <c r="BQ16" s="157" t="str">
        <f>+VLOOKUP($AT$5&amp;"D"&amp;"3",Base_heures,6,FALSE)</f>
        <v/>
      </c>
      <c r="BR16" s="157" t="str">
        <f>+VLOOKUP($AT$5&amp;"D"&amp;"4",Base_heures,6,FALSE)</f>
        <v/>
      </c>
      <c r="BS16" s="157" t="str">
        <f>+VLOOKUP($AT$5&amp;"D"&amp;"5",Base_heures,6,FALSE)</f>
        <v/>
      </c>
      <c r="BT16" s="157" t="str">
        <f>+VLOOKUP($AT$5&amp;"D"&amp;"6",Base_heures,6,FALSE)</f>
        <v/>
      </c>
      <c r="BU16" s="157" t="str">
        <f>+VLOOKUP($AT$5&amp;"D"&amp;"7",Base_heures,6,FALSE)</f>
        <v/>
      </c>
      <c r="BV16" s="164">
        <f t="shared" si="6"/>
        <v>0</v>
      </c>
      <c r="BW16" s="165">
        <f>+VLOOKUP($AT$5&amp;"DSem",basesem,2,FALSE)</f>
        <v>0</v>
      </c>
      <c r="BX16" s="166">
        <f t="shared" si="7"/>
        <v>0</v>
      </c>
      <c r="BY16" s="162">
        <f t="shared" si="8"/>
        <v>0</v>
      </c>
      <c r="BZ16" s="162">
        <f t="shared" si="9"/>
        <v>0</v>
      </c>
      <c r="CA16" s="164">
        <f t="shared" si="12"/>
        <v>0</v>
      </c>
      <c r="CB16" s="162">
        <f t="shared" si="13"/>
        <v>0</v>
      </c>
      <c r="CD16" s="328"/>
      <c r="CG16" s="2541"/>
      <c r="CH16" s="2508"/>
      <c r="EM16" s="825"/>
      <c r="EN16" s="825"/>
    </row>
    <row r="17" spans="1:147" ht="18" customHeight="1" thickBot="1" x14ac:dyDescent="0.25">
      <c r="A17" s="24" t="s">
        <v>248</v>
      </c>
      <c r="B17" s="2559">
        <f>+$D$13</f>
        <v>46357</v>
      </c>
      <c r="C17" s="2560"/>
      <c r="D17" s="2560"/>
      <c r="E17" s="2561"/>
      <c r="F17" s="953" t="s">
        <v>492</v>
      </c>
      <c r="G17" s="1533"/>
      <c r="H17" s="167" t="s">
        <v>1335</v>
      </c>
      <c r="I17" s="167" t="s">
        <v>1002</v>
      </c>
      <c r="J17" s="167" t="s">
        <v>982</v>
      </c>
      <c r="K17" s="167" t="s">
        <v>983</v>
      </c>
      <c r="L17" s="167" t="s">
        <v>984</v>
      </c>
      <c r="N17" s="153"/>
      <c r="P17" s="29" t="s">
        <v>1103</v>
      </c>
      <c r="Q17" s="670">
        <f>+ROUND(Q11*E11,2)</f>
        <v>0</v>
      </c>
      <c r="AJ17" s="1189" t="s">
        <v>316</v>
      </c>
      <c r="AK17" s="1313" t="str">
        <f>+VLOOKUP($AT$5&amp;"E"&amp;"1",Base_heures,6,FALSE)</f>
        <v/>
      </c>
      <c r="AL17" s="1313" t="str">
        <f>+VLOOKUP($AT$5&amp;"E"&amp;"2",Base_heures,6,FALSE)</f>
        <v/>
      </c>
      <c r="AM17" s="1313" t="str">
        <f>+VLOOKUP($AT$5&amp;"E"&amp;"3",Base_heures,6,FALSE)</f>
        <v/>
      </c>
      <c r="AN17" s="1313" t="str">
        <f>+VLOOKUP($AT$5&amp;"E"&amp;"4",Base_heures,6,FALSE)</f>
        <v/>
      </c>
      <c r="AO17" s="1313" t="str">
        <f>+VLOOKUP($AT$5&amp;"E"&amp;"5",Base_heures,6,FALSE)</f>
        <v/>
      </c>
      <c r="AP17" s="1313" t="str">
        <f>+VLOOKUP($AT$5&amp;"E"&amp;"6",Base_heures,6,FALSE)</f>
        <v/>
      </c>
      <c r="AQ17" s="1313" t="str">
        <f>+VLOOKUP($AT$5&amp;"E"&amp;"7",Base_heures,6,FALSE)</f>
        <v/>
      </c>
      <c r="AR17" s="1313">
        <f t="shared" si="2"/>
        <v>0</v>
      </c>
      <c r="AS17" s="1299">
        <f>+VLOOKUP($AT$5&amp;"ESem",basesem,2,FALSE)</f>
        <v>0</v>
      </c>
      <c r="AT17" s="1313">
        <f t="shared" si="3"/>
        <v>0</v>
      </c>
      <c r="AU17" s="563">
        <f t="shared" si="4"/>
        <v>0</v>
      </c>
      <c r="AV17" s="563">
        <f t="shared" si="5"/>
        <v>0</v>
      </c>
      <c r="AW17" s="1313">
        <f t="shared" si="10"/>
        <v>0</v>
      </c>
      <c r="AX17" s="563">
        <f t="shared" si="11"/>
        <v>0</v>
      </c>
      <c r="BA17" s="331" t="s">
        <v>248</v>
      </c>
      <c r="BB17" s="2550">
        <f>+$D$13</f>
        <v>46357</v>
      </c>
      <c r="BC17" s="2551"/>
      <c r="BD17" s="2551"/>
      <c r="BE17" s="2551"/>
      <c r="BF17" s="2551"/>
      <c r="BG17" s="2552"/>
      <c r="BL17" s="35"/>
      <c r="BM17" s="163"/>
      <c r="BN17" s="95" t="s">
        <v>316</v>
      </c>
      <c r="BO17" s="157" t="str">
        <f>+VLOOKUP($AT$5&amp;"E"&amp;"1",Base_heures,6,FALSE)</f>
        <v/>
      </c>
      <c r="BP17" s="157" t="str">
        <f>+VLOOKUP($AT$5&amp;"E"&amp;"2",Base_heures,6,FALSE)</f>
        <v/>
      </c>
      <c r="BQ17" s="157" t="str">
        <f>+VLOOKUP($AT$5&amp;"E"&amp;"3",Base_heures,6,FALSE)</f>
        <v/>
      </c>
      <c r="BR17" s="157" t="str">
        <f>+VLOOKUP($AT$5&amp;"E"&amp;"4",Base_heures,6,FALSE)</f>
        <v/>
      </c>
      <c r="BS17" s="157" t="str">
        <f>+VLOOKUP($AT$5&amp;"E"&amp;"5",Base_heures,6,FALSE)</f>
        <v/>
      </c>
      <c r="BT17" s="157" t="str">
        <f>+VLOOKUP($AT$5&amp;"E"&amp;"6",Base_heures,6,FALSE)</f>
        <v/>
      </c>
      <c r="BU17" s="157" t="str">
        <f>+VLOOKUP($AT$5&amp;"E"&amp;"7",Base_heures,6,FALSE)</f>
        <v/>
      </c>
      <c r="BV17" s="164">
        <f t="shared" si="6"/>
        <v>0</v>
      </c>
      <c r="BW17" s="165">
        <f>+VLOOKUP($AT$5&amp;"ESem",basesem,2,FALSE)</f>
        <v>0</v>
      </c>
      <c r="BX17" s="166">
        <f t="shared" si="7"/>
        <v>0</v>
      </c>
      <c r="BY17" s="162">
        <f t="shared" si="8"/>
        <v>0</v>
      </c>
      <c r="BZ17" s="162">
        <f t="shared" si="9"/>
        <v>0</v>
      </c>
      <c r="CA17" s="164">
        <f t="shared" si="12"/>
        <v>0</v>
      </c>
      <c r="CB17" s="162">
        <f t="shared" si="13"/>
        <v>0</v>
      </c>
      <c r="CD17" s="328"/>
      <c r="CE17" s="2550">
        <f>+$D$13</f>
        <v>46357</v>
      </c>
      <c r="CF17" s="2551"/>
      <c r="CG17" s="2552"/>
      <c r="CH17" s="152"/>
      <c r="DR17" s="25" t="s">
        <v>1248</v>
      </c>
      <c r="DS17" s="25"/>
      <c r="DT17" s="25"/>
      <c r="DU17" s="893" t="s">
        <v>1247</v>
      </c>
      <c r="DV17" s="893"/>
      <c r="DW17" s="893"/>
      <c r="DY17" s="16" t="s">
        <v>1235</v>
      </c>
      <c r="DZ17" s="16" t="s">
        <v>1236</v>
      </c>
      <c r="EA17" s="16" t="s">
        <v>1237</v>
      </c>
      <c r="EB17" s="27" t="s">
        <v>88</v>
      </c>
      <c r="ED17" s="16" t="s">
        <v>1243</v>
      </c>
      <c r="EF17" s="16" t="s">
        <v>1245</v>
      </c>
      <c r="EG17" s="16" t="s">
        <v>657</v>
      </c>
      <c r="EH17" s="16" t="s">
        <v>1258</v>
      </c>
      <c r="EJ17" s="16" t="s">
        <v>1244</v>
      </c>
      <c r="EM17" s="16" t="s">
        <v>1528</v>
      </c>
      <c r="EN17" s="16" t="s">
        <v>1529</v>
      </c>
      <c r="EQ17" s="16" t="s">
        <v>1521</v>
      </c>
    </row>
    <row r="18" spans="1:147" ht="18" customHeight="1" x14ac:dyDescent="0.2">
      <c r="A18" s="24" t="str">
        <f>+Décembre!BJ20</f>
        <v>Fiche infoA2</v>
      </c>
      <c r="B18" s="168">
        <f>+D13</f>
        <v>46357</v>
      </c>
      <c r="C18" s="169">
        <f>+$D$13</f>
        <v>46357</v>
      </c>
      <c r="D18" s="171" t="str">
        <f>IF(AND(EQ18&lt;&gt;"",$DZ$5=S.CAL!$CU$2),EQ18,IF(IFERROR(IF($DY$5=S.CAL!$CU$3,ROUND(EN18,2),ROUND(EQ18,2)),"")&lt;&gt;0,IFERROR(IF($DY$5=S.CAL!$CU$3,ROUND(EN18,2),ROUND(EQ18,2)),""),""))</f>
        <v/>
      </c>
      <c r="E18" s="335" t="str">
        <f>IFERROR(+IF(AND(F18="",$DY$5=S.CAL!$CU$2,J18="OUI"),IFERROR(ROUND(I18,2),""),IF(AND(F18="",$DY$5=S.CAL!$CU$3,L18="oui"),ROUND(K18,2),IF(F18="","",ROUND(F18,2)))),"")</f>
        <v/>
      </c>
      <c r="F18" s="954"/>
      <c r="G18" s="990"/>
      <c r="H18" s="27" t="str">
        <f t="shared" ref="H18:H48" si="14">IFERROR(+VLOOKUP(A18,Base_heures,3,FALSE),0)</f>
        <v>A</v>
      </c>
      <c r="I18" s="34">
        <f>Décembre!BC20</f>
        <v>0</v>
      </c>
      <c r="J18" s="34">
        <f>Décembre!BE20</f>
        <v>0</v>
      </c>
      <c r="K18" s="34">
        <f t="shared" ref="K18:K48" si="15">IFERROR(+VLOOKUP(C18,Retenue_FP,7,FALSE),"")</f>
        <v>0</v>
      </c>
      <c r="L18" s="34" t="str">
        <f>+IF(K18&gt;0,"oui","")</f>
        <v/>
      </c>
      <c r="T18" s="563" t="s">
        <v>1447</v>
      </c>
      <c r="Z18" s="563" t="s">
        <v>1215</v>
      </c>
      <c r="AJ18" s="1189" t="s">
        <v>317</v>
      </c>
      <c r="AK18" s="1313" t="str">
        <f>+VLOOKUP($AT$5&amp;"F"&amp;"1",Base_heures,6,FALSE)</f>
        <v/>
      </c>
      <c r="AL18" s="1313" t="str">
        <f>+VLOOKUP($AT$5&amp;"F"&amp;"2",Base_heures,6,FALSE)</f>
        <v/>
      </c>
      <c r="AM18" s="1313" t="str">
        <f>+VLOOKUP($AT$5&amp;"F"&amp;"3",Base_heures,6,FALSE)</f>
        <v/>
      </c>
      <c r="AN18" s="1313" t="str">
        <f>+VLOOKUP($AT$5&amp;"F"&amp;"4",Base_heures,6,FALSE)</f>
        <v/>
      </c>
      <c r="AO18" s="1313" t="str">
        <f>+VLOOKUP($AT$5&amp;"F"&amp;"5",Base_heures,6,FALSE)</f>
        <v/>
      </c>
      <c r="AP18" s="1313" t="str">
        <f>+VLOOKUP($AT$5&amp;"F"&amp;"6",Base_heures,6,FALSE)</f>
        <v/>
      </c>
      <c r="AQ18" s="1313" t="str">
        <f>+VLOOKUP($AT$5&amp;"F"&amp;"7",Base_heures,6,FALSE)</f>
        <v/>
      </c>
      <c r="AR18" s="1313">
        <f t="shared" si="2"/>
        <v>0</v>
      </c>
      <c r="AS18" s="1299">
        <f>+VLOOKUP($AT$5&amp;"FSem",basesem,2,FALSE)</f>
        <v>0</v>
      </c>
      <c r="AT18" s="1313">
        <f t="shared" si="3"/>
        <v>0</v>
      </c>
      <c r="AU18" s="563">
        <f t="shared" si="4"/>
        <v>0</v>
      </c>
      <c r="AV18" s="563">
        <f t="shared" si="5"/>
        <v>0</v>
      </c>
      <c r="AW18" s="1313">
        <f t="shared" si="10"/>
        <v>0</v>
      </c>
      <c r="AX18" s="563">
        <f t="shared" si="11"/>
        <v>0</v>
      </c>
      <c r="BA18" s="331" t="str">
        <f t="shared" ref="BA18:BA48" si="16">A18</f>
        <v>Fiche infoA2</v>
      </c>
      <c r="BB18" s="168">
        <f>+BD13</f>
        <v>46357</v>
      </c>
      <c r="BC18" s="169">
        <f>+$D$13</f>
        <v>46357</v>
      </c>
      <c r="BD18" s="171" t="str">
        <f>+D18</f>
        <v/>
      </c>
      <c r="BE18" s="335" t="str">
        <f>+IF(OR(BF18=S.CAL!$BJ$3,BF18=S.CAL!$BJ$4),BD18,"")</f>
        <v/>
      </c>
      <c r="BF18" s="332">
        <f>IF($DY$5=S.CAL!$CU$2,Décembre!AR20,IF($DY$5=S.CAL!$CU$3,VLOOKUP(BC18,planning_fp,7,FALSE),""))</f>
        <v>0</v>
      </c>
      <c r="BG18" s="344" t="str">
        <f>Décembre!BL20</f>
        <v>A</v>
      </c>
      <c r="BL18" s="35"/>
      <c r="BM18" s="163"/>
      <c r="BN18" s="95" t="s">
        <v>317</v>
      </c>
      <c r="BO18" s="157" t="str">
        <f>+VLOOKUP($AT$5&amp;"F"&amp;"1",Base_heures,6,FALSE)</f>
        <v/>
      </c>
      <c r="BP18" s="157" t="str">
        <f>+VLOOKUP($AT$5&amp;"F"&amp;"2",Base_heures,6,FALSE)</f>
        <v/>
      </c>
      <c r="BQ18" s="157" t="str">
        <f>+VLOOKUP($AT$5&amp;"F"&amp;"3",Base_heures,6,FALSE)</f>
        <v/>
      </c>
      <c r="BR18" s="157" t="str">
        <f>+VLOOKUP($AT$5&amp;"F"&amp;"4",Base_heures,6,FALSE)</f>
        <v/>
      </c>
      <c r="BS18" s="157" t="str">
        <f>+VLOOKUP($AT$5&amp;"F"&amp;"5",Base_heures,6,FALSE)</f>
        <v/>
      </c>
      <c r="BT18" s="157" t="str">
        <f>+VLOOKUP($AT$5&amp;"F"&amp;"6",Base_heures,6,FALSE)</f>
        <v/>
      </c>
      <c r="BU18" s="157" t="str">
        <f>+VLOOKUP($AT$5&amp;"F"&amp;"7",Base_heures,6,FALSE)</f>
        <v/>
      </c>
      <c r="BV18" s="164">
        <f t="shared" si="6"/>
        <v>0</v>
      </c>
      <c r="BW18" s="165">
        <f>+VLOOKUP($AT$5&amp;"FSem",basesem,2,FALSE)</f>
        <v>0</v>
      </c>
      <c r="BX18" s="166">
        <f t="shared" si="7"/>
        <v>0</v>
      </c>
      <c r="BY18" s="162">
        <f t="shared" si="8"/>
        <v>0</v>
      </c>
      <c r="BZ18" s="162">
        <f t="shared" si="9"/>
        <v>0</v>
      </c>
      <c r="CA18" s="164">
        <f t="shared" si="12"/>
        <v>0</v>
      </c>
      <c r="CB18" s="162">
        <f t="shared" si="13"/>
        <v>0</v>
      </c>
      <c r="CD18" s="328"/>
      <c r="CE18" s="168">
        <f>+CG13</f>
        <v>0</v>
      </c>
      <c r="CF18" s="169">
        <f>+$D$13</f>
        <v>46357</v>
      </c>
      <c r="CG18" s="335">
        <f>+EA18</f>
        <v>0</v>
      </c>
      <c r="CH18" s="34"/>
      <c r="DR18" s="16">
        <f>IF(OR(EB18&gt;0,AND(C18&lt;&gt;"",C18&lt;Identification!$B$28),AND(C18&lt;&gt;"",C18&gt;Identification!$B$95,Identification!$B$95&lt;&gt;0)),0,IF(OR(AND(C18&lt;&gt;"",D18&lt;&gt;"",IFERROR(D18-E18=0,0)),(AND(C18&lt;&gt;"",DR17=1,D18=""))),1,0))</f>
        <v>0</v>
      </c>
      <c r="DS18" s="16">
        <f>IF(OR(EB18&gt;0,AND(C18&lt;&gt;"",C18&lt;Identification!$B$28),AND(C18&lt;&gt;"",C18&gt;Identification!$B$95,Identification!$B$95&lt;&gt;0)),0,IF(OR(AND(C18&lt;&gt;"",D18&lt;&gt;"",IFERROR(D18-E18=0,0)),(AND(C18&lt;&gt;"",DS19=1,D18=""))),1,0))</f>
        <v>0</v>
      </c>
      <c r="DT18" s="16">
        <f>+IF(AND(DR18=1,DS18=1),1,0)</f>
        <v>0</v>
      </c>
      <c r="DU18" s="16">
        <f>IF(OR(EB18&gt;0,AND(C18&lt;&gt;"",C18&lt;Identification!$B$28),AND(C18&lt;&gt;"",C18&gt;Identification!$B$95,Identification!$B$95&lt;&gt;0)),0,IF(OR(AND(C18&lt;&gt;"",D18&lt;&gt;"",IFERROR(D18-E18=0,0))),1,0))</f>
        <v>0</v>
      </c>
      <c r="DV18" s="16">
        <f>IF(OR(EB18&gt;0,AND(C18&lt;&gt;"",C18&lt;Identification!$B$28),AND(C18&lt;&gt;"",C18&gt;Identification!$B$95,Identification!$B$95&lt;&gt;0)),0,IF(OR(AND(C18&lt;&gt;"",D18&lt;&gt;"",IFERROR(D18-E18=0,0))),1,0))</f>
        <v>0</v>
      </c>
      <c r="DW18" s="16">
        <f>+IF(AND(DU18=1,DV18=1),1,0)</f>
        <v>0</v>
      </c>
      <c r="DY18" s="16">
        <f>IF(+Décembre!AG20="",0,Décembre!AG20)</f>
        <v>0</v>
      </c>
      <c r="DZ18" s="16">
        <f>+IF(Décembre!AJ20="",0,Décembre!AJ20)</f>
        <v>0</v>
      </c>
      <c r="EA18" s="16">
        <f>+IF(Décembre!AM20="",0,Décembre!AM20)</f>
        <v>0</v>
      </c>
      <c r="EB18" s="16">
        <f>IFERROR(EA18+DZ18+DY18,0)</f>
        <v>0</v>
      </c>
      <c r="ED18" s="16">
        <f>+IF(AND(DT18=1,EA18&lt;&gt;0),EA18,IF(AND(DT18=1,EA18=0),ED17,0))</f>
        <v>0</v>
      </c>
      <c r="EE18" s="16">
        <f t="shared" ref="EE18:EE48" si="17">+IF(AND(ED18&lt;&gt;0,IFERROR(VLOOKUP(ED18,Liste_motif_formule,6,FALSE)&lt;&gt;"",0),ED18&lt;&gt;ED17),1,IF(AND(ED18&lt;&gt;0,IFERROR(VLOOKUP(ED18,Liste_motif_formule,6,FALSE)&lt;&gt;"",0)),DT18+EE17,0))</f>
        <v>0</v>
      </c>
      <c r="EF18" s="30" t="str">
        <f t="shared" ref="EF18:EF48" si="18">+IF(EE18=1,EJ18,"")</f>
        <v/>
      </c>
      <c r="EG18" s="30" t="str">
        <f>+IF(AND(EE18&lt;&gt;0,EE18&gt;=EE19),EJ18,"")</f>
        <v/>
      </c>
      <c r="EH18" s="16">
        <f>+IF(ED18=0,0,ED18)</f>
        <v>0</v>
      </c>
      <c r="EI18" s="30"/>
      <c r="EJ18" s="30">
        <f t="shared" ref="EJ18:EJ48" si="19">+C18</f>
        <v>46357</v>
      </c>
      <c r="EM18" s="16" t="str">
        <f>A18&amp;C18</f>
        <v>Fiche infoA246357</v>
      </c>
      <c r="EN18" s="16">
        <f t="shared" ref="EN18:EN48" si="20">+VLOOKUP(EM18,Base_feuille_présence_heure_potentiel,11,FALSE)</f>
        <v>0</v>
      </c>
      <c r="EQ18" s="16" t="str">
        <f>Décembre!FS20</f>
        <v/>
      </c>
    </row>
    <row r="19" spans="1:147" ht="18" customHeight="1" x14ac:dyDescent="0.2">
      <c r="A19" s="24" t="str">
        <f>+Décembre!BJ21</f>
        <v>Fiche infoA3</v>
      </c>
      <c r="B19" s="107">
        <f>C19</f>
        <v>46358</v>
      </c>
      <c r="C19" s="170">
        <f>+$D$13+1</f>
        <v>46358</v>
      </c>
      <c r="D19" s="171" t="str">
        <f>IF(AND(EQ19&lt;&gt;"",$DZ$5=S.CAL!$CU$2),EQ19,IF(IFERROR(IF($DY$5=S.CAL!$CU$3,ROUND(EN19,2),ROUND(EQ19,2)),"")&lt;&gt;0,IFERROR(IF($DY$5=S.CAL!$CU$3,ROUND(EN19,2),ROUND(EQ19,2)),""),""))</f>
        <v/>
      </c>
      <c r="E19" s="171" t="str">
        <f>IFERROR(+IF(AND(F19="",$DY$5=S.CAL!$CU$2,J19="OUI"),IFERROR(ROUND(I19,2),""),IF(AND(F19="",$DY$5=S.CAL!$CU$3,L19="oui"),ROUND(K19,2),IF(F19="","",ROUND(F19,2)))),"")</f>
        <v/>
      </c>
      <c r="F19" s="954"/>
      <c r="G19" s="990"/>
      <c r="H19" s="27" t="str">
        <f t="shared" si="14"/>
        <v>A</v>
      </c>
      <c r="I19" s="34">
        <f>Décembre!BC21</f>
        <v>0</v>
      </c>
      <c r="J19" s="34">
        <f>Décembre!BE21</f>
        <v>0</v>
      </c>
      <c r="K19" s="34">
        <f t="shared" si="15"/>
        <v>0</v>
      </c>
      <c r="L19" s="34" t="str">
        <f t="shared" ref="L19:L48" si="21">+IF(K19&gt;0,"oui","")</f>
        <v/>
      </c>
      <c r="O19" s="39" t="s">
        <v>1475</v>
      </c>
      <c r="P19" s="195" t="s">
        <v>1476</v>
      </c>
      <c r="S19" s="2395" t="s">
        <v>1446</v>
      </c>
      <c r="T19" s="2395"/>
      <c r="U19" s="2395"/>
      <c r="V19" s="2395"/>
      <c r="W19" s="1316">
        <f>+AF40-AF54</f>
        <v>0</v>
      </c>
      <c r="AA19" s="2395" t="s">
        <v>1216</v>
      </c>
      <c r="AB19" s="2395"/>
      <c r="AC19" s="1316">
        <f>+AB40-AB54</f>
        <v>0</v>
      </c>
      <c r="AJ19" s="1189" t="s">
        <v>318</v>
      </c>
      <c r="AK19" s="1313" t="str">
        <f>+VLOOKUP($AT$5&amp;"G"&amp;"1",Base_heures,6,FALSE)</f>
        <v/>
      </c>
      <c r="AL19" s="1313" t="str">
        <f>+VLOOKUP($AT$5&amp;"G"&amp;"2",Base_heures,6,FALSE)</f>
        <v/>
      </c>
      <c r="AM19" s="1313" t="str">
        <f>+VLOOKUP($AT$5&amp;"G"&amp;"3",Base_heures,6,FALSE)</f>
        <v/>
      </c>
      <c r="AN19" s="1313" t="str">
        <f>+VLOOKUP($AT$5&amp;"G"&amp;"4",Base_heures,6,FALSE)</f>
        <v/>
      </c>
      <c r="AO19" s="1313" t="str">
        <f>+VLOOKUP($AT$5&amp;"G"&amp;"5",Base_heures,6,FALSE)</f>
        <v/>
      </c>
      <c r="AP19" s="1313" t="str">
        <f>+VLOOKUP($AT$5&amp;"G"&amp;"6",Base_heures,6,FALSE)</f>
        <v/>
      </c>
      <c r="AQ19" s="1313" t="str">
        <f>+VLOOKUP($AT$5&amp;"G"&amp;"7",Base_heures,6,FALSE)</f>
        <v/>
      </c>
      <c r="AR19" s="1313">
        <f t="shared" si="2"/>
        <v>0</v>
      </c>
      <c r="AS19" s="1299">
        <f>+VLOOKUP($AT$5&amp;"GSem",basesem,2,FALSE)</f>
        <v>0</v>
      </c>
      <c r="AT19" s="1313">
        <f t="shared" si="3"/>
        <v>0</v>
      </c>
      <c r="AU19" s="563">
        <f t="shared" si="4"/>
        <v>0</v>
      </c>
      <c r="AV19" s="563">
        <f t="shared" si="5"/>
        <v>0</v>
      </c>
      <c r="AW19" s="1313">
        <f t="shared" si="10"/>
        <v>0</v>
      </c>
      <c r="AX19" s="563">
        <f t="shared" si="11"/>
        <v>0</v>
      </c>
      <c r="BA19" s="331" t="str">
        <f t="shared" si="16"/>
        <v>Fiche infoA3</v>
      </c>
      <c r="BB19" s="107">
        <f>BC19</f>
        <v>46358</v>
      </c>
      <c r="BC19" s="170">
        <f>+$D$13+1</f>
        <v>46358</v>
      </c>
      <c r="BD19" s="171" t="str">
        <f>+D19</f>
        <v/>
      </c>
      <c r="BE19" s="171" t="str">
        <f>+IF(OR(BF19=S.CAL!$BJ$3,BF19=S.CAL!$BJ$4),BD19,"")</f>
        <v/>
      </c>
      <c r="BF19" s="333">
        <f>IF($DY$5=S.CAL!$CU$2,Décembre!AR21,IF($DY$5=S.CAL!$CU$3,VLOOKUP(BC19,planning_fp,7,FALSE),""))</f>
        <v>0</v>
      </c>
      <c r="BG19" s="345" t="str">
        <f>Décembre!BL21</f>
        <v>A</v>
      </c>
      <c r="BL19" s="35"/>
      <c r="BM19" s="163"/>
      <c r="BN19" s="95" t="s">
        <v>318</v>
      </c>
      <c r="BO19" s="157" t="str">
        <f>+VLOOKUP($AT$5&amp;"G"&amp;"1",Base_heures,6,FALSE)</f>
        <v/>
      </c>
      <c r="BP19" s="157" t="str">
        <f>+VLOOKUP($AT$5&amp;"G"&amp;"2",Base_heures,6,FALSE)</f>
        <v/>
      </c>
      <c r="BQ19" s="157" t="str">
        <f>+VLOOKUP($AT$5&amp;"G"&amp;"3",Base_heures,6,FALSE)</f>
        <v/>
      </c>
      <c r="BR19" s="157" t="str">
        <f>+VLOOKUP($AT$5&amp;"G"&amp;"4",Base_heures,6,FALSE)</f>
        <v/>
      </c>
      <c r="BS19" s="157" t="str">
        <f>+VLOOKUP($AT$5&amp;"G"&amp;"5",Base_heures,6,FALSE)</f>
        <v/>
      </c>
      <c r="BT19" s="157" t="str">
        <f>+VLOOKUP($AT$5&amp;"G"&amp;"6",Base_heures,6,FALSE)</f>
        <v/>
      </c>
      <c r="BU19" s="157" t="str">
        <f>+VLOOKUP($AT$5&amp;"G"&amp;"7",Base_heures,6,FALSE)</f>
        <v/>
      </c>
      <c r="BV19" s="164">
        <f t="shared" si="6"/>
        <v>0</v>
      </c>
      <c r="BW19" s="165">
        <f>+VLOOKUP($AT$5&amp;"GSem",basesem,2,FALSE)</f>
        <v>0</v>
      </c>
      <c r="BX19" s="166">
        <f t="shared" si="7"/>
        <v>0</v>
      </c>
      <c r="BY19" s="162">
        <f t="shared" si="8"/>
        <v>0</v>
      </c>
      <c r="BZ19" s="162">
        <f t="shared" si="9"/>
        <v>0</v>
      </c>
      <c r="CA19" s="164">
        <f t="shared" si="12"/>
        <v>0</v>
      </c>
      <c r="CB19" s="162">
        <f t="shared" si="13"/>
        <v>0</v>
      </c>
      <c r="CD19" s="328"/>
      <c r="CE19" s="107">
        <f>CF19</f>
        <v>46358</v>
      </c>
      <c r="CF19" s="170">
        <f>+$D$13+1</f>
        <v>46358</v>
      </c>
      <c r="CG19" s="171">
        <f t="shared" ref="CG19:CG48" si="22">+EA19</f>
        <v>0</v>
      </c>
      <c r="CH19" s="34"/>
      <c r="DR19" s="16">
        <f>IF(OR(EB19&gt;0,AND(C19&lt;&gt;"",C19&lt;Identification!$B$28),AND(C19&lt;&gt;"",C19&gt;Identification!$B$95,Identification!$B$95&lt;&gt;0)),0,IF(OR(AND(C19&lt;&gt;"",D19&lt;&gt;"",IFERROR(D19-E19=0,0)),(AND(C19&lt;&gt;"",DR18=1,D19=""))),1,0))</f>
        <v>0</v>
      </c>
      <c r="DS19" s="16">
        <f>IF(OR(EB19&gt;0,AND(C19&lt;&gt;"",C19&lt;Identification!$B$28),AND(C19&lt;&gt;"",C19&gt;Identification!$B$95,Identification!$B$95&lt;&gt;0)),0,IF(OR(AND(C19&lt;&gt;"",D19&lt;&gt;"",IFERROR(D19-E19=0,0)),(AND(C19&lt;&gt;"",DS20=1,D19=""))),1,0))</f>
        <v>0</v>
      </c>
      <c r="DT19" s="16">
        <f t="shared" ref="DT19:DT48" si="23">+IF(AND(DR19=1,DS19=1),1,0)</f>
        <v>0</v>
      </c>
      <c r="DU19" s="16">
        <f>IF(OR(EB19&gt;0,AND(C19&lt;&gt;"",C19&lt;Identification!$B$28),AND(C19&lt;&gt;"",C19&gt;Identification!$B$95,Identification!$B$95&lt;&gt;0)),0,IF(OR(AND(C19&lt;&gt;"",D19&lt;&gt;"",IFERROR(D19-E19=0,0))),1,0))</f>
        <v>0</v>
      </c>
      <c r="DV19" s="16">
        <f>IF(OR(EB19&gt;0,AND(C19&lt;&gt;"",C19&lt;Identification!$B$28),AND(C19&lt;&gt;"",C19&gt;Identification!$B$95,Identification!$B$95&lt;&gt;0)),0,IF(OR(AND(C19&lt;&gt;"",D19&lt;&gt;"",IFERROR(D19-E19=0,0))),1,0))</f>
        <v>0</v>
      </c>
      <c r="DW19" s="16">
        <f t="shared" ref="DW19:DW48" si="24">+IF(AND(DU19=1,DV19=1),1,0)</f>
        <v>0</v>
      </c>
      <c r="DY19" s="16">
        <f>IF(+Décembre!AG21="",0,Décembre!AG21)</f>
        <v>0</v>
      </c>
      <c r="DZ19" s="16">
        <f>+IF(Décembre!AJ21="",0,Décembre!AJ21)</f>
        <v>0</v>
      </c>
      <c r="EA19" s="16">
        <f>+IF(Décembre!AM21="",0,Décembre!AM21)</f>
        <v>0</v>
      </c>
      <c r="EB19" s="16">
        <f t="shared" ref="EB19:EB48" si="25">IFERROR(EA19+DZ19+DY19,0)</f>
        <v>0</v>
      </c>
      <c r="ED19" s="16">
        <f t="shared" ref="ED19:ED48" si="26">+IF(AND(DT19=1,EA19&lt;&gt;0),EA19,IF(AND(DT19=1,EA19=0),ED18,0))</f>
        <v>0</v>
      </c>
      <c r="EE19" s="16">
        <f t="shared" si="17"/>
        <v>0</v>
      </c>
      <c r="EF19" s="30" t="str">
        <f t="shared" si="18"/>
        <v/>
      </c>
      <c r="EG19" s="30" t="str">
        <f t="shared" ref="EG19:EG48" si="27">+IF(AND(EE19&lt;&gt;0,EE19&gt;=EE20),EJ19,"")</f>
        <v/>
      </c>
      <c r="EH19" s="16">
        <f t="shared" ref="EH19:EH48" si="28">+IF(ED19=0,0,ED19)</f>
        <v>0</v>
      </c>
      <c r="EI19" s="30"/>
      <c r="EJ19" s="30">
        <f t="shared" si="19"/>
        <v>46358</v>
      </c>
      <c r="EM19" s="16" t="str">
        <f t="shared" ref="EM19:EM48" si="29">A19&amp;C19</f>
        <v>Fiche infoA346358</v>
      </c>
      <c r="EN19" s="16">
        <f t="shared" si="20"/>
        <v>0</v>
      </c>
      <c r="EQ19" s="16" t="str">
        <f>Décembre!FS21</f>
        <v/>
      </c>
    </row>
    <row r="20" spans="1:147" ht="18" customHeight="1" x14ac:dyDescent="0.2">
      <c r="A20" s="24" t="str">
        <f>+Décembre!BJ22</f>
        <v>Fiche infoA4</v>
      </c>
      <c r="B20" s="107">
        <f t="shared" ref="B20:B48" si="30">C20</f>
        <v>46359</v>
      </c>
      <c r="C20" s="170">
        <f>+$D$13+2</f>
        <v>46359</v>
      </c>
      <c r="D20" s="171" t="str">
        <f>IF(AND(EQ20&lt;&gt;"",$DZ$5=S.CAL!$CU$2),EQ20,IF(IFERROR(IF($DY$5=S.CAL!$CU$3,ROUND(EN20,2),ROUND(EQ20,2)),"")&lt;&gt;0,IFERROR(IF($DY$5=S.CAL!$CU$3,ROUND(EN20,2),ROUND(EQ20,2)),""),""))</f>
        <v/>
      </c>
      <c r="E20" s="171" t="str">
        <f>IFERROR(+IF(AND(F20="",$DY$5=S.CAL!$CU$2,J20="OUI"),IFERROR(ROUND(I20,2),""),IF(AND(F20="",$DY$5=S.CAL!$CU$3,L20="oui"),ROUND(K20,2),IF(F20="","",ROUND(F20,2)))),"")</f>
        <v/>
      </c>
      <c r="F20" s="954"/>
      <c r="G20" s="990"/>
      <c r="H20" s="27" t="str">
        <f t="shared" si="14"/>
        <v>A</v>
      </c>
      <c r="I20" s="34">
        <f>Décembre!BC22</f>
        <v>0</v>
      </c>
      <c r="J20" s="34">
        <f>Décembre!BE22</f>
        <v>0</v>
      </c>
      <c r="K20" s="34">
        <f t="shared" si="15"/>
        <v>0</v>
      </c>
      <c r="L20" s="34" t="str">
        <f t="shared" si="21"/>
        <v/>
      </c>
      <c r="O20" s="19"/>
      <c r="AJ20" s="1189" t="s">
        <v>319</v>
      </c>
      <c r="AK20" s="1313" t="str">
        <f>+VLOOKUP($AT$5&amp;"H"&amp;"1",Base_heures,6,FALSE)</f>
        <v/>
      </c>
      <c r="AL20" s="1313" t="str">
        <f>+VLOOKUP($AT$5&amp;"H"&amp;"2",Base_heures,6,FALSE)</f>
        <v/>
      </c>
      <c r="AM20" s="1313" t="str">
        <f>+VLOOKUP($AT$5&amp;"H"&amp;"3",Base_heures,6,FALSE)</f>
        <v/>
      </c>
      <c r="AN20" s="1313" t="str">
        <f>+VLOOKUP($AT$5&amp;"H"&amp;"4",Base_heures,6,FALSE)</f>
        <v/>
      </c>
      <c r="AO20" s="1313" t="str">
        <f>+VLOOKUP($AT$5&amp;"H"&amp;"5",Base_heures,6,FALSE)</f>
        <v/>
      </c>
      <c r="AP20" s="1313" t="str">
        <f>+VLOOKUP($AT$5&amp;"H"&amp;"6",Base_heures,6,FALSE)</f>
        <v/>
      </c>
      <c r="AQ20" s="1313" t="str">
        <f>+VLOOKUP($AT$5&amp;"H"&amp;"7",Base_heures,6,FALSE)</f>
        <v/>
      </c>
      <c r="AR20" s="1313">
        <f t="shared" si="2"/>
        <v>0</v>
      </c>
      <c r="AS20" s="1299">
        <f>+VLOOKUP($AT$5&amp;"HSem",basesem,2,FALSE)</f>
        <v>0</v>
      </c>
      <c r="AT20" s="1313">
        <f t="shared" si="3"/>
        <v>0</v>
      </c>
      <c r="AU20" s="563">
        <f t="shared" si="4"/>
        <v>0</v>
      </c>
      <c r="AV20" s="563">
        <f t="shared" si="5"/>
        <v>0</v>
      </c>
      <c r="AW20" s="1313">
        <f t="shared" si="10"/>
        <v>0</v>
      </c>
      <c r="AX20" s="563">
        <f t="shared" si="11"/>
        <v>0</v>
      </c>
      <c r="BA20" s="331" t="str">
        <f t="shared" si="16"/>
        <v>Fiche infoA4</v>
      </c>
      <c r="BB20" s="107">
        <f t="shared" ref="BB20:BB48" si="31">BC20</f>
        <v>46359</v>
      </c>
      <c r="BC20" s="170">
        <f>+$D$13+2</f>
        <v>46359</v>
      </c>
      <c r="BD20" s="171" t="str">
        <f t="shared" ref="BD20:BD48" si="32">+D20</f>
        <v/>
      </c>
      <c r="BE20" s="171" t="str">
        <f>+IF(OR(BF20=S.CAL!$BJ$3,BF20=S.CAL!$BJ$4),BD20,"")</f>
        <v/>
      </c>
      <c r="BF20" s="333">
        <f>IF($DY$5=S.CAL!$CU$2,Décembre!AR22,IF($DY$5=S.CAL!$CU$3,VLOOKUP(BC20,planning_fp,7,FALSE),""))</f>
        <v>0</v>
      </c>
      <c r="BG20" s="345" t="str">
        <f>Décembre!BL22</f>
        <v>A</v>
      </c>
      <c r="BH20" s="29"/>
      <c r="BI20" s="53"/>
      <c r="BL20" s="35"/>
      <c r="BM20" s="172"/>
      <c r="BN20" s="173" t="s">
        <v>319</v>
      </c>
      <c r="BO20" s="157" t="str">
        <f>+VLOOKUP($AT$5&amp;"H"&amp;"1",Base_heures,6,FALSE)</f>
        <v/>
      </c>
      <c r="BP20" s="157" t="str">
        <f>+VLOOKUP($AT$5&amp;"H"&amp;"2",Base_heures,6,FALSE)</f>
        <v/>
      </c>
      <c r="BQ20" s="157" t="str">
        <f>+VLOOKUP($AT$5&amp;"H"&amp;"3",Base_heures,6,FALSE)</f>
        <v/>
      </c>
      <c r="BR20" s="157" t="str">
        <f>+VLOOKUP($AT$5&amp;"H"&amp;"4",Base_heures,6,FALSE)</f>
        <v/>
      </c>
      <c r="BS20" s="157" t="str">
        <f>+VLOOKUP($AT$5&amp;"H"&amp;"5",Base_heures,6,FALSE)</f>
        <v/>
      </c>
      <c r="BT20" s="157" t="str">
        <f>+VLOOKUP($AT$5&amp;"H"&amp;"6",Base_heures,6,FALSE)</f>
        <v/>
      </c>
      <c r="BU20" s="157" t="str">
        <f>+VLOOKUP($AT$5&amp;"H"&amp;"7",Base_heures,6,FALSE)</f>
        <v/>
      </c>
      <c r="BV20" s="174">
        <f t="shared" si="6"/>
        <v>0</v>
      </c>
      <c r="BW20" s="175">
        <f>+VLOOKUP($AT$5&amp;"HSem",basesem,2,FALSE)</f>
        <v>0</v>
      </c>
      <c r="BX20" s="176">
        <f t="shared" si="7"/>
        <v>0</v>
      </c>
      <c r="BY20" s="177">
        <f t="shared" si="8"/>
        <v>0</v>
      </c>
      <c r="BZ20" s="177">
        <f t="shared" si="9"/>
        <v>0</v>
      </c>
      <c r="CA20" s="174">
        <f t="shared" si="12"/>
        <v>0</v>
      </c>
      <c r="CB20" s="177">
        <f t="shared" si="13"/>
        <v>0</v>
      </c>
      <c r="CD20" s="328"/>
      <c r="CE20" s="107">
        <f t="shared" ref="CE20:CE48" si="33">CF20</f>
        <v>46359</v>
      </c>
      <c r="CF20" s="170">
        <f>+$D$13+2</f>
        <v>46359</v>
      </c>
      <c r="CG20" s="171">
        <f t="shared" si="22"/>
        <v>0</v>
      </c>
      <c r="CH20" s="34"/>
      <c r="DR20" s="16">
        <f>IF(OR(EB20&gt;0,AND(C20&lt;&gt;"",C20&lt;Identification!$B$28),AND(C20&lt;&gt;"",C20&gt;Identification!$B$95,Identification!$B$95&lt;&gt;0)),0,IF(OR(AND(C20&lt;&gt;"",D20&lt;&gt;"",IFERROR(D20-E20=0,0)),(AND(C20&lt;&gt;"",DR19=1,D20=""))),1,0))</f>
        <v>0</v>
      </c>
      <c r="DS20" s="16">
        <f>IF(OR(EB20&gt;0,AND(C20&lt;&gt;"",C20&lt;Identification!$B$28),AND(C20&lt;&gt;"",C20&gt;Identification!$B$95,Identification!$B$95&lt;&gt;0)),0,IF(OR(AND(C20&lt;&gt;"",D20&lt;&gt;"",IFERROR(D20-E20=0,0)),(AND(C20&lt;&gt;"",DS21=1,D20=""))),1,0))</f>
        <v>0</v>
      </c>
      <c r="DT20" s="16">
        <f t="shared" si="23"/>
        <v>0</v>
      </c>
      <c r="DU20" s="16">
        <f>IF(OR(EB20&gt;0,AND(C20&lt;&gt;"",C20&lt;Identification!$B$28),AND(C20&lt;&gt;"",C20&gt;Identification!$B$95,Identification!$B$95&lt;&gt;0)),0,IF(OR(AND(C20&lt;&gt;"",D20&lt;&gt;"",IFERROR(D20-E20=0,0))),1,0))</f>
        <v>0</v>
      </c>
      <c r="DV20" s="16">
        <f>IF(OR(EB20&gt;0,AND(C20&lt;&gt;"",C20&lt;Identification!$B$28),AND(C20&lt;&gt;"",C20&gt;Identification!$B$95,Identification!$B$95&lt;&gt;0)),0,IF(OR(AND(C20&lt;&gt;"",D20&lt;&gt;"",IFERROR(D20-E20=0,0))),1,0))</f>
        <v>0</v>
      </c>
      <c r="DW20" s="16">
        <f t="shared" si="24"/>
        <v>0</v>
      </c>
      <c r="DY20" s="16">
        <f>IF(+Décembre!AG22="",0,Décembre!AG22)</f>
        <v>0</v>
      </c>
      <c r="DZ20" s="16">
        <f>+IF(Décembre!AJ22="",0,Décembre!AJ22)</f>
        <v>0</v>
      </c>
      <c r="EA20" s="16">
        <f>+IF(Décembre!AM22="",0,Décembre!AM22)</f>
        <v>0</v>
      </c>
      <c r="EB20" s="16">
        <f t="shared" si="25"/>
        <v>0</v>
      </c>
      <c r="ED20" s="16">
        <f t="shared" si="26"/>
        <v>0</v>
      </c>
      <c r="EE20" s="16">
        <f t="shared" si="17"/>
        <v>0</v>
      </c>
      <c r="EF20" s="30" t="str">
        <f t="shared" si="18"/>
        <v/>
      </c>
      <c r="EG20" s="30" t="str">
        <f t="shared" si="27"/>
        <v/>
      </c>
      <c r="EH20" s="16">
        <f t="shared" si="28"/>
        <v>0</v>
      </c>
      <c r="EI20" s="30"/>
      <c r="EJ20" s="30">
        <f t="shared" si="19"/>
        <v>46359</v>
      </c>
      <c r="EM20" s="16" t="str">
        <f t="shared" si="29"/>
        <v>Fiche infoA446359</v>
      </c>
      <c r="EN20" s="16">
        <f t="shared" si="20"/>
        <v>0</v>
      </c>
      <c r="EQ20" s="16" t="str">
        <f>Décembre!FS22</f>
        <v/>
      </c>
    </row>
    <row r="21" spans="1:147" ht="18" customHeight="1" x14ac:dyDescent="0.2">
      <c r="A21" s="24" t="str">
        <f>+Décembre!BJ23</f>
        <v>Fiche infoA5</v>
      </c>
      <c r="B21" s="107">
        <f t="shared" si="30"/>
        <v>46360</v>
      </c>
      <c r="C21" s="170">
        <f>+$D$13+3</f>
        <v>46360</v>
      </c>
      <c r="D21" s="171" t="str">
        <f>IF(AND(EQ21&lt;&gt;"",$DZ$5=S.CAL!$CU$2),EQ21,IF(IFERROR(IF($DY$5=S.CAL!$CU$3,ROUND(EN21,2),ROUND(EQ21,2)),"")&lt;&gt;0,IFERROR(IF($DY$5=S.CAL!$CU$3,ROUND(EN21,2),ROUND(EQ21,2)),""),""))</f>
        <v/>
      </c>
      <c r="E21" s="171" t="str">
        <f>IFERROR(+IF(AND(F21="",$DY$5=S.CAL!$CU$2,J21="OUI"),IFERROR(ROUND(I21,2),""),IF(AND(F21="",$DY$5=S.CAL!$CU$3,L21="oui"),ROUND(K21,2),IF(F21="","",ROUND(F21,2)))),"")</f>
        <v/>
      </c>
      <c r="F21" s="954"/>
      <c r="G21" s="990"/>
      <c r="H21" s="27" t="str">
        <f t="shared" si="14"/>
        <v>A</v>
      </c>
      <c r="I21" s="34">
        <f>Décembre!BC23</f>
        <v>0</v>
      </c>
      <c r="J21" s="34">
        <f>Décembre!BE23</f>
        <v>0</v>
      </c>
      <c r="K21" s="34">
        <f t="shared" si="15"/>
        <v>0</v>
      </c>
      <c r="L21" s="34" t="str">
        <f t="shared" si="21"/>
        <v/>
      </c>
      <c r="O21" s="39" t="str">
        <f>+O19</f>
        <v xml:space="preserve">Retenue sur salaire = </v>
      </c>
      <c r="P21" s="16" t="str">
        <f>+Q16&amp;" €  / "&amp;D50&amp;" hrs X "&amp;E50&amp;" hrs"</f>
        <v>0 €  / 0 hrs X 0 hrs</v>
      </c>
      <c r="S21" s="2395" t="s">
        <v>1454</v>
      </c>
      <c r="T21" s="2395"/>
      <c r="U21" s="2395"/>
      <c r="V21" s="2395"/>
      <c r="W21" s="1316">
        <f>+AF40</f>
        <v>0</v>
      </c>
      <c r="AA21" s="2395" t="s">
        <v>1217</v>
      </c>
      <c r="AB21" s="2395"/>
      <c r="AC21" s="1316">
        <f>+AB40</f>
        <v>0</v>
      </c>
      <c r="AK21" s="1313">
        <f>SUM(AK13:AK20)</f>
        <v>0</v>
      </c>
      <c r="AL21" s="1313">
        <f t="shared" ref="AL21:AQ21" si="34">SUM(AL13:AL20)</f>
        <v>0</v>
      </c>
      <c r="AM21" s="1313">
        <f t="shared" si="34"/>
        <v>0</v>
      </c>
      <c r="AN21" s="1313">
        <f t="shared" si="34"/>
        <v>0</v>
      </c>
      <c r="AO21" s="1313">
        <f t="shared" si="34"/>
        <v>0</v>
      </c>
      <c r="AP21" s="1313">
        <f t="shared" si="34"/>
        <v>0</v>
      </c>
      <c r="AQ21" s="1313">
        <f t="shared" si="34"/>
        <v>0</v>
      </c>
      <c r="AR21" s="1313">
        <f>SUM(AR13:AR20)</f>
        <v>0</v>
      </c>
      <c r="AS21" s="1299">
        <f>SUM(AS13:AS20)</f>
        <v>0</v>
      </c>
      <c r="AT21" s="1313" t="e">
        <f>SUM(AT13:AT20)</f>
        <v>#VALUE!</v>
      </c>
      <c r="AV21" s="563" t="e">
        <f>SUM(AV13:AV20)</f>
        <v>#VALUE!</v>
      </c>
      <c r="AW21" s="1313">
        <f>+SUM(AW13:AW20)</f>
        <v>0</v>
      </c>
      <c r="AX21" s="1317">
        <f t="shared" si="11"/>
        <v>0</v>
      </c>
      <c r="BA21" s="331" t="str">
        <f t="shared" si="16"/>
        <v>Fiche infoA5</v>
      </c>
      <c r="BB21" s="107">
        <f t="shared" si="31"/>
        <v>46360</v>
      </c>
      <c r="BC21" s="170">
        <f>+$D$13+3</f>
        <v>46360</v>
      </c>
      <c r="BD21" s="171" t="str">
        <f t="shared" si="32"/>
        <v/>
      </c>
      <c r="BE21" s="171" t="str">
        <f>+IF(OR(BF21=S.CAL!$BJ$3,BF21=S.CAL!$BJ$4),BD21,"")</f>
        <v/>
      </c>
      <c r="BF21" s="333">
        <f>IF($DY$5=S.CAL!$CU$2,Décembre!AR23,IF($DY$5=S.CAL!$CU$3,VLOOKUP(BC21,planning_fp,7,FALSE),""))</f>
        <v>0</v>
      </c>
      <c r="BG21" s="345" t="str">
        <f>Décembre!BL23</f>
        <v>A</v>
      </c>
      <c r="BL21" s="35"/>
      <c r="BO21" s="428">
        <f>SUM(BO13:BO20)</f>
        <v>0</v>
      </c>
      <c r="BP21" s="428">
        <f t="shared" ref="BP21:BU21" si="35">SUM(BP13:BP20)</f>
        <v>0</v>
      </c>
      <c r="BQ21" s="428">
        <f t="shared" si="35"/>
        <v>0</v>
      </c>
      <c r="BR21" s="428">
        <f t="shared" si="35"/>
        <v>0</v>
      </c>
      <c r="BS21" s="428">
        <f t="shared" si="35"/>
        <v>0</v>
      </c>
      <c r="BT21" s="428">
        <f t="shared" si="35"/>
        <v>0</v>
      </c>
      <c r="BU21" s="428">
        <f t="shared" si="35"/>
        <v>0</v>
      </c>
      <c r="BV21" s="157">
        <f>SUM(BV13:BV20)</f>
        <v>0</v>
      </c>
      <c r="BW21" s="178">
        <f>SUM(BW13:BW20)</f>
        <v>0</v>
      </c>
      <c r="BX21" s="157" t="e">
        <f>SUM(BX13:BX20)</f>
        <v>#VALUE!</v>
      </c>
      <c r="BZ21" s="38" t="e">
        <f>SUM(BZ13:BZ20)</f>
        <v>#VALUE!</v>
      </c>
      <c r="CA21" s="157">
        <f>+SUM(CA13:CA20)</f>
        <v>0</v>
      </c>
      <c r="CB21" s="179">
        <f t="shared" si="13"/>
        <v>0</v>
      </c>
      <c r="CD21" s="328"/>
      <c r="CE21" s="107">
        <f t="shared" si="33"/>
        <v>46360</v>
      </c>
      <c r="CF21" s="170">
        <f>+$D$13+3</f>
        <v>46360</v>
      </c>
      <c r="CG21" s="171">
        <f t="shared" si="22"/>
        <v>0</v>
      </c>
      <c r="CH21" s="34"/>
      <c r="DR21" s="16">
        <f>IF(OR(EB21&gt;0,AND(C21&lt;&gt;"",C21&lt;Identification!$B$28),AND(C21&lt;&gt;"",C21&gt;Identification!$B$95,Identification!$B$95&lt;&gt;0)),0,IF(OR(AND(C21&lt;&gt;"",D21&lt;&gt;"",IFERROR(D21-E21=0,0)),(AND(C21&lt;&gt;"",DR20=1,D21=""))),1,0))</f>
        <v>0</v>
      </c>
      <c r="DS21" s="16">
        <f>IF(OR(EB21&gt;0,AND(C21&lt;&gt;"",C21&lt;Identification!$B$28),AND(C21&lt;&gt;"",C21&gt;Identification!$B$95,Identification!$B$95&lt;&gt;0)),0,IF(OR(AND(C21&lt;&gt;"",D21&lt;&gt;"",IFERROR(D21-E21=0,0)),(AND(C21&lt;&gt;"",DS22=1,D21=""))),1,0))</f>
        <v>0</v>
      </c>
      <c r="DT21" s="16">
        <f t="shared" si="23"/>
        <v>0</v>
      </c>
      <c r="DU21" s="16">
        <f>IF(OR(EB21&gt;0,AND(C21&lt;&gt;"",C21&lt;Identification!$B$28),AND(C21&lt;&gt;"",C21&gt;Identification!$B$95,Identification!$B$95&lt;&gt;0)),0,IF(OR(AND(C21&lt;&gt;"",D21&lt;&gt;"",IFERROR(D21-E21=0,0))),1,0))</f>
        <v>0</v>
      </c>
      <c r="DV21" s="16">
        <f>IF(OR(EB21&gt;0,AND(C21&lt;&gt;"",C21&lt;Identification!$B$28),AND(C21&lt;&gt;"",C21&gt;Identification!$B$95,Identification!$B$95&lt;&gt;0)),0,IF(OR(AND(C21&lt;&gt;"",D21&lt;&gt;"",IFERROR(D21-E21=0,0))),1,0))</f>
        <v>0</v>
      </c>
      <c r="DW21" s="16">
        <f t="shared" si="24"/>
        <v>0</v>
      </c>
      <c r="DY21" s="16">
        <f>IF(+Décembre!AG23="",0,Décembre!AG23)</f>
        <v>0</v>
      </c>
      <c r="DZ21" s="16">
        <f>+IF(Décembre!AJ23="",0,Décembre!AJ23)</f>
        <v>0</v>
      </c>
      <c r="EA21" s="16">
        <f>+IF(Décembre!AM23="",0,Décembre!AM23)</f>
        <v>0</v>
      </c>
      <c r="EB21" s="16">
        <f t="shared" si="25"/>
        <v>0</v>
      </c>
      <c r="ED21" s="16">
        <f t="shared" si="26"/>
        <v>0</v>
      </c>
      <c r="EE21" s="16">
        <f t="shared" si="17"/>
        <v>0</v>
      </c>
      <c r="EF21" s="30" t="str">
        <f t="shared" si="18"/>
        <v/>
      </c>
      <c r="EG21" s="30" t="str">
        <f t="shared" si="27"/>
        <v/>
      </c>
      <c r="EH21" s="16">
        <f t="shared" si="28"/>
        <v>0</v>
      </c>
      <c r="EI21" s="30"/>
      <c r="EJ21" s="30">
        <f t="shared" si="19"/>
        <v>46360</v>
      </c>
      <c r="EM21" s="16" t="str">
        <f t="shared" si="29"/>
        <v>Fiche infoA546360</v>
      </c>
      <c r="EN21" s="16">
        <f t="shared" si="20"/>
        <v>0</v>
      </c>
      <c r="EQ21" s="16" t="str">
        <f>Décembre!FS23</f>
        <v/>
      </c>
    </row>
    <row r="22" spans="1:147" ht="18" customHeight="1" x14ac:dyDescent="0.25">
      <c r="A22" s="24" t="str">
        <f>+Décembre!BJ24</f>
        <v>Fiche infoA6</v>
      </c>
      <c r="B22" s="107">
        <f t="shared" si="30"/>
        <v>46361</v>
      </c>
      <c r="C22" s="170">
        <f>+$D$13+4</f>
        <v>46361</v>
      </c>
      <c r="D22" s="171" t="str">
        <f>IF(AND(EQ22&lt;&gt;"",$DZ$5=S.CAL!$CU$2),EQ22,IF(IFERROR(IF($DY$5=S.CAL!$CU$3,ROUND(EN22,2),ROUND(EQ22,2)),"")&lt;&gt;0,IFERROR(IF($DY$5=S.CAL!$CU$3,ROUND(EN22,2),ROUND(EQ22,2)),""),""))</f>
        <v/>
      </c>
      <c r="E22" s="171" t="str">
        <f>IFERROR(+IF(AND(F22="",$DY$5=S.CAL!$CU$2,J22="OUI"),IFERROR(ROUND(I22,2),""),IF(AND(F22="",$DY$5=S.CAL!$CU$3,L22="oui"),ROUND(K22,2),IF(F22="","",ROUND(F22,2)))),"")</f>
        <v/>
      </c>
      <c r="F22" s="954"/>
      <c r="G22" s="990"/>
      <c r="H22" s="27" t="str">
        <f t="shared" si="14"/>
        <v>A</v>
      </c>
      <c r="I22" s="34">
        <f>Décembre!BC24</f>
        <v>0</v>
      </c>
      <c r="J22" s="34">
        <f>Décembre!BE24</f>
        <v>0</v>
      </c>
      <c r="K22" s="34">
        <f t="shared" si="15"/>
        <v>0</v>
      </c>
      <c r="L22" s="34" t="str">
        <f t="shared" si="21"/>
        <v/>
      </c>
      <c r="O22" s="19"/>
      <c r="AK22" s="1189" t="s">
        <v>37</v>
      </c>
      <c r="AL22" s="1318">
        <f>+Décembre!AL14</f>
        <v>0</v>
      </c>
      <c r="BA22" s="331" t="str">
        <f t="shared" si="16"/>
        <v>Fiche infoA6</v>
      </c>
      <c r="BB22" s="107">
        <f t="shared" si="31"/>
        <v>46361</v>
      </c>
      <c r="BC22" s="170">
        <f>+$D$13+4</f>
        <v>46361</v>
      </c>
      <c r="BD22" s="171" t="str">
        <f t="shared" si="32"/>
        <v/>
      </c>
      <c r="BE22" s="171" t="str">
        <f>+IF(OR(BF22=S.CAL!$BJ$3,BF22=S.CAL!$BJ$4),BD22,"")</f>
        <v/>
      </c>
      <c r="BF22" s="333">
        <f>IF($DY$5=S.CAL!$CU$2,Décembre!AR24,IF($DY$5=S.CAL!$CU$3,VLOOKUP(BC22,planning_fp,7,FALSE),""))</f>
        <v>0</v>
      </c>
      <c r="BG22" s="345" t="str">
        <f>Décembre!BL24</f>
        <v>A</v>
      </c>
      <c r="BH22" s="148"/>
      <c r="BL22" s="144"/>
      <c r="BM22" s="195"/>
      <c r="CD22" s="328"/>
      <c r="CE22" s="107">
        <f t="shared" si="33"/>
        <v>46361</v>
      </c>
      <c r="CF22" s="170">
        <f>+$D$13+4</f>
        <v>46361</v>
      </c>
      <c r="CG22" s="171">
        <f t="shared" si="22"/>
        <v>0</v>
      </c>
      <c r="CH22" s="34"/>
      <c r="DR22" s="16">
        <f>IF(OR(EB22&gt;0,AND(C22&lt;&gt;"",C22&lt;Identification!$B$28),AND(C22&lt;&gt;"",C22&gt;Identification!$B$95,Identification!$B$95&lt;&gt;0)),0,IF(OR(AND(C22&lt;&gt;"",D22&lt;&gt;"",IFERROR(D22-E22=0,0)),(AND(C22&lt;&gt;"",DR21=1,D22=""))),1,0))</f>
        <v>0</v>
      </c>
      <c r="DS22" s="16">
        <f>IF(OR(EB22&gt;0,AND(C22&lt;&gt;"",C22&lt;Identification!$B$28),AND(C22&lt;&gt;"",C22&gt;Identification!$B$95,Identification!$B$95&lt;&gt;0)),0,IF(OR(AND(C22&lt;&gt;"",D22&lt;&gt;"",IFERROR(D22-E22=0,0)),(AND(C22&lt;&gt;"",DS23=1,D22=""))),1,0))</f>
        <v>0</v>
      </c>
      <c r="DT22" s="16">
        <f t="shared" si="23"/>
        <v>0</v>
      </c>
      <c r="DU22" s="16">
        <f>IF(OR(EB22&gt;0,AND(C22&lt;&gt;"",C22&lt;Identification!$B$28),AND(C22&lt;&gt;"",C22&gt;Identification!$B$95,Identification!$B$95&lt;&gt;0)),0,IF(OR(AND(C22&lt;&gt;"",D22&lt;&gt;"",IFERROR(D22-E22=0,0))),1,0))</f>
        <v>0</v>
      </c>
      <c r="DV22" s="16">
        <f>IF(OR(EB22&gt;0,AND(C22&lt;&gt;"",C22&lt;Identification!$B$28),AND(C22&lt;&gt;"",C22&gt;Identification!$B$95,Identification!$B$95&lt;&gt;0)),0,IF(OR(AND(C22&lt;&gt;"",D22&lt;&gt;"",IFERROR(D22-E22=0,0))),1,0))</f>
        <v>0</v>
      </c>
      <c r="DW22" s="16">
        <f t="shared" si="24"/>
        <v>0</v>
      </c>
      <c r="DY22" s="16">
        <f>IF(+Décembre!AG24="",0,Décembre!AG24)</f>
        <v>0</v>
      </c>
      <c r="DZ22" s="16">
        <f>+IF(Décembre!AJ24="",0,Décembre!AJ24)</f>
        <v>0</v>
      </c>
      <c r="EA22" s="16">
        <f>+IF(Décembre!AM24="",0,Décembre!AM24)</f>
        <v>0</v>
      </c>
      <c r="EB22" s="16">
        <f t="shared" si="25"/>
        <v>0</v>
      </c>
      <c r="ED22" s="16">
        <f t="shared" si="26"/>
        <v>0</v>
      </c>
      <c r="EE22" s="16">
        <f t="shared" si="17"/>
        <v>0</v>
      </c>
      <c r="EF22" s="30" t="str">
        <f t="shared" si="18"/>
        <v/>
      </c>
      <c r="EG22" s="30" t="str">
        <f t="shared" si="27"/>
        <v/>
      </c>
      <c r="EH22" s="16">
        <f t="shared" si="28"/>
        <v>0</v>
      </c>
      <c r="EI22" s="30"/>
      <c r="EJ22" s="30">
        <f t="shared" si="19"/>
        <v>46361</v>
      </c>
      <c r="EM22" s="16" t="str">
        <f t="shared" si="29"/>
        <v>Fiche infoA646361</v>
      </c>
      <c r="EN22" s="16">
        <f t="shared" si="20"/>
        <v>0</v>
      </c>
      <c r="EQ22" s="16" t="str">
        <f>Décembre!FS24</f>
        <v/>
      </c>
    </row>
    <row r="23" spans="1:147" ht="18" customHeight="1" x14ac:dyDescent="0.2">
      <c r="A23" s="24" t="str">
        <f>+Décembre!BJ25</f>
        <v>Fiche infoA7</v>
      </c>
      <c r="B23" s="107">
        <f t="shared" si="30"/>
        <v>46362</v>
      </c>
      <c r="C23" s="170">
        <f>+$D$13+5</f>
        <v>46362</v>
      </c>
      <c r="D23" s="171" t="str">
        <f>IF(AND(EQ23&lt;&gt;"",$DZ$5=S.CAL!$CU$2),EQ23,IF(IFERROR(IF($DY$5=S.CAL!$CU$3,ROUND(EN23,2),ROUND(EQ23,2)),"")&lt;&gt;0,IFERROR(IF($DY$5=S.CAL!$CU$3,ROUND(EN23,2),ROUND(EQ23,2)),""),""))</f>
        <v/>
      </c>
      <c r="E23" s="171" t="str">
        <f>IFERROR(+IF(AND(F23="",$DY$5=S.CAL!$CU$2,J23="OUI"),IFERROR(ROUND(I23,2),""),IF(AND(F23="",$DY$5=S.CAL!$CU$3,L23="oui"),ROUND(K23,2),IF(F23="","",ROUND(F23,2)))),"")</f>
        <v/>
      </c>
      <c r="F23" s="954"/>
      <c r="G23" s="990"/>
      <c r="H23" s="27" t="str">
        <f t="shared" si="14"/>
        <v>A</v>
      </c>
      <c r="I23" s="34">
        <f>Décembre!BC25</f>
        <v>0</v>
      </c>
      <c r="J23" s="34">
        <f>Décembre!BE25</f>
        <v>0</v>
      </c>
      <c r="K23" s="34">
        <f t="shared" si="15"/>
        <v>0</v>
      </c>
      <c r="L23" s="34" t="str">
        <f t="shared" si="21"/>
        <v/>
      </c>
      <c r="O23" s="39" t="str">
        <f>+O21</f>
        <v xml:space="preserve">Retenue sur salaire = </v>
      </c>
      <c r="P23" s="671">
        <f>+P30+P33</f>
        <v>0</v>
      </c>
      <c r="T23" s="563" t="s">
        <v>1107</v>
      </c>
      <c r="Z23" s="563" t="s">
        <v>1107</v>
      </c>
      <c r="BA23" s="331" t="str">
        <f t="shared" si="16"/>
        <v>Fiche infoA7</v>
      </c>
      <c r="BB23" s="107">
        <f t="shared" si="31"/>
        <v>46362</v>
      </c>
      <c r="BC23" s="170">
        <f>+$D$13+5</f>
        <v>46362</v>
      </c>
      <c r="BD23" s="171" t="str">
        <f t="shared" si="32"/>
        <v/>
      </c>
      <c r="BE23" s="171" t="str">
        <f>+IF(OR(BF23=S.CAL!$BJ$3,BF23=S.CAL!$BJ$4),BD23,"")</f>
        <v/>
      </c>
      <c r="BF23" s="333">
        <f>IF($DY$5=S.CAL!$CU$2,Décembre!AR25,IF($DY$5=S.CAL!$CU$3,VLOOKUP(BC23,planning_fp,7,FALSE),""))</f>
        <v>0</v>
      </c>
      <c r="BG23" s="345" t="str">
        <f>Décembre!BL25</f>
        <v>A</v>
      </c>
      <c r="BH23" s="29"/>
      <c r="BI23" s="336"/>
      <c r="BL23" s="147"/>
      <c r="CD23" s="328"/>
      <c r="CE23" s="107">
        <f t="shared" si="33"/>
        <v>46362</v>
      </c>
      <c r="CF23" s="170">
        <f>+$D$13+5</f>
        <v>46362</v>
      </c>
      <c r="CG23" s="171">
        <f t="shared" si="22"/>
        <v>0</v>
      </c>
      <c r="CH23" s="34"/>
      <c r="DR23" s="16">
        <f>IF(OR(EB23&gt;0,AND(C23&lt;&gt;"",C23&lt;Identification!$B$28),AND(C23&lt;&gt;"",C23&gt;Identification!$B$95,Identification!$B$95&lt;&gt;0)),0,IF(OR(AND(C23&lt;&gt;"",D23&lt;&gt;"",IFERROR(D23-E23=0,0)),(AND(C23&lt;&gt;"",DR22=1,D23=""))),1,0))</f>
        <v>0</v>
      </c>
      <c r="DS23" s="16">
        <f>IF(OR(EB23&gt;0,AND(C23&lt;&gt;"",C23&lt;Identification!$B$28),AND(C23&lt;&gt;"",C23&gt;Identification!$B$95,Identification!$B$95&lt;&gt;0)),0,IF(OR(AND(C23&lt;&gt;"",D23&lt;&gt;"",IFERROR(D23-E23=0,0)),(AND(C23&lt;&gt;"",DS24=1,D23=""))),1,0))</f>
        <v>0</v>
      </c>
      <c r="DT23" s="16">
        <f t="shared" si="23"/>
        <v>0</v>
      </c>
      <c r="DU23" s="16">
        <f>IF(OR(EB23&gt;0,AND(C23&lt;&gt;"",C23&lt;Identification!$B$28),AND(C23&lt;&gt;"",C23&gt;Identification!$B$95,Identification!$B$95&lt;&gt;0)),0,IF(OR(AND(C23&lt;&gt;"",D23&lt;&gt;"",IFERROR(D23-E23=0,0))),1,0))</f>
        <v>0</v>
      </c>
      <c r="DV23" s="16">
        <f>IF(OR(EB23&gt;0,AND(C23&lt;&gt;"",C23&lt;Identification!$B$28),AND(C23&lt;&gt;"",C23&gt;Identification!$B$95,Identification!$B$95&lt;&gt;0)),0,IF(OR(AND(C23&lt;&gt;"",D23&lt;&gt;"",IFERROR(D23-E23=0,0))),1,0))</f>
        <v>0</v>
      </c>
      <c r="DW23" s="16">
        <f t="shared" si="24"/>
        <v>0</v>
      </c>
      <c r="DY23" s="16">
        <f>IF(+Décembre!AG25="",0,Décembre!AG25)</f>
        <v>0</v>
      </c>
      <c r="DZ23" s="16">
        <f>+IF(Décembre!AJ25="",0,Décembre!AJ25)</f>
        <v>0</v>
      </c>
      <c r="EA23" s="16">
        <f>+IF(Décembre!AM25="",0,Décembre!AM25)</f>
        <v>0</v>
      </c>
      <c r="EB23" s="16">
        <f t="shared" si="25"/>
        <v>0</v>
      </c>
      <c r="ED23" s="16">
        <f t="shared" si="26"/>
        <v>0</v>
      </c>
      <c r="EE23" s="16">
        <f t="shared" si="17"/>
        <v>0</v>
      </c>
      <c r="EF23" s="30" t="str">
        <f t="shared" si="18"/>
        <v/>
      </c>
      <c r="EG23" s="30" t="str">
        <f t="shared" si="27"/>
        <v/>
      </c>
      <c r="EH23" s="16">
        <f t="shared" si="28"/>
        <v>0</v>
      </c>
      <c r="EI23" s="30"/>
      <c r="EJ23" s="30">
        <f t="shared" si="19"/>
        <v>46362</v>
      </c>
      <c r="EM23" s="16" t="str">
        <f t="shared" si="29"/>
        <v>Fiche infoA746362</v>
      </c>
      <c r="EN23" s="16">
        <f t="shared" si="20"/>
        <v>0</v>
      </c>
      <c r="EQ23" s="16" t="str">
        <f>Décembre!FS25</f>
        <v/>
      </c>
    </row>
    <row r="24" spans="1:147" ht="18" customHeight="1" x14ac:dyDescent="0.2">
      <c r="A24" s="24" t="str">
        <f>+Décembre!BJ26</f>
        <v>Fiche infoA1</v>
      </c>
      <c r="B24" s="107">
        <f t="shared" si="30"/>
        <v>46363</v>
      </c>
      <c r="C24" s="170">
        <f>+$D$13+6</f>
        <v>46363</v>
      </c>
      <c r="D24" s="171" t="str">
        <f>IF(AND(EQ24&lt;&gt;"",$DZ$5=S.CAL!$CU$2),EQ24,IF(IFERROR(IF($DY$5=S.CAL!$CU$3,ROUND(EN24,2),ROUND(EQ24,2)),"")&lt;&gt;0,IFERROR(IF($DY$5=S.CAL!$CU$3,ROUND(EN24,2),ROUND(EQ24,2)),""),""))</f>
        <v/>
      </c>
      <c r="E24" s="171" t="str">
        <f>IFERROR(+IF(AND(F24="",$DY$5=S.CAL!$CU$2,J24="OUI"),IFERROR(ROUND(I24,2),""),IF(AND(F24="",$DY$5=S.CAL!$CU$3,L24="oui"),ROUND(K24,2),IF(F24="","",ROUND(F24,2)))),"")</f>
        <v/>
      </c>
      <c r="F24" s="954"/>
      <c r="G24" s="990"/>
      <c r="H24" s="27" t="str">
        <f t="shared" si="14"/>
        <v>A</v>
      </c>
      <c r="I24" s="34">
        <f>Décembre!BC26</f>
        <v>0</v>
      </c>
      <c r="J24" s="34">
        <f>Décembre!BE26</f>
        <v>0</v>
      </c>
      <c r="K24" s="34">
        <f t="shared" si="15"/>
        <v>0</v>
      </c>
      <c r="L24" s="34" t="str">
        <f t="shared" si="21"/>
        <v/>
      </c>
      <c r="V24" s="1189" t="str">
        <f>+ROUND(W13,2)&amp;" / "&amp;ROUND(W21,2)&amp;" X "&amp;ROUND(W19,2)&amp;" = "</f>
        <v xml:space="preserve">0 / 0 X 0 = </v>
      </c>
      <c r="W24" s="1315">
        <f>IFERROR(ROUND(W13/W21*W19,2),0)</f>
        <v>0</v>
      </c>
      <c r="AB24" s="1189" t="str">
        <f>+ROUND(W14,2)&amp;" / "&amp;ROUND(AC21,2)&amp;" X "&amp;ROUND(AC19,2)&amp;" = "</f>
        <v xml:space="preserve">0 / 0 X 0 = </v>
      </c>
      <c r="AC24" s="1315">
        <f>IFERROR(ROUND(W14/AC21*AC19,2),0)</f>
        <v>0</v>
      </c>
      <c r="AK24" s="1189" t="s">
        <v>678</v>
      </c>
      <c r="AL24" s="1319" t="e">
        <f>+AT21*AL22/12</f>
        <v>#VALUE!</v>
      </c>
      <c r="BA24" s="331" t="str">
        <f t="shared" si="16"/>
        <v>Fiche infoA1</v>
      </c>
      <c r="BB24" s="107">
        <f t="shared" si="31"/>
        <v>46363</v>
      </c>
      <c r="BC24" s="170">
        <f>+$D$13+6</f>
        <v>46363</v>
      </c>
      <c r="BD24" s="171" t="str">
        <f t="shared" si="32"/>
        <v/>
      </c>
      <c r="BE24" s="171" t="str">
        <f>+IF(OR(BF24=S.CAL!$BJ$3,BF24=S.CAL!$BJ$4),BD24,"")</f>
        <v/>
      </c>
      <c r="BF24" s="333">
        <f>IF($DY$5=S.CAL!$CU$2,Décembre!AR26,IF($DY$5=S.CAL!$CU$3,VLOOKUP(BC24,planning_fp,7,FALSE),""))</f>
        <v>0</v>
      </c>
      <c r="BG24" s="345" t="str">
        <f>Décembre!BL26</f>
        <v>A</v>
      </c>
      <c r="BL24" s="35"/>
      <c r="BM24" s="195"/>
      <c r="BO24" s="29"/>
      <c r="BP24" s="182"/>
      <c r="BR24" s="16" t="s">
        <v>746</v>
      </c>
      <c r="BV24" s="355"/>
      <c r="BW24" s="355"/>
      <c r="BX24" s="355"/>
      <c r="BY24" s="355" t="s">
        <v>696</v>
      </c>
      <c r="BZ24" s="355"/>
      <c r="CA24" s="355"/>
      <c r="CB24" s="355"/>
      <c r="CD24" s="328"/>
      <c r="CE24" s="107">
        <f t="shared" si="33"/>
        <v>46363</v>
      </c>
      <c r="CF24" s="170">
        <f>+$D$13+6</f>
        <v>46363</v>
      </c>
      <c r="CG24" s="171">
        <f t="shared" si="22"/>
        <v>0</v>
      </c>
      <c r="CH24" s="34"/>
      <c r="DR24" s="16">
        <f>IF(OR(EB24&gt;0,AND(C24&lt;&gt;"",C24&lt;Identification!$B$28),AND(C24&lt;&gt;"",C24&gt;Identification!$B$95,Identification!$B$95&lt;&gt;0)),0,IF(OR(AND(C24&lt;&gt;"",D24&lt;&gt;"",IFERROR(D24-E24=0,0)),(AND(C24&lt;&gt;"",DR23=1,D24=""))),1,0))</f>
        <v>0</v>
      </c>
      <c r="DS24" s="16">
        <f>IF(OR(EB24&gt;0,AND(C24&lt;&gt;"",C24&lt;Identification!$B$28),AND(C24&lt;&gt;"",C24&gt;Identification!$B$95,Identification!$B$95&lt;&gt;0)),0,IF(OR(AND(C24&lt;&gt;"",D24&lt;&gt;"",IFERROR(D24-E24=0,0)),(AND(C24&lt;&gt;"",DS25=1,D24=""))),1,0))</f>
        <v>0</v>
      </c>
      <c r="DT24" s="16">
        <f t="shared" si="23"/>
        <v>0</v>
      </c>
      <c r="DU24" s="16">
        <f>IF(OR(EB24&gt;0,AND(C24&lt;&gt;"",C24&lt;Identification!$B$28),AND(C24&lt;&gt;"",C24&gt;Identification!$B$95,Identification!$B$95&lt;&gt;0)),0,IF(OR(AND(C24&lt;&gt;"",D24&lt;&gt;"",IFERROR(D24-E24=0,0))),1,0))</f>
        <v>0</v>
      </c>
      <c r="DV24" s="16">
        <f>IF(OR(EB24&gt;0,AND(C24&lt;&gt;"",C24&lt;Identification!$B$28),AND(C24&lt;&gt;"",C24&gt;Identification!$B$95,Identification!$B$95&lt;&gt;0)),0,IF(OR(AND(C24&lt;&gt;"",D24&lt;&gt;"",IFERROR(D24-E24=0,0))),1,0))</f>
        <v>0</v>
      </c>
      <c r="DW24" s="16">
        <f t="shared" si="24"/>
        <v>0</v>
      </c>
      <c r="DY24" s="16">
        <f>IF(+Décembre!AG26="",0,Décembre!AG26)</f>
        <v>0</v>
      </c>
      <c r="DZ24" s="16">
        <f>+IF(Décembre!AJ26="",0,Décembre!AJ26)</f>
        <v>0</v>
      </c>
      <c r="EA24" s="16">
        <f>+IF(Décembre!AM26="",0,Décembre!AM26)</f>
        <v>0</v>
      </c>
      <c r="EB24" s="16">
        <f t="shared" si="25"/>
        <v>0</v>
      </c>
      <c r="ED24" s="16">
        <f t="shared" si="26"/>
        <v>0</v>
      </c>
      <c r="EE24" s="16">
        <f t="shared" si="17"/>
        <v>0</v>
      </c>
      <c r="EF24" s="30" t="str">
        <f t="shared" si="18"/>
        <v/>
      </c>
      <c r="EG24" s="30" t="str">
        <f t="shared" si="27"/>
        <v/>
      </c>
      <c r="EH24" s="16">
        <f t="shared" si="28"/>
        <v>0</v>
      </c>
      <c r="EI24" s="30"/>
      <c r="EJ24" s="30">
        <f t="shared" si="19"/>
        <v>46363</v>
      </c>
      <c r="EM24" s="16" t="str">
        <f t="shared" si="29"/>
        <v>Fiche infoA146363</v>
      </c>
      <c r="EN24" s="16">
        <f t="shared" si="20"/>
        <v>0</v>
      </c>
      <c r="EQ24" s="16" t="str">
        <f>Décembre!FS26</f>
        <v/>
      </c>
    </row>
    <row r="25" spans="1:147" ht="18" customHeight="1" x14ac:dyDescent="0.2">
      <c r="A25" s="24" t="str">
        <f>+Décembre!BJ27</f>
        <v>Fiche infoA2</v>
      </c>
      <c r="B25" s="107">
        <f t="shared" si="30"/>
        <v>46364</v>
      </c>
      <c r="C25" s="170">
        <f>+$D$13+7</f>
        <v>46364</v>
      </c>
      <c r="D25" s="171" t="str">
        <f>IF(AND(EQ25&lt;&gt;"",$DZ$5=S.CAL!$CU$2),EQ25,IF(IFERROR(IF($DY$5=S.CAL!$CU$3,ROUND(EN25,2),ROUND(EQ25,2)),"")&lt;&gt;0,IFERROR(IF($DY$5=S.CAL!$CU$3,ROUND(EN25,2),ROUND(EQ25,2)),""),""))</f>
        <v/>
      </c>
      <c r="E25" s="171" t="str">
        <f>IFERROR(+IF(AND(F25="",$DY$5=S.CAL!$CU$2,J25="OUI"),IFERROR(ROUND(I25,2),""),IF(AND(F25="",$DY$5=S.CAL!$CU$3,L25="oui"),ROUND(K25,2),IF(F25="","",ROUND(F25,2)))),"")</f>
        <v/>
      </c>
      <c r="F25" s="954"/>
      <c r="G25" s="990"/>
      <c r="H25" s="27" t="str">
        <f t="shared" si="14"/>
        <v>A</v>
      </c>
      <c r="I25" s="34">
        <f>Décembre!BC27</f>
        <v>0</v>
      </c>
      <c r="J25" s="34">
        <f>Décembre!BE27</f>
        <v>0</v>
      </c>
      <c r="K25" s="34">
        <f t="shared" si="15"/>
        <v>0</v>
      </c>
      <c r="L25" s="34" t="str">
        <f t="shared" si="21"/>
        <v/>
      </c>
      <c r="AK25" s="1189" t="s">
        <v>320</v>
      </c>
      <c r="AL25" s="1313">
        <f>+IF(AL22,AL24/AL22,0)</f>
        <v>0</v>
      </c>
      <c r="BA25" s="331" t="str">
        <f t="shared" si="16"/>
        <v>Fiche infoA2</v>
      </c>
      <c r="BB25" s="107">
        <f t="shared" si="31"/>
        <v>46364</v>
      </c>
      <c r="BC25" s="170">
        <f>+$D$13+7</f>
        <v>46364</v>
      </c>
      <c r="BD25" s="171" t="str">
        <f t="shared" si="32"/>
        <v/>
      </c>
      <c r="BE25" s="171" t="str">
        <f>+IF(OR(BF25=S.CAL!$BJ$3,BF25=S.CAL!$BJ$4),BD25,"")</f>
        <v/>
      </c>
      <c r="BF25" s="333">
        <f>IF($DY$5=S.CAL!$CU$2,Décembre!AR27,IF($DY$5=S.CAL!$CU$3,VLOOKUP(BC25,planning_fp,7,FALSE),""))</f>
        <v>0</v>
      </c>
      <c r="BG25" s="345" t="str">
        <f>Décembre!BL27</f>
        <v>A</v>
      </c>
      <c r="BH25" s="148"/>
      <c r="BL25" s="35"/>
      <c r="BO25" s="29"/>
      <c r="BP25" s="182"/>
      <c r="BV25" s="355"/>
      <c r="BW25" s="355"/>
      <c r="BX25" s="355"/>
      <c r="BY25" s="355"/>
      <c r="BZ25" s="355"/>
      <c r="CA25" s="355"/>
      <c r="CB25" s="355"/>
      <c r="CD25" s="328"/>
      <c r="CE25" s="107">
        <f t="shared" si="33"/>
        <v>46364</v>
      </c>
      <c r="CF25" s="170">
        <f>+$D$13+7</f>
        <v>46364</v>
      </c>
      <c r="CG25" s="171">
        <f t="shared" si="22"/>
        <v>0</v>
      </c>
      <c r="CH25" s="34"/>
      <c r="DR25" s="16">
        <f>IF(OR(EB25&gt;0,AND(C25&lt;&gt;"",C25&lt;Identification!$B$28),AND(C25&lt;&gt;"",C25&gt;Identification!$B$95,Identification!$B$95&lt;&gt;0)),0,IF(OR(AND(C25&lt;&gt;"",D25&lt;&gt;"",IFERROR(D25-E25=0,0)),(AND(C25&lt;&gt;"",DR24=1,D25=""))),1,0))</f>
        <v>0</v>
      </c>
      <c r="DS25" s="16">
        <f>IF(OR(EB25&gt;0,AND(C25&lt;&gt;"",C25&lt;Identification!$B$28),AND(C25&lt;&gt;"",C25&gt;Identification!$B$95,Identification!$B$95&lt;&gt;0)),0,IF(OR(AND(C25&lt;&gt;"",D25&lt;&gt;"",IFERROR(D25-E25=0,0)),(AND(C25&lt;&gt;"",DS26=1,D25=""))),1,0))</f>
        <v>0</v>
      </c>
      <c r="DT25" s="16">
        <f t="shared" si="23"/>
        <v>0</v>
      </c>
      <c r="DU25" s="16">
        <f>IF(OR(EB25&gt;0,AND(C25&lt;&gt;"",C25&lt;Identification!$B$28),AND(C25&lt;&gt;"",C25&gt;Identification!$B$95,Identification!$B$95&lt;&gt;0)),0,IF(OR(AND(C25&lt;&gt;"",D25&lt;&gt;"",IFERROR(D25-E25=0,0))),1,0))</f>
        <v>0</v>
      </c>
      <c r="DV25" s="16">
        <f>IF(OR(EB25&gt;0,AND(C25&lt;&gt;"",C25&lt;Identification!$B$28),AND(C25&lt;&gt;"",C25&gt;Identification!$B$95,Identification!$B$95&lt;&gt;0)),0,IF(OR(AND(C25&lt;&gt;"",D25&lt;&gt;"",IFERROR(D25-E25=0,0))),1,0))</f>
        <v>0</v>
      </c>
      <c r="DW25" s="16">
        <f t="shared" si="24"/>
        <v>0</v>
      </c>
      <c r="DY25" s="16">
        <f>IF(+Décembre!AG27="",0,Décembre!AG27)</f>
        <v>0</v>
      </c>
      <c r="DZ25" s="16">
        <f>+IF(Décembre!AJ27="",0,Décembre!AJ27)</f>
        <v>0</v>
      </c>
      <c r="EA25" s="16">
        <f>+IF(Décembre!AM27="",0,Décembre!AM27)</f>
        <v>0</v>
      </c>
      <c r="EB25" s="16">
        <f t="shared" si="25"/>
        <v>0</v>
      </c>
      <c r="ED25" s="16">
        <f t="shared" si="26"/>
        <v>0</v>
      </c>
      <c r="EE25" s="16">
        <f t="shared" si="17"/>
        <v>0</v>
      </c>
      <c r="EF25" s="30" t="str">
        <f t="shared" si="18"/>
        <v/>
      </c>
      <c r="EG25" s="30" t="str">
        <f t="shared" si="27"/>
        <v/>
      </c>
      <c r="EH25" s="16">
        <f t="shared" si="28"/>
        <v>0</v>
      </c>
      <c r="EI25" s="30"/>
      <c r="EJ25" s="30">
        <f t="shared" si="19"/>
        <v>46364</v>
      </c>
      <c r="EM25" s="16" t="str">
        <f t="shared" si="29"/>
        <v>Fiche infoA246364</v>
      </c>
      <c r="EN25" s="16">
        <f t="shared" si="20"/>
        <v>0</v>
      </c>
      <c r="EQ25" s="16" t="str">
        <f>Décembre!FS27</f>
        <v/>
      </c>
    </row>
    <row r="26" spans="1:147" ht="18" customHeight="1" x14ac:dyDescent="0.2">
      <c r="A26" s="24" t="str">
        <f>+Décembre!BJ28</f>
        <v>Fiche infoA3</v>
      </c>
      <c r="B26" s="107">
        <f t="shared" si="30"/>
        <v>46365</v>
      </c>
      <c r="C26" s="170">
        <f>+$D$13+8</f>
        <v>46365</v>
      </c>
      <c r="D26" s="171" t="str">
        <f>IF(AND(EQ26&lt;&gt;"",$DZ$5=S.CAL!$CU$2),EQ26,IF(IFERROR(IF($DY$5=S.CAL!$CU$3,ROUND(EN26,2),ROUND(EQ26,2)),"")&lt;&gt;0,IFERROR(IF($DY$5=S.CAL!$CU$3,ROUND(EN26,2),ROUND(EQ26,2)),""),""))</f>
        <v/>
      </c>
      <c r="E26" s="171" t="str">
        <f>IFERROR(+IF(AND(F26="",$DY$5=S.CAL!$CU$2,J26="OUI"),IFERROR(ROUND(I26,2),""),IF(AND(F26="",$DY$5=S.CAL!$CU$3,L26="oui"),ROUND(K26,2),IF(F26="","",ROUND(F26,2)))),"")</f>
        <v/>
      </c>
      <c r="F26" s="954"/>
      <c r="G26" s="990"/>
      <c r="H26" s="27" t="str">
        <f t="shared" si="14"/>
        <v>A</v>
      </c>
      <c r="I26" s="34">
        <f>Décembre!BC28</f>
        <v>0</v>
      </c>
      <c r="J26" s="34">
        <f>Décembre!BE28</f>
        <v>0</v>
      </c>
      <c r="K26" s="34">
        <f t="shared" si="15"/>
        <v>0</v>
      </c>
      <c r="L26" s="34" t="str">
        <f t="shared" si="21"/>
        <v/>
      </c>
      <c r="O26" s="16" t="s">
        <v>1197</v>
      </c>
      <c r="AK26" s="1189" t="s">
        <v>321</v>
      </c>
      <c r="AL26" s="1313">
        <f>IF(AS21,SUM(AT13:AT20)/AS21,0)</f>
        <v>0</v>
      </c>
      <c r="BA26" s="331" t="str">
        <f t="shared" si="16"/>
        <v>Fiche infoA3</v>
      </c>
      <c r="BB26" s="107">
        <f t="shared" si="31"/>
        <v>46365</v>
      </c>
      <c r="BC26" s="170">
        <f>+$D$13+8</f>
        <v>46365</v>
      </c>
      <c r="BD26" s="171" t="str">
        <f t="shared" si="32"/>
        <v/>
      </c>
      <c r="BE26" s="171" t="str">
        <f>+IF(OR(BF26=S.CAL!$BJ$3,BF26=S.CAL!$BJ$4),BD26,"")</f>
        <v/>
      </c>
      <c r="BF26" s="333">
        <f>IF($DY$5=S.CAL!$CU$2,Décembre!AR28,IF($DY$5=S.CAL!$CU$3,VLOOKUP(BC26,planning_fp,7,FALSE),""))</f>
        <v>0</v>
      </c>
      <c r="BG26" s="345" t="str">
        <f>Décembre!BL28</f>
        <v>A</v>
      </c>
      <c r="BH26" s="29"/>
      <c r="BI26" s="336"/>
      <c r="BL26" s="35"/>
      <c r="BO26" s="29"/>
      <c r="BP26" s="2464" t="s">
        <v>771</v>
      </c>
      <c r="BQ26" s="2464" t="s">
        <v>326</v>
      </c>
      <c r="BR26" s="2464" t="s">
        <v>772</v>
      </c>
      <c r="BS26" s="2464" t="s">
        <v>773</v>
      </c>
      <c r="BT26" s="2464" t="s">
        <v>774</v>
      </c>
      <c r="BV26" s="355"/>
      <c r="BW26" s="356"/>
      <c r="BX26" s="2542" t="s">
        <v>775</v>
      </c>
      <c r="BY26" s="2542" t="s">
        <v>326</v>
      </c>
      <c r="BZ26" s="2542" t="s">
        <v>772</v>
      </c>
      <c r="CA26" s="2542" t="s">
        <v>773</v>
      </c>
      <c r="CB26" s="2542" t="s">
        <v>774</v>
      </c>
      <c r="CD26" s="328"/>
      <c r="CE26" s="107">
        <f t="shared" si="33"/>
        <v>46365</v>
      </c>
      <c r="CF26" s="170">
        <f>+$D$13+8</f>
        <v>46365</v>
      </c>
      <c r="CG26" s="171">
        <f t="shared" si="22"/>
        <v>0</v>
      </c>
      <c r="CH26" s="34"/>
      <c r="DR26" s="16">
        <f>IF(OR(EB26&gt;0,AND(C26&lt;&gt;"",C26&lt;Identification!$B$28),AND(C26&lt;&gt;"",C26&gt;Identification!$B$95,Identification!$B$95&lt;&gt;0)),0,IF(OR(AND(C26&lt;&gt;"",D26&lt;&gt;"",IFERROR(D26-E26=0,0)),(AND(C26&lt;&gt;"",DR25=1,D26=""))),1,0))</f>
        <v>0</v>
      </c>
      <c r="DS26" s="16">
        <f>IF(OR(EB26&gt;0,AND(C26&lt;&gt;"",C26&lt;Identification!$B$28),AND(C26&lt;&gt;"",C26&gt;Identification!$B$95,Identification!$B$95&lt;&gt;0)),0,IF(OR(AND(C26&lt;&gt;"",D26&lt;&gt;"",IFERROR(D26-E26=0,0)),(AND(C26&lt;&gt;"",DS27=1,D26=""))),1,0))</f>
        <v>0</v>
      </c>
      <c r="DT26" s="16">
        <f t="shared" si="23"/>
        <v>0</v>
      </c>
      <c r="DU26" s="16">
        <f>IF(OR(EB26&gt;0,AND(C26&lt;&gt;"",C26&lt;Identification!$B$28),AND(C26&lt;&gt;"",C26&gt;Identification!$B$95,Identification!$B$95&lt;&gt;0)),0,IF(OR(AND(C26&lt;&gt;"",D26&lt;&gt;"",IFERROR(D26-E26=0,0))),1,0))</f>
        <v>0</v>
      </c>
      <c r="DV26" s="16">
        <f>IF(OR(EB26&gt;0,AND(C26&lt;&gt;"",C26&lt;Identification!$B$28),AND(C26&lt;&gt;"",C26&gt;Identification!$B$95,Identification!$B$95&lt;&gt;0)),0,IF(OR(AND(C26&lt;&gt;"",D26&lt;&gt;"",IFERROR(D26-E26=0,0))),1,0))</f>
        <v>0</v>
      </c>
      <c r="DW26" s="16">
        <f t="shared" si="24"/>
        <v>0</v>
      </c>
      <c r="DY26" s="16">
        <f>IF(+Décembre!AG28="",0,Décembre!AG28)</f>
        <v>0</v>
      </c>
      <c r="DZ26" s="16">
        <f>+IF(Décembre!AJ28="",0,Décembre!AJ28)</f>
        <v>0</v>
      </c>
      <c r="EA26" s="16">
        <f>+IF(Décembre!AM28="",0,Décembre!AM28)</f>
        <v>0</v>
      </c>
      <c r="EB26" s="16">
        <f t="shared" si="25"/>
        <v>0</v>
      </c>
      <c r="ED26" s="16">
        <f t="shared" si="26"/>
        <v>0</v>
      </c>
      <c r="EE26" s="16">
        <f t="shared" si="17"/>
        <v>0</v>
      </c>
      <c r="EF26" s="30" t="str">
        <f t="shared" si="18"/>
        <v/>
      </c>
      <c r="EG26" s="30" t="str">
        <f t="shared" si="27"/>
        <v/>
      </c>
      <c r="EH26" s="16">
        <f t="shared" si="28"/>
        <v>0</v>
      </c>
      <c r="EI26" s="30"/>
      <c r="EJ26" s="30">
        <f t="shared" si="19"/>
        <v>46365</v>
      </c>
      <c r="EM26" s="16" t="str">
        <f t="shared" si="29"/>
        <v>Fiche infoA346365</v>
      </c>
      <c r="EN26" s="16">
        <f t="shared" si="20"/>
        <v>0</v>
      </c>
      <c r="EQ26" s="16" t="str">
        <f>Décembre!FS28</f>
        <v/>
      </c>
    </row>
    <row r="27" spans="1:147" ht="18" customHeight="1" x14ac:dyDescent="0.2">
      <c r="A27" s="24" t="str">
        <f>+Décembre!BJ29</f>
        <v>Fiche infoA4</v>
      </c>
      <c r="B27" s="107">
        <f t="shared" si="30"/>
        <v>46366</v>
      </c>
      <c r="C27" s="170">
        <f>+$D$13+9</f>
        <v>46366</v>
      </c>
      <c r="D27" s="171" t="str">
        <f>IF(AND(EQ27&lt;&gt;"",$DZ$5=S.CAL!$CU$2),EQ27,IF(IFERROR(IF($DY$5=S.CAL!$CU$3,ROUND(EN27,2),ROUND(EQ27,2)),"")&lt;&gt;0,IFERROR(IF($DY$5=S.CAL!$CU$3,ROUND(EN27,2),ROUND(EQ27,2)),""),""))</f>
        <v/>
      </c>
      <c r="E27" s="171" t="str">
        <f>IFERROR(+IF(AND(F27="",$DY$5=S.CAL!$CU$2,J27="OUI"),IFERROR(ROUND(I27,2),""),IF(AND(F27="",$DY$5=S.CAL!$CU$3,L27="oui"),ROUND(K27,2),IF(F27="","",ROUND(F27,2)))),"")</f>
        <v/>
      </c>
      <c r="F27" s="954"/>
      <c r="G27" s="990"/>
      <c r="H27" s="27" t="str">
        <f t="shared" si="14"/>
        <v>A</v>
      </c>
      <c r="I27" s="34">
        <f>Décembre!BC29</f>
        <v>0</v>
      </c>
      <c r="J27" s="34">
        <f>Décembre!BE29</f>
        <v>0</v>
      </c>
      <c r="K27" s="34">
        <f t="shared" si="15"/>
        <v>0</v>
      </c>
      <c r="L27" s="34" t="str">
        <f t="shared" si="21"/>
        <v/>
      </c>
      <c r="O27" s="29" t="str">
        <f>+E50&amp;"/"&amp;D50&amp;"="</f>
        <v>0/0=</v>
      </c>
      <c r="P27" s="53">
        <f>+IF(D50,E50/D50,0)</f>
        <v>0</v>
      </c>
      <c r="T27" s="563" t="str">
        <f>+IF(ED1=S.CAL!EP1,"","Nbre d'heures (&lt; ou = à 45 hrs / sem) mensualisées à déduire :")</f>
        <v/>
      </c>
      <c r="Z27" s="563" t="str">
        <f>+IF(ED1=S.CAL!EP1,"","Nbre d'heures majorées mensualisées à déduire :")</f>
        <v/>
      </c>
      <c r="AK27" s="1189" t="s">
        <v>782</v>
      </c>
      <c r="AL27" s="1320" t="e">
        <f>ROUND(AV21/AS21,3)</f>
        <v>#VALUE!</v>
      </c>
      <c r="BA27" s="331" t="str">
        <f t="shared" si="16"/>
        <v>Fiche infoA4</v>
      </c>
      <c r="BB27" s="107">
        <f t="shared" si="31"/>
        <v>46366</v>
      </c>
      <c r="BC27" s="170">
        <f>+$D$13+9</f>
        <v>46366</v>
      </c>
      <c r="BD27" s="171" t="str">
        <f t="shared" si="32"/>
        <v/>
      </c>
      <c r="BE27" s="171" t="str">
        <f>+IF(OR(BF27=S.CAL!$BJ$3,BF27=S.CAL!$BJ$4),BD27,"")</f>
        <v/>
      </c>
      <c r="BF27" s="333">
        <f>IF($DY$5=S.CAL!$CU$2,Décembre!AR29,IF($DY$5=S.CAL!$CU$3,VLOOKUP(BC27,planning_fp,7,FALSE),""))</f>
        <v>0</v>
      </c>
      <c r="BG27" s="345" t="str">
        <f>Décembre!BL29</f>
        <v>A</v>
      </c>
      <c r="BI27" s="16" t="s">
        <v>746</v>
      </c>
      <c r="BL27" s="35"/>
      <c r="BP27" s="2465"/>
      <c r="BQ27" s="2465"/>
      <c r="BR27" s="2465"/>
      <c r="BS27" s="2465"/>
      <c r="BT27" s="2464"/>
      <c r="BV27" s="355"/>
      <c r="BW27" s="355"/>
      <c r="BX27" s="2543"/>
      <c r="BY27" s="2543"/>
      <c r="BZ27" s="2543"/>
      <c r="CA27" s="2543"/>
      <c r="CB27" s="2542"/>
      <c r="CD27" s="328"/>
      <c r="CE27" s="107">
        <f t="shared" si="33"/>
        <v>46366</v>
      </c>
      <c r="CF27" s="170">
        <f>+$D$13+9</f>
        <v>46366</v>
      </c>
      <c r="CG27" s="171">
        <f t="shared" si="22"/>
        <v>0</v>
      </c>
      <c r="CH27" s="34"/>
      <c r="DR27" s="16">
        <f>IF(OR(EB27&gt;0,AND(C27&lt;&gt;"",C27&lt;Identification!$B$28),AND(C27&lt;&gt;"",C27&gt;Identification!$B$95,Identification!$B$95&lt;&gt;0)),0,IF(OR(AND(C27&lt;&gt;"",D27&lt;&gt;"",IFERROR(D27-E27=0,0)),(AND(C27&lt;&gt;"",DR26=1,D27=""))),1,0))</f>
        <v>0</v>
      </c>
      <c r="DS27" s="16">
        <f>IF(OR(EB27&gt;0,AND(C27&lt;&gt;"",C27&lt;Identification!$B$28),AND(C27&lt;&gt;"",C27&gt;Identification!$B$95,Identification!$B$95&lt;&gt;0)),0,IF(OR(AND(C27&lt;&gt;"",D27&lt;&gt;"",IFERROR(D27-E27=0,0)),(AND(C27&lt;&gt;"",DS28=1,D27=""))),1,0))</f>
        <v>0</v>
      </c>
      <c r="DT27" s="16">
        <f t="shared" si="23"/>
        <v>0</v>
      </c>
      <c r="DU27" s="16">
        <f>IF(OR(EB27&gt;0,AND(C27&lt;&gt;"",C27&lt;Identification!$B$28),AND(C27&lt;&gt;"",C27&gt;Identification!$B$95,Identification!$B$95&lt;&gt;0)),0,IF(OR(AND(C27&lt;&gt;"",D27&lt;&gt;"",IFERROR(D27-E27=0,0))),1,0))</f>
        <v>0</v>
      </c>
      <c r="DV27" s="16">
        <f>IF(OR(EB27&gt;0,AND(C27&lt;&gt;"",C27&lt;Identification!$B$28),AND(C27&lt;&gt;"",C27&gt;Identification!$B$95,Identification!$B$95&lt;&gt;0)),0,IF(OR(AND(C27&lt;&gt;"",D27&lt;&gt;"",IFERROR(D27-E27=0,0))),1,0))</f>
        <v>0</v>
      </c>
      <c r="DW27" s="16">
        <f t="shared" si="24"/>
        <v>0</v>
      </c>
      <c r="DY27" s="16">
        <f>IF(+Décembre!AG29="",0,Décembre!AG29)</f>
        <v>0</v>
      </c>
      <c r="DZ27" s="16">
        <f>+IF(Décembre!AJ29="",0,Décembre!AJ29)</f>
        <v>0</v>
      </c>
      <c r="EA27" s="16">
        <f>+IF(Décembre!AM29="",0,Décembre!AM29)</f>
        <v>0</v>
      </c>
      <c r="EB27" s="16">
        <f t="shared" si="25"/>
        <v>0</v>
      </c>
      <c r="ED27" s="16">
        <f t="shared" si="26"/>
        <v>0</v>
      </c>
      <c r="EE27" s="16">
        <f t="shared" si="17"/>
        <v>0</v>
      </c>
      <c r="EF27" s="30" t="str">
        <f t="shared" si="18"/>
        <v/>
      </c>
      <c r="EG27" s="30" t="str">
        <f t="shared" si="27"/>
        <v/>
      </c>
      <c r="EH27" s="16">
        <f t="shared" si="28"/>
        <v>0</v>
      </c>
      <c r="EI27" s="30"/>
      <c r="EJ27" s="30">
        <f t="shared" si="19"/>
        <v>46366</v>
      </c>
      <c r="EM27" s="16" t="str">
        <f t="shared" si="29"/>
        <v>Fiche infoA446366</v>
      </c>
      <c r="EN27" s="16">
        <f t="shared" si="20"/>
        <v>0</v>
      </c>
      <c r="EQ27" s="16" t="str">
        <f>Décembre!FS29</f>
        <v/>
      </c>
    </row>
    <row r="28" spans="1:147" ht="18" customHeight="1" x14ac:dyDescent="0.2">
      <c r="A28" s="24" t="str">
        <f>+Décembre!BJ30</f>
        <v>Fiche infoA5</v>
      </c>
      <c r="B28" s="107">
        <f t="shared" si="30"/>
        <v>46367</v>
      </c>
      <c r="C28" s="170">
        <f>+$D$13+10</f>
        <v>46367</v>
      </c>
      <c r="D28" s="171" t="str">
        <f>IF(AND(EQ28&lt;&gt;"",$DZ$5=S.CAL!$CU$2),EQ28,IF(IFERROR(IF($DY$5=S.CAL!$CU$3,ROUND(EN28,2),ROUND(EQ28,2)),"")&lt;&gt;0,IFERROR(IF($DY$5=S.CAL!$CU$3,ROUND(EN28,2),ROUND(EQ28,2)),""),""))</f>
        <v/>
      </c>
      <c r="E28" s="171" t="str">
        <f>IFERROR(+IF(AND(F28="",$DY$5=S.CAL!$CU$2,J28="OUI"),IFERROR(ROUND(I28,2),""),IF(AND(F28="",$DY$5=S.CAL!$CU$3,L28="oui"),ROUND(K28,2),IF(F28="","",ROUND(F28,2)))),"")</f>
        <v/>
      </c>
      <c r="F28" s="954"/>
      <c r="G28" s="990"/>
      <c r="H28" s="27" t="str">
        <f t="shared" si="14"/>
        <v>A</v>
      </c>
      <c r="I28" s="34">
        <f>Décembre!BC30</f>
        <v>0</v>
      </c>
      <c r="J28" s="34">
        <f>Décembre!BE30</f>
        <v>0</v>
      </c>
      <c r="K28" s="34">
        <f t="shared" si="15"/>
        <v>0</v>
      </c>
      <c r="L28" s="34" t="str">
        <f t="shared" si="21"/>
        <v/>
      </c>
      <c r="V28" s="1189" t="str">
        <f>+IF(ED1=S.CAL!EP1,"",W10&amp;" hrs X "&amp;W19&amp;" hrs / "&amp;W21&amp;" hrs =")</f>
        <v/>
      </c>
      <c r="W28" s="1313" t="str">
        <f>+IF(ED1=S.CAL!EP1,"",ROUND(W10*W19/W21,3))</f>
        <v/>
      </c>
      <c r="AB28" s="1189" t="str">
        <f>+IF(ED1=S.CAL!EP1,"",W11&amp;" hrs X "&amp;AC19&amp;" hrs / "&amp;AC21&amp;" hrs =")</f>
        <v/>
      </c>
      <c r="AC28" s="1313" t="str">
        <f>+IF(ED1=S.CAL!EP1,"",ROUND(W11*AC19/AC21,3))</f>
        <v/>
      </c>
      <c r="AK28" s="1189" t="s">
        <v>322</v>
      </c>
      <c r="AL28" s="1313" t="e">
        <f>IF(AL27,AL26/AL27,0)</f>
        <v>#VALUE!</v>
      </c>
      <c r="AR28" s="563" t="s">
        <v>149</v>
      </c>
      <c r="BA28" s="331" t="str">
        <f t="shared" si="16"/>
        <v>Fiche infoA5</v>
      </c>
      <c r="BB28" s="107">
        <f t="shared" si="31"/>
        <v>46367</v>
      </c>
      <c r="BC28" s="170">
        <f>+$D$13+10</f>
        <v>46367</v>
      </c>
      <c r="BD28" s="171" t="str">
        <f t="shared" si="32"/>
        <v/>
      </c>
      <c r="BE28" s="171" t="str">
        <f>+IF(OR(BF28=S.CAL!$BJ$3,BF28=S.CAL!$BJ$4),BD28,"")</f>
        <v/>
      </c>
      <c r="BF28" s="333">
        <f>IF($DY$5=S.CAL!$CU$2,Décembre!AR30,IF($DY$5=S.CAL!$CU$3,VLOOKUP(BC28,planning_fp,7,FALSE),""))</f>
        <v>0</v>
      </c>
      <c r="BG28" s="345" t="str">
        <f>Décembre!BL30</f>
        <v>A</v>
      </c>
      <c r="BH28" s="16" t="s">
        <v>788</v>
      </c>
      <c r="BL28" s="35"/>
      <c r="BM28" s="195"/>
      <c r="BN28" s="183"/>
      <c r="BO28" s="156" t="s">
        <v>312</v>
      </c>
      <c r="BP28" s="380">
        <f>SUMIFS(BD18:BD48,BF18:BF48,S.CAL!BJ3,BG18:BG48,"A")</f>
        <v>0</v>
      </c>
      <c r="BQ28" s="184">
        <f>+BV13</f>
        <v>0</v>
      </c>
      <c r="BR28" s="383">
        <f>+IF(BQ28&gt;0,BP28*BQ28/BQ28,0)</f>
        <v>0</v>
      </c>
      <c r="BS28" s="383">
        <f t="shared" ref="BS28:BS35" si="36">+BR28*(1-CB13)</f>
        <v>0</v>
      </c>
      <c r="BT28" s="383">
        <f>+BR28-BS28</f>
        <v>0</v>
      </c>
      <c r="BV28" s="359"/>
      <c r="BW28" s="386" t="s">
        <v>312</v>
      </c>
      <c r="BX28" s="360">
        <f>SUMIFS(BD18:BD48,BF18:BF48,S.CAL!BJ4,BG18:BG48,"A")</f>
        <v>0</v>
      </c>
      <c r="BY28" s="396">
        <f>+BV13</f>
        <v>0</v>
      </c>
      <c r="BZ28" s="393">
        <f>+IF(BY28&gt;0,BX28*BY28/BY28,0)</f>
        <v>0</v>
      </c>
      <c r="CA28" s="361">
        <f t="shared" ref="CA28:CA35" si="37">+BZ28*(1-CB13)</f>
        <v>0</v>
      </c>
      <c r="CB28" s="362">
        <f>+BZ28-CA28</f>
        <v>0</v>
      </c>
      <c r="CD28" s="328"/>
      <c r="CE28" s="107">
        <f t="shared" si="33"/>
        <v>46367</v>
      </c>
      <c r="CF28" s="170">
        <f>+$D$13+10</f>
        <v>46367</v>
      </c>
      <c r="CG28" s="171">
        <f t="shared" si="22"/>
        <v>0</v>
      </c>
      <c r="CH28" s="34"/>
      <c r="DR28" s="16">
        <f>IF(OR(EB28&gt;0,AND(C28&lt;&gt;"",C28&lt;Identification!$B$28),AND(C28&lt;&gt;"",C28&gt;Identification!$B$95,Identification!$B$95&lt;&gt;0)),0,IF(OR(AND(C28&lt;&gt;"",D28&lt;&gt;"",IFERROR(D28-E28=0,0)),(AND(C28&lt;&gt;"",DR27=1,D28=""))),1,0))</f>
        <v>0</v>
      </c>
      <c r="DS28" s="16">
        <f>IF(OR(EB28&gt;0,AND(C28&lt;&gt;"",C28&lt;Identification!$B$28),AND(C28&lt;&gt;"",C28&gt;Identification!$B$95,Identification!$B$95&lt;&gt;0)),0,IF(OR(AND(C28&lt;&gt;"",D28&lt;&gt;"",IFERROR(D28-E28=0,0)),(AND(C28&lt;&gt;"",DS29=1,D28=""))),1,0))</f>
        <v>0</v>
      </c>
      <c r="DT28" s="16">
        <f t="shared" si="23"/>
        <v>0</v>
      </c>
      <c r="DU28" s="16">
        <f>IF(OR(EB28&gt;0,AND(C28&lt;&gt;"",C28&lt;Identification!$B$28),AND(C28&lt;&gt;"",C28&gt;Identification!$B$95,Identification!$B$95&lt;&gt;0)),0,IF(OR(AND(C28&lt;&gt;"",D28&lt;&gt;"",IFERROR(D28-E28=0,0))),1,0))</f>
        <v>0</v>
      </c>
      <c r="DV28" s="16">
        <f>IF(OR(EB28&gt;0,AND(C28&lt;&gt;"",C28&lt;Identification!$B$28),AND(C28&lt;&gt;"",C28&gt;Identification!$B$95,Identification!$B$95&lt;&gt;0)),0,IF(OR(AND(C28&lt;&gt;"",D28&lt;&gt;"",IFERROR(D28-E28=0,0))),1,0))</f>
        <v>0</v>
      </c>
      <c r="DW28" s="16">
        <f t="shared" si="24"/>
        <v>0</v>
      </c>
      <c r="DY28" s="16">
        <f>IF(+Décembre!AG30="",0,Décembre!AG30)</f>
        <v>0</v>
      </c>
      <c r="DZ28" s="16">
        <f>+IF(Décembre!AJ30="",0,Décembre!AJ30)</f>
        <v>0</v>
      </c>
      <c r="EA28" s="16">
        <f>+IF(Décembre!AM30="",0,Décembre!AM30)</f>
        <v>0</v>
      </c>
      <c r="EB28" s="16">
        <f t="shared" si="25"/>
        <v>0</v>
      </c>
      <c r="ED28" s="16">
        <f t="shared" si="26"/>
        <v>0</v>
      </c>
      <c r="EE28" s="16">
        <f t="shared" si="17"/>
        <v>0</v>
      </c>
      <c r="EF28" s="30" t="str">
        <f t="shared" si="18"/>
        <v/>
      </c>
      <c r="EG28" s="30" t="str">
        <f t="shared" si="27"/>
        <v/>
      </c>
      <c r="EH28" s="16">
        <f t="shared" si="28"/>
        <v>0</v>
      </c>
      <c r="EI28" s="30"/>
      <c r="EJ28" s="30">
        <f t="shared" si="19"/>
        <v>46367</v>
      </c>
      <c r="EM28" s="16" t="str">
        <f t="shared" si="29"/>
        <v>Fiche infoA546367</v>
      </c>
      <c r="EN28" s="16">
        <f t="shared" si="20"/>
        <v>0</v>
      </c>
      <c r="EQ28" s="16" t="str">
        <f>Décembre!FS30</f>
        <v/>
      </c>
    </row>
    <row r="29" spans="1:147" ht="18" customHeight="1" x14ac:dyDescent="0.2">
      <c r="A29" s="24" t="str">
        <f>+Décembre!BJ31</f>
        <v>Fiche infoA6</v>
      </c>
      <c r="B29" s="107">
        <f t="shared" si="30"/>
        <v>46368</v>
      </c>
      <c r="C29" s="170">
        <f>+$D$13+11</f>
        <v>46368</v>
      </c>
      <c r="D29" s="171" t="str">
        <f>IF(AND(EQ29&lt;&gt;"",$DZ$5=S.CAL!$CU$2),EQ29,IF(IFERROR(IF($DY$5=S.CAL!$CU$3,ROUND(EN29,2),ROUND(EQ29,2)),"")&lt;&gt;0,IFERROR(IF($DY$5=S.CAL!$CU$3,ROUND(EN29,2),ROUND(EQ29,2)),""),""))</f>
        <v/>
      </c>
      <c r="E29" s="171" t="str">
        <f>IFERROR(+IF(AND(F29="",$DY$5=S.CAL!$CU$2,J29="OUI"),IFERROR(ROUND(I29,2),""),IF(AND(F29="",$DY$5=S.CAL!$CU$3,L29="oui"),ROUND(K29,2),IF(F29="","",ROUND(F29,2)))),"")</f>
        <v/>
      </c>
      <c r="F29" s="954"/>
      <c r="G29" s="990"/>
      <c r="H29" s="27" t="str">
        <f t="shared" si="14"/>
        <v>A</v>
      </c>
      <c r="I29" s="34">
        <f>Décembre!BC31</f>
        <v>0</v>
      </c>
      <c r="J29" s="34">
        <f>Décembre!BE31</f>
        <v>0</v>
      </c>
      <c r="K29" s="34">
        <f t="shared" si="15"/>
        <v>0</v>
      </c>
      <c r="L29" s="34" t="str">
        <f t="shared" si="21"/>
        <v/>
      </c>
      <c r="O29" s="859" t="s">
        <v>1444</v>
      </c>
      <c r="P29" s="859"/>
      <c r="Q29" s="859"/>
      <c r="R29" s="859"/>
      <c r="BA29" s="331" t="str">
        <f t="shared" si="16"/>
        <v>Fiche infoA6</v>
      </c>
      <c r="BB29" s="107">
        <f t="shared" si="31"/>
        <v>46368</v>
      </c>
      <c r="BC29" s="170">
        <f>+$D$13+11</f>
        <v>46368</v>
      </c>
      <c r="BD29" s="171" t="str">
        <f t="shared" si="32"/>
        <v/>
      </c>
      <c r="BE29" s="171" t="str">
        <f>+IF(OR(BF29=S.CAL!$BJ$3,BF29=S.CAL!$BJ$4),BD29,"")</f>
        <v/>
      </c>
      <c r="BF29" s="333">
        <f>IF($DY$5=S.CAL!$CU$2,Décembre!AR31,IF($DY$5=S.CAL!$CU$3,VLOOKUP(BC29,planning_fp,7,FALSE),""))</f>
        <v>0</v>
      </c>
      <c r="BG29" s="345" t="str">
        <f>Décembre!BL31</f>
        <v>A</v>
      </c>
      <c r="BH29" s="2537" t="str">
        <f>+ROUND(BE10,2)&amp;" X "&amp;BF51&amp;" / 26 ="</f>
        <v>0 X 0 / 26 =</v>
      </c>
      <c r="BI29" s="2404"/>
      <c r="BJ29" s="429">
        <f>+BE10*BF51/26</f>
        <v>0</v>
      </c>
      <c r="BL29" s="35"/>
      <c r="BN29" s="186"/>
      <c r="BO29" s="29" t="s">
        <v>313</v>
      </c>
      <c r="BP29" s="381">
        <f>SUMIFS(BD18:BD48,BF18:BF48,S.CAL!BJ3,BG18:BG48,"B")</f>
        <v>0</v>
      </c>
      <c r="BQ29" s="392">
        <f t="shared" ref="BQ29:BQ35" si="38">+BV14</f>
        <v>0</v>
      </c>
      <c r="BR29" s="384">
        <f t="shared" ref="BR29:BR35" si="39">+IF(BQ29&gt;0,BP29*BQ29/BQ29,0)</f>
        <v>0</v>
      </c>
      <c r="BS29" s="384">
        <f t="shared" si="36"/>
        <v>0</v>
      </c>
      <c r="BT29" s="384">
        <f t="shared" ref="BT29:BT35" si="40">+BR29-BS29</f>
        <v>0</v>
      </c>
      <c r="BV29" s="363"/>
      <c r="BW29" s="356" t="s">
        <v>313</v>
      </c>
      <c r="BX29" s="364">
        <f>SUMIFS(BD18:BD48,BF18:BF48,S.CAL!BJ4,BG18:BG48,"B")</f>
        <v>0</v>
      </c>
      <c r="BY29" s="397">
        <f t="shared" ref="BY29:BY35" si="41">+BV14</f>
        <v>0</v>
      </c>
      <c r="BZ29" s="394">
        <f t="shared" ref="BZ29:BZ35" si="42">+IF(BY29&gt;0,BX29*BY29/BY29,0)</f>
        <v>0</v>
      </c>
      <c r="CA29" s="365">
        <f t="shared" si="37"/>
        <v>0</v>
      </c>
      <c r="CB29" s="366">
        <f t="shared" ref="CB29:CB35" si="43">+BZ29-CA29</f>
        <v>0</v>
      </c>
      <c r="CD29" s="328"/>
      <c r="CE29" s="107">
        <f t="shared" si="33"/>
        <v>46368</v>
      </c>
      <c r="CF29" s="170">
        <f>+$D$13+11</f>
        <v>46368</v>
      </c>
      <c r="CG29" s="171">
        <f t="shared" si="22"/>
        <v>0</v>
      </c>
      <c r="CH29" s="34"/>
      <c r="DR29" s="16">
        <f>IF(OR(EB29&gt;0,AND(C29&lt;&gt;"",C29&lt;Identification!$B$28),AND(C29&lt;&gt;"",C29&gt;Identification!$B$95,Identification!$B$95&lt;&gt;0)),0,IF(OR(AND(C29&lt;&gt;"",D29&lt;&gt;"",IFERROR(D29-E29=0,0)),(AND(C29&lt;&gt;"",DR28=1,D29=""))),1,0))</f>
        <v>0</v>
      </c>
      <c r="DS29" s="16">
        <f>IF(OR(EB29&gt;0,AND(C29&lt;&gt;"",C29&lt;Identification!$B$28),AND(C29&lt;&gt;"",C29&gt;Identification!$B$95,Identification!$B$95&lt;&gt;0)),0,IF(OR(AND(C29&lt;&gt;"",D29&lt;&gt;"",IFERROR(D29-E29=0,0)),(AND(C29&lt;&gt;"",DS30=1,D29=""))),1,0))</f>
        <v>0</v>
      </c>
      <c r="DT29" s="16">
        <f t="shared" si="23"/>
        <v>0</v>
      </c>
      <c r="DU29" s="16">
        <f>IF(OR(EB29&gt;0,AND(C29&lt;&gt;"",C29&lt;Identification!$B$28),AND(C29&lt;&gt;"",C29&gt;Identification!$B$95,Identification!$B$95&lt;&gt;0)),0,IF(OR(AND(C29&lt;&gt;"",D29&lt;&gt;"",IFERROR(D29-E29=0,0))),1,0))</f>
        <v>0</v>
      </c>
      <c r="DV29" s="16">
        <f>IF(OR(EB29&gt;0,AND(C29&lt;&gt;"",C29&lt;Identification!$B$28),AND(C29&lt;&gt;"",C29&gt;Identification!$B$95,Identification!$B$95&lt;&gt;0)),0,IF(OR(AND(C29&lt;&gt;"",D29&lt;&gt;"",IFERROR(D29-E29=0,0))),1,0))</f>
        <v>0</v>
      </c>
      <c r="DW29" s="16">
        <f t="shared" si="24"/>
        <v>0</v>
      </c>
      <c r="DY29" s="16">
        <f>IF(+Décembre!AG31="",0,Décembre!AG31)</f>
        <v>0</v>
      </c>
      <c r="DZ29" s="16">
        <f>+IF(Décembre!AJ31="",0,Décembre!AJ31)</f>
        <v>0</v>
      </c>
      <c r="EA29" s="16">
        <f>+IF(Décembre!AM31="",0,Décembre!AM31)</f>
        <v>0</v>
      </c>
      <c r="EB29" s="16">
        <f t="shared" si="25"/>
        <v>0</v>
      </c>
      <c r="ED29" s="16">
        <f t="shared" si="26"/>
        <v>0</v>
      </c>
      <c r="EE29" s="16">
        <f t="shared" si="17"/>
        <v>0</v>
      </c>
      <c r="EF29" s="30" t="str">
        <f t="shared" si="18"/>
        <v/>
      </c>
      <c r="EG29" s="30" t="str">
        <f t="shared" si="27"/>
        <v/>
      </c>
      <c r="EH29" s="16">
        <f t="shared" si="28"/>
        <v>0</v>
      </c>
      <c r="EI29" s="30"/>
      <c r="EJ29" s="30">
        <f t="shared" si="19"/>
        <v>46368</v>
      </c>
      <c r="EM29" s="16" t="str">
        <f t="shared" si="29"/>
        <v>Fiche infoA646368</v>
      </c>
      <c r="EN29" s="16">
        <f t="shared" si="20"/>
        <v>0</v>
      </c>
      <c r="EQ29" s="16" t="str">
        <f>Décembre!FS31</f>
        <v/>
      </c>
    </row>
    <row r="30" spans="1:147" ht="18" customHeight="1" x14ac:dyDescent="0.25">
      <c r="A30" s="24" t="str">
        <f>+Décembre!BJ32</f>
        <v>Fiche infoA7</v>
      </c>
      <c r="B30" s="107">
        <f t="shared" si="30"/>
        <v>46369</v>
      </c>
      <c r="C30" s="170">
        <f>+$D$13+12</f>
        <v>46369</v>
      </c>
      <c r="D30" s="171" t="str">
        <f>IF(AND(EQ30&lt;&gt;"",$DZ$5=S.CAL!$CU$2),EQ30,IF(IFERROR(IF($DY$5=S.CAL!$CU$3,ROUND(EN30,2),ROUND(EQ30,2)),"")&lt;&gt;0,IFERROR(IF($DY$5=S.CAL!$CU$3,ROUND(EN30,2),ROUND(EQ30,2)),""),""))</f>
        <v/>
      </c>
      <c r="E30" s="171" t="str">
        <f>IFERROR(+IF(AND(F30="",$DY$5=S.CAL!$CU$2,J30="OUI"),IFERROR(ROUND(I30,2),""),IF(AND(F30="",$DY$5=S.CAL!$CU$3,L30="oui"),ROUND(K30,2),IF(F30="","",ROUND(F30,2)))),"")</f>
        <v/>
      </c>
      <c r="F30" s="954"/>
      <c r="G30" s="990"/>
      <c r="H30" s="27" t="str">
        <f t="shared" si="14"/>
        <v>A</v>
      </c>
      <c r="I30" s="34">
        <f>Décembre!BC32</f>
        <v>0</v>
      </c>
      <c r="J30" s="34">
        <f>Décembre!BE32</f>
        <v>0</v>
      </c>
      <c r="K30" s="34">
        <f t="shared" si="15"/>
        <v>0</v>
      </c>
      <c r="L30" s="34" t="str">
        <f t="shared" si="21"/>
        <v/>
      </c>
      <c r="O30" s="29" t="str">
        <f>+Q16&amp;" € x "&amp;ROUND(P27,4)&amp;" ="</f>
        <v>0 € x 0 =</v>
      </c>
      <c r="P30" s="671">
        <f>ROUND(Q16*P27,2)</f>
        <v>0</v>
      </c>
      <c r="Z30" s="1303" t="s">
        <v>1418</v>
      </c>
      <c r="AK30" s="1189" t="s">
        <v>679</v>
      </c>
      <c r="AL30" s="1321" t="e">
        <f>ROUND(IF(AO47&lt;AL25,+AL27*4.333333,AO47/AL28),2)</f>
        <v>#VALUE!</v>
      </c>
      <c r="AN30" s="1189" t="s">
        <v>28</v>
      </c>
      <c r="AO30" s="2555">
        <f>+D13</f>
        <v>46357</v>
      </c>
      <c r="AP30" s="2555"/>
      <c r="AQ30" s="2555"/>
      <c r="BA30" s="331" t="str">
        <f t="shared" si="16"/>
        <v>Fiche infoA7</v>
      </c>
      <c r="BB30" s="107">
        <f t="shared" si="31"/>
        <v>46369</v>
      </c>
      <c r="BC30" s="170">
        <f>+$D$13+12</f>
        <v>46369</v>
      </c>
      <c r="BD30" s="171" t="str">
        <f t="shared" si="32"/>
        <v/>
      </c>
      <c r="BE30" s="171" t="str">
        <f>+IF(OR(BF30=S.CAL!$BJ$3,BF30=S.CAL!$BJ$4),BD30,"")</f>
        <v/>
      </c>
      <c r="BF30" s="333">
        <f>IF($DY$5=S.CAL!$CU$2,Décembre!AR32,IF($DY$5=S.CAL!$CU$3,VLOOKUP(BC30,planning_fp,7,FALSE),""))</f>
        <v>0</v>
      </c>
      <c r="BG30" s="345" t="str">
        <f>Décembre!BL32</f>
        <v>A</v>
      </c>
      <c r="BL30" s="35"/>
      <c r="BN30" s="186"/>
      <c r="BO30" s="95" t="s">
        <v>314</v>
      </c>
      <c r="BP30" s="381">
        <f>SUMIFS(BD18:BD48,BF18:BF48,S.CAL!BJ3,BG18:BG48,"C")</f>
        <v>0</v>
      </c>
      <c r="BQ30" s="392">
        <f t="shared" si="38"/>
        <v>0</v>
      </c>
      <c r="BR30" s="384">
        <f t="shared" si="39"/>
        <v>0</v>
      </c>
      <c r="BS30" s="384">
        <f t="shared" si="36"/>
        <v>0</v>
      </c>
      <c r="BT30" s="384">
        <f t="shared" si="40"/>
        <v>0</v>
      </c>
      <c r="BV30" s="363"/>
      <c r="BW30" s="356" t="s">
        <v>314</v>
      </c>
      <c r="BX30" s="364">
        <f>SUMIFS(BD18:BD48,BF18:BF48,S.CAL!BJ4,BG18:BG48,"C")</f>
        <v>0</v>
      </c>
      <c r="BY30" s="397">
        <f t="shared" si="41"/>
        <v>0</v>
      </c>
      <c r="BZ30" s="394">
        <f t="shared" si="42"/>
        <v>0</v>
      </c>
      <c r="CA30" s="365">
        <f t="shared" si="37"/>
        <v>0</v>
      </c>
      <c r="CB30" s="366">
        <f t="shared" si="43"/>
        <v>0</v>
      </c>
      <c r="CD30" s="328"/>
      <c r="CE30" s="107">
        <f t="shared" si="33"/>
        <v>46369</v>
      </c>
      <c r="CF30" s="170">
        <f>+$D$13+12</f>
        <v>46369</v>
      </c>
      <c r="CG30" s="171">
        <f t="shared" si="22"/>
        <v>0</v>
      </c>
      <c r="CH30" s="34"/>
      <c r="DR30" s="16">
        <f>IF(OR(EB30&gt;0,AND(C30&lt;&gt;"",C30&lt;Identification!$B$28),AND(C30&lt;&gt;"",C30&gt;Identification!$B$95,Identification!$B$95&lt;&gt;0)),0,IF(OR(AND(C30&lt;&gt;"",D30&lt;&gt;"",IFERROR(D30-E30=0,0)),(AND(C30&lt;&gt;"",DR29=1,D30=""))),1,0))</f>
        <v>0</v>
      </c>
      <c r="DS30" s="16">
        <f>IF(OR(EB30&gt;0,AND(C30&lt;&gt;"",C30&lt;Identification!$B$28),AND(C30&lt;&gt;"",C30&gt;Identification!$B$95,Identification!$B$95&lt;&gt;0)),0,IF(OR(AND(C30&lt;&gt;"",D30&lt;&gt;"",IFERROR(D30-E30=0,0)),(AND(C30&lt;&gt;"",DS31=1,D30=""))),1,0))</f>
        <v>0</v>
      </c>
      <c r="DT30" s="16">
        <f t="shared" si="23"/>
        <v>0</v>
      </c>
      <c r="DU30" s="16">
        <f>IF(OR(EB30&gt;0,AND(C30&lt;&gt;"",C30&lt;Identification!$B$28),AND(C30&lt;&gt;"",C30&gt;Identification!$B$95,Identification!$B$95&lt;&gt;0)),0,IF(OR(AND(C30&lt;&gt;"",D30&lt;&gt;"",IFERROR(D30-E30=0,0))),1,0))</f>
        <v>0</v>
      </c>
      <c r="DV30" s="16">
        <f>IF(OR(EB30&gt;0,AND(C30&lt;&gt;"",C30&lt;Identification!$B$28),AND(C30&lt;&gt;"",C30&gt;Identification!$B$95,Identification!$B$95&lt;&gt;0)),0,IF(OR(AND(C30&lt;&gt;"",D30&lt;&gt;"",IFERROR(D30-E30=0,0))),1,0))</f>
        <v>0</v>
      </c>
      <c r="DW30" s="16">
        <f t="shared" si="24"/>
        <v>0</v>
      </c>
      <c r="DY30" s="16">
        <f>IF(+Décembre!AG32="",0,Décembre!AG32)</f>
        <v>0</v>
      </c>
      <c r="DZ30" s="16">
        <f>+IF(Décembre!AJ32="",0,Décembre!AJ32)</f>
        <v>0</v>
      </c>
      <c r="EA30" s="16">
        <f>+IF(Décembre!AM32="",0,Décembre!AM32)</f>
        <v>0</v>
      </c>
      <c r="EB30" s="16">
        <f t="shared" si="25"/>
        <v>0</v>
      </c>
      <c r="ED30" s="16">
        <f t="shared" si="26"/>
        <v>0</v>
      </c>
      <c r="EE30" s="16">
        <f t="shared" si="17"/>
        <v>0</v>
      </c>
      <c r="EF30" s="30" t="str">
        <f t="shared" si="18"/>
        <v/>
      </c>
      <c r="EG30" s="30" t="str">
        <f t="shared" si="27"/>
        <v/>
      </c>
      <c r="EH30" s="16">
        <f t="shared" si="28"/>
        <v>0</v>
      </c>
      <c r="EI30" s="30"/>
      <c r="EJ30" s="30">
        <f t="shared" si="19"/>
        <v>46369</v>
      </c>
      <c r="EM30" s="16" t="str">
        <f t="shared" si="29"/>
        <v>Fiche infoA746369</v>
      </c>
      <c r="EN30" s="16">
        <f t="shared" si="20"/>
        <v>0</v>
      </c>
      <c r="EQ30" s="16" t="str">
        <f>Décembre!FS32</f>
        <v/>
      </c>
    </row>
    <row r="31" spans="1:147" ht="18" customHeight="1" x14ac:dyDescent="0.2">
      <c r="A31" s="24" t="str">
        <f>+Décembre!BJ33</f>
        <v>Fiche infoA1</v>
      </c>
      <c r="B31" s="107">
        <f t="shared" si="30"/>
        <v>46370</v>
      </c>
      <c r="C31" s="170">
        <f>+$D$13+13</f>
        <v>46370</v>
      </c>
      <c r="D31" s="171" t="str">
        <f>IF(AND(EQ31&lt;&gt;"",$DZ$5=S.CAL!$CU$2),EQ31,IF(IFERROR(IF($DY$5=S.CAL!$CU$3,ROUND(EN31,2),ROUND(EQ31,2)),"")&lt;&gt;0,IFERROR(IF($DY$5=S.CAL!$CU$3,ROUND(EN31,2),ROUND(EQ31,2)),""),""))</f>
        <v/>
      </c>
      <c r="E31" s="171" t="str">
        <f>IFERROR(+IF(AND(F31="",$DY$5=S.CAL!$CU$2,J31="OUI"),IFERROR(ROUND(I31,2),""),IF(AND(F31="",$DY$5=S.CAL!$CU$3,L31="oui"),ROUND(K31,2),IF(F31="","",ROUND(F31,2)))),"")</f>
        <v/>
      </c>
      <c r="F31" s="954"/>
      <c r="G31" s="990"/>
      <c r="H31" s="27" t="str">
        <f t="shared" si="14"/>
        <v>A</v>
      </c>
      <c r="I31" s="34">
        <f>Décembre!BC33</f>
        <v>0</v>
      </c>
      <c r="J31" s="34">
        <f>Décembre!BE33</f>
        <v>0</v>
      </c>
      <c r="K31" s="34">
        <f t="shared" si="15"/>
        <v>0</v>
      </c>
      <c r="L31" s="34" t="str">
        <f t="shared" si="21"/>
        <v/>
      </c>
      <c r="AL31" s="563" t="s">
        <v>342</v>
      </c>
      <c r="BA31" s="331" t="str">
        <f t="shared" si="16"/>
        <v>Fiche infoA1</v>
      </c>
      <c r="BB31" s="107">
        <f t="shared" si="31"/>
        <v>46370</v>
      </c>
      <c r="BC31" s="170">
        <f>+$D$13+13</f>
        <v>46370</v>
      </c>
      <c r="BD31" s="171" t="str">
        <f t="shared" si="32"/>
        <v/>
      </c>
      <c r="BE31" s="171" t="str">
        <f>+IF(OR(BF31=S.CAL!$BJ$3,BF31=S.CAL!$BJ$4),BD31,"")</f>
        <v/>
      </c>
      <c r="BF31" s="333">
        <f>IF($DY$5=S.CAL!$CU$2,Décembre!AR33,IF($DY$5=S.CAL!$CU$3,VLOOKUP(BC31,planning_fp,7,FALSE),""))</f>
        <v>0</v>
      </c>
      <c r="BG31" s="345" t="str">
        <f>Décembre!BL33</f>
        <v>A</v>
      </c>
      <c r="BL31" s="35"/>
      <c r="BN31" s="186"/>
      <c r="BO31" s="95" t="s">
        <v>315</v>
      </c>
      <c r="BP31" s="381">
        <f>SUMIFS(BD18:BD48,BF18:BF48,S.CAL!BJ3,BG18:BG48,"D")</f>
        <v>0</v>
      </c>
      <c r="BQ31" s="392">
        <f t="shared" si="38"/>
        <v>0</v>
      </c>
      <c r="BR31" s="384">
        <f t="shared" si="39"/>
        <v>0</v>
      </c>
      <c r="BS31" s="384">
        <f t="shared" si="36"/>
        <v>0</v>
      </c>
      <c r="BT31" s="384">
        <f t="shared" si="40"/>
        <v>0</v>
      </c>
      <c r="BV31" s="363"/>
      <c r="BW31" s="356" t="s">
        <v>315</v>
      </c>
      <c r="BX31" s="364">
        <f>SUMIFS(BD18:BD48,BF18:BF48,S.CAL!BJ4,BG18:BG48,"D")</f>
        <v>0</v>
      </c>
      <c r="BY31" s="397">
        <f t="shared" si="41"/>
        <v>0</v>
      </c>
      <c r="BZ31" s="394">
        <f t="shared" si="42"/>
        <v>0</v>
      </c>
      <c r="CA31" s="365">
        <f t="shared" si="37"/>
        <v>0</v>
      </c>
      <c r="CB31" s="366">
        <f t="shared" si="43"/>
        <v>0</v>
      </c>
      <c r="CD31" s="328"/>
      <c r="CE31" s="107">
        <f t="shared" si="33"/>
        <v>46370</v>
      </c>
      <c r="CF31" s="170">
        <f>+$D$13+13</f>
        <v>46370</v>
      </c>
      <c r="CG31" s="171">
        <f t="shared" si="22"/>
        <v>0</v>
      </c>
      <c r="CH31" s="34"/>
      <c r="DR31" s="16">
        <f>IF(OR(EB31&gt;0,AND(C31&lt;&gt;"",C31&lt;Identification!$B$28),AND(C31&lt;&gt;"",C31&gt;Identification!$B$95,Identification!$B$95&lt;&gt;0)),0,IF(OR(AND(C31&lt;&gt;"",D31&lt;&gt;"",IFERROR(D31-E31=0,0)),(AND(C31&lt;&gt;"",DR30=1,D31=""))),1,0))</f>
        <v>0</v>
      </c>
      <c r="DS31" s="16">
        <f>IF(OR(EB31&gt;0,AND(C31&lt;&gt;"",C31&lt;Identification!$B$28),AND(C31&lt;&gt;"",C31&gt;Identification!$B$95,Identification!$B$95&lt;&gt;0)),0,IF(OR(AND(C31&lt;&gt;"",D31&lt;&gt;"",IFERROR(D31-E31=0,0)),(AND(C31&lt;&gt;"",DS32=1,D31=""))),1,0))</f>
        <v>0</v>
      </c>
      <c r="DT31" s="16">
        <f t="shared" si="23"/>
        <v>0</v>
      </c>
      <c r="DU31" s="16">
        <f>IF(OR(EB31&gt;0,AND(C31&lt;&gt;"",C31&lt;Identification!$B$28),AND(C31&lt;&gt;"",C31&gt;Identification!$B$95,Identification!$B$95&lt;&gt;0)),0,IF(OR(AND(C31&lt;&gt;"",D31&lt;&gt;"",IFERROR(D31-E31=0,0))),1,0))</f>
        <v>0</v>
      </c>
      <c r="DV31" s="16">
        <f>IF(OR(EB31&gt;0,AND(C31&lt;&gt;"",C31&lt;Identification!$B$28),AND(C31&lt;&gt;"",C31&gt;Identification!$B$95,Identification!$B$95&lt;&gt;0)),0,IF(OR(AND(C31&lt;&gt;"",D31&lt;&gt;"",IFERROR(D31-E31=0,0))),1,0))</f>
        <v>0</v>
      </c>
      <c r="DW31" s="16">
        <f t="shared" si="24"/>
        <v>0</v>
      </c>
      <c r="DY31" s="16">
        <f>IF(+Décembre!AG33="",0,Décembre!AG33)</f>
        <v>0</v>
      </c>
      <c r="DZ31" s="16">
        <f>+IF(Décembre!AJ33="",0,Décembre!AJ33)</f>
        <v>0</v>
      </c>
      <c r="EA31" s="16">
        <f>+IF(Décembre!AM33="",0,Décembre!AM33)</f>
        <v>0</v>
      </c>
      <c r="EB31" s="16">
        <f t="shared" si="25"/>
        <v>0</v>
      </c>
      <c r="ED31" s="16">
        <f t="shared" si="26"/>
        <v>0</v>
      </c>
      <c r="EE31" s="16">
        <f t="shared" si="17"/>
        <v>0</v>
      </c>
      <c r="EF31" s="30" t="str">
        <f t="shared" si="18"/>
        <v/>
      </c>
      <c r="EG31" s="30" t="str">
        <f t="shared" si="27"/>
        <v/>
      </c>
      <c r="EH31" s="16">
        <f t="shared" si="28"/>
        <v>0</v>
      </c>
      <c r="EI31" s="30"/>
      <c r="EJ31" s="30">
        <f t="shared" si="19"/>
        <v>46370</v>
      </c>
      <c r="EM31" s="16" t="str">
        <f t="shared" si="29"/>
        <v>Fiche infoA146370</v>
      </c>
      <c r="EN31" s="16">
        <f t="shared" si="20"/>
        <v>0</v>
      </c>
      <c r="EQ31" s="16" t="str">
        <f>Décembre!FS33</f>
        <v/>
      </c>
    </row>
    <row r="32" spans="1:147" ht="18" customHeight="1" x14ac:dyDescent="0.2">
      <c r="A32" s="24" t="str">
        <f>+Décembre!BJ34</f>
        <v>Fiche infoA2</v>
      </c>
      <c r="B32" s="107">
        <f t="shared" si="30"/>
        <v>46371</v>
      </c>
      <c r="C32" s="170">
        <f>+$D$13+14</f>
        <v>46371</v>
      </c>
      <c r="D32" s="171" t="str">
        <f>IF(AND(EQ32&lt;&gt;"",$DZ$5=S.CAL!$CU$2),EQ32,IF(IFERROR(IF($DY$5=S.CAL!$CU$3,ROUND(EN32,2),ROUND(EQ32,2)),"")&lt;&gt;0,IFERROR(IF($DY$5=S.CAL!$CU$3,ROUND(EN32,2),ROUND(EQ32,2)),""),""))</f>
        <v/>
      </c>
      <c r="E32" s="171" t="str">
        <f>IFERROR(+IF(AND(F32="",$DY$5=S.CAL!$CU$2,J32="OUI"),IFERROR(ROUND(I32,2),""),IF(AND(F32="",$DY$5=S.CAL!$CU$3,L32="oui"),ROUND(K32,2),IF(F32="","",ROUND(F32,2)))),"")</f>
        <v/>
      </c>
      <c r="F32" s="954"/>
      <c r="G32" s="990"/>
      <c r="H32" s="27" t="str">
        <f t="shared" si="14"/>
        <v>A</v>
      </c>
      <c r="I32" s="34">
        <f>Décembre!BC34</f>
        <v>0</v>
      </c>
      <c r="J32" s="34">
        <f>Décembre!BE34</f>
        <v>0</v>
      </c>
      <c r="K32" s="34">
        <f t="shared" si="15"/>
        <v>0</v>
      </c>
      <c r="L32" s="34" t="str">
        <f t="shared" si="21"/>
        <v/>
      </c>
      <c r="O32" s="857" t="s">
        <v>1105</v>
      </c>
      <c r="P32" s="857"/>
      <c r="Q32" s="857"/>
      <c r="R32" s="857"/>
      <c r="T32" s="1322"/>
      <c r="U32" s="1322"/>
      <c r="V32" s="1322"/>
      <c r="W32" s="1322"/>
      <c r="X32" s="1322"/>
      <c r="Y32" s="1300"/>
      <c r="Z32" s="2539" t="str">
        <f>Février!BY26</f>
        <v>Nbre heures semaine (modif)</v>
      </c>
      <c r="AA32" s="2539" t="str">
        <f>Février!BZ26</f>
        <v>Nbre heures semaine</v>
      </c>
      <c r="AB32" s="2539" t="str">
        <f>Février!CA26</f>
        <v>Nbre d'heures majorées</v>
      </c>
      <c r="AC32" s="1322"/>
      <c r="AD32" s="1322"/>
      <c r="AE32" s="1322"/>
      <c r="AF32" s="2539" t="s">
        <v>1448</v>
      </c>
      <c r="AK32" s="1189" t="s">
        <v>323</v>
      </c>
      <c r="AL32" s="1202" t="e">
        <f>AL30*AL28</f>
        <v>#VALUE!</v>
      </c>
      <c r="BA32" s="331" t="str">
        <f t="shared" si="16"/>
        <v>Fiche infoA2</v>
      </c>
      <c r="BB32" s="107">
        <f t="shared" si="31"/>
        <v>46371</v>
      </c>
      <c r="BC32" s="170">
        <f>+$D$13+14</f>
        <v>46371</v>
      </c>
      <c r="BD32" s="171" t="str">
        <f t="shared" si="32"/>
        <v/>
      </c>
      <c r="BE32" s="171" t="str">
        <f>+IF(OR(BF32=S.CAL!$BJ$3,BF32=S.CAL!$BJ$4),BD32,"")</f>
        <v/>
      </c>
      <c r="BF32" s="333">
        <f>IF($DY$5=S.CAL!$CU$2,Décembre!AR34,IF($DY$5=S.CAL!$CU$3,VLOOKUP(BC32,planning_fp,7,FALSE),""))</f>
        <v>0</v>
      </c>
      <c r="BG32" s="345" t="str">
        <f>Décembre!BL34</f>
        <v>A</v>
      </c>
      <c r="BH32" s="29"/>
      <c r="BL32" s="35"/>
      <c r="BM32" s="195"/>
      <c r="BN32" s="186"/>
      <c r="BO32" s="95" t="s">
        <v>316</v>
      </c>
      <c r="BP32" s="381">
        <f>SUMIFS(BD18:BD48,BF18:BF48,S.CAL!BJ3,BG18:BG48,"E")</f>
        <v>0</v>
      </c>
      <c r="BQ32" s="392">
        <f t="shared" si="38"/>
        <v>0</v>
      </c>
      <c r="BR32" s="384">
        <f t="shared" si="39"/>
        <v>0</v>
      </c>
      <c r="BS32" s="384">
        <f t="shared" si="36"/>
        <v>0</v>
      </c>
      <c r="BT32" s="384">
        <f t="shared" si="40"/>
        <v>0</v>
      </c>
      <c r="BV32" s="363"/>
      <c r="BW32" s="356" t="s">
        <v>316</v>
      </c>
      <c r="BX32" s="364">
        <f>SUMIFS(BD18:BD48,BF18:BF48,S.CAL!BJ4,BG18:BG48,"E")</f>
        <v>0</v>
      </c>
      <c r="BY32" s="397">
        <f t="shared" si="41"/>
        <v>0</v>
      </c>
      <c r="BZ32" s="394">
        <f t="shared" si="42"/>
        <v>0</v>
      </c>
      <c r="CA32" s="365">
        <f t="shared" si="37"/>
        <v>0</v>
      </c>
      <c r="CB32" s="366">
        <f t="shared" si="43"/>
        <v>0</v>
      </c>
      <c r="CD32" s="328"/>
      <c r="CE32" s="107">
        <f t="shared" si="33"/>
        <v>46371</v>
      </c>
      <c r="CF32" s="170">
        <f>+$D$13+14</f>
        <v>46371</v>
      </c>
      <c r="CG32" s="171">
        <f t="shared" si="22"/>
        <v>0</v>
      </c>
      <c r="CH32" s="34"/>
      <c r="DR32" s="16">
        <f>IF(OR(EB32&gt;0,AND(C32&lt;&gt;"",C32&lt;Identification!$B$28),AND(C32&lt;&gt;"",C32&gt;Identification!$B$95,Identification!$B$95&lt;&gt;0)),0,IF(OR(AND(C32&lt;&gt;"",D32&lt;&gt;"",IFERROR(D32-E32=0,0)),(AND(C32&lt;&gt;"",DR31=1,D32=""))),1,0))</f>
        <v>0</v>
      </c>
      <c r="DS32" s="16">
        <f>IF(OR(EB32&gt;0,AND(C32&lt;&gt;"",C32&lt;Identification!$B$28),AND(C32&lt;&gt;"",C32&gt;Identification!$B$95,Identification!$B$95&lt;&gt;0)),0,IF(OR(AND(C32&lt;&gt;"",D32&lt;&gt;"",IFERROR(D32-E32=0,0)),(AND(C32&lt;&gt;"",DS33=1,D32=""))),1,0))</f>
        <v>0</v>
      </c>
      <c r="DT32" s="16">
        <f t="shared" si="23"/>
        <v>0</v>
      </c>
      <c r="DU32" s="16">
        <f>IF(OR(EB32&gt;0,AND(C32&lt;&gt;"",C32&lt;Identification!$B$28),AND(C32&lt;&gt;"",C32&gt;Identification!$B$95,Identification!$B$95&lt;&gt;0)),0,IF(OR(AND(C32&lt;&gt;"",D32&lt;&gt;"",IFERROR(D32-E32=0,0))),1,0))</f>
        <v>0</v>
      </c>
      <c r="DV32" s="16">
        <f>IF(OR(EB32&gt;0,AND(C32&lt;&gt;"",C32&lt;Identification!$B$28),AND(C32&lt;&gt;"",C32&gt;Identification!$B$95,Identification!$B$95&lt;&gt;0)),0,IF(OR(AND(C32&lt;&gt;"",D32&lt;&gt;"",IFERROR(D32-E32=0,0))),1,0))</f>
        <v>0</v>
      </c>
      <c r="DW32" s="16">
        <f t="shared" si="24"/>
        <v>0</v>
      </c>
      <c r="DY32" s="16">
        <f>IF(+Décembre!AG34="",0,Décembre!AG34)</f>
        <v>0</v>
      </c>
      <c r="DZ32" s="16">
        <f>+IF(Décembre!AJ34="",0,Décembre!AJ34)</f>
        <v>0</v>
      </c>
      <c r="EA32" s="16">
        <f>+IF(Décembre!AM34="",0,Décembre!AM34)</f>
        <v>0</v>
      </c>
      <c r="EB32" s="16">
        <f t="shared" si="25"/>
        <v>0</v>
      </c>
      <c r="ED32" s="16">
        <f t="shared" si="26"/>
        <v>0</v>
      </c>
      <c r="EE32" s="16">
        <f t="shared" si="17"/>
        <v>0</v>
      </c>
      <c r="EF32" s="30" t="str">
        <f t="shared" si="18"/>
        <v/>
      </c>
      <c r="EG32" s="30" t="str">
        <f t="shared" si="27"/>
        <v/>
      </c>
      <c r="EH32" s="16">
        <f t="shared" si="28"/>
        <v>0</v>
      </c>
      <c r="EI32" s="30"/>
      <c r="EJ32" s="30">
        <f t="shared" si="19"/>
        <v>46371</v>
      </c>
      <c r="EM32" s="16" t="str">
        <f t="shared" si="29"/>
        <v>Fiche infoA246371</v>
      </c>
      <c r="EN32" s="16">
        <f t="shared" si="20"/>
        <v>0</v>
      </c>
      <c r="EQ32" s="16" t="str">
        <f>Décembre!FS34</f>
        <v/>
      </c>
    </row>
    <row r="33" spans="1:147" ht="18" customHeight="1" x14ac:dyDescent="0.2">
      <c r="A33" s="24" t="str">
        <f>+Décembre!BJ35</f>
        <v>Fiche infoA3</v>
      </c>
      <c r="B33" s="107">
        <f t="shared" si="30"/>
        <v>46372</v>
      </c>
      <c r="C33" s="170">
        <f>+$D$13+15</f>
        <v>46372</v>
      </c>
      <c r="D33" s="171" t="str">
        <f>IF(AND(EQ33&lt;&gt;"",$DZ$5=S.CAL!$CU$2),EQ33,IF(IFERROR(IF($DY$5=S.CAL!$CU$3,ROUND(EN33,2),ROUND(EQ33,2)),"")&lt;&gt;0,IFERROR(IF($DY$5=S.CAL!$CU$3,ROUND(EN33,2),ROUND(EQ33,2)),""),""))</f>
        <v/>
      </c>
      <c r="E33" s="171" t="str">
        <f>IFERROR(+IF(AND(F33="",$DY$5=S.CAL!$CU$2,J33="OUI"),IFERROR(ROUND(I33,2),""),IF(AND(F33="",$DY$5=S.CAL!$CU$3,L33="oui"),ROUND(K33,2),IF(F33="","",ROUND(F33,2)))),"")</f>
        <v/>
      </c>
      <c r="F33" s="954"/>
      <c r="G33" s="990"/>
      <c r="H33" s="27" t="str">
        <f t="shared" si="14"/>
        <v>A</v>
      </c>
      <c r="I33" s="34">
        <f>Décembre!BC35</f>
        <v>0</v>
      </c>
      <c r="J33" s="34">
        <f>Décembre!BE35</f>
        <v>0</v>
      </c>
      <c r="K33" s="34">
        <f t="shared" si="15"/>
        <v>0</v>
      </c>
      <c r="L33" s="34" t="str">
        <f t="shared" si="21"/>
        <v/>
      </c>
      <c r="O33" s="29" t="str">
        <f>+Q17&amp;" € x "&amp;ROUND(P27,4)&amp;" ="</f>
        <v>0 € x 0 =</v>
      </c>
      <c r="P33" s="672">
        <f>+ROUND(Q17*P27,2)</f>
        <v>0</v>
      </c>
      <c r="T33" s="1322"/>
      <c r="U33" s="1322"/>
      <c r="V33" s="1322"/>
      <c r="W33" s="1322"/>
      <c r="X33" s="1322"/>
      <c r="Y33" s="1300"/>
      <c r="Z33" s="2539"/>
      <c r="AA33" s="2539"/>
      <c r="AB33" s="2539"/>
      <c r="AC33" s="1322" t="s">
        <v>1095</v>
      </c>
      <c r="AD33" s="1322" t="s">
        <v>1096</v>
      </c>
      <c r="AE33" s="1322" t="s">
        <v>1097</v>
      </c>
      <c r="AF33" s="2539"/>
      <c r="AG33" s="563" t="s">
        <v>1229</v>
      </c>
      <c r="BA33" s="331" t="str">
        <f t="shared" si="16"/>
        <v>Fiche infoA3</v>
      </c>
      <c r="BB33" s="107">
        <f t="shared" si="31"/>
        <v>46372</v>
      </c>
      <c r="BC33" s="170">
        <f>+$D$13+15</f>
        <v>46372</v>
      </c>
      <c r="BD33" s="171" t="str">
        <f t="shared" si="32"/>
        <v/>
      </c>
      <c r="BE33" s="171" t="str">
        <f>+IF(OR(BF33=S.CAL!$BJ$3,BF33=S.CAL!$BJ$4),BD33,"")</f>
        <v/>
      </c>
      <c r="BF33" s="333">
        <f>IF($DY$5=S.CAL!$CU$2,Décembre!AR35,IF($DY$5=S.CAL!$CU$3,VLOOKUP(BC33,planning_fp,7,FALSE),""))</f>
        <v>0</v>
      </c>
      <c r="BG33" s="345" t="str">
        <f>Décembre!BL35</f>
        <v>A</v>
      </c>
      <c r="BL33" s="35"/>
      <c r="BN33" s="186"/>
      <c r="BO33" s="95" t="s">
        <v>317</v>
      </c>
      <c r="BP33" s="381">
        <f>SUMIFS(BD18:BD48,BF18:BF48,S.CAL!BJ3,BG18:BG48,"F")</f>
        <v>0</v>
      </c>
      <c r="BQ33" s="392">
        <f t="shared" si="38"/>
        <v>0</v>
      </c>
      <c r="BR33" s="384">
        <f t="shared" si="39"/>
        <v>0</v>
      </c>
      <c r="BS33" s="384">
        <f t="shared" si="36"/>
        <v>0</v>
      </c>
      <c r="BT33" s="384">
        <f t="shared" si="40"/>
        <v>0</v>
      </c>
      <c r="BV33" s="363"/>
      <c r="BW33" s="356" t="s">
        <v>317</v>
      </c>
      <c r="BX33" s="364">
        <f>SUMIFS(BD18:BD48,BF18:BF48,S.CAL!BJ4,BG18:BG48,"F")</f>
        <v>0</v>
      </c>
      <c r="BY33" s="397">
        <f t="shared" si="41"/>
        <v>0</v>
      </c>
      <c r="BZ33" s="394">
        <f t="shared" si="42"/>
        <v>0</v>
      </c>
      <c r="CA33" s="365">
        <f t="shared" si="37"/>
        <v>0</v>
      </c>
      <c r="CB33" s="366">
        <f t="shared" si="43"/>
        <v>0</v>
      </c>
      <c r="CD33" s="328"/>
      <c r="CE33" s="107">
        <f t="shared" si="33"/>
        <v>46372</v>
      </c>
      <c r="CF33" s="170">
        <f>+$D$13+15</f>
        <v>46372</v>
      </c>
      <c r="CG33" s="171">
        <f t="shared" si="22"/>
        <v>0</v>
      </c>
      <c r="CH33" s="34"/>
      <c r="DR33" s="16">
        <f>IF(OR(EB33&gt;0,AND(C33&lt;&gt;"",C33&lt;Identification!$B$28),AND(C33&lt;&gt;"",C33&gt;Identification!$B$95,Identification!$B$95&lt;&gt;0)),0,IF(OR(AND(C33&lt;&gt;"",D33&lt;&gt;"",IFERROR(D33-E33=0,0)),(AND(C33&lt;&gt;"",DR32=1,D33=""))),1,0))</f>
        <v>0</v>
      </c>
      <c r="DS33" s="16">
        <f>IF(OR(EB33&gt;0,AND(C33&lt;&gt;"",C33&lt;Identification!$B$28),AND(C33&lt;&gt;"",C33&gt;Identification!$B$95,Identification!$B$95&lt;&gt;0)),0,IF(OR(AND(C33&lt;&gt;"",D33&lt;&gt;"",IFERROR(D33-E33=0,0)),(AND(C33&lt;&gt;"",DS34=1,D33=""))),1,0))</f>
        <v>0</v>
      </c>
      <c r="DT33" s="16">
        <f t="shared" si="23"/>
        <v>0</v>
      </c>
      <c r="DU33" s="16">
        <f>IF(OR(EB33&gt;0,AND(C33&lt;&gt;"",C33&lt;Identification!$B$28),AND(C33&lt;&gt;"",C33&gt;Identification!$B$95,Identification!$B$95&lt;&gt;0)),0,IF(OR(AND(C33&lt;&gt;"",D33&lt;&gt;"",IFERROR(D33-E33=0,0))),1,0))</f>
        <v>0</v>
      </c>
      <c r="DV33" s="16">
        <f>IF(OR(EB33&gt;0,AND(C33&lt;&gt;"",C33&lt;Identification!$B$28),AND(C33&lt;&gt;"",C33&gt;Identification!$B$95,Identification!$B$95&lt;&gt;0)),0,IF(OR(AND(C33&lt;&gt;"",D33&lt;&gt;"",IFERROR(D33-E33=0,0))),1,0))</f>
        <v>0</v>
      </c>
      <c r="DW33" s="16">
        <f t="shared" si="24"/>
        <v>0</v>
      </c>
      <c r="DY33" s="16">
        <f>IF(+Décembre!AG35="",0,Décembre!AG35)</f>
        <v>0</v>
      </c>
      <c r="DZ33" s="16">
        <f>+IF(Décembre!AJ35="",0,Décembre!AJ35)</f>
        <v>0</v>
      </c>
      <c r="EA33" s="16">
        <f>+IF(Décembre!AM35="",0,Décembre!AM35)</f>
        <v>0</v>
      </c>
      <c r="EB33" s="16">
        <f t="shared" si="25"/>
        <v>0</v>
      </c>
      <c r="ED33" s="16">
        <f t="shared" si="26"/>
        <v>0</v>
      </c>
      <c r="EE33" s="16">
        <f t="shared" si="17"/>
        <v>0</v>
      </c>
      <c r="EF33" s="30" t="str">
        <f t="shared" si="18"/>
        <v/>
      </c>
      <c r="EG33" s="30" t="str">
        <f t="shared" si="27"/>
        <v/>
      </c>
      <c r="EH33" s="16">
        <f t="shared" si="28"/>
        <v>0</v>
      </c>
      <c r="EI33" s="30"/>
      <c r="EJ33" s="30">
        <f t="shared" si="19"/>
        <v>46372</v>
      </c>
      <c r="EM33" s="16" t="str">
        <f t="shared" si="29"/>
        <v>Fiche infoA346372</v>
      </c>
      <c r="EN33" s="16">
        <f t="shared" si="20"/>
        <v>0</v>
      </c>
      <c r="EQ33" s="16" t="str">
        <f>Décembre!FS35</f>
        <v/>
      </c>
    </row>
    <row r="34" spans="1:147" ht="18" customHeight="1" x14ac:dyDescent="0.2">
      <c r="A34" s="24" t="str">
        <f>+Décembre!BJ36</f>
        <v>Fiche infoA4</v>
      </c>
      <c r="B34" s="107">
        <f t="shared" si="30"/>
        <v>46373</v>
      </c>
      <c r="C34" s="170">
        <f>+$D$13+16</f>
        <v>46373</v>
      </c>
      <c r="D34" s="171" t="str">
        <f>IF(AND(EQ34&lt;&gt;"",$DZ$5=S.CAL!$CU$2),EQ34,IF(IFERROR(IF($DY$5=S.CAL!$CU$3,ROUND(EN34,2),ROUND(EQ34,2)),"")&lt;&gt;0,IFERROR(IF($DY$5=S.CAL!$CU$3,ROUND(EN34,2),ROUND(EQ34,2)),""),""))</f>
        <v/>
      </c>
      <c r="E34" s="171" t="str">
        <f>IFERROR(+IF(AND(F34="",$DY$5=S.CAL!$CU$2,J34="OUI"),IFERROR(ROUND(I34,2),""),IF(AND(F34="",$DY$5=S.CAL!$CU$3,L34="oui"),ROUND(K34,2),IF(F34="","",ROUND(F34,2)))),"")</f>
        <v/>
      </c>
      <c r="F34" s="954"/>
      <c r="G34" s="990"/>
      <c r="H34" s="27" t="str">
        <f t="shared" si="14"/>
        <v>A</v>
      </c>
      <c r="I34" s="34">
        <f>Décembre!BC36</f>
        <v>0</v>
      </c>
      <c r="J34" s="34">
        <f>Décembre!BE36</f>
        <v>0</v>
      </c>
      <c r="K34" s="34">
        <f t="shared" si="15"/>
        <v>0</v>
      </c>
      <c r="L34" s="34" t="str">
        <f t="shared" si="21"/>
        <v/>
      </c>
      <c r="N34" s="377"/>
      <c r="O34" s="377"/>
      <c r="P34" s="377"/>
      <c r="Q34" s="377"/>
      <c r="R34" s="377"/>
      <c r="T34" s="563">
        <f>+IF(AD34=0,V34,0)</f>
        <v>0</v>
      </c>
      <c r="U34" s="1301" t="str">
        <f>+Décembre!AU4</f>
        <v>A</v>
      </c>
      <c r="V34" s="1301">
        <f>IFERROR(+VLOOKUP(U34,U35:AB39,7,FALSE),"")</f>
        <v>0</v>
      </c>
      <c r="W34" s="2538" t="str">
        <f>Décembre!BS28</f>
        <v>Semaine numéro : 49</v>
      </c>
      <c r="X34" s="2538"/>
      <c r="Y34" s="2538"/>
      <c r="Z34" s="1323"/>
      <c r="AA34" s="1316">
        <f>+IF(Z34&lt;&gt;"",Z34,IF(T34&gt;0,T34,IF(AND(AD34&gt;0,AC34&gt;0),AD34+AC34,IF(AE34&gt;0,0,AC34))))</f>
        <v>0</v>
      </c>
      <c r="AB34" s="1316">
        <f>IF(AND(AA34&gt;45,AD34=AD48),AA34-45,0)</f>
        <v>0</v>
      </c>
      <c r="AC34" s="1322">
        <f>+SUMIF(Décembre!$BK$20:$BK$50,Décembre!AT4,$D$18:$D$48)</f>
        <v>0</v>
      </c>
      <c r="AD34" s="1322">
        <f>+SUMIF(Novembre!$BK$20:$BK$50,Décembre!AT4,'Retenue Nov'!$D$18:$D$48)</f>
        <v>0</v>
      </c>
      <c r="AE34" s="1322">
        <v>0</v>
      </c>
      <c r="AF34" s="1316">
        <f>+AC34-AB34</f>
        <v>0</v>
      </c>
      <c r="AG34" s="563">
        <f>+Décembre!AT4</f>
        <v>49</v>
      </c>
      <c r="AK34" s="1189" t="s">
        <v>324</v>
      </c>
      <c r="AL34" s="1302" t="e">
        <f>IF(AL32,+AL24/AL32,0)</f>
        <v>#VALUE!</v>
      </c>
      <c r="BA34" s="331" t="str">
        <f t="shared" si="16"/>
        <v>Fiche infoA4</v>
      </c>
      <c r="BB34" s="107">
        <f t="shared" si="31"/>
        <v>46373</v>
      </c>
      <c r="BC34" s="170">
        <f>+$D$13+16</f>
        <v>46373</v>
      </c>
      <c r="BD34" s="171" t="str">
        <f t="shared" si="32"/>
        <v/>
      </c>
      <c r="BE34" s="171" t="str">
        <f>+IF(OR(BF34=S.CAL!$BJ$3,BF34=S.CAL!$BJ$4),BD34,"")</f>
        <v/>
      </c>
      <c r="BF34" s="333">
        <f>IF($DY$5=S.CAL!$CU$2,Décembre!AR36,IF($DY$5=S.CAL!$CU$3,VLOOKUP(BC34,planning_fp,7,FALSE),""))</f>
        <v>0</v>
      </c>
      <c r="BG34" s="345" t="str">
        <f>Décembre!BL36</f>
        <v>A</v>
      </c>
      <c r="BH34" s="355"/>
      <c r="BJ34" s="355"/>
      <c r="BK34" s="355"/>
      <c r="BL34" s="35"/>
      <c r="BN34" s="186"/>
      <c r="BO34" s="95" t="s">
        <v>318</v>
      </c>
      <c r="BP34" s="381">
        <f>SUMIFS(BD18:BD48,BF18:BF48,S.CAL!BJ3,BG18:BG48,"G")</f>
        <v>0</v>
      </c>
      <c r="BQ34" s="392">
        <f t="shared" si="38"/>
        <v>0</v>
      </c>
      <c r="BR34" s="384">
        <f t="shared" si="39"/>
        <v>0</v>
      </c>
      <c r="BS34" s="384">
        <f t="shared" si="36"/>
        <v>0</v>
      </c>
      <c r="BT34" s="384">
        <f t="shared" si="40"/>
        <v>0</v>
      </c>
      <c r="BV34" s="363"/>
      <c r="BW34" s="356" t="s">
        <v>318</v>
      </c>
      <c r="BX34" s="364">
        <f>SUMIFS(BD18:BD48,BF18:BF48,S.CAL!BJ4,BG18:BG48,"G")</f>
        <v>0</v>
      </c>
      <c r="BY34" s="397">
        <f t="shared" si="41"/>
        <v>0</v>
      </c>
      <c r="BZ34" s="394">
        <f t="shared" si="42"/>
        <v>0</v>
      </c>
      <c r="CA34" s="365">
        <f t="shared" si="37"/>
        <v>0</v>
      </c>
      <c r="CB34" s="366">
        <f t="shared" si="43"/>
        <v>0</v>
      </c>
      <c r="CD34" s="328"/>
      <c r="CE34" s="107">
        <f t="shared" si="33"/>
        <v>46373</v>
      </c>
      <c r="CF34" s="170">
        <f>+$D$13+16</f>
        <v>46373</v>
      </c>
      <c r="CG34" s="171">
        <f t="shared" si="22"/>
        <v>0</v>
      </c>
      <c r="CH34" s="34"/>
      <c r="DR34" s="16">
        <f>IF(OR(EB34&gt;0,AND(C34&lt;&gt;"",C34&lt;Identification!$B$28),AND(C34&lt;&gt;"",C34&gt;Identification!$B$95,Identification!$B$95&lt;&gt;0)),0,IF(OR(AND(C34&lt;&gt;"",D34&lt;&gt;"",IFERROR(D34-E34=0,0)),(AND(C34&lt;&gt;"",DR33=1,D34=""))),1,0))</f>
        <v>0</v>
      </c>
      <c r="DS34" s="16">
        <f>IF(OR(EB34&gt;0,AND(C34&lt;&gt;"",C34&lt;Identification!$B$28),AND(C34&lt;&gt;"",C34&gt;Identification!$B$95,Identification!$B$95&lt;&gt;0)),0,IF(OR(AND(C34&lt;&gt;"",D34&lt;&gt;"",IFERROR(D34-E34=0,0)),(AND(C34&lt;&gt;"",DS35=1,D34=""))),1,0))</f>
        <v>0</v>
      </c>
      <c r="DT34" s="16">
        <f t="shared" si="23"/>
        <v>0</v>
      </c>
      <c r="DU34" s="16">
        <f>IF(OR(EB34&gt;0,AND(C34&lt;&gt;"",C34&lt;Identification!$B$28),AND(C34&lt;&gt;"",C34&gt;Identification!$B$95,Identification!$B$95&lt;&gt;0)),0,IF(OR(AND(C34&lt;&gt;"",D34&lt;&gt;"",IFERROR(D34-E34=0,0))),1,0))</f>
        <v>0</v>
      </c>
      <c r="DV34" s="16">
        <f>IF(OR(EB34&gt;0,AND(C34&lt;&gt;"",C34&lt;Identification!$B$28),AND(C34&lt;&gt;"",C34&gt;Identification!$B$95,Identification!$B$95&lt;&gt;0)),0,IF(OR(AND(C34&lt;&gt;"",D34&lt;&gt;"",IFERROR(D34-E34=0,0))),1,0))</f>
        <v>0</v>
      </c>
      <c r="DW34" s="16">
        <f t="shared" si="24"/>
        <v>0</v>
      </c>
      <c r="DY34" s="16">
        <f>IF(+Décembre!AG36="",0,Décembre!AG36)</f>
        <v>0</v>
      </c>
      <c r="DZ34" s="16">
        <f>+IF(Décembre!AJ36="",0,Décembre!AJ36)</f>
        <v>0</v>
      </c>
      <c r="EA34" s="16">
        <f>+IF(Décembre!AM36="",0,Décembre!AM36)</f>
        <v>0</v>
      </c>
      <c r="EB34" s="16">
        <f t="shared" si="25"/>
        <v>0</v>
      </c>
      <c r="ED34" s="16">
        <f t="shared" si="26"/>
        <v>0</v>
      </c>
      <c r="EE34" s="16">
        <f t="shared" si="17"/>
        <v>0</v>
      </c>
      <c r="EF34" s="30" t="str">
        <f t="shared" si="18"/>
        <v/>
      </c>
      <c r="EG34" s="30" t="str">
        <f t="shared" si="27"/>
        <v/>
      </c>
      <c r="EH34" s="16">
        <f t="shared" si="28"/>
        <v>0</v>
      </c>
      <c r="EI34" s="30"/>
      <c r="EJ34" s="30">
        <f t="shared" si="19"/>
        <v>46373</v>
      </c>
      <c r="EM34" s="16" t="str">
        <f t="shared" si="29"/>
        <v>Fiche infoA446373</v>
      </c>
      <c r="EN34" s="16">
        <f t="shared" si="20"/>
        <v>0</v>
      </c>
      <c r="EQ34" s="16" t="str">
        <f>Décembre!FS36</f>
        <v/>
      </c>
    </row>
    <row r="35" spans="1:147" ht="18" customHeight="1" x14ac:dyDescent="0.2">
      <c r="A35" s="24" t="str">
        <f>+Décembre!BJ37</f>
        <v>Fiche infoA5</v>
      </c>
      <c r="B35" s="107">
        <f t="shared" si="30"/>
        <v>46374</v>
      </c>
      <c r="C35" s="170">
        <f>+$D$13+17</f>
        <v>46374</v>
      </c>
      <c r="D35" s="171" t="str">
        <f>IF(AND(EQ35&lt;&gt;"",$DZ$5=S.CAL!$CU$2),EQ35,IF(IFERROR(IF($DY$5=S.CAL!$CU$3,ROUND(EN35,2),ROUND(EQ35,2)),"")&lt;&gt;0,IFERROR(IF($DY$5=S.CAL!$CU$3,ROUND(EN35,2),ROUND(EQ35,2)),""),""))</f>
        <v/>
      </c>
      <c r="E35" s="171" t="str">
        <f>IFERROR(+IF(AND(F35="",$DY$5=S.CAL!$CU$2,J35="OUI"),IFERROR(ROUND(I35,2),""),IF(AND(F35="",$DY$5=S.CAL!$CU$3,L35="oui"),ROUND(K35,2),IF(F35="","",ROUND(F35,2)))),"")</f>
        <v/>
      </c>
      <c r="F35" s="954"/>
      <c r="G35" s="990"/>
      <c r="H35" s="27" t="str">
        <f t="shared" si="14"/>
        <v>A</v>
      </c>
      <c r="I35" s="34">
        <f>Décembre!BC37</f>
        <v>0</v>
      </c>
      <c r="J35" s="34">
        <f>Décembre!BE37</f>
        <v>0</v>
      </c>
      <c r="K35" s="34">
        <f t="shared" si="15"/>
        <v>0</v>
      </c>
      <c r="L35" s="34" t="str">
        <f t="shared" si="21"/>
        <v/>
      </c>
      <c r="N35" s="377"/>
      <c r="O35" s="861" t="s">
        <v>1198</v>
      </c>
      <c r="P35" s="862"/>
      <c r="Q35" s="862"/>
      <c r="R35" s="858"/>
      <c r="T35" s="563">
        <f>+IF(AD35=0,V35,0)</f>
        <v>0</v>
      </c>
      <c r="U35" s="1301" t="str">
        <f>+Décembre!AU5</f>
        <v>A</v>
      </c>
      <c r="V35" s="1301">
        <f>IFERROR(+VLOOKUP(U35,U36:AB39,7,FALSE),"")</f>
        <v>0</v>
      </c>
      <c r="W35" s="2538" t="str">
        <f>Décembre!BS29</f>
        <v>Semaine numéro : 50</v>
      </c>
      <c r="X35" s="2538"/>
      <c r="Y35" s="2538"/>
      <c r="Z35" s="1323"/>
      <c r="AA35" s="1316">
        <f>+IF(Z35&lt;&gt;"",Z35,IF(T35&gt;0,T35,IF(AND(AD35&gt;0,AC35&gt;0),AD35+AC35,IF(AE35&gt;0,0,AC35))))</f>
        <v>0</v>
      </c>
      <c r="AB35" s="1316">
        <f t="shared" ref="AB35:AB39" si="44">IF(AND(AA35&gt;45,AD35=AD49),AA35-45,0)</f>
        <v>0</v>
      </c>
      <c r="AC35" s="1322">
        <f>+SUMIF(Décembre!$BK$20:$BK$50,Décembre!AT5,$D$18:$D$48)</f>
        <v>0</v>
      </c>
      <c r="AD35" s="1322">
        <f>+SUMIF(Novembre!$BK$20:$BK$50,Décembre!AT5,'Retenue Nov'!$D$18:$D$48)</f>
        <v>0</v>
      </c>
      <c r="AE35" s="1322">
        <v>0</v>
      </c>
      <c r="AF35" s="1316">
        <f t="shared" ref="AF35:AF39" si="45">+AC35-AB35</f>
        <v>0</v>
      </c>
      <c r="AG35" s="563">
        <f>+Décembre!AT5</f>
        <v>50</v>
      </c>
      <c r="AK35" s="1189"/>
      <c r="AL35" s="1302"/>
      <c r="BA35" s="331" t="str">
        <f t="shared" si="16"/>
        <v>Fiche infoA5</v>
      </c>
      <c r="BB35" s="107">
        <f t="shared" si="31"/>
        <v>46374</v>
      </c>
      <c r="BC35" s="170">
        <f>+$D$13+17</f>
        <v>46374</v>
      </c>
      <c r="BD35" s="171" t="str">
        <f t="shared" si="32"/>
        <v/>
      </c>
      <c r="BE35" s="171" t="str">
        <f>+IF(OR(BF35=S.CAL!$BJ$3,BF35=S.CAL!$BJ$4),BD35,"")</f>
        <v/>
      </c>
      <c r="BF35" s="333">
        <f>IF($DY$5=S.CAL!$CU$2,Décembre!AR37,IF($DY$5=S.CAL!$CU$3,VLOOKUP(BC35,planning_fp,7,FALSE),""))</f>
        <v>0</v>
      </c>
      <c r="BG35" s="345" t="str">
        <f>Décembre!BL37</f>
        <v>A</v>
      </c>
      <c r="BH35" s="355"/>
      <c r="BI35" s="355"/>
      <c r="BJ35" s="355"/>
      <c r="BK35" s="355"/>
      <c r="BL35" s="35"/>
      <c r="BN35" s="187"/>
      <c r="BO35" s="173" t="s">
        <v>319</v>
      </c>
      <c r="BP35" s="382">
        <f>SUMIFS(BD18:BD48,BF18:BF48,S.CAL!BJ3,BG18:BG48,"H")</f>
        <v>0</v>
      </c>
      <c r="BQ35" s="180">
        <f t="shared" si="38"/>
        <v>0</v>
      </c>
      <c r="BR35" s="385">
        <f t="shared" si="39"/>
        <v>0</v>
      </c>
      <c r="BS35" s="385">
        <f t="shared" si="36"/>
        <v>0</v>
      </c>
      <c r="BT35" s="385">
        <f t="shared" si="40"/>
        <v>0</v>
      </c>
      <c r="BV35" s="367"/>
      <c r="BW35" s="387" t="s">
        <v>319</v>
      </c>
      <c r="BX35" s="368">
        <f>SUMIFS(BD18:BD48,BF18:BF48,S.CAL!BJ4,BG18:BG48,"H")</f>
        <v>0</v>
      </c>
      <c r="BY35" s="398">
        <f t="shared" si="41"/>
        <v>0</v>
      </c>
      <c r="BZ35" s="395">
        <f t="shared" si="42"/>
        <v>0</v>
      </c>
      <c r="CA35" s="369">
        <f t="shared" si="37"/>
        <v>0</v>
      </c>
      <c r="CB35" s="370">
        <f t="shared" si="43"/>
        <v>0</v>
      </c>
      <c r="CD35" s="328"/>
      <c r="CE35" s="107">
        <f t="shared" si="33"/>
        <v>46374</v>
      </c>
      <c r="CF35" s="170">
        <f>+$D$13+17</f>
        <v>46374</v>
      </c>
      <c r="CG35" s="171">
        <f t="shared" si="22"/>
        <v>0</v>
      </c>
      <c r="CH35" s="34"/>
      <c r="DR35" s="16">
        <f>IF(OR(EB35&gt;0,AND(C35&lt;&gt;"",C35&lt;Identification!$B$28),AND(C35&lt;&gt;"",C35&gt;Identification!$B$95,Identification!$B$95&lt;&gt;0)),0,IF(OR(AND(C35&lt;&gt;"",D35&lt;&gt;"",IFERROR(D35-E35=0,0)),(AND(C35&lt;&gt;"",DR34=1,D35=""))),1,0))</f>
        <v>0</v>
      </c>
      <c r="DS35" s="16">
        <f>IF(OR(EB35&gt;0,AND(C35&lt;&gt;"",C35&lt;Identification!$B$28),AND(C35&lt;&gt;"",C35&gt;Identification!$B$95,Identification!$B$95&lt;&gt;0)),0,IF(OR(AND(C35&lt;&gt;"",D35&lt;&gt;"",IFERROR(D35-E35=0,0)),(AND(C35&lt;&gt;"",DS36=1,D35=""))),1,0))</f>
        <v>0</v>
      </c>
      <c r="DT35" s="16">
        <f t="shared" si="23"/>
        <v>0</v>
      </c>
      <c r="DU35" s="16">
        <f>IF(OR(EB35&gt;0,AND(C35&lt;&gt;"",C35&lt;Identification!$B$28),AND(C35&lt;&gt;"",C35&gt;Identification!$B$95,Identification!$B$95&lt;&gt;0)),0,IF(OR(AND(C35&lt;&gt;"",D35&lt;&gt;"",IFERROR(D35-E35=0,0))),1,0))</f>
        <v>0</v>
      </c>
      <c r="DV35" s="16">
        <f>IF(OR(EB35&gt;0,AND(C35&lt;&gt;"",C35&lt;Identification!$B$28),AND(C35&lt;&gt;"",C35&gt;Identification!$B$95,Identification!$B$95&lt;&gt;0)),0,IF(OR(AND(C35&lt;&gt;"",D35&lt;&gt;"",IFERROR(D35-E35=0,0))),1,0))</f>
        <v>0</v>
      </c>
      <c r="DW35" s="16">
        <f t="shared" si="24"/>
        <v>0</v>
      </c>
      <c r="DY35" s="16">
        <f>IF(+Décembre!AG37="",0,Décembre!AG37)</f>
        <v>0</v>
      </c>
      <c r="DZ35" s="16">
        <f>+IF(Décembre!AJ37="",0,Décembre!AJ37)</f>
        <v>0</v>
      </c>
      <c r="EA35" s="16">
        <f>+IF(Décembre!AM37="",0,Décembre!AM37)</f>
        <v>0</v>
      </c>
      <c r="EB35" s="16">
        <f t="shared" si="25"/>
        <v>0</v>
      </c>
      <c r="ED35" s="16">
        <f t="shared" si="26"/>
        <v>0</v>
      </c>
      <c r="EE35" s="16">
        <f t="shared" si="17"/>
        <v>0</v>
      </c>
      <c r="EF35" s="30" t="str">
        <f t="shared" si="18"/>
        <v/>
      </c>
      <c r="EG35" s="30" t="str">
        <f t="shared" si="27"/>
        <v/>
      </c>
      <c r="EH35" s="16">
        <f t="shared" si="28"/>
        <v>0</v>
      </c>
      <c r="EI35" s="30"/>
      <c r="EJ35" s="30">
        <f t="shared" si="19"/>
        <v>46374</v>
      </c>
      <c r="EM35" s="16" t="str">
        <f t="shared" si="29"/>
        <v>Fiche infoA546374</v>
      </c>
      <c r="EN35" s="16">
        <f t="shared" si="20"/>
        <v>0</v>
      </c>
      <c r="EQ35" s="16" t="str">
        <f>Décembre!FS37</f>
        <v/>
      </c>
    </row>
    <row r="36" spans="1:147" ht="18" customHeight="1" x14ac:dyDescent="0.2">
      <c r="A36" s="24" t="str">
        <f>+Décembre!BJ38</f>
        <v>Fiche infoA6</v>
      </c>
      <c r="B36" s="107">
        <f t="shared" si="30"/>
        <v>46375</v>
      </c>
      <c r="C36" s="170">
        <f>+$D$13+18</f>
        <v>46375</v>
      </c>
      <c r="D36" s="171" t="str">
        <f>IF(AND(EQ36&lt;&gt;"",$DZ$5=S.CAL!$CU$2),EQ36,IF(IFERROR(IF($DY$5=S.CAL!$CU$3,ROUND(EN36,2),ROUND(EQ36,2)),"")&lt;&gt;0,IFERROR(IF($DY$5=S.CAL!$CU$3,ROUND(EN36,2),ROUND(EQ36,2)),""),""))</f>
        <v/>
      </c>
      <c r="E36" s="171" t="str">
        <f>IFERROR(+IF(AND(F36="",$DY$5=S.CAL!$CU$2,J36="OUI"),IFERROR(ROUND(I36,2),""),IF(AND(F36="",$DY$5=S.CAL!$CU$3,L36="oui"),ROUND(K36,2),IF(F36="","",ROUND(F36,2)))),"")</f>
        <v/>
      </c>
      <c r="F36" s="954"/>
      <c r="G36" s="990"/>
      <c r="H36" s="27" t="str">
        <f t="shared" si="14"/>
        <v>A</v>
      </c>
      <c r="I36" s="34">
        <f>Décembre!BC38</f>
        <v>0</v>
      </c>
      <c r="J36" s="34">
        <f>Décembre!BE38</f>
        <v>0</v>
      </c>
      <c r="K36" s="34">
        <f t="shared" si="15"/>
        <v>0</v>
      </c>
      <c r="L36" s="34" t="str">
        <f t="shared" si="21"/>
        <v/>
      </c>
      <c r="N36" s="377"/>
      <c r="O36" s="468"/>
      <c r="P36" s="469" t="str">
        <f>+E11&amp;" / ( "&amp;E10&amp;" + "&amp;E11&amp;" ) ="</f>
        <v>0 / ( 0 + 0 ) =</v>
      </c>
      <c r="Q36" s="468" t="e">
        <f>+ROUND(E11/(E11+E10),6)</f>
        <v>#DIV/0!</v>
      </c>
      <c r="R36" s="377"/>
      <c r="U36" s="1301" t="str">
        <f>+Décembre!AU6</f>
        <v>A</v>
      </c>
      <c r="V36" s="1301"/>
      <c r="W36" s="2538" t="str">
        <f>Décembre!BS30</f>
        <v>Semaine numéro : 51</v>
      </c>
      <c r="X36" s="2538"/>
      <c r="Y36" s="2538"/>
      <c r="Z36" s="1323"/>
      <c r="AA36" s="1316">
        <f t="shared" ref="AA36:AA39" si="46">+IF(Z36="",IF(AND(AD36&gt;0,AC36&gt;0),AD36+AC36,IF(AE36&gt;0,0,AC36)),Z36)</f>
        <v>0</v>
      </c>
      <c r="AB36" s="1316">
        <f t="shared" si="44"/>
        <v>0</v>
      </c>
      <c r="AC36" s="1322">
        <f>+SUMIF(Décembre!$BK$20:$BK$50,Décembre!AT6,$D$18:$D$48)</f>
        <v>0</v>
      </c>
      <c r="AD36" s="1322">
        <f>+SUMIF(Novembre!$BK$20:$BK$50,Décembre!AT6,'Retenue Nov'!$D$18:$D$48)</f>
        <v>0</v>
      </c>
      <c r="AE36" s="1322">
        <v>0</v>
      </c>
      <c r="AF36" s="1316">
        <f t="shared" si="45"/>
        <v>0</v>
      </c>
      <c r="AG36" s="563">
        <f>+Décembre!AT6</f>
        <v>51</v>
      </c>
      <c r="AK36" s="1189"/>
      <c r="AL36" s="1302"/>
      <c r="BA36" s="331" t="str">
        <f t="shared" si="16"/>
        <v>Fiche infoA6</v>
      </c>
      <c r="BB36" s="107">
        <f t="shared" si="31"/>
        <v>46375</v>
      </c>
      <c r="BC36" s="170">
        <f>+$D$13+18</f>
        <v>46375</v>
      </c>
      <c r="BD36" s="171" t="str">
        <f t="shared" si="32"/>
        <v/>
      </c>
      <c r="BE36" s="171" t="str">
        <f>+IF(OR(BF36=S.CAL!$BJ$3,BF36=S.CAL!$BJ$4),BD36,"")</f>
        <v/>
      </c>
      <c r="BF36" s="333">
        <f>IF($DY$5=S.CAL!$CU$2,Décembre!AR38,IF($DY$5=S.CAL!$CU$3,VLOOKUP(BC36,planning_fp,7,FALSE),""))</f>
        <v>0</v>
      </c>
      <c r="BG36" s="345" t="str">
        <f>Décembre!BL38</f>
        <v>A</v>
      </c>
      <c r="BH36" s="356"/>
      <c r="BI36" s="357"/>
      <c r="BJ36" s="355"/>
      <c r="BK36" s="355"/>
      <c r="BL36" s="35"/>
      <c r="BS36" s="189"/>
      <c r="BT36" s="342"/>
      <c r="BU36" s="342"/>
      <c r="BV36" s="355"/>
      <c r="BW36" s="355"/>
      <c r="BX36" s="355"/>
      <c r="BY36" s="355"/>
      <c r="BZ36" s="355"/>
      <c r="CA36" s="355"/>
      <c r="CB36" s="355"/>
      <c r="CD36" s="328"/>
      <c r="CE36" s="107">
        <f t="shared" si="33"/>
        <v>46375</v>
      </c>
      <c r="CF36" s="170">
        <f>+$D$13+18</f>
        <v>46375</v>
      </c>
      <c r="CG36" s="171">
        <f t="shared" si="22"/>
        <v>0</v>
      </c>
      <c r="CH36" s="34"/>
      <c r="DR36" s="16">
        <f>IF(OR(EB36&gt;0,AND(C36&lt;&gt;"",C36&lt;Identification!$B$28),AND(C36&lt;&gt;"",C36&gt;Identification!$B$95,Identification!$B$95&lt;&gt;0)),0,IF(OR(AND(C36&lt;&gt;"",D36&lt;&gt;"",IFERROR(D36-E36=0,0)),(AND(C36&lt;&gt;"",DR35=1,D36=""))),1,0))</f>
        <v>0</v>
      </c>
      <c r="DS36" s="16">
        <f>IF(OR(EB36&gt;0,AND(C36&lt;&gt;"",C36&lt;Identification!$B$28),AND(C36&lt;&gt;"",C36&gt;Identification!$B$95,Identification!$B$95&lt;&gt;0)),0,IF(OR(AND(C36&lt;&gt;"",D36&lt;&gt;"",IFERROR(D36-E36=0,0)),(AND(C36&lt;&gt;"",DS37=1,D36=""))),1,0))</f>
        <v>0</v>
      </c>
      <c r="DT36" s="16">
        <f t="shared" si="23"/>
        <v>0</v>
      </c>
      <c r="DU36" s="16">
        <f>IF(OR(EB36&gt;0,AND(C36&lt;&gt;"",C36&lt;Identification!$B$28),AND(C36&lt;&gt;"",C36&gt;Identification!$B$95,Identification!$B$95&lt;&gt;0)),0,IF(OR(AND(C36&lt;&gt;"",D36&lt;&gt;"",IFERROR(D36-E36=0,0))),1,0))</f>
        <v>0</v>
      </c>
      <c r="DV36" s="16">
        <f>IF(OR(EB36&gt;0,AND(C36&lt;&gt;"",C36&lt;Identification!$B$28),AND(C36&lt;&gt;"",C36&gt;Identification!$B$95,Identification!$B$95&lt;&gt;0)),0,IF(OR(AND(C36&lt;&gt;"",D36&lt;&gt;"",IFERROR(D36-E36=0,0))),1,0))</f>
        <v>0</v>
      </c>
      <c r="DW36" s="16">
        <f t="shared" si="24"/>
        <v>0</v>
      </c>
      <c r="DY36" s="16">
        <f>IF(+Décembre!AG38="",0,Décembre!AG38)</f>
        <v>0</v>
      </c>
      <c r="DZ36" s="16">
        <f>+IF(Décembre!AJ38="",0,Décembre!AJ38)</f>
        <v>0</v>
      </c>
      <c r="EA36" s="16">
        <f>+IF(Décembre!AM38="",0,Décembre!AM38)</f>
        <v>0</v>
      </c>
      <c r="EB36" s="16">
        <f t="shared" si="25"/>
        <v>0</v>
      </c>
      <c r="ED36" s="16">
        <f t="shared" si="26"/>
        <v>0</v>
      </c>
      <c r="EE36" s="16">
        <f t="shared" si="17"/>
        <v>0</v>
      </c>
      <c r="EF36" s="30" t="str">
        <f t="shared" si="18"/>
        <v/>
      </c>
      <c r="EG36" s="30" t="str">
        <f t="shared" si="27"/>
        <v/>
      </c>
      <c r="EH36" s="16">
        <f t="shared" si="28"/>
        <v>0</v>
      </c>
      <c r="EI36" s="30"/>
      <c r="EJ36" s="30">
        <f t="shared" si="19"/>
        <v>46375</v>
      </c>
      <c r="EM36" s="16" t="str">
        <f t="shared" si="29"/>
        <v>Fiche infoA646375</v>
      </c>
      <c r="EN36" s="16">
        <f t="shared" si="20"/>
        <v>0</v>
      </c>
      <c r="EQ36" s="16" t="str">
        <f>Décembre!FS38</f>
        <v/>
      </c>
    </row>
    <row r="37" spans="1:147" ht="18" customHeight="1" x14ac:dyDescent="0.2">
      <c r="A37" s="24" t="str">
        <f>+Décembre!BJ39</f>
        <v>Fiche infoA7</v>
      </c>
      <c r="B37" s="107">
        <f t="shared" si="30"/>
        <v>46376</v>
      </c>
      <c r="C37" s="170">
        <f>+$D$13+19</f>
        <v>46376</v>
      </c>
      <c r="D37" s="171" t="str">
        <f>IF(AND(EQ37&lt;&gt;"",$DZ$5=S.CAL!$CU$2),EQ37,IF(IFERROR(IF($DY$5=S.CAL!$CU$3,ROUND(EN37,2),ROUND(EQ37,2)),"")&lt;&gt;0,IFERROR(IF($DY$5=S.CAL!$CU$3,ROUND(EN37,2),ROUND(EQ37,2)),""),""))</f>
        <v/>
      </c>
      <c r="E37" s="171" t="str">
        <f>IFERROR(+IF(AND(F37="",$DY$5=S.CAL!$CU$2,J37="OUI"),IFERROR(ROUND(I37,2),""),IF(AND(F37="",$DY$5=S.CAL!$CU$3,L37="oui"),ROUND(K37,2),IF(F37="","",ROUND(F37,2)))),"")</f>
        <v/>
      </c>
      <c r="F37" s="954"/>
      <c r="G37" s="990"/>
      <c r="H37" s="27" t="str">
        <f t="shared" si="14"/>
        <v>A</v>
      </c>
      <c r="I37" s="34">
        <f>Décembre!BC39</f>
        <v>0</v>
      </c>
      <c r="J37" s="34">
        <f>Décembre!BE39</f>
        <v>0</v>
      </c>
      <c r="K37" s="34">
        <f t="shared" si="15"/>
        <v>0</v>
      </c>
      <c r="L37" s="34" t="str">
        <f t="shared" si="21"/>
        <v/>
      </c>
      <c r="N37" s="377"/>
      <c r="O37" s="863"/>
      <c r="P37" s="863"/>
      <c r="Q37" s="863"/>
      <c r="R37" s="377"/>
      <c r="U37" s="1301" t="str">
        <f>+Décembre!AU7</f>
        <v>A</v>
      </c>
      <c r="V37" s="1301"/>
      <c r="W37" s="2538" t="str">
        <f>Décembre!BS31</f>
        <v>Semaine numéro : 52</v>
      </c>
      <c r="X37" s="2538"/>
      <c r="Y37" s="2538"/>
      <c r="Z37" s="1323" t="str">
        <f>IF(Décembre!BY31="","",Décembre!BY31)</f>
        <v/>
      </c>
      <c r="AA37" s="1316">
        <f t="shared" si="46"/>
        <v>0</v>
      </c>
      <c r="AB37" s="1316">
        <f t="shared" si="44"/>
        <v>0</v>
      </c>
      <c r="AC37" s="1322">
        <f>+SUMIF(Décembre!$BK$20:$BK$50,Décembre!AT7,$D$18:$D$48)</f>
        <v>0</v>
      </c>
      <c r="AD37" s="1322">
        <f>+SUMIF(Novembre!$BK$20:$BK$50,Décembre!AT7,'Retenue Nov'!$D$18:$D$48)</f>
        <v>0</v>
      </c>
      <c r="AE37" s="1322">
        <v>0</v>
      </c>
      <c r="AF37" s="1316">
        <f t="shared" si="45"/>
        <v>0</v>
      </c>
      <c r="AG37" s="563">
        <f>+Décembre!AT7</f>
        <v>52</v>
      </c>
      <c r="AK37" s="1189"/>
      <c r="AL37" s="2553" t="s">
        <v>325</v>
      </c>
      <c r="AM37" s="2553" t="s">
        <v>326</v>
      </c>
      <c r="AN37" s="2554" t="s">
        <v>327</v>
      </c>
      <c r="AO37" s="2553" t="s">
        <v>328</v>
      </c>
      <c r="AP37" s="2553" t="s">
        <v>348</v>
      </c>
      <c r="AQ37" s="2553" t="s">
        <v>349</v>
      </c>
      <c r="BA37" s="331" t="str">
        <f t="shared" si="16"/>
        <v>Fiche infoA7</v>
      </c>
      <c r="BB37" s="107">
        <f t="shared" si="31"/>
        <v>46376</v>
      </c>
      <c r="BC37" s="170">
        <f>+$D$13+19</f>
        <v>46376</v>
      </c>
      <c r="BD37" s="171" t="str">
        <f t="shared" si="32"/>
        <v/>
      </c>
      <c r="BE37" s="171" t="str">
        <f>+IF(OR(BF37=S.CAL!$BJ$3,BF37=S.CAL!$BJ$4),BD37,"")</f>
        <v/>
      </c>
      <c r="BF37" s="333">
        <f>IF($DY$5=S.CAL!$CU$2,Décembre!AR39,IF($DY$5=S.CAL!$CU$3,VLOOKUP(BC37,planning_fp,7,FALSE),""))</f>
        <v>0</v>
      </c>
      <c r="BG37" s="345" t="str">
        <f>Décembre!BL39</f>
        <v>A</v>
      </c>
      <c r="BH37" s="355"/>
      <c r="BI37" s="355"/>
      <c r="BJ37" s="355"/>
      <c r="BK37" s="355"/>
      <c r="BL37" s="35"/>
      <c r="BO37" s="29"/>
      <c r="BP37" s="34"/>
      <c r="BS37" s="189"/>
      <c r="BT37" s="189"/>
      <c r="BV37" s="355"/>
      <c r="BW37" s="355"/>
      <c r="BX37" s="355"/>
      <c r="BY37" s="355"/>
      <c r="BZ37" s="355"/>
      <c r="CA37" s="355"/>
      <c r="CB37" s="355"/>
      <c r="CD37" s="328"/>
      <c r="CE37" s="107">
        <f t="shared" si="33"/>
        <v>46376</v>
      </c>
      <c r="CF37" s="170">
        <f>+$D$13+19</f>
        <v>46376</v>
      </c>
      <c r="CG37" s="171">
        <f t="shared" si="22"/>
        <v>0</v>
      </c>
      <c r="CH37" s="34"/>
      <c r="DR37" s="16">
        <f>IF(OR(EB37&gt;0,AND(C37&lt;&gt;"",C37&lt;Identification!$B$28),AND(C37&lt;&gt;"",C37&gt;Identification!$B$95,Identification!$B$95&lt;&gt;0)),0,IF(OR(AND(C37&lt;&gt;"",D37&lt;&gt;"",IFERROR(D37-E37=0,0)),(AND(C37&lt;&gt;"",DR36=1,D37=""))),1,0))</f>
        <v>0</v>
      </c>
      <c r="DS37" s="16">
        <f>IF(OR(EB37&gt;0,AND(C37&lt;&gt;"",C37&lt;Identification!$B$28),AND(C37&lt;&gt;"",C37&gt;Identification!$B$95,Identification!$B$95&lt;&gt;0)),0,IF(OR(AND(C37&lt;&gt;"",D37&lt;&gt;"",IFERROR(D37-E37=0,0)),(AND(C37&lt;&gt;"",DS38=1,D37=""))),1,0))</f>
        <v>0</v>
      </c>
      <c r="DT37" s="16">
        <f t="shared" si="23"/>
        <v>0</v>
      </c>
      <c r="DU37" s="16">
        <f>IF(OR(EB37&gt;0,AND(C37&lt;&gt;"",C37&lt;Identification!$B$28),AND(C37&lt;&gt;"",C37&gt;Identification!$B$95,Identification!$B$95&lt;&gt;0)),0,IF(OR(AND(C37&lt;&gt;"",D37&lt;&gt;"",IFERROR(D37-E37=0,0))),1,0))</f>
        <v>0</v>
      </c>
      <c r="DV37" s="16">
        <f>IF(OR(EB37&gt;0,AND(C37&lt;&gt;"",C37&lt;Identification!$B$28),AND(C37&lt;&gt;"",C37&gt;Identification!$B$95,Identification!$B$95&lt;&gt;0)),0,IF(OR(AND(C37&lt;&gt;"",D37&lt;&gt;"",IFERROR(D37-E37=0,0))),1,0))</f>
        <v>0</v>
      </c>
      <c r="DW37" s="16">
        <f t="shared" si="24"/>
        <v>0</v>
      </c>
      <c r="DY37" s="16">
        <f>IF(+Décembre!AG39="",0,Décembre!AG39)</f>
        <v>0</v>
      </c>
      <c r="DZ37" s="16">
        <f>+IF(Décembre!AJ39="",0,Décembre!AJ39)</f>
        <v>0</v>
      </c>
      <c r="EA37" s="16">
        <f>+IF(Décembre!AM39="",0,Décembre!AM39)</f>
        <v>0</v>
      </c>
      <c r="EB37" s="16">
        <f t="shared" si="25"/>
        <v>0</v>
      </c>
      <c r="ED37" s="16">
        <f t="shared" si="26"/>
        <v>0</v>
      </c>
      <c r="EE37" s="16">
        <f t="shared" si="17"/>
        <v>0</v>
      </c>
      <c r="EF37" s="30" t="str">
        <f t="shared" si="18"/>
        <v/>
      </c>
      <c r="EG37" s="30" t="str">
        <f t="shared" si="27"/>
        <v/>
      </c>
      <c r="EH37" s="16">
        <f t="shared" si="28"/>
        <v>0</v>
      </c>
      <c r="EI37" s="30"/>
      <c r="EJ37" s="30">
        <f t="shared" si="19"/>
        <v>46376</v>
      </c>
      <c r="EM37" s="16" t="str">
        <f t="shared" si="29"/>
        <v>Fiche infoA746376</v>
      </c>
      <c r="EN37" s="16">
        <f t="shared" si="20"/>
        <v>0</v>
      </c>
      <c r="EQ37" s="16" t="str">
        <f>Décembre!FS39</f>
        <v/>
      </c>
    </row>
    <row r="38" spans="1:147" ht="18" customHeight="1" x14ac:dyDescent="0.2">
      <c r="A38" s="24" t="str">
        <f>+Décembre!BJ40</f>
        <v>Fiche infoA1</v>
      </c>
      <c r="B38" s="107">
        <f t="shared" si="30"/>
        <v>46377</v>
      </c>
      <c r="C38" s="170">
        <f>+$D$13+20</f>
        <v>46377</v>
      </c>
      <c r="D38" s="171" t="str">
        <f>IF(AND(EQ38&lt;&gt;"",$DZ$5=S.CAL!$CU$2),EQ38,IF(IFERROR(IF($DY$5=S.CAL!$CU$3,ROUND(EN38,2),ROUND(EQ38,2)),"")&lt;&gt;0,IFERROR(IF($DY$5=S.CAL!$CU$3,ROUND(EN38,2),ROUND(EQ38,2)),""),""))</f>
        <v/>
      </c>
      <c r="E38" s="171" t="str">
        <f>IFERROR(+IF(AND(F38="",$DY$5=S.CAL!$CU$2,J38="OUI"),IFERROR(ROUND(I38,2),""),IF(AND(F38="",$DY$5=S.CAL!$CU$3,L38="oui"),ROUND(K38,2),IF(F38="","",ROUND(F38,2)))),"")</f>
        <v/>
      </c>
      <c r="F38" s="954"/>
      <c r="G38" s="990"/>
      <c r="H38" s="27" t="str">
        <f t="shared" si="14"/>
        <v>A</v>
      </c>
      <c r="I38" s="34">
        <f>Décembre!BC40</f>
        <v>0</v>
      </c>
      <c r="J38" s="34">
        <f>Décembre!BE40</f>
        <v>0</v>
      </c>
      <c r="K38" s="34">
        <f t="shared" si="15"/>
        <v>0</v>
      </c>
      <c r="L38" s="34" t="str">
        <f t="shared" si="21"/>
        <v/>
      </c>
      <c r="N38" s="377"/>
      <c r="O38" s="864" t="s">
        <v>1445</v>
      </c>
      <c r="P38" s="864"/>
      <c r="Q38" s="864"/>
      <c r="R38" s="860"/>
      <c r="U38" s="1301" t="str">
        <f>+Décembre!AU8</f>
        <v>A</v>
      </c>
      <c r="V38" s="1301"/>
      <c r="W38" s="2538" t="str">
        <f>Décembre!BS32</f>
        <v>Semaine numéro : 53</v>
      </c>
      <c r="X38" s="2538"/>
      <c r="Y38" s="2538"/>
      <c r="Z38" s="1323" t="str">
        <f>IF(Décembre!BY32="","",Décembre!BY32)</f>
        <v/>
      </c>
      <c r="AA38" s="1316">
        <f t="shared" si="46"/>
        <v>0</v>
      </c>
      <c r="AB38" s="1316">
        <f t="shared" si="44"/>
        <v>0</v>
      </c>
      <c r="AC38" s="1322">
        <f>+SUMIF(Décembre!$BK$20:$BK$50,Décembre!AT8,$D$18:$D$48)</f>
        <v>0</v>
      </c>
      <c r="AD38" s="1322">
        <f>+SUMIF(Novembre!$BK$20:$BK$50,Décembre!AT8,'Retenue Nov'!$D$18:$D$48)</f>
        <v>0</v>
      </c>
      <c r="AE38" s="1322">
        <v>0</v>
      </c>
      <c r="AF38" s="1316">
        <f t="shared" si="45"/>
        <v>0</v>
      </c>
      <c r="AG38" s="563">
        <f>+Décembre!AT8</f>
        <v>53</v>
      </c>
      <c r="AL38" s="2553"/>
      <c r="AM38" s="2553"/>
      <c r="AN38" s="2554"/>
      <c r="AO38" s="2553"/>
      <c r="AP38" s="2553"/>
      <c r="AQ38" s="2553"/>
      <c r="BA38" s="331" t="str">
        <f t="shared" si="16"/>
        <v>Fiche infoA1</v>
      </c>
      <c r="BB38" s="107">
        <f t="shared" si="31"/>
        <v>46377</v>
      </c>
      <c r="BC38" s="170">
        <f>+$D$13+20</f>
        <v>46377</v>
      </c>
      <c r="BD38" s="171" t="str">
        <f t="shared" si="32"/>
        <v/>
      </c>
      <c r="BE38" s="171" t="str">
        <f>+IF(OR(BF38=S.CAL!$BJ$3,BF38=S.CAL!$BJ$4),BD38,"")</f>
        <v/>
      </c>
      <c r="BF38" s="333">
        <f>IF($DY$5=S.CAL!$CU$2,Décembre!AR40,IF($DY$5=S.CAL!$CU$3,VLOOKUP(BC38,planning_fp,7,FALSE),""))</f>
        <v>0</v>
      </c>
      <c r="BG38" s="345" t="str">
        <f>Décembre!BL40</f>
        <v>A</v>
      </c>
      <c r="BH38" s="355"/>
      <c r="BI38" s="355"/>
      <c r="BJ38" s="355"/>
      <c r="BK38" s="355"/>
      <c r="BL38" s="35"/>
      <c r="BO38" s="29"/>
      <c r="BP38" s="34"/>
      <c r="BS38" s="189"/>
      <c r="BT38" s="189"/>
      <c r="BV38" s="355"/>
      <c r="BW38" s="355"/>
      <c r="BX38" s="355"/>
      <c r="BY38" s="355"/>
      <c r="BZ38" s="355"/>
      <c r="CA38" s="355"/>
      <c r="CB38" s="355"/>
      <c r="CD38" s="328"/>
      <c r="CE38" s="107">
        <f t="shared" si="33"/>
        <v>46377</v>
      </c>
      <c r="CF38" s="170">
        <f>+$D$13+20</f>
        <v>46377</v>
      </c>
      <c r="CG38" s="171">
        <f t="shared" si="22"/>
        <v>0</v>
      </c>
      <c r="CH38" s="34"/>
      <c r="DR38" s="16">
        <f>IF(OR(EB38&gt;0,AND(C38&lt;&gt;"",C38&lt;Identification!$B$28),AND(C38&lt;&gt;"",C38&gt;Identification!$B$95,Identification!$B$95&lt;&gt;0)),0,IF(OR(AND(C38&lt;&gt;"",D38&lt;&gt;"",IFERROR(D38-E38=0,0)),(AND(C38&lt;&gt;"",DR37=1,D38=""))),1,0))</f>
        <v>0</v>
      </c>
      <c r="DS38" s="16">
        <f>IF(OR(EB38&gt;0,AND(C38&lt;&gt;"",C38&lt;Identification!$B$28),AND(C38&lt;&gt;"",C38&gt;Identification!$B$95,Identification!$B$95&lt;&gt;0)),0,IF(OR(AND(C38&lt;&gt;"",D38&lt;&gt;"",IFERROR(D38-E38=0,0)),(AND(C38&lt;&gt;"",DS39=1,D38=""))),1,0))</f>
        <v>0</v>
      </c>
      <c r="DT38" s="16">
        <f t="shared" si="23"/>
        <v>0</v>
      </c>
      <c r="DU38" s="16">
        <f>IF(OR(EB38&gt;0,AND(C38&lt;&gt;"",C38&lt;Identification!$B$28),AND(C38&lt;&gt;"",C38&gt;Identification!$B$95,Identification!$B$95&lt;&gt;0)),0,IF(OR(AND(C38&lt;&gt;"",D38&lt;&gt;"",IFERROR(D38-E38=0,0))),1,0))</f>
        <v>0</v>
      </c>
      <c r="DV38" s="16">
        <f>IF(OR(EB38&gt;0,AND(C38&lt;&gt;"",C38&lt;Identification!$B$28),AND(C38&lt;&gt;"",C38&gt;Identification!$B$95,Identification!$B$95&lt;&gt;0)),0,IF(OR(AND(C38&lt;&gt;"",D38&lt;&gt;"",IFERROR(D38-E38=0,0))),1,0))</f>
        <v>0</v>
      </c>
      <c r="DW38" s="16">
        <f t="shared" si="24"/>
        <v>0</v>
      </c>
      <c r="DY38" s="16">
        <f>IF(+Décembre!AG40="",0,Décembre!AG40)</f>
        <v>0</v>
      </c>
      <c r="DZ38" s="16">
        <f>+IF(Décembre!AJ40="",0,Décembre!AJ40)</f>
        <v>0</v>
      </c>
      <c r="EA38" s="16">
        <f>+IF(Décembre!AM40="",0,Décembre!AM40)</f>
        <v>0</v>
      </c>
      <c r="EB38" s="16">
        <f t="shared" si="25"/>
        <v>0</v>
      </c>
      <c r="ED38" s="16">
        <f t="shared" si="26"/>
        <v>0</v>
      </c>
      <c r="EE38" s="16">
        <f t="shared" si="17"/>
        <v>0</v>
      </c>
      <c r="EF38" s="30" t="str">
        <f t="shared" si="18"/>
        <v/>
      </c>
      <c r="EG38" s="30" t="str">
        <f t="shared" si="27"/>
        <v/>
      </c>
      <c r="EH38" s="16">
        <f t="shared" si="28"/>
        <v>0</v>
      </c>
      <c r="EI38" s="30"/>
      <c r="EJ38" s="30">
        <f t="shared" si="19"/>
        <v>46377</v>
      </c>
      <c r="EM38" s="16" t="str">
        <f t="shared" si="29"/>
        <v>Fiche infoA146377</v>
      </c>
      <c r="EN38" s="16">
        <f t="shared" si="20"/>
        <v>0</v>
      </c>
      <c r="EQ38" s="16" t="str">
        <f>Décembre!FS40</f>
        <v/>
      </c>
    </row>
    <row r="39" spans="1:147" ht="18" customHeight="1" x14ac:dyDescent="0.2">
      <c r="A39" s="24" t="str">
        <f>+Décembre!BJ41</f>
        <v>Fiche infoA2</v>
      </c>
      <c r="B39" s="107">
        <f t="shared" si="30"/>
        <v>46378</v>
      </c>
      <c r="C39" s="170">
        <f>+$D$13+21</f>
        <v>46378</v>
      </c>
      <c r="D39" s="171" t="str">
        <f>IF(AND(EQ39&lt;&gt;"",$DZ$5=S.CAL!$CU$2),EQ39,IF(IFERROR(IF($DY$5=S.CAL!$CU$3,ROUND(EN39,2),ROUND(EQ39,2)),"")&lt;&gt;0,IFERROR(IF($DY$5=S.CAL!$CU$3,ROUND(EN39,2),ROUND(EQ39,2)),""),""))</f>
        <v/>
      </c>
      <c r="E39" s="171" t="str">
        <f>IFERROR(+IF(AND(F39="",$DY$5=S.CAL!$CU$2,J39="OUI"),IFERROR(ROUND(I39,2),""),IF(AND(F39="",$DY$5=S.CAL!$CU$3,L39="oui"),ROUND(K39,2),IF(F39="","",ROUND(F39,2)))),"")</f>
        <v/>
      </c>
      <c r="F39" s="954"/>
      <c r="G39" s="990"/>
      <c r="H39" s="27" t="str">
        <f t="shared" si="14"/>
        <v>A</v>
      </c>
      <c r="I39" s="34">
        <f>Décembre!BC41</f>
        <v>0</v>
      </c>
      <c r="J39" s="34">
        <f>Décembre!BE41</f>
        <v>0</v>
      </c>
      <c r="K39" s="34">
        <f t="shared" si="15"/>
        <v>0</v>
      </c>
      <c r="L39" s="34" t="str">
        <f t="shared" si="21"/>
        <v/>
      </c>
      <c r="N39" s="377"/>
      <c r="O39" s="468"/>
      <c r="P39" s="469" t="str">
        <f>+E10&amp;" / ( "&amp;E10&amp;" + "&amp;E11&amp;" ) ="</f>
        <v>0 / ( 0 + 0 ) =</v>
      </c>
      <c r="Q39" s="468" t="e">
        <f>ROUND(+E10/(E11+E10),6)</f>
        <v>#DIV/0!</v>
      </c>
      <c r="R39" s="377"/>
      <c r="U39" s="1301" t="str">
        <f>+Décembre!AU9</f>
        <v>A</v>
      </c>
      <c r="V39" s="1301"/>
      <c r="W39" s="2538" t="str">
        <f>Décembre!BS33</f>
        <v xml:space="preserve">Semaine numéro : </v>
      </c>
      <c r="X39" s="2538"/>
      <c r="Y39" s="2538"/>
      <c r="Z39" s="1323" t="str">
        <f>IF(Décembre!BY33="","",Décembre!BY33)</f>
        <v/>
      </c>
      <c r="AA39" s="1316">
        <f t="shared" si="46"/>
        <v>0</v>
      </c>
      <c r="AB39" s="1316">
        <f t="shared" si="44"/>
        <v>0</v>
      </c>
      <c r="AC39" s="1322">
        <f>+SUMIF(Décembre!$BK$20:$BK$50,Décembre!AT9,$D$18:$D$48)</f>
        <v>0</v>
      </c>
      <c r="AD39" s="1322">
        <f>+SUMIF(Novembre!$BK$20:$BK$50,Décembre!AT9,'Retenue Nov'!$D$18:$D$48)</f>
        <v>0</v>
      </c>
      <c r="AE39" s="1322">
        <v>0</v>
      </c>
      <c r="AF39" s="1316">
        <f t="shared" si="45"/>
        <v>0</v>
      </c>
      <c r="AG39" s="563" t="str">
        <f>+Décembre!AT9</f>
        <v/>
      </c>
      <c r="AJ39" s="1189"/>
      <c r="AK39" s="1189" t="s">
        <v>312</v>
      </c>
      <c r="AL39" s="563">
        <f>+SUMIF(H18:H48,"A",E18:E48)</f>
        <v>0</v>
      </c>
      <c r="AM39" s="1313">
        <f t="shared" ref="AM39:AM46" si="47">+AR13</f>
        <v>0</v>
      </c>
      <c r="AN39" s="2556">
        <v>0</v>
      </c>
      <c r="AO39" s="1202">
        <f>+IF(AM39&gt;0,AL39*AL26/AM39,0)</f>
        <v>0</v>
      </c>
      <c r="AP39" s="1202">
        <f t="shared" ref="AP39:AP46" si="48">+AO39*(1-AX13)</f>
        <v>0</v>
      </c>
      <c r="AQ39" s="1202">
        <f>+AO39-AP39</f>
        <v>0</v>
      </c>
      <c r="BA39" s="331" t="str">
        <f t="shared" si="16"/>
        <v>Fiche infoA2</v>
      </c>
      <c r="BB39" s="107">
        <f t="shared" si="31"/>
        <v>46378</v>
      </c>
      <c r="BC39" s="170">
        <f>+$D$13+21</f>
        <v>46378</v>
      </c>
      <c r="BD39" s="171" t="str">
        <f t="shared" si="32"/>
        <v/>
      </c>
      <c r="BE39" s="171" t="str">
        <f>+IF(OR(BF39=S.CAL!$BJ$3,BF39=S.CAL!$BJ$4),BD39,"")</f>
        <v/>
      </c>
      <c r="BF39" s="333">
        <f>IF($DY$5=S.CAL!$CU$2,Décembre!AR41,IF($DY$5=S.CAL!$CU$3,VLOOKUP(BC39,planning_fp,7,FALSE),""))</f>
        <v>0</v>
      </c>
      <c r="BG39" s="345" t="str">
        <f>Décembre!BL41</f>
        <v>A</v>
      </c>
      <c r="BH39" s="356"/>
      <c r="BI39" s="358"/>
      <c r="BJ39" s="355"/>
      <c r="BK39" s="355"/>
      <c r="BL39" s="35"/>
      <c r="BM39" s="195"/>
      <c r="BN39" s="19"/>
      <c r="BO39" s="39"/>
      <c r="BP39" s="193"/>
      <c r="BS39" s="95" t="s">
        <v>1450</v>
      </c>
      <c r="BT39" s="194">
        <f>ROUND(SUM(BS28:BS35),2)</f>
        <v>0</v>
      </c>
      <c r="BV39" s="355"/>
      <c r="BW39" s="355"/>
      <c r="BX39" s="371"/>
      <c r="BY39" s="355"/>
      <c r="BZ39" s="355"/>
      <c r="CA39" s="356" t="s">
        <v>1450</v>
      </c>
      <c r="CB39" s="372">
        <f>ROUND(SUM(CA28:CA35),2)</f>
        <v>0</v>
      </c>
      <c r="CD39" s="328"/>
      <c r="CE39" s="107">
        <f t="shared" si="33"/>
        <v>46378</v>
      </c>
      <c r="CF39" s="170">
        <f>+$D$13+21</f>
        <v>46378</v>
      </c>
      <c r="CG39" s="171">
        <f t="shared" si="22"/>
        <v>0</v>
      </c>
      <c r="CH39" s="34"/>
      <c r="DR39" s="16">
        <f>IF(OR(EB39&gt;0,AND(C39&lt;&gt;"",C39&lt;Identification!$B$28),AND(C39&lt;&gt;"",C39&gt;Identification!$B$95,Identification!$B$95&lt;&gt;0)),0,IF(OR(AND(C39&lt;&gt;"",D39&lt;&gt;"",IFERROR(D39-E39=0,0)),(AND(C39&lt;&gt;"",DR38=1,D39=""))),1,0))</f>
        <v>0</v>
      </c>
      <c r="DS39" s="16">
        <f>IF(OR(EB39&gt;0,AND(C39&lt;&gt;"",C39&lt;Identification!$B$28),AND(C39&lt;&gt;"",C39&gt;Identification!$B$95,Identification!$B$95&lt;&gt;0)),0,IF(OR(AND(C39&lt;&gt;"",D39&lt;&gt;"",IFERROR(D39-E39=0,0)),(AND(C39&lt;&gt;"",DS40=1,D39=""))),1,0))</f>
        <v>0</v>
      </c>
      <c r="DT39" s="16">
        <f t="shared" si="23"/>
        <v>0</v>
      </c>
      <c r="DU39" s="16">
        <f>IF(OR(EB39&gt;0,AND(C39&lt;&gt;"",C39&lt;Identification!$B$28),AND(C39&lt;&gt;"",C39&gt;Identification!$B$95,Identification!$B$95&lt;&gt;0)),0,IF(OR(AND(C39&lt;&gt;"",D39&lt;&gt;"",IFERROR(D39-E39=0,0))),1,0))</f>
        <v>0</v>
      </c>
      <c r="DV39" s="16">
        <f>IF(OR(EB39&gt;0,AND(C39&lt;&gt;"",C39&lt;Identification!$B$28),AND(C39&lt;&gt;"",C39&gt;Identification!$B$95,Identification!$B$95&lt;&gt;0)),0,IF(OR(AND(C39&lt;&gt;"",D39&lt;&gt;"",IFERROR(D39-E39=0,0))),1,0))</f>
        <v>0</v>
      </c>
      <c r="DW39" s="16">
        <f t="shared" si="24"/>
        <v>0</v>
      </c>
      <c r="DY39" s="16">
        <f>IF(+Décembre!AG41="",0,Décembre!AG41)</f>
        <v>0</v>
      </c>
      <c r="DZ39" s="16">
        <f>+IF(Décembre!AJ41="",0,Décembre!AJ41)</f>
        <v>0</v>
      </c>
      <c r="EA39" s="16">
        <f>+IF(Décembre!AM41="",0,Décembre!AM41)</f>
        <v>0</v>
      </c>
      <c r="EB39" s="16">
        <f t="shared" si="25"/>
        <v>0</v>
      </c>
      <c r="ED39" s="16">
        <f t="shared" si="26"/>
        <v>0</v>
      </c>
      <c r="EE39" s="16">
        <f t="shared" si="17"/>
        <v>0</v>
      </c>
      <c r="EF39" s="30" t="str">
        <f t="shared" si="18"/>
        <v/>
      </c>
      <c r="EG39" s="30" t="str">
        <f t="shared" si="27"/>
        <v/>
      </c>
      <c r="EH39" s="16">
        <f t="shared" si="28"/>
        <v>0</v>
      </c>
      <c r="EI39" s="30"/>
      <c r="EJ39" s="30">
        <f t="shared" si="19"/>
        <v>46378</v>
      </c>
      <c r="EM39" s="16" t="str">
        <f t="shared" si="29"/>
        <v>Fiche infoA246378</v>
      </c>
      <c r="EN39" s="16">
        <f t="shared" si="20"/>
        <v>0</v>
      </c>
      <c r="EQ39" s="16" t="str">
        <f>Décembre!FS41</f>
        <v/>
      </c>
    </row>
    <row r="40" spans="1:147" ht="18" customHeight="1" x14ac:dyDescent="0.2">
      <c r="A40" s="24" t="str">
        <f>+Décembre!BJ42</f>
        <v>Fiche infoA3</v>
      </c>
      <c r="B40" s="107">
        <f t="shared" si="30"/>
        <v>46379</v>
      </c>
      <c r="C40" s="170">
        <f>+$D$13+22</f>
        <v>46379</v>
      </c>
      <c r="D40" s="171" t="str">
        <f>IF(AND(EQ40&lt;&gt;"",$DZ$5=S.CAL!$CU$2),EQ40,IF(IFERROR(IF($DY$5=S.CAL!$CU$3,ROUND(EN40,2),ROUND(EQ40,2)),"")&lt;&gt;0,IFERROR(IF($DY$5=S.CAL!$CU$3,ROUND(EN40,2),ROUND(EQ40,2)),""),""))</f>
        <v/>
      </c>
      <c r="E40" s="171" t="str">
        <f>IFERROR(+IF(AND(F40="",$DY$5=S.CAL!$CU$2,J40="OUI"),IFERROR(ROUND(I40,2),""),IF(AND(F40="",$DY$5=S.CAL!$CU$3,L40="oui"),ROUND(K40,2),IF(F40="","",ROUND(F40,2)))),"")</f>
        <v/>
      </c>
      <c r="F40" s="954"/>
      <c r="G40" s="990"/>
      <c r="H40" s="27" t="str">
        <f t="shared" si="14"/>
        <v>A</v>
      </c>
      <c r="I40" s="34">
        <f>Décembre!BC42</f>
        <v>0</v>
      </c>
      <c r="J40" s="34">
        <f>Décembre!BE42</f>
        <v>0</v>
      </c>
      <c r="K40" s="34">
        <f t="shared" si="15"/>
        <v>0</v>
      </c>
      <c r="L40" s="34" t="str">
        <f t="shared" si="21"/>
        <v/>
      </c>
      <c r="N40" s="377"/>
      <c r="T40" s="1322"/>
      <c r="U40" s="1322"/>
      <c r="V40" s="1322"/>
      <c r="W40" s="1322"/>
      <c r="X40" s="1322"/>
      <c r="Y40" s="1322"/>
      <c r="Z40" s="1322"/>
      <c r="AA40" s="1324" t="str">
        <f>Février!BZ34</f>
        <v>Total :</v>
      </c>
      <c r="AB40" s="1308">
        <f>SUM(AB34:AB39)</f>
        <v>0</v>
      </c>
      <c r="AC40" s="1322"/>
      <c r="AD40" s="1322"/>
      <c r="AE40" s="1322"/>
      <c r="AF40" s="1308">
        <f>SUM(AF34:AF39)</f>
        <v>0</v>
      </c>
      <c r="AJ40" s="1189"/>
      <c r="AK40" s="1189" t="s">
        <v>313</v>
      </c>
      <c r="AL40" s="563">
        <f>+SUMIF(H18:H48,"B",E18:E48)</f>
        <v>0</v>
      </c>
      <c r="AM40" s="1313">
        <f t="shared" si="47"/>
        <v>0</v>
      </c>
      <c r="AN40" s="2556"/>
      <c r="AO40" s="1202">
        <f>+IF(AM40&gt;0,AL40*AL26/AM40,0)</f>
        <v>0</v>
      </c>
      <c r="AP40" s="1202">
        <f t="shared" si="48"/>
        <v>0</v>
      </c>
      <c r="AQ40" s="1202">
        <f t="shared" ref="AQ40:AQ46" si="49">+AO40-AP40</f>
        <v>0</v>
      </c>
      <c r="BA40" s="331" t="str">
        <f t="shared" si="16"/>
        <v>Fiche infoA3</v>
      </c>
      <c r="BB40" s="107">
        <f t="shared" si="31"/>
        <v>46379</v>
      </c>
      <c r="BC40" s="170">
        <f>+$D$13+22</f>
        <v>46379</v>
      </c>
      <c r="BD40" s="171" t="str">
        <f t="shared" si="32"/>
        <v/>
      </c>
      <c r="BE40" s="171" t="str">
        <f>+IF(OR(BF40=S.CAL!$BJ$3,BF40=S.CAL!$BJ$4),BD40,"")</f>
        <v/>
      </c>
      <c r="BF40" s="333">
        <f>IF($DY$5=S.CAL!$CU$2,Décembre!AR42,IF($DY$5=S.CAL!$CU$3,VLOOKUP(BC40,planning_fp,7,FALSE),""))</f>
        <v>0</v>
      </c>
      <c r="BG40" s="345" t="str">
        <f>Décembre!BL42</f>
        <v>A</v>
      </c>
      <c r="BH40" s="355"/>
      <c r="BI40" s="355"/>
      <c r="BJ40" s="355"/>
      <c r="BK40" s="355"/>
      <c r="BL40" s="35"/>
      <c r="BN40" s="19"/>
      <c r="BO40" s="39"/>
      <c r="BP40" s="194"/>
      <c r="BV40" s="355"/>
      <c r="BW40" s="355"/>
      <c r="BX40" s="372"/>
      <c r="BY40" s="355"/>
      <c r="BZ40" s="355"/>
      <c r="CA40" s="355"/>
      <c r="CB40" s="355"/>
      <c r="CD40" s="328"/>
      <c r="CE40" s="107">
        <f t="shared" si="33"/>
        <v>46379</v>
      </c>
      <c r="CF40" s="170">
        <f>+$D$13+22</f>
        <v>46379</v>
      </c>
      <c r="CG40" s="171">
        <f t="shared" si="22"/>
        <v>0</v>
      </c>
      <c r="CH40" s="34"/>
      <c r="DR40" s="16">
        <f>IF(OR(EB40&gt;0,AND(C40&lt;&gt;"",C40&lt;Identification!$B$28),AND(C40&lt;&gt;"",C40&gt;Identification!$B$95,Identification!$B$95&lt;&gt;0)),0,IF(OR(AND(C40&lt;&gt;"",D40&lt;&gt;"",IFERROR(D40-E40=0,0)),(AND(C40&lt;&gt;"",DR39=1,D40=""))),1,0))</f>
        <v>0</v>
      </c>
      <c r="DS40" s="16">
        <f>IF(OR(EB40&gt;0,AND(C40&lt;&gt;"",C40&lt;Identification!$B$28),AND(C40&lt;&gt;"",C40&gt;Identification!$B$95,Identification!$B$95&lt;&gt;0)),0,IF(OR(AND(C40&lt;&gt;"",D40&lt;&gt;"",IFERROR(D40-E40=0,0)),(AND(C40&lt;&gt;"",DS41=1,D40=""))),1,0))</f>
        <v>0</v>
      </c>
      <c r="DT40" s="16">
        <f t="shared" si="23"/>
        <v>0</v>
      </c>
      <c r="DU40" s="16">
        <f>IF(OR(EB40&gt;0,AND(C40&lt;&gt;"",C40&lt;Identification!$B$28),AND(C40&lt;&gt;"",C40&gt;Identification!$B$95,Identification!$B$95&lt;&gt;0)),0,IF(OR(AND(C40&lt;&gt;"",D40&lt;&gt;"",IFERROR(D40-E40=0,0))),1,0))</f>
        <v>0</v>
      </c>
      <c r="DV40" s="16">
        <f>IF(OR(EB40&gt;0,AND(C40&lt;&gt;"",C40&lt;Identification!$B$28),AND(C40&lt;&gt;"",C40&gt;Identification!$B$95,Identification!$B$95&lt;&gt;0)),0,IF(OR(AND(C40&lt;&gt;"",D40&lt;&gt;"",IFERROR(D40-E40=0,0))),1,0))</f>
        <v>0</v>
      </c>
      <c r="DW40" s="16">
        <f t="shared" si="24"/>
        <v>0</v>
      </c>
      <c r="DY40" s="16">
        <f>IF(+Décembre!AG42="",0,Décembre!AG42)</f>
        <v>0</v>
      </c>
      <c r="DZ40" s="16">
        <f>+IF(Décembre!AJ42="",0,Décembre!AJ42)</f>
        <v>0</v>
      </c>
      <c r="EA40" s="16">
        <f>+IF(Décembre!AM42="",0,Décembre!AM42)</f>
        <v>0</v>
      </c>
      <c r="EB40" s="16">
        <f t="shared" si="25"/>
        <v>0</v>
      </c>
      <c r="ED40" s="16">
        <f t="shared" si="26"/>
        <v>0</v>
      </c>
      <c r="EE40" s="16">
        <f t="shared" si="17"/>
        <v>0</v>
      </c>
      <c r="EF40" s="30" t="str">
        <f t="shared" si="18"/>
        <v/>
      </c>
      <c r="EG40" s="30" t="str">
        <f t="shared" si="27"/>
        <v/>
      </c>
      <c r="EH40" s="16">
        <f t="shared" si="28"/>
        <v>0</v>
      </c>
      <c r="EI40" s="30"/>
      <c r="EJ40" s="30">
        <f t="shared" si="19"/>
        <v>46379</v>
      </c>
      <c r="EM40" s="16" t="str">
        <f t="shared" si="29"/>
        <v>Fiche infoA346379</v>
      </c>
      <c r="EN40" s="16">
        <f t="shared" si="20"/>
        <v>0</v>
      </c>
      <c r="EQ40" s="16" t="str">
        <f>Décembre!FS42</f>
        <v/>
      </c>
    </row>
    <row r="41" spans="1:147" ht="18" customHeight="1" x14ac:dyDescent="0.2">
      <c r="A41" s="24" t="str">
        <f>+Décembre!BJ43</f>
        <v>Fiche infoA4</v>
      </c>
      <c r="B41" s="107">
        <f t="shared" si="30"/>
        <v>46380</v>
      </c>
      <c r="C41" s="170">
        <f>+$D$13+23</f>
        <v>46380</v>
      </c>
      <c r="D41" s="171" t="str">
        <f>IF(AND(EQ41&lt;&gt;"",$DZ$5=S.CAL!$CU$2),EQ41,IF(IFERROR(IF($DY$5=S.CAL!$CU$3,ROUND(EN41,2),ROUND(EQ41,2)),"")&lt;&gt;0,IFERROR(IF($DY$5=S.CAL!$CU$3,ROUND(EN41,2),ROUND(EQ41,2)),""),""))</f>
        <v/>
      </c>
      <c r="E41" s="171" t="str">
        <f>IFERROR(+IF(AND(F41="",$DY$5=S.CAL!$CU$2,J41="OUI"),IFERROR(ROUND(I41,2),""),IF(AND(F41="",$DY$5=S.CAL!$CU$3,L41="oui"),ROUND(K41,2),IF(F41="","",ROUND(F41,2)))),"")</f>
        <v/>
      </c>
      <c r="F41" s="954"/>
      <c r="G41" s="990"/>
      <c r="H41" s="27" t="str">
        <f t="shared" si="14"/>
        <v>A</v>
      </c>
      <c r="I41" s="34">
        <f>Décembre!BC43</f>
        <v>0</v>
      </c>
      <c r="J41" s="34">
        <f>Décembre!BE43</f>
        <v>0</v>
      </c>
      <c r="K41" s="34">
        <f t="shared" si="15"/>
        <v>0</v>
      </c>
      <c r="L41" s="34" t="str">
        <f t="shared" si="21"/>
        <v/>
      </c>
      <c r="N41" s="377"/>
      <c r="O41" s="859" t="str">
        <f>+IF(ED1=S.CAL!EP1,"Nbre d'heures (&lt; ou = à 45 hrs / sem) à déduire :","Nbre d'heures (&lt; ou = à 45 hrs / sem) mensualisées à déduire :")</f>
        <v>Nbre d'heures (&lt; ou = à 45 hrs / sem) à déduire :</v>
      </c>
      <c r="P41" s="860"/>
      <c r="Q41" s="860"/>
      <c r="R41" s="859"/>
      <c r="AJ41" s="1189"/>
      <c r="AK41" s="1189" t="s">
        <v>314</v>
      </c>
      <c r="AL41" s="563">
        <f>+SUMIF(H18:H48,"C",E18:E48)</f>
        <v>0</v>
      </c>
      <c r="AM41" s="1313">
        <f t="shared" si="47"/>
        <v>0</v>
      </c>
      <c r="AN41" s="2556"/>
      <c r="AO41" s="1202">
        <f>+IF(AM41&gt;0,AL41*AL26/AM41,0)</f>
        <v>0</v>
      </c>
      <c r="AP41" s="1202">
        <f t="shared" si="48"/>
        <v>0</v>
      </c>
      <c r="AQ41" s="1202">
        <f t="shared" si="49"/>
        <v>0</v>
      </c>
      <c r="BA41" s="331" t="str">
        <f t="shared" si="16"/>
        <v>Fiche infoA4</v>
      </c>
      <c r="BB41" s="107">
        <f t="shared" si="31"/>
        <v>46380</v>
      </c>
      <c r="BC41" s="170">
        <f>+$D$13+23</f>
        <v>46380</v>
      </c>
      <c r="BD41" s="171" t="str">
        <f t="shared" si="32"/>
        <v/>
      </c>
      <c r="BE41" s="171" t="str">
        <f>+IF(OR(BF41=S.CAL!$BJ$3,BF41=S.CAL!$BJ$4),BD41,"")</f>
        <v/>
      </c>
      <c r="BF41" s="333">
        <f>IF($DY$5=S.CAL!$CU$2,Décembre!AR43,IF($DY$5=S.CAL!$CU$3,VLOOKUP(BC41,planning_fp,7,FALSE),""))</f>
        <v>0</v>
      </c>
      <c r="BG41" s="345" t="str">
        <f>Décembre!BL43</f>
        <v>A</v>
      </c>
      <c r="BH41" s="355"/>
      <c r="BI41" s="355"/>
      <c r="BJ41" s="355"/>
      <c r="BK41" s="355"/>
      <c r="BL41" s="35"/>
      <c r="BS41" s="29" t="s">
        <v>833</v>
      </c>
      <c r="BT41" s="194">
        <f>ROUND(SUM(BT28:BT35),2)</f>
        <v>0</v>
      </c>
      <c r="BV41" s="355"/>
      <c r="BW41" s="355"/>
      <c r="BX41" s="355"/>
      <c r="BY41" s="355"/>
      <c r="BZ41" s="355"/>
      <c r="CA41" s="356" t="s">
        <v>833</v>
      </c>
      <c r="CB41" s="372">
        <f>ROUND(SUM(CB28:CB35),2)</f>
        <v>0</v>
      </c>
      <c r="CD41" s="328"/>
      <c r="CE41" s="107">
        <f t="shared" si="33"/>
        <v>46380</v>
      </c>
      <c r="CF41" s="170">
        <f>+$D$13+23</f>
        <v>46380</v>
      </c>
      <c r="CG41" s="171">
        <f t="shared" si="22"/>
        <v>0</v>
      </c>
      <c r="CH41" s="34"/>
      <c r="DR41" s="16">
        <f>IF(OR(EB41&gt;0,AND(C41&lt;&gt;"",C41&lt;Identification!$B$28),AND(C41&lt;&gt;"",C41&gt;Identification!$B$95,Identification!$B$95&lt;&gt;0)),0,IF(OR(AND(C41&lt;&gt;"",D41&lt;&gt;"",IFERROR(D41-E41=0,0)),(AND(C41&lt;&gt;"",DR40=1,D41=""))),1,0))</f>
        <v>0</v>
      </c>
      <c r="DS41" s="16">
        <f>IF(OR(EB41&gt;0,AND(C41&lt;&gt;"",C41&lt;Identification!$B$28),AND(C41&lt;&gt;"",C41&gt;Identification!$B$95,Identification!$B$95&lt;&gt;0)),0,IF(OR(AND(C41&lt;&gt;"",D41&lt;&gt;"",IFERROR(D41-E41=0,0)),(AND(C41&lt;&gt;"",DS42=1,D41=""))),1,0))</f>
        <v>0</v>
      </c>
      <c r="DT41" s="16">
        <f t="shared" si="23"/>
        <v>0</v>
      </c>
      <c r="DU41" s="16">
        <f>IF(OR(EB41&gt;0,AND(C41&lt;&gt;"",C41&lt;Identification!$B$28),AND(C41&lt;&gt;"",C41&gt;Identification!$B$95,Identification!$B$95&lt;&gt;0)),0,IF(OR(AND(C41&lt;&gt;"",D41&lt;&gt;"",IFERROR(D41-E41=0,0))),1,0))</f>
        <v>0</v>
      </c>
      <c r="DV41" s="16">
        <f>IF(OR(EB41&gt;0,AND(C41&lt;&gt;"",C41&lt;Identification!$B$28),AND(C41&lt;&gt;"",C41&gt;Identification!$B$95,Identification!$B$95&lt;&gt;0)),0,IF(OR(AND(C41&lt;&gt;"",D41&lt;&gt;"",IFERROR(D41-E41=0,0))),1,0))</f>
        <v>0</v>
      </c>
      <c r="DW41" s="16">
        <f t="shared" si="24"/>
        <v>0</v>
      </c>
      <c r="DY41" s="16">
        <f>IF(+Décembre!AG43="",0,Décembre!AG43)</f>
        <v>0</v>
      </c>
      <c r="DZ41" s="16">
        <f>+IF(Décembre!AJ43="",0,Décembre!AJ43)</f>
        <v>0</v>
      </c>
      <c r="EA41" s="16">
        <f>+IF(Décembre!AM43="",0,Décembre!AM43)</f>
        <v>0</v>
      </c>
      <c r="EB41" s="16">
        <f t="shared" si="25"/>
        <v>0</v>
      </c>
      <c r="ED41" s="16">
        <f t="shared" si="26"/>
        <v>0</v>
      </c>
      <c r="EE41" s="16">
        <f t="shared" si="17"/>
        <v>0</v>
      </c>
      <c r="EF41" s="30" t="str">
        <f t="shared" si="18"/>
        <v/>
      </c>
      <c r="EG41" s="30" t="str">
        <f t="shared" si="27"/>
        <v/>
      </c>
      <c r="EH41" s="16">
        <f t="shared" si="28"/>
        <v>0</v>
      </c>
      <c r="EI41" s="30"/>
      <c r="EJ41" s="30">
        <f t="shared" si="19"/>
        <v>46380</v>
      </c>
      <c r="EM41" s="16" t="str">
        <f t="shared" si="29"/>
        <v>Fiche infoA446380</v>
      </c>
      <c r="EN41" s="16">
        <f t="shared" si="20"/>
        <v>0</v>
      </c>
      <c r="EQ41" s="16" t="str">
        <f>Décembre!FS43</f>
        <v/>
      </c>
    </row>
    <row r="42" spans="1:147" ht="18" customHeight="1" x14ac:dyDescent="0.2">
      <c r="A42" s="24" t="str">
        <f>+Décembre!BJ44</f>
        <v>Fiche infoA5</v>
      </c>
      <c r="B42" s="107">
        <f t="shared" si="30"/>
        <v>46381</v>
      </c>
      <c r="C42" s="170">
        <f>+$D$13+24</f>
        <v>46381</v>
      </c>
      <c r="D42" s="171" t="str">
        <f>IF(AND(EQ42&lt;&gt;"",$DZ$5=S.CAL!$CU$2),EQ42,IF(IFERROR(IF($DY$5=S.CAL!$CU$3,ROUND(EN42,2),ROUND(EQ42,2)),"")&lt;&gt;0,IFERROR(IF($DY$5=S.CAL!$CU$3,ROUND(EN42,2),ROUND(EQ42,2)),""),""))</f>
        <v/>
      </c>
      <c r="E42" s="171" t="str">
        <f>IFERROR(+IF(AND(F42="",$DY$5=S.CAL!$CU$2,J42="OUI"),IFERROR(ROUND(I42,2),""),IF(AND(F42="",$DY$5=S.CAL!$CU$3,L42="oui"),ROUND(K42,2),IF(F42="","",ROUND(F42,2)))),"")</f>
        <v/>
      </c>
      <c r="F42" s="954"/>
      <c r="G42" s="990"/>
      <c r="H42" s="27" t="str">
        <f t="shared" si="14"/>
        <v>A</v>
      </c>
      <c r="I42" s="34">
        <f>Décembre!BC44</f>
        <v>0</v>
      </c>
      <c r="J42" s="34">
        <f>Décembre!BE44</f>
        <v>0</v>
      </c>
      <c r="K42" s="34">
        <f t="shared" si="15"/>
        <v>0</v>
      </c>
      <c r="L42" s="34" t="str">
        <f t="shared" si="21"/>
        <v/>
      </c>
      <c r="N42" s="377"/>
      <c r="P42" s="29" t="e">
        <f>+IF(ED1=S.CAL!EP1,+E50&amp;" hrs x "&amp;Q39&amp;" =",E10&amp;" hrs X "&amp;E50&amp;" hrs / "&amp;D50&amp;" hrs =")</f>
        <v>#DIV/0!</v>
      </c>
      <c r="Q42" s="673" t="e">
        <f>+IF(ED1=S.CAL!EP1,+ROUND(E50*Q39,2),ROUND(E10*E50/D50,3))</f>
        <v>#DIV/0!</v>
      </c>
      <c r="AB42" s="1189" t="s">
        <v>1232</v>
      </c>
      <c r="AC42" s="1308">
        <f>+SUMIF(AG34:AG39,Décembre!CB35,'Retenue Déc'!AC34:AC39)</f>
        <v>0</v>
      </c>
      <c r="AJ42" s="1189"/>
      <c r="AK42" s="1189" t="s">
        <v>315</v>
      </c>
      <c r="AL42" s="563">
        <f>+SUMIF(H18:H48,"D",E18:E48)</f>
        <v>0</v>
      </c>
      <c r="AM42" s="1313">
        <f t="shared" si="47"/>
        <v>0</v>
      </c>
      <c r="AN42" s="2556"/>
      <c r="AO42" s="1202">
        <f>+IF(AM42&gt;0,AL42*AL26/AM42,0)</f>
        <v>0</v>
      </c>
      <c r="AP42" s="1202">
        <f t="shared" si="48"/>
        <v>0</v>
      </c>
      <c r="AQ42" s="1202">
        <f t="shared" si="49"/>
        <v>0</v>
      </c>
      <c r="BA42" s="331" t="str">
        <f t="shared" si="16"/>
        <v>Fiche infoA5</v>
      </c>
      <c r="BB42" s="107">
        <f t="shared" si="31"/>
        <v>46381</v>
      </c>
      <c r="BC42" s="170">
        <f>+$D$13+24</f>
        <v>46381</v>
      </c>
      <c r="BD42" s="171" t="str">
        <f t="shared" si="32"/>
        <v/>
      </c>
      <c r="BE42" s="171" t="str">
        <f>+IF(OR(BF42=S.CAL!$BJ$3,BF42=S.CAL!$BJ$4),BD42,"")</f>
        <v/>
      </c>
      <c r="BF42" s="333">
        <f>IF($DY$5=S.CAL!$CU$2,Décembre!AR44,IF($DY$5=S.CAL!$CU$3,VLOOKUP(BC42,planning_fp,7,FALSE),""))</f>
        <v>0</v>
      </c>
      <c r="BG42" s="345" t="str">
        <f>Décembre!BL44</f>
        <v>A</v>
      </c>
      <c r="BH42" s="356"/>
      <c r="BI42" s="358"/>
      <c r="BJ42" s="355"/>
      <c r="BK42" s="355"/>
      <c r="BL42" s="35"/>
      <c r="BV42" s="355"/>
      <c r="BW42" s="355"/>
      <c r="BX42" s="355"/>
      <c r="BY42" s="355"/>
      <c r="BZ42" s="355"/>
      <c r="CA42" s="355"/>
      <c r="CB42" s="355"/>
      <c r="CD42" s="328"/>
      <c r="CE42" s="107">
        <f t="shared" si="33"/>
        <v>46381</v>
      </c>
      <c r="CF42" s="170">
        <f>+$D$13+24</f>
        <v>46381</v>
      </c>
      <c r="CG42" s="171">
        <f t="shared" si="22"/>
        <v>0</v>
      </c>
      <c r="CH42" s="34"/>
      <c r="DR42" s="16">
        <f>IF(OR(EB42&gt;0,AND(C42&lt;&gt;"",C42&lt;Identification!$B$28),AND(C42&lt;&gt;"",C42&gt;Identification!$B$95,Identification!$B$95&lt;&gt;0)),0,IF(OR(AND(C42&lt;&gt;"",D42&lt;&gt;"",IFERROR(D42-E42=0,0)),(AND(C42&lt;&gt;"",DR41=1,D42=""))),1,0))</f>
        <v>0</v>
      </c>
      <c r="DS42" s="16">
        <f>IF(OR(EB42&gt;0,AND(C42&lt;&gt;"",C42&lt;Identification!$B$28),AND(C42&lt;&gt;"",C42&gt;Identification!$B$95,Identification!$B$95&lt;&gt;0)),0,IF(OR(AND(C42&lt;&gt;"",D42&lt;&gt;"",IFERROR(D42-E42=0,0)),(AND(C42&lt;&gt;"",DS43=1,D42=""))),1,0))</f>
        <v>0</v>
      </c>
      <c r="DT42" s="16">
        <f t="shared" si="23"/>
        <v>0</v>
      </c>
      <c r="DU42" s="16">
        <f>IF(OR(EB42&gt;0,AND(C42&lt;&gt;"",C42&lt;Identification!$B$28),AND(C42&lt;&gt;"",C42&gt;Identification!$B$95,Identification!$B$95&lt;&gt;0)),0,IF(OR(AND(C42&lt;&gt;"",D42&lt;&gt;"",IFERROR(D42-E42=0,0))),1,0))</f>
        <v>0</v>
      </c>
      <c r="DV42" s="16">
        <f>IF(OR(EB42&gt;0,AND(C42&lt;&gt;"",C42&lt;Identification!$B$28),AND(C42&lt;&gt;"",C42&gt;Identification!$B$95,Identification!$B$95&lt;&gt;0)),0,IF(OR(AND(C42&lt;&gt;"",D42&lt;&gt;"",IFERROR(D42-E42=0,0))),1,0))</f>
        <v>0</v>
      </c>
      <c r="DW42" s="16">
        <f t="shared" si="24"/>
        <v>0</v>
      </c>
      <c r="DY42" s="16">
        <f>IF(+Décembre!AG44="",0,Décembre!AG44)</f>
        <v>0</v>
      </c>
      <c r="DZ42" s="16">
        <f>+IF(Décembre!AJ44="",0,Décembre!AJ44)</f>
        <v>0</v>
      </c>
      <c r="EA42" s="16">
        <f>+IF(Décembre!AM44="",0,Décembre!AM44)</f>
        <v>0</v>
      </c>
      <c r="EB42" s="16">
        <f t="shared" si="25"/>
        <v>0</v>
      </c>
      <c r="ED42" s="16">
        <f t="shared" si="26"/>
        <v>0</v>
      </c>
      <c r="EE42" s="16">
        <f t="shared" si="17"/>
        <v>0</v>
      </c>
      <c r="EF42" s="30" t="str">
        <f t="shared" si="18"/>
        <v/>
      </c>
      <c r="EG42" s="30" t="str">
        <f t="shared" si="27"/>
        <v/>
      </c>
      <c r="EH42" s="16">
        <f t="shared" si="28"/>
        <v>0</v>
      </c>
      <c r="EI42" s="30"/>
      <c r="EJ42" s="30">
        <f t="shared" si="19"/>
        <v>46381</v>
      </c>
      <c r="EM42" s="16" t="str">
        <f t="shared" si="29"/>
        <v>Fiche infoA546381</v>
      </c>
      <c r="EN42" s="16">
        <f t="shared" si="20"/>
        <v>0</v>
      </c>
      <c r="EQ42" s="16" t="str">
        <f>Décembre!FS44</f>
        <v/>
      </c>
    </row>
    <row r="43" spans="1:147" ht="18" customHeight="1" x14ac:dyDescent="0.2">
      <c r="A43" s="24" t="str">
        <f>+Décembre!BJ45</f>
        <v>Fiche infoA6</v>
      </c>
      <c r="B43" s="107">
        <f t="shared" si="30"/>
        <v>46382</v>
      </c>
      <c r="C43" s="170">
        <f>+$D$13+25</f>
        <v>46382</v>
      </c>
      <c r="D43" s="171" t="str">
        <f>IF(AND(EQ43&lt;&gt;"",$DZ$5=S.CAL!$CU$2),EQ43,IF(IFERROR(IF($DY$5=S.CAL!$CU$3,ROUND(EN43,2),ROUND(EQ43,2)),"")&lt;&gt;0,IFERROR(IF($DY$5=S.CAL!$CU$3,ROUND(EN43,2),ROUND(EQ43,2)),""),""))</f>
        <v/>
      </c>
      <c r="E43" s="171" t="str">
        <f>IFERROR(+IF(AND(F43="",$DY$5=S.CAL!$CU$2,J43="OUI"),IFERROR(ROUND(I43,2),""),IF(AND(F43="",$DY$5=S.CAL!$CU$3,L43="oui"),ROUND(K43,2),IF(F43="","",ROUND(F43,2)))),"")</f>
        <v/>
      </c>
      <c r="F43" s="954"/>
      <c r="G43" s="990"/>
      <c r="H43" s="27" t="str">
        <f t="shared" si="14"/>
        <v>A</v>
      </c>
      <c r="I43" s="34">
        <f>Décembre!BC45</f>
        <v>0</v>
      </c>
      <c r="J43" s="34">
        <f>Décembre!BE45</f>
        <v>0</v>
      </c>
      <c r="K43" s="34">
        <f t="shared" si="15"/>
        <v>0</v>
      </c>
      <c r="L43" s="34" t="str">
        <f t="shared" si="21"/>
        <v/>
      </c>
      <c r="N43" s="377"/>
      <c r="O43" s="377"/>
      <c r="P43" s="377"/>
      <c r="Q43" s="377"/>
      <c r="R43" s="377"/>
      <c r="AJ43" s="1189"/>
      <c r="AK43" s="1189" t="s">
        <v>316</v>
      </c>
      <c r="AL43" s="563">
        <f>+SUMIF(H18:H48,"E",E18:E48)</f>
        <v>0</v>
      </c>
      <c r="AM43" s="1313">
        <f t="shared" si="47"/>
        <v>0</v>
      </c>
      <c r="AN43" s="2556"/>
      <c r="AO43" s="1202">
        <f>+IF(AM43&gt;0,AL43*AL26/AM43,0)</f>
        <v>0</v>
      </c>
      <c r="AP43" s="1202">
        <f t="shared" si="48"/>
        <v>0</v>
      </c>
      <c r="AQ43" s="1202">
        <f t="shared" si="49"/>
        <v>0</v>
      </c>
      <c r="BA43" s="331" t="str">
        <f t="shared" si="16"/>
        <v>Fiche infoA6</v>
      </c>
      <c r="BB43" s="107">
        <f t="shared" si="31"/>
        <v>46382</v>
      </c>
      <c r="BC43" s="170">
        <f>+$D$13+25</f>
        <v>46382</v>
      </c>
      <c r="BD43" s="171" t="str">
        <f t="shared" si="32"/>
        <v/>
      </c>
      <c r="BE43" s="171" t="str">
        <f>+IF(OR(BF43=S.CAL!$BJ$3,BF43=S.CAL!$BJ$4),BD43,"")</f>
        <v/>
      </c>
      <c r="BF43" s="333">
        <f>IF($DY$5=S.CAL!$CU$2,Décembre!AR45,IF($DY$5=S.CAL!$CU$3,VLOOKUP(BC43,planning_fp,7,FALSE),""))</f>
        <v>0</v>
      </c>
      <c r="BG43" s="345" t="str">
        <f>Décembre!BL45</f>
        <v>A</v>
      </c>
      <c r="BH43" s="24"/>
      <c r="BI43" s="24" t="s">
        <v>696</v>
      </c>
      <c r="BJ43" s="24"/>
      <c r="BK43" s="355"/>
      <c r="BL43" s="35"/>
      <c r="BV43" s="355"/>
      <c r="BW43" s="355"/>
      <c r="BX43" s="355"/>
      <c r="BY43" s="355"/>
      <c r="BZ43" s="355"/>
      <c r="CA43" s="355"/>
      <c r="CB43" s="355"/>
      <c r="CD43" s="328"/>
      <c r="CE43" s="107">
        <f t="shared" si="33"/>
        <v>46382</v>
      </c>
      <c r="CF43" s="170">
        <f>+$D$13+25</f>
        <v>46382</v>
      </c>
      <c r="CG43" s="171">
        <f t="shared" si="22"/>
        <v>0</v>
      </c>
      <c r="CH43" s="34"/>
      <c r="DR43" s="16">
        <f>IF(OR(EB43&gt;0,AND(C43&lt;&gt;"",C43&lt;Identification!$B$28),AND(C43&lt;&gt;"",C43&gt;Identification!$B$95,Identification!$B$95&lt;&gt;0)),0,IF(OR(AND(C43&lt;&gt;"",D43&lt;&gt;"",IFERROR(D43-E43=0,0)),(AND(C43&lt;&gt;"",DR42=1,D43=""))),1,0))</f>
        <v>0</v>
      </c>
      <c r="DS43" s="16">
        <f>IF(OR(EB43&gt;0,AND(C43&lt;&gt;"",C43&lt;Identification!$B$28),AND(C43&lt;&gt;"",C43&gt;Identification!$B$95,Identification!$B$95&lt;&gt;0)),0,IF(OR(AND(C43&lt;&gt;"",D43&lt;&gt;"",IFERROR(D43-E43=0,0)),(AND(C43&lt;&gt;"",DS44=1,D43=""))),1,0))</f>
        <v>0</v>
      </c>
      <c r="DT43" s="16">
        <f t="shared" si="23"/>
        <v>0</v>
      </c>
      <c r="DU43" s="16">
        <f>IF(OR(EB43&gt;0,AND(C43&lt;&gt;"",C43&lt;Identification!$B$28),AND(C43&lt;&gt;"",C43&gt;Identification!$B$95,Identification!$B$95&lt;&gt;0)),0,IF(OR(AND(C43&lt;&gt;"",D43&lt;&gt;"",IFERROR(D43-E43=0,0))),1,0))</f>
        <v>0</v>
      </c>
      <c r="DV43" s="16">
        <f>IF(OR(EB43&gt;0,AND(C43&lt;&gt;"",C43&lt;Identification!$B$28),AND(C43&lt;&gt;"",C43&gt;Identification!$B$95,Identification!$B$95&lt;&gt;0)),0,IF(OR(AND(C43&lt;&gt;"",D43&lt;&gt;"",IFERROR(D43-E43=0,0))),1,0))</f>
        <v>0</v>
      </c>
      <c r="DW43" s="16">
        <f t="shared" si="24"/>
        <v>0</v>
      </c>
      <c r="DY43" s="16">
        <f>IF(+Décembre!AG45="",0,Décembre!AG45)</f>
        <v>0</v>
      </c>
      <c r="DZ43" s="16">
        <f>+IF(Décembre!AJ45="",0,Décembre!AJ45)</f>
        <v>0</v>
      </c>
      <c r="EA43" s="16">
        <f>+IF(Décembre!AM45="",0,Décembre!AM45)</f>
        <v>0</v>
      </c>
      <c r="EB43" s="16">
        <f t="shared" si="25"/>
        <v>0</v>
      </c>
      <c r="ED43" s="16">
        <f t="shared" si="26"/>
        <v>0</v>
      </c>
      <c r="EE43" s="16">
        <f t="shared" si="17"/>
        <v>0</v>
      </c>
      <c r="EF43" s="30" t="str">
        <f t="shared" si="18"/>
        <v/>
      </c>
      <c r="EG43" s="30" t="str">
        <f t="shared" si="27"/>
        <v/>
      </c>
      <c r="EH43" s="16">
        <f t="shared" si="28"/>
        <v>0</v>
      </c>
      <c r="EI43" s="30"/>
      <c r="EJ43" s="30">
        <f t="shared" si="19"/>
        <v>46382</v>
      </c>
      <c r="EM43" s="16" t="str">
        <f t="shared" si="29"/>
        <v>Fiche infoA646382</v>
      </c>
      <c r="EN43" s="16">
        <f t="shared" si="20"/>
        <v>0</v>
      </c>
      <c r="EQ43" s="16" t="str">
        <f>Décembre!FS45</f>
        <v/>
      </c>
    </row>
    <row r="44" spans="1:147" ht="18" customHeight="1" x14ac:dyDescent="0.25">
      <c r="A44" s="24" t="str">
        <f>+Décembre!BJ46</f>
        <v>Fiche infoA7</v>
      </c>
      <c r="B44" s="107">
        <f t="shared" si="30"/>
        <v>46383</v>
      </c>
      <c r="C44" s="170">
        <f>+$D$13+26</f>
        <v>46383</v>
      </c>
      <c r="D44" s="171" t="str">
        <f>IF(AND(EQ44&lt;&gt;"",$DZ$5=S.CAL!$CU$2),EQ44,IF(IFERROR(IF($DY$5=S.CAL!$CU$3,ROUND(EN44,2),ROUND(EQ44,2)),"")&lt;&gt;0,IFERROR(IF($DY$5=S.CAL!$CU$3,ROUND(EN44,2),ROUND(EQ44,2)),""),""))</f>
        <v/>
      </c>
      <c r="E44" s="171" t="str">
        <f>IFERROR(+IF(AND(F44="",$DY$5=S.CAL!$CU$2,J44="OUI"),IFERROR(ROUND(I44,2),""),IF(AND(F44="",$DY$5=S.CAL!$CU$3,L44="oui"),ROUND(K44,2),IF(F44="","",ROUND(F44,2)))),"")</f>
        <v/>
      </c>
      <c r="F44" s="954"/>
      <c r="G44" s="990"/>
      <c r="H44" s="27" t="str">
        <f t="shared" si="14"/>
        <v>A</v>
      </c>
      <c r="I44" s="34">
        <f>Décembre!BC46</f>
        <v>0</v>
      </c>
      <c r="J44" s="34">
        <f>Décembre!BE46</f>
        <v>0</v>
      </c>
      <c r="K44" s="34">
        <f t="shared" si="15"/>
        <v>0</v>
      </c>
      <c r="L44" s="34" t="str">
        <f t="shared" si="21"/>
        <v/>
      </c>
      <c r="N44" s="377"/>
      <c r="O44" s="857" t="str">
        <f>+IF(ED1=S.CAL!EP1,"Nbre d'heures majorées à déduire :","Nbre d'heures majorées mensualisées à déduire :")</f>
        <v>Nbre d'heures majorées à déduire :</v>
      </c>
      <c r="P44" s="858"/>
      <c r="Q44" s="858"/>
      <c r="R44" s="858"/>
      <c r="Z44" s="1303" t="s">
        <v>1214</v>
      </c>
      <c r="AJ44" s="1189"/>
      <c r="AK44" s="1189" t="s">
        <v>317</v>
      </c>
      <c r="AL44" s="563">
        <f>+SUMIF(H18:H48,"F",E18:E48)</f>
        <v>0</v>
      </c>
      <c r="AM44" s="1313">
        <f t="shared" si="47"/>
        <v>0</v>
      </c>
      <c r="AN44" s="2556"/>
      <c r="AO44" s="1202">
        <f>+IF(AM44&gt;0,AL44*AL26/AM44,0)</f>
        <v>0</v>
      </c>
      <c r="AP44" s="1202">
        <f t="shared" si="48"/>
        <v>0</v>
      </c>
      <c r="AQ44" s="1202">
        <f t="shared" si="49"/>
        <v>0</v>
      </c>
      <c r="BA44" s="331" t="str">
        <f t="shared" si="16"/>
        <v>Fiche infoA7</v>
      </c>
      <c r="BB44" s="107">
        <f t="shared" si="31"/>
        <v>46383</v>
      </c>
      <c r="BC44" s="170">
        <f>+$D$13+26</f>
        <v>46383</v>
      </c>
      <c r="BD44" s="171" t="str">
        <f t="shared" si="32"/>
        <v/>
      </c>
      <c r="BE44" s="171" t="str">
        <f>+IF(OR(BF44=S.CAL!$BJ$3,BF44=S.CAL!$BJ$4),BD44,"")</f>
        <v/>
      </c>
      <c r="BF44" s="333">
        <f>IF($DY$5=S.CAL!$CU$2,Décembre!AR46,IF($DY$5=S.CAL!$CU$3,VLOOKUP(BC44,planning_fp,7,FALSE),""))</f>
        <v>0</v>
      </c>
      <c r="BG44" s="345" t="str">
        <f>Décembre!BL46</f>
        <v>A</v>
      </c>
      <c r="BH44" s="24" t="s">
        <v>788</v>
      </c>
      <c r="BI44" s="24"/>
      <c r="BJ44" s="24"/>
      <c r="BK44" s="355"/>
      <c r="BL44" s="35"/>
      <c r="BV44" s="355"/>
      <c r="BW44" s="355"/>
      <c r="BX44" s="355"/>
      <c r="BY44" s="355"/>
      <c r="BZ44" s="355"/>
      <c r="CA44" s="355"/>
      <c r="CB44" s="355"/>
      <c r="CD44" s="328"/>
      <c r="CE44" s="107">
        <f t="shared" si="33"/>
        <v>46383</v>
      </c>
      <c r="CF44" s="170">
        <f>+$D$13+26</f>
        <v>46383</v>
      </c>
      <c r="CG44" s="171">
        <f t="shared" si="22"/>
        <v>0</v>
      </c>
      <c r="CH44" s="34"/>
      <c r="CL44" s="99" t="str">
        <f t="shared" ref="CL44" si="50">Z44</f>
        <v>Heures réelles</v>
      </c>
      <c r="CO44" s="882"/>
      <c r="CP44" s="882"/>
      <c r="CQ44" s="882"/>
      <c r="CR44" s="16"/>
      <c r="DR44" s="16">
        <f>IF(OR(EB44&gt;0,AND(C44&lt;&gt;"",C44&lt;Identification!$B$28),AND(C44&lt;&gt;"",C44&gt;Identification!$B$95,Identification!$B$95&lt;&gt;0)),0,IF(OR(AND(C44&lt;&gt;"",D44&lt;&gt;"",IFERROR(D44-E44=0,0)),(AND(C44&lt;&gt;"",DR43=1,D44=""))),1,0))</f>
        <v>0</v>
      </c>
      <c r="DS44" s="16">
        <f>IF(OR(EB44&gt;0,AND(C44&lt;&gt;"",C44&lt;Identification!$B$28),AND(C44&lt;&gt;"",C44&gt;Identification!$B$95,Identification!$B$95&lt;&gt;0)),0,IF(OR(AND(C44&lt;&gt;"",D44&lt;&gt;"",IFERROR(D44-E44=0,0)),(AND(C44&lt;&gt;"",DS45=1,D44=""))),1,0))</f>
        <v>0</v>
      </c>
      <c r="DT44" s="16">
        <f t="shared" si="23"/>
        <v>0</v>
      </c>
      <c r="DU44" s="16">
        <f>IF(OR(EB44&gt;0,AND(C44&lt;&gt;"",C44&lt;Identification!$B$28),AND(C44&lt;&gt;"",C44&gt;Identification!$B$95,Identification!$B$95&lt;&gt;0)),0,IF(OR(AND(C44&lt;&gt;"",D44&lt;&gt;"",IFERROR(D44-E44=0,0))),1,0))</f>
        <v>0</v>
      </c>
      <c r="DV44" s="16">
        <f>IF(OR(EB44&gt;0,AND(C44&lt;&gt;"",C44&lt;Identification!$B$28),AND(C44&lt;&gt;"",C44&gt;Identification!$B$95,Identification!$B$95&lt;&gt;0)),0,IF(OR(AND(C44&lt;&gt;"",D44&lt;&gt;"",IFERROR(D44-E44=0,0))),1,0))</f>
        <v>0</v>
      </c>
      <c r="DW44" s="16">
        <f t="shared" si="24"/>
        <v>0</v>
      </c>
      <c r="DY44" s="16">
        <f>IF(+Décembre!AG46="",0,Décembre!AG46)</f>
        <v>0</v>
      </c>
      <c r="DZ44" s="16">
        <f>+IF(Décembre!AJ46="",0,Décembre!AJ46)</f>
        <v>0</v>
      </c>
      <c r="EA44" s="16">
        <f>+IF(Décembre!AM46="",0,Décembre!AM46)</f>
        <v>0</v>
      </c>
      <c r="EB44" s="16">
        <f t="shared" si="25"/>
        <v>0</v>
      </c>
      <c r="ED44" s="16">
        <f t="shared" si="26"/>
        <v>0</v>
      </c>
      <c r="EE44" s="16">
        <f t="shared" si="17"/>
        <v>0</v>
      </c>
      <c r="EF44" s="30" t="str">
        <f t="shared" si="18"/>
        <v/>
      </c>
      <c r="EG44" s="30" t="str">
        <f t="shared" si="27"/>
        <v/>
      </c>
      <c r="EH44" s="16">
        <f t="shared" si="28"/>
        <v>0</v>
      </c>
      <c r="EI44" s="30"/>
      <c r="EJ44" s="30">
        <f t="shared" si="19"/>
        <v>46383</v>
      </c>
      <c r="EM44" s="16" t="str">
        <f t="shared" si="29"/>
        <v>Fiche infoA746383</v>
      </c>
      <c r="EN44" s="16">
        <f t="shared" si="20"/>
        <v>0</v>
      </c>
      <c r="EQ44" s="16" t="str">
        <f>Décembre!FS46</f>
        <v/>
      </c>
    </row>
    <row r="45" spans="1:147" ht="18" customHeight="1" x14ac:dyDescent="0.2">
      <c r="A45" s="24" t="str">
        <f>+Décembre!BJ47</f>
        <v>Fiche infoA1</v>
      </c>
      <c r="B45" s="107">
        <f t="shared" si="30"/>
        <v>46384</v>
      </c>
      <c r="C45" s="170">
        <f>IF(C$18+27&lt;DATE(YEAR(O$13),MONTH(O$13),DAY(O$13)),C$18+27,"")</f>
        <v>46384</v>
      </c>
      <c r="D45" s="171" t="str">
        <f>IF(AND(EQ45&lt;&gt;"",$DZ$5=S.CAL!$CU$2),EQ45,IF(IFERROR(IF($DY$5=S.CAL!$CU$3,ROUND(EN45,2),ROUND(EQ45,2)),"")&lt;&gt;0,IFERROR(IF($DY$5=S.CAL!$CU$3,ROUND(EN45,2),ROUND(EQ45,2)),""),""))</f>
        <v/>
      </c>
      <c r="E45" s="171" t="str">
        <f>IFERROR(+IF(AND(F45="",$DY$5=S.CAL!$CU$2,J45="OUI"),IFERROR(ROUND(I45,2),""),IF(AND(F45="",$DY$5=S.CAL!$CU$3,L45="oui"),ROUND(K45,2),IF(F45="","",ROUND(F45,2)))),"")</f>
        <v/>
      </c>
      <c r="F45" s="954"/>
      <c r="G45" s="990"/>
      <c r="H45" s="27" t="str">
        <f t="shared" si="14"/>
        <v>A</v>
      </c>
      <c r="I45" s="34">
        <f>Décembre!BC47</f>
        <v>0</v>
      </c>
      <c r="J45" s="34">
        <f>Décembre!BE47</f>
        <v>0</v>
      </c>
      <c r="K45" s="34">
        <f t="shared" si="15"/>
        <v>0</v>
      </c>
      <c r="L45" s="34" t="str">
        <f t="shared" si="21"/>
        <v/>
      </c>
      <c r="N45" s="377"/>
      <c r="P45" s="29" t="e">
        <f>+IF(ED1=S.CAL!EP1,+E50&amp;" hrs x "&amp;Q36&amp;" =",E11&amp;" hrs X "&amp;E50&amp;" hrs / "&amp;D50&amp;" hrs =")</f>
        <v>#DIV/0!</v>
      </c>
      <c r="Q45" s="673" t="e">
        <f>++IF(ED1=S.CAL!EP1,ROUND(E50*Q36,2),ROUND(E11*E50/D50,3))</f>
        <v>#DIV/0!</v>
      </c>
      <c r="R45" s="377"/>
      <c r="AJ45" s="1189"/>
      <c r="AK45" s="1189" t="s">
        <v>318</v>
      </c>
      <c r="AL45" s="563">
        <f>+SUMIF(H18:H48,"G",E18:E48)</f>
        <v>0</v>
      </c>
      <c r="AM45" s="1313">
        <f t="shared" si="47"/>
        <v>0</v>
      </c>
      <c r="AN45" s="2556"/>
      <c r="AO45" s="1202">
        <f>+IF(AM45&gt;0,AL45*AL26/AM45,0)</f>
        <v>0</v>
      </c>
      <c r="AP45" s="1202">
        <f t="shared" si="48"/>
        <v>0</v>
      </c>
      <c r="AQ45" s="1202">
        <f t="shared" si="49"/>
        <v>0</v>
      </c>
      <c r="BA45" s="331" t="str">
        <f t="shared" si="16"/>
        <v>Fiche infoA1</v>
      </c>
      <c r="BB45" s="107">
        <f t="shared" si="31"/>
        <v>46384</v>
      </c>
      <c r="BC45" s="170">
        <f>IF(BC$18+27&lt;DATE(YEAR(BH$13),MONTH(BH$13),DAY(BH$13)),BC$18+27,"")</f>
        <v>46384</v>
      </c>
      <c r="BD45" s="171" t="str">
        <f t="shared" si="32"/>
        <v/>
      </c>
      <c r="BE45" s="171" t="str">
        <f>+IF(OR(BF45=S.CAL!$BJ$3,BF45=S.CAL!$BJ$4),BD45,"")</f>
        <v/>
      </c>
      <c r="BF45" s="333">
        <f>IF($DY$5=S.CAL!$CU$2,Décembre!AR47,IF($DY$5=S.CAL!$CU$3,VLOOKUP(BC45,planning_fp,7,FALSE),""))</f>
        <v>0</v>
      </c>
      <c r="BG45" s="345" t="str">
        <f>Décembre!BL47</f>
        <v>A</v>
      </c>
      <c r="BH45" s="2557" t="str">
        <f>+ROUND(BE10,2)&amp;" X "&amp;BF52&amp;" / 26 ="</f>
        <v>0 X 0 / 26 =</v>
      </c>
      <c r="BI45" s="2558"/>
      <c r="BJ45" s="1339">
        <f>+BE10*BF52/26</f>
        <v>0</v>
      </c>
      <c r="BK45" s="355"/>
      <c r="BL45" s="35"/>
      <c r="BQ45" s="16" t="s">
        <v>1451</v>
      </c>
      <c r="BV45" s="355"/>
      <c r="BW45" s="355"/>
      <c r="BX45" s="355" t="s">
        <v>1451</v>
      </c>
      <c r="BZ45" s="355"/>
      <c r="CA45" s="355"/>
      <c r="CB45" s="355"/>
      <c r="CD45" s="328"/>
      <c r="CE45" s="107">
        <f t="shared" si="33"/>
        <v>46384</v>
      </c>
      <c r="CF45" s="170">
        <f>IF(CF$18+27&lt;DATE(YEAR(CQ$13),MONTH(CQ$13),DAY(CQ$13)),CF$18+27,"")</f>
        <v>46384</v>
      </c>
      <c r="CG45" s="171">
        <f t="shared" si="22"/>
        <v>0</v>
      </c>
      <c r="CH45" s="34"/>
      <c r="CO45" s="882"/>
      <c r="CP45" s="882"/>
      <c r="CQ45" s="882"/>
      <c r="CR45" s="16"/>
      <c r="DR45" s="16">
        <f>IF(OR(EB45&gt;0,AND(C45&lt;&gt;"",C45&lt;Identification!$B$28),AND(C45&lt;&gt;"",C45&gt;Identification!$B$95,Identification!$B$95&lt;&gt;0)),0,IF(OR(AND(C45&lt;&gt;"",D45&lt;&gt;"",IFERROR(D45-E45=0,0)),(AND(C45&lt;&gt;"",DR44=1,D45=""))),1,0))</f>
        <v>0</v>
      </c>
      <c r="DS45" s="16">
        <f>IF(OR(EB45&gt;0,AND(C45&lt;&gt;"",C45&lt;Identification!$B$28),AND(C45&lt;&gt;"",C45&gt;Identification!$B$95,Identification!$B$95&lt;&gt;0)),0,IF(OR(AND(C45&lt;&gt;"",D45&lt;&gt;"",IFERROR(D45-E45=0,0)),(AND(C45&lt;&gt;"",DS46=1,D45=""))),1,0))</f>
        <v>0</v>
      </c>
      <c r="DT45" s="16">
        <f t="shared" si="23"/>
        <v>0</v>
      </c>
      <c r="DU45" s="16">
        <f>IF(OR(EB45&gt;0,AND(C45&lt;&gt;"",C45&lt;Identification!$B$28),AND(C45&lt;&gt;"",C45&gt;Identification!$B$95,Identification!$B$95&lt;&gt;0)),0,IF(OR(AND(C45&lt;&gt;"",D45&lt;&gt;"",IFERROR(D45-E45=0,0))),1,0))</f>
        <v>0</v>
      </c>
      <c r="DV45" s="16">
        <f>IF(OR(EB45&gt;0,AND(C45&lt;&gt;"",C45&lt;Identification!$B$28),AND(C45&lt;&gt;"",C45&gt;Identification!$B$95,Identification!$B$95&lt;&gt;0)),0,IF(OR(AND(C45&lt;&gt;"",D45&lt;&gt;"",IFERROR(D45-E45=0,0))),1,0))</f>
        <v>0</v>
      </c>
      <c r="DW45" s="16">
        <f t="shared" si="24"/>
        <v>0</v>
      </c>
      <c r="DY45" s="16">
        <f>IF(+Décembre!AG47="",0,Décembre!AG47)</f>
        <v>0</v>
      </c>
      <c r="DZ45" s="16">
        <f>+IF(Décembre!AJ47="",0,Décembre!AJ47)</f>
        <v>0</v>
      </c>
      <c r="EA45" s="16">
        <f>+IF(Décembre!AM47="",0,Décembre!AM47)</f>
        <v>0</v>
      </c>
      <c r="EB45" s="16">
        <f t="shared" si="25"/>
        <v>0</v>
      </c>
      <c r="ED45" s="16">
        <f t="shared" si="26"/>
        <v>0</v>
      </c>
      <c r="EE45" s="16">
        <f t="shared" si="17"/>
        <v>0</v>
      </c>
      <c r="EF45" s="30" t="str">
        <f t="shared" si="18"/>
        <v/>
      </c>
      <c r="EG45" s="30" t="str">
        <f t="shared" si="27"/>
        <v/>
      </c>
      <c r="EH45" s="16">
        <f t="shared" si="28"/>
        <v>0</v>
      </c>
      <c r="EI45" s="30"/>
      <c r="EJ45" s="30">
        <f t="shared" si="19"/>
        <v>46384</v>
      </c>
      <c r="EM45" s="16" t="str">
        <f t="shared" si="29"/>
        <v>Fiche infoA146384</v>
      </c>
      <c r="EN45" s="16">
        <f t="shared" si="20"/>
        <v>0</v>
      </c>
      <c r="EQ45" s="16" t="str">
        <f>Décembre!FS47</f>
        <v/>
      </c>
    </row>
    <row r="46" spans="1:147" ht="18" customHeight="1" x14ac:dyDescent="0.2">
      <c r="A46" s="24" t="str">
        <f>+Décembre!BJ48</f>
        <v>Fiche infoA2</v>
      </c>
      <c r="B46" s="107">
        <f t="shared" si="30"/>
        <v>46385</v>
      </c>
      <c r="C46" s="170">
        <f>IF(C$18+28&lt;DATE(YEAR(O$13),MONTH(O$13),DAY(O$13)),C$18+28,"")</f>
        <v>46385</v>
      </c>
      <c r="D46" s="171" t="str">
        <f>IF(AND(EQ46&lt;&gt;"",$DZ$5=S.CAL!$CU$2),EQ46,IF(IFERROR(IF($DY$5=S.CAL!$CU$3,ROUND(EN46,2),ROUND(EQ46,2)),"")&lt;&gt;0,IFERROR(IF($DY$5=S.CAL!$CU$3,ROUND(EN46,2),ROUND(EQ46,2)),""),""))</f>
        <v/>
      </c>
      <c r="E46" s="171" t="str">
        <f>IFERROR(+IF(AND(F46="",$DY$5=S.CAL!$CU$2,J46="OUI"),IFERROR(ROUND(I46,2),""),IF(AND(F46="",$DY$5=S.CAL!$CU$3,L46="oui"),ROUND(K46,2),IF(F46="","",ROUND(F46,2)))),"")</f>
        <v/>
      </c>
      <c r="F46" s="954"/>
      <c r="G46" s="990"/>
      <c r="H46" s="27" t="str">
        <f t="shared" si="14"/>
        <v>A</v>
      </c>
      <c r="I46" s="34">
        <f>Décembre!BC48</f>
        <v>0</v>
      </c>
      <c r="J46" s="34">
        <f>Décembre!BE48</f>
        <v>0</v>
      </c>
      <c r="K46" s="34">
        <f t="shared" si="15"/>
        <v>0</v>
      </c>
      <c r="L46" s="34" t="str">
        <f t="shared" si="21"/>
        <v/>
      </c>
      <c r="N46" s="377"/>
      <c r="O46" s="377"/>
      <c r="P46" s="377"/>
      <c r="Q46" s="377"/>
      <c r="R46" s="377"/>
      <c r="T46" s="1322"/>
      <c r="U46" s="1322"/>
      <c r="V46" s="1322"/>
      <c r="W46" s="1322"/>
      <c r="X46" s="1322"/>
      <c r="Y46" s="1300"/>
      <c r="Z46" s="2539" t="s">
        <v>1098</v>
      </c>
      <c r="AA46" s="2539" t="s">
        <v>440</v>
      </c>
      <c r="AB46" s="2539" t="s">
        <v>1099</v>
      </c>
      <c r="AC46" s="1322"/>
      <c r="AD46" s="1322"/>
      <c r="AE46" s="1322"/>
      <c r="AF46" s="2539" t="s">
        <v>1448</v>
      </c>
      <c r="AJ46" s="1189"/>
      <c r="AK46" s="1189" t="s">
        <v>319</v>
      </c>
      <c r="AL46" s="563">
        <f>+SUMIF(H18:H48,"H",E18:E48)</f>
        <v>0</v>
      </c>
      <c r="AM46" s="1313">
        <f t="shared" si="47"/>
        <v>0</v>
      </c>
      <c r="AN46" s="2556"/>
      <c r="AO46" s="1202">
        <f>+IF(AM46&gt;0,AL46*AL26/AM46,0)</f>
        <v>0</v>
      </c>
      <c r="AP46" s="1202">
        <f t="shared" si="48"/>
        <v>0</v>
      </c>
      <c r="AQ46" s="1202">
        <f t="shared" si="49"/>
        <v>0</v>
      </c>
      <c r="BA46" s="331" t="str">
        <f t="shared" si="16"/>
        <v>Fiche infoA2</v>
      </c>
      <c r="BB46" s="107">
        <f t="shared" si="31"/>
        <v>46385</v>
      </c>
      <c r="BC46" s="170">
        <f>IF(BC$18+28&lt;DATE(YEAR(BH$13),MONTH(BH$13),DAY(BH$13)),BC$18+28,"")</f>
        <v>46385</v>
      </c>
      <c r="BD46" s="171" t="str">
        <f t="shared" si="32"/>
        <v/>
      </c>
      <c r="BE46" s="171" t="str">
        <f>+IF(OR(BF46=S.CAL!$BJ$3,BF46=S.CAL!$BJ$4),BD46,"")</f>
        <v/>
      </c>
      <c r="BF46" s="333">
        <f>IF($DY$5=S.CAL!$CU$2,Décembre!AR48,IF($DY$5=S.CAL!$CU$3,VLOOKUP(BC46,planning_fp,7,FALSE),""))</f>
        <v>0</v>
      </c>
      <c r="BG46" s="345" t="str">
        <f>Décembre!BL48</f>
        <v>A</v>
      </c>
      <c r="BH46" s="355"/>
      <c r="BI46" s="355"/>
      <c r="BJ46" s="355"/>
      <c r="BK46" s="355"/>
      <c r="BL46" s="35"/>
      <c r="BQ46" s="29" t="str">
        <f>+BT39&amp;" heure(s) X "&amp;BJ10&amp;" € ="</f>
        <v>0 heure(s) X 0 € =</v>
      </c>
      <c r="BR46" s="339">
        <f>+BT39*BJ10</f>
        <v>0</v>
      </c>
      <c r="BV46" s="355"/>
      <c r="BW46" s="355"/>
      <c r="BX46" s="355"/>
      <c r="BY46" s="356" t="str">
        <f>+CB39&amp;" heure(s) X "&amp;BJ10&amp;"  € ="</f>
        <v>0 heure(s) X 0  € =</v>
      </c>
      <c r="BZ46" s="373">
        <f>+CB39*BJ10</f>
        <v>0</v>
      </c>
      <c r="CA46" s="355"/>
      <c r="CB46" s="355"/>
      <c r="CD46" s="328"/>
      <c r="CE46" s="107">
        <f t="shared" si="33"/>
        <v>46385</v>
      </c>
      <c r="CF46" s="170">
        <f>IF(CF$18+28&lt;DATE(YEAR(CQ$13),MONTH(CQ$13),DAY(CQ$13)),CF$18+28,"")</f>
        <v>46385</v>
      </c>
      <c r="CG46" s="171">
        <f t="shared" si="22"/>
        <v>0</v>
      </c>
      <c r="CH46" s="34"/>
      <c r="CI46" s="129"/>
      <c r="CJ46" s="129"/>
      <c r="CK46" s="577"/>
      <c r="CL46" s="2544" t="s">
        <v>1098</v>
      </c>
      <c r="CM46" s="2546" t="s">
        <v>440</v>
      </c>
      <c r="CN46" s="2548" t="s">
        <v>1099</v>
      </c>
      <c r="CO46" s="882"/>
      <c r="CP46" s="882"/>
      <c r="CQ46" s="882"/>
      <c r="CR46" s="2548" t="s">
        <v>1448</v>
      </c>
      <c r="DR46" s="16">
        <f>IF(OR(EB46&gt;0,AND(C46&lt;&gt;"",C46&lt;Identification!$B$28),AND(C46&lt;&gt;"",C46&gt;Identification!$B$95,Identification!$B$95&lt;&gt;0)),0,IF(OR(AND(C46&lt;&gt;"",D46&lt;&gt;"",IFERROR(D46-E46=0,0)),(AND(C46&lt;&gt;"",DR45=1,D46=""))),1,0))</f>
        <v>0</v>
      </c>
      <c r="DS46" s="16">
        <f>IF(OR(EB46&gt;0,AND(C46&lt;&gt;"",C46&lt;Identification!$B$28),AND(C46&lt;&gt;"",C46&gt;Identification!$B$95,Identification!$B$95&lt;&gt;0)),0,IF(OR(AND(C46&lt;&gt;"",D46&lt;&gt;"",IFERROR(D46-E46=0,0)),(AND(C46&lt;&gt;"",DS47=1,D46=""))),1,0))</f>
        <v>0</v>
      </c>
      <c r="DT46" s="16">
        <f t="shared" si="23"/>
        <v>0</v>
      </c>
      <c r="DU46" s="16">
        <f>IF(OR(EB46&gt;0,AND(C46&lt;&gt;"",C46&lt;Identification!$B$28),AND(C46&lt;&gt;"",C46&gt;Identification!$B$95,Identification!$B$95&lt;&gt;0)),0,IF(OR(AND(C46&lt;&gt;"",D46&lt;&gt;"",IFERROR(D46-E46=0,0))),1,0))</f>
        <v>0</v>
      </c>
      <c r="DV46" s="16">
        <f>IF(OR(EB46&gt;0,AND(C46&lt;&gt;"",C46&lt;Identification!$B$28),AND(C46&lt;&gt;"",C46&gt;Identification!$B$95,Identification!$B$95&lt;&gt;0)),0,IF(OR(AND(C46&lt;&gt;"",D46&lt;&gt;"",IFERROR(D46-E46=0,0))),1,0))</f>
        <v>0</v>
      </c>
      <c r="DW46" s="16">
        <f t="shared" si="24"/>
        <v>0</v>
      </c>
      <c r="DY46" s="16">
        <f>IF(+Décembre!AG48="",0,Décembre!AG48)</f>
        <v>0</v>
      </c>
      <c r="DZ46" s="16">
        <f>+IF(Décembre!AJ48="",0,Décembre!AJ48)</f>
        <v>0</v>
      </c>
      <c r="EA46" s="16">
        <f>+IF(Décembre!AM48="",0,Décembre!AM48)</f>
        <v>0</v>
      </c>
      <c r="EB46" s="16">
        <f t="shared" si="25"/>
        <v>0</v>
      </c>
      <c r="ED46" s="16">
        <f t="shared" si="26"/>
        <v>0</v>
      </c>
      <c r="EE46" s="16">
        <f t="shared" si="17"/>
        <v>0</v>
      </c>
      <c r="EF46" s="30" t="str">
        <f t="shared" si="18"/>
        <v/>
      </c>
      <c r="EG46" s="30" t="str">
        <f t="shared" si="27"/>
        <v/>
      </c>
      <c r="EH46" s="16">
        <f t="shared" si="28"/>
        <v>0</v>
      </c>
      <c r="EI46" s="30"/>
      <c r="EJ46" s="30">
        <f t="shared" si="19"/>
        <v>46385</v>
      </c>
      <c r="EM46" s="16" t="str">
        <f t="shared" si="29"/>
        <v>Fiche infoA246385</v>
      </c>
      <c r="EN46" s="16">
        <f t="shared" si="20"/>
        <v>0</v>
      </c>
      <c r="EQ46" s="16" t="str">
        <f>Décembre!FS48</f>
        <v/>
      </c>
    </row>
    <row r="47" spans="1:147" ht="18" customHeight="1" x14ac:dyDescent="0.2">
      <c r="A47" s="24" t="str">
        <f>+Décembre!BJ49</f>
        <v>Fiche infoA3</v>
      </c>
      <c r="B47" s="107">
        <f t="shared" si="30"/>
        <v>46386</v>
      </c>
      <c r="C47" s="170">
        <f>IF(C$18+29&lt;DATE(YEAR(O$13),MONTH(O$13),DAY(O$13)),C$18+29,"")</f>
        <v>46386</v>
      </c>
      <c r="D47" s="171" t="str">
        <f>IF(AND(EQ47&lt;&gt;"",$DZ$5=S.CAL!$CU$2),EQ47,IF(IFERROR(IF($DY$5=S.CAL!$CU$3,ROUND(EN47,2),ROUND(EQ47,2)),"")&lt;&gt;0,IFERROR(IF($DY$5=S.CAL!$CU$3,ROUND(EN47,2),ROUND(EQ47,2)),""),""))</f>
        <v/>
      </c>
      <c r="E47" s="171" t="str">
        <f>IFERROR(+IF(AND(F47="",$DY$5=S.CAL!$CU$2,J47="OUI"),IFERROR(ROUND(I47,2),""),IF(AND(F47="",$DY$5=S.CAL!$CU$3,L47="oui"),ROUND(K47,2),IF(F47="","",ROUND(F47,2)))),"")</f>
        <v/>
      </c>
      <c r="F47" s="954"/>
      <c r="G47" s="990"/>
      <c r="H47" s="27" t="str">
        <f t="shared" si="14"/>
        <v>A</v>
      </c>
      <c r="I47" s="34">
        <f>Décembre!BC49</f>
        <v>0</v>
      </c>
      <c r="J47" s="34">
        <f>Décembre!BE49</f>
        <v>0</v>
      </c>
      <c r="K47" s="34">
        <f t="shared" si="15"/>
        <v>0</v>
      </c>
      <c r="L47" s="34" t="str">
        <f t="shared" si="21"/>
        <v/>
      </c>
      <c r="N47" s="377"/>
      <c r="O47" s="377"/>
      <c r="P47" s="377"/>
      <c r="Q47" s="377"/>
      <c r="R47" s="377"/>
      <c r="S47" s="1325"/>
      <c r="T47" s="1322"/>
      <c r="U47" s="1322"/>
      <c r="V47" s="1322"/>
      <c r="W47" s="1322"/>
      <c r="X47" s="1322"/>
      <c r="Y47" s="1300"/>
      <c r="Z47" s="2539"/>
      <c r="AA47" s="2539"/>
      <c r="AB47" s="2539"/>
      <c r="AC47" s="1322" t="s">
        <v>1095</v>
      </c>
      <c r="AD47" s="1322" t="s">
        <v>1096</v>
      </c>
      <c r="AE47" s="1322" t="s">
        <v>1097</v>
      </c>
      <c r="AF47" s="2539"/>
      <c r="AG47" s="563" t="s">
        <v>1229</v>
      </c>
      <c r="AO47" s="1202">
        <f>SUM(AO39:AO46)</f>
        <v>0</v>
      </c>
      <c r="AP47" s="1202">
        <f t="shared" ref="AP47:AQ47" si="51">SUM(AP39:AP46)</f>
        <v>0</v>
      </c>
      <c r="AQ47" s="1202">
        <f t="shared" si="51"/>
        <v>0</v>
      </c>
      <c r="BA47" s="331" t="str">
        <f t="shared" si="16"/>
        <v>Fiche infoA3</v>
      </c>
      <c r="BB47" s="107">
        <f t="shared" si="31"/>
        <v>46386</v>
      </c>
      <c r="BC47" s="170">
        <f>IF(BC$18+29&lt;DATE(YEAR(BH$13),MONTH(BH$13),DAY(BH$13)),BC$18+29,"")</f>
        <v>46386</v>
      </c>
      <c r="BD47" s="171" t="str">
        <f t="shared" si="32"/>
        <v/>
      </c>
      <c r="BE47" s="171" t="str">
        <f>+IF(OR(BF47=S.CAL!$BJ$3,BF47=S.CAL!$BJ$4),BD47,"")</f>
        <v/>
      </c>
      <c r="BF47" s="333">
        <f>IF($DY$5=S.CAL!$CU$2,Décembre!AR49,IF($DY$5=S.CAL!$CU$3,VLOOKUP(BC47,planning_fp,7,FALSE),""))</f>
        <v>0</v>
      </c>
      <c r="BG47" s="345" t="str">
        <f>Décembre!BL49</f>
        <v>A</v>
      </c>
      <c r="BH47" s="355"/>
      <c r="BI47" s="355"/>
      <c r="BJ47" s="355"/>
      <c r="BK47" s="355"/>
      <c r="BL47" s="35"/>
      <c r="BV47" s="355"/>
      <c r="BW47" s="355"/>
      <c r="BX47" s="355"/>
      <c r="BY47" s="355"/>
      <c r="BZ47" s="355"/>
      <c r="CA47" s="355"/>
      <c r="CB47" s="355"/>
      <c r="CD47" s="328"/>
      <c r="CE47" s="107">
        <f t="shared" si="33"/>
        <v>46386</v>
      </c>
      <c r="CF47" s="170">
        <f>IF(CF$18+29&lt;DATE(YEAR(CQ$13),MONTH(CQ$13),DAY(CQ$13)),CF$18+29,"")</f>
        <v>46386</v>
      </c>
      <c r="CG47" s="171">
        <f t="shared" si="22"/>
        <v>0</v>
      </c>
      <c r="CH47" s="34"/>
      <c r="CI47" s="129"/>
      <c r="CJ47" s="129"/>
      <c r="CK47" s="577"/>
      <c r="CL47" s="2545"/>
      <c r="CM47" s="2547"/>
      <c r="CN47" s="2014"/>
      <c r="CO47" s="196" t="str">
        <f t="shared" ref="CO47" si="52">AC47</f>
        <v>mois en cours</v>
      </c>
      <c r="CP47" s="196" t="str">
        <f t="shared" ref="CP47" si="53">AD47</f>
        <v>mois avant</v>
      </c>
      <c r="CQ47" s="196" t="str">
        <f t="shared" ref="CQ47" si="54">AE47</f>
        <v>mois après</v>
      </c>
      <c r="CR47" s="2549"/>
      <c r="DR47" s="16">
        <f>IF(OR(EB47&gt;0,AND(C47&lt;&gt;"",C47&lt;Identification!$B$28),AND(C47&lt;&gt;"",C47&gt;Identification!$B$95,Identification!$B$95&lt;&gt;0)),0,IF(OR(AND(C47&lt;&gt;"",D47&lt;&gt;"",IFERROR(D47-E47=0,0)),(AND(C47&lt;&gt;"",DR46=1,D47=""))),1,0))</f>
        <v>0</v>
      </c>
      <c r="DS47" s="16">
        <f>IF(OR(EB47&gt;0,AND(C47&lt;&gt;"",C47&lt;Identification!$B$28),AND(C47&lt;&gt;"",C47&gt;Identification!$B$95,Identification!$B$95&lt;&gt;0)),0,IF(OR(AND(C47&lt;&gt;"",D47&lt;&gt;"",IFERROR(D47-E47=0,0)),(AND(C47&lt;&gt;"",DS48=1,D47=""))),1,0))</f>
        <v>0</v>
      </c>
      <c r="DT47" s="16">
        <f t="shared" si="23"/>
        <v>0</v>
      </c>
      <c r="DU47" s="16">
        <f>IF(OR(EB47&gt;0,AND(C47&lt;&gt;"",C47&lt;Identification!$B$28),AND(C47&lt;&gt;"",C47&gt;Identification!$B$95,Identification!$B$95&lt;&gt;0)),0,IF(OR(AND(C47&lt;&gt;"",D47&lt;&gt;"",IFERROR(D47-E47=0,0))),1,0))</f>
        <v>0</v>
      </c>
      <c r="DV47" s="16">
        <f>IF(OR(EB47&gt;0,AND(C47&lt;&gt;"",C47&lt;Identification!$B$28),AND(C47&lt;&gt;"",C47&gt;Identification!$B$95,Identification!$B$95&lt;&gt;0)),0,IF(OR(AND(C47&lt;&gt;"",D47&lt;&gt;"",IFERROR(D47-E47=0,0))),1,0))</f>
        <v>0</v>
      </c>
      <c r="DW47" s="16">
        <f t="shared" si="24"/>
        <v>0</v>
      </c>
      <c r="DY47" s="16">
        <f>IF(+Décembre!AG49="",0,Décembre!AG49)</f>
        <v>0</v>
      </c>
      <c r="DZ47" s="16">
        <f>+IF(Décembre!AJ49="",0,Décembre!AJ49)</f>
        <v>0</v>
      </c>
      <c r="EA47" s="16">
        <f>+IF(Décembre!AM49="",0,Décembre!AM49)</f>
        <v>0</v>
      </c>
      <c r="EB47" s="16">
        <f t="shared" si="25"/>
        <v>0</v>
      </c>
      <c r="ED47" s="16">
        <f t="shared" si="26"/>
        <v>0</v>
      </c>
      <c r="EE47" s="16">
        <f t="shared" si="17"/>
        <v>0</v>
      </c>
      <c r="EF47" s="30" t="str">
        <f t="shared" si="18"/>
        <v/>
      </c>
      <c r="EG47" s="30" t="str">
        <f t="shared" si="27"/>
        <v/>
      </c>
      <c r="EH47" s="16">
        <f t="shared" si="28"/>
        <v>0</v>
      </c>
      <c r="EI47" s="30"/>
      <c r="EJ47" s="30">
        <f t="shared" si="19"/>
        <v>46386</v>
      </c>
      <c r="EM47" s="16" t="str">
        <f t="shared" si="29"/>
        <v>Fiche infoA346386</v>
      </c>
      <c r="EN47" s="16">
        <f t="shared" si="20"/>
        <v>0</v>
      </c>
      <c r="EQ47" s="16" t="str">
        <f>Décembre!FS49</f>
        <v/>
      </c>
    </row>
    <row r="48" spans="1:147" ht="18" customHeight="1" thickBot="1" x14ac:dyDescent="0.25">
      <c r="A48" s="24" t="str">
        <f>+Décembre!BJ50</f>
        <v>Fiche infoA4</v>
      </c>
      <c r="B48" s="110">
        <f t="shared" si="30"/>
        <v>46387</v>
      </c>
      <c r="C48" s="190">
        <f>IF(C$18+30&lt;DATE(YEAR(O$13),MONTH(O$13),DAY(O$13)),C$18+30,"")</f>
        <v>46387</v>
      </c>
      <c r="D48" s="191" t="str">
        <f>IF(AND(EQ48&lt;&gt;"",$DZ$5=S.CAL!$CU$2),EQ48,IF(IFERROR(IF($DY$5=S.CAL!$CU$3,ROUND(EN48,2),ROUND(EQ48,2)),"")&lt;&gt;0,IFERROR(IF($DY$5=S.CAL!$CU$3,ROUND(EN48,2),ROUND(EQ48,2)),""),""))</f>
        <v/>
      </c>
      <c r="E48" s="191" t="str">
        <f>IFERROR(+IF(AND(F48="",$DY$5=S.CAL!$CU$2,J48="OUI"),IFERROR(ROUND(I48,2),""),IF(AND(F48="",$DY$5=S.CAL!$CU$3,L48="oui"),ROUND(K48,2),IF(F48="","",ROUND(F48,2)))),"")</f>
        <v/>
      </c>
      <c r="F48" s="954"/>
      <c r="G48" s="990"/>
      <c r="H48" s="27" t="str">
        <f t="shared" si="14"/>
        <v>A</v>
      </c>
      <c r="I48" s="34">
        <f>Décembre!BC50</f>
        <v>0</v>
      </c>
      <c r="J48" s="34">
        <f>Décembre!BE50</f>
        <v>0</v>
      </c>
      <c r="K48" s="34">
        <f t="shared" si="15"/>
        <v>0</v>
      </c>
      <c r="L48" s="34" t="str">
        <f t="shared" si="21"/>
        <v/>
      </c>
      <c r="N48" s="24"/>
      <c r="O48" s="24"/>
      <c r="P48" s="24"/>
      <c r="Q48" s="181" t="s">
        <v>1455</v>
      </c>
      <c r="R48" s="674" t="e">
        <f>+IF(R3="Méthode 1",Q42,IF(AND(R3="Méthode 1A",ED1=S.CAL!EP1),W19,IF(AND(R3="Méthode 1A",ED1=S.CAL!EP2),W28,AP61)))</f>
        <v>#DIV/0!</v>
      </c>
      <c r="U48" s="1301"/>
      <c r="V48" s="1301"/>
      <c r="W48" s="2538" t="str">
        <f t="shared" ref="W48:W53" si="55">W34</f>
        <v>Semaine numéro : 49</v>
      </c>
      <c r="X48" s="2538"/>
      <c r="Y48" s="2538"/>
      <c r="Z48" s="1323" t="str">
        <f>+IF(Z34="","",Z34)</f>
        <v/>
      </c>
      <c r="AA48" s="1316">
        <f>+IF(Z48="",IF(AND(AD48&gt;0,AC48&gt;0),AD48+AC48,IF(AE48&gt;0,0,AC48)),Z48)</f>
        <v>0</v>
      </c>
      <c r="AB48" s="1316">
        <f>IF(AA48&gt;45,AA48-45,0)</f>
        <v>0</v>
      </c>
      <c r="AC48" s="1322">
        <f>+SUMIF(Décembre!$BK$20:$BK$50,Décembre!AT4,$D$18:$D$48)-SUMIF(Décembre!$BK$20:$BK$50,Décembre!AT4,$E$18:$E$48)</f>
        <v>0</v>
      </c>
      <c r="AD48" s="1322">
        <f>+SUMIF(Novembre!$BK$20:$BK$50,Décembre!AT4,'Retenue Nov'!$D$18:$D$48)-SUMIF(Novembre!$BK$20:$BK$50,Décembre!AT4,'Retenue Nov'!$E$18:$E$48)</f>
        <v>0</v>
      </c>
      <c r="AE48" s="1322">
        <v>0</v>
      </c>
      <c r="AF48" s="1316">
        <f>+AC48-AB48</f>
        <v>0</v>
      </c>
      <c r="AG48" s="563">
        <f>+Décembre!AT4</f>
        <v>49</v>
      </c>
      <c r="AK48" s="1189"/>
      <c r="AL48" s="1202"/>
      <c r="AO48" s="1202">
        <f>+AN39*AL26</f>
        <v>0</v>
      </c>
      <c r="AP48" s="1202">
        <f>+AO48*(1-AX21)</f>
        <v>0</v>
      </c>
      <c r="AQ48" s="1202">
        <f>+AO48-AP48</f>
        <v>0</v>
      </c>
      <c r="BA48" s="331" t="str">
        <f t="shared" si="16"/>
        <v>Fiche infoA4</v>
      </c>
      <c r="BB48" s="110">
        <f t="shared" si="31"/>
        <v>46387</v>
      </c>
      <c r="BC48" s="190">
        <f>IF(BC$18+30&lt;DATE(YEAR(BH$13),MONTH(BH$13),DAY(BH$13)),BC$18+30,"")</f>
        <v>46387</v>
      </c>
      <c r="BD48" s="191" t="str">
        <f t="shared" si="32"/>
        <v/>
      </c>
      <c r="BE48" s="191" t="str">
        <f>+IF(OR(BF48=S.CAL!$BJ$3,BF48=S.CAL!$BJ$4),BD48,"")</f>
        <v/>
      </c>
      <c r="BF48" s="334">
        <f>IF($DY$5=S.CAL!$CU$2,Décembre!AR50,IF($DY$5=S.CAL!$CU$3,VLOOKUP(BC48,planning_fp,7,FALSE),""))</f>
        <v>0</v>
      </c>
      <c r="BG48" s="346" t="str">
        <f>Décembre!BL50</f>
        <v>A</v>
      </c>
      <c r="BH48" s="356"/>
      <c r="BI48" s="355"/>
      <c r="BJ48" s="355"/>
      <c r="BK48" s="355"/>
      <c r="BL48" s="35"/>
      <c r="BQ48" s="16" t="s">
        <v>834</v>
      </c>
      <c r="BV48" s="355"/>
      <c r="BW48" s="355"/>
      <c r="BX48" s="355" t="s">
        <v>834</v>
      </c>
      <c r="BZ48" s="355"/>
      <c r="CA48" s="355"/>
      <c r="CB48" s="355"/>
      <c r="CD48" s="328"/>
      <c r="CE48" s="110">
        <f t="shared" si="33"/>
        <v>46387</v>
      </c>
      <c r="CF48" s="190">
        <f>IF(CF$18+30&lt;DATE(YEAR(CQ$13),MONTH(CQ$13),DAY(CQ$13)),CF$18+30,"")</f>
        <v>46387</v>
      </c>
      <c r="CG48" s="191">
        <f t="shared" si="22"/>
        <v>0</v>
      </c>
      <c r="CH48" s="34"/>
      <c r="CI48" s="2534" t="str">
        <f t="shared" ref="CI48:CI53" si="56">W48</f>
        <v>Semaine numéro : 49</v>
      </c>
      <c r="CJ48" s="2535"/>
      <c r="CK48" s="2536"/>
      <c r="CL48" s="875" t="str">
        <f>+IF(CL34="","",CL34)</f>
        <v/>
      </c>
      <c r="CM48" s="656">
        <f>+IF(CL48="",IF(AND(CP48&gt;0,CO48&gt;0),CP48+CO48,IF(CQ48&gt;0,0,CO48)),CL48)</f>
        <v>0</v>
      </c>
      <c r="CN48" s="655">
        <f>IF(CM48&gt;45,CM48-45,0)</f>
        <v>0</v>
      </c>
      <c r="CO48" s="196">
        <f>+SUMIF(Décembre!$BK$20:$BK$50,Décembre!AT4,$CG$18:$CG$48)</f>
        <v>0</v>
      </c>
      <c r="CP48" s="196">
        <f>+SUMIF(Novembre!$BK$20:$BK$50,Décembre!AT4,'Retenue Nov'!$CG$18:$CG$48)</f>
        <v>0</v>
      </c>
      <c r="CQ48" s="196">
        <v>0</v>
      </c>
      <c r="CR48" s="656">
        <f>+CO48-CN48</f>
        <v>0</v>
      </c>
      <c r="DR48" s="16">
        <f>IF(OR(EB48&gt;0,AND(C48&lt;&gt;"",C48&lt;Identification!$B$28),AND(C48&lt;&gt;"",C48&gt;Identification!$B$95,Identification!$B$95&lt;&gt;0)),0,IF(OR(AND(C48&lt;&gt;"",D48&lt;&gt;"",IFERROR(D48-E48=0,0)),(AND(C48&lt;&gt;"",DR47=1,D48=""))),1,0))</f>
        <v>0</v>
      </c>
      <c r="DS48" s="16">
        <f>IF(OR(EB48&gt;0,AND(C48&lt;&gt;"",C48&lt;Identification!$B$28),AND(C48&lt;&gt;"",C48&gt;Identification!$B$95,Identification!$B$95&lt;&gt;0)),0,IF(OR(AND(C48&lt;&gt;"",D48&lt;&gt;"",IFERROR(D48-E48=0,0)),(AND(C48&lt;&gt;"",DS49=1,D48=""))),1,0))</f>
        <v>0</v>
      </c>
      <c r="DT48" s="16">
        <f t="shared" si="23"/>
        <v>0</v>
      </c>
      <c r="DU48" s="16">
        <f>IF(OR(EB48&gt;0,AND(C48&lt;&gt;"",C48&lt;Identification!$B$28),AND(C48&lt;&gt;"",C48&gt;Identification!$B$95,Identification!$B$95&lt;&gt;0)),0,IF(OR(AND(C48&lt;&gt;"",D48&lt;&gt;"",IFERROR(D48-E48=0,0))),1,0))</f>
        <v>0</v>
      </c>
      <c r="DV48" s="16">
        <f>IF(OR(EB48&gt;0,AND(C48&lt;&gt;"",C48&lt;Identification!$B$28),AND(C48&lt;&gt;"",C48&gt;Identification!$B$95,Identification!$B$95&lt;&gt;0)),0,IF(OR(AND(C48&lt;&gt;"",D48&lt;&gt;"",IFERROR(D48-E48=0,0))),1,0))</f>
        <v>0</v>
      </c>
      <c r="DW48" s="16">
        <f t="shared" si="24"/>
        <v>0</v>
      </c>
      <c r="DY48" s="16">
        <f>IF(+Décembre!AG50="",0,Décembre!AG50)</f>
        <v>0</v>
      </c>
      <c r="DZ48" s="16">
        <f>+IF(Décembre!AJ50="",0,Décembre!AJ50)</f>
        <v>0</v>
      </c>
      <c r="EA48" s="16">
        <f>+IF(Décembre!AM50="",0,Décembre!AM50)</f>
        <v>0</v>
      </c>
      <c r="EB48" s="16">
        <f t="shared" si="25"/>
        <v>0</v>
      </c>
      <c r="ED48" s="16">
        <f t="shared" si="26"/>
        <v>0</v>
      </c>
      <c r="EE48" s="16">
        <f t="shared" si="17"/>
        <v>0</v>
      </c>
      <c r="EF48" s="30" t="str">
        <f t="shared" si="18"/>
        <v/>
      </c>
      <c r="EG48" s="30" t="str">
        <f t="shared" si="27"/>
        <v/>
      </c>
      <c r="EH48" s="16">
        <f t="shared" si="28"/>
        <v>0</v>
      </c>
      <c r="EI48" s="30"/>
      <c r="EJ48" s="30">
        <f t="shared" si="19"/>
        <v>46387</v>
      </c>
      <c r="EM48" s="16" t="str">
        <f t="shared" si="29"/>
        <v>Fiche infoA446387</v>
      </c>
      <c r="EN48" s="16">
        <f t="shared" si="20"/>
        <v>0</v>
      </c>
      <c r="EQ48" s="16" t="str">
        <f>Décembre!FS50</f>
        <v/>
      </c>
    </row>
    <row r="49" spans="2:139" ht="18" customHeight="1" thickBot="1" x14ac:dyDescent="0.25">
      <c r="N49" s="24"/>
      <c r="O49" s="24"/>
      <c r="P49" s="24"/>
      <c r="Q49" s="24"/>
      <c r="R49" s="24"/>
      <c r="S49" s="1325"/>
      <c r="U49" s="1301"/>
      <c r="V49" s="1301"/>
      <c r="W49" s="2538" t="str">
        <f t="shared" si="55"/>
        <v>Semaine numéro : 50</v>
      </c>
      <c r="X49" s="2538"/>
      <c r="Y49" s="2538"/>
      <c r="Z49" s="1323" t="str">
        <f t="shared" ref="Z49:Z53" si="57">+IF(Z35="","",Z35)</f>
        <v/>
      </c>
      <c r="AA49" s="1316">
        <f t="shared" ref="AA49:AA53" si="58">+IF(Z49="",IF(AND(AD49&gt;0,AC49&gt;0),AD49+AC49,IF(AE49&gt;0,0,AC49)),Z49)</f>
        <v>0</v>
      </c>
      <c r="AB49" s="1316">
        <f t="shared" ref="AB49:AB53" si="59">IF(AA49&gt;45,AA49-45,0)</f>
        <v>0</v>
      </c>
      <c r="AC49" s="1322">
        <f>+SUMIF(Décembre!$BK$20:$BK$50,Décembre!AT5,$D$18:$D$48)-SUMIF(Décembre!$BK$20:$BK$50,Décembre!AT5,$E$18:$E$48)</f>
        <v>0</v>
      </c>
      <c r="AD49" s="1322">
        <f>+SUMIF(Novembre!$BK$20:$BK$50,Décembre!AT5,'Retenue Nov'!$D$18:$D$48)-SUMIF(Novembre!$BK$20:$BK$50,Décembre!AT5,'Retenue Nov'!$E$18:$E$48)</f>
        <v>0</v>
      </c>
      <c r="AE49" s="1322">
        <v>0</v>
      </c>
      <c r="AF49" s="1316">
        <f t="shared" ref="AF49:AF53" si="60">+AC49-AB49</f>
        <v>0</v>
      </c>
      <c r="AG49" s="563">
        <f>+Décembre!AT5</f>
        <v>50</v>
      </c>
      <c r="AK49" s="1189"/>
      <c r="AL49" s="1202"/>
      <c r="AO49" s="1202"/>
      <c r="AP49" s="1202"/>
      <c r="BA49" s="328"/>
      <c r="BL49" s="35"/>
      <c r="BQ49" s="29" t="str">
        <f>+BT41&amp;" heure(s) X "&amp;BJ11&amp;" € ="</f>
        <v>0 heure(s) X 0 € =</v>
      </c>
      <c r="BR49" s="339">
        <f>+BT41*BJ11</f>
        <v>0</v>
      </c>
      <c r="BV49" s="355"/>
      <c r="BW49" s="355"/>
      <c r="BX49" s="355"/>
      <c r="BY49" s="356" t="str">
        <f>+CB41&amp;" heure(s) X "&amp;BJ11&amp;" € ="</f>
        <v>0 heure(s) X 0 € =</v>
      </c>
      <c r="BZ49" s="373">
        <f>+CB41*BJ11</f>
        <v>0</v>
      </c>
      <c r="CA49" s="355"/>
      <c r="CB49" s="355"/>
      <c r="CD49" s="328"/>
      <c r="CI49" s="2534" t="str">
        <f t="shared" si="56"/>
        <v>Semaine numéro : 50</v>
      </c>
      <c r="CJ49" s="2535"/>
      <c r="CK49" s="2536"/>
      <c r="CL49" s="875" t="str">
        <f t="shared" ref="CL49:CL53" si="61">+IF(CL35="","",CL35)</f>
        <v/>
      </c>
      <c r="CM49" s="656">
        <f t="shared" ref="CM49:CM53" si="62">+IF(CL49="",IF(AND(CP49&gt;0,CO49&gt;0),CP49+CO49,IF(CQ49&gt;0,0,CO49)),CL49)</f>
        <v>0</v>
      </c>
      <c r="CN49" s="655">
        <f t="shared" ref="CN49:CN53" si="63">IF(CM49&gt;45,CM49-45,0)</f>
        <v>0</v>
      </c>
      <c r="CO49" s="196">
        <f>+SUMIF(Décembre!$BK$20:$BK$50,Décembre!AT5,$CG$18:$CG$48)</f>
        <v>0</v>
      </c>
      <c r="CP49" s="196">
        <f>+SUMIF(Novembre!$BK$20:$BK$50,Décembre!AT5,'Retenue Nov'!$CG$18:$CG$48)</f>
        <v>0</v>
      </c>
      <c r="CQ49" s="196">
        <v>0</v>
      </c>
      <c r="CR49" s="656">
        <f t="shared" ref="CR49:CR53" si="64">+CO49-CN49</f>
        <v>0</v>
      </c>
      <c r="DR49" s="19">
        <f>SUM(DR18:DR48)</f>
        <v>0</v>
      </c>
      <c r="DT49" s="19">
        <f>SUM(DT18:DT48)</f>
        <v>0</v>
      </c>
      <c r="DU49" s="19"/>
      <c r="DV49" s="19"/>
      <c r="DW49" s="19">
        <f>SUM(DW18:DW48)</f>
        <v>0</v>
      </c>
    </row>
    <row r="50" spans="2:139" ht="18" customHeight="1" thickBot="1" x14ac:dyDescent="0.25">
      <c r="B50" s="72"/>
      <c r="C50" s="113" t="s">
        <v>124</v>
      </c>
      <c r="D50" s="192">
        <f>SUM(D18:D48)</f>
        <v>0</v>
      </c>
      <c r="E50" s="192">
        <f>SUM(E18:E48)</f>
        <v>0</v>
      </c>
      <c r="F50" s="34"/>
      <c r="G50" s="34"/>
      <c r="H50" s="34"/>
      <c r="I50" s="34"/>
      <c r="J50" s="34"/>
      <c r="K50" s="34"/>
      <c r="L50" s="34"/>
      <c r="M50" s="95"/>
      <c r="N50" s="24"/>
      <c r="O50" s="24"/>
      <c r="P50" s="24"/>
      <c r="Q50" s="181" t="s">
        <v>123</v>
      </c>
      <c r="R50" s="674" t="e">
        <f>+IF(R3="Méthode 1",Q45,IF(AND(R3="Méthode 1A",ED1=S.CAL!EP1),AC19,IF(AND(R3="Méthode 1A",ED1=S.CAL!EP2),AC28,AP64)))</f>
        <v>#DIV/0!</v>
      </c>
      <c r="U50" s="1301"/>
      <c r="V50" s="1301"/>
      <c r="W50" s="2538" t="str">
        <f t="shared" si="55"/>
        <v>Semaine numéro : 51</v>
      </c>
      <c r="X50" s="2538"/>
      <c r="Y50" s="2538"/>
      <c r="Z50" s="1323" t="str">
        <f t="shared" si="57"/>
        <v/>
      </c>
      <c r="AA50" s="1316">
        <f t="shared" si="58"/>
        <v>0</v>
      </c>
      <c r="AB50" s="1316">
        <f t="shared" si="59"/>
        <v>0</v>
      </c>
      <c r="AC50" s="1322">
        <f>+SUMIF(Décembre!$BK$20:$BK$50,Décembre!AT6,$D$18:$D$48)-SUMIF(Décembre!$BK$20:$BK$50,Décembre!AT6,$E$18:$E$48)</f>
        <v>0</v>
      </c>
      <c r="AD50" s="1322">
        <f>+SUMIF(Novembre!$BK$20:$BK$50,Décembre!AT6,'Retenue Nov'!$D$18:$D$48)-SUMIF(Novembre!$BK$20:$BK$50,Décembre!AT6,'Retenue Nov'!$E$18:$E$48)</f>
        <v>0</v>
      </c>
      <c r="AE50" s="1322">
        <v>0</v>
      </c>
      <c r="AF50" s="1316">
        <f t="shared" si="60"/>
        <v>0</v>
      </c>
      <c r="AG50" s="563">
        <f>+Décembre!AT6</f>
        <v>51</v>
      </c>
      <c r="AJ50" s="1304"/>
      <c r="AK50" s="1305"/>
      <c r="AL50" s="1306"/>
      <c r="AO50" s="1189" t="s">
        <v>1457</v>
      </c>
      <c r="AP50" s="1326">
        <f>IF(AL22,ROUND((+AP48+SUM(AP39:AP46))*AL34/AL22*Q10,2),0)</f>
        <v>0</v>
      </c>
      <c r="BA50" s="328"/>
      <c r="BB50" s="72"/>
      <c r="BC50" s="113" t="s">
        <v>124</v>
      </c>
      <c r="BD50" s="192">
        <f>SUM(BD18:BD48)</f>
        <v>0</v>
      </c>
      <c r="BE50" s="192">
        <f>SUM(BE18:BE48)</f>
        <v>0</v>
      </c>
      <c r="BF50" s="343">
        <f>+COUNTIF(BF18:BF48,S.CAL!BJ3)+COUNTIF(BF18:BF48,S.CAL!BJ4)</f>
        <v>0</v>
      </c>
      <c r="BG50" s="34"/>
      <c r="BH50" s="29" t="s">
        <v>700</v>
      </c>
      <c r="BI50" s="347">
        <f>+BJ45+BJ29</f>
        <v>0</v>
      </c>
      <c r="BL50" s="35"/>
      <c r="CD50" s="328"/>
      <c r="CE50" s="72"/>
      <c r="CF50" s="113" t="s">
        <v>124</v>
      </c>
      <c r="CG50" s="192">
        <f>SUM(CG18:CG48)</f>
        <v>0</v>
      </c>
      <c r="CH50" s="34"/>
      <c r="CI50" s="2534" t="str">
        <f t="shared" si="56"/>
        <v>Semaine numéro : 51</v>
      </c>
      <c r="CJ50" s="2535"/>
      <c r="CK50" s="2536"/>
      <c r="CL50" s="875" t="str">
        <f t="shared" si="61"/>
        <v/>
      </c>
      <c r="CM50" s="656">
        <f t="shared" si="62"/>
        <v>0</v>
      </c>
      <c r="CN50" s="655">
        <f t="shared" si="63"/>
        <v>0</v>
      </c>
      <c r="CO50" s="196">
        <f>+SUMIF(Décembre!$BK$20:$BK$50,Décembre!AT6,$CG$18:$CG$48)</f>
        <v>0</v>
      </c>
      <c r="CP50" s="196">
        <f>+SUMIF(Novembre!$BK$20:$BK$50,Décembre!AT6,'Retenue Nov'!$CG$18:$CG$48)</f>
        <v>0</v>
      </c>
      <c r="CQ50" s="196">
        <v>0</v>
      </c>
      <c r="CR50" s="656">
        <f t="shared" si="64"/>
        <v>0</v>
      </c>
    </row>
    <row r="51" spans="2:139" ht="19.5" customHeight="1" thickBot="1" x14ac:dyDescent="0.25">
      <c r="B51" s="24"/>
      <c r="C51" s="24"/>
      <c r="D51" s="181" t="s">
        <v>1205</v>
      </c>
      <c r="E51" s="24">
        <f>+COUNTIF(C18:C48,"&gt;0")-E52</f>
        <v>31</v>
      </c>
      <c r="N51" s="24"/>
      <c r="O51" s="24"/>
      <c r="P51" s="24"/>
      <c r="Q51" s="24"/>
      <c r="R51" s="24"/>
      <c r="S51" s="1327"/>
      <c r="U51" s="1301"/>
      <c r="V51" s="1301"/>
      <c r="W51" s="2538" t="str">
        <f t="shared" si="55"/>
        <v>Semaine numéro : 52</v>
      </c>
      <c r="X51" s="2538"/>
      <c r="Y51" s="2538"/>
      <c r="Z51" s="1323" t="str">
        <f t="shared" si="57"/>
        <v/>
      </c>
      <c r="AA51" s="1316">
        <f t="shared" si="58"/>
        <v>0</v>
      </c>
      <c r="AB51" s="1316">
        <f t="shared" si="59"/>
        <v>0</v>
      </c>
      <c r="AC51" s="1322">
        <f>+SUMIF(Décembre!$BK$20:$BK$50,Décembre!AT7,$D$18:$D$48)-SUMIF(Décembre!$BK$20:$BK$50,Décembre!AT7,$E$18:$E$48)</f>
        <v>0</v>
      </c>
      <c r="AD51" s="1322">
        <f>+SUMIF(Novembre!$BK$20:$BK$50,Décembre!AT7,'Retenue Nov'!$D$18:$D$48)-SUMIF(Novembre!$BK$20:$BK$50,Décembre!AT7,'Retenue Nov'!$E$18:$E$48)</f>
        <v>0</v>
      </c>
      <c r="AE51" s="1322">
        <v>0</v>
      </c>
      <c r="AF51" s="1316">
        <f t="shared" si="60"/>
        <v>0</v>
      </c>
      <c r="AG51" s="563">
        <f>+Décembre!AT7</f>
        <v>52</v>
      </c>
      <c r="AJ51" s="1304"/>
      <c r="AK51" s="1305"/>
      <c r="AL51" s="1307"/>
      <c r="BA51" s="328"/>
      <c r="BD51" s="351" t="s">
        <v>746</v>
      </c>
      <c r="BE51" s="192">
        <f>+SUMIFS(BE18:BE48,BF18:BF48,S.CAL!BJ3)</f>
        <v>0</v>
      </c>
      <c r="BF51" s="352">
        <f>IF(Décembre!AZ90="",+COUNTIF(BF18:BF48,S.CAL!BJ3),Décembre!AZ90)</f>
        <v>0</v>
      </c>
      <c r="BL51" s="35"/>
      <c r="CD51" s="328"/>
      <c r="CI51" s="2534" t="str">
        <f t="shared" si="56"/>
        <v>Semaine numéro : 52</v>
      </c>
      <c r="CJ51" s="2535"/>
      <c r="CK51" s="2536"/>
      <c r="CL51" s="875" t="str">
        <f t="shared" si="61"/>
        <v/>
      </c>
      <c r="CM51" s="656">
        <f t="shared" si="62"/>
        <v>0</v>
      </c>
      <c r="CN51" s="655">
        <f t="shared" si="63"/>
        <v>0</v>
      </c>
      <c r="CO51" s="196">
        <f>+SUMIF(Décembre!$BK$20:$BK$50,Décembre!AT7,$CG$18:$CG$48)</f>
        <v>0</v>
      </c>
      <c r="CP51" s="196">
        <f>+SUMIF(Novembre!$BK$20:$BK$50,Décembre!AT7,'Retenue Nov'!$CG$18:$CG$48)</f>
        <v>0</v>
      </c>
      <c r="CQ51" s="196">
        <v>0</v>
      </c>
      <c r="CR51" s="656">
        <f t="shared" si="64"/>
        <v>0</v>
      </c>
      <c r="EE51" s="19" t="s">
        <v>1246</v>
      </c>
      <c r="EF51" s="896" t="str">
        <f>IFERROR(SMALL(EF18:EF48,1),"")</f>
        <v/>
      </c>
      <c r="EG51" s="896" t="str">
        <f>IFERROR(SMALL(EG18:EG48,1),"")</f>
        <v/>
      </c>
      <c r="EH51" s="63">
        <f>+VLOOKUP(EF51,$EF$18:$EI$48,3,TRUE)</f>
        <v>0</v>
      </c>
      <c r="EI51" s="901"/>
    </row>
    <row r="52" spans="2:139" ht="13.5" thickBot="1" x14ac:dyDescent="0.25">
      <c r="B52" s="24"/>
      <c r="C52" s="24"/>
      <c r="D52" s="181" t="s">
        <v>1297</v>
      </c>
      <c r="E52" s="24">
        <f>+DW49</f>
        <v>0</v>
      </c>
      <c r="N52" s="24"/>
      <c r="O52" s="24"/>
      <c r="P52" s="24"/>
      <c r="Q52" s="181" t="s">
        <v>1456</v>
      </c>
      <c r="R52" s="675">
        <f>+IF(R3="Méthode 1",P30,IF(R3="Méthode 1A",W24,AP50))</f>
        <v>0</v>
      </c>
      <c r="U52" s="1301"/>
      <c r="V52" s="1301"/>
      <c r="W52" s="2538" t="str">
        <f t="shared" si="55"/>
        <v>Semaine numéro : 53</v>
      </c>
      <c r="X52" s="2538"/>
      <c r="Y52" s="2538"/>
      <c r="Z52" s="1323" t="str">
        <f t="shared" si="57"/>
        <v/>
      </c>
      <c r="AA52" s="1316">
        <f t="shared" si="58"/>
        <v>0</v>
      </c>
      <c r="AB52" s="1316">
        <f t="shared" si="59"/>
        <v>0</v>
      </c>
      <c r="AC52" s="1322">
        <f>+SUMIF(Décembre!$BK$20:$BK$50,Décembre!AT8,$D$18:$D$48)-SUMIF(Décembre!$BK$20:$BK$50,Décembre!AT8,$E$18:$E$48)</f>
        <v>0</v>
      </c>
      <c r="AD52" s="1322">
        <f>+SUMIF(Novembre!$BK$20:$BK$50,Décembre!AT8,'Retenue Nov'!$D$18:$D$48)-SUMIF(Novembre!$BK$20:$BK$50,Décembre!AT8,'Retenue Nov'!$E$18:$E$48)</f>
        <v>0</v>
      </c>
      <c r="AE52" s="1322">
        <v>0</v>
      </c>
      <c r="AF52" s="1316">
        <f t="shared" si="60"/>
        <v>0</v>
      </c>
      <c r="AG52" s="563">
        <f>+Décembre!AT8</f>
        <v>53</v>
      </c>
      <c r="AO52" s="1189" t="s">
        <v>1110</v>
      </c>
      <c r="AP52" s="1326">
        <f>IF(AL22,+ROUND((AQ48+SUM(AQ39:AQ46))*AL34/AL22*Q11,2),0)</f>
        <v>0</v>
      </c>
      <c r="BA52" s="328"/>
      <c r="BD52" s="1341" t="s">
        <v>696</v>
      </c>
      <c r="BE52" s="1342">
        <f>+SUMIFS(BE18:BE48,BF18:BF48,S.CAL!BJ4)</f>
        <v>0</v>
      </c>
      <c r="BF52" s="1343">
        <f>IF(Décembre!BA90="",+COUNTIF(BF18:BF48,S.CAL!BJ4),Décembre!BA90)</f>
        <v>0</v>
      </c>
      <c r="BL52" s="35"/>
      <c r="BU52" s="16" t="s">
        <v>776</v>
      </c>
      <c r="BW52" s="339">
        <f>+BR46+BR49+BZ46+BZ49</f>
        <v>0</v>
      </c>
      <c r="CD52" s="328"/>
      <c r="CI52" s="2534" t="str">
        <f t="shared" si="56"/>
        <v>Semaine numéro : 53</v>
      </c>
      <c r="CJ52" s="2535"/>
      <c r="CK52" s="2536"/>
      <c r="CL52" s="875" t="str">
        <f t="shared" si="61"/>
        <v/>
      </c>
      <c r="CM52" s="656">
        <f t="shared" si="62"/>
        <v>0</v>
      </c>
      <c r="CN52" s="655">
        <f t="shared" si="63"/>
        <v>0</v>
      </c>
      <c r="CO52" s="196">
        <f>+SUMIF(Décembre!$BK$20:$BK$50,Décembre!AT8,$CG$18:$CG$48)</f>
        <v>0</v>
      </c>
      <c r="CP52" s="196">
        <f>+SUMIF(Novembre!$BK$20:$BK$50,Décembre!AT8,'Retenue Nov'!$CG$18:$CG$48)</f>
        <v>0</v>
      </c>
      <c r="CQ52" s="196">
        <v>0</v>
      </c>
      <c r="CR52" s="656">
        <f t="shared" si="64"/>
        <v>0</v>
      </c>
      <c r="EE52" s="19"/>
      <c r="EF52" s="19"/>
      <c r="EG52" s="19"/>
      <c r="EH52" s="19"/>
      <c r="EI52" s="19"/>
    </row>
    <row r="53" spans="2:139" ht="13.5" thickBot="1" x14ac:dyDescent="0.25">
      <c r="N53" s="24"/>
      <c r="O53" s="24"/>
      <c r="P53" s="24"/>
      <c r="Q53" s="24"/>
      <c r="R53" s="24"/>
      <c r="S53" s="1328"/>
      <c r="U53" s="1301"/>
      <c r="V53" s="1301"/>
      <c r="W53" s="2538" t="str">
        <f t="shared" si="55"/>
        <v xml:space="preserve">Semaine numéro : </v>
      </c>
      <c r="X53" s="2538"/>
      <c r="Y53" s="2538"/>
      <c r="Z53" s="1323" t="str">
        <f t="shared" si="57"/>
        <v/>
      </c>
      <c r="AA53" s="1316">
        <f t="shared" si="58"/>
        <v>0</v>
      </c>
      <c r="AB53" s="1316">
        <f t="shared" si="59"/>
        <v>0</v>
      </c>
      <c r="AC53" s="1322">
        <f>+SUMIF(Décembre!$BK$20:$BK$50,Décembre!AT9,$D$18:$D$48)-SUMIF(Décembre!$BK$20:$BK$50,Décembre!AT9,$E$18:$E$48)</f>
        <v>0</v>
      </c>
      <c r="AD53" s="1322">
        <f>+SUMIF(Novembre!$BK$20:$BK$50,Décembre!AT9,'Retenue Nov'!$D$18:$D$48)-SUMIF(Novembre!$BK$20:$BK$50,Décembre!AT9,'Retenue Nov'!$E$18:$E$48)</f>
        <v>0</v>
      </c>
      <c r="AE53" s="1322">
        <v>0</v>
      </c>
      <c r="AF53" s="1316">
        <f t="shared" si="60"/>
        <v>0</v>
      </c>
      <c r="AG53" s="563" t="str">
        <f>+Décembre!AT9</f>
        <v/>
      </c>
      <c r="BA53" s="328"/>
      <c r="BD53" s="374" t="s">
        <v>710</v>
      </c>
      <c r="BE53" s="376">
        <f>+COUNTIF(BE18:BE48,"&gt;0")</f>
        <v>0</v>
      </c>
      <c r="BF53" s="375"/>
      <c r="BH53" s="425"/>
      <c r="BI53" s="426" t="s">
        <v>689</v>
      </c>
      <c r="BJ53" s="427">
        <f>IF(BK3=S.CAL!BP2,BI50,IF(BK3=S.CAL!BP3,BW54,0))</f>
        <v>0</v>
      </c>
      <c r="BK53" s="425"/>
      <c r="BL53" s="35"/>
      <c r="CD53" s="328"/>
      <c r="CI53" s="2534" t="str">
        <f t="shared" si="56"/>
        <v xml:space="preserve">Semaine numéro : </v>
      </c>
      <c r="CJ53" s="2535"/>
      <c r="CK53" s="2536"/>
      <c r="CL53" s="875" t="str">
        <f t="shared" si="61"/>
        <v/>
      </c>
      <c r="CM53" s="656">
        <f t="shared" si="62"/>
        <v>0</v>
      </c>
      <c r="CN53" s="655">
        <f t="shared" si="63"/>
        <v>0</v>
      </c>
      <c r="CO53" s="196">
        <f>+SUMIF(Décembre!$BK$20:$BK$50,Décembre!AT9,$CG$18:$CG$48)</f>
        <v>0</v>
      </c>
      <c r="CP53" s="196">
        <f>+SUMIF(Novembre!$BK$20:$BK$50,Décembre!AT9,'Retenue Nov'!$CG$18:$CG$48)</f>
        <v>0</v>
      </c>
      <c r="CQ53" s="196">
        <v>0</v>
      </c>
      <c r="CR53" s="656">
        <f t="shared" si="64"/>
        <v>0</v>
      </c>
      <c r="EE53" s="19" t="s">
        <v>1255</v>
      </c>
      <c r="EF53" s="79" t="str">
        <f>IFERROR(SMALL(EF18:EF48,2),"")</f>
        <v/>
      </c>
      <c r="EG53" s="79" t="str">
        <f>IFERROR(SMALL(EG18:EG48,2),"")</f>
        <v/>
      </c>
      <c r="EH53" s="63">
        <f>+VLOOKUP(EF53,$EF$18:$EI$48,3,TRUE)</f>
        <v>0</v>
      </c>
      <c r="EI53" s="901"/>
    </row>
    <row r="54" spans="2:139" ht="13.5" thickBot="1" x14ac:dyDescent="0.25">
      <c r="N54" s="24"/>
      <c r="O54" s="24"/>
      <c r="P54" s="24"/>
      <c r="Q54" s="181" t="s">
        <v>1111</v>
      </c>
      <c r="R54" s="676">
        <f>+IF(R3="Méthode 1",P33,IF(R3="Méthode 1A",AC24,AP52))</f>
        <v>0</v>
      </c>
      <c r="T54" s="1322"/>
      <c r="U54" s="1322"/>
      <c r="V54" s="1322"/>
      <c r="W54" s="1322"/>
      <c r="X54" s="1322"/>
      <c r="Y54" s="1322"/>
      <c r="Z54" s="1322"/>
      <c r="AA54" s="1324" t="str">
        <f>Février!BZ34</f>
        <v>Total :</v>
      </c>
      <c r="AB54" s="1308">
        <f>SUM(AB48:AB53)</f>
        <v>0</v>
      </c>
      <c r="AC54" s="1322"/>
      <c r="AD54" s="1322"/>
      <c r="AE54" s="1322"/>
      <c r="AF54" s="1308">
        <f>SUM(AF48:AF53)</f>
        <v>0</v>
      </c>
      <c r="AO54" s="1189" t="s">
        <v>1106</v>
      </c>
      <c r="BA54" s="328"/>
      <c r="BH54" s="425"/>
      <c r="BI54" s="425"/>
      <c r="BJ54" s="425"/>
      <c r="BK54" s="425"/>
      <c r="BU54" s="16" t="s">
        <v>778</v>
      </c>
      <c r="BW54" s="339">
        <f>+BR46+BR49+BZ46+BZ49</f>
        <v>0</v>
      </c>
      <c r="CD54" s="328"/>
      <c r="CI54" s="129"/>
      <c r="CJ54" s="129"/>
      <c r="CK54" s="129"/>
      <c r="CL54" s="129"/>
      <c r="CM54" s="658" t="s">
        <v>441</v>
      </c>
      <c r="CN54" s="659">
        <f>SUM(CN48:CN53)</f>
        <v>0</v>
      </c>
      <c r="CO54" s="884"/>
      <c r="CP54" s="884"/>
      <c r="CQ54" s="884"/>
      <c r="CR54" s="659">
        <f>SUM(CR48:CR53)</f>
        <v>0</v>
      </c>
      <c r="EE54" s="19"/>
      <c r="EF54" s="19"/>
      <c r="EG54" s="19"/>
      <c r="EH54" s="19"/>
      <c r="EI54" s="19"/>
    </row>
    <row r="55" spans="2:139" ht="13.5" thickBot="1" x14ac:dyDescent="0.25">
      <c r="B55" s="2563">
        <f>B17</f>
        <v>46357</v>
      </c>
      <c r="C55" s="2564"/>
      <c r="D55" s="2564"/>
      <c r="E55" s="2565"/>
      <c r="P55" s="377"/>
      <c r="Q55" s="377"/>
      <c r="R55" s="377"/>
      <c r="AO55" s="1189" t="str">
        <f>+ROUND(AQ47,4)&amp;" /  "&amp;ROUND(AO47,4)&amp;"  ="</f>
        <v>0 /  0  =</v>
      </c>
      <c r="AP55" s="563">
        <f>IFERROR(+ROUND(AQ47/AO47,6),0)</f>
        <v>0</v>
      </c>
      <c r="BA55" s="328"/>
      <c r="BH55" s="425"/>
      <c r="BI55" s="425"/>
      <c r="BJ55" s="425"/>
      <c r="BK55" s="425"/>
      <c r="CD55" s="328"/>
      <c r="EE55" s="19" t="s">
        <v>1256</v>
      </c>
      <c r="EF55" s="79" t="str">
        <f>IFERROR(SMALL(EF18:EF48,3),"")</f>
        <v/>
      </c>
      <c r="EG55" s="79" t="str">
        <f>IFERROR(SMALL(EG18:EG48,3),"")</f>
        <v/>
      </c>
      <c r="EH55" s="63">
        <f>+VLOOKUP(EF55,$EF$18:$EI$48,3,TRUE)</f>
        <v>0</v>
      </c>
      <c r="EI55" s="901"/>
    </row>
    <row r="56" spans="2:139" ht="26.25" thickBot="1" x14ac:dyDescent="0.25">
      <c r="B56" s="1529"/>
      <c r="C56" s="1529"/>
      <c r="D56" s="82" t="s">
        <v>1646</v>
      </c>
      <c r="E56" s="82" t="s">
        <v>1647</v>
      </c>
      <c r="F56" s="82" t="s">
        <v>1648</v>
      </c>
      <c r="G56" s="82" t="s">
        <v>1649</v>
      </c>
      <c r="AB56" s="1189" t="s">
        <v>1232</v>
      </c>
      <c r="AC56" s="1308">
        <f>+SUMIF(AG48:AG53,Décembre!CB35,'Retenue Déc'!AC48:AC53)</f>
        <v>0</v>
      </c>
      <c r="BA56" s="328"/>
      <c r="BH56" s="563"/>
      <c r="BI56" s="1189" t="s">
        <v>705</v>
      </c>
      <c r="BJ56" s="1340">
        <f>+IF(BK3=S.CAL!BP2,BJ45,IF(BK3=S.CAL!BP3,BZ46+BZ49,0))</f>
        <v>0</v>
      </c>
      <c r="BK56" s="563"/>
      <c r="CD56" s="328"/>
      <c r="EE56" s="19"/>
      <c r="EF56" s="79"/>
      <c r="EG56" s="79"/>
      <c r="EH56" s="19"/>
      <c r="EI56" s="79"/>
    </row>
    <row r="57" spans="2:139" x14ac:dyDescent="0.2">
      <c r="B57" s="168">
        <f t="shared" ref="B57:C72" si="65">B18</f>
        <v>46357</v>
      </c>
      <c r="C57" s="169">
        <f t="shared" si="65"/>
        <v>46357</v>
      </c>
      <c r="D57" s="335" t="str">
        <f t="shared" ref="D57:D87" si="66">E18</f>
        <v/>
      </c>
      <c r="E57" s="335" t="str">
        <f>+IF(D57="","",VLOOKUP(C57,$CF$18:$CG$48,2,FALSE))</f>
        <v/>
      </c>
      <c r="F57" s="1530" t="str">
        <f t="shared" ref="F57:F87" si="67">+IFERROR(IF(VLOOKUP(E57,Liste_motif_formule,10,FALSE)="OUI",D57,""),"")</f>
        <v/>
      </c>
      <c r="G57" s="1530" t="str">
        <f t="shared" ref="G57:G87" si="68">+IFERROR(IF(VLOOKUP(E57,Liste_motif_formule,11,FALSE)="OUI",D57,""),"")</f>
        <v/>
      </c>
      <c r="N57" s="34"/>
      <c r="AO57" s="1189" t="s">
        <v>1458</v>
      </c>
      <c r="BA57" s="328"/>
      <c r="CD57" s="328"/>
      <c r="EE57" s="19" t="s">
        <v>1257</v>
      </c>
      <c r="EF57" s="79" t="str">
        <f>IFERROR(SMALL(EF18:EF48,4),"")</f>
        <v/>
      </c>
      <c r="EG57" s="79" t="str">
        <f>IFERROR(SMALL(EG18:EG48,4),"")</f>
        <v/>
      </c>
      <c r="EH57" s="63">
        <f>+VLOOKUP(EF57,$EF$18:$EI$48,3,TRUE)</f>
        <v>0</v>
      </c>
      <c r="EI57" s="901"/>
    </row>
    <row r="58" spans="2:139" x14ac:dyDescent="0.2">
      <c r="B58" s="107">
        <f t="shared" si="65"/>
        <v>46358</v>
      </c>
      <c r="C58" s="170">
        <f t="shared" si="65"/>
        <v>46358</v>
      </c>
      <c r="D58" s="171" t="str">
        <f t="shared" si="66"/>
        <v/>
      </c>
      <c r="E58" s="171" t="str">
        <f t="shared" ref="E58:E87" si="69">+IF(D58="","",VLOOKUP(C58,$CF$18:$CG$48,2,FALSE))</f>
        <v/>
      </c>
      <c r="F58" s="1531" t="str">
        <f t="shared" si="67"/>
        <v/>
      </c>
      <c r="G58" s="1531" t="str">
        <f t="shared" si="68"/>
        <v/>
      </c>
      <c r="AO58" s="1189" t="str">
        <f>+ROUND(AP47,4)&amp;" / "&amp;ROUND(AO47,4)&amp;" ="</f>
        <v>0 / 0 =</v>
      </c>
      <c r="AP58" s="563">
        <f>IFERROR(ROUND(+AP47/AO47,6),0)</f>
        <v>0</v>
      </c>
      <c r="BA58" s="328"/>
      <c r="CD58" s="328"/>
      <c r="EE58" s="19"/>
      <c r="EF58" s="19"/>
      <c r="EG58" s="19"/>
      <c r="EH58" s="19"/>
      <c r="EI58" s="19"/>
    </row>
    <row r="59" spans="2:139" x14ac:dyDescent="0.2">
      <c r="B59" s="107">
        <f t="shared" si="65"/>
        <v>46359</v>
      </c>
      <c r="C59" s="170">
        <f t="shared" si="65"/>
        <v>46359</v>
      </c>
      <c r="D59" s="171" t="str">
        <f t="shared" si="66"/>
        <v/>
      </c>
      <c r="E59" s="171" t="str">
        <f t="shared" si="69"/>
        <v/>
      </c>
      <c r="F59" s="1531" t="str">
        <f t="shared" si="67"/>
        <v/>
      </c>
      <c r="G59" s="1531" t="str">
        <f t="shared" si="68"/>
        <v/>
      </c>
      <c r="BA59" s="328"/>
      <c r="BH59" s="29" t="s">
        <v>779</v>
      </c>
      <c r="BI59" s="58">
        <f>+BJ45+BJ29</f>
        <v>0</v>
      </c>
      <c r="CD59" s="328"/>
    </row>
    <row r="60" spans="2:139" x14ac:dyDescent="0.2">
      <c r="B60" s="107">
        <f t="shared" si="65"/>
        <v>46360</v>
      </c>
      <c r="C60" s="170">
        <f t="shared" si="65"/>
        <v>46360</v>
      </c>
      <c r="D60" s="171" t="str">
        <f t="shared" si="66"/>
        <v/>
      </c>
      <c r="E60" s="171" t="str">
        <f t="shared" si="69"/>
        <v/>
      </c>
      <c r="F60" s="1531" t="str">
        <f t="shared" si="67"/>
        <v/>
      </c>
      <c r="G60" s="1531" t="str">
        <f t="shared" si="68"/>
        <v/>
      </c>
      <c r="AO60" s="1189" t="str">
        <f>+IF(ED1=S.CAL!EP1,"Nbre d'heures (&lt; ou = à 45 hrs / sem) à déduire :","Nbre d'heures (&lt; ou = à 45 hrs / sem) mensualisées à déduire :")</f>
        <v>Nbre d'heures (&lt; ou = à 45 hrs / sem) à déduire :</v>
      </c>
      <c r="BA60" s="328"/>
      <c r="CD60" s="328"/>
    </row>
    <row r="61" spans="2:139" x14ac:dyDescent="0.2">
      <c r="B61" s="107">
        <f t="shared" si="65"/>
        <v>46361</v>
      </c>
      <c r="C61" s="170">
        <f t="shared" si="65"/>
        <v>46361</v>
      </c>
      <c r="D61" s="171" t="str">
        <f t="shared" si="66"/>
        <v/>
      </c>
      <c r="E61" s="171" t="str">
        <f t="shared" si="69"/>
        <v/>
      </c>
      <c r="F61" s="1531" t="str">
        <f t="shared" si="67"/>
        <v/>
      </c>
      <c r="G61" s="1531" t="str">
        <f t="shared" si="68"/>
        <v/>
      </c>
      <c r="AO61" s="1189" t="str">
        <f>+IF(ED1=S.CAL!EP1,+E50&amp;" hrs x "&amp;AP58&amp;" =",ROUND(AP47,2)&amp;" hrs X "&amp;ROUND(AL34,4)&amp;" € / "&amp;AL22&amp;" € =")</f>
        <v>0 hrs x 0 =</v>
      </c>
      <c r="AP61" s="1330">
        <f>+IF(ED1=S.CAL!EP1,+ROUND(SUM(AL39:AL46)*AP58,3),ROUND((+AP48+SUM(AP39:AP46))*AL34/AL22,3))</f>
        <v>0</v>
      </c>
      <c r="BA61" s="328"/>
      <c r="BH61" s="425"/>
      <c r="BI61" s="426" t="s">
        <v>780</v>
      </c>
      <c r="BJ61" s="427">
        <f>IF(BK3=S.CAL!BP2,BI59,IF(BK3=S.CAL!BP3,BW52,0))</f>
        <v>0</v>
      </c>
      <c r="BK61" s="425"/>
      <c r="CD61" s="328"/>
    </row>
    <row r="62" spans="2:139" x14ac:dyDescent="0.2">
      <c r="B62" s="107">
        <f t="shared" si="65"/>
        <v>46362</v>
      </c>
      <c r="C62" s="170">
        <f t="shared" si="65"/>
        <v>46362</v>
      </c>
      <c r="D62" s="171" t="str">
        <f t="shared" si="66"/>
        <v/>
      </c>
      <c r="E62" s="171" t="str">
        <f t="shared" si="69"/>
        <v/>
      </c>
      <c r="F62" s="1531" t="str">
        <f t="shared" si="67"/>
        <v/>
      </c>
      <c r="G62" s="1531" t="str">
        <f t="shared" si="68"/>
        <v/>
      </c>
      <c r="BA62" s="328"/>
      <c r="BH62" s="425"/>
      <c r="BI62" s="425"/>
      <c r="BJ62" s="425"/>
      <c r="BK62" s="425"/>
      <c r="CD62" s="328"/>
    </row>
    <row r="63" spans="2:139" x14ac:dyDescent="0.2">
      <c r="B63" s="107">
        <f t="shared" si="65"/>
        <v>46363</v>
      </c>
      <c r="C63" s="170">
        <f t="shared" si="65"/>
        <v>46363</v>
      </c>
      <c r="D63" s="171" t="str">
        <f t="shared" si="66"/>
        <v/>
      </c>
      <c r="E63" s="171" t="str">
        <f t="shared" si="69"/>
        <v/>
      </c>
      <c r="F63" s="1531" t="str">
        <f t="shared" si="67"/>
        <v/>
      </c>
      <c r="G63" s="1531" t="str">
        <f t="shared" si="68"/>
        <v/>
      </c>
      <c r="AO63" s="1189" t="str">
        <f>+IF(ED1=S.CAL!EP1,"Nbre d'heures majorées à déduire :","Nbre d'heures majorées mensualisées à déduire :")</f>
        <v>Nbre d'heures majorées à déduire :</v>
      </c>
      <c r="BA63" s="328"/>
      <c r="BH63" s="425"/>
      <c r="BI63" s="425"/>
      <c r="BJ63" s="425"/>
      <c r="BK63" s="425"/>
      <c r="CD63" s="328"/>
    </row>
    <row r="64" spans="2:139" x14ac:dyDescent="0.2">
      <c r="B64" s="107">
        <f t="shared" si="65"/>
        <v>46364</v>
      </c>
      <c r="C64" s="170">
        <f t="shared" si="65"/>
        <v>46364</v>
      </c>
      <c r="D64" s="171" t="str">
        <f t="shared" si="66"/>
        <v/>
      </c>
      <c r="E64" s="171" t="str">
        <f t="shared" si="69"/>
        <v/>
      </c>
      <c r="F64" s="1531" t="str">
        <f t="shared" si="67"/>
        <v/>
      </c>
      <c r="G64" s="1531" t="str">
        <f t="shared" si="68"/>
        <v/>
      </c>
      <c r="AO64" s="1189" t="str">
        <f>+IF(ED1=S.CAL!EP1,+E50&amp;" hrs x "&amp;AP55&amp;" =",AQ47&amp;" hrs X "&amp;ROUND(AL34,4)&amp;" € / "&amp;AL22&amp;" € =")</f>
        <v>0 hrs x 0 =</v>
      </c>
      <c r="AP64" s="1330">
        <f>IF(ED1=S.CAL!EP1,ROUND(E50*AP55,3),ROUND((AQ48+SUM(AQ39:AQ46))*AL34/AL22,3))</f>
        <v>0</v>
      </c>
      <c r="BA64" s="328"/>
      <c r="BH64" s="563"/>
      <c r="BI64" s="1189" t="s">
        <v>781</v>
      </c>
      <c r="BJ64" s="1340">
        <f>+IF(BK3=S.CAL!BP2,BJ45,IF(BK3=S.CAL!BP3,BZ46+BZ49,0))</f>
        <v>0</v>
      </c>
      <c r="BK64" s="563"/>
      <c r="CD64" s="328"/>
    </row>
    <row r="65" spans="2:82" x14ac:dyDescent="0.2">
      <c r="B65" s="107">
        <f t="shared" si="65"/>
        <v>46365</v>
      </c>
      <c r="C65" s="170">
        <f t="shared" si="65"/>
        <v>46365</v>
      </c>
      <c r="D65" s="171" t="str">
        <f t="shared" si="66"/>
        <v/>
      </c>
      <c r="E65" s="171" t="str">
        <f t="shared" si="69"/>
        <v/>
      </c>
      <c r="F65" s="1531" t="str">
        <f t="shared" si="67"/>
        <v/>
      </c>
      <c r="G65" s="1531" t="str">
        <f t="shared" si="68"/>
        <v/>
      </c>
      <c r="BA65" s="328"/>
      <c r="CD65" s="328"/>
    </row>
    <row r="66" spans="2:82" x14ac:dyDescent="0.2">
      <c r="B66" s="107">
        <f t="shared" si="65"/>
        <v>46366</v>
      </c>
      <c r="C66" s="170">
        <f t="shared" si="65"/>
        <v>46366</v>
      </c>
      <c r="D66" s="171" t="str">
        <f t="shared" si="66"/>
        <v/>
      </c>
      <c r="E66" s="171" t="str">
        <f t="shared" si="69"/>
        <v/>
      </c>
      <c r="F66" s="1531" t="str">
        <f t="shared" si="67"/>
        <v/>
      </c>
      <c r="G66" s="1531" t="str">
        <f t="shared" si="68"/>
        <v/>
      </c>
      <c r="BA66" s="328"/>
      <c r="CD66" s="328"/>
    </row>
    <row r="67" spans="2:82" x14ac:dyDescent="0.2">
      <c r="B67" s="107">
        <f t="shared" si="65"/>
        <v>46367</v>
      </c>
      <c r="C67" s="170">
        <f t="shared" si="65"/>
        <v>46367</v>
      </c>
      <c r="D67" s="171" t="str">
        <f t="shared" si="66"/>
        <v/>
      </c>
      <c r="E67" s="171" t="str">
        <f t="shared" si="69"/>
        <v/>
      </c>
      <c r="F67" s="1531" t="str">
        <f t="shared" si="67"/>
        <v/>
      </c>
      <c r="G67" s="1531" t="str">
        <f t="shared" si="68"/>
        <v/>
      </c>
      <c r="BA67" s="328"/>
      <c r="CD67" s="328"/>
    </row>
    <row r="68" spans="2:82" x14ac:dyDescent="0.2">
      <c r="B68" s="107">
        <f t="shared" si="65"/>
        <v>46368</v>
      </c>
      <c r="C68" s="170">
        <f t="shared" si="65"/>
        <v>46368</v>
      </c>
      <c r="D68" s="171" t="str">
        <f t="shared" si="66"/>
        <v/>
      </c>
      <c r="E68" s="171" t="str">
        <f t="shared" si="69"/>
        <v/>
      </c>
      <c r="F68" s="1531" t="str">
        <f t="shared" si="67"/>
        <v/>
      </c>
      <c r="G68" s="1531" t="str">
        <f t="shared" si="68"/>
        <v/>
      </c>
      <c r="AI68" s="1332" t="s">
        <v>329</v>
      </c>
      <c r="BA68" s="328"/>
      <c r="CD68" s="328"/>
    </row>
    <row r="69" spans="2:82" x14ac:dyDescent="0.2">
      <c r="B69" s="107">
        <f t="shared" si="65"/>
        <v>46369</v>
      </c>
      <c r="C69" s="170">
        <f t="shared" si="65"/>
        <v>46369</v>
      </c>
      <c r="D69" s="171" t="str">
        <f t="shared" si="66"/>
        <v/>
      </c>
      <c r="E69" s="171" t="str">
        <f t="shared" si="69"/>
        <v/>
      </c>
      <c r="F69" s="1531" t="str">
        <f t="shared" si="67"/>
        <v/>
      </c>
      <c r="G69" s="1531" t="str">
        <f t="shared" si="68"/>
        <v/>
      </c>
      <c r="BA69" s="328"/>
      <c r="CD69" s="328"/>
    </row>
    <row r="70" spans="2:82" x14ac:dyDescent="0.2">
      <c r="B70" s="107">
        <f t="shared" si="65"/>
        <v>46370</v>
      </c>
      <c r="C70" s="170">
        <f t="shared" si="65"/>
        <v>46370</v>
      </c>
      <c r="D70" s="171" t="str">
        <f t="shared" si="66"/>
        <v/>
      </c>
      <c r="E70" s="171" t="str">
        <f t="shared" si="69"/>
        <v/>
      </c>
      <c r="F70" s="1531" t="str">
        <f t="shared" si="67"/>
        <v/>
      </c>
      <c r="G70" s="1531" t="str">
        <f t="shared" si="68"/>
        <v/>
      </c>
      <c r="AI70" s="563" t="s">
        <v>330</v>
      </c>
      <c r="BA70" s="328"/>
      <c r="CD70" s="328"/>
    </row>
    <row r="71" spans="2:82" x14ac:dyDescent="0.2">
      <c r="B71" s="107">
        <f t="shared" si="65"/>
        <v>46371</v>
      </c>
      <c r="C71" s="170">
        <f t="shared" si="65"/>
        <v>46371</v>
      </c>
      <c r="D71" s="171" t="str">
        <f t="shared" si="66"/>
        <v/>
      </c>
      <c r="E71" s="171" t="str">
        <f t="shared" si="69"/>
        <v/>
      </c>
      <c r="F71" s="1531" t="str">
        <f t="shared" si="67"/>
        <v/>
      </c>
      <c r="G71" s="1531" t="str">
        <f t="shared" si="68"/>
        <v/>
      </c>
      <c r="AI71" s="1333" t="s">
        <v>331</v>
      </c>
      <c r="BA71" s="328"/>
      <c r="CD71" s="328"/>
    </row>
    <row r="72" spans="2:82" x14ac:dyDescent="0.2">
      <c r="B72" s="107">
        <f t="shared" si="65"/>
        <v>46372</v>
      </c>
      <c r="C72" s="170">
        <f t="shared" si="65"/>
        <v>46372</v>
      </c>
      <c r="D72" s="171" t="str">
        <f t="shared" si="66"/>
        <v/>
      </c>
      <c r="E72" s="171" t="str">
        <f t="shared" si="69"/>
        <v/>
      </c>
      <c r="F72" s="1531" t="str">
        <f t="shared" si="67"/>
        <v/>
      </c>
      <c r="G72" s="1531" t="str">
        <f t="shared" si="68"/>
        <v/>
      </c>
      <c r="AI72" s="563" t="e">
        <f>ROUND(AL24,2)&amp;" / "&amp;AL22&amp;" ="&amp;ROUND(AL25,2)&amp;" hrs"</f>
        <v>#VALUE!</v>
      </c>
      <c r="BA72" s="328"/>
      <c r="CD72" s="328"/>
    </row>
    <row r="73" spans="2:82" x14ac:dyDescent="0.2">
      <c r="B73" s="107">
        <f t="shared" ref="B73:C87" si="70">B34</f>
        <v>46373</v>
      </c>
      <c r="C73" s="170">
        <f t="shared" si="70"/>
        <v>46373</v>
      </c>
      <c r="D73" s="171" t="str">
        <f t="shared" si="66"/>
        <v/>
      </c>
      <c r="E73" s="171" t="str">
        <f t="shared" si="69"/>
        <v/>
      </c>
      <c r="F73" s="1531" t="str">
        <f t="shared" si="67"/>
        <v/>
      </c>
      <c r="G73" s="1531" t="str">
        <f t="shared" si="68"/>
        <v/>
      </c>
      <c r="BA73" s="328"/>
      <c r="CD73" s="328"/>
    </row>
    <row r="74" spans="2:82" x14ac:dyDescent="0.2">
      <c r="B74" s="107">
        <f t="shared" si="70"/>
        <v>46374</v>
      </c>
      <c r="C74" s="170">
        <f t="shared" si="70"/>
        <v>46374</v>
      </c>
      <c r="D74" s="171" t="str">
        <f t="shared" si="66"/>
        <v/>
      </c>
      <c r="E74" s="171" t="str">
        <f t="shared" si="69"/>
        <v/>
      </c>
      <c r="F74" s="1531" t="str">
        <f t="shared" si="67"/>
        <v/>
      </c>
      <c r="G74" s="1531" t="str">
        <f t="shared" si="68"/>
        <v/>
      </c>
      <c r="AI74" s="563" t="s">
        <v>332</v>
      </c>
      <c r="BA74" s="328"/>
      <c r="CD74" s="328"/>
    </row>
    <row r="75" spans="2:82" x14ac:dyDescent="0.2">
      <c r="B75" s="107">
        <f t="shared" si="70"/>
        <v>46375</v>
      </c>
      <c r="C75" s="170">
        <f t="shared" si="70"/>
        <v>46375</v>
      </c>
      <c r="D75" s="171" t="str">
        <f t="shared" si="66"/>
        <v/>
      </c>
      <c r="E75" s="171" t="str">
        <f t="shared" si="69"/>
        <v/>
      </c>
      <c r="F75" s="1531" t="str">
        <f t="shared" si="67"/>
        <v/>
      </c>
      <c r="G75" s="1531" t="str">
        <f t="shared" si="68"/>
        <v/>
      </c>
      <c r="AI75" s="1333" t="s">
        <v>333</v>
      </c>
      <c r="BA75" s="328"/>
      <c r="CD75" s="328"/>
    </row>
    <row r="76" spans="2:82" x14ac:dyDescent="0.2">
      <c r="B76" s="107">
        <f t="shared" si="70"/>
        <v>46376</v>
      </c>
      <c r="C76" s="170">
        <f t="shared" si="70"/>
        <v>46376</v>
      </c>
      <c r="D76" s="171" t="str">
        <f t="shared" si="66"/>
        <v/>
      </c>
      <c r="E76" s="171" t="str">
        <f t="shared" si="69"/>
        <v/>
      </c>
      <c r="F76" s="1531" t="str">
        <f t="shared" si="67"/>
        <v/>
      </c>
      <c r="G76" s="1531" t="str">
        <f t="shared" si="68"/>
        <v/>
      </c>
      <c r="BA76" s="328"/>
      <c r="CD76" s="328"/>
    </row>
    <row r="77" spans="2:82" x14ac:dyDescent="0.2">
      <c r="B77" s="107">
        <f t="shared" si="70"/>
        <v>46377</v>
      </c>
      <c r="C77" s="170">
        <f t="shared" si="70"/>
        <v>46377</v>
      </c>
      <c r="D77" s="171" t="str">
        <f t="shared" si="66"/>
        <v/>
      </c>
      <c r="E77" s="171" t="str">
        <f t="shared" si="69"/>
        <v/>
      </c>
      <c r="F77" s="1531" t="str">
        <f t="shared" si="67"/>
        <v/>
      </c>
      <c r="G77" s="1531" t="str">
        <f t="shared" si="68"/>
        <v/>
      </c>
      <c r="AI77" s="563" t="s">
        <v>334</v>
      </c>
      <c r="BA77" s="328"/>
      <c r="CD77" s="328"/>
    </row>
    <row r="78" spans="2:82" x14ac:dyDescent="0.2">
      <c r="B78" s="107">
        <f t="shared" si="70"/>
        <v>46378</v>
      </c>
      <c r="C78" s="170">
        <f t="shared" si="70"/>
        <v>46378</v>
      </c>
      <c r="D78" s="171" t="str">
        <f t="shared" si="66"/>
        <v/>
      </c>
      <c r="E78" s="171" t="str">
        <f t="shared" si="69"/>
        <v/>
      </c>
      <c r="F78" s="1531" t="str">
        <f t="shared" si="67"/>
        <v/>
      </c>
      <c r="G78" s="1531" t="str">
        <f t="shared" si="68"/>
        <v/>
      </c>
      <c r="AI78" s="1333" t="s">
        <v>680</v>
      </c>
      <c r="BA78" s="328"/>
      <c r="CD78" s="328"/>
    </row>
    <row r="79" spans="2:82" x14ac:dyDescent="0.2">
      <c r="B79" s="107">
        <f t="shared" si="70"/>
        <v>46379</v>
      </c>
      <c r="C79" s="170">
        <f t="shared" si="70"/>
        <v>46379</v>
      </c>
      <c r="D79" s="171" t="str">
        <f t="shared" si="66"/>
        <v/>
      </c>
      <c r="E79" s="171" t="str">
        <f t="shared" si="69"/>
        <v/>
      </c>
      <c r="F79" s="1531" t="str">
        <f t="shared" si="67"/>
        <v/>
      </c>
      <c r="G79" s="1531" t="str">
        <f t="shared" si="68"/>
        <v/>
      </c>
      <c r="AI79" s="563" t="e">
        <f>ROUND(AT21,2)&amp;" /"&amp; AS21&amp;" = "&amp;ROUND(AL26,2)&amp;" hrs"</f>
        <v>#VALUE!</v>
      </c>
      <c r="BA79" s="328"/>
      <c r="CD79" s="328"/>
    </row>
    <row r="80" spans="2:82" x14ac:dyDescent="0.2">
      <c r="B80" s="107">
        <f t="shared" si="70"/>
        <v>46380</v>
      </c>
      <c r="C80" s="170">
        <f t="shared" si="70"/>
        <v>46380</v>
      </c>
      <c r="D80" s="171" t="str">
        <f t="shared" si="66"/>
        <v/>
      </c>
      <c r="E80" s="171" t="str">
        <f t="shared" si="69"/>
        <v/>
      </c>
      <c r="F80" s="1531" t="str">
        <f t="shared" si="67"/>
        <v/>
      </c>
      <c r="G80" s="1531" t="str">
        <f t="shared" si="68"/>
        <v/>
      </c>
      <c r="BA80" s="328"/>
      <c r="CD80" s="328"/>
    </row>
    <row r="81" spans="2:82" x14ac:dyDescent="0.2">
      <c r="B81" s="107">
        <f t="shared" si="70"/>
        <v>46381</v>
      </c>
      <c r="C81" s="170">
        <f t="shared" si="70"/>
        <v>46381</v>
      </c>
      <c r="D81" s="171" t="str">
        <f t="shared" si="66"/>
        <v/>
      </c>
      <c r="E81" s="171" t="str">
        <f t="shared" si="69"/>
        <v/>
      </c>
      <c r="F81" s="1531" t="str">
        <f t="shared" si="67"/>
        <v/>
      </c>
      <c r="G81" s="1531" t="str">
        <f t="shared" si="68"/>
        <v/>
      </c>
      <c r="AI81" s="563" t="s">
        <v>518</v>
      </c>
      <c r="BA81" s="328"/>
      <c r="CD81" s="328"/>
    </row>
    <row r="82" spans="2:82" x14ac:dyDescent="0.2">
      <c r="B82" s="107">
        <f t="shared" si="70"/>
        <v>46382</v>
      </c>
      <c r="C82" s="170">
        <f t="shared" si="70"/>
        <v>46382</v>
      </c>
      <c r="D82" s="171" t="str">
        <f t="shared" si="66"/>
        <v/>
      </c>
      <c r="E82" s="171" t="str">
        <f t="shared" si="69"/>
        <v/>
      </c>
      <c r="F82" s="1531" t="str">
        <f t="shared" si="67"/>
        <v/>
      </c>
      <c r="G82" s="1531" t="str">
        <f t="shared" si="68"/>
        <v/>
      </c>
      <c r="AI82" s="1333" t="s">
        <v>681</v>
      </c>
      <c r="BA82" s="328"/>
      <c r="CD82" s="328"/>
    </row>
    <row r="83" spans="2:82" x14ac:dyDescent="0.2">
      <c r="B83" s="107">
        <f t="shared" si="70"/>
        <v>46383</v>
      </c>
      <c r="C83" s="170">
        <f t="shared" si="70"/>
        <v>46383</v>
      </c>
      <c r="D83" s="171" t="str">
        <f t="shared" si="66"/>
        <v/>
      </c>
      <c r="E83" s="171" t="str">
        <f t="shared" si="69"/>
        <v/>
      </c>
      <c r="F83" s="1531" t="str">
        <f t="shared" si="67"/>
        <v/>
      </c>
      <c r="G83" s="1531" t="str">
        <f t="shared" si="68"/>
        <v/>
      </c>
      <c r="AI83" s="563" t="e">
        <f>AV21&amp;" / "&amp;AS21&amp;" = "&amp;ROUND(AL27,2)&amp;" jrs"</f>
        <v>#VALUE!</v>
      </c>
      <c r="BA83" s="328"/>
      <c r="CD83" s="328"/>
    </row>
    <row r="84" spans="2:82" x14ac:dyDescent="0.2">
      <c r="B84" s="107">
        <f t="shared" si="70"/>
        <v>46384</v>
      </c>
      <c r="C84" s="170">
        <f t="shared" si="70"/>
        <v>46384</v>
      </c>
      <c r="D84" s="171" t="str">
        <f t="shared" si="66"/>
        <v/>
      </c>
      <c r="E84" s="171" t="str">
        <f t="shared" si="69"/>
        <v/>
      </c>
      <c r="F84" s="1531" t="str">
        <f t="shared" si="67"/>
        <v/>
      </c>
      <c r="G84" s="1531" t="str">
        <f t="shared" si="68"/>
        <v/>
      </c>
      <c r="BA84" s="328"/>
      <c r="CD84" s="328"/>
    </row>
    <row r="85" spans="2:82" x14ac:dyDescent="0.2">
      <c r="B85" s="107">
        <f t="shared" si="70"/>
        <v>46385</v>
      </c>
      <c r="C85" s="170">
        <f t="shared" si="70"/>
        <v>46385</v>
      </c>
      <c r="D85" s="171" t="str">
        <f t="shared" si="66"/>
        <v/>
      </c>
      <c r="E85" s="171" t="str">
        <f t="shared" si="69"/>
        <v/>
      </c>
      <c r="F85" s="1531" t="str">
        <f t="shared" si="67"/>
        <v/>
      </c>
      <c r="G85" s="1531" t="str">
        <f t="shared" si="68"/>
        <v/>
      </c>
      <c r="AI85" s="1333" t="s">
        <v>335</v>
      </c>
      <c r="BA85" s="328"/>
      <c r="CD85" s="328"/>
    </row>
    <row r="86" spans="2:82" x14ac:dyDescent="0.2">
      <c r="B86" s="107">
        <f t="shared" si="70"/>
        <v>46386</v>
      </c>
      <c r="C86" s="170">
        <f t="shared" si="70"/>
        <v>46386</v>
      </c>
      <c r="D86" s="171" t="str">
        <f t="shared" si="66"/>
        <v/>
      </c>
      <c r="E86" s="171" t="str">
        <f t="shared" si="69"/>
        <v/>
      </c>
      <c r="F86" s="1531" t="str">
        <f t="shared" si="67"/>
        <v/>
      </c>
      <c r="G86" s="1531" t="str">
        <f t="shared" si="68"/>
        <v/>
      </c>
      <c r="AI86" s="1333" t="s">
        <v>336</v>
      </c>
      <c r="BA86" s="328"/>
      <c r="CD86" s="328"/>
    </row>
    <row r="87" spans="2:82" ht="13.5" thickBot="1" x14ac:dyDescent="0.25">
      <c r="B87" s="110">
        <f t="shared" si="70"/>
        <v>46387</v>
      </c>
      <c r="C87" s="190">
        <f t="shared" si="70"/>
        <v>46387</v>
      </c>
      <c r="D87" s="191" t="str">
        <f t="shared" si="66"/>
        <v/>
      </c>
      <c r="E87" s="191" t="str">
        <f t="shared" si="69"/>
        <v/>
      </c>
      <c r="F87" s="1532" t="str">
        <f t="shared" si="67"/>
        <v/>
      </c>
      <c r="G87" s="1532" t="str">
        <f t="shared" si="68"/>
        <v/>
      </c>
      <c r="AI87" s="563" t="e">
        <f>ROUND(AL26,2)&amp;" / "&amp;ROUND(AL27,3)&amp;" ="&amp;ROUND(AL28,3)&amp;" hrs"</f>
        <v>#VALUE!</v>
      </c>
      <c r="BA87" s="328"/>
      <c r="CD87" s="328"/>
    </row>
    <row r="88" spans="2:82" ht="13.5" thickBot="1" x14ac:dyDescent="0.25">
      <c r="D88" s="192">
        <f>SUM(D57:D87)</f>
        <v>0</v>
      </c>
      <c r="F88" s="192">
        <f>SUM(F57:F87)</f>
        <v>0</v>
      </c>
      <c r="G88" s="192">
        <f>SUM(G57:G87)</f>
        <v>0</v>
      </c>
      <c r="BA88" s="328"/>
      <c r="CD88" s="328"/>
    </row>
    <row r="89" spans="2:82" x14ac:dyDescent="0.2">
      <c r="AI89" s="563" t="s">
        <v>337</v>
      </c>
      <c r="BA89" s="328"/>
      <c r="CD89" s="328"/>
    </row>
    <row r="90" spans="2:82" x14ac:dyDescent="0.2">
      <c r="E90" s="29" t="s">
        <v>1650</v>
      </c>
      <c r="F90" s="337" t="e">
        <f>+(Q16+Q17)/D50*F88</f>
        <v>#DIV/0!</v>
      </c>
      <c r="G90" s="337" t="e">
        <f>+(Q16+Q17)/D50*G88*0.8</f>
        <v>#DIV/0!</v>
      </c>
      <c r="AI90" s="1333" t="s">
        <v>519</v>
      </c>
      <c r="BA90" s="328"/>
      <c r="CD90" s="328"/>
    </row>
    <row r="91" spans="2:82" x14ac:dyDescent="0.2">
      <c r="AI91" s="563" t="e">
        <f>ROUND(AL30,2)&amp;" X "&amp;ROUND(AL28,2)&amp;" = "&amp;ROUND(AL32,2)&amp;" hrs"</f>
        <v>#VALUE!</v>
      </c>
      <c r="BA91" s="328"/>
      <c r="CD91" s="328"/>
    </row>
    <row r="92" spans="2:82" x14ac:dyDescent="0.2">
      <c r="B92" s="16" t="s">
        <v>1651</v>
      </c>
      <c r="BA92" s="328"/>
      <c r="CD92" s="328"/>
    </row>
    <row r="93" spans="2:82" x14ac:dyDescent="0.2">
      <c r="B93" s="16" t="e">
        <f>" ( "&amp;Q16&amp;" € + "&amp;Q17&amp;" € ) / "&amp;D50&amp;" X "&amp;F88&amp;" = "&amp;ROUND(F90,2)&amp;" €"</f>
        <v>#DIV/0!</v>
      </c>
      <c r="AI93" s="563" t="s">
        <v>338</v>
      </c>
      <c r="BA93" s="328"/>
      <c r="CD93" s="328"/>
    </row>
    <row r="94" spans="2:82" x14ac:dyDescent="0.2">
      <c r="B94" s="16" t="e">
        <f>" ( "&amp;Q16&amp;" € + "&amp;Q17&amp;" € ) / "&amp;D50&amp;" X "&amp;G88&amp;" X 0,80 = "&amp;ROUND(G90,2)&amp;" €"</f>
        <v>#DIV/0!</v>
      </c>
      <c r="AI94" s="1333" t="s">
        <v>339</v>
      </c>
      <c r="BA94" s="328"/>
      <c r="CD94" s="328"/>
    </row>
    <row r="95" spans="2:82" x14ac:dyDescent="0.2">
      <c r="AI95" s="563" t="e">
        <f>ROUND(AL24,2)&amp;" / "&amp;ROUND(AL32,2)&amp;" = "&amp;ROUND(AL34,2)&amp;" €"</f>
        <v>#VALUE!</v>
      </c>
    </row>
    <row r="97" spans="35:35" x14ac:dyDescent="0.2">
      <c r="AI97" s="563" t="s">
        <v>1107</v>
      </c>
    </row>
    <row r="99" spans="35:35" x14ac:dyDescent="0.2">
      <c r="AI99" s="563" t="s">
        <v>520</v>
      </c>
    </row>
    <row r="100" spans="35:35" x14ac:dyDescent="0.2">
      <c r="AI100" s="563" t="s">
        <v>340</v>
      </c>
    </row>
    <row r="101" spans="35:35" x14ac:dyDescent="0.2">
      <c r="AI101" s="1333" t="s">
        <v>1109</v>
      </c>
    </row>
    <row r="103" spans="35:35" x14ac:dyDescent="0.2">
      <c r="AI103" s="563" t="s">
        <v>341</v>
      </c>
    </row>
    <row r="104" spans="35:35" x14ac:dyDescent="0.2">
      <c r="AI104" s="563" t="s">
        <v>1108</v>
      </c>
    </row>
  </sheetData>
  <sheetProtection algorithmName="SHA-512" hashValue="8U4pnJjwMlwY4kuJlq6hUZD2R0rsaoYtPvCJAc2RUbue/rAhb2erbfIYCt62Fd7oR+63eFjzjbiWC/DCjIDuMA==" saltValue="pTZUwmN7ydkgaThJHzV39w==" spinCount="100000" sheet="1" objects="1" scenarios="1" formatCells="0" formatColumns="0" formatRows="0" insertColumns="0" insertRows="0" insertHyperlinks="0" sort="0" autoFilter="0" pivotTables="0"/>
  <mergeCells count="73">
    <mergeCell ref="B55:E55"/>
    <mergeCell ref="BZ26:BZ27"/>
    <mergeCell ref="CA26:CA27"/>
    <mergeCell ref="CB26:CB27"/>
    <mergeCell ref="BR26:BR27"/>
    <mergeCell ref="BS26:BS27"/>
    <mergeCell ref="BT26:BT27"/>
    <mergeCell ref="BX26:BX27"/>
    <mergeCell ref="BY26:BY27"/>
    <mergeCell ref="BQ26:BQ27"/>
    <mergeCell ref="BP26:BP27"/>
    <mergeCell ref="W52:Y52"/>
    <mergeCell ref="W53:Y53"/>
    <mergeCell ref="Z46:Z47"/>
    <mergeCell ref="W48:Y48"/>
    <mergeCell ref="W49:Y49"/>
    <mergeCell ref="BF15:BF16"/>
    <mergeCell ref="BB17:BG17"/>
    <mergeCell ref="BG15:BG16"/>
    <mergeCell ref="BH29:BI29"/>
    <mergeCell ref="BE15:BE16"/>
    <mergeCell ref="D15:D16"/>
    <mergeCell ref="E15:E16"/>
    <mergeCell ref="BD8:BE8"/>
    <mergeCell ref="AJ8:AK8"/>
    <mergeCell ref="AA32:AA33"/>
    <mergeCell ref="AB32:AB33"/>
    <mergeCell ref="AA19:AB19"/>
    <mergeCell ref="AA21:AB21"/>
    <mergeCell ref="AF32:AF33"/>
    <mergeCell ref="S19:V19"/>
    <mergeCell ref="S21:V21"/>
    <mergeCell ref="W50:Y50"/>
    <mergeCell ref="W51:Y51"/>
    <mergeCell ref="AP37:AP38"/>
    <mergeCell ref="AN39:AN46"/>
    <mergeCell ref="AL37:AL38"/>
    <mergeCell ref="AM37:AM38"/>
    <mergeCell ref="AN37:AN38"/>
    <mergeCell ref="AO37:AO38"/>
    <mergeCell ref="W39:Y39"/>
    <mergeCell ref="W34:Y34"/>
    <mergeCell ref="W35:Y35"/>
    <mergeCell ref="W36:Y36"/>
    <mergeCell ref="AF46:AF47"/>
    <mergeCell ref="CM46:CM47"/>
    <mergeCell ref="CN46:CN47"/>
    <mergeCell ref="CR46:CR47"/>
    <mergeCell ref="CI48:CK48"/>
    <mergeCell ref="CG15:CG16"/>
    <mergeCell ref="CH15:CH16"/>
    <mergeCell ref="CE17:CG17"/>
    <mergeCell ref="CI50:CK50"/>
    <mergeCell ref="CI51:CK51"/>
    <mergeCell ref="CI52:CK52"/>
    <mergeCell ref="CI53:CK53"/>
    <mergeCell ref="CL46:CL47"/>
    <mergeCell ref="A6:R6"/>
    <mergeCell ref="T6:AF6"/>
    <mergeCell ref="CI49:CK49"/>
    <mergeCell ref="AQ37:AQ38"/>
    <mergeCell ref="AO30:AQ30"/>
    <mergeCell ref="BD15:BD16"/>
    <mergeCell ref="W37:Y37"/>
    <mergeCell ref="W38:Y38"/>
    <mergeCell ref="U8:V8"/>
    <mergeCell ref="BH45:BI45"/>
    <mergeCell ref="BN8:BO8"/>
    <mergeCell ref="D8:E8"/>
    <mergeCell ref="B17:E17"/>
    <mergeCell ref="Z32:Z33"/>
    <mergeCell ref="AA46:AA47"/>
    <mergeCell ref="AB46:AB47"/>
  </mergeCells>
  <conditionalFormatting sqref="A7:R7">
    <cfRule type="expression" dxfId="3473" priority="36">
      <formula>$R$3=$A$5</formula>
    </cfRule>
  </conditionalFormatting>
  <conditionalFormatting sqref="M19:Q23">
    <cfRule type="expression" dxfId="3472" priority="13">
      <formula>$E$11&gt;0</formula>
    </cfRule>
  </conditionalFormatting>
  <conditionalFormatting sqref="M26:R46">
    <cfRule type="expression" dxfId="3471" priority="3">
      <formula>$E$11=0</formula>
    </cfRule>
  </conditionalFormatting>
  <conditionalFormatting sqref="P17">
    <cfRule type="expression" dxfId="3470" priority="16">
      <formula>$E$11=0</formula>
    </cfRule>
  </conditionalFormatting>
  <conditionalFormatting sqref="P30">
    <cfRule type="expression" dxfId="3469" priority="7">
      <formula>AND($R$3="Méthode 1",$E$11&lt;0)</formula>
    </cfRule>
  </conditionalFormatting>
  <conditionalFormatting sqref="P33">
    <cfRule type="expression" dxfId="3468" priority="6">
      <formula>AND($R$3="Méthode 1",$E$11&lt;0)</formula>
    </cfRule>
  </conditionalFormatting>
  <conditionalFormatting sqref="Q17">
    <cfRule type="cellIs" dxfId="3467" priority="15" operator="equal">
      <formula>0</formula>
    </cfRule>
  </conditionalFormatting>
  <conditionalFormatting sqref="Q42">
    <cfRule type="expression" dxfId="3466" priority="5">
      <formula>AND($R$3="Méthode 1",$E$11&lt;0)</formula>
    </cfRule>
  </conditionalFormatting>
  <conditionalFormatting sqref="Q45">
    <cfRule type="expression" dxfId="3465" priority="4">
      <formula>AND($R$3="Méthode 1",$E$11&lt;0)</formula>
    </cfRule>
  </conditionalFormatting>
  <conditionalFormatting sqref="S7:AF7">
    <cfRule type="expression" dxfId="3464" priority="35">
      <formula>$R$3=$T$5</formula>
    </cfRule>
  </conditionalFormatting>
  <conditionalFormatting sqref="W19">
    <cfRule type="expression" dxfId="3463" priority="40">
      <formula>$EF$14=1</formula>
    </cfRule>
  </conditionalFormatting>
  <conditionalFormatting sqref="W21">
    <cfRule type="expression" dxfId="3462" priority="39">
      <formula>$EF$14=1</formula>
    </cfRule>
  </conditionalFormatting>
  <conditionalFormatting sqref="AC19">
    <cfRule type="expression" dxfId="3461" priority="38">
      <formula>$EF$14=1</formula>
    </cfRule>
  </conditionalFormatting>
  <conditionalFormatting sqref="AC21">
    <cfRule type="expression" dxfId="3460" priority="37">
      <formula>$EF$14=1</formula>
    </cfRule>
  </conditionalFormatting>
  <conditionalFormatting sqref="AH7:AZ7">
    <cfRule type="expression" dxfId="3459" priority="21">
      <formula>$R$3=$AI$5</formula>
    </cfRule>
  </conditionalFormatting>
  <conditionalFormatting sqref="AP50">
    <cfRule type="expression" dxfId="3458" priority="20">
      <formula>$R$3="Méthode 2"</formula>
    </cfRule>
  </conditionalFormatting>
  <conditionalFormatting sqref="AP52">
    <cfRule type="expression" dxfId="3457" priority="19">
      <formula>$R$3="Méthode 2"</formula>
    </cfRule>
  </conditionalFormatting>
  <conditionalFormatting sqref="AP61">
    <cfRule type="expression" dxfId="3456" priority="18">
      <formula>$R$3="Méthode 2"</formula>
    </cfRule>
  </conditionalFormatting>
  <conditionalFormatting sqref="AP64">
    <cfRule type="expression" dxfId="3455" priority="17">
      <formula>$R$3="Méthode 2"</formula>
    </cfRule>
  </conditionalFormatting>
  <conditionalFormatting sqref="BI50">
    <cfRule type="expression" dxfId="3454" priority="28">
      <formula>$BK$3="Méthode 1"</formula>
    </cfRule>
  </conditionalFormatting>
  <conditionalFormatting sqref="BJ29">
    <cfRule type="expression" dxfId="3453" priority="30">
      <formula>$BK$3="Méthode 1"</formula>
    </cfRule>
  </conditionalFormatting>
  <conditionalFormatting sqref="BJ45">
    <cfRule type="expression" dxfId="3452" priority="29">
      <formula>$BK$3="Méthode 1"</formula>
    </cfRule>
  </conditionalFormatting>
  <conditionalFormatting sqref="BR46">
    <cfRule type="expression" dxfId="3451" priority="27">
      <formula>$BK$3="Méthode 2"</formula>
    </cfRule>
  </conditionalFormatting>
  <conditionalFormatting sqref="BR49">
    <cfRule type="expression" dxfId="3450" priority="26">
      <formula>$BK$3="Méthode 2"</formula>
    </cfRule>
  </conditionalFormatting>
  <conditionalFormatting sqref="BW52">
    <cfRule type="expression" dxfId="3449" priority="23">
      <formula>$BK$3="Méthode 2"</formula>
    </cfRule>
  </conditionalFormatting>
  <conditionalFormatting sqref="BW54">
    <cfRule type="expression" dxfId="3448" priority="22">
      <formula>$BK$3="Méthode 2"</formula>
    </cfRule>
  </conditionalFormatting>
  <conditionalFormatting sqref="BZ46">
    <cfRule type="expression" dxfId="3447" priority="25">
      <formula>$BK$3="Méthode 2"</formula>
    </cfRule>
  </conditionalFormatting>
  <conditionalFormatting sqref="BZ49">
    <cfRule type="expression" dxfId="3446" priority="24">
      <formula>$BK$3="Méthode 2"</formula>
    </cfRule>
  </conditionalFormatting>
  <conditionalFormatting sqref="CG18:CG48">
    <cfRule type="cellIs" dxfId="3445" priority="1" operator="equal">
      <formula>0</formula>
    </cfRule>
  </conditionalFormatting>
  <pageMargins left="0.23622047244094491" right="0.23622047244094491" top="0.74803149606299213" bottom="0.74803149606299213" header="0.31496062992125984" footer="0.31496062992125984"/>
  <pageSetup paperSize="9" scale="66" orientation="portrait" horizontalDpi="1200" verticalDpi="1200" r:id="rId1"/>
  <colBreaks count="4" manualBreakCount="4">
    <brk id="18" max="105" man="1"/>
    <brk id="32" max="105" man="1"/>
    <brk id="52" max="105" man="1"/>
    <brk id="63" max="1048575" man="1"/>
  </colBreaks>
  <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XEH897"/>
  <sheetViews>
    <sheetView topLeftCell="HV1" workbookViewId="0">
      <selection activeCell="HL2" sqref="HL2"/>
    </sheetView>
  </sheetViews>
  <sheetFormatPr baseColWidth="10" defaultColWidth="11.42578125" defaultRowHeight="12.75" outlineLevelCol="1" x14ac:dyDescent="0.2"/>
  <cols>
    <col min="1" max="1" width="25.85546875" style="16" hidden="1" customWidth="1" outlineLevel="1"/>
    <col min="2" max="2" width="23.42578125" style="16" hidden="1" customWidth="1" outlineLevel="1"/>
    <col min="3" max="3" width="10" style="16" hidden="1" customWidth="1" outlineLevel="1"/>
    <col min="4" max="4" width="12" style="16" hidden="1" customWidth="1" outlineLevel="1"/>
    <col min="5" max="5" width="10.140625" style="16" hidden="1" customWidth="1" outlineLevel="1"/>
    <col min="6" max="6" width="6.85546875" style="16" hidden="1" customWidth="1" outlineLevel="1"/>
    <col min="7" max="11" width="11.42578125" style="16" hidden="1" customWidth="1" outlineLevel="1"/>
    <col min="12" max="12" width="28.85546875" style="16" hidden="1" customWidth="1" outlineLevel="1"/>
    <col min="13" max="13" width="9" style="16" hidden="1" customWidth="1" outlineLevel="1"/>
    <col min="14" max="14" width="6.28515625" style="16" hidden="1" customWidth="1" outlineLevel="1"/>
    <col min="15" max="15" width="11.42578125" style="16" hidden="1" customWidth="1" outlineLevel="1"/>
    <col min="16" max="16" width="23.42578125" style="16" hidden="1" customWidth="1" outlineLevel="1"/>
    <col min="17" max="17" width="4.7109375" style="16" hidden="1" customWidth="1" outlineLevel="1"/>
    <col min="18" max="18" width="11.42578125" style="16" hidden="1" customWidth="1" outlineLevel="1"/>
    <col min="19" max="19" width="19.42578125" style="16" hidden="1" customWidth="1" outlineLevel="1"/>
    <col min="20" max="20" width="4.140625" style="16" hidden="1" customWidth="1" outlineLevel="1"/>
    <col min="21" max="21" width="11.42578125" style="16" hidden="1" customWidth="1" outlineLevel="1"/>
    <col min="22" max="22" width="23.7109375" style="16" hidden="1" customWidth="1" outlineLevel="1"/>
    <col min="23" max="23" width="4.7109375" style="16" hidden="1" customWidth="1" outlineLevel="1"/>
    <col min="24" max="25" width="11.42578125" style="16" hidden="1" customWidth="1" outlineLevel="1"/>
    <col min="26" max="26" width="23.42578125" style="16" hidden="1" customWidth="1" outlineLevel="1"/>
    <col min="27" max="27" width="10.7109375" style="16" hidden="1" customWidth="1" outlineLevel="1"/>
    <col min="28" max="28" width="6" style="16" hidden="1" customWidth="1" outlineLevel="1"/>
    <col min="29" max="29" width="14.7109375" style="16" hidden="1" customWidth="1" outlineLevel="1"/>
    <col min="30" max="30" width="9.28515625" style="16" hidden="1" customWidth="1" outlineLevel="1"/>
    <col min="31" max="31" width="9.7109375" style="16" hidden="1" customWidth="1" outlineLevel="1"/>
    <col min="32" max="32" width="13.28515625" style="16" hidden="1" customWidth="1" outlineLevel="1"/>
    <col min="33" max="33" width="10.28515625" style="16" hidden="1" customWidth="1" outlineLevel="1"/>
    <col min="34" max="34" width="8.140625" style="16" hidden="1" customWidth="1" outlineLevel="1"/>
    <col min="35" max="36" width="14.85546875" style="16" hidden="1" customWidth="1" outlineLevel="1"/>
    <col min="37" max="37" width="13.42578125" style="16" hidden="1" customWidth="1" outlineLevel="1"/>
    <col min="38" max="38" width="14.140625" style="16" hidden="1" customWidth="1" outlineLevel="1"/>
    <col min="39" max="39" width="7" style="16" hidden="1" customWidth="1" outlineLevel="1"/>
    <col min="40" max="40" width="7.7109375" style="16" hidden="1" customWidth="1" outlineLevel="1"/>
    <col min="41" max="50" width="11.42578125" style="16" hidden="1" customWidth="1" outlineLevel="1"/>
    <col min="51" max="51" width="16.42578125" style="16" hidden="1" customWidth="1" outlineLevel="1"/>
    <col min="52" max="54" width="11.42578125" style="16" hidden="1" customWidth="1" outlineLevel="1"/>
    <col min="55" max="55" width="22.42578125" style="16" hidden="1" customWidth="1" outlineLevel="1"/>
    <col min="56" max="56" width="4.7109375" style="16" hidden="1" customWidth="1" outlineLevel="1"/>
    <col min="57" max="58" width="11.42578125" style="16" hidden="1" customWidth="1" outlineLevel="1"/>
    <col min="59" max="59" width="16.42578125" style="16" hidden="1" customWidth="1" outlineLevel="1"/>
    <col min="60" max="61" width="11.42578125" style="16" hidden="1" customWidth="1" outlineLevel="1"/>
    <col min="62" max="62" width="14.5703125" style="16" hidden="1" customWidth="1" outlineLevel="1"/>
    <col min="63" max="63" width="4.7109375" style="16" hidden="1" customWidth="1" outlineLevel="1"/>
    <col min="64" max="64" width="11.42578125" style="16" hidden="1" customWidth="1" outlineLevel="1"/>
    <col min="65" max="65" width="20" style="16" hidden="1" customWidth="1" outlineLevel="1"/>
    <col min="66" max="67" width="11.42578125" style="16" hidden="1" customWidth="1" outlineLevel="1"/>
    <col min="68" max="68" width="20" style="16" hidden="1" customWidth="1" outlineLevel="1"/>
    <col min="69" max="69" width="4.140625" style="16" hidden="1" customWidth="1" outlineLevel="1"/>
    <col min="70" max="70" width="25" style="16" hidden="1" customWidth="1" outlineLevel="1"/>
    <col min="71" max="71" width="4.7109375" style="16" hidden="1" customWidth="1" outlineLevel="1"/>
    <col min="72" max="75" width="11.42578125" style="16" hidden="1" customWidth="1" outlineLevel="1"/>
    <col min="76" max="76" width="25.85546875" style="16" hidden="1" customWidth="1" outlineLevel="1"/>
    <col min="77" max="77" width="13.28515625" style="16" hidden="1" customWidth="1" outlineLevel="1"/>
    <col min="78" max="78" width="13.140625" style="16" hidden="1" customWidth="1" outlineLevel="1"/>
    <col min="79" max="79" width="13.28515625" style="16" hidden="1" customWidth="1" outlineLevel="1"/>
    <col min="80" max="80" width="13.140625" style="16" hidden="1" customWidth="1" outlineLevel="1"/>
    <col min="81" max="81" width="13.28515625" style="16" hidden="1" customWidth="1" outlineLevel="1"/>
    <col min="82" max="82" width="13.140625" style="16" hidden="1" customWidth="1" outlineLevel="1"/>
    <col min="83" max="83" width="13.28515625" style="16" hidden="1" customWidth="1" outlineLevel="1"/>
    <col min="84" max="84" width="13.140625" style="16" hidden="1" customWidth="1" outlineLevel="1"/>
    <col min="85" max="86" width="11.42578125" style="16" hidden="1" customWidth="1" outlineLevel="1"/>
    <col min="87" max="87" width="10" style="16" hidden="1" customWidth="1" outlineLevel="1"/>
    <col min="88" max="88" width="3" style="16" hidden="1" customWidth="1" outlineLevel="1"/>
    <col min="89" max="89" width="10.85546875" style="16" hidden="1" customWidth="1" outlineLevel="1"/>
    <col min="90" max="90" width="11.42578125" style="16" hidden="1" customWidth="1" outlineLevel="1"/>
    <col min="91" max="91" width="22.28515625" style="16" hidden="1" customWidth="1" outlineLevel="1"/>
    <col min="92" max="93" width="11.42578125" style="16" hidden="1" customWidth="1" outlineLevel="1"/>
    <col min="94" max="94" width="10.42578125" style="16" hidden="1" customWidth="1" outlineLevel="1"/>
    <col min="95" max="95" width="11.42578125" style="16" hidden="1" customWidth="1" outlineLevel="1"/>
    <col min="96" max="96" width="18.42578125" style="16" hidden="1" customWidth="1" outlineLevel="1"/>
    <col min="97" max="97" width="4.7109375" style="16" hidden="1" customWidth="1" outlineLevel="1"/>
    <col min="98" max="98" width="11.42578125" style="16" hidden="1" customWidth="1" outlineLevel="1"/>
    <col min="99" max="99" width="34.28515625" style="16" hidden="1" customWidth="1" outlineLevel="1"/>
    <col min="100" max="100" width="4.140625" style="16" hidden="1" customWidth="1" outlineLevel="1"/>
    <col min="101" max="102" width="11.42578125" style="16" hidden="1" customWidth="1" outlineLevel="1"/>
    <col min="103" max="103" width="23.42578125" style="16" hidden="1" customWidth="1" outlineLevel="1"/>
    <col min="104" max="104" width="4.7109375" style="16" hidden="1" customWidth="1" outlineLevel="1"/>
    <col min="105" max="105" width="11.42578125" style="16" hidden="1" customWidth="1" outlineLevel="1"/>
    <col min="106" max="106" width="24.42578125" style="16" hidden="1" customWidth="1" outlineLevel="1"/>
    <col min="107" max="107" width="2" style="16" hidden="1" customWidth="1" outlineLevel="1"/>
    <col min="108" max="108" width="11.42578125" style="16" hidden="1" customWidth="1" outlineLevel="1"/>
    <col min="109" max="109" width="25.42578125" style="16" hidden="1" customWidth="1" outlineLevel="1"/>
    <col min="110" max="111" width="11.42578125" style="16" hidden="1" customWidth="1" outlineLevel="1"/>
    <col min="112" max="112" width="16.7109375" style="16" hidden="1" customWidth="1" outlineLevel="1"/>
    <col min="113" max="113" width="18.42578125" style="16" hidden="1" customWidth="1" outlineLevel="1"/>
    <col min="114" max="114" width="21.42578125" style="16" hidden="1" customWidth="1" outlineLevel="1"/>
    <col min="115" max="115" width="10" style="16" hidden="1" customWidth="1" outlineLevel="1"/>
    <col min="116" max="116" width="20.85546875" style="16" hidden="1" customWidth="1" outlineLevel="1"/>
    <col min="117" max="117" width="15.7109375" style="16" hidden="1" customWidth="1" outlineLevel="1"/>
    <col min="118" max="118" width="16.28515625" style="16" hidden="1" customWidth="1" outlineLevel="1"/>
    <col min="119" max="127" width="14.85546875" style="16" hidden="1" customWidth="1" outlineLevel="1"/>
    <col min="128" max="128" width="15.85546875" style="16" hidden="1" customWidth="1" outlineLevel="1"/>
    <col min="129" max="129" width="18.28515625" style="16" hidden="1" customWidth="1" outlineLevel="1"/>
    <col min="130" max="130" width="11.85546875" style="16" hidden="1" customWidth="1" outlineLevel="1"/>
    <col min="131" max="131" width="18.85546875" style="16" hidden="1" customWidth="1" outlineLevel="1"/>
    <col min="132" max="132" width="11.42578125" style="16" hidden="1" customWidth="1" outlineLevel="1"/>
    <col min="133" max="133" width="19.140625" style="16" hidden="1" customWidth="1" outlineLevel="1"/>
    <col min="134" max="134" width="24.85546875" style="16" hidden="1" customWidth="1" outlineLevel="1"/>
    <col min="135" max="135" width="23.42578125" style="16" hidden="1" customWidth="1" outlineLevel="1"/>
    <col min="136" max="136" width="10" style="16" hidden="1" customWidth="1" outlineLevel="1"/>
    <col min="137" max="137" width="12" style="16" hidden="1" customWidth="1" outlineLevel="1"/>
    <col min="138" max="138" width="10.140625" style="16" hidden="1" customWidth="1" outlineLevel="1"/>
    <col min="139" max="139" width="6.85546875" style="16" hidden="1" customWidth="1" outlineLevel="1"/>
    <col min="140" max="142" width="11.42578125" style="16" hidden="1" customWidth="1" outlineLevel="1"/>
    <col min="143" max="143" width="9.5703125" style="16" hidden="1" customWidth="1" outlineLevel="1"/>
    <col min="144" max="144" width="10" style="16" hidden="1" customWidth="1" outlineLevel="1"/>
    <col min="145" max="145" width="11.42578125" style="16" hidden="1" customWidth="1" outlineLevel="1"/>
    <col min="146" max="146" width="26.85546875" style="16" hidden="1" customWidth="1" outlineLevel="1"/>
    <col min="147" max="149" width="11.42578125" style="16" hidden="1" customWidth="1" outlineLevel="1"/>
    <col min="150" max="150" width="30.42578125" style="16" hidden="1" customWidth="1" outlineLevel="1"/>
    <col min="151" max="151" width="27" style="16" hidden="1" customWidth="1" outlineLevel="1"/>
    <col min="152" max="153" width="11.42578125" style="16" hidden="1" customWidth="1" outlineLevel="1"/>
    <col min="154" max="154" width="19.85546875" style="16" hidden="1" customWidth="1" outlineLevel="1"/>
    <col min="155" max="155" width="4.140625" style="16" hidden="1" customWidth="1" outlineLevel="1"/>
    <col min="156" max="157" width="11.42578125" style="16" hidden="1" customWidth="1" outlineLevel="1"/>
    <col min="158" max="158" width="7.28515625" style="16" hidden="1" customWidth="1" outlineLevel="1"/>
    <col min="159" max="159" width="13.7109375" style="16" hidden="1" customWidth="1" outlineLevel="1"/>
    <col min="160" max="160" width="10.140625" style="16" hidden="1" customWidth="1" outlineLevel="1"/>
    <col min="161" max="161" width="9.42578125" style="16" hidden="1" customWidth="1" outlineLevel="1"/>
    <col min="162" max="162" width="6.7109375" style="16" hidden="1" customWidth="1" outlineLevel="1"/>
    <col min="163" max="163" width="10" style="16" hidden="1" customWidth="1" outlineLevel="1"/>
    <col min="164" max="164" width="7.28515625" style="16" hidden="1" customWidth="1" outlineLevel="1"/>
    <col min="165" max="167" width="11.42578125" style="16" hidden="1" customWidth="1" outlineLevel="1"/>
    <col min="168" max="168" width="26.140625" style="16" hidden="1" customWidth="1" outlineLevel="1"/>
    <col min="169" max="170" width="11.42578125" style="16" hidden="1" customWidth="1" outlineLevel="1"/>
    <col min="171" max="171" width="22.85546875" style="16" hidden="1" customWidth="1" outlineLevel="1"/>
    <col min="172" max="172" width="11.42578125" style="16" hidden="1" customWidth="1" outlineLevel="1"/>
    <col min="173" max="173" width="11.42578125" style="16" hidden="1" customWidth="1" outlineLevel="1" collapsed="1"/>
    <col min="174" max="175" width="11.42578125" style="16" hidden="1" customWidth="1" outlineLevel="1"/>
    <col min="176" max="176" width="26" hidden="1" customWidth="1" outlineLevel="1"/>
    <col min="177" max="177" width="11.42578125" style="16" hidden="1" customWidth="1" outlineLevel="1"/>
    <col min="178" max="178" width="19" style="16" hidden="1" customWidth="1" outlineLevel="1"/>
    <col min="179" max="179" width="11.42578125" style="16" hidden="1" customWidth="1" outlineLevel="1"/>
    <col min="180" max="180" width="16.7109375" style="16" hidden="1" customWidth="1" outlineLevel="1" collapsed="1"/>
    <col min="181" max="181" width="11.42578125" style="16" hidden="1" customWidth="1" outlineLevel="1"/>
    <col min="182" max="182" width="42.5703125" style="16" hidden="1" customWidth="1" outlineLevel="1"/>
    <col min="183" max="184" width="11.42578125" style="16" hidden="1" customWidth="1" outlineLevel="1"/>
    <col min="185" max="185" width="23.85546875" style="16" hidden="1" customWidth="1" outlineLevel="1"/>
    <col min="186" max="193" width="11.42578125" style="16" hidden="1" customWidth="1" outlineLevel="1"/>
    <col min="194" max="194" width="11.7109375" style="16" hidden="1" customWidth="1" outlineLevel="1"/>
    <col min="195" max="217" width="11.42578125" style="16" hidden="1" customWidth="1" outlineLevel="1"/>
    <col min="218" max="218" width="13.85546875" style="16" hidden="1" customWidth="1" outlineLevel="1"/>
    <col min="219" max="219" width="11.42578125" style="16" hidden="1" customWidth="1" outlineLevel="1"/>
    <col min="220" max="220" width="42.140625" style="16" hidden="1" customWidth="1" outlineLevel="1"/>
    <col min="221" max="229" width="11.42578125" style="16" hidden="1" customWidth="1" outlineLevel="1"/>
    <col min="230" max="230" width="11.42578125" style="16" collapsed="1"/>
    <col min="231" max="16384" width="11.42578125" style="16"/>
  </cols>
  <sheetData>
    <row r="1" spans="1:220 16362:16362" x14ac:dyDescent="0.2">
      <c r="A1" s="27" t="s">
        <v>238</v>
      </c>
      <c r="B1" s="27" t="s">
        <v>230</v>
      </c>
      <c r="C1" s="27" t="s">
        <v>229</v>
      </c>
      <c r="D1" s="27" t="s">
        <v>240</v>
      </c>
      <c r="E1" s="16" t="s">
        <v>231</v>
      </c>
      <c r="F1" s="27" t="s">
        <v>43</v>
      </c>
      <c r="G1" s="16" t="s">
        <v>1569</v>
      </c>
      <c r="L1" s="16" t="s">
        <v>238</v>
      </c>
      <c r="M1" s="16" t="s">
        <v>344</v>
      </c>
      <c r="P1" s="16" t="s">
        <v>423</v>
      </c>
      <c r="S1" s="16" t="s">
        <v>426</v>
      </c>
      <c r="V1" s="16" t="s">
        <v>428</v>
      </c>
      <c r="Z1" s="16" t="s">
        <v>431</v>
      </c>
      <c r="AA1" s="16" t="s">
        <v>432</v>
      </c>
      <c r="AB1" s="16" t="s">
        <v>433</v>
      </c>
      <c r="AC1" s="16" t="s">
        <v>904</v>
      </c>
      <c r="AD1" s="16" t="s">
        <v>434</v>
      </c>
      <c r="AE1" s="16" t="s">
        <v>435</v>
      </c>
      <c r="AF1" s="16" t="s">
        <v>436</v>
      </c>
      <c r="AG1" s="16" t="s">
        <v>437</v>
      </c>
      <c r="AH1" s="16" t="s">
        <v>438</v>
      </c>
      <c r="AI1" s="16" t="s">
        <v>698</v>
      </c>
      <c r="AJ1" s="16" t="s">
        <v>712</v>
      </c>
      <c r="AK1" s="16" t="s">
        <v>599</v>
      </c>
      <c r="AL1" s="16" t="s">
        <v>905</v>
      </c>
      <c r="AM1" s="16" t="s">
        <v>914</v>
      </c>
      <c r="AN1" s="16" t="s">
        <v>915</v>
      </c>
      <c r="AO1" s="16" t="s">
        <v>1320</v>
      </c>
      <c r="AP1" s="16" t="s">
        <v>1602</v>
      </c>
      <c r="AQ1" s="16" t="s">
        <v>1603</v>
      </c>
      <c r="AR1" s="25" t="s">
        <v>1608</v>
      </c>
      <c r="AS1" s="25" t="s">
        <v>1606</v>
      </c>
      <c r="AT1" s="25" t="s">
        <v>1609</v>
      </c>
      <c r="AU1" s="25" t="s">
        <v>1692</v>
      </c>
      <c r="AV1" s="25" t="s">
        <v>50</v>
      </c>
      <c r="AY1" s="16" t="s">
        <v>444</v>
      </c>
      <c r="BC1" s="16" t="s">
        <v>452</v>
      </c>
      <c r="BG1" s="16" t="s">
        <v>516</v>
      </c>
      <c r="BJ1" s="16" t="s">
        <v>685</v>
      </c>
      <c r="BM1" s="16" t="s">
        <v>697</v>
      </c>
      <c r="BP1" s="16" t="s">
        <v>711</v>
      </c>
      <c r="BR1" s="16" t="s">
        <v>745</v>
      </c>
      <c r="BY1" s="16" t="s">
        <v>219</v>
      </c>
      <c r="BZ1" s="16" t="s">
        <v>220</v>
      </c>
      <c r="CA1" s="16" t="s">
        <v>221</v>
      </c>
      <c r="CB1" s="16" t="s">
        <v>222</v>
      </c>
      <c r="CC1" s="16" t="s">
        <v>522</v>
      </c>
      <c r="CD1" s="16" t="s">
        <v>523</v>
      </c>
      <c r="CE1" s="16" t="s">
        <v>524</v>
      </c>
      <c r="CF1" s="16" t="s">
        <v>525</v>
      </c>
      <c r="CI1" s="16" t="s">
        <v>866</v>
      </c>
      <c r="CK1" s="16" t="s">
        <v>867</v>
      </c>
      <c r="CM1" s="16" t="s">
        <v>900</v>
      </c>
      <c r="CP1" s="16" t="s">
        <v>170</v>
      </c>
      <c r="CR1" s="16" t="s">
        <v>931</v>
      </c>
      <c r="CV1" s="16" t="s">
        <v>424</v>
      </c>
      <c r="CY1" s="16" t="s">
        <v>1029</v>
      </c>
      <c r="DB1" s="16" t="s">
        <v>1155</v>
      </c>
      <c r="DE1" s="16" t="s">
        <v>1175</v>
      </c>
      <c r="DH1" s="16" t="s">
        <v>1173</v>
      </c>
      <c r="DK1" s="80"/>
      <c r="DL1" s="80"/>
      <c r="DM1" s="80"/>
      <c r="DN1" s="80"/>
      <c r="DO1" s="80"/>
      <c r="DP1" s="80"/>
      <c r="DQ1" s="80"/>
      <c r="DR1" s="80"/>
      <c r="DS1" s="80"/>
      <c r="DT1" s="80"/>
      <c r="DU1" s="80"/>
      <c r="DV1" s="80"/>
      <c r="DW1" s="80"/>
      <c r="DX1" s="80"/>
      <c r="DZ1" s="16" t="s">
        <v>1188</v>
      </c>
      <c r="ED1" s="16" t="s">
        <v>248</v>
      </c>
      <c r="EE1" s="16" t="str">
        <f t="shared" ref="EE1:EE64" si="0">B1</f>
        <v>Fiche</v>
      </c>
      <c r="EF1" s="16" t="str">
        <f t="shared" ref="EF1:EF64" si="1">C1</f>
        <v>Type Sem.</v>
      </c>
      <c r="EG1" s="16" t="str">
        <f t="shared" ref="EG1:EG64" si="2">D1</f>
        <v>Numéro jours</v>
      </c>
      <c r="EH1" s="16" t="str">
        <f t="shared" ref="EH1:EH64" si="3">E1</f>
        <v>Jours sem.</v>
      </c>
      <c r="EI1" s="16" t="str">
        <f t="shared" ref="EI1:EI64" si="4">F1</f>
        <v>Heures</v>
      </c>
      <c r="EM1" s="16" t="s">
        <v>866</v>
      </c>
      <c r="EP1" s="16" t="s">
        <v>1241</v>
      </c>
      <c r="ET1" s="16" t="s">
        <v>1263</v>
      </c>
      <c r="EY1" s="16" t="s">
        <v>424</v>
      </c>
      <c r="FB1" s="16" t="s">
        <v>1299</v>
      </c>
      <c r="FC1" s="16" t="s">
        <v>1300</v>
      </c>
      <c r="FD1" s="16" t="s">
        <v>27</v>
      </c>
      <c r="FE1" s="16" t="s">
        <v>1298</v>
      </c>
      <c r="FF1" s="16" t="s">
        <v>1258</v>
      </c>
      <c r="FG1" s="16" t="s">
        <v>1261</v>
      </c>
      <c r="FH1" s="16" t="s">
        <v>657</v>
      </c>
      <c r="FL1" s="16" t="s">
        <v>1355</v>
      </c>
      <c r="FM1" s="16" t="s">
        <v>1353</v>
      </c>
      <c r="FO1" s="16" t="s">
        <v>1433</v>
      </c>
      <c r="FP1" s="16">
        <v>1</v>
      </c>
      <c r="FT1" s="16" t="s">
        <v>1578</v>
      </c>
      <c r="FZ1" s="16" t="s">
        <v>1462</v>
      </c>
      <c r="GC1" s="16" t="s">
        <v>1589</v>
      </c>
      <c r="GD1" s="16" t="s">
        <v>1600</v>
      </c>
      <c r="GG1" s="16" t="s">
        <v>1610</v>
      </c>
      <c r="GL1" s="16" t="s">
        <v>1675</v>
      </c>
      <c r="GM1" s="16">
        <v>2</v>
      </c>
      <c r="GN1" s="16">
        <v>3</v>
      </c>
      <c r="GO1" s="16">
        <v>4</v>
      </c>
      <c r="GP1" s="16">
        <v>5</v>
      </c>
      <c r="GQ1" s="16">
        <v>6</v>
      </c>
      <c r="GR1" s="16">
        <v>7</v>
      </c>
      <c r="GS1" s="16">
        <v>8</v>
      </c>
      <c r="GT1" s="16">
        <v>9</v>
      </c>
      <c r="GU1" s="16">
        <v>10</v>
      </c>
      <c r="GV1" s="16">
        <v>11</v>
      </c>
      <c r="HG1" s="85"/>
      <c r="HI1" s="85" t="s">
        <v>1244</v>
      </c>
      <c r="HJ1" s="27" t="s">
        <v>1722</v>
      </c>
      <c r="HK1" s="16" t="s">
        <v>1723</v>
      </c>
      <c r="HL1" s="16" t="s">
        <v>1724</v>
      </c>
      <c r="XEH1" s="24" t="s">
        <v>1469</v>
      </c>
    </row>
    <row r="2" spans="1:220 16362:16362" x14ac:dyDescent="0.2">
      <c r="A2" s="16" t="s">
        <v>250</v>
      </c>
      <c r="C2" s="27"/>
      <c r="D2" s="27"/>
      <c r="F2" s="34"/>
      <c r="G2" s="16">
        <f t="shared" ref="G2:G65" si="5">+IF(OR(F2=0,F2=""),0,1)</f>
        <v>0</v>
      </c>
      <c r="L2" s="16" t="str">
        <f>+$P$3&amp;N2</f>
        <v>A préciserASem</v>
      </c>
      <c r="N2" s="16" t="s">
        <v>541</v>
      </c>
      <c r="Q2" s="16" t="s">
        <v>425</v>
      </c>
      <c r="T2" s="16" t="s">
        <v>424</v>
      </c>
      <c r="W2" s="16" t="s">
        <v>425</v>
      </c>
      <c r="Z2" s="16" t="s">
        <v>354</v>
      </c>
      <c r="AA2" s="16">
        <v>0</v>
      </c>
      <c r="AB2" s="16">
        <v>0</v>
      </c>
      <c r="AC2" s="16">
        <v>0</v>
      </c>
      <c r="AD2" s="16">
        <v>0</v>
      </c>
      <c r="AE2" s="16">
        <v>0</v>
      </c>
      <c r="AF2" s="16">
        <v>0</v>
      </c>
      <c r="AG2" s="16">
        <v>0</v>
      </c>
      <c r="AH2" s="16">
        <v>0</v>
      </c>
      <c r="AI2" s="16">
        <v>0</v>
      </c>
      <c r="AJ2" s="16">
        <v>0</v>
      </c>
      <c r="AK2" s="34">
        <v>0</v>
      </c>
      <c r="AL2" s="16">
        <v>0</v>
      </c>
      <c r="AM2" s="16">
        <v>0</v>
      </c>
      <c r="AN2" s="16">
        <v>0</v>
      </c>
      <c r="AO2" s="16">
        <v>0</v>
      </c>
      <c r="AP2" s="16">
        <v>0</v>
      </c>
      <c r="AQ2" s="16">
        <v>0</v>
      </c>
      <c r="AR2" s="27">
        <v>0</v>
      </c>
      <c r="AS2" s="27">
        <v>0</v>
      </c>
      <c r="AT2" s="27">
        <v>0</v>
      </c>
      <c r="AU2" s="27">
        <v>0</v>
      </c>
      <c r="AV2" s="27">
        <v>0</v>
      </c>
      <c r="AY2" s="16" t="s">
        <v>353</v>
      </c>
      <c r="BD2" s="16" t="s">
        <v>425</v>
      </c>
      <c r="BG2" s="16">
        <f>+Identification!B60</f>
        <v>2026</v>
      </c>
      <c r="BK2" s="16" t="s">
        <v>425</v>
      </c>
      <c r="BM2" s="16" t="s">
        <v>353</v>
      </c>
      <c r="BP2" s="16" t="s">
        <v>353</v>
      </c>
      <c r="BS2" s="16" t="s">
        <v>425</v>
      </c>
      <c r="BX2" s="16" t="str">
        <f t="shared" ref="BX2:BX65" si="6">A2</f>
        <v>A préciserA1</v>
      </c>
      <c r="CM2" s="16" t="s">
        <v>168</v>
      </c>
      <c r="CP2" s="16" t="s">
        <v>208</v>
      </c>
      <c r="CS2" s="16" t="s">
        <v>425</v>
      </c>
      <c r="CU2" s="16" t="s">
        <v>963</v>
      </c>
      <c r="CZ2" s="16" t="s">
        <v>425</v>
      </c>
      <c r="DB2" s="731">
        <f>+Identification!B61</f>
        <v>46023</v>
      </c>
      <c r="DC2" s="16">
        <f>+Janvier!$DP$8</f>
        <v>0</v>
      </c>
      <c r="DE2" s="845">
        <f>+Identification!B61</f>
        <v>46023</v>
      </c>
      <c r="DH2" s="19" t="s">
        <v>1174</v>
      </c>
      <c r="DI2" s="849" t="s">
        <v>1191</v>
      </c>
      <c r="DJ2" s="19" t="s">
        <v>1190</v>
      </c>
      <c r="DK2" s="847" t="s">
        <v>228</v>
      </c>
      <c r="DL2" s="847" t="s">
        <v>1187</v>
      </c>
      <c r="DM2" s="847" t="s">
        <v>1189</v>
      </c>
      <c r="DN2" s="19" t="s">
        <v>1186</v>
      </c>
      <c r="DO2" s="19" t="s">
        <v>1176</v>
      </c>
      <c r="DP2" s="19" t="s">
        <v>1177</v>
      </c>
      <c r="DQ2" s="19" t="s">
        <v>1178</v>
      </c>
      <c r="DR2" s="19" t="s">
        <v>1179</v>
      </c>
      <c r="DS2" s="19" t="s">
        <v>1180</v>
      </c>
      <c r="DT2" s="19" t="s">
        <v>1181</v>
      </c>
      <c r="DU2" s="19" t="s">
        <v>1182</v>
      </c>
      <c r="DV2" s="19" t="s">
        <v>1183</v>
      </c>
      <c r="DW2" s="19" t="s">
        <v>1184</v>
      </c>
      <c r="DX2" s="19" t="s">
        <v>1185</v>
      </c>
      <c r="EC2" s="731"/>
      <c r="ED2" s="731"/>
      <c r="EE2" s="16">
        <f t="shared" si="0"/>
        <v>0</v>
      </c>
      <c r="EF2" s="16">
        <f t="shared" si="1"/>
        <v>0</v>
      </c>
      <c r="EG2" s="16">
        <f t="shared" si="2"/>
        <v>0</v>
      </c>
      <c r="EH2" s="16">
        <f t="shared" si="3"/>
        <v>0</v>
      </c>
      <c r="EI2" s="16">
        <f t="shared" si="4"/>
        <v>0</v>
      </c>
      <c r="EM2" s="16">
        <v>1</v>
      </c>
      <c r="EN2" s="16" t="s">
        <v>868</v>
      </c>
      <c r="EP2" s="16" t="s">
        <v>1240</v>
      </c>
      <c r="EX2" s="16" t="s">
        <v>1266</v>
      </c>
      <c r="FB2" s="16" t="str">
        <f>+IF(FE2=$EX$2,FE2&amp;FF2&amp;FG2,"")</f>
        <v/>
      </c>
      <c r="FC2" s="16" t="str">
        <f>+IF(FE2=$EX$3,FE2&amp;FF2&amp;FG2,"")</f>
        <v/>
      </c>
      <c r="FD2" s="30">
        <f>+Base!$A$5</f>
        <v>46023</v>
      </c>
      <c r="FE2" s="30" t="str">
        <f>+IFERROR(VLOOKUP(FD2,BDD,71,FALSE),"")</f>
        <v/>
      </c>
      <c r="FF2" s="30" t="str">
        <f>IFERROR(+VLOOKUP(FD2,BDD,72,FALSE),"")</f>
        <v/>
      </c>
      <c r="FG2" s="30" t="str">
        <f>+IFERROR(VLOOKUP(FD2,BDD,73,FALSE),"")</f>
        <v/>
      </c>
      <c r="FH2" s="30" t="str">
        <f>+IFERROR(VLOOKUP(FD2,BDD,74,FALSE),"")</f>
        <v/>
      </c>
      <c r="FL2" s="16" t="s">
        <v>354</v>
      </c>
      <c r="FM2" s="16" t="s">
        <v>828</v>
      </c>
      <c r="FO2" s="16" t="s">
        <v>1394</v>
      </c>
      <c r="FP2" s="16">
        <v>2</v>
      </c>
      <c r="FT2" s="16"/>
      <c r="FW2" s="16" t="s">
        <v>1553</v>
      </c>
      <c r="FX2" s="16" t="s">
        <v>1554</v>
      </c>
      <c r="FZ2" s="16" t="s">
        <v>1470</v>
      </c>
      <c r="GC2" s="16" t="s">
        <v>1590</v>
      </c>
      <c r="GD2" s="16" t="s">
        <v>429</v>
      </c>
      <c r="GG2" s="16" t="s">
        <v>1244</v>
      </c>
      <c r="GH2" s="16" t="s">
        <v>956</v>
      </c>
      <c r="GL2" s="16" t="s">
        <v>1244</v>
      </c>
      <c r="GQ2" s="16" t="s">
        <v>1676</v>
      </c>
      <c r="GR2" s="16" t="s">
        <v>1677</v>
      </c>
      <c r="GS2" s="16" t="s">
        <v>1678</v>
      </c>
      <c r="GT2" s="16" t="s">
        <v>1679</v>
      </c>
      <c r="GU2" s="16" t="s">
        <v>1680</v>
      </c>
      <c r="GV2" s="16" t="s">
        <v>1681</v>
      </c>
      <c r="HA2" s="16" t="s">
        <v>1683</v>
      </c>
      <c r="HC2" s="16" t="s">
        <v>429</v>
      </c>
      <c r="HG2" s="85"/>
      <c r="HI2" s="85">
        <f>+Janvier!AB20</f>
        <v>46023</v>
      </c>
      <c r="HJ2" s="27" t="str">
        <f>+Janvier!AD20</f>
        <v/>
      </c>
      <c r="HK2" s="16">
        <f>IF(HI2="",0,IF(AND(OR(HJ2=$BJ$3,HJ2=$BJ$4),WEEKDAY(HI2,2)&lt;7),1,0))</f>
        <v>0</v>
      </c>
      <c r="HL2" s="16" t="str">
        <f>IF(AND(HI2&gt;=DATE(Identification!$B$60,5,1),HI2&lt;=DATE(Identification!$B$60,10,31),SUM(HK2:HK16)=12),"OUI","")</f>
        <v/>
      </c>
    </row>
    <row r="3" spans="1:220 16362:16362" x14ac:dyDescent="0.2">
      <c r="A3" s="16" t="s">
        <v>251</v>
      </c>
      <c r="C3" s="27"/>
      <c r="D3" s="27"/>
      <c r="F3" s="34"/>
      <c r="G3" s="16">
        <f t="shared" si="5"/>
        <v>0</v>
      </c>
      <c r="L3" s="16" t="str">
        <f t="shared" ref="L3:L9" si="7">+$P$3&amp;N3</f>
        <v>A préciserBSem</v>
      </c>
      <c r="N3" s="16" t="s">
        <v>542</v>
      </c>
      <c r="P3" s="16" t="s">
        <v>354</v>
      </c>
      <c r="S3" s="16" t="s">
        <v>32</v>
      </c>
      <c r="V3" s="16" t="s">
        <v>137</v>
      </c>
      <c r="Z3" s="16" t="s">
        <v>447</v>
      </c>
      <c r="AA3" s="16">
        <v>0</v>
      </c>
      <c r="AB3" s="16">
        <v>0</v>
      </c>
      <c r="AC3" s="16">
        <v>0</v>
      </c>
      <c r="AD3" s="16">
        <v>0</v>
      </c>
      <c r="AE3" s="16">
        <v>0</v>
      </c>
      <c r="AF3" s="16">
        <v>0</v>
      </c>
      <c r="AG3" s="16">
        <v>0</v>
      </c>
      <c r="AH3" s="16">
        <v>0</v>
      </c>
      <c r="AI3" s="16">
        <v>0</v>
      </c>
      <c r="AJ3" s="16">
        <v>0</v>
      </c>
      <c r="AK3" s="34">
        <v>0</v>
      </c>
      <c r="AL3" s="16">
        <v>0</v>
      </c>
      <c r="AM3" s="16">
        <v>0</v>
      </c>
      <c r="AN3" s="16">
        <v>0</v>
      </c>
      <c r="AO3" s="16">
        <v>0</v>
      </c>
      <c r="AP3" s="16">
        <v>0</v>
      </c>
      <c r="AQ3" s="16">
        <v>0</v>
      </c>
      <c r="AR3" s="27">
        <v>0</v>
      </c>
      <c r="AS3" s="27">
        <v>0</v>
      </c>
      <c r="AT3" s="27">
        <v>0</v>
      </c>
      <c r="AU3" s="27">
        <v>0</v>
      </c>
      <c r="AV3" s="27">
        <v>0</v>
      </c>
      <c r="AY3" s="16" t="s">
        <v>443</v>
      </c>
      <c r="BC3" s="16" t="s">
        <v>1505</v>
      </c>
      <c r="BG3" s="16">
        <f>+BG2+1</f>
        <v>2027</v>
      </c>
      <c r="BJ3" s="16" t="s">
        <v>746</v>
      </c>
      <c r="BM3" s="16" t="s">
        <v>1218</v>
      </c>
      <c r="BP3" s="16" t="s">
        <v>443</v>
      </c>
      <c r="BR3" s="16" t="s">
        <v>32</v>
      </c>
      <c r="BX3" s="16" t="str">
        <f t="shared" si="6"/>
        <v>A préciserA2</v>
      </c>
      <c r="CI3" s="16" t="s">
        <v>868</v>
      </c>
      <c r="CJ3" s="16">
        <v>1</v>
      </c>
      <c r="CK3" s="16">
        <v>2015</v>
      </c>
      <c r="CM3" s="16" t="s">
        <v>899</v>
      </c>
      <c r="CR3" s="16" t="s">
        <v>874</v>
      </c>
      <c r="CU3" s="16" t="s">
        <v>964</v>
      </c>
      <c r="CY3" s="16" t="str">
        <f t="shared" ref="CY3:CY16" si="8">P4</f>
        <v>Fiche info</v>
      </c>
      <c r="DB3" s="731">
        <f>DATE(YEAR(DB2),MONTH(DB2)+1,DAY(DB2))</f>
        <v>46054</v>
      </c>
      <c r="DC3" s="16">
        <f>+Février!$DP$8</f>
        <v>0</v>
      </c>
      <c r="DE3" s="845">
        <f>DATE(YEAR(DE2),MONTH(DE2)+1,DAY(DE2))</f>
        <v>46054</v>
      </c>
      <c r="DH3" s="731">
        <f>+Identification!B61</f>
        <v>46023</v>
      </c>
      <c r="DI3" s="848" t="str">
        <f>+IF(DJ3&lt;&gt;"",DJ3,$P$3)</f>
        <v>Fiche info</v>
      </c>
      <c r="DJ3" s="848" t="str">
        <f>IF(DM3&lt;&gt;99,DM3,IFERROR(INDEX(DK3:DM3,1,MATCH("f*",DK3:DM3,0)),""))</f>
        <v>Fiche info</v>
      </c>
      <c r="DK3" s="16" t="str">
        <f>+IF((DATE(YEAR(Janvier!AJ4),MONTH(Janvier!AJ4),1)&lt;=DATE(YEAR(Janvier!X3),MONTH(Janvier!X3),1)),S.CAL!P4,99)</f>
        <v>Fiche info</v>
      </c>
      <c r="DL3" s="16">
        <f t="shared" ref="DL3:DL14" si="9">IFERROR(+VLOOKUP(DN3,$DZ$3:$EA$13,2,FALSE),99)</f>
        <v>99</v>
      </c>
      <c r="DM3" s="16">
        <f>IF(+Janvier!BZ2=0,99,Janvier!BZ2)</f>
        <v>99</v>
      </c>
      <c r="DN3" s="16" t="str">
        <f>IFERROR(MATCH(TRUE,INDEX(DO3:DX3&lt;&gt;"",0),0),"")</f>
        <v/>
      </c>
      <c r="DO3" s="16" t="str">
        <f>+IF($DH3='Fiche info Avenant 1'!$K$1,"A1","")</f>
        <v/>
      </c>
      <c r="DP3" s="16" t="str">
        <f>+IF($DH3='Fiche info Avenant 2'!$K$1,"A2","")</f>
        <v/>
      </c>
      <c r="DQ3" s="16" t="str">
        <f>+IF($DH3='Fiche info Avenant 3'!$K$1,"A3","")</f>
        <v/>
      </c>
      <c r="DR3" s="16" t="str">
        <f>+IF($DH3='Fiche info Avenant 4'!$K$1,"A4","")</f>
        <v/>
      </c>
      <c r="DS3" s="16" t="str">
        <f>+IF($DH3='Fiche info Avenant 5'!$K$1,"A5","")</f>
        <v/>
      </c>
      <c r="DT3" s="16" t="str">
        <f>+IF($DH3='Fiche info Avenant 6'!$K$1,"A6","")</f>
        <v/>
      </c>
      <c r="DU3" s="16" t="str">
        <f>+IF($DH3='Fiche info Avenant 7'!$K$1,"A7","")</f>
        <v/>
      </c>
      <c r="DV3" s="16" t="str">
        <f>+IF($DH3='Fiche info Avenant 8'!$K$1,"A8","")</f>
        <v/>
      </c>
      <c r="DW3" s="16" t="str">
        <f>+IF($DH3='Fiche info Avenant 9'!$K$1,"A9","")</f>
        <v/>
      </c>
      <c r="DX3" s="16" t="str">
        <f>+IF($DH3='Fiche info Avenant 10'!$K$1,"A10","")</f>
        <v/>
      </c>
      <c r="DZ3" s="16">
        <v>0</v>
      </c>
      <c r="EA3" s="16" t="str">
        <f t="shared" ref="EA3:EA8" si="10">CY3</f>
        <v>Fiche info</v>
      </c>
      <c r="EC3" s="731"/>
      <c r="ED3" s="731"/>
      <c r="EE3" s="16">
        <f t="shared" si="0"/>
        <v>0</v>
      </c>
      <c r="EF3" s="16">
        <f t="shared" si="1"/>
        <v>0</v>
      </c>
      <c r="EG3" s="16">
        <f t="shared" si="2"/>
        <v>0</v>
      </c>
      <c r="EH3" s="16">
        <f t="shared" si="3"/>
        <v>0</v>
      </c>
      <c r="EI3" s="16">
        <f t="shared" si="4"/>
        <v>0</v>
      </c>
      <c r="EM3" s="16">
        <v>2</v>
      </c>
      <c r="EN3" s="16" t="s">
        <v>869</v>
      </c>
      <c r="ET3" s="16" t="str">
        <f>+'Liste des Libellés'!A8</f>
        <v>MLAM</v>
      </c>
      <c r="EU3" s="16" t="str">
        <f>+'Liste des Libellés'!B8</f>
        <v>Maladie de l'Ass. Mat.</v>
      </c>
      <c r="EX3" s="16" t="s">
        <v>1264</v>
      </c>
      <c r="FB3" s="16" t="str">
        <f t="shared" ref="FB3:FB66" si="11">+IF(FE3=$EX$2,FE3&amp;FF3&amp;FG3,"")</f>
        <v/>
      </c>
      <c r="FC3" s="16" t="str">
        <f t="shared" ref="FC3:FC66" si="12">+IF(FE3=$EX$3,FE3&amp;FF3&amp;FG3,"")</f>
        <v/>
      </c>
      <c r="FD3" s="30">
        <f>+Base!$A$5</f>
        <v>46023</v>
      </c>
      <c r="FE3" s="30" t="str">
        <f>+IFERROR(VLOOKUP(FD3,BDD,75,FALSE),"")</f>
        <v/>
      </c>
      <c r="FF3" s="30" t="str">
        <f>+IFERROR(VLOOKUP(FD3,BDD,76,FALSE),"")</f>
        <v/>
      </c>
      <c r="FG3" s="30" t="str">
        <f>IFERROR(+VLOOKUP(FD3,BDD,77,FALSE),"")</f>
        <v/>
      </c>
      <c r="FH3" s="30" t="str">
        <f>+IFERROR(VLOOKUP(FD3,BDD,78,FALSE),"")</f>
        <v/>
      </c>
      <c r="FL3" s="16" t="s">
        <v>447</v>
      </c>
      <c r="FM3" s="16" t="s">
        <v>828</v>
      </c>
      <c r="FO3" s="16" t="s">
        <v>1393</v>
      </c>
      <c r="FP3" s="16">
        <v>3</v>
      </c>
      <c r="FT3" s="16" t="s">
        <v>465</v>
      </c>
      <c r="FW3" s="16" t="str">
        <f>Janvier!GB20</f>
        <v>12026</v>
      </c>
      <c r="FX3" s="16">
        <f>Janvier!GC20+Report!D37</f>
        <v>0</v>
      </c>
      <c r="GC3" s="16" t="s">
        <v>1591</v>
      </c>
      <c r="GD3" s="16" t="s">
        <v>429</v>
      </c>
      <c r="GG3" s="30">
        <f>+Régularisation!$D$7</f>
        <v>46023</v>
      </c>
      <c r="GH3" s="16">
        <f>+Régularisation!$F$95</f>
        <v>0</v>
      </c>
      <c r="GL3" s="30">
        <f>+'Retenue Janv'!D13</f>
        <v>46023</v>
      </c>
      <c r="GQ3" s="58">
        <f>+'Retenue Janv'!BJ53</f>
        <v>0</v>
      </c>
      <c r="GR3" s="58">
        <f>+'Retenue Janv'!BJ61</f>
        <v>0</v>
      </c>
      <c r="GS3" s="58">
        <f>+'Retenue Janv'!BJ56</f>
        <v>0</v>
      </c>
      <c r="GT3" s="58">
        <f>+'Retenue Janv'!BJ64</f>
        <v>0</v>
      </c>
      <c r="GU3" s="58">
        <f>+GQ3-GS3</f>
        <v>0</v>
      </c>
      <c r="GV3" s="58">
        <f>+GR3-GT3</f>
        <v>0</v>
      </c>
      <c r="HA3" s="16" t="s">
        <v>1684</v>
      </c>
      <c r="HC3" s="16" t="s">
        <v>137</v>
      </c>
      <c r="HI3" s="85">
        <f>+Janvier!AB21</f>
        <v>46024</v>
      </c>
      <c r="HJ3" s="27" t="str">
        <f>+Janvier!AD21</f>
        <v/>
      </c>
      <c r="HK3" s="16">
        <f t="shared" ref="HK3:HK66" si="13">IF(HI3="",0,IF(AND(OR(HJ3=$BJ$3,HJ3=$BJ$4),WEEKDAY(HI3,2)&lt;7),1,0))</f>
        <v>0</v>
      </c>
      <c r="HL3" s="16" t="str">
        <f>IF(AND(HI3&gt;=DATE(Identification!$B$60,5,1),HI3&lt;=DATE(Identification!$B$60,10,31),SUM(HK3:HK17)=12),"OUI","")</f>
        <v/>
      </c>
    </row>
    <row r="4" spans="1:220 16362:16362" x14ac:dyDescent="0.2">
      <c r="A4" s="16" t="s">
        <v>252</v>
      </c>
      <c r="C4" s="27"/>
      <c r="D4" s="27"/>
      <c r="F4" s="34"/>
      <c r="G4" s="16">
        <f t="shared" si="5"/>
        <v>0</v>
      </c>
      <c r="L4" s="16" t="str">
        <f t="shared" si="7"/>
        <v>A préciserCSem</v>
      </c>
      <c r="N4" s="16" t="s">
        <v>543</v>
      </c>
      <c r="P4" s="16" t="s">
        <v>228</v>
      </c>
      <c r="S4" s="16" t="s">
        <v>427</v>
      </c>
      <c r="V4" s="16" t="s">
        <v>429</v>
      </c>
      <c r="Z4" s="16" t="s">
        <v>228</v>
      </c>
      <c r="AA4" s="16">
        <f>+'Fiche info'!C64</f>
        <v>0</v>
      </c>
      <c r="AB4" s="16">
        <f>+'Fiche info'!C67</f>
        <v>0</v>
      </c>
      <c r="AC4" s="16" t="str">
        <f>+'Fiche info'!$N$31</f>
        <v>NON</v>
      </c>
      <c r="AD4" s="16">
        <f>+'Fiche info'!E33</f>
        <v>0</v>
      </c>
      <c r="AE4" s="16">
        <f>+'Fiche info'!E48</f>
        <v>0</v>
      </c>
      <c r="AF4" s="16">
        <f>+'Fiche info'!E49</f>
        <v>0</v>
      </c>
      <c r="AG4" s="16">
        <f>+'Fiche info'!E35</f>
        <v>0</v>
      </c>
      <c r="AH4" s="127">
        <f>+'Fiche info'!N34</f>
        <v>0.1</v>
      </c>
      <c r="AI4" s="16" t="str">
        <f>+'Fiche info'!P39</f>
        <v>Méthode 1</v>
      </c>
      <c r="AJ4" s="16" t="str">
        <f>+'Fiche info'!P49</f>
        <v>Méthode 1</v>
      </c>
      <c r="AK4" s="34">
        <f>+'Fiche info'!E52</f>
        <v>0</v>
      </c>
      <c r="AL4" s="16" t="str">
        <f>+'Fiche info'!$W$31</f>
        <v>NON</v>
      </c>
      <c r="AM4" s="16">
        <f>+'Fiche info'!$W$35</f>
        <v>0</v>
      </c>
      <c r="AN4" s="127">
        <f>+'Fiche info'!$W$34</f>
        <v>0</v>
      </c>
      <c r="AO4" s="16">
        <f>+'Fiche info'!N29</f>
        <v>0.88200000000000001</v>
      </c>
      <c r="AP4" s="16">
        <f>+'Fiche info'!M1</f>
        <v>0</v>
      </c>
      <c r="AQ4" s="16">
        <f>+'Fiche info'!EG4</f>
        <v>0</v>
      </c>
      <c r="AR4" s="27">
        <f>+'Fiche info'!N37</f>
        <v>0</v>
      </c>
      <c r="AS4" s="27">
        <f>+'Fiche info'!EG1</f>
        <v>0</v>
      </c>
      <c r="AT4" s="27">
        <f>+'Fiche info'!EG3</f>
        <v>0</v>
      </c>
      <c r="AU4" s="27">
        <f>+'Fiche info'!W37</f>
        <v>0</v>
      </c>
      <c r="AV4" s="27" t="str">
        <f>+'Fiche info'!W38</f>
        <v>NON</v>
      </c>
      <c r="BC4" s="16" t="s">
        <v>1506</v>
      </c>
      <c r="BJ4" s="16" t="s">
        <v>696</v>
      </c>
      <c r="BM4" s="16" t="s">
        <v>443</v>
      </c>
      <c r="BQ4" s="16" t="s">
        <v>424</v>
      </c>
      <c r="BR4" s="16" t="s">
        <v>427</v>
      </c>
      <c r="BX4" s="16" t="str">
        <f t="shared" si="6"/>
        <v>A préciserA3</v>
      </c>
      <c r="CI4" s="16" t="s">
        <v>869</v>
      </c>
      <c r="CJ4" s="16">
        <v>2</v>
      </c>
      <c r="CK4" s="16">
        <v>2016</v>
      </c>
      <c r="CM4" s="16" t="s">
        <v>898</v>
      </c>
      <c r="CR4" s="16" t="s">
        <v>875</v>
      </c>
      <c r="CY4" s="16" t="str">
        <f t="shared" si="8"/>
        <v>Fiche info Avenant 1</v>
      </c>
      <c r="DB4" s="731">
        <f>DATE(YEAR(DB2),MONTH(DB2)+2,DAY(DB2))</f>
        <v>46082</v>
      </c>
      <c r="DC4" s="16">
        <f>+Mars!$DP$8</f>
        <v>0</v>
      </c>
      <c r="DE4" s="845">
        <f>DATE(YEAR(DE2),MONTH(DE2)+2,DAY(DE2))</f>
        <v>46082</v>
      </c>
      <c r="DH4" s="731">
        <f>DATE(YEAR(DH3),MONTH(DH3)+1,DAY(DH3))</f>
        <v>46054</v>
      </c>
      <c r="DI4" s="848" t="str">
        <f t="shared" ref="DI4:DI8" si="14">+IF(AND(DJ4="",DI3&lt;&gt;$P$3),DI3,IF(DJ4&lt;&gt;"",DJ4,$P$3))</f>
        <v>Fiche info</v>
      </c>
      <c r="DJ4" s="848" t="str">
        <f>IF(DM4&lt;&gt;99,DM4,IFERROR(INDEX(DK4:DM4,1,MATCH("f*",DK4:DM4,0)),""))</f>
        <v/>
      </c>
      <c r="DK4" s="16">
        <f>+IF((DATE(YEAR(Février!AJ4),MONTH(Février!AJ4),1)=DATE(YEAR(Février!X3),MONTH(Février!X3),1)),S.CAL!P4,99)</f>
        <v>99</v>
      </c>
      <c r="DL4" s="16">
        <f t="shared" si="9"/>
        <v>99</v>
      </c>
      <c r="DM4" s="16">
        <f>IF(Février!$BZ$2=0,99,Février!$BZ$2)</f>
        <v>99</v>
      </c>
      <c r="DN4" s="16" t="str">
        <f t="shared" ref="DN4:DN14" si="15">IFERROR(MATCH(TRUE,INDEX(DO4:DX4&lt;&gt;"",0),0),"")</f>
        <v/>
      </c>
      <c r="DO4" s="16" t="str">
        <f>+IF($DH4='Fiche info Avenant 1'!$K$1,"A1","")</f>
        <v/>
      </c>
      <c r="DP4" s="16" t="str">
        <f>+IF($DH4='Fiche info Avenant 2'!$K$1,"A2","")</f>
        <v/>
      </c>
      <c r="DQ4" s="16" t="str">
        <f>+IF($DH4='Fiche info Avenant 3'!$K$1,"A3","")</f>
        <v/>
      </c>
      <c r="DR4" s="16" t="str">
        <f>+IF($DH4='Fiche info Avenant 4'!$K$1,"A4","")</f>
        <v/>
      </c>
      <c r="DS4" s="16" t="str">
        <f>+IF($DH4='Fiche info Avenant 5'!$K$1,"A5","")</f>
        <v/>
      </c>
      <c r="DT4" s="16" t="str">
        <f>+IF($DH4='Fiche info Avenant 6'!$K$1,"A6","")</f>
        <v/>
      </c>
      <c r="DU4" s="16" t="str">
        <f>+IF($DH4='Fiche info Avenant 7'!$K$1,"A7","")</f>
        <v/>
      </c>
      <c r="DV4" s="16" t="str">
        <f>+IF($DH4='Fiche info Avenant 8'!$K$1,"A8","")</f>
        <v/>
      </c>
      <c r="DW4" s="16" t="str">
        <f>+IF($DH4='Fiche info Avenant 9'!$K$1,"A9","")</f>
        <v/>
      </c>
      <c r="DX4" s="16" t="str">
        <f>+IF($DH4='Fiche info Avenant 10'!$K$1,"A10","")</f>
        <v/>
      </c>
      <c r="DZ4" s="16">
        <v>1</v>
      </c>
      <c r="EA4" s="16" t="str">
        <f t="shared" si="10"/>
        <v>Fiche info Avenant 1</v>
      </c>
      <c r="EC4" s="731"/>
      <c r="ED4" s="731"/>
      <c r="EE4" s="16">
        <f t="shared" si="0"/>
        <v>0</v>
      </c>
      <c r="EF4" s="16">
        <f t="shared" si="1"/>
        <v>0</v>
      </c>
      <c r="EG4" s="16">
        <f t="shared" si="2"/>
        <v>0</v>
      </c>
      <c r="EH4" s="16">
        <f t="shared" si="3"/>
        <v>0</v>
      </c>
      <c r="EI4" s="16">
        <f t="shared" si="4"/>
        <v>0</v>
      </c>
      <c r="EM4" s="16">
        <v>3</v>
      </c>
      <c r="EN4" s="16" t="s">
        <v>870</v>
      </c>
      <c r="ET4" s="16" t="str">
        <f>+'Liste des Libellés'!A10</f>
        <v>CVP</v>
      </c>
      <c r="EU4" s="16" t="str">
        <f>+'Liste des Libellés'!B10</f>
        <v>Congé convenance personnelle</v>
      </c>
      <c r="FB4" s="16" t="str">
        <f t="shared" si="11"/>
        <v/>
      </c>
      <c r="FC4" s="16" t="str">
        <f t="shared" si="12"/>
        <v/>
      </c>
      <c r="FD4" s="30">
        <f>+Base!$A$5</f>
        <v>46023</v>
      </c>
      <c r="FE4" s="30" t="str">
        <f>+IFERROR(VLOOKUP(FD4,BDD,79,FALSE),"")</f>
        <v/>
      </c>
      <c r="FF4" s="30" t="str">
        <f>IFERROR(+VLOOKUP(FD4,BDD,80,FALSE),"")</f>
        <v/>
      </c>
      <c r="FG4" s="30" t="str">
        <f>+IFERROR(VLOOKUP(FD4,BDD,81,FALSE),"")</f>
        <v/>
      </c>
      <c r="FH4" s="30" t="str">
        <f>+IFERROR(VLOOKUP(FD4,BDD,82,FALSE),"")</f>
        <v/>
      </c>
      <c r="FL4" s="16" t="s">
        <v>228</v>
      </c>
      <c r="FM4" s="16" t="s">
        <v>828</v>
      </c>
      <c r="FW4" s="16" t="str">
        <f>Janvier!GB21</f>
        <v>12026</v>
      </c>
      <c r="FX4" s="16">
        <f>Janvier!GC21</f>
        <v>0</v>
      </c>
      <c r="GC4" s="16" t="s">
        <v>1592</v>
      </c>
      <c r="GD4" s="16" t="s">
        <v>137</v>
      </c>
      <c r="GG4" s="30">
        <f>+Régularisation!$G$7</f>
        <v>46054</v>
      </c>
      <c r="GH4" s="16">
        <f>+Régularisation!$I$95</f>
        <v>0</v>
      </c>
      <c r="GL4" s="30">
        <f>+'Retenue Fev'!D13</f>
        <v>46054</v>
      </c>
      <c r="GQ4" s="58">
        <f>+'Retenue Fev'!BJ53</f>
        <v>0</v>
      </c>
      <c r="GR4" s="58">
        <f>+'Retenue Fev'!BJ61</f>
        <v>0</v>
      </c>
      <c r="GS4" s="58">
        <f>+'Retenue Fev'!BJ56</f>
        <v>0</v>
      </c>
      <c r="GT4" s="58">
        <f>+'Retenue Fev'!BJ64</f>
        <v>0</v>
      </c>
      <c r="GU4" s="58">
        <f t="shared" ref="GU4:GV14" si="16">+GQ4-GS4</f>
        <v>0</v>
      </c>
      <c r="GV4" s="58">
        <f t="shared" si="16"/>
        <v>0</v>
      </c>
      <c r="HI4" s="85">
        <f>+Janvier!AB22</f>
        <v>46025</v>
      </c>
      <c r="HJ4" s="27" t="str">
        <f>+Janvier!AD22</f>
        <v/>
      </c>
      <c r="HK4" s="16">
        <f t="shared" si="13"/>
        <v>0</v>
      </c>
      <c r="HL4" s="16" t="str">
        <f>IF(AND(HI4&gt;=DATE(Identification!$B$60,5,1),HI4&lt;=DATE(Identification!$B$60,10,31),SUM(HK4:HK18)=12),"OUI","")</f>
        <v/>
      </c>
    </row>
    <row r="5" spans="1:220 16362:16362" x14ac:dyDescent="0.2">
      <c r="A5" s="16" t="s">
        <v>253</v>
      </c>
      <c r="C5" s="27"/>
      <c r="D5" s="27"/>
      <c r="F5" s="34"/>
      <c r="G5" s="16">
        <f t="shared" si="5"/>
        <v>0</v>
      </c>
      <c r="L5" s="16" t="str">
        <f t="shared" si="7"/>
        <v>A préciserDSem</v>
      </c>
      <c r="N5" s="16" t="s">
        <v>544</v>
      </c>
      <c r="P5" s="16" t="s">
        <v>243</v>
      </c>
      <c r="Z5" s="16" t="s">
        <v>243</v>
      </c>
      <c r="AA5" s="16">
        <f>+'Fiche info Avenant 1'!C64</f>
        <v>0</v>
      </c>
      <c r="AB5" s="16">
        <f>+'Fiche info Avenant 1'!C67</f>
        <v>0</v>
      </c>
      <c r="AC5" s="16" t="str">
        <f>+'Fiche info Avenant 1'!$N$31</f>
        <v>NON</v>
      </c>
      <c r="AD5" s="16">
        <f>+'Fiche info Avenant 1'!E33</f>
        <v>0</v>
      </c>
      <c r="AE5" s="16">
        <f>+'Fiche info Avenant 1'!E48</f>
        <v>0</v>
      </c>
      <c r="AF5" s="16">
        <f>+'Fiche info Avenant 1'!E49</f>
        <v>0</v>
      </c>
      <c r="AG5" s="16">
        <f>+'Fiche info Avenant 1'!E35</f>
        <v>0</v>
      </c>
      <c r="AH5" s="127">
        <f>+'Fiche info Avenant 1'!N34</f>
        <v>0.1</v>
      </c>
      <c r="AI5" s="16" t="str">
        <f>+'Fiche info Avenant 1'!P39</f>
        <v>Méthode 1</v>
      </c>
      <c r="AJ5" s="16" t="str">
        <f>+'Fiche info Avenant 1'!P49</f>
        <v>Méthode 1</v>
      </c>
      <c r="AK5" s="34">
        <f>+'Fiche info Avenant 1'!E52</f>
        <v>0</v>
      </c>
      <c r="AL5" s="16" t="str">
        <f>+'Fiche info Avenant 1'!$W$31</f>
        <v>NON</v>
      </c>
      <c r="AM5" s="16">
        <f>+'Fiche info Avenant 1'!$W$35</f>
        <v>0</v>
      </c>
      <c r="AN5" s="127">
        <f>+'Fiche info Avenant 1'!$W$34</f>
        <v>0</v>
      </c>
      <c r="AO5" s="16" t="e">
        <f>+'Fiche info Avenant 1'!N29</f>
        <v>#N/A</v>
      </c>
      <c r="AP5" s="16">
        <f>+'Fiche info Avenant 1'!M1</f>
        <v>0</v>
      </c>
      <c r="AQ5" s="16">
        <f>+'Fiche info Avenant 1'!EG4</f>
        <v>0</v>
      </c>
      <c r="AR5" s="27">
        <f>+'Fiche info Avenant 1'!N37</f>
        <v>0</v>
      </c>
      <c r="AS5" s="27">
        <f>+'Fiche info Avenant 1'!EG1</f>
        <v>0</v>
      </c>
      <c r="AT5" s="27">
        <f>+'Fiche info Avenant 1'!EG3</f>
        <v>0</v>
      </c>
      <c r="AU5" s="27">
        <f>+'Fiche info Avenant 1'!W37</f>
        <v>0</v>
      </c>
      <c r="AV5" s="27" t="str">
        <f>+'Fiche info Avenant 1'!W38</f>
        <v>NON</v>
      </c>
      <c r="BC5" s="16" t="s">
        <v>1507</v>
      </c>
      <c r="BX5" s="16" t="str">
        <f t="shared" si="6"/>
        <v>A préciserA4</v>
      </c>
      <c r="CI5" s="16" t="s">
        <v>870</v>
      </c>
      <c r="CJ5" s="16">
        <v>3</v>
      </c>
      <c r="CK5" s="16">
        <v>2017</v>
      </c>
      <c r="CR5" s="16" t="s">
        <v>876</v>
      </c>
      <c r="CY5" s="16" t="str">
        <f t="shared" si="8"/>
        <v>Fiche info Avenant 2</v>
      </c>
      <c r="DB5" s="731">
        <f>DATE(YEAR(DB2),MONTH(DB2)+3,DAY(DB2))</f>
        <v>46113</v>
      </c>
      <c r="DC5" s="16">
        <f>+Avril!$DP$8</f>
        <v>0</v>
      </c>
      <c r="DE5" s="845">
        <f>DATE(YEAR(DE2),MONTH(DE2)+3,DAY(DE2))</f>
        <v>46113</v>
      </c>
      <c r="DH5" s="731">
        <f>DATE(YEAR(DH3),MONTH(DH3)+2,DAY(DH3))</f>
        <v>46082</v>
      </c>
      <c r="DI5" s="848" t="str">
        <f t="shared" si="14"/>
        <v>Fiche info</v>
      </c>
      <c r="DJ5" s="848" t="str">
        <f t="shared" ref="DJ5:DJ14" si="17">IF(DM5&lt;&gt;99,DM5,IFERROR(INDEX(DK5:DM5,1,MATCH("f*",DK5:DM5,0)),""))</f>
        <v/>
      </c>
      <c r="DK5" s="16">
        <f>+IF((DATE(YEAR(Mars!AJ4),MONTH(Mars!AJ4),1)=DATE(YEAR(Mars!X3),MONTH(Mars!X3),1)),S.CAL!P4,99)</f>
        <v>99</v>
      </c>
      <c r="DL5" s="16">
        <f t="shared" si="9"/>
        <v>99</v>
      </c>
      <c r="DM5" s="16">
        <f>IF(Mars!$BZ$2=0,99,Mars!$BZ$2)</f>
        <v>99</v>
      </c>
      <c r="DN5" s="16" t="str">
        <f t="shared" si="15"/>
        <v/>
      </c>
      <c r="DO5" s="16" t="str">
        <f>+IF($DH5='Fiche info Avenant 1'!$K$1,"A1","")</f>
        <v/>
      </c>
      <c r="DP5" s="16" t="str">
        <f>+IF($DH5='Fiche info Avenant 2'!$K$1,"A2","")</f>
        <v/>
      </c>
      <c r="DQ5" s="16" t="str">
        <f>+IF($DH5='Fiche info Avenant 3'!$K$1,"A3","")</f>
        <v/>
      </c>
      <c r="DR5" s="16" t="str">
        <f>+IF($DH5='Fiche info Avenant 4'!$K$1,"A4","")</f>
        <v/>
      </c>
      <c r="DS5" s="16" t="str">
        <f>+IF($DH5='Fiche info Avenant 5'!$K$1,"A5","")</f>
        <v/>
      </c>
      <c r="DT5" s="16" t="str">
        <f>+IF($DH5='Fiche info Avenant 6'!$K$1,"A6","")</f>
        <v/>
      </c>
      <c r="DU5" s="16" t="str">
        <f>+IF($DH5='Fiche info Avenant 7'!$K$1,"A7","")</f>
        <v/>
      </c>
      <c r="DV5" s="16" t="str">
        <f>+IF($DH5='Fiche info Avenant 8'!$K$1,"A8","")</f>
        <v/>
      </c>
      <c r="DW5" s="16" t="str">
        <f>+IF($DH5='Fiche info Avenant 9'!$K$1,"A9","")</f>
        <v/>
      </c>
      <c r="DX5" s="16" t="str">
        <f>+IF($DH5='Fiche info Avenant 10'!$K$1,"A10","")</f>
        <v/>
      </c>
      <c r="DZ5" s="16">
        <v>2</v>
      </c>
      <c r="EA5" s="16" t="str">
        <f t="shared" si="10"/>
        <v>Fiche info Avenant 2</v>
      </c>
      <c r="EC5" s="731"/>
      <c r="ED5" s="731"/>
      <c r="EE5" s="16">
        <f t="shared" si="0"/>
        <v>0</v>
      </c>
      <c r="EF5" s="16">
        <f t="shared" si="1"/>
        <v>0</v>
      </c>
      <c r="EG5" s="16">
        <f t="shared" si="2"/>
        <v>0</v>
      </c>
      <c r="EH5" s="16">
        <f t="shared" si="3"/>
        <v>0</v>
      </c>
      <c r="EI5" s="16">
        <f t="shared" si="4"/>
        <v>0</v>
      </c>
      <c r="EM5" s="16">
        <v>4</v>
      </c>
      <c r="EN5" s="16" t="s">
        <v>871</v>
      </c>
      <c r="ET5" s="16" t="str">
        <f>+'Liste des Libellés'!A19</f>
        <v>CMAT</v>
      </c>
      <c r="EU5" s="16" t="str">
        <f>+'Liste des Libellés'!B19</f>
        <v>Congés de Maternité</v>
      </c>
      <c r="FB5" s="16" t="str">
        <f t="shared" si="11"/>
        <v/>
      </c>
      <c r="FC5" s="16" t="str">
        <f t="shared" si="12"/>
        <v/>
      </c>
      <c r="FD5" s="30">
        <f>+Base!$A$5</f>
        <v>46023</v>
      </c>
      <c r="FE5" s="30" t="str">
        <f>+IFERROR(VLOOKUP(FD5,BDD,83,FALSE),"")</f>
        <v/>
      </c>
      <c r="FF5" s="30" t="str">
        <f>+IFERROR(VLOOKUP(FD5,BDD,84,FALSE),"")</f>
        <v/>
      </c>
      <c r="FG5" s="30" t="str">
        <f>+IFERROR(VLOOKUP(FD5,BDD,85,FALSE),"")</f>
        <v/>
      </c>
      <c r="FH5" s="30" t="str">
        <f>+IFERROR(VLOOKUP(FD5,BDD,86,FALSE),"")</f>
        <v/>
      </c>
      <c r="FL5" s="16" t="s">
        <v>243</v>
      </c>
      <c r="FM5" s="16" t="s">
        <v>828</v>
      </c>
      <c r="FW5" s="16" t="str">
        <f>Janvier!GB22</f>
        <v>12026</v>
      </c>
      <c r="FX5" s="16">
        <f>Janvier!GC22</f>
        <v>0</v>
      </c>
      <c r="GC5" s="16" t="s">
        <v>1593</v>
      </c>
      <c r="GD5" s="16" t="s">
        <v>137</v>
      </c>
      <c r="GG5" s="30">
        <f>+Régularisation!$J$7</f>
        <v>46082</v>
      </c>
      <c r="GH5" s="16">
        <f>+Régularisation!$L$95</f>
        <v>0</v>
      </c>
      <c r="GL5" s="30">
        <f>+'Retenue Mars'!D13</f>
        <v>46082</v>
      </c>
      <c r="GQ5" s="58">
        <f>+'Retenue Mars'!BJ53</f>
        <v>0</v>
      </c>
      <c r="GR5" s="58">
        <f>+'Retenue Mars'!BJ61</f>
        <v>0</v>
      </c>
      <c r="GS5" s="58">
        <f>+'Retenue Mars'!BJ56</f>
        <v>0</v>
      </c>
      <c r="GT5" s="58">
        <f>+'Retenue Mars'!BJ64</f>
        <v>0</v>
      </c>
      <c r="GU5" s="58">
        <f t="shared" si="16"/>
        <v>0</v>
      </c>
      <c r="GV5" s="58">
        <f t="shared" si="16"/>
        <v>0</v>
      </c>
      <c r="HI5" s="85">
        <f>+Janvier!AB23</f>
        <v>46026</v>
      </c>
      <c r="HJ5" s="27" t="str">
        <f>+Janvier!AD23</f>
        <v/>
      </c>
      <c r="HK5" s="16">
        <f t="shared" si="13"/>
        <v>0</v>
      </c>
      <c r="HL5" s="16" t="str">
        <f>IF(AND(HI5&gt;=DATE(Identification!$B$60,5,1),HI5&lt;=DATE(Identification!$B$60,10,31),SUM(HK5:HK19)=12),"OUI","")</f>
        <v/>
      </c>
    </row>
    <row r="6" spans="1:220 16362:16362" x14ac:dyDescent="0.2">
      <c r="A6" s="16" t="s">
        <v>254</v>
      </c>
      <c r="C6" s="27"/>
      <c r="D6" s="27"/>
      <c r="F6" s="34"/>
      <c r="G6" s="16">
        <f t="shared" si="5"/>
        <v>0</v>
      </c>
      <c r="L6" s="16" t="str">
        <f t="shared" si="7"/>
        <v>A préciserESem</v>
      </c>
      <c r="N6" s="16" t="s">
        <v>545</v>
      </c>
      <c r="P6" s="16" t="s">
        <v>244</v>
      </c>
      <c r="Z6" s="16" t="s">
        <v>244</v>
      </c>
      <c r="AA6" s="16">
        <f>+'Fiche info Avenant 2'!C64</f>
        <v>0</v>
      </c>
      <c r="AB6" s="16">
        <f>+'Fiche info Avenant 2'!C67</f>
        <v>0</v>
      </c>
      <c r="AC6" s="16" t="str">
        <f>+'Fiche info Avenant 2'!$N$31</f>
        <v>NON</v>
      </c>
      <c r="AD6" s="16">
        <f>+'Fiche info Avenant 2'!E33</f>
        <v>0</v>
      </c>
      <c r="AE6" s="16">
        <f>+'Fiche info Avenant 2'!E48</f>
        <v>0</v>
      </c>
      <c r="AF6" s="16">
        <f>+'Fiche info Avenant 2'!E49</f>
        <v>0</v>
      </c>
      <c r="AG6" s="16">
        <f>+'Fiche info Avenant 2'!E35</f>
        <v>0</v>
      </c>
      <c r="AH6" s="127">
        <f>+'Fiche info Avenant 2'!N34</f>
        <v>0.1</v>
      </c>
      <c r="AI6" s="16" t="str">
        <f>+'Fiche info Avenant 2'!P39</f>
        <v>Méthode 1</v>
      </c>
      <c r="AJ6" s="16" t="str">
        <f>+'Fiche info Avenant 2'!P49</f>
        <v>Méthode 1</v>
      </c>
      <c r="AK6" s="34">
        <f>+'Fiche info Avenant 2'!E52</f>
        <v>0</v>
      </c>
      <c r="AL6" s="16" t="str">
        <f>+'Fiche info Avenant 2'!$W$31</f>
        <v>NON</v>
      </c>
      <c r="AM6" s="16">
        <f>+'Fiche info Avenant 2'!$W$35</f>
        <v>0</v>
      </c>
      <c r="AN6" s="127">
        <f>+'Fiche info Avenant 2'!$W$34</f>
        <v>0</v>
      </c>
      <c r="AO6" s="16" t="e">
        <f>+'Fiche info Avenant 2'!N29</f>
        <v>#N/A</v>
      </c>
      <c r="AP6" s="16">
        <f>+'Fiche info Avenant 2'!M1</f>
        <v>0</v>
      </c>
      <c r="AQ6" s="16">
        <f>+'Fiche info Avenant 2'!EG4</f>
        <v>0</v>
      </c>
      <c r="AR6" s="27">
        <f>+'Fiche info Avenant 2'!N37</f>
        <v>0</v>
      </c>
      <c r="AS6" s="27">
        <f>+'Fiche info Avenant 2'!EG1</f>
        <v>0</v>
      </c>
      <c r="AT6" s="27">
        <f>+'Fiche info Avenant 2'!EG3</f>
        <v>0</v>
      </c>
      <c r="AU6" s="27">
        <f>+'Fiche info Avenant 2'!W37</f>
        <v>0</v>
      </c>
      <c r="AV6" s="27" t="str">
        <f>+'Fiche info Avenant 2'!W38</f>
        <v>NON</v>
      </c>
      <c r="BX6" s="16" t="str">
        <f t="shared" si="6"/>
        <v>A préciserA5</v>
      </c>
      <c r="CI6" s="16" t="s">
        <v>871</v>
      </c>
      <c r="CJ6" s="16">
        <v>4</v>
      </c>
      <c r="CK6" s="16">
        <v>2018</v>
      </c>
      <c r="CR6" s="16" t="s">
        <v>877</v>
      </c>
      <c r="CY6" s="16" t="str">
        <f t="shared" si="8"/>
        <v>Fiche info Avenant 3</v>
      </c>
      <c r="DB6" s="731">
        <f>DATE(YEAR(DB2),MONTH(DB2)+4,DAY(DB2))</f>
        <v>46143</v>
      </c>
      <c r="DC6" s="16">
        <f>+Mai!$DP$8</f>
        <v>0</v>
      </c>
      <c r="DE6" s="845">
        <f>DATE(YEAR(DE2),MONTH(DE2)+4,DAY(DE2))</f>
        <v>46143</v>
      </c>
      <c r="DH6" s="731">
        <f>DATE(YEAR(DH3),MONTH(DH3)+3,DAY(DH3))</f>
        <v>46113</v>
      </c>
      <c r="DI6" s="848" t="str">
        <f t="shared" si="14"/>
        <v>Fiche info</v>
      </c>
      <c r="DJ6" s="848" t="str">
        <f t="shared" si="17"/>
        <v/>
      </c>
      <c r="DK6" s="16">
        <f>+IF((DATE(YEAR(Avril!AJ4),MONTH(Avril!AJ4),1)=DATE(YEAR(Avril!X3),MONTH(Avril!X3),1)),S.CAL!P4,99)</f>
        <v>99</v>
      </c>
      <c r="DL6" s="16">
        <f t="shared" si="9"/>
        <v>99</v>
      </c>
      <c r="DM6" s="16">
        <f>IF(Avril!$BZ$2=0,99,Avril!$BZ$2)</f>
        <v>99</v>
      </c>
      <c r="DN6" s="16" t="str">
        <f t="shared" si="15"/>
        <v/>
      </c>
      <c r="DO6" s="16" t="str">
        <f>+IF($DH6='Fiche info Avenant 1'!$K$1,"A1","")</f>
        <v/>
      </c>
      <c r="DP6" s="16" t="str">
        <f>+IF($DH6='Fiche info Avenant 2'!$K$1,"A2","")</f>
        <v/>
      </c>
      <c r="DQ6" s="16" t="str">
        <f>+IF($DH6='Fiche info Avenant 3'!$K$1,"A3","")</f>
        <v/>
      </c>
      <c r="DR6" s="16" t="str">
        <f>+IF($DH6='Fiche info Avenant 4'!$K$1,"A4","")</f>
        <v/>
      </c>
      <c r="DS6" s="16" t="str">
        <f>+IF($DH6='Fiche info Avenant 5'!$K$1,"A5","")</f>
        <v/>
      </c>
      <c r="DT6" s="16" t="str">
        <f>+IF($DH6='Fiche info Avenant 6'!$K$1,"A6","")</f>
        <v/>
      </c>
      <c r="DU6" s="16" t="str">
        <f>+IF($DH6='Fiche info Avenant 7'!$K$1,"A7","")</f>
        <v/>
      </c>
      <c r="DV6" s="16" t="str">
        <f>+IF($DH6='Fiche info Avenant 8'!$K$1,"A8","")</f>
        <v/>
      </c>
      <c r="DW6" s="16" t="str">
        <f>+IF($DH6='Fiche info Avenant 9'!$K$1,"A9","")</f>
        <v/>
      </c>
      <c r="DX6" s="16" t="str">
        <f>+IF($DH6='Fiche info Avenant 10'!$K$1,"A10","")</f>
        <v/>
      </c>
      <c r="DZ6" s="16">
        <v>3</v>
      </c>
      <c r="EA6" s="16" t="str">
        <f t="shared" si="10"/>
        <v>Fiche info Avenant 3</v>
      </c>
      <c r="EC6" s="731"/>
      <c r="ED6" s="731"/>
      <c r="EE6" s="16">
        <f t="shared" si="0"/>
        <v>0</v>
      </c>
      <c r="EF6" s="16">
        <f t="shared" si="1"/>
        <v>0</v>
      </c>
      <c r="EG6" s="16">
        <f t="shared" si="2"/>
        <v>0</v>
      </c>
      <c r="EH6" s="16">
        <f t="shared" si="3"/>
        <v>0</v>
      </c>
      <c r="EI6" s="16">
        <f t="shared" si="4"/>
        <v>0</v>
      </c>
      <c r="EM6" s="16">
        <v>5</v>
      </c>
      <c r="EN6" s="16" t="s">
        <v>872</v>
      </c>
      <c r="ET6" s="16" t="str">
        <f>+'Liste des Libellés'!A20</f>
        <v>CPAT</v>
      </c>
      <c r="EU6" s="16" t="str">
        <f>+'Liste des Libellés'!B20</f>
        <v>Congés de Paternité</v>
      </c>
      <c r="FB6" s="16" t="str">
        <f t="shared" si="11"/>
        <v/>
      </c>
      <c r="FC6" s="16" t="str">
        <f t="shared" si="12"/>
        <v/>
      </c>
      <c r="FD6" s="30">
        <f>+Base!$A$6</f>
        <v>46054</v>
      </c>
      <c r="FE6" s="30" t="str">
        <f>+IFERROR(VLOOKUP(FD6,BDD,71,FALSE),"")</f>
        <v/>
      </c>
      <c r="FF6" s="30" t="str">
        <f>IFERROR(+VLOOKUP(FD6,BDD,72,FALSE),"")</f>
        <v/>
      </c>
      <c r="FG6" s="30" t="str">
        <f>+IFERROR(VLOOKUP(FD6,BDD,73,FALSE),"")</f>
        <v/>
      </c>
      <c r="FH6" s="30" t="str">
        <f>+IFERROR(VLOOKUP(FD6,BDD,74,FALSE),"")</f>
        <v/>
      </c>
      <c r="FL6" s="16" t="s">
        <v>244</v>
      </c>
      <c r="FM6" s="16" t="s">
        <v>828</v>
      </c>
      <c r="FW6" s="16" t="str">
        <f>Janvier!GB23</f>
        <v>12026</v>
      </c>
      <c r="FX6" s="16">
        <f>Janvier!GC23</f>
        <v>0</v>
      </c>
      <c r="GG6" s="30">
        <f>+Régularisation!$M$7</f>
        <v>46113</v>
      </c>
      <c r="GH6" s="16">
        <f>+Régularisation!$O$95</f>
        <v>0</v>
      </c>
      <c r="GL6" s="30">
        <f>+'Retenue Avril'!D13</f>
        <v>46113</v>
      </c>
      <c r="GQ6" s="58">
        <f>+'Retenue Avril'!BJ53</f>
        <v>0</v>
      </c>
      <c r="GR6" s="58">
        <f>+'Retenue Avril'!BJ61</f>
        <v>0</v>
      </c>
      <c r="GS6" s="58">
        <f>+'Retenue Avril'!BJ56</f>
        <v>0</v>
      </c>
      <c r="GT6" s="58">
        <f>+'Retenue Avril'!BJ64</f>
        <v>0</v>
      </c>
      <c r="GU6" s="58">
        <f t="shared" si="16"/>
        <v>0</v>
      </c>
      <c r="GV6" s="58">
        <f t="shared" si="16"/>
        <v>0</v>
      </c>
      <c r="HI6" s="85">
        <f>+Janvier!AB24</f>
        <v>46027</v>
      </c>
      <c r="HJ6" s="27" t="str">
        <f>+Janvier!AD24</f>
        <v/>
      </c>
      <c r="HK6" s="16">
        <f t="shared" si="13"/>
        <v>0</v>
      </c>
      <c r="HL6" s="16" t="str">
        <f>IF(AND(HI6&gt;=DATE(Identification!$B$60,5,1),HI6&lt;=DATE(Identification!$B$60,10,31),SUM(HK6:HK20)=12),"OUI","")</f>
        <v/>
      </c>
    </row>
    <row r="7" spans="1:220 16362:16362" x14ac:dyDescent="0.2">
      <c r="A7" s="16" t="s">
        <v>255</v>
      </c>
      <c r="C7" s="27"/>
      <c r="D7" s="27"/>
      <c r="F7" s="34"/>
      <c r="G7" s="16">
        <f t="shared" si="5"/>
        <v>0</v>
      </c>
      <c r="L7" s="16" t="str">
        <f t="shared" si="7"/>
        <v>A préciserFSem</v>
      </c>
      <c r="N7" s="16" t="s">
        <v>546</v>
      </c>
      <c r="P7" s="16" t="s">
        <v>245</v>
      </c>
      <c r="Z7" s="16" t="s">
        <v>245</v>
      </c>
      <c r="AA7" s="16">
        <f>+'Fiche info Avenant 3'!C64</f>
        <v>0</v>
      </c>
      <c r="AB7" s="16">
        <f>+'Fiche info Avenant 3'!C67</f>
        <v>0</v>
      </c>
      <c r="AC7" s="16" t="str">
        <f>+'Fiche info Avenant 3'!$N$31</f>
        <v>NON</v>
      </c>
      <c r="AD7" s="16">
        <f>+'Fiche info Avenant 3'!E33</f>
        <v>0</v>
      </c>
      <c r="AE7" s="16">
        <f>+'Fiche info Avenant 3'!E48</f>
        <v>0</v>
      </c>
      <c r="AF7" s="16">
        <f>+'Fiche info Avenant 3'!E49</f>
        <v>0</v>
      </c>
      <c r="AG7" s="16">
        <f>+'Fiche info Avenant 3'!E35</f>
        <v>0</v>
      </c>
      <c r="AH7" s="127">
        <f>+'Fiche info Avenant 3'!N34</f>
        <v>0.1</v>
      </c>
      <c r="AI7" s="16" t="str">
        <f>+'Fiche info Avenant 3'!P39</f>
        <v>Méthode 1</v>
      </c>
      <c r="AJ7" s="16" t="str">
        <f>+'Fiche info Avenant 3'!P49</f>
        <v>Méthode 1</v>
      </c>
      <c r="AK7" s="34">
        <f>+'Fiche info Avenant 3'!E52</f>
        <v>0</v>
      </c>
      <c r="AL7" s="16" t="str">
        <f>+'Fiche info Avenant 3'!$W$31</f>
        <v>NON</v>
      </c>
      <c r="AM7" s="16">
        <f>+'Fiche info Avenant 3'!$W$35</f>
        <v>0</v>
      </c>
      <c r="AN7" s="127">
        <f>+'Fiche info Avenant 3'!$W$34</f>
        <v>0</v>
      </c>
      <c r="AO7" s="16" t="e">
        <f>+'Fiche info Avenant 3'!N29</f>
        <v>#N/A</v>
      </c>
      <c r="AP7" s="16">
        <f>+'Fiche info Avenant 3'!M1</f>
        <v>0</v>
      </c>
      <c r="AQ7" s="16">
        <f>+'Fiche info Avenant 3'!EG4</f>
        <v>0</v>
      </c>
      <c r="AR7" s="27">
        <f>+'Fiche info Avenant 3'!N37</f>
        <v>0</v>
      </c>
      <c r="AS7" s="27">
        <f>+'Fiche info Avenant 3'!EG1</f>
        <v>0</v>
      </c>
      <c r="AT7" s="27">
        <f>+'Fiche info Avenant 3'!EG3</f>
        <v>0</v>
      </c>
      <c r="AU7" s="27">
        <f>+'Fiche info Avenant 3'!W37</f>
        <v>0</v>
      </c>
      <c r="AV7" s="27" t="str">
        <f>+'Fiche info Avenant 3'!W38</f>
        <v>NON</v>
      </c>
      <c r="BX7" s="16" t="str">
        <f t="shared" si="6"/>
        <v>A préciserA6</v>
      </c>
      <c r="CI7" s="16" t="s">
        <v>872</v>
      </c>
      <c r="CJ7" s="16">
        <v>5</v>
      </c>
      <c r="CK7" s="16">
        <v>2019</v>
      </c>
      <c r="CR7" s="16" t="s">
        <v>878</v>
      </c>
      <c r="CY7" s="16" t="str">
        <f t="shared" si="8"/>
        <v>Fiche info Avenant 4</v>
      </c>
      <c r="DB7" s="731">
        <f>DATE(YEAR(DB2),MONTH(DB2)+5,DAY(DB2))</f>
        <v>46174</v>
      </c>
      <c r="DC7" s="16">
        <f>+Juin!$DP$8</f>
        <v>0</v>
      </c>
      <c r="DE7" s="845">
        <f>DATE(YEAR(DE2),MONTH(DE2)+5,DAY(DE2))</f>
        <v>46174</v>
      </c>
      <c r="DH7" s="731">
        <f>DATE(YEAR(DH3),MONTH(DH3)+4,DAY(DH3))</f>
        <v>46143</v>
      </c>
      <c r="DI7" s="848" t="str">
        <f t="shared" si="14"/>
        <v>Fiche info</v>
      </c>
      <c r="DJ7" s="848" t="str">
        <f t="shared" si="17"/>
        <v/>
      </c>
      <c r="DK7" s="16">
        <f>+IF((DATE(YEAR(Mai!AJ4),MONTH(Mai!AJ4),1)=DATE(YEAR(Mai!X3),MONTH(Mai!X3),1)),S.CAL!P4,99)</f>
        <v>99</v>
      </c>
      <c r="DL7" s="16">
        <f t="shared" si="9"/>
        <v>99</v>
      </c>
      <c r="DM7" s="16">
        <f>IF(Mai!$BZ$2=0,99,Mai!$BZ$2)</f>
        <v>99</v>
      </c>
      <c r="DN7" s="16" t="str">
        <f t="shared" si="15"/>
        <v/>
      </c>
      <c r="DO7" s="16" t="str">
        <f>+IF($DH7='Fiche info Avenant 1'!$K$1,"A1","")</f>
        <v/>
      </c>
      <c r="DP7" s="16" t="str">
        <f>+IF($DH7='Fiche info Avenant 2'!$K$1,"A2","")</f>
        <v/>
      </c>
      <c r="DQ7" s="16" t="str">
        <f>+IF($DH7='Fiche info Avenant 3'!$K$1,"A3","")</f>
        <v/>
      </c>
      <c r="DR7" s="16" t="str">
        <f>+IF($DH7='Fiche info Avenant 4'!$K$1,"A4","")</f>
        <v/>
      </c>
      <c r="DS7" s="16" t="str">
        <f>+IF($DH7='Fiche info Avenant 5'!$K$1,"A5","")</f>
        <v/>
      </c>
      <c r="DT7" s="16" t="str">
        <f>+IF($DH7='Fiche info Avenant 6'!$K$1,"A6","")</f>
        <v/>
      </c>
      <c r="DU7" s="16" t="str">
        <f>+IF($DH7='Fiche info Avenant 7'!$K$1,"A7","")</f>
        <v/>
      </c>
      <c r="DV7" s="16" t="str">
        <f>+IF($DH7='Fiche info Avenant 8'!$K$1,"A8","")</f>
        <v/>
      </c>
      <c r="DW7" s="16" t="str">
        <f>+IF($DH7='Fiche info Avenant 9'!$K$1,"A9","")</f>
        <v/>
      </c>
      <c r="DX7" s="16" t="str">
        <f>+IF($DH7='Fiche info Avenant 10'!$K$1,"A10","")</f>
        <v/>
      </c>
      <c r="DZ7" s="16">
        <v>4</v>
      </c>
      <c r="EA7" s="16" t="str">
        <f t="shared" si="10"/>
        <v>Fiche info Avenant 4</v>
      </c>
      <c r="EC7" s="731"/>
      <c r="ED7" s="731"/>
      <c r="EE7" s="16">
        <f t="shared" si="0"/>
        <v>0</v>
      </c>
      <c r="EF7" s="16">
        <f t="shared" si="1"/>
        <v>0</v>
      </c>
      <c r="EG7" s="16">
        <f t="shared" si="2"/>
        <v>0</v>
      </c>
      <c r="EH7" s="16">
        <f t="shared" si="3"/>
        <v>0</v>
      </c>
      <c r="EI7" s="16">
        <f t="shared" si="4"/>
        <v>0</v>
      </c>
      <c r="EM7" s="16">
        <v>6</v>
      </c>
      <c r="EN7" s="16" t="s">
        <v>873</v>
      </c>
      <c r="ET7" s="16" t="str">
        <f>+'Liste des Libellés'!A21</f>
        <v>CADOP</v>
      </c>
      <c r="EU7" s="16" t="str">
        <f>+'Liste des Libellés'!B21</f>
        <v>Congé d’adoption</v>
      </c>
      <c r="FB7" s="16" t="str">
        <f t="shared" si="11"/>
        <v/>
      </c>
      <c r="FC7" s="16" t="str">
        <f t="shared" si="12"/>
        <v/>
      </c>
      <c r="FD7" s="30">
        <f>+Base!$A$6</f>
        <v>46054</v>
      </c>
      <c r="FE7" s="30" t="str">
        <f>+IFERROR(VLOOKUP(FD7,BDD,75,FALSE),"")</f>
        <v/>
      </c>
      <c r="FF7" s="30" t="str">
        <f>+IFERROR(VLOOKUP(FD7,BDD,76,FALSE),"")</f>
        <v/>
      </c>
      <c r="FG7" s="30" t="str">
        <f>IFERROR(+VLOOKUP(FD7,BDD,77,FALSE),"")</f>
        <v/>
      </c>
      <c r="FH7" s="30" t="str">
        <f>+IFERROR(VLOOKUP(FD7,BDD,78,FALSE),"")</f>
        <v/>
      </c>
      <c r="FL7" s="16" t="s">
        <v>245</v>
      </c>
      <c r="FM7" s="16" t="s">
        <v>828</v>
      </c>
      <c r="FW7" s="16" t="str">
        <f>Janvier!GB24</f>
        <v>22026</v>
      </c>
      <c r="FX7" s="16">
        <f>Janvier!GC24</f>
        <v>0</v>
      </c>
      <c r="GG7" s="30">
        <f>+Régularisation!$P$7</f>
        <v>46143</v>
      </c>
      <c r="GH7" s="16">
        <f>+Régularisation!$R$95</f>
        <v>0</v>
      </c>
      <c r="GL7" s="30">
        <f>+'Retenue Mai'!D13</f>
        <v>46143</v>
      </c>
      <c r="GQ7" s="58">
        <f>+'Retenue Mai'!BJ53</f>
        <v>0</v>
      </c>
      <c r="GR7" s="58">
        <f>+'Retenue Mai'!BJ61</f>
        <v>0</v>
      </c>
      <c r="GS7" s="58">
        <f>+'Retenue Mai'!BJ56</f>
        <v>0</v>
      </c>
      <c r="GT7" s="58">
        <f>+'Retenue Mai'!BJ64</f>
        <v>0</v>
      </c>
      <c r="GU7" s="58">
        <f t="shared" si="16"/>
        <v>0</v>
      </c>
      <c r="GV7" s="58">
        <f t="shared" si="16"/>
        <v>0</v>
      </c>
      <c r="HI7" s="85">
        <f>+Janvier!AB25</f>
        <v>46028</v>
      </c>
      <c r="HJ7" s="27" t="str">
        <f>+Janvier!AD25</f>
        <v/>
      </c>
      <c r="HK7" s="16">
        <f t="shared" si="13"/>
        <v>0</v>
      </c>
      <c r="HL7" s="16" t="str">
        <f>IF(AND(HI7&gt;=DATE(Identification!$B$60,5,1),HI7&lt;=DATE(Identification!$B$60,10,31),SUM(HK7:HK21)=12),"OUI","")</f>
        <v/>
      </c>
    </row>
    <row r="8" spans="1:220 16362:16362" x14ac:dyDescent="0.2">
      <c r="A8" s="16" t="s">
        <v>256</v>
      </c>
      <c r="C8" s="27"/>
      <c r="D8" s="27"/>
      <c r="F8" s="34"/>
      <c r="G8" s="16">
        <f t="shared" si="5"/>
        <v>0</v>
      </c>
      <c r="L8" s="16" t="str">
        <f t="shared" si="7"/>
        <v>A préciserGSem</v>
      </c>
      <c r="N8" s="16" t="s">
        <v>547</v>
      </c>
      <c r="P8" s="16" t="s">
        <v>246</v>
      </c>
      <c r="Z8" s="16" t="s">
        <v>246</v>
      </c>
      <c r="AA8" s="16">
        <f>+'Fiche info Avenant 4'!C64</f>
        <v>0</v>
      </c>
      <c r="AB8" s="16">
        <f>+'Fiche info Avenant 4'!C67</f>
        <v>0</v>
      </c>
      <c r="AC8" s="16" t="str">
        <f>+'Fiche info Avenant 4'!$N$31</f>
        <v>NON</v>
      </c>
      <c r="AD8" s="16">
        <f>+'Fiche info Avenant 4'!E33</f>
        <v>0</v>
      </c>
      <c r="AE8" s="16">
        <f>+'Fiche info Avenant 4'!E48</f>
        <v>0</v>
      </c>
      <c r="AF8" s="16">
        <f>+'Fiche info Avenant 4'!E49</f>
        <v>0</v>
      </c>
      <c r="AG8" s="16">
        <f>+'Fiche info Avenant 4'!E35</f>
        <v>0</v>
      </c>
      <c r="AH8" s="127">
        <f>+'Fiche info Avenant 4'!N34</f>
        <v>0.1</v>
      </c>
      <c r="AI8" s="16" t="str">
        <f>+'Fiche info Avenant 4'!P39</f>
        <v>Méthode 1</v>
      </c>
      <c r="AJ8" s="16" t="str">
        <f>+'Fiche info Avenant 4'!P49</f>
        <v>Méthode 1</v>
      </c>
      <c r="AK8" s="34">
        <f>+'Fiche info Avenant 4'!E52</f>
        <v>0</v>
      </c>
      <c r="AL8" s="16" t="str">
        <f>+'Fiche info Avenant 4'!$W$31</f>
        <v>NON</v>
      </c>
      <c r="AM8" s="16">
        <f>+'Fiche info Avenant 4'!$W$35</f>
        <v>0</v>
      </c>
      <c r="AN8" s="127">
        <f>+'Fiche info Avenant 4'!$W$34</f>
        <v>0</v>
      </c>
      <c r="AO8" s="16" t="e">
        <f>+'Fiche info Avenant 4'!N29</f>
        <v>#N/A</v>
      </c>
      <c r="AP8" s="16">
        <f>+'Fiche info Avenant 4'!M1</f>
        <v>0</v>
      </c>
      <c r="AQ8" s="16">
        <f>+'Fiche info Avenant 4'!EG4</f>
        <v>0</v>
      </c>
      <c r="AR8" s="27">
        <f>+'Fiche info Avenant 4'!N37</f>
        <v>0</v>
      </c>
      <c r="AS8" s="27">
        <f>+'Fiche info Avenant 4'!EG1</f>
        <v>0</v>
      </c>
      <c r="AT8" s="27">
        <f>+'Fiche info Avenant 4'!EG3</f>
        <v>0</v>
      </c>
      <c r="AU8" s="27">
        <f>+'Fiche info Avenant 4'!W37</f>
        <v>0</v>
      </c>
      <c r="AV8" s="27" t="str">
        <f>+'Fiche info Avenant 4'!W38</f>
        <v>NON</v>
      </c>
      <c r="BX8" s="16" t="str">
        <f t="shared" si="6"/>
        <v>A préciserA7</v>
      </c>
      <c r="CI8" s="16" t="s">
        <v>873</v>
      </c>
      <c r="CJ8" s="16">
        <v>6</v>
      </c>
      <c r="CK8" s="16">
        <v>2020</v>
      </c>
      <c r="CR8" s="16" t="s">
        <v>879</v>
      </c>
      <c r="CY8" s="16" t="str">
        <f t="shared" si="8"/>
        <v>Fiche info Avenant 5</v>
      </c>
      <c r="DB8" s="731">
        <f>DATE(YEAR(DB2),MONTH(DB2)+6,DAY(DB2))</f>
        <v>46204</v>
      </c>
      <c r="DC8" s="16">
        <f>+Juillet!$DP$8</f>
        <v>0</v>
      </c>
      <c r="DE8" s="845">
        <f>DATE(YEAR(DE2),MONTH(DE2)+6,DAY(DE2))</f>
        <v>46204</v>
      </c>
      <c r="DH8" s="731">
        <f>DATE(YEAR(DH3),MONTH(DH3)+5,DAY(DH3))</f>
        <v>46174</v>
      </c>
      <c r="DI8" s="848" t="str">
        <f t="shared" si="14"/>
        <v>Fiche info</v>
      </c>
      <c r="DJ8" s="848" t="str">
        <f t="shared" si="17"/>
        <v/>
      </c>
      <c r="DK8" s="16">
        <f>+IF((DATE(YEAR(Juin!AJ4),MONTH(Juin!AJ4),1)=DATE(YEAR(Juin!X3),MONTH(Juin!X3),1)),S.CAL!P4,99)</f>
        <v>99</v>
      </c>
      <c r="DL8" s="16">
        <f t="shared" si="9"/>
        <v>99</v>
      </c>
      <c r="DM8" s="16">
        <f>IF(Juin!$BZ$2=0,99,Juin!$BZ$2)</f>
        <v>99</v>
      </c>
      <c r="DN8" s="16" t="str">
        <f t="shared" si="15"/>
        <v/>
      </c>
      <c r="DO8" s="16" t="str">
        <f>+IF($DH8='Fiche info Avenant 1'!$K$1,"A1","")</f>
        <v/>
      </c>
      <c r="DP8" s="16" t="str">
        <f>+IF($DH8='Fiche info Avenant 2'!$K$1,"A2","")</f>
        <v/>
      </c>
      <c r="DQ8" s="16" t="str">
        <f>+IF($DH8='Fiche info Avenant 3'!$K$1,"A3","")</f>
        <v/>
      </c>
      <c r="DR8" s="16" t="str">
        <f>+IF($DH8='Fiche info Avenant 4'!$K$1,"A4","")</f>
        <v/>
      </c>
      <c r="DS8" s="16" t="str">
        <f>+IF($DH8='Fiche info Avenant 5'!$K$1,"A5","")</f>
        <v/>
      </c>
      <c r="DT8" s="16" t="str">
        <f>+IF($DH8='Fiche info Avenant 6'!$K$1,"A6","")</f>
        <v/>
      </c>
      <c r="DU8" s="16" t="str">
        <f>+IF($DH8='Fiche info Avenant 7'!$K$1,"A7","")</f>
        <v/>
      </c>
      <c r="DV8" s="16" t="str">
        <f>+IF($DH8='Fiche info Avenant 8'!$K$1,"A8","")</f>
        <v/>
      </c>
      <c r="DW8" s="16" t="str">
        <f>+IF($DH8='Fiche info Avenant 9'!$K$1,"A9","")</f>
        <v/>
      </c>
      <c r="DX8" s="16" t="str">
        <f>+IF($DH8='Fiche info Avenant 10'!$K$1,"A10","")</f>
        <v/>
      </c>
      <c r="DZ8" s="16">
        <v>5</v>
      </c>
      <c r="EA8" s="16" t="str">
        <f t="shared" si="10"/>
        <v>Fiche info Avenant 5</v>
      </c>
      <c r="EC8" s="731"/>
      <c r="ED8" s="731"/>
      <c r="EE8" s="16">
        <f t="shared" si="0"/>
        <v>0</v>
      </c>
      <c r="EF8" s="16">
        <f t="shared" si="1"/>
        <v>0</v>
      </c>
      <c r="EG8" s="16">
        <f t="shared" si="2"/>
        <v>0</v>
      </c>
      <c r="EH8" s="16">
        <f t="shared" si="3"/>
        <v>0</v>
      </c>
      <c r="EI8" s="16">
        <f t="shared" si="4"/>
        <v>0</v>
      </c>
      <c r="EM8" s="16">
        <v>7</v>
      </c>
      <c r="EN8" s="16" t="s">
        <v>874</v>
      </c>
      <c r="ET8" s="16" t="str">
        <f>+IF('Liste des Libellés'!A24=0,"",'Liste des Libellés'!A24)</f>
        <v/>
      </c>
      <c r="EU8" s="16" t="str">
        <f>+IF('Liste des Libellés'!B24=0,"",'Liste des Libellés'!B24)</f>
        <v/>
      </c>
      <c r="FB8" s="16" t="str">
        <f t="shared" si="11"/>
        <v/>
      </c>
      <c r="FC8" s="16" t="str">
        <f t="shared" si="12"/>
        <v/>
      </c>
      <c r="FD8" s="30">
        <f>+Base!$A$6</f>
        <v>46054</v>
      </c>
      <c r="FE8" s="30" t="str">
        <f>+IFERROR(VLOOKUP(FD8,BDD,79,FALSE),"")</f>
        <v/>
      </c>
      <c r="FF8" s="30" t="str">
        <f>IFERROR(+VLOOKUP(FD8,BDD,80,FALSE),"")</f>
        <v/>
      </c>
      <c r="FG8" s="30" t="str">
        <f>+IFERROR(VLOOKUP(FD8,BDD,81,FALSE),"")</f>
        <v/>
      </c>
      <c r="FH8" s="30" t="str">
        <f>+IFERROR(VLOOKUP(FD8,BDD,82,FALSE),"")</f>
        <v/>
      </c>
      <c r="FL8" s="16" t="s">
        <v>246</v>
      </c>
      <c r="FM8" s="16" t="s">
        <v>828</v>
      </c>
      <c r="FW8" s="16" t="str">
        <f>Janvier!GB25</f>
        <v>22026</v>
      </c>
      <c r="FX8" s="16">
        <f>Janvier!GC25</f>
        <v>0</v>
      </c>
      <c r="GG8" s="30">
        <f>+Régularisation!$S$7</f>
        <v>46174</v>
      </c>
      <c r="GH8" s="16">
        <f>+Régularisation!$U$95</f>
        <v>0</v>
      </c>
      <c r="GL8" s="30">
        <f>+'Retenue Juin'!D13</f>
        <v>46174</v>
      </c>
      <c r="GQ8" s="58">
        <f>+'Retenue Juin'!BJ53</f>
        <v>0</v>
      </c>
      <c r="GR8" s="58">
        <f>+'Retenue Juin'!BJ61</f>
        <v>0</v>
      </c>
      <c r="GS8" s="58">
        <f>+'Retenue Juin'!BJ56</f>
        <v>0</v>
      </c>
      <c r="GT8" s="58">
        <f>+'Retenue Juin'!BJ64</f>
        <v>0</v>
      </c>
      <c r="GU8" s="58">
        <f t="shared" si="16"/>
        <v>0</v>
      </c>
      <c r="GV8" s="58">
        <f t="shared" si="16"/>
        <v>0</v>
      </c>
      <c r="HI8" s="85">
        <f>+Janvier!AB26</f>
        <v>46029</v>
      </c>
      <c r="HJ8" s="27" t="str">
        <f>+Janvier!AD26</f>
        <v/>
      </c>
      <c r="HK8" s="16">
        <f t="shared" si="13"/>
        <v>0</v>
      </c>
      <c r="HL8" s="16" t="str">
        <f>IF(AND(HI8&gt;=DATE(Identification!$B$60,5,1),HI8&lt;=DATE(Identification!$B$60,10,31),SUM(HK8:HK22)=12),"OUI","")</f>
        <v/>
      </c>
    </row>
    <row r="9" spans="1:220 16362:16362" x14ac:dyDescent="0.2">
      <c r="A9" s="16" t="s">
        <v>257</v>
      </c>
      <c r="C9" s="27"/>
      <c r="D9" s="27"/>
      <c r="F9" s="34"/>
      <c r="G9" s="16">
        <f t="shared" si="5"/>
        <v>0</v>
      </c>
      <c r="L9" s="16" t="str">
        <f t="shared" si="7"/>
        <v>A préciserHSem</v>
      </c>
      <c r="N9" s="16" t="s">
        <v>548</v>
      </c>
      <c r="P9" s="16" t="s">
        <v>247</v>
      </c>
      <c r="Z9" s="16" t="s">
        <v>247</v>
      </c>
      <c r="AA9" s="16">
        <f>+'Fiche info Avenant 5'!C64</f>
        <v>0</v>
      </c>
      <c r="AB9" s="16">
        <f>+'Fiche info Avenant 5'!C67</f>
        <v>0</v>
      </c>
      <c r="AC9" s="16" t="str">
        <f>+'Fiche info Avenant 5'!$N$31</f>
        <v>NON</v>
      </c>
      <c r="AD9" s="16">
        <f>+'Fiche info Avenant 5'!$E$33</f>
        <v>0</v>
      </c>
      <c r="AE9" s="16">
        <f>+'Fiche info Avenant 5'!$E$48</f>
        <v>0</v>
      </c>
      <c r="AF9" s="16">
        <f>+'Fiche info Avenant 5'!$E$49</f>
        <v>0</v>
      </c>
      <c r="AG9" s="16">
        <f>+'Fiche info Avenant 5'!$E$35</f>
        <v>0</v>
      </c>
      <c r="AH9" s="127">
        <f>+'Fiche info Avenant 5'!$N$34</f>
        <v>0.1</v>
      </c>
      <c r="AI9" s="16" t="str">
        <f>+'Fiche info Avenant 5'!$P$39</f>
        <v>Méthode 1</v>
      </c>
      <c r="AJ9" s="16" t="str">
        <f>+'Fiche info Avenant 5'!$P$49</f>
        <v>Méthode 1</v>
      </c>
      <c r="AK9" s="34">
        <f>+'Fiche info Avenant 5'!$E$52</f>
        <v>0</v>
      </c>
      <c r="AL9" s="16" t="str">
        <f>+'Fiche info Avenant 5'!$W$31</f>
        <v>NON</v>
      </c>
      <c r="AM9" s="16">
        <f>+'Fiche info Avenant 5'!$W$35</f>
        <v>0</v>
      </c>
      <c r="AN9" s="127">
        <f>+'Fiche info Avenant 5'!$W$34</f>
        <v>0</v>
      </c>
      <c r="AO9" s="16" t="e">
        <f>+'Fiche info Avenant 5'!N29</f>
        <v>#N/A</v>
      </c>
      <c r="AP9" s="16">
        <f>+'Fiche info Avenant 5'!M1</f>
        <v>0</v>
      </c>
      <c r="AQ9" s="16">
        <f>+'Fiche info Avenant 5'!EG4</f>
        <v>0</v>
      </c>
      <c r="AR9" s="27">
        <f>+'Fiche info Avenant 5'!N37</f>
        <v>0</v>
      </c>
      <c r="AS9" s="27">
        <f>+'Fiche info Avenant 5'!EG1</f>
        <v>0</v>
      </c>
      <c r="AT9" s="27">
        <f>+'Fiche info Avenant 5'!EG3</f>
        <v>0</v>
      </c>
      <c r="AU9" s="27">
        <f>+'Fiche info Avenant 5'!W37</f>
        <v>0</v>
      </c>
      <c r="AV9" s="27" t="str">
        <f>+'Fiche info Avenant 5'!W38</f>
        <v>NON</v>
      </c>
      <c r="BX9" s="16" t="str">
        <f t="shared" si="6"/>
        <v>A préciserB1</v>
      </c>
      <c r="CI9" s="16" t="s">
        <v>874</v>
      </c>
      <c r="CJ9" s="16">
        <v>7</v>
      </c>
      <c r="CK9" s="16">
        <v>2021</v>
      </c>
      <c r="CY9" s="16" t="str">
        <f t="shared" si="8"/>
        <v>Fiche info CDD C.Durée</v>
      </c>
      <c r="DB9" s="731">
        <f>DATE(YEAR(DB2),MONTH(DB2)+7,DAY(DB2))</f>
        <v>46235</v>
      </c>
      <c r="DC9" s="16">
        <f>+Aout!$DP$8</f>
        <v>0</v>
      </c>
      <c r="DE9" s="845">
        <f>DATE(YEAR(DE2),MONTH(DE2)+7,DAY(DE2))</f>
        <v>46235</v>
      </c>
      <c r="DH9" s="731">
        <f>DATE(YEAR(DH3),MONTH(DH3)+6,DAY(DH3))</f>
        <v>46204</v>
      </c>
      <c r="DI9" s="848" t="str">
        <f t="shared" ref="DI9:DI14" si="18">+IF(AND(DJ9="",DI8&lt;&gt;$P$3),DI8,IF(DJ9&lt;&gt;"",DJ9,$P$3))</f>
        <v>Fiche info</v>
      </c>
      <c r="DJ9" s="848" t="str">
        <f t="shared" si="17"/>
        <v/>
      </c>
      <c r="DK9" s="16">
        <f>+IF((DATE(YEAR(Juillet!AJ4),MONTH(Juillet!AJ4),1)=DATE(YEAR(Juillet!X3),MONTH(Juillet!X3),1)),S.CAL!P4,99)</f>
        <v>99</v>
      </c>
      <c r="DL9" s="16">
        <f t="shared" si="9"/>
        <v>99</v>
      </c>
      <c r="DM9" s="16">
        <f>IF(Juillet!$BZ$2=0,99,Juillet!$BZ$2)</f>
        <v>99</v>
      </c>
      <c r="DN9" s="16" t="str">
        <f t="shared" si="15"/>
        <v/>
      </c>
      <c r="DO9" s="16" t="str">
        <f>+IF($DH9='Fiche info Avenant 1'!$K$1,"A1","")</f>
        <v/>
      </c>
      <c r="DP9" s="16" t="str">
        <f>+IF($DH9='Fiche info Avenant 2'!$K$1,"A2","")</f>
        <v/>
      </c>
      <c r="DQ9" s="16" t="str">
        <f>+IF($DH9='Fiche info Avenant 3'!$K$1,"A3","")</f>
        <v/>
      </c>
      <c r="DR9" s="16" t="str">
        <f>+IF($DH9='Fiche info Avenant 4'!$K$1,"A4","")</f>
        <v/>
      </c>
      <c r="DS9" s="16" t="str">
        <f>+IF($DH9='Fiche info Avenant 5'!$K$1,"A5","")</f>
        <v/>
      </c>
      <c r="DT9" s="16" t="str">
        <f>+IF($DH9='Fiche info Avenant 6'!$K$1,"A6","")</f>
        <v/>
      </c>
      <c r="DU9" s="16" t="str">
        <f>+IF($DH9='Fiche info Avenant 7'!$K$1,"A7","")</f>
        <v/>
      </c>
      <c r="DV9" s="16" t="str">
        <f>+IF($DH9='Fiche info Avenant 8'!$K$1,"A8","")</f>
        <v/>
      </c>
      <c r="DW9" s="16" t="str">
        <f>+IF($DH9='Fiche info Avenant 9'!$K$1,"A9","")</f>
        <v/>
      </c>
      <c r="DX9" s="16" t="str">
        <f>+IF($DH9='Fiche info Avenant 10'!$K$1,"A10","")</f>
        <v/>
      </c>
      <c r="DZ9" s="16">
        <v>6</v>
      </c>
      <c r="EA9" s="16" t="str">
        <f>CY12</f>
        <v>Fiche info Avenant 6</v>
      </c>
      <c r="EC9" s="731"/>
      <c r="ED9" s="731"/>
      <c r="EE9" s="16">
        <f t="shared" si="0"/>
        <v>0</v>
      </c>
      <c r="EF9" s="16">
        <f t="shared" si="1"/>
        <v>0</v>
      </c>
      <c r="EG9" s="16">
        <f t="shared" si="2"/>
        <v>0</v>
      </c>
      <c r="EH9" s="16">
        <f t="shared" si="3"/>
        <v>0</v>
      </c>
      <c r="EI9" s="16">
        <f t="shared" si="4"/>
        <v>0</v>
      </c>
      <c r="EM9" s="16">
        <v>8</v>
      </c>
      <c r="EN9" s="16" t="s">
        <v>875</v>
      </c>
      <c r="ET9" s="16" t="str">
        <f>+IF('Liste des Libellés'!A25=0,"",'Liste des Libellés'!A25)</f>
        <v/>
      </c>
      <c r="EU9" s="16" t="str">
        <f>+IF('Liste des Libellés'!B25=0,"",'Liste des Libellés'!B25)</f>
        <v/>
      </c>
      <c r="FB9" s="16" t="str">
        <f t="shared" si="11"/>
        <v/>
      </c>
      <c r="FC9" s="16" t="str">
        <f t="shared" si="12"/>
        <v/>
      </c>
      <c r="FD9" s="30">
        <f>+Base!$A$6</f>
        <v>46054</v>
      </c>
      <c r="FE9" s="30" t="str">
        <f>+IFERROR(VLOOKUP(FD9,BDD,83,FALSE),"")</f>
        <v/>
      </c>
      <c r="FF9" s="30" t="str">
        <f>+IFERROR(VLOOKUP(FD9,BDD,84,FALSE),"")</f>
        <v/>
      </c>
      <c r="FG9" s="30" t="str">
        <f>+IFERROR(VLOOKUP(FD9,BDD,85,FALSE),"")</f>
        <v/>
      </c>
      <c r="FH9" s="30" t="str">
        <f>+IFERROR(VLOOKUP(FD9,BDD,86,FALSE),"")</f>
        <v/>
      </c>
      <c r="FL9" s="16" t="s">
        <v>247</v>
      </c>
      <c r="FM9" s="16" t="s">
        <v>828</v>
      </c>
      <c r="FW9" s="16" t="str">
        <f>Janvier!GB26</f>
        <v>22026</v>
      </c>
      <c r="FX9" s="16">
        <f>Janvier!GC26</f>
        <v>0</v>
      </c>
      <c r="GG9" s="30">
        <f>+Régularisation!$V$7</f>
        <v>46204</v>
      </c>
      <c r="GH9" s="16">
        <f>+Régularisation!$X$95</f>
        <v>0</v>
      </c>
      <c r="GL9" s="30">
        <f>+'Retenue Juil'!D13</f>
        <v>46204</v>
      </c>
      <c r="GQ9" s="58">
        <f>+'Retenue Juil'!BJ53</f>
        <v>0</v>
      </c>
      <c r="GR9" s="58">
        <f>+'Retenue Juil'!BJ61</f>
        <v>0</v>
      </c>
      <c r="GS9" s="58">
        <f>+'Retenue Juil'!BJ56</f>
        <v>0</v>
      </c>
      <c r="GT9" s="58">
        <f>+'Retenue Juil'!BJ64</f>
        <v>0</v>
      </c>
      <c r="GU9" s="58">
        <f t="shared" si="16"/>
        <v>0</v>
      </c>
      <c r="GV9" s="58">
        <f t="shared" si="16"/>
        <v>0</v>
      </c>
      <c r="HI9" s="85">
        <f>+Janvier!AB27</f>
        <v>46030</v>
      </c>
      <c r="HJ9" s="27" t="str">
        <f>+Janvier!AD27</f>
        <v/>
      </c>
      <c r="HK9" s="16">
        <f t="shared" si="13"/>
        <v>0</v>
      </c>
      <c r="HL9" s="16" t="str">
        <f>IF(AND(HI9&gt;=DATE(Identification!$B$60,5,1),HI9&lt;=DATE(Identification!$B$60,10,31),SUM(HK9:HK23)=12),"OUI","")</f>
        <v/>
      </c>
    </row>
    <row r="10" spans="1:220 16362:16362" x14ac:dyDescent="0.2">
      <c r="A10" s="16" t="s">
        <v>258</v>
      </c>
      <c r="C10" s="27"/>
      <c r="D10" s="27"/>
      <c r="F10" s="34"/>
      <c r="G10" s="16">
        <f t="shared" si="5"/>
        <v>0</v>
      </c>
      <c r="L10" s="16" t="s">
        <v>415</v>
      </c>
      <c r="P10" s="16" t="s">
        <v>538</v>
      </c>
      <c r="Z10" s="16" t="s">
        <v>538</v>
      </c>
      <c r="AA10" s="16">
        <f>+'Fiche info CDD C.Durée'!C64</f>
        <v>0</v>
      </c>
      <c r="AB10" s="16">
        <f>+'Fiche info CDD C.Durée'!C67</f>
        <v>0</v>
      </c>
      <c r="AC10" s="16" t="str">
        <f>+'Fiche info CDD C.Durée'!$N$31</f>
        <v>NON</v>
      </c>
      <c r="AD10" s="16">
        <f>+'Fiche info CDD C.Durée'!E33</f>
        <v>0</v>
      </c>
      <c r="AE10" s="16">
        <f>+'Fiche info CDD C.Durée'!E48</f>
        <v>0</v>
      </c>
      <c r="AF10" s="16">
        <f>+'Fiche info CDD C.Durée'!E49</f>
        <v>0</v>
      </c>
      <c r="AG10" s="16">
        <f>+'Fiche info CDD C.Durée'!E35</f>
        <v>0</v>
      </c>
      <c r="AH10" s="127">
        <f>+'Fiche info CDD C.Durée'!N34</f>
        <v>0.1</v>
      </c>
      <c r="AI10" s="16" t="str">
        <f>+'Fiche info CDD C.Durée'!P39</f>
        <v>Méthode 1</v>
      </c>
      <c r="AJ10" s="16" t="s">
        <v>353</v>
      </c>
      <c r="AK10" s="34">
        <f>+'Fiche info CDD C.Durée'!E52</f>
        <v>0</v>
      </c>
      <c r="AL10" s="16" t="str">
        <f>+'Fiche info CDD C.Durée'!$W$31</f>
        <v>NON</v>
      </c>
      <c r="AM10" s="16">
        <f>+'Fiche info CDD C.Durée'!$W$35</f>
        <v>0</v>
      </c>
      <c r="AN10" s="127">
        <f>+'Fiche info CDD C.Durée'!$W$34</f>
        <v>0</v>
      </c>
      <c r="AO10" s="16">
        <f>+'Fiche info CDD C.Durée'!N29</f>
        <v>0.88200000000000001</v>
      </c>
      <c r="AP10" s="16" t="str">
        <f>+'Fiche info CDD C.Durée'!M1</f>
        <v>CDD sans date de fin</v>
      </c>
      <c r="AQ10" s="16" t="str">
        <f>+'Fiche info CDD C.Durée'!EG4</f>
        <v>OUI</v>
      </c>
      <c r="AR10" s="27" t="str">
        <f>+'Fiche info CDD C.Durée'!N37</f>
        <v/>
      </c>
      <c r="AS10" s="27" t="str">
        <f>+'Fiche info CDD C.Durée'!EG1</f>
        <v>NON</v>
      </c>
      <c r="AT10" s="27" t="str">
        <f>+'Fiche info CDD C.Durée'!EG3</f>
        <v>NON</v>
      </c>
      <c r="AU10" s="27" t="str">
        <f>+'Fiche info CDD C.Durée'!W36</f>
        <v>OUI</v>
      </c>
      <c r="AV10" s="27" t="str">
        <f>+'Fiche info CDD C.Durée'!W38</f>
        <v>OUI</v>
      </c>
      <c r="BX10" s="16" t="str">
        <f t="shared" si="6"/>
        <v>A préciserB2</v>
      </c>
      <c r="CI10" s="16" t="s">
        <v>875</v>
      </c>
      <c r="CJ10" s="16">
        <v>8</v>
      </c>
      <c r="CK10" s="16">
        <v>2022</v>
      </c>
      <c r="CY10" s="16" t="str">
        <f t="shared" si="8"/>
        <v>Fiche info CDD_ Avenant 1</v>
      </c>
      <c r="DB10" s="731">
        <f>DATE(YEAR(DB2),MONTH(DB2)+8,DAY(DB2))</f>
        <v>46266</v>
      </c>
      <c r="DC10" s="16">
        <f>+Septembre!$DP$8</f>
        <v>0</v>
      </c>
      <c r="DE10" s="845">
        <f>DATE(YEAR(DE2),MONTH(DE2)+8,DAY(DE2))</f>
        <v>46266</v>
      </c>
      <c r="DH10" s="731">
        <f>DATE(YEAR(DH3),MONTH(DH3)+7,DAY(DH3))</f>
        <v>46235</v>
      </c>
      <c r="DI10" s="848" t="str">
        <f t="shared" si="18"/>
        <v>Fiche info</v>
      </c>
      <c r="DJ10" s="848" t="str">
        <f t="shared" si="17"/>
        <v/>
      </c>
      <c r="DK10" s="16">
        <f>+IF((DATE(YEAR(Aout!AJ4),MONTH(Aout!AJ4),1)=DATE(YEAR(Aout!X3),MONTH(Aout!X3),1)),S.CAL!P4,99)</f>
        <v>99</v>
      </c>
      <c r="DL10" s="16">
        <f t="shared" si="9"/>
        <v>99</v>
      </c>
      <c r="DM10" s="16">
        <f>IF(Aout!$BZ$2=0,99,Aout!$BZ$2)</f>
        <v>99</v>
      </c>
      <c r="DN10" s="16" t="str">
        <f t="shared" si="15"/>
        <v/>
      </c>
      <c r="DO10" s="16" t="str">
        <f>+IF($DH10='Fiche info Avenant 1'!$K$1,"A1","")</f>
        <v/>
      </c>
      <c r="DP10" s="16" t="str">
        <f>+IF($DH10='Fiche info Avenant 2'!$K$1,"A2","")</f>
        <v/>
      </c>
      <c r="DQ10" s="16" t="str">
        <f>+IF($DH10='Fiche info Avenant 3'!$K$1,"A3","")</f>
        <v/>
      </c>
      <c r="DR10" s="16" t="str">
        <f>+IF($DH10='Fiche info Avenant 4'!$K$1,"A4","")</f>
        <v/>
      </c>
      <c r="DS10" s="16" t="str">
        <f>+IF($DH10='Fiche info Avenant 5'!$K$1,"A5","")</f>
        <v/>
      </c>
      <c r="DT10" s="16" t="str">
        <f>+IF($DH10='Fiche info Avenant 6'!$K$1,"A6","")</f>
        <v/>
      </c>
      <c r="DU10" s="16" t="str">
        <f>+IF($DH10='Fiche info Avenant 7'!$K$1,"A7","")</f>
        <v/>
      </c>
      <c r="DV10" s="16" t="str">
        <f>+IF($DH10='Fiche info Avenant 8'!$K$1,"A8","")</f>
        <v/>
      </c>
      <c r="DW10" s="16" t="str">
        <f>+IF($DH10='Fiche info Avenant 9'!$K$1,"A9","")</f>
        <v/>
      </c>
      <c r="DX10" s="16" t="str">
        <f>+IF($DH10='Fiche info Avenant 10'!$K$1,"A10","")</f>
        <v/>
      </c>
      <c r="DZ10" s="16">
        <v>7</v>
      </c>
      <c r="EA10" s="16" t="str">
        <f>CY13</f>
        <v>Fiche info Avenant 7</v>
      </c>
      <c r="EC10" s="731"/>
      <c r="ED10" s="731"/>
      <c r="EE10" s="16">
        <f t="shared" si="0"/>
        <v>0</v>
      </c>
      <c r="EF10" s="16">
        <f t="shared" si="1"/>
        <v>0</v>
      </c>
      <c r="EG10" s="16">
        <f t="shared" si="2"/>
        <v>0</v>
      </c>
      <c r="EH10" s="16">
        <f t="shared" si="3"/>
        <v>0</v>
      </c>
      <c r="EI10" s="16">
        <f t="shared" si="4"/>
        <v>0</v>
      </c>
      <c r="EM10" s="16">
        <v>9</v>
      </c>
      <c r="EN10" s="16" t="s">
        <v>876</v>
      </c>
      <c r="ET10" s="16" t="str">
        <f>+IF('Liste des Libellés'!A26=0,"",'Liste des Libellés'!A26)</f>
        <v/>
      </c>
      <c r="EU10" s="16" t="str">
        <f>+IF('Liste des Libellés'!B26=0,"",'Liste des Libellés'!B26)</f>
        <v/>
      </c>
      <c r="FB10" s="16" t="str">
        <f t="shared" si="11"/>
        <v/>
      </c>
      <c r="FC10" s="16" t="str">
        <f t="shared" si="12"/>
        <v/>
      </c>
      <c r="FD10" s="30">
        <f>+Base!$A$7</f>
        <v>46082</v>
      </c>
      <c r="FE10" s="30" t="str">
        <f>+IFERROR(VLOOKUP(FD10,BDD,71,FALSE),"")</f>
        <v/>
      </c>
      <c r="FF10" s="30" t="str">
        <f>IFERROR(+VLOOKUP(FD10,BDD,72,FALSE),"")</f>
        <v/>
      </c>
      <c r="FG10" s="30" t="str">
        <f>+IFERROR(VLOOKUP(FD10,BDD,73,FALSE),"")</f>
        <v/>
      </c>
      <c r="FH10" s="30" t="str">
        <f>+IFERROR(VLOOKUP(FD10,BDD,74,FALSE),"")</f>
        <v/>
      </c>
      <c r="FL10" s="16" t="s">
        <v>538</v>
      </c>
      <c r="FM10" s="16" t="s">
        <v>827</v>
      </c>
      <c r="FW10" s="16" t="str">
        <f>Janvier!GB27</f>
        <v>22026</v>
      </c>
      <c r="FX10" s="16">
        <f>Janvier!GC27</f>
        <v>0</v>
      </c>
      <c r="GG10" s="30">
        <f>+Régularisation!$Y$7</f>
        <v>46235</v>
      </c>
      <c r="GH10" s="16">
        <f>+Régularisation!$AA$95</f>
        <v>0</v>
      </c>
      <c r="GL10" s="30">
        <f>+'Retenue Aout'!D13</f>
        <v>46235</v>
      </c>
      <c r="GQ10" s="58">
        <f>+'Retenue Aout'!BJ53</f>
        <v>0</v>
      </c>
      <c r="GR10" s="58">
        <f>+'Retenue Aout'!BJ61</f>
        <v>0</v>
      </c>
      <c r="GS10" s="58">
        <f>+'Retenue Aout'!BJ56</f>
        <v>0</v>
      </c>
      <c r="GT10" s="58">
        <f>+'Retenue Aout'!BJ64</f>
        <v>0</v>
      </c>
      <c r="GU10" s="58">
        <f t="shared" si="16"/>
        <v>0</v>
      </c>
      <c r="GV10" s="58">
        <f t="shared" si="16"/>
        <v>0</v>
      </c>
      <c r="HI10" s="85">
        <f>+Janvier!AB28</f>
        <v>46031</v>
      </c>
      <c r="HJ10" s="27" t="str">
        <f>+Janvier!AD28</f>
        <v/>
      </c>
      <c r="HK10" s="16">
        <f t="shared" si="13"/>
        <v>0</v>
      </c>
      <c r="HL10" s="16" t="str">
        <f>IF(AND(HI10&gt;=DATE(Identification!$B$60,5,1),HI10&lt;=DATE(Identification!$B$60,10,31),SUM(HK10:HK24)=12),"OUI","")</f>
        <v/>
      </c>
    </row>
    <row r="11" spans="1:220 16362:16362" x14ac:dyDescent="0.2">
      <c r="A11" s="16" t="s">
        <v>259</v>
      </c>
      <c r="C11" s="27"/>
      <c r="D11" s="27"/>
      <c r="F11" s="34"/>
      <c r="G11" s="16">
        <f t="shared" si="5"/>
        <v>0</v>
      </c>
      <c r="L11" s="16" t="s">
        <v>416</v>
      </c>
      <c r="P11" s="16" t="s">
        <v>539</v>
      </c>
      <c r="Z11" s="16" t="s">
        <v>539</v>
      </c>
      <c r="AA11" s="16">
        <f>+'Fiche info CDD_ Avenant 1'!C64</f>
        <v>0</v>
      </c>
      <c r="AB11" s="16">
        <f>+'Fiche info CDD_ Avenant 1'!C67</f>
        <v>0</v>
      </c>
      <c r="AC11" s="16" t="str">
        <f>+'Fiche info CDD_ Avenant 1'!$N$31</f>
        <v>NON</v>
      </c>
      <c r="AD11" s="16">
        <f>+'Fiche info CDD_ Avenant 1'!E33</f>
        <v>52</v>
      </c>
      <c r="AE11" s="16">
        <f>+'Fiche info CDD_ Avenant 1'!E48</f>
        <v>0</v>
      </c>
      <c r="AF11" s="16">
        <f>+'Fiche info CDD_ Avenant 1'!E49</f>
        <v>0</v>
      </c>
      <c r="AG11" s="16">
        <f>+'Fiche info CDD_ Avenant 1'!E35</f>
        <v>0</v>
      </c>
      <c r="AH11" s="127">
        <f>+'Fiche info CDD_ Avenant 1'!N34</f>
        <v>0.1</v>
      </c>
      <c r="AI11" s="16" t="str">
        <f>+'Fiche info CDD_ Avenant 1'!P39</f>
        <v>Méthode 1</v>
      </c>
      <c r="AJ11" s="16" t="s">
        <v>353</v>
      </c>
      <c r="AK11" s="34">
        <f>+'Fiche info CDD_ Avenant 1'!E52</f>
        <v>0</v>
      </c>
      <c r="AL11" s="16" t="str">
        <f>+'Fiche info CDD_ Avenant 1'!$W$31</f>
        <v>NON</v>
      </c>
      <c r="AM11" s="16">
        <f>+'Fiche info CDD_ Avenant 1'!$W$35</f>
        <v>0</v>
      </c>
      <c r="AN11" s="127">
        <f>+'Fiche info CDD_ Avenant 1'!$W$34</f>
        <v>0</v>
      </c>
      <c r="AO11" s="16" t="e">
        <f>+'Fiche info CDD_ Avenant 1'!N29</f>
        <v>#N/A</v>
      </c>
      <c r="AP11" s="16" t="str">
        <f>+'Fiche info CDD_ Avenant 1'!M1</f>
        <v>CDD avec date de fin</v>
      </c>
      <c r="AQ11" s="16" t="str">
        <f>+'Fiche info CDD_ Avenant 1'!EG4</f>
        <v>OUI</v>
      </c>
      <c r="AR11" s="27">
        <f>+'Fiche info CDD_ Avenant 1'!N37</f>
        <v>0</v>
      </c>
      <c r="AS11" s="27" t="str">
        <f>+'Fiche info CDD_ Avenant 1'!EG1</f>
        <v>OUI</v>
      </c>
      <c r="AT11" s="27" t="str">
        <f>+'Fiche info CDD_ Avenant 1'!EG3</f>
        <v>NON</v>
      </c>
      <c r="AU11" s="27" t="str">
        <f>+'Fiche info CDD_ Avenant 1'!W36</f>
        <v>OUI</v>
      </c>
      <c r="AV11" s="27" t="str">
        <f>+'Fiche info CDD_ Avenant 1'!W38</f>
        <v>NON</v>
      </c>
      <c r="BX11" s="16" t="str">
        <f t="shared" si="6"/>
        <v>A préciserB3</v>
      </c>
      <c r="CI11" s="16" t="s">
        <v>876</v>
      </c>
      <c r="CJ11" s="16">
        <v>9</v>
      </c>
      <c r="CK11" s="16">
        <v>2023</v>
      </c>
      <c r="CY11" s="16" t="str">
        <f t="shared" si="8"/>
        <v>Fiche info CDD_ Avenant 2</v>
      </c>
      <c r="DB11" s="731">
        <f>DATE(YEAR(DB2),MONTH(DB2)+9,DAY(DB2))</f>
        <v>46296</v>
      </c>
      <c r="DC11" s="16">
        <f>+Octobre!$DP$8</f>
        <v>0</v>
      </c>
      <c r="DE11" s="845">
        <f>DATE(YEAR(DE2),MONTH(DE2)+9,DAY(DE2))</f>
        <v>46296</v>
      </c>
      <c r="DH11" s="731">
        <f>DATE(YEAR(DH3),MONTH(DH3)+8,DAY(DH3))</f>
        <v>46266</v>
      </c>
      <c r="DI11" s="848" t="str">
        <f t="shared" si="18"/>
        <v>Fiche info</v>
      </c>
      <c r="DJ11" s="848" t="str">
        <f t="shared" si="17"/>
        <v/>
      </c>
      <c r="DK11" s="16">
        <f>+IF((DATE(YEAR(Septembre!AJ4),MONTH(Septembre!AJ4),1)=DATE(YEAR(Septembre!X3),MONTH(Septembre!X3),1)),S.CAL!P4,99)</f>
        <v>99</v>
      </c>
      <c r="DL11" s="16">
        <f t="shared" si="9"/>
        <v>99</v>
      </c>
      <c r="DM11" s="16">
        <f>IF(Septembre!$BZ$2=0,99,Septembre!$BZ$2)</f>
        <v>99</v>
      </c>
      <c r="DN11" s="16" t="str">
        <f t="shared" si="15"/>
        <v/>
      </c>
      <c r="DO11" s="16" t="str">
        <f>+IF($DH11='Fiche info Avenant 1'!$K$1,"A1","")</f>
        <v/>
      </c>
      <c r="DP11" s="16" t="str">
        <f>+IF($DH11='Fiche info Avenant 2'!$K$1,"A2","")</f>
        <v/>
      </c>
      <c r="DQ11" s="16" t="str">
        <f>+IF($DH11='Fiche info Avenant 3'!$K$1,"A3","")</f>
        <v/>
      </c>
      <c r="DR11" s="16" t="str">
        <f>+IF($DH11='Fiche info Avenant 4'!$K$1,"A4","")</f>
        <v/>
      </c>
      <c r="DS11" s="16" t="str">
        <f>+IF($DH11='Fiche info Avenant 5'!$K$1,"A5","")</f>
        <v/>
      </c>
      <c r="DT11" s="16" t="str">
        <f>+IF($DH11='Fiche info Avenant 6'!$K$1,"A6","")</f>
        <v/>
      </c>
      <c r="DU11" s="16" t="str">
        <f>+IF($DH11='Fiche info Avenant 7'!$K$1,"A7","")</f>
        <v/>
      </c>
      <c r="DV11" s="16" t="str">
        <f>+IF($DH11='Fiche info Avenant 8'!$K$1,"A8","")</f>
        <v/>
      </c>
      <c r="DW11" s="16" t="str">
        <f>+IF($DH11='Fiche info Avenant 9'!$K$1,"A9","")</f>
        <v/>
      </c>
      <c r="DX11" s="16" t="str">
        <f>+IF($DH11='Fiche info Avenant 10'!$K$1,"A10","")</f>
        <v/>
      </c>
      <c r="DZ11" s="16">
        <v>8</v>
      </c>
      <c r="EA11" s="16" t="str">
        <f>CY14</f>
        <v>Fiche info Avenant 8</v>
      </c>
      <c r="EC11" s="731"/>
      <c r="ED11" s="731"/>
      <c r="EE11" s="16">
        <f t="shared" si="0"/>
        <v>0</v>
      </c>
      <c r="EF11" s="16">
        <f t="shared" si="1"/>
        <v>0</v>
      </c>
      <c r="EG11" s="16">
        <f t="shared" si="2"/>
        <v>0</v>
      </c>
      <c r="EH11" s="16">
        <f t="shared" si="3"/>
        <v>0</v>
      </c>
      <c r="EI11" s="16">
        <f t="shared" si="4"/>
        <v>0</v>
      </c>
      <c r="EM11" s="16">
        <v>10</v>
      </c>
      <c r="EN11" s="16" t="s">
        <v>877</v>
      </c>
      <c r="ET11" s="16" t="str">
        <f>+IF('Liste des Libellés'!A27=0,"",'Liste des Libellés'!A27)</f>
        <v/>
      </c>
      <c r="EU11" s="16" t="str">
        <f>+IF('Liste des Libellés'!B27=0,"",'Liste des Libellés'!B27)</f>
        <v/>
      </c>
      <c r="FB11" s="16" t="str">
        <f t="shared" si="11"/>
        <v/>
      </c>
      <c r="FC11" s="16" t="str">
        <f t="shared" si="12"/>
        <v/>
      </c>
      <c r="FD11" s="30">
        <f>+Base!$A$7</f>
        <v>46082</v>
      </c>
      <c r="FE11" s="30" t="str">
        <f>+IFERROR(VLOOKUP(FD11,BDD,75,FALSE),"")</f>
        <v/>
      </c>
      <c r="FF11" s="30" t="str">
        <f>+IFERROR(VLOOKUP(FD11,BDD,76,FALSE),"")</f>
        <v/>
      </c>
      <c r="FG11" s="30" t="str">
        <f>IFERROR(+VLOOKUP(FD11,BDD,77,FALSE),"")</f>
        <v/>
      </c>
      <c r="FH11" s="30" t="str">
        <f>+IFERROR(VLOOKUP(FD11,BDD,78,FALSE),"")</f>
        <v/>
      </c>
      <c r="FL11" s="16" t="s">
        <v>539</v>
      </c>
      <c r="FM11" s="16" t="s">
        <v>827</v>
      </c>
      <c r="FW11" s="16" t="str">
        <f>Janvier!GB28</f>
        <v>22026</v>
      </c>
      <c r="FX11" s="16">
        <f>Janvier!GC28</f>
        <v>0</v>
      </c>
      <c r="GG11" s="30">
        <f>+Régularisation!$AB$7</f>
        <v>46266</v>
      </c>
      <c r="GH11" s="16">
        <f>+Régularisation!$AD$95</f>
        <v>0</v>
      </c>
      <c r="GL11" s="30">
        <f>+'Retenue Sept'!D13</f>
        <v>46266</v>
      </c>
      <c r="GQ11" s="58">
        <f>+'Retenue Sept'!BJ53</f>
        <v>0</v>
      </c>
      <c r="GR11" s="58">
        <f>+'Retenue Sept'!BJ61</f>
        <v>0</v>
      </c>
      <c r="GS11" s="58">
        <f>+'Retenue Sept'!BJ56</f>
        <v>0</v>
      </c>
      <c r="GT11" s="58">
        <f>+'Retenue Sept'!BJ64</f>
        <v>0</v>
      </c>
      <c r="GU11" s="58">
        <f t="shared" si="16"/>
        <v>0</v>
      </c>
      <c r="GV11" s="58">
        <f t="shared" si="16"/>
        <v>0</v>
      </c>
      <c r="HI11" s="85">
        <f>+Janvier!AB29</f>
        <v>46032</v>
      </c>
      <c r="HJ11" s="27" t="str">
        <f>+Janvier!AD29</f>
        <v/>
      </c>
      <c r="HK11" s="16">
        <f t="shared" si="13"/>
        <v>0</v>
      </c>
      <c r="HL11" s="16" t="str">
        <f>IF(AND(HI11&gt;=DATE(Identification!$B$60,5,1),HI11&lt;=DATE(Identification!$B$60,10,31),SUM(HK11:HK25)=12),"OUI","")</f>
        <v/>
      </c>
    </row>
    <row r="12" spans="1:220 16362:16362" x14ac:dyDescent="0.2">
      <c r="A12" s="16" t="s">
        <v>260</v>
      </c>
      <c r="C12" s="27"/>
      <c r="D12" s="27"/>
      <c r="F12" s="34"/>
      <c r="G12" s="16">
        <f t="shared" si="5"/>
        <v>0</v>
      </c>
      <c r="L12" s="16" t="s">
        <v>417</v>
      </c>
      <c r="P12" s="16" t="s">
        <v>540</v>
      </c>
      <c r="Z12" s="16" t="s">
        <v>540</v>
      </c>
      <c r="AA12" s="16">
        <f>+'Fiche info CDD_ Avenant 2'!C64</f>
        <v>0</v>
      </c>
      <c r="AB12" s="16">
        <f>+'Fiche info CDD_ Avenant 2'!C67</f>
        <v>0</v>
      </c>
      <c r="AC12" s="16" t="str">
        <f>+'Fiche info CDD_ Avenant 2'!$N$31</f>
        <v>NON</v>
      </c>
      <c r="AD12" s="16">
        <f>+'Fiche info CDD_ Avenant 2'!E33</f>
        <v>52</v>
      </c>
      <c r="AE12" s="16">
        <f>+'Fiche info CDD_ Avenant 2'!E48</f>
        <v>0</v>
      </c>
      <c r="AF12" s="16">
        <f>+'Fiche info CDD_ Avenant 2'!E49</f>
        <v>0</v>
      </c>
      <c r="AG12" s="16">
        <f>+'Fiche info CDD_ Avenant 2'!E35</f>
        <v>0</v>
      </c>
      <c r="AH12" s="127">
        <f>+'Fiche info CDD_ Avenant 2'!N34</f>
        <v>0.1</v>
      </c>
      <c r="AI12" s="16" t="str">
        <f>+'Fiche info CDD_ Avenant 2'!P39</f>
        <v>Méthode 1</v>
      </c>
      <c r="AJ12" s="16" t="s">
        <v>353</v>
      </c>
      <c r="AK12" s="34">
        <f>+'Fiche info CDD_ Avenant 2'!E52</f>
        <v>0</v>
      </c>
      <c r="AL12" s="16" t="str">
        <f>+'Fiche info CDD_ Avenant 2'!$W$31</f>
        <v>NON</v>
      </c>
      <c r="AM12" s="16">
        <f>+'Fiche info CDD_ Avenant 2'!$W$35</f>
        <v>0</v>
      </c>
      <c r="AN12" s="127">
        <f>+'Fiche info CDD_ Avenant 2'!$W$34</f>
        <v>0</v>
      </c>
      <c r="AO12" s="16" t="e">
        <f>+'Fiche info CDD_ Avenant 2'!N29</f>
        <v>#N/A</v>
      </c>
      <c r="AP12" s="16" t="str">
        <f>+'Fiche info CDD_ Avenant 2'!M1</f>
        <v>CDD avec date de fin</v>
      </c>
      <c r="AQ12" s="16" t="str">
        <f>+'Fiche info CDD_ Avenant 2'!EG4</f>
        <v>OUI</v>
      </c>
      <c r="AR12" s="27">
        <f>+'Fiche info CDD_ Avenant 2'!N37</f>
        <v>0</v>
      </c>
      <c r="AS12" s="27" t="str">
        <f>+'Fiche info CDD_ Avenant 2'!EG1</f>
        <v>OUI</v>
      </c>
      <c r="AT12" s="27" t="str">
        <f>+'Fiche info CDD_ Avenant 2'!EG3</f>
        <v>NON</v>
      </c>
      <c r="AU12" s="27" t="str">
        <f>+'Fiche info CDD_ Avenant 2'!W36</f>
        <v>OUI</v>
      </c>
      <c r="AV12" s="27" t="str">
        <f>+'Fiche info CDD_ Avenant 2'!W38</f>
        <v>NON</v>
      </c>
      <c r="BX12" s="16" t="str">
        <f t="shared" si="6"/>
        <v>A préciserB4</v>
      </c>
      <c r="CI12" s="16" t="s">
        <v>877</v>
      </c>
      <c r="CJ12" s="16">
        <v>10</v>
      </c>
      <c r="CK12" s="16">
        <v>2024</v>
      </c>
      <c r="CY12" s="16" t="str">
        <f t="shared" si="8"/>
        <v>Fiche info Avenant 6</v>
      </c>
      <c r="DB12" s="731">
        <f>DATE(YEAR(DB2),MONTH(DB2)+10,DAY(DB2))</f>
        <v>46327</v>
      </c>
      <c r="DC12" s="16">
        <f>+Novembre!$DP$8</f>
        <v>0</v>
      </c>
      <c r="DE12" s="845">
        <f>DATE(YEAR(DE2),MONTH(DE2)+10,DAY(DE2))</f>
        <v>46327</v>
      </c>
      <c r="DH12" s="731">
        <f>DATE(YEAR(DH3),MONTH(DH3)+9,DAY(DH3))</f>
        <v>46296</v>
      </c>
      <c r="DI12" s="848" t="str">
        <f t="shared" si="18"/>
        <v>Fiche info</v>
      </c>
      <c r="DJ12" s="848" t="str">
        <f t="shared" si="17"/>
        <v/>
      </c>
      <c r="DK12" s="16">
        <f>+IF((DATE(YEAR(Octobre!AJ4),MONTH(Octobre!AJ4),1)=DATE(YEAR(Octobre!X3),MONTH(Octobre!X3),1)),S.CAL!P4,99)</f>
        <v>99</v>
      </c>
      <c r="DL12" s="16">
        <f t="shared" si="9"/>
        <v>99</v>
      </c>
      <c r="DM12" s="16">
        <f>IF(Octobre!$BZ$2=0,99,Octobre!$BZ$2)</f>
        <v>99</v>
      </c>
      <c r="DN12" s="16" t="str">
        <f t="shared" si="15"/>
        <v/>
      </c>
      <c r="DO12" s="16" t="str">
        <f>+IF($DH12='Fiche info Avenant 1'!$K$1,"A1","")</f>
        <v/>
      </c>
      <c r="DP12" s="16" t="str">
        <f>+IF($DH12='Fiche info Avenant 2'!$K$1,"A2","")</f>
        <v/>
      </c>
      <c r="DQ12" s="16" t="str">
        <f>+IF($DH12='Fiche info Avenant 3'!$K$1,"A3","")</f>
        <v/>
      </c>
      <c r="DR12" s="16" t="str">
        <f>+IF($DH12='Fiche info Avenant 4'!$K$1,"A4","")</f>
        <v/>
      </c>
      <c r="DS12" s="16" t="str">
        <f>+IF($DH12='Fiche info Avenant 5'!$K$1,"A5","")</f>
        <v/>
      </c>
      <c r="DT12" s="16" t="str">
        <f>+IF($DH12='Fiche info Avenant 6'!$K$1,"A6","")</f>
        <v/>
      </c>
      <c r="DU12" s="16" t="str">
        <f>+IF($DH12='Fiche info Avenant 7'!$K$1,"A7","")</f>
        <v/>
      </c>
      <c r="DV12" s="16" t="str">
        <f>+IF($DH12='Fiche info Avenant 8'!$K$1,"A8","")</f>
        <v/>
      </c>
      <c r="DW12" s="16" t="str">
        <f>+IF($DH12='Fiche info Avenant 9'!$K$1,"A9","")</f>
        <v/>
      </c>
      <c r="DX12" s="16" t="str">
        <f>+IF($DH12='Fiche info Avenant 10'!$K$1,"A10","")</f>
        <v/>
      </c>
      <c r="DZ12" s="16">
        <v>9</v>
      </c>
      <c r="EA12" s="16" t="str">
        <f>CY15</f>
        <v>Fiche info Avenant 9</v>
      </c>
      <c r="EC12" s="731"/>
      <c r="ED12" s="731"/>
      <c r="EE12" s="16">
        <f t="shared" si="0"/>
        <v>0</v>
      </c>
      <c r="EF12" s="16">
        <f t="shared" si="1"/>
        <v>0</v>
      </c>
      <c r="EG12" s="16">
        <f t="shared" si="2"/>
        <v>0</v>
      </c>
      <c r="EH12" s="16">
        <f t="shared" si="3"/>
        <v>0</v>
      </c>
      <c r="EI12" s="16">
        <f t="shared" si="4"/>
        <v>0</v>
      </c>
      <c r="EM12" s="16">
        <v>11</v>
      </c>
      <c r="EN12" s="16" t="s">
        <v>878</v>
      </c>
      <c r="ET12" s="16" t="str">
        <f>+IF('Liste des Libellés'!A28=0,"",'Liste des Libellés'!A28)</f>
        <v/>
      </c>
      <c r="EU12" s="16" t="str">
        <f>+IF('Liste des Libellés'!B28=0,"",'Liste des Libellés'!B28)</f>
        <v/>
      </c>
      <c r="FB12" s="16" t="str">
        <f t="shared" si="11"/>
        <v/>
      </c>
      <c r="FC12" s="16" t="str">
        <f t="shared" si="12"/>
        <v/>
      </c>
      <c r="FD12" s="30">
        <f>+Base!$A$7</f>
        <v>46082</v>
      </c>
      <c r="FE12" s="30" t="str">
        <f>+IFERROR(VLOOKUP(FD12,BDD,79,FALSE),"")</f>
        <v/>
      </c>
      <c r="FF12" s="30" t="str">
        <f>IFERROR(+VLOOKUP(FD12,BDD,80,FALSE),"")</f>
        <v/>
      </c>
      <c r="FG12" s="30" t="str">
        <f>+IFERROR(VLOOKUP(FD12,BDD,81,FALSE),"")</f>
        <v/>
      </c>
      <c r="FH12" s="30" t="str">
        <f>+IFERROR(VLOOKUP(FD12,BDD,82,FALSE),"")</f>
        <v/>
      </c>
      <c r="FL12" s="16" t="s">
        <v>540</v>
      </c>
      <c r="FM12" s="16" t="s">
        <v>827</v>
      </c>
      <c r="FW12" s="16" t="str">
        <f>Janvier!GB29</f>
        <v>22026</v>
      </c>
      <c r="FX12" s="16">
        <f>Janvier!GC29</f>
        <v>0</v>
      </c>
      <c r="GG12" s="30">
        <f>+Régularisation!$AE$7</f>
        <v>46296</v>
      </c>
      <c r="GH12" s="16">
        <f>+Régularisation!$AG$95</f>
        <v>0</v>
      </c>
      <c r="GL12" s="30">
        <f>+'Retenue Oct'!D13</f>
        <v>46296</v>
      </c>
      <c r="GQ12" s="58">
        <f>+'Retenue Oct'!BJ53</f>
        <v>0</v>
      </c>
      <c r="GR12" s="58">
        <f>+'Retenue Oct'!BJ61</f>
        <v>0</v>
      </c>
      <c r="GS12" s="58">
        <f>+'Retenue Oct'!BJ56</f>
        <v>0</v>
      </c>
      <c r="GT12" s="58">
        <f>+'Retenue Oct'!BJ64</f>
        <v>0</v>
      </c>
      <c r="GU12" s="58">
        <f t="shared" si="16"/>
        <v>0</v>
      </c>
      <c r="GV12" s="58">
        <f t="shared" si="16"/>
        <v>0</v>
      </c>
      <c r="HI12" s="85">
        <f>+Janvier!AB30</f>
        <v>46033</v>
      </c>
      <c r="HJ12" s="27" t="str">
        <f>+Janvier!AD30</f>
        <v/>
      </c>
      <c r="HK12" s="16">
        <f t="shared" si="13"/>
        <v>0</v>
      </c>
      <c r="HL12" s="16" t="str">
        <f>IF(AND(HI12&gt;=DATE(Identification!$B$60,5,1),HI12&lt;=DATE(Identification!$B$60,10,31),SUM(HK12:HK26)=12),"OUI","")</f>
        <v/>
      </c>
    </row>
    <row r="13" spans="1:220 16362:16362" x14ac:dyDescent="0.2">
      <c r="A13" s="16" t="s">
        <v>261</v>
      </c>
      <c r="C13" s="27"/>
      <c r="D13" s="27"/>
      <c r="F13" s="34"/>
      <c r="G13" s="16">
        <f t="shared" si="5"/>
        <v>0</v>
      </c>
      <c r="L13" s="16" t="s">
        <v>418</v>
      </c>
      <c r="P13" s="16" t="s">
        <v>755</v>
      </c>
      <c r="Z13" s="16" t="s">
        <v>755</v>
      </c>
      <c r="AA13" s="16">
        <f>+'Fiche info Avenant 6'!C64</f>
        <v>0</v>
      </c>
      <c r="AB13" s="16">
        <f>+'Fiche info Avenant 6'!C67</f>
        <v>0</v>
      </c>
      <c r="AC13" s="16" t="str">
        <f>+'Fiche info Avenant 6'!$N$31</f>
        <v>NON</v>
      </c>
      <c r="AD13" s="16">
        <f>+'Fiche info Avenant 6'!$E$33</f>
        <v>0</v>
      </c>
      <c r="AE13" s="16">
        <f>+'Fiche info Avenant 6'!$E$48</f>
        <v>0</v>
      </c>
      <c r="AF13" s="16">
        <f>+'Fiche info Avenant 6'!$E$49</f>
        <v>0</v>
      </c>
      <c r="AG13" s="16">
        <f>+'Fiche info Avenant 6'!$E$35</f>
        <v>0</v>
      </c>
      <c r="AH13" s="127">
        <f>+'Fiche info Avenant 6'!$N$34</f>
        <v>0.1</v>
      </c>
      <c r="AI13" s="16" t="str">
        <f>+'Fiche info Avenant 6'!$P$39</f>
        <v>Méthode 1</v>
      </c>
      <c r="AJ13" s="16" t="str">
        <f>+'Fiche info Avenant 6'!$P$49</f>
        <v>Méthode 1</v>
      </c>
      <c r="AK13" s="34">
        <f>+'Fiche info Avenant 6'!$E$52</f>
        <v>0</v>
      </c>
      <c r="AL13" s="16" t="str">
        <f>+'Fiche info Avenant 6'!$W$31</f>
        <v>NON</v>
      </c>
      <c r="AM13" s="16">
        <f>+'Fiche info Avenant 6'!$W$35</f>
        <v>0</v>
      </c>
      <c r="AN13" s="127">
        <f>+'Fiche info Avenant 6'!$W$34</f>
        <v>0</v>
      </c>
      <c r="AO13" s="16" t="e">
        <f>+'Fiche info Avenant 6'!N29</f>
        <v>#N/A</v>
      </c>
      <c r="AP13" s="16">
        <f>+'Fiche info Avenant 6'!M1</f>
        <v>0</v>
      </c>
      <c r="AQ13" s="16">
        <f>+'Fiche info Avenant 6'!EG4</f>
        <v>0</v>
      </c>
      <c r="AR13" s="27">
        <f>+'Fiche info Avenant 6'!N37</f>
        <v>0</v>
      </c>
      <c r="AS13" s="27">
        <f>+'Fiche info Avenant 6'!EG1</f>
        <v>0</v>
      </c>
      <c r="AT13" s="27">
        <f>+'Fiche info Avenant 6'!EG3</f>
        <v>0</v>
      </c>
      <c r="AU13" s="27">
        <f>+'Fiche info Avenant 6'!W37</f>
        <v>0</v>
      </c>
      <c r="AV13" s="27" t="str">
        <f>+'Fiche info Avenant 6'!W38</f>
        <v>NON</v>
      </c>
      <c r="BX13" s="16" t="str">
        <f t="shared" si="6"/>
        <v>A préciserB5</v>
      </c>
      <c r="CI13" s="16" t="s">
        <v>878</v>
      </c>
      <c r="CJ13" s="16">
        <v>11</v>
      </c>
      <c r="CK13" s="16">
        <v>2025</v>
      </c>
      <c r="CY13" s="16" t="str">
        <f t="shared" si="8"/>
        <v>Fiche info Avenant 7</v>
      </c>
      <c r="DB13" s="731">
        <f>DATE(YEAR(DB2),MONTH(DB2)+11,DAY(DB2))</f>
        <v>46357</v>
      </c>
      <c r="DC13" s="16">
        <f>+Décembre!$DP$8</f>
        <v>0</v>
      </c>
      <c r="DE13" s="845">
        <f>DATE(YEAR(DE2),MONTH(DE2)+11,DAY(DE2))</f>
        <v>46357</v>
      </c>
      <c r="DH13" s="731">
        <f>DATE(YEAR(DH3),MONTH(DH3)+10,DAY(DH3))</f>
        <v>46327</v>
      </c>
      <c r="DI13" s="848" t="str">
        <f t="shared" si="18"/>
        <v>Fiche info</v>
      </c>
      <c r="DJ13" s="848" t="str">
        <f t="shared" si="17"/>
        <v/>
      </c>
      <c r="DK13" s="16">
        <f>+IF((DATE(YEAR(Novembre!AJ4),MONTH(Novembre!AJ4),1)=DATE(YEAR(Novembre!X3),MONTH(Novembre!X3),1)),S.CAL!P4,99)</f>
        <v>99</v>
      </c>
      <c r="DL13" s="16">
        <f t="shared" si="9"/>
        <v>99</v>
      </c>
      <c r="DM13" s="16">
        <f>IF(Novembre!$BZ$2=0,99,Novembre!$BZ$2)</f>
        <v>99</v>
      </c>
      <c r="DN13" s="16" t="str">
        <f t="shared" si="15"/>
        <v/>
      </c>
      <c r="DO13" s="16" t="str">
        <f>+IF($DH13='Fiche info Avenant 1'!$K$1,"A1","")</f>
        <v/>
      </c>
      <c r="DP13" s="16" t="str">
        <f>+IF($DH13='Fiche info Avenant 2'!$K$1,"A2","")</f>
        <v/>
      </c>
      <c r="DQ13" s="16" t="str">
        <f>+IF($DH13='Fiche info Avenant 3'!$K$1,"A3","")</f>
        <v/>
      </c>
      <c r="DR13" s="16" t="str">
        <f>+IF($DH13='Fiche info Avenant 4'!$K$1,"A4","")</f>
        <v/>
      </c>
      <c r="DS13" s="16" t="str">
        <f>+IF($DH13='Fiche info Avenant 5'!$K$1,"A5","")</f>
        <v/>
      </c>
      <c r="DT13" s="16" t="str">
        <f>+IF($DH13='Fiche info Avenant 6'!$K$1,"A6","")</f>
        <v/>
      </c>
      <c r="DU13" s="16" t="str">
        <f>+IF($DH13='Fiche info Avenant 7'!$K$1,"A7","")</f>
        <v/>
      </c>
      <c r="DV13" s="16" t="str">
        <f>+IF($DH13='Fiche info Avenant 8'!$K$1,"A8","")</f>
        <v/>
      </c>
      <c r="DW13" s="16" t="str">
        <f>+IF($DH13='Fiche info Avenant 9'!$K$1,"A9","")</f>
        <v/>
      </c>
      <c r="DX13" s="16" t="str">
        <f>+IF($DH13='Fiche info Avenant 10'!$K$1,"A10","")</f>
        <v/>
      </c>
      <c r="DZ13" s="16">
        <v>10</v>
      </c>
      <c r="EA13" s="16" t="str">
        <f>CY16</f>
        <v>Fiche info Avenant 10</v>
      </c>
      <c r="EC13" s="731"/>
      <c r="ED13" s="731"/>
      <c r="EE13" s="16">
        <f t="shared" si="0"/>
        <v>0</v>
      </c>
      <c r="EF13" s="16">
        <f t="shared" si="1"/>
        <v>0</v>
      </c>
      <c r="EG13" s="16">
        <f t="shared" si="2"/>
        <v>0</v>
      </c>
      <c r="EH13" s="16">
        <f t="shared" si="3"/>
        <v>0</v>
      </c>
      <c r="EI13" s="16">
        <f t="shared" si="4"/>
        <v>0</v>
      </c>
      <c r="EM13" s="16">
        <v>12</v>
      </c>
      <c r="EN13" s="16" t="s">
        <v>879</v>
      </c>
      <c r="ET13" s="16" t="str">
        <f>+IF('Liste des Libellés'!A29=0,"",'Liste des Libellés'!A29)</f>
        <v/>
      </c>
      <c r="EU13" s="16" t="str">
        <f>+IF('Liste des Libellés'!B29=0,"",'Liste des Libellés'!B29)</f>
        <v/>
      </c>
      <c r="FB13" s="16" t="str">
        <f t="shared" si="11"/>
        <v/>
      </c>
      <c r="FC13" s="16" t="str">
        <f t="shared" si="12"/>
        <v/>
      </c>
      <c r="FD13" s="30">
        <f>+Base!$A$7</f>
        <v>46082</v>
      </c>
      <c r="FE13" s="30" t="str">
        <f>+IFERROR(VLOOKUP(FD13,BDD,83,FALSE),"")</f>
        <v/>
      </c>
      <c r="FF13" s="30" t="str">
        <f>+IFERROR(VLOOKUP(FD13,BDD,84,FALSE),"")</f>
        <v/>
      </c>
      <c r="FG13" s="30" t="str">
        <f>+IFERROR(VLOOKUP(FD13,BDD,85,FALSE),"")</f>
        <v/>
      </c>
      <c r="FH13" s="30" t="str">
        <f>+IFERROR(VLOOKUP(FD13,BDD,86,FALSE),"")</f>
        <v/>
      </c>
      <c r="FL13" s="16" t="s">
        <v>755</v>
      </c>
      <c r="FM13" s="16" t="s">
        <v>828</v>
      </c>
      <c r="FW13" s="16" t="str">
        <f>Janvier!GB30</f>
        <v>22026</v>
      </c>
      <c r="FX13" s="16">
        <f>Janvier!GC30</f>
        <v>0</v>
      </c>
      <c r="GG13" s="30">
        <f>+Régularisation!$AH$7</f>
        <v>46327</v>
      </c>
      <c r="GH13" s="16">
        <f>+Régularisation!$AJ$95</f>
        <v>0</v>
      </c>
      <c r="GL13" s="30">
        <f>+'Retenue Nov'!D13</f>
        <v>46327</v>
      </c>
      <c r="GQ13" s="58">
        <f>+'Retenue Nov'!BJ53</f>
        <v>0</v>
      </c>
      <c r="GR13" s="58">
        <f>+'Retenue Nov'!BJ61</f>
        <v>0</v>
      </c>
      <c r="GS13" s="58">
        <f>+'Retenue Nov'!BJ56</f>
        <v>0</v>
      </c>
      <c r="GT13" s="58">
        <f>+'Retenue Nov'!BJ64</f>
        <v>0</v>
      </c>
      <c r="GU13" s="58">
        <f t="shared" si="16"/>
        <v>0</v>
      </c>
      <c r="GV13" s="58">
        <f t="shared" si="16"/>
        <v>0</v>
      </c>
      <c r="HI13" s="85">
        <f>+Janvier!AB31</f>
        <v>46034</v>
      </c>
      <c r="HJ13" s="27" t="str">
        <f>+Janvier!AD31</f>
        <v/>
      </c>
      <c r="HK13" s="16">
        <f t="shared" si="13"/>
        <v>0</v>
      </c>
      <c r="HL13" s="16" t="str">
        <f>IF(AND(HI13&gt;=DATE(Identification!$B$60,5,1),HI13&lt;=DATE(Identification!$B$60,10,31),SUM(HK13:HK27)=12),"OUI","")</f>
        <v/>
      </c>
    </row>
    <row r="14" spans="1:220 16362:16362" x14ac:dyDescent="0.2">
      <c r="A14" s="16" t="s">
        <v>262</v>
      </c>
      <c r="C14" s="27"/>
      <c r="D14" s="27"/>
      <c r="F14" s="34"/>
      <c r="G14" s="16">
        <f t="shared" si="5"/>
        <v>0</v>
      </c>
      <c r="L14" s="16" t="s">
        <v>419</v>
      </c>
      <c r="P14" s="16" t="s">
        <v>756</v>
      </c>
      <c r="Z14" s="16" t="s">
        <v>756</v>
      </c>
      <c r="AA14" s="16">
        <f>+'Fiche info Avenant 7'!C64</f>
        <v>0</v>
      </c>
      <c r="AB14" s="16">
        <f>+'Fiche info Avenant 7'!C67</f>
        <v>0</v>
      </c>
      <c r="AC14" s="16" t="str">
        <f>+'Fiche info Avenant 7'!$N$31</f>
        <v>NON</v>
      </c>
      <c r="AD14" s="16">
        <f>+'Fiche info Avenant 7'!$E$33</f>
        <v>0</v>
      </c>
      <c r="AE14" s="16">
        <f>+'Fiche info Avenant 7'!$E$48</f>
        <v>0</v>
      </c>
      <c r="AF14" s="16">
        <f>+'Fiche info Avenant 7'!$E$49</f>
        <v>0</v>
      </c>
      <c r="AG14" s="16">
        <f>+'Fiche info Avenant 7'!$E$35</f>
        <v>0</v>
      </c>
      <c r="AH14" s="127">
        <f>+'Fiche info Avenant 7'!$N$34</f>
        <v>0.1</v>
      </c>
      <c r="AI14" s="16" t="str">
        <f>+'Fiche info Avenant 7'!$P$39</f>
        <v>Méthode 1</v>
      </c>
      <c r="AJ14" s="16" t="str">
        <f>+'Fiche info Avenant 7'!$P$49</f>
        <v>Méthode 1</v>
      </c>
      <c r="AK14" s="34">
        <f>+'Fiche info Avenant 7'!$E$52</f>
        <v>0</v>
      </c>
      <c r="AL14" s="16" t="str">
        <f>+'Fiche info Avenant 7'!$W$31</f>
        <v>NON</v>
      </c>
      <c r="AM14" s="16">
        <f>+'Fiche info Avenant 7'!$W$35</f>
        <v>0</v>
      </c>
      <c r="AN14" s="127">
        <f>+'Fiche info Avenant 7'!$W$34</f>
        <v>0</v>
      </c>
      <c r="AO14" s="16" t="e">
        <f>+'Fiche info Avenant 7'!N29</f>
        <v>#N/A</v>
      </c>
      <c r="AP14" s="16">
        <f>+'Fiche info Avenant 7'!M1</f>
        <v>0</v>
      </c>
      <c r="AQ14" s="16">
        <f>+'Fiche info Avenant 7'!EG4</f>
        <v>0</v>
      </c>
      <c r="AR14" s="27">
        <f>+'Fiche info Avenant 7'!N37</f>
        <v>0</v>
      </c>
      <c r="AS14" s="27">
        <f>+'Fiche info Avenant 7'!EG1</f>
        <v>0</v>
      </c>
      <c r="AT14" s="27">
        <f>+'Fiche info Avenant 7'!EG3</f>
        <v>0</v>
      </c>
      <c r="AU14" s="27">
        <f>+'Fiche info Avenant 7'!W37</f>
        <v>0</v>
      </c>
      <c r="AV14" s="27" t="str">
        <f>+'Fiche info Avenant 7'!W38</f>
        <v>NON</v>
      </c>
      <c r="BX14" s="16" t="str">
        <f t="shared" si="6"/>
        <v>A préciserB6</v>
      </c>
      <c r="CI14" s="16" t="s">
        <v>879</v>
      </c>
      <c r="CJ14" s="16">
        <v>12</v>
      </c>
      <c r="CK14" s="16">
        <v>2026</v>
      </c>
      <c r="CY14" s="16" t="str">
        <f t="shared" si="8"/>
        <v>Fiche info Avenant 8</v>
      </c>
      <c r="DH14" s="731">
        <f>DATE(YEAR(DH3),MONTH(DH3)+11,DAY(DH3))</f>
        <v>46357</v>
      </c>
      <c r="DI14" s="848" t="str">
        <f t="shared" si="18"/>
        <v>Fiche info</v>
      </c>
      <c r="DJ14" s="848" t="str">
        <f t="shared" si="17"/>
        <v/>
      </c>
      <c r="DK14" s="16">
        <f>+IF((DATE(YEAR(Décembre!AJ4),MONTH(Décembre!AJ4),1)=DATE(YEAR(Décembre!X3),MONTH(Décembre!X3),1)),S.CAL!P4,99)</f>
        <v>99</v>
      </c>
      <c r="DL14" s="16">
        <f t="shared" si="9"/>
        <v>99</v>
      </c>
      <c r="DM14" s="16">
        <f>IF(Décembre!$BZ$2=0,99,Décembre!$BZ$2)</f>
        <v>99</v>
      </c>
      <c r="DN14" s="16" t="str">
        <f t="shared" si="15"/>
        <v/>
      </c>
      <c r="DO14" s="16" t="str">
        <f>+IF($DH14='Fiche info Avenant 1'!$K$1,"A1","")</f>
        <v/>
      </c>
      <c r="DP14" s="16" t="str">
        <f>+IF($DH14='Fiche info Avenant 2'!$K$1,"A2","")</f>
        <v/>
      </c>
      <c r="DQ14" s="16" t="str">
        <f>+IF($DH14='Fiche info Avenant 3'!$K$1,"A3","")</f>
        <v/>
      </c>
      <c r="DR14" s="16" t="str">
        <f>+IF($DH14='Fiche info Avenant 4'!$K$1,"A4","")</f>
        <v/>
      </c>
      <c r="DS14" s="16" t="str">
        <f>+IF($DH14='Fiche info Avenant 5'!$K$1,"A5","")</f>
        <v/>
      </c>
      <c r="DT14" s="16" t="str">
        <f>+IF($DH14='Fiche info Avenant 6'!$K$1,"A6","")</f>
        <v/>
      </c>
      <c r="DU14" s="16" t="str">
        <f>+IF($DH14='Fiche info Avenant 7'!$K$1,"A7","")</f>
        <v/>
      </c>
      <c r="DV14" s="16" t="str">
        <f>+IF($DH14='Fiche info Avenant 8'!$K$1,"A8","")</f>
        <v/>
      </c>
      <c r="DW14" s="16" t="str">
        <f>+IF($DH14='Fiche info Avenant 9'!$K$1,"A9","")</f>
        <v/>
      </c>
      <c r="DX14" s="16" t="str">
        <f>+IF($DH14='Fiche info Avenant 10'!$K$1,"A10","")</f>
        <v/>
      </c>
      <c r="EE14" s="16">
        <f t="shared" si="0"/>
        <v>0</v>
      </c>
      <c r="EF14" s="16">
        <f t="shared" si="1"/>
        <v>0</v>
      </c>
      <c r="EG14" s="16">
        <f t="shared" si="2"/>
        <v>0</v>
      </c>
      <c r="EH14" s="16">
        <f t="shared" si="3"/>
        <v>0</v>
      </c>
      <c r="EI14" s="16">
        <f t="shared" si="4"/>
        <v>0</v>
      </c>
      <c r="ET14" s="16" t="str">
        <f>+IF('Liste des Libellés'!A30=0,"",'Liste des Libellés'!A30)</f>
        <v/>
      </c>
      <c r="EU14" s="16" t="str">
        <f>+IF('Liste des Libellés'!B30=0,"",'Liste des Libellés'!B30)</f>
        <v/>
      </c>
      <c r="FB14" s="16" t="str">
        <f t="shared" si="11"/>
        <v/>
      </c>
      <c r="FC14" s="16" t="str">
        <f t="shared" si="12"/>
        <v/>
      </c>
      <c r="FD14" s="30">
        <f>+Base!$A$8</f>
        <v>46113</v>
      </c>
      <c r="FE14" s="30" t="str">
        <f>+IFERROR(VLOOKUP(FD14,BDD,71,FALSE),"")</f>
        <v/>
      </c>
      <c r="FF14" s="30" t="str">
        <f>IFERROR(+VLOOKUP(FD14,BDD,72,FALSE),"")</f>
        <v/>
      </c>
      <c r="FG14" s="30" t="str">
        <f>+IFERROR(VLOOKUP(FD14,BDD,73,FALSE),"")</f>
        <v/>
      </c>
      <c r="FH14" s="30" t="str">
        <f>+IFERROR(VLOOKUP(FD14,BDD,74,FALSE),"")</f>
        <v/>
      </c>
      <c r="FL14" s="16" t="s">
        <v>756</v>
      </c>
      <c r="FM14" s="16" t="s">
        <v>828</v>
      </c>
      <c r="FW14" s="16" t="str">
        <f>Janvier!GB31</f>
        <v>32026</v>
      </c>
      <c r="FX14" s="16">
        <f>Janvier!GC31</f>
        <v>0</v>
      </c>
      <c r="GG14" s="30">
        <f>+Régularisation!$AK$7</f>
        <v>46357</v>
      </c>
      <c r="GH14" s="16">
        <f>+Régularisation!$AM$95</f>
        <v>0</v>
      </c>
      <c r="GL14" s="30">
        <f>+'Retenue Déc'!D13</f>
        <v>46357</v>
      </c>
      <c r="GQ14" s="58">
        <f>+'Retenue Déc'!BJ53</f>
        <v>0</v>
      </c>
      <c r="GR14" s="58">
        <f>+'Retenue Déc'!BJ61</f>
        <v>0</v>
      </c>
      <c r="GS14" s="58">
        <f>+'Retenue Déc'!BJ56</f>
        <v>0</v>
      </c>
      <c r="GT14" s="58">
        <f>+'Retenue Déc'!BJ64</f>
        <v>0</v>
      </c>
      <c r="GU14" s="58">
        <f t="shared" si="16"/>
        <v>0</v>
      </c>
      <c r="GV14" s="58">
        <f t="shared" si="16"/>
        <v>0</v>
      </c>
      <c r="HI14" s="85">
        <f>+Janvier!AB32</f>
        <v>46035</v>
      </c>
      <c r="HJ14" s="27" t="str">
        <f>+Janvier!AD32</f>
        <v/>
      </c>
      <c r="HK14" s="16">
        <f t="shared" si="13"/>
        <v>0</v>
      </c>
      <c r="HL14" s="16" t="str">
        <f>IF(AND(HI14&gt;=DATE(Identification!$B$60,5,1),HI14&lt;=DATE(Identification!$B$60,10,31),SUM(HK14:HK28)=12),"OUI","")</f>
        <v/>
      </c>
    </row>
    <row r="15" spans="1:220 16362:16362" x14ac:dyDescent="0.2">
      <c r="A15" s="16" t="s">
        <v>263</v>
      </c>
      <c r="C15" s="27"/>
      <c r="D15" s="27"/>
      <c r="F15" s="34"/>
      <c r="G15" s="16">
        <f t="shared" si="5"/>
        <v>0</v>
      </c>
      <c r="L15" s="16" t="s">
        <v>420</v>
      </c>
      <c r="P15" s="16" t="s">
        <v>757</v>
      </c>
      <c r="Z15" s="16" t="s">
        <v>757</v>
      </c>
      <c r="AA15" s="16">
        <f>+'Fiche info Avenant 8'!C64</f>
        <v>0</v>
      </c>
      <c r="AB15" s="16">
        <f>+'Fiche info Avenant 8'!C67</f>
        <v>0</v>
      </c>
      <c r="AC15" s="16" t="str">
        <f>+'Fiche info Avenant 8'!$N$31</f>
        <v>NON</v>
      </c>
      <c r="AD15" s="16">
        <f>+'Fiche info Avenant 8'!$E$33</f>
        <v>0</v>
      </c>
      <c r="AE15" s="16">
        <f>+'Fiche info Avenant 8'!$E$48</f>
        <v>0</v>
      </c>
      <c r="AF15" s="16">
        <f>+'Fiche info Avenant 8'!$E$49</f>
        <v>0</v>
      </c>
      <c r="AG15" s="16">
        <f>+'Fiche info Avenant 8'!$E$35</f>
        <v>0</v>
      </c>
      <c r="AH15" s="127">
        <f>+'Fiche info Avenant 8'!$N$34</f>
        <v>0.1</v>
      </c>
      <c r="AI15" s="16" t="str">
        <f>+'Fiche info Avenant 8'!$P$39</f>
        <v>Méthode 1</v>
      </c>
      <c r="AJ15" s="16" t="str">
        <f>+'Fiche info Avenant 8'!$P$49</f>
        <v>Méthode 1</v>
      </c>
      <c r="AK15" s="34">
        <f>+'Fiche info Avenant 8'!$E$52</f>
        <v>0</v>
      </c>
      <c r="AL15" s="16" t="str">
        <f>+'Fiche info Avenant 8'!$W$31</f>
        <v>NON</v>
      </c>
      <c r="AM15" s="16">
        <f>+'Fiche info Avenant 8'!$W$35</f>
        <v>0</v>
      </c>
      <c r="AN15" s="127">
        <f>+'Fiche info Avenant 8'!$W$34</f>
        <v>0</v>
      </c>
      <c r="AO15" s="16" t="e">
        <f>+'Fiche info Avenant 8'!N29</f>
        <v>#N/A</v>
      </c>
      <c r="AP15" s="16">
        <f>+'Fiche info Avenant 8'!M1</f>
        <v>0</v>
      </c>
      <c r="AQ15" s="16">
        <f>+'Fiche info Avenant 8'!EG4</f>
        <v>0</v>
      </c>
      <c r="AR15" s="27">
        <f>+'Fiche info Avenant 8'!N37</f>
        <v>0</v>
      </c>
      <c r="AS15" s="27">
        <f>+'Fiche info Avenant 8'!EG1</f>
        <v>0</v>
      </c>
      <c r="AT15" s="27">
        <f>+'Fiche info Avenant 8'!EG3</f>
        <v>0</v>
      </c>
      <c r="AU15" s="27">
        <f>+'Fiche info Avenant 8'!W37</f>
        <v>0</v>
      </c>
      <c r="AV15" s="27" t="str">
        <f>+'Fiche info Avenant 8'!W38</f>
        <v>NON</v>
      </c>
      <c r="BX15" s="16" t="str">
        <f t="shared" si="6"/>
        <v>A préciserB7</v>
      </c>
      <c r="CK15" s="16">
        <v>2027</v>
      </c>
      <c r="CY15" s="16" t="str">
        <f t="shared" si="8"/>
        <v>Fiche info Avenant 9</v>
      </c>
      <c r="EE15" s="16">
        <f t="shared" si="0"/>
        <v>0</v>
      </c>
      <c r="EF15" s="16">
        <f t="shared" si="1"/>
        <v>0</v>
      </c>
      <c r="EG15" s="16">
        <f t="shared" si="2"/>
        <v>0</v>
      </c>
      <c r="EH15" s="16">
        <f t="shared" si="3"/>
        <v>0</v>
      </c>
      <c r="EI15" s="16">
        <f t="shared" si="4"/>
        <v>0</v>
      </c>
      <c r="ET15" s="16" t="str">
        <f>+IF('Liste des Libellés'!A31=0,"",'Liste des Libellés'!A31)</f>
        <v/>
      </c>
      <c r="EU15" s="16" t="str">
        <f>+IF('Liste des Libellés'!B31=0,"",'Liste des Libellés'!B31)</f>
        <v/>
      </c>
      <c r="FB15" s="16" t="str">
        <f t="shared" si="11"/>
        <v/>
      </c>
      <c r="FC15" s="16" t="str">
        <f t="shared" si="12"/>
        <v/>
      </c>
      <c r="FD15" s="30">
        <f>+Base!$A$8</f>
        <v>46113</v>
      </c>
      <c r="FE15" s="30" t="str">
        <f>+IFERROR(VLOOKUP(FD15,BDD,75,FALSE),"")</f>
        <v/>
      </c>
      <c r="FF15" s="30" t="str">
        <f>+IFERROR(VLOOKUP(FD15,BDD,76,FALSE),"")</f>
        <v/>
      </c>
      <c r="FG15" s="30" t="str">
        <f>IFERROR(+VLOOKUP(FD15,BDD,77,FALSE),"")</f>
        <v/>
      </c>
      <c r="FH15" s="30" t="str">
        <f>+IFERROR(VLOOKUP(FD15,BDD,78,FALSE),"")</f>
        <v/>
      </c>
      <c r="FL15" s="16" t="s">
        <v>757</v>
      </c>
      <c r="FM15" s="16" t="s">
        <v>828</v>
      </c>
      <c r="FW15" s="16" t="str">
        <f>Janvier!GB32</f>
        <v>32026</v>
      </c>
      <c r="FX15" s="16">
        <f>Janvier!GC32</f>
        <v>0</v>
      </c>
      <c r="HI15" s="85">
        <f>+Janvier!AB33</f>
        <v>46036</v>
      </c>
      <c r="HJ15" s="27" t="str">
        <f>+Janvier!AD33</f>
        <v/>
      </c>
      <c r="HK15" s="16">
        <f t="shared" si="13"/>
        <v>0</v>
      </c>
      <c r="HL15" s="16" t="str">
        <f>IF(AND(HI15&gt;=DATE(Identification!$B$60,5,1),HI15&lt;=DATE(Identification!$B$60,10,31),SUM(HK15:HK29)=12),"OUI","")</f>
        <v/>
      </c>
    </row>
    <row r="16" spans="1:220 16362:16362" x14ac:dyDescent="0.2">
      <c r="A16" s="16" t="s">
        <v>264</v>
      </c>
      <c r="C16" s="27"/>
      <c r="D16" s="27"/>
      <c r="F16" s="34"/>
      <c r="G16" s="16">
        <f t="shared" si="5"/>
        <v>0</v>
      </c>
      <c r="L16" s="16" t="s">
        <v>421</v>
      </c>
      <c r="P16" s="16" t="s">
        <v>758</v>
      </c>
      <c r="Z16" s="16" t="s">
        <v>758</v>
      </c>
      <c r="AA16" s="16">
        <f>+'Fiche info Avenant 9'!C64</f>
        <v>0</v>
      </c>
      <c r="AB16" s="16">
        <f>+'Fiche info Avenant 9'!C67</f>
        <v>0</v>
      </c>
      <c r="AC16" s="16" t="str">
        <f>+'Fiche info Avenant 9'!$N$31</f>
        <v>NON</v>
      </c>
      <c r="AD16" s="16">
        <f>+'Fiche info Avenant 9'!$E$33</f>
        <v>0</v>
      </c>
      <c r="AE16" s="16">
        <f>+'Fiche info Avenant 9'!$E$48</f>
        <v>0</v>
      </c>
      <c r="AF16" s="16">
        <f>+'Fiche info Avenant 9'!$E$49</f>
        <v>0</v>
      </c>
      <c r="AG16" s="16">
        <f>+'Fiche info Avenant 9'!$E$35</f>
        <v>0</v>
      </c>
      <c r="AH16" s="127">
        <f>+'Fiche info Avenant 9'!$N$34</f>
        <v>0.1</v>
      </c>
      <c r="AI16" s="16" t="str">
        <f>+'Fiche info Avenant 9'!$P$39</f>
        <v>Méthode 1</v>
      </c>
      <c r="AJ16" s="16" t="str">
        <f>+'Fiche info Avenant 9'!$P$49</f>
        <v>Méthode 1</v>
      </c>
      <c r="AK16" s="34">
        <f>+'Fiche info Avenant 9'!$E$52</f>
        <v>0</v>
      </c>
      <c r="AL16" s="16" t="str">
        <f>+'Fiche info Avenant 9'!$W$31</f>
        <v>NON</v>
      </c>
      <c r="AM16" s="16">
        <f>+'Fiche info Avenant 9'!$W$35</f>
        <v>0</v>
      </c>
      <c r="AN16" s="127">
        <f>+'Fiche info Avenant 9'!$W$34</f>
        <v>0</v>
      </c>
      <c r="AO16" s="16" t="e">
        <f>+'Fiche info Avenant 9'!N29</f>
        <v>#N/A</v>
      </c>
      <c r="AP16" s="16">
        <f>+'Fiche info Avenant 9'!M1</f>
        <v>0</v>
      </c>
      <c r="AQ16" s="16">
        <f>+'Fiche info Avenant 9'!EG4</f>
        <v>0</v>
      </c>
      <c r="AR16" s="27">
        <f>+'Fiche info Avenant 9'!N37</f>
        <v>0</v>
      </c>
      <c r="AS16" s="27">
        <f>+'Fiche info Avenant 9'!EG1</f>
        <v>0</v>
      </c>
      <c r="AT16" s="27">
        <f>+'Fiche info Avenant 9'!EG3</f>
        <v>0</v>
      </c>
      <c r="AU16" s="27">
        <f>+'Fiche info Avenant 9'!W37</f>
        <v>0</v>
      </c>
      <c r="AV16" s="27" t="str">
        <f>+'Fiche info Avenant 9'!W38</f>
        <v>NON</v>
      </c>
      <c r="BX16" s="16" t="str">
        <f t="shared" si="6"/>
        <v>A préciserC1</v>
      </c>
      <c r="CK16" s="16">
        <v>2028</v>
      </c>
      <c r="CY16" s="16" t="str">
        <f t="shared" si="8"/>
        <v>Fiche info Avenant 10</v>
      </c>
      <c r="EE16" s="16">
        <f t="shared" si="0"/>
        <v>0</v>
      </c>
      <c r="EF16" s="16">
        <f t="shared" si="1"/>
        <v>0</v>
      </c>
      <c r="EG16" s="16">
        <f t="shared" si="2"/>
        <v>0</v>
      </c>
      <c r="EH16" s="16">
        <f t="shared" si="3"/>
        <v>0</v>
      </c>
      <c r="EI16" s="16">
        <f t="shared" si="4"/>
        <v>0</v>
      </c>
      <c r="ET16" s="16" t="str">
        <f>+IF('Liste des Libellés'!A32=0,"",'Liste des Libellés'!A32)</f>
        <v/>
      </c>
      <c r="EU16" s="16" t="str">
        <f>+IF('Liste des Libellés'!B32=0,"",'Liste des Libellés'!B32)</f>
        <v/>
      </c>
      <c r="FB16" s="16" t="str">
        <f t="shared" si="11"/>
        <v/>
      </c>
      <c r="FC16" s="16" t="str">
        <f t="shared" si="12"/>
        <v/>
      </c>
      <c r="FD16" s="30">
        <f>+Base!$A$8</f>
        <v>46113</v>
      </c>
      <c r="FE16" s="30" t="str">
        <f>+IFERROR(VLOOKUP(FD16,BDD,79,FALSE),"")</f>
        <v/>
      </c>
      <c r="FF16" s="30" t="str">
        <f>IFERROR(+VLOOKUP(FD16,BDD,80,FALSE),"")</f>
        <v/>
      </c>
      <c r="FG16" s="30" t="str">
        <f>+IFERROR(VLOOKUP(FD16,BDD,81,FALSE),"")</f>
        <v/>
      </c>
      <c r="FH16" s="30" t="str">
        <f>+IFERROR(VLOOKUP(FD16,BDD,82,FALSE),"")</f>
        <v/>
      </c>
      <c r="FL16" s="16" t="s">
        <v>758</v>
      </c>
      <c r="FM16" s="16" t="s">
        <v>828</v>
      </c>
      <c r="FW16" s="16" t="str">
        <f>Janvier!GB33</f>
        <v>32026</v>
      </c>
      <c r="FX16" s="16">
        <f>Janvier!GC33</f>
        <v>0</v>
      </c>
      <c r="HI16" s="85">
        <f>+Janvier!AB34</f>
        <v>46037</v>
      </c>
      <c r="HJ16" s="27" t="str">
        <f>+Janvier!AD34</f>
        <v/>
      </c>
      <c r="HK16" s="16">
        <f t="shared" si="13"/>
        <v>0</v>
      </c>
      <c r="HL16" s="16" t="str">
        <f>IF(AND(HI16&gt;=DATE(Identification!$B$60,5,1),HI16&lt;=DATE(Identification!$B$60,10,31),SUM(HK16:HK30)=12),"OUI","")</f>
        <v/>
      </c>
    </row>
    <row r="17" spans="1:220" x14ac:dyDescent="0.2">
      <c r="A17" s="16" t="s">
        <v>265</v>
      </c>
      <c r="C17" s="27"/>
      <c r="D17" s="27"/>
      <c r="F17" s="34"/>
      <c r="G17" s="16">
        <f t="shared" si="5"/>
        <v>0</v>
      </c>
      <c r="L17" s="16" t="s">
        <v>422</v>
      </c>
      <c r="P17" s="16" t="s">
        <v>759</v>
      </c>
      <c r="Z17" s="16" t="s">
        <v>759</v>
      </c>
      <c r="AA17" s="16">
        <f>+'Fiche info Avenant 10'!C64</f>
        <v>0</v>
      </c>
      <c r="AB17" s="16">
        <f>+'Fiche info Avenant 10'!C67</f>
        <v>0</v>
      </c>
      <c r="AC17" s="16" t="str">
        <f>+'Fiche info Avenant 10'!$N$31</f>
        <v>NON</v>
      </c>
      <c r="AD17" s="16">
        <f>+'Fiche info Avenant 10'!$E$33</f>
        <v>0</v>
      </c>
      <c r="AE17" s="16">
        <f>+'Fiche info Avenant 10'!$E$48</f>
        <v>0</v>
      </c>
      <c r="AF17" s="16">
        <f>+'Fiche info Avenant 10'!$E$49</f>
        <v>0</v>
      </c>
      <c r="AG17" s="16">
        <f>+'Fiche info Avenant 10'!$E$35</f>
        <v>0</v>
      </c>
      <c r="AH17" s="127">
        <f>+'Fiche info Avenant 10'!$N$34</f>
        <v>0.1</v>
      </c>
      <c r="AI17" s="16" t="str">
        <f>+'Fiche info Avenant 10'!$P$39</f>
        <v>Méthode 1</v>
      </c>
      <c r="AJ17" s="16" t="str">
        <f>+'Fiche info Avenant 10'!$P$49</f>
        <v>Méthode 1</v>
      </c>
      <c r="AK17" s="34">
        <f>+'Fiche info Avenant 10'!$E$52</f>
        <v>0</v>
      </c>
      <c r="AL17" s="16" t="str">
        <f>+'Fiche info Avenant 10'!$W$31</f>
        <v>NON</v>
      </c>
      <c r="AM17" s="16">
        <f>+'Fiche info Avenant 10'!$W$35</f>
        <v>0</v>
      </c>
      <c r="AN17" s="127">
        <f>+'Fiche info Avenant 10'!$W$34</f>
        <v>0</v>
      </c>
      <c r="AO17" s="16" t="e">
        <f>+'Fiche info Avenant 10'!N29</f>
        <v>#N/A</v>
      </c>
      <c r="AP17" s="16">
        <f>+'Fiche info Avenant 10'!M1</f>
        <v>0</v>
      </c>
      <c r="AQ17" s="16">
        <f>+'Fiche info Avenant 10'!EG4</f>
        <v>0</v>
      </c>
      <c r="AR17" s="27">
        <f>+'Fiche info Avenant 10'!N37</f>
        <v>0</v>
      </c>
      <c r="AS17" s="27">
        <f>+'Fiche info Avenant 10'!EG1</f>
        <v>0</v>
      </c>
      <c r="AT17" s="27">
        <f>+'Fiche info Avenant 10'!EG3</f>
        <v>0</v>
      </c>
      <c r="AU17" s="27">
        <f>+'Fiche info Avenant 10'!W37</f>
        <v>0</v>
      </c>
      <c r="AV17" s="27" t="str">
        <f>+'Fiche info Avenant 10'!W38</f>
        <v>NON</v>
      </c>
      <c r="BX17" s="16" t="str">
        <f t="shared" si="6"/>
        <v>A préciserC2</v>
      </c>
      <c r="CK17" s="16">
        <v>2029</v>
      </c>
      <c r="EE17" s="16">
        <f t="shared" si="0"/>
        <v>0</v>
      </c>
      <c r="EF17" s="16">
        <f t="shared" si="1"/>
        <v>0</v>
      </c>
      <c r="EG17" s="16">
        <f t="shared" si="2"/>
        <v>0</v>
      </c>
      <c r="EH17" s="16">
        <f t="shared" si="3"/>
        <v>0</v>
      </c>
      <c r="EI17" s="16">
        <f t="shared" si="4"/>
        <v>0</v>
      </c>
      <c r="FB17" s="16" t="str">
        <f t="shared" si="11"/>
        <v/>
      </c>
      <c r="FC17" s="16" t="str">
        <f t="shared" si="12"/>
        <v/>
      </c>
      <c r="FD17" s="30">
        <f>+Base!$A$8</f>
        <v>46113</v>
      </c>
      <c r="FE17" s="30" t="str">
        <f>+IFERROR(VLOOKUP(FD17,BDD,83,FALSE),"")</f>
        <v/>
      </c>
      <c r="FF17" s="30" t="str">
        <f>+IFERROR(VLOOKUP(FD17,BDD,84,FALSE),"")</f>
        <v/>
      </c>
      <c r="FG17" s="30" t="str">
        <f>+IFERROR(VLOOKUP(FD17,BDD,85,FALSE),"")</f>
        <v/>
      </c>
      <c r="FH17" s="30" t="str">
        <f>+IFERROR(VLOOKUP(FD17,BDD,86,FALSE),"")</f>
        <v/>
      </c>
      <c r="FL17" s="16" t="s">
        <v>759</v>
      </c>
      <c r="FM17" s="16" t="s">
        <v>828</v>
      </c>
      <c r="FW17" s="16" t="str">
        <f>Janvier!GB34</f>
        <v>32026</v>
      </c>
      <c r="FX17" s="16">
        <f>Janvier!GC34</f>
        <v>0</v>
      </c>
      <c r="HI17" s="85">
        <f>+Janvier!AB35</f>
        <v>46038</v>
      </c>
      <c r="HJ17" s="27" t="str">
        <f>+Janvier!AD35</f>
        <v/>
      </c>
      <c r="HK17" s="16">
        <f t="shared" si="13"/>
        <v>0</v>
      </c>
      <c r="HL17" s="16" t="str">
        <f>IF(AND(HI17&gt;=DATE(Identification!$B$60,5,1),HI17&lt;=DATE(Identification!$B$60,10,31),SUM(HK17:HK31)=12),"OUI","")</f>
        <v/>
      </c>
    </row>
    <row r="18" spans="1:220" x14ac:dyDescent="0.2">
      <c r="A18" s="16" t="s">
        <v>266</v>
      </c>
      <c r="C18" s="27"/>
      <c r="D18" s="27"/>
      <c r="F18" s="34"/>
      <c r="G18" s="16">
        <f t="shared" si="5"/>
        <v>0</v>
      </c>
      <c r="L18" s="16" t="str">
        <f>+$P$4&amp;N2</f>
        <v>Fiche infoASem</v>
      </c>
      <c r="M18" s="16" t="str">
        <f>IF('Fiche info'!$K$19=0,"",'Fiche info'!$K$19)</f>
        <v/>
      </c>
      <c r="BX18" s="16" t="str">
        <f t="shared" si="6"/>
        <v>A préciserC3</v>
      </c>
      <c r="CK18" s="16">
        <v>2030</v>
      </c>
      <c r="EE18" s="16">
        <f t="shared" si="0"/>
        <v>0</v>
      </c>
      <c r="EF18" s="16">
        <f t="shared" si="1"/>
        <v>0</v>
      </c>
      <c r="EG18" s="16">
        <f t="shared" si="2"/>
        <v>0</v>
      </c>
      <c r="EH18" s="16">
        <f t="shared" si="3"/>
        <v>0</v>
      </c>
      <c r="EI18" s="16">
        <f t="shared" si="4"/>
        <v>0</v>
      </c>
      <c r="FB18" s="16" t="str">
        <f t="shared" si="11"/>
        <v/>
      </c>
      <c r="FC18" s="16" t="str">
        <f t="shared" si="12"/>
        <v/>
      </c>
      <c r="FD18" s="30">
        <f>+Base!$A$9</f>
        <v>46143</v>
      </c>
      <c r="FE18" s="30" t="str">
        <f>+IFERROR(VLOOKUP(FD18,BDD,71,FALSE),"")</f>
        <v/>
      </c>
      <c r="FF18" s="30" t="str">
        <f>IFERROR(+VLOOKUP(FD18,BDD,72,FALSE),"")</f>
        <v/>
      </c>
      <c r="FG18" s="30" t="str">
        <f>+IFERROR(VLOOKUP(FD18,BDD,73,FALSE),"")</f>
        <v/>
      </c>
      <c r="FH18" s="30" t="str">
        <f>+IFERROR(VLOOKUP(FD18,BDD,74,FALSE),"")</f>
        <v/>
      </c>
      <c r="FW18" s="16" t="str">
        <f>Janvier!GB35</f>
        <v>32026</v>
      </c>
      <c r="FX18" s="16">
        <f>Janvier!GC35</f>
        <v>0</v>
      </c>
      <c r="HI18" s="85">
        <f>+Janvier!AB36</f>
        <v>46039</v>
      </c>
      <c r="HJ18" s="27" t="str">
        <f>+Janvier!AD36</f>
        <v/>
      </c>
      <c r="HK18" s="16">
        <f t="shared" si="13"/>
        <v>0</v>
      </c>
      <c r="HL18" s="16" t="str">
        <f>IF(AND(HI18&gt;=DATE(Identification!$B$60,5,1),HI18&lt;=DATE(Identification!$B$60,10,31),SUM(HK18:HK32)=12),"OUI","")</f>
        <v/>
      </c>
    </row>
    <row r="19" spans="1:220" x14ac:dyDescent="0.2">
      <c r="A19" s="16" t="s">
        <v>267</v>
      </c>
      <c r="C19" s="27"/>
      <c r="D19" s="27"/>
      <c r="F19" s="34"/>
      <c r="G19" s="16">
        <f t="shared" si="5"/>
        <v>0</v>
      </c>
      <c r="L19" s="16" t="str">
        <f t="shared" ref="L19:L25" si="19">+$P$4&amp;N3</f>
        <v>Fiche infoBSem</v>
      </c>
      <c r="M19" s="16">
        <f>IF('Fiche info'!$V$19=0,0,'Fiche info'!$V$19)</f>
        <v>0</v>
      </c>
      <c r="BX19" s="16" t="str">
        <f t="shared" si="6"/>
        <v>A préciserC4</v>
      </c>
      <c r="CK19" s="16">
        <v>2031</v>
      </c>
      <c r="EE19" s="16">
        <f t="shared" si="0"/>
        <v>0</v>
      </c>
      <c r="EF19" s="16">
        <f t="shared" si="1"/>
        <v>0</v>
      </c>
      <c r="EG19" s="16">
        <f t="shared" si="2"/>
        <v>0</v>
      </c>
      <c r="EH19" s="16">
        <f t="shared" si="3"/>
        <v>0</v>
      </c>
      <c r="EI19" s="16">
        <f t="shared" si="4"/>
        <v>0</v>
      </c>
      <c r="FB19" s="16" t="str">
        <f t="shared" si="11"/>
        <v/>
      </c>
      <c r="FC19" s="16" t="str">
        <f t="shared" si="12"/>
        <v/>
      </c>
      <c r="FD19" s="30">
        <f>+Base!$A$9</f>
        <v>46143</v>
      </c>
      <c r="FE19" s="30" t="str">
        <f>+IFERROR(VLOOKUP(FD19,BDD,75,FALSE),"")</f>
        <v/>
      </c>
      <c r="FF19" s="30" t="str">
        <f>+IFERROR(VLOOKUP(FD19,BDD,76,FALSE),"")</f>
        <v/>
      </c>
      <c r="FG19" s="30" t="str">
        <f>IFERROR(+VLOOKUP(FD19,BDD,77,FALSE),"")</f>
        <v/>
      </c>
      <c r="FH19" s="30" t="str">
        <f>+IFERROR(VLOOKUP(FD19,BDD,78,FALSE),"")</f>
        <v/>
      </c>
      <c r="FW19" s="16" t="str">
        <f>Janvier!GB36</f>
        <v>32026</v>
      </c>
      <c r="FX19" s="16">
        <f>Janvier!GC36</f>
        <v>0</v>
      </c>
      <c r="HI19" s="85">
        <f>+Janvier!AB37</f>
        <v>46040</v>
      </c>
      <c r="HJ19" s="27" t="str">
        <f>+Janvier!AD37</f>
        <v/>
      </c>
      <c r="HK19" s="16">
        <f t="shared" si="13"/>
        <v>0</v>
      </c>
      <c r="HL19" s="16" t="str">
        <f>IF(AND(HI19&gt;=DATE(Identification!$B$60,5,1),HI19&lt;=DATE(Identification!$B$60,10,31),SUM(HK19:HK33)=12),"OUI","")</f>
        <v/>
      </c>
    </row>
    <row r="20" spans="1:220" x14ac:dyDescent="0.2">
      <c r="A20" s="16" t="s">
        <v>268</v>
      </c>
      <c r="C20" s="27"/>
      <c r="D20" s="27"/>
      <c r="F20" s="34"/>
      <c r="G20" s="16">
        <f t="shared" si="5"/>
        <v>0</v>
      </c>
      <c r="L20" s="16" t="str">
        <f t="shared" si="19"/>
        <v>Fiche infoCSem</v>
      </c>
      <c r="M20" s="16">
        <f>IF('Fiche info'!$AG$19=0,0,'Fiche info'!$AG$19)</f>
        <v>0</v>
      </c>
      <c r="BX20" s="16" t="str">
        <f t="shared" si="6"/>
        <v>A préciserC5</v>
      </c>
      <c r="CK20" s="16">
        <v>2032</v>
      </c>
      <c r="EE20" s="16">
        <f t="shared" si="0"/>
        <v>0</v>
      </c>
      <c r="EF20" s="16">
        <f t="shared" si="1"/>
        <v>0</v>
      </c>
      <c r="EG20" s="16">
        <f t="shared" si="2"/>
        <v>0</v>
      </c>
      <c r="EH20" s="16">
        <f t="shared" si="3"/>
        <v>0</v>
      </c>
      <c r="EI20" s="16">
        <f t="shared" si="4"/>
        <v>0</v>
      </c>
      <c r="FB20" s="16" t="str">
        <f t="shared" si="11"/>
        <v/>
      </c>
      <c r="FC20" s="16" t="str">
        <f t="shared" si="12"/>
        <v/>
      </c>
      <c r="FD20" s="30">
        <f>+Base!$A$9</f>
        <v>46143</v>
      </c>
      <c r="FE20" s="30" t="str">
        <f>+IFERROR(VLOOKUP(FD20,BDD,79,FALSE),"")</f>
        <v/>
      </c>
      <c r="FF20" s="30" t="str">
        <f>IFERROR(+VLOOKUP(FD20,BDD,80,FALSE),"")</f>
        <v/>
      </c>
      <c r="FG20" s="30" t="str">
        <f>+IFERROR(VLOOKUP(FD20,BDD,81,FALSE),"")</f>
        <v/>
      </c>
      <c r="FH20" s="30" t="str">
        <f>+IFERROR(VLOOKUP(FD20,BDD,82,FALSE),"")</f>
        <v/>
      </c>
      <c r="FW20" s="16" t="str">
        <f>Janvier!GB37</f>
        <v>32026</v>
      </c>
      <c r="FX20" s="16">
        <f>Janvier!GC37</f>
        <v>0</v>
      </c>
      <c r="HI20" s="85">
        <f>+Janvier!AB38</f>
        <v>46041</v>
      </c>
      <c r="HJ20" s="27" t="str">
        <f>+Janvier!AD38</f>
        <v/>
      </c>
      <c r="HK20" s="16">
        <f t="shared" si="13"/>
        <v>0</v>
      </c>
      <c r="HL20" s="16" t="str">
        <f>IF(AND(HI20&gt;=DATE(Identification!$B$60,5,1),HI20&lt;=DATE(Identification!$B$60,10,31),SUM(HK20:HK34)=12),"OUI","")</f>
        <v/>
      </c>
    </row>
    <row r="21" spans="1:220" x14ac:dyDescent="0.2">
      <c r="A21" s="16" t="s">
        <v>269</v>
      </c>
      <c r="C21" s="27"/>
      <c r="D21" s="27"/>
      <c r="F21" s="34"/>
      <c r="G21" s="16">
        <f t="shared" si="5"/>
        <v>0</v>
      </c>
      <c r="L21" s="16" t="str">
        <f t="shared" si="19"/>
        <v>Fiche infoDSem</v>
      </c>
      <c r="M21" s="16">
        <f>IF('Fiche info'!$AR$19=0,0,'Fiche info'!$AR$19)</f>
        <v>0</v>
      </c>
      <c r="BX21" s="16" t="str">
        <f t="shared" si="6"/>
        <v>A préciserC6</v>
      </c>
      <c r="CK21" s="16">
        <v>2033</v>
      </c>
      <c r="EE21" s="16">
        <f t="shared" si="0"/>
        <v>0</v>
      </c>
      <c r="EF21" s="16">
        <f t="shared" si="1"/>
        <v>0</v>
      </c>
      <c r="EG21" s="16">
        <f t="shared" si="2"/>
        <v>0</v>
      </c>
      <c r="EH21" s="16">
        <f t="shared" si="3"/>
        <v>0</v>
      </c>
      <c r="EI21" s="16">
        <f t="shared" si="4"/>
        <v>0</v>
      </c>
      <c r="FB21" s="16" t="str">
        <f t="shared" si="11"/>
        <v/>
      </c>
      <c r="FC21" s="16" t="str">
        <f t="shared" si="12"/>
        <v/>
      </c>
      <c r="FD21" s="30">
        <f>+Base!$A$9</f>
        <v>46143</v>
      </c>
      <c r="FE21" s="30" t="str">
        <f>+IFERROR(VLOOKUP(FD21,BDD,83,FALSE),"")</f>
        <v/>
      </c>
      <c r="FF21" s="30" t="str">
        <f>+IFERROR(VLOOKUP(FD21,BDD,84,FALSE),"")</f>
        <v/>
      </c>
      <c r="FG21" s="30" t="str">
        <f>+IFERROR(VLOOKUP(FD21,BDD,85,FALSE),"")</f>
        <v/>
      </c>
      <c r="FH21" s="30" t="str">
        <f>+IFERROR(VLOOKUP(FD21,BDD,86,FALSE),"")</f>
        <v/>
      </c>
      <c r="FW21" s="16" t="str">
        <f>Janvier!GB38</f>
        <v>42026</v>
      </c>
      <c r="FX21" s="16">
        <f>Janvier!GC38</f>
        <v>0</v>
      </c>
      <c r="HI21" s="85">
        <f>+Janvier!AB39</f>
        <v>46042</v>
      </c>
      <c r="HJ21" s="27" t="str">
        <f>+Janvier!AD39</f>
        <v/>
      </c>
      <c r="HK21" s="16">
        <f t="shared" si="13"/>
        <v>0</v>
      </c>
      <c r="HL21" s="16" t="str">
        <f>IF(AND(HI21&gt;=DATE(Identification!$B$60,5,1),HI21&lt;=DATE(Identification!$B$60,10,31),SUM(HK21:HK35)=12),"OUI","")</f>
        <v/>
      </c>
    </row>
    <row r="22" spans="1:220" x14ac:dyDescent="0.2">
      <c r="A22" s="16" t="s">
        <v>270</v>
      </c>
      <c r="C22" s="27"/>
      <c r="D22" s="27"/>
      <c r="F22" s="34"/>
      <c r="G22" s="16">
        <f t="shared" si="5"/>
        <v>0</v>
      </c>
      <c r="L22" s="16" t="str">
        <f t="shared" si="19"/>
        <v>Fiche infoESem</v>
      </c>
      <c r="M22" s="16">
        <f>IF('Fiche info'!$BC$19=0,0,'Fiche info'!$BC$19)</f>
        <v>0</v>
      </c>
      <c r="BX22" s="16" t="str">
        <f t="shared" si="6"/>
        <v>A préciserC7</v>
      </c>
      <c r="CK22" s="16">
        <v>2034</v>
      </c>
      <c r="DJ22" s="850"/>
      <c r="EE22" s="16">
        <f t="shared" si="0"/>
        <v>0</v>
      </c>
      <c r="EF22" s="16">
        <f t="shared" si="1"/>
        <v>0</v>
      </c>
      <c r="EG22" s="16">
        <f t="shared" si="2"/>
        <v>0</v>
      </c>
      <c r="EH22" s="16">
        <f t="shared" si="3"/>
        <v>0</v>
      </c>
      <c r="EI22" s="16">
        <f t="shared" si="4"/>
        <v>0</v>
      </c>
      <c r="FB22" s="16" t="str">
        <f t="shared" si="11"/>
        <v/>
      </c>
      <c r="FC22" s="16" t="str">
        <f t="shared" si="12"/>
        <v/>
      </c>
      <c r="FD22" s="30">
        <f>+Base!$A$10</f>
        <v>46174</v>
      </c>
      <c r="FE22" s="30" t="str">
        <f>+IFERROR(VLOOKUP(FD22,BDD,71,FALSE),"")</f>
        <v/>
      </c>
      <c r="FF22" s="30" t="str">
        <f>IFERROR(+VLOOKUP(FD22,BDD,72,FALSE),"")</f>
        <v/>
      </c>
      <c r="FG22" s="30" t="str">
        <f>+IFERROR(VLOOKUP(FD22,BDD,73,FALSE),"")</f>
        <v/>
      </c>
      <c r="FH22" s="30" t="str">
        <f>+IFERROR(VLOOKUP(FD22,BDD,74,FALSE),"")</f>
        <v/>
      </c>
      <c r="FW22" s="16" t="str">
        <f>Janvier!GB39</f>
        <v>42026</v>
      </c>
      <c r="FX22" s="16">
        <f>Janvier!GC39</f>
        <v>0</v>
      </c>
      <c r="HI22" s="85">
        <f>+Janvier!AB40</f>
        <v>46043</v>
      </c>
      <c r="HJ22" s="27" t="str">
        <f>+Janvier!AD40</f>
        <v/>
      </c>
      <c r="HK22" s="16">
        <f t="shared" si="13"/>
        <v>0</v>
      </c>
      <c r="HL22" s="16" t="str">
        <f>IF(AND(HI22&gt;=DATE(Identification!$B$60,5,1),HI22&lt;=DATE(Identification!$B$60,10,31),SUM(HK22:HK36)=12),"OUI","")</f>
        <v/>
      </c>
    </row>
    <row r="23" spans="1:220" x14ac:dyDescent="0.2">
      <c r="A23" s="16" t="s">
        <v>271</v>
      </c>
      <c r="C23" s="27"/>
      <c r="D23" s="27"/>
      <c r="F23" s="34"/>
      <c r="G23" s="16">
        <f t="shared" si="5"/>
        <v>0</v>
      </c>
      <c r="L23" s="16" t="str">
        <f t="shared" si="19"/>
        <v>Fiche infoFSem</v>
      </c>
      <c r="M23" s="16">
        <f>IF('Fiche info'!$BN$19=0,0,'Fiche info'!$BN$19)</f>
        <v>0</v>
      </c>
      <c r="BX23" s="16" t="str">
        <f t="shared" si="6"/>
        <v>A préciserD1</v>
      </c>
      <c r="CK23" s="16">
        <v>2035</v>
      </c>
      <c r="EE23" s="16">
        <f t="shared" si="0"/>
        <v>0</v>
      </c>
      <c r="EF23" s="16">
        <f t="shared" si="1"/>
        <v>0</v>
      </c>
      <c r="EG23" s="16">
        <f t="shared" si="2"/>
        <v>0</v>
      </c>
      <c r="EH23" s="16">
        <f t="shared" si="3"/>
        <v>0</v>
      </c>
      <c r="EI23" s="16">
        <f t="shared" si="4"/>
        <v>0</v>
      </c>
      <c r="FB23" s="16" t="str">
        <f t="shared" si="11"/>
        <v/>
      </c>
      <c r="FC23" s="16" t="str">
        <f t="shared" si="12"/>
        <v/>
      </c>
      <c r="FD23" s="30">
        <f>+Base!$A$10</f>
        <v>46174</v>
      </c>
      <c r="FE23" s="30" t="str">
        <f>+IFERROR(VLOOKUP(FD23,BDD,75,FALSE),"")</f>
        <v/>
      </c>
      <c r="FF23" s="30" t="str">
        <f>+IFERROR(VLOOKUP(FD23,BDD,76,FALSE),"")</f>
        <v/>
      </c>
      <c r="FG23" s="30" t="str">
        <f>IFERROR(+VLOOKUP(FD23,BDD,77,FALSE),"")</f>
        <v/>
      </c>
      <c r="FH23" s="30" t="str">
        <f>+IFERROR(VLOOKUP(FD23,BDD,78,FALSE),"")</f>
        <v/>
      </c>
      <c r="FW23" s="16" t="str">
        <f>Janvier!GB40</f>
        <v>42026</v>
      </c>
      <c r="FX23" s="16">
        <f>Janvier!GC40</f>
        <v>0</v>
      </c>
      <c r="HI23" s="85">
        <f>+Janvier!AB41</f>
        <v>46044</v>
      </c>
      <c r="HJ23" s="27" t="str">
        <f>+Janvier!AD41</f>
        <v/>
      </c>
      <c r="HK23" s="16">
        <f t="shared" si="13"/>
        <v>0</v>
      </c>
      <c r="HL23" s="16" t="str">
        <f>IF(AND(HI23&gt;=DATE(Identification!$B$60,5,1),HI23&lt;=DATE(Identification!$B$60,10,31),SUM(HK23:HK37)=12),"OUI","")</f>
        <v/>
      </c>
    </row>
    <row r="24" spans="1:220" x14ac:dyDescent="0.2">
      <c r="A24" s="16" t="s">
        <v>272</v>
      </c>
      <c r="C24" s="27"/>
      <c r="D24" s="27"/>
      <c r="F24" s="34"/>
      <c r="G24" s="16">
        <f t="shared" si="5"/>
        <v>0</v>
      </c>
      <c r="L24" s="16" t="str">
        <f t="shared" si="19"/>
        <v>Fiche infoGSem</v>
      </c>
      <c r="M24" s="16">
        <f>IF('Fiche info'!$BY$19=0,0,'Fiche info'!$BY$19)</f>
        <v>0</v>
      </c>
      <c r="BX24" s="16" t="str">
        <f t="shared" si="6"/>
        <v>A préciserD2</v>
      </c>
      <c r="CK24" s="16">
        <v>2036</v>
      </c>
      <c r="EE24" s="16">
        <f t="shared" si="0"/>
        <v>0</v>
      </c>
      <c r="EF24" s="16">
        <f t="shared" si="1"/>
        <v>0</v>
      </c>
      <c r="EG24" s="16">
        <f t="shared" si="2"/>
        <v>0</v>
      </c>
      <c r="EH24" s="16">
        <f t="shared" si="3"/>
        <v>0</v>
      </c>
      <c r="EI24" s="16">
        <f t="shared" si="4"/>
        <v>0</v>
      </c>
      <c r="FB24" s="16" t="str">
        <f t="shared" si="11"/>
        <v/>
      </c>
      <c r="FC24" s="16" t="str">
        <f t="shared" si="12"/>
        <v/>
      </c>
      <c r="FD24" s="30">
        <f>+Base!$A$10</f>
        <v>46174</v>
      </c>
      <c r="FE24" s="30" t="str">
        <f>+IFERROR(VLOOKUP(FD24,BDD,79,FALSE),"")</f>
        <v/>
      </c>
      <c r="FF24" s="30" t="str">
        <f>IFERROR(+VLOOKUP(FD24,BDD,80,FALSE),"")</f>
        <v/>
      </c>
      <c r="FG24" s="30" t="str">
        <f>+IFERROR(VLOOKUP(FD24,BDD,81,FALSE),"")</f>
        <v/>
      </c>
      <c r="FH24" s="30" t="str">
        <f>+IFERROR(VLOOKUP(FD24,BDD,82,FALSE),"")</f>
        <v/>
      </c>
      <c r="FW24" s="16" t="str">
        <f>Janvier!GB41</f>
        <v>42026</v>
      </c>
      <c r="FX24" s="16">
        <f>Janvier!GC41</f>
        <v>0</v>
      </c>
      <c r="HI24" s="85">
        <f>+Janvier!AB42</f>
        <v>46045</v>
      </c>
      <c r="HJ24" s="27" t="str">
        <f>+Janvier!AD42</f>
        <v/>
      </c>
      <c r="HK24" s="16">
        <f t="shared" si="13"/>
        <v>0</v>
      </c>
      <c r="HL24" s="16" t="str">
        <f>IF(AND(HI24&gt;=DATE(Identification!$B$60,5,1),HI24&lt;=DATE(Identification!$B$60,10,31),SUM(HK24:HK38)=12),"OUI","")</f>
        <v/>
      </c>
    </row>
    <row r="25" spans="1:220" x14ac:dyDescent="0.2">
      <c r="A25" s="16" t="s">
        <v>273</v>
      </c>
      <c r="C25" s="27"/>
      <c r="D25" s="27"/>
      <c r="F25" s="34"/>
      <c r="G25" s="16">
        <f t="shared" si="5"/>
        <v>0</v>
      </c>
      <c r="L25" s="16" t="str">
        <f t="shared" si="19"/>
        <v>Fiche infoHSem</v>
      </c>
      <c r="M25" s="16">
        <f>IF('Fiche info'!$CJ$19=0,0,'Fiche info'!$CJ$19)</f>
        <v>0</v>
      </c>
      <c r="BX25" s="16" t="str">
        <f t="shared" si="6"/>
        <v>A préciserD3</v>
      </c>
      <c r="CK25" s="16">
        <v>2037</v>
      </c>
      <c r="EE25" s="16">
        <f t="shared" si="0"/>
        <v>0</v>
      </c>
      <c r="EF25" s="16">
        <f t="shared" si="1"/>
        <v>0</v>
      </c>
      <c r="EG25" s="16">
        <f t="shared" si="2"/>
        <v>0</v>
      </c>
      <c r="EH25" s="16">
        <f t="shared" si="3"/>
        <v>0</v>
      </c>
      <c r="EI25" s="16">
        <f t="shared" si="4"/>
        <v>0</v>
      </c>
      <c r="FB25" s="16" t="str">
        <f t="shared" si="11"/>
        <v/>
      </c>
      <c r="FC25" s="16" t="str">
        <f t="shared" si="12"/>
        <v/>
      </c>
      <c r="FD25" s="30">
        <f>+Base!$A$10</f>
        <v>46174</v>
      </c>
      <c r="FE25" s="30" t="str">
        <f>+IFERROR(VLOOKUP(FD25,BDD,83,FALSE),"")</f>
        <v/>
      </c>
      <c r="FF25" s="30" t="str">
        <f>+IFERROR(VLOOKUP(FD25,BDD,84,FALSE),"")</f>
        <v/>
      </c>
      <c r="FG25" s="30" t="str">
        <f>+IFERROR(VLOOKUP(FD25,BDD,85,FALSE),"")</f>
        <v/>
      </c>
      <c r="FH25" s="30" t="str">
        <f>+IFERROR(VLOOKUP(FD25,BDD,86,FALSE),"")</f>
        <v/>
      </c>
      <c r="FW25" s="16" t="str">
        <f>Janvier!GB42</f>
        <v>42026</v>
      </c>
      <c r="FX25" s="16">
        <f>Janvier!GC42</f>
        <v>0</v>
      </c>
      <c r="HI25" s="85">
        <f>+Janvier!AB43</f>
        <v>46046</v>
      </c>
      <c r="HJ25" s="27" t="str">
        <f>+Janvier!AD43</f>
        <v/>
      </c>
      <c r="HK25" s="16">
        <f t="shared" si="13"/>
        <v>0</v>
      </c>
      <c r="HL25" s="16" t="str">
        <f>IF(AND(HI25&gt;=DATE(Identification!$B$60,5,1),HI25&lt;=DATE(Identification!$B$60,10,31),SUM(HK25:HK39)=12),"OUI","")</f>
        <v/>
      </c>
    </row>
    <row r="26" spans="1:220" x14ac:dyDescent="0.2">
      <c r="A26" s="16" t="s">
        <v>274</v>
      </c>
      <c r="C26" s="27"/>
      <c r="D26" s="27"/>
      <c r="F26" s="34"/>
      <c r="G26" s="16">
        <f t="shared" si="5"/>
        <v>0</v>
      </c>
      <c r="L26" s="16" t="str">
        <f>+$P$5&amp;N2</f>
        <v>Fiche info Avenant 1ASem</v>
      </c>
      <c r="M26" s="16">
        <f>IF('Fiche info Avenant 1'!$K$19=0,0,'Fiche info Avenant 1'!$K$19)</f>
        <v>0</v>
      </c>
      <c r="BX26" s="16" t="str">
        <f t="shared" si="6"/>
        <v>A préciserD4</v>
      </c>
      <c r="CK26" s="16">
        <v>2038</v>
      </c>
      <c r="EE26" s="16">
        <f t="shared" si="0"/>
        <v>0</v>
      </c>
      <c r="EF26" s="16">
        <f t="shared" si="1"/>
        <v>0</v>
      </c>
      <c r="EG26" s="16">
        <f t="shared" si="2"/>
        <v>0</v>
      </c>
      <c r="EH26" s="16">
        <f t="shared" si="3"/>
        <v>0</v>
      </c>
      <c r="EI26" s="16">
        <f t="shared" si="4"/>
        <v>0</v>
      </c>
      <c r="FB26" s="16" t="str">
        <f t="shared" si="11"/>
        <v/>
      </c>
      <c r="FC26" s="16" t="str">
        <f t="shared" si="12"/>
        <v/>
      </c>
      <c r="FD26" s="30">
        <f>+Base!$A$11</f>
        <v>46204</v>
      </c>
      <c r="FE26" s="30" t="str">
        <f>+IFERROR(VLOOKUP(FD26,BDD,71,FALSE),"")</f>
        <v/>
      </c>
      <c r="FF26" s="30" t="str">
        <f>IFERROR(+VLOOKUP(FD26,BDD,72,FALSE),"")</f>
        <v/>
      </c>
      <c r="FG26" s="30" t="str">
        <f>+IFERROR(VLOOKUP(FD26,BDD,73,FALSE),"")</f>
        <v/>
      </c>
      <c r="FH26" s="30" t="str">
        <f>+IFERROR(VLOOKUP(FD26,BDD,74,FALSE),"")</f>
        <v/>
      </c>
      <c r="FW26" s="16" t="str">
        <f>Janvier!GB43</f>
        <v>42026</v>
      </c>
      <c r="FX26" s="16">
        <f>Janvier!GC43</f>
        <v>0</v>
      </c>
      <c r="HI26" s="85">
        <f>+Janvier!AB44</f>
        <v>46047</v>
      </c>
      <c r="HJ26" s="27" t="str">
        <f>+Janvier!AD44</f>
        <v/>
      </c>
      <c r="HK26" s="16">
        <f t="shared" si="13"/>
        <v>0</v>
      </c>
      <c r="HL26" s="16" t="str">
        <f>IF(AND(HI26&gt;=DATE(Identification!$B$60,5,1),HI26&lt;=DATE(Identification!$B$60,10,31),SUM(HK26:HK40)=12),"OUI","")</f>
        <v/>
      </c>
    </row>
    <row r="27" spans="1:220" x14ac:dyDescent="0.2">
      <c r="A27" s="16" t="s">
        <v>275</v>
      </c>
      <c r="C27" s="27"/>
      <c r="D27" s="27"/>
      <c r="F27" s="34"/>
      <c r="G27" s="16">
        <f t="shared" si="5"/>
        <v>0</v>
      </c>
      <c r="L27" s="16" t="str">
        <f t="shared" ref="L27:L33" si="20">+$P$5&amp;N3</f>
        <v>Fiche info Avenant 1BSem</v>
      </c>
      <c r="M27" s="16">
        <f>IF('Fiche info Avenant 1'!$V$19=0,0,'Fiche info Avenant 1'!$V$19)</f>
        <v>0</v>
      </c>
      <c r="BX27" s="16" t="str">
        <f t="shared" si="6"/>
        <v>A préciserD5</v>
      </c>
      <c r="CK27" s="16">
        <v>2039</v>
      </c>
      <c r="EE27" s="16">
        <f t="shared" si="0"/>
        <v>0</v>
      </c>
      <c r="EF27" s="16">
        <f t="shared" si="1"/>
        <v>0</v>
      </c>
      <c r="EG27" s="16">
        <f t="shared" si="2"/>
        <v>0</v>
      </c>
      <c r="EH27" s="16">
        <f t="shared" si="3"/>
        <v>0</v>
      </c>
      <c r="EI27" s="16">
        <f t="shared" si="4"/>
        <v>0</v>
      </c>
      <c r="FB27" s="16" t="str">
        <f t="shared" si="11"/>
        <v/>
      </c>
      <c r="FC27" s="16" t="str">
        <f t="shared" si="12"/>
        <v/>
      </c>
      <c r="FD27" s="30">
        <f>+Base!$A$11</f>
        <v>46204</v>
      </c>
      <c r="FE27" s="30" t="str">
        <f>+IFERROR(VLOOKUP(FD27,BDD,75,FALSE),"")</f>
        <v/>
      </c>
      <c r="FF27" s="30" t="str">
        <f>+IFERROR(VLOOKUP(FD27,BDD,76,FALSE),"")</f>
        <v/>
      </c>
      <c r="FG27" s="30" t="str">
        <f>IFERROR(+VLOOKUP(FD27,BDD,77,FALSE),"")</f>
        <v/>
      </c>
      <c r="FH27" s="30" t="str">
        <f>+IFERROR(VLOOKUP(FD27,BDD,78,FALSE),"")</f>
        <v/>
      </c>
      <c r="FW27" s="16" t="str">
        <f>Janvier!GB44</f>
        <v>42026</v>
      </c>
      <c r="FX27" s="16">
        <f>Janvier!GC44</f>
        <v>0</v>
      </c>
      <c r="HI27" s="85">
        <f>+Janvier!AB45</f>
        <v>46048</v>
      </c>
      <c r="HJ27" s="27" t="str">
        <f>+Janvier!AD45</f>
        <v/>
      </c>
      <c r="HK27" s="16">
        <f t="shared" si="13"/>
        <v>0</v>
      </c>
      <c r="HL27" s="16" t="str">
        <f>IF(AND(HI27&gt;=DATE(Identification!$B$60,5,1),HI27&lt;=DATE(Identification!$B$60,10,31),SUM(HK27:HK41)=12),"OUI","")</f>
        <v/>
      </c>
    </row>
    <row r="28" spans="1:220" x14ac:dyDescent="0.2">
      <c r="A28" s="16" t="s">
        <v>276</v>
      </c>
      <c r="C28" s="27"/>
      <c r="D28" s="27"/>
      <c r="G28" s="16">
        <f t="shared" si="5"/>
        <v>0</v>
      </c>
      <c r="L28" s="16" t="str">
        <f t="shared" si="20"/>
        <v>Fiche info Avenant 1CSem</v>
      </c>
      <c r="M28" s="16">
        <f>IF('Fiche info Avenant 1'!$AG$19=0,0,'Fiche info Avenant 1'!$AG$19)</f>
        <v>0</v>
      </c>
      <c r="BX28" s="16" t="str">
        <f t="shared" si="6"/>
        <v>A préciserD6</v>
      </c>
      <c r="CK28" s="16">
        <v>2040</v>
      </c>
      <c r="EE28" s="16">
        <f t="shared" si="0"/>
        <v>0</v>
      </c>
      <c r="EF28" s="16">
        <f t="shared" si="1"/>
        <v>0</v>
      </c>
      <c r="EG28" s="16">
        <f t="shared" si="2"/>
        <v>0</v>
      </c>
      <c r="EH28" s="16">
        <f t="shared" si="3"/>
        <v>0</v>
      </c>
      <c r="EI28" s="16">
        <f t="shared" si="4"/>
        <v>0</v>
      </c>
      <c r="FB28" s="16" t="str">
        <f t="shared" si="11"/>
        <v/>
      </c>
      <c r="FC28" s="16" t="str">
        <f t="shared" si="12"/>
        <v/>
      </c>
      <c r="FD28" s="30">
        <f>+Base!$A$11</f>
        <v>46204</v>
      </c>
      <c r="FE28" s="30" t="str">
        <f>+IFERROR(VLOOKUP(FD28,BDD,79,FALSE),"")</f>
        <v/>
      </c>
      <c r="FF28" s="30" t="str">
        <f>IFERROR(+VLOOKUP(FD28,BDD,80,FALSE),"")</f>
        <v/>
      </c>
      <c r="FG28" s="30" t="str">
        <f>+IFERROR(VLOOKUP(FD28,BDD,81,FALSE),"")</f>
        <v/>
      </c>
      <c r="FH28" s="30" t="str">
        <f>+IFERROR(VLOOKUP(FD28,BDD,82,FALSE),"")</f>
        <v/>
      </c>
      <c r="FW28" s="16" t="str">
        <f>Janvier!GB45</f>
        <v>52026</v>
      </c>
      <c r="FX28" s="16">
        <f>Janvier!GC45</f>
        <v>0</v>
      </c>
      <c r="HI28" s="85">
        <f>+Janvier!AB46</f>
        <v>46049</v>
      </c>
      <c r="HJ28" s="27" t="str">
        <f>+Janvier!AD46</f>
        <v/>
      </c>
      <c r="HK28" s="16">
        <f t="shared" si="13"/>
        <v>0</v>
      </c>
      <c r="HL28" s="16" t="str">
        <f>IF(AND(HI28&gt;=DATE(Identification!$B$60,5,1),HI28&lt;=DATE(Identification!$B$60,10,31),SUM(HK28:HK42)=12),"OUI","")</f>
        <v/>
      </c>
    </row>
    <row r="29" spans="1:220" x14ac:dyDescent="0.2">
      <c r="A29" s="16" t="s">
        <v>277</v>
      </c>
      <c r="C29" s="27"/>
      <c r="D29" s="27"/>
      <c r="F29" s="34"/>
      <c r="G29" s="16">
        <f t="shared" si="5"/>
        <v>0</v>
      </c>
      <c r="L29" s="16" t="str">
        <f t="shared" si="20"/>
        <v>Fiche info Avenant 1DSem</v>
      </c>
      <c r="M29" s="16">
        <f>IF('Fiche info Avenant 1'!$AR$19=0,0,'Fiche info Avenant 1'!$AR$19)</f>
        <v>0</v>
      </c>
      <c r="BX29" s="16" t="str">
        <f t="shared" si="6"/>
        <v>A préciserD7</v>
      </c>
      <c r="CK29" s="16">
        <v>2041</v>
      </c>
      <c r="EE29" s="16">
        <f t="shared" si="0"/>
        <v>0</v>
      </c>
      <c r="EF29" s="16">
        <f t="shared" si="1"/>
        <v>0</v>
      </c>
      <c r="EG29" s="16">
        <f t="shared" si="2"/>
        <v>0</v>
      </c>
      <c r="EH29" s="16">
        <f t="shared" si="3"/>
        <v>0</v>
      </c>
      <c r="EI29" s="16">
        <f t="shared" si="4"/>
        <v>0</v>
      </c>
      <c r="FB29" s="16" t="str">
        <f t="shared" si="11"/>
        <v/>
      </c>
      <c r="FC29" s="16" t="str">
        <f t="shared" si="12"/>
        <v/>
      </c>
      <c r="FD29" s="30">
        <f>+Base!$A$11</f>
        <v>46204</v>
      </c>
      <c r="FE29" s="30" t="str">
        <f>+IFERROR(VLOOKUP(FD29,BDD,83,FALSE),"")</f>
        <v/>
      </c>
      <c r="FF29" s="30" t="str">
        <f>+IFERROR(VLOOKUP(FD29,BDD,84,FALSE),"")</f>
        <v/>
      </c>
      <c r="FG29" s="30" t="str">
        <f>+IFERROR(VLOOKUP(FD29,BDD,85,FALSE),"")</f>
        <v/>
      </c>
      <c r="FH29" s="30" t="str">
        <f>+IFERROR(VLOOKUP(FD29,BDD,86,FALSE),"")</f>
        <v/>
      </c>
      <c r="FW29" s="16" t="str">
        <f>Janvier!GB46</f>
        <v>52026</v>
      </c>
      <c r="FX29" s="16">
        <f>Janvier!GC46</f>
        <v>0</v>
      </c>
      <c r="HI29" s="85">
        <f>+Janvier!AB47</f>
        <v>46050</v>
      </c>
      <c r="HJ29" s="27" t="str">
        <f>+Janvier!AD47</f>
        <v/>
      </c>
      <c r="HK29" s="16">
        <f t="shared" si="13"/>
        <v>0</v>
      </c>
      <c r="HL29" s="16" t="str">
        <f>IF(AND(HI29&gt;=DATE(Identification!$B$60,5,1),HI29&lt;=DATE(Identification!$B$60,10,31),SUM(HK29:HK43)=12),"OUI","")</f>
        <v/>
      </c>
    </row>
    <row r="30" spans="1:220" x14ac:dyDescent="0.2">
      <c r="A30" s="16" t="s">
        <v>278</v>
      </c>
      <c r="C30" s="27"/>
      <c r="D30" s="27"/>
      <c r="F30" s="34"/>
      <c r="G30" s="16">
        <f t="shared" si="5"/>
        <v>0</v>
      </c>
      <c r="L30" s="16" t="str">
        <f t="shared" si="20"/>
        <v>Fiche info Avenant 1ESem</v>
      </c>
      <c r="M30" s="16">
        <f>IF('Fiche info Avenant 1'!$BC$19=0,0,'Fiche info Avenant 1'!$BC$19)</f>
        <v>0</v>
      </c>
      <c r="BX30" s="16" t="str">
        <f t="shared" si="6"/>
        <v>A préciserE1</v>
      </c>
      <c r="CK30" s="16">
        <v>2042</v>
      </c>
      <c r="EE30" s="16">
        <f t="shared" si="0"/>
        <v>0</v>
      </c>
      <c r="EF30" s="16">
        <f t="shared" si="1"/>
        <v>0</v>
      </c>
      <c r="EG30" s="16">
        <f t="shared" si="2"/>
        <v>0</v>
      </c>
      <c r="EH30" s="16">
        <f t="shared" si="3"/>
        <v>0</v>
      </c>
      <c r="EI30" s="16">
        <f t="shared" si="4"/>
        <v>0</v>
      </c>
      <c r="FB30" s="16" t="str">
        <f t="shared" si="11"/>
        <v/>
      </c>
      <c r="FC30" s="16" t="str">
        <f t="shared" si="12"/>
        <v/>
      </c>
      <c r="FD30" s="30">
        <f>+Base!$A$12</f>
        <v>46235</v>
      </c>
      <c r="FE30" s="30" t="str">
        <f>+IFERROR(VLOOKUP(FD30,BDD,71,FALSE),"")</f>
        <v/>
      </c>
      <c r="FF30" s="30" t="str">
        <f>IFERROR(+VLOOKUP(FD30,BDD,72,FALSE),"")</f>
        <v/>
      </c>
      <c r="FG30" s="30" t="str">
        <f>+IFERROR(VLOOKUP(FD30,BDD,73,FALSE),"")</f>
        <v/>
      </c>
      <c r="FH30" s="30" t="str">
        <f>+IFERROR(VLOOKUP(FD30,BDD,74,FALSE),"")</f>
        <v/>
      </c>
      <c r="FW30" s="16" t="str">
        <f>Janvier!GB47</f>
        <v>52026</v>
      </c>
      <c r="FX30" s="16">
        <f>Janvier!GC47</f>
        <v>0</v>
      </c>
      <c r="HI30" s="85">
        <f>+Janvier!AB48</f>
        <v>46051</v>
      </c>
      <c r="HJ30" s="27" t="str">
        <f>+Janvier!AD48</f>
        <v/>
      </c>
      <c r="HK30" s="16">
        <f t="shared" si="13"/>
        <v>0</v>
      </c>
      <c r="HL30" s="16" t="str">
        <f>IF(AND(HI30&gt;=DATE(Identification!$B$60,5,1),HI30&lt;=DATE(Identification!$B$60,10,31),SUM(HK30:HK44)=12),"OUI","")</f>
        <v/>
      </c>
    </row>
    <row r="31" spans="1:220" x14ac:dyDescent="0.2">
      <c r="A31" s="16" t="s">
        <v>279</v>
      </c>
      <c r="C31" s="27"/>
      <c r="D31" s="27"/>
      <c r="F31" s="34"/>
      <c r="G31" s="16">
        <f t="shared" si="5"/>
        <v>0</v>
      </c>
      <c r="L31" s="16" t="str">
        <f t="shared" si="20"/>
        <v>Fiche info Avenant 1FSem</v>
      </c>
      <c r="M31" s="16">
        <f>IF('Fiche info Avenant 1'!$BN$19=0,0,'Fiche info Avenant 1'!$BN$19)</f>
        <v>0</v>
      </c>
      <c r="BX31" s="16" t="str">
        <f t="shared" si="6"/>
        <v>A préciserE2</v>
      </c>
      <c r="CK31" s="16">
        <v>2043</v>
      </c>
      <c r="EE31" s="16">
        <f t="shared" si="0"/>
        <v>0</v>
      </c>
      <c r="EF31" s="16">
        <f t="shared" si="1"/>
        <v>0</v>
      </c>
      <c r="EG31" s="16">
        <f t="shared" si="2"/>
        <v>0</v>
      </c>
      <c r="EH31" s="16">
        <f t="shared" si="3"/>
        <v>0</v>
      </c>
      <c r="EI31" s="16">
        <f t="shared" si="4"/>
        <v>0</v>
      </c>
      <c r="FB31" s="16" t="str">
        <f t="shared" si="11"/>
        <v/>
      </c>
      <c r="FC31" s="16" t="str">
        <f t="shared" si="12"/>
        <v/>
      </c>
      <c r="FD31" s="30">
        <f>+Base!$A$12</f>
        <v>46235</v>
      </c>
      <c r="FE31" s="30" t="str">
        <f>+IFERROR(VLOOKUP(FD31,BDD,75,FALSE),"")</f>
        <v/>
      </c>
      <c r="FF31" s="30" t="str">
        <f>+IFERROR(VLOOKUP(FD31,BDD,76,FALSE),"")</f>
        <v/>
      </c>
      <c r="FG31" s="30" t="str">
        <f>IFERROR(+VLOOKUP(FD31,BDD,77,FALSE),"")</f>
        <v/>
      </c>
      <c r="FH31" s="30" t="str">
        <f>+IFERROR(VLOOKUP(FD31,BDD,78,FALSE),"")</f>
        <v/>
      </c>
      <c r="FW31" s="16" t="str">
        <f>Janvier!GB48</f>
        <v>52026</v>
      </c>
      <c r="FX31" s="16">
        <f>Janvier!GC48</f>
        <v>0</v>
      </c>
      <c r="HI31" s="85">
        <f>+Janvier!AB49</f>
        <v>46052</v>
      </c>
      <c r="HJ31" s="27" t="str">
        <f>+Janvier!AD49</f>
        <v/>
      </c>
      <c r="HK31" s="16">
        <f t="shared" si="13"/>
        <v>0</v>
      </c>
      <c r="HL31" s="16" t="str">
        <f>IF(AND(HI31&gt;=DATE(Identification!$B$60,5,1),HI31&lt;=DATE(Identification!$B$60,10,31),SUM(HK31:HK45)=12),"OUI","")</f>
        <v/>
      </c>
    </row>
    <row r="32" spans="1:220" x14ac:dyDescent="0.2">
      <c r="A32" s="16" t="s">
        <v>280</v>
      </c>
      <c r="C32" s="27"/>
      <c r="D32" s="27"/>
      <c r="F32" s="34"/>
      <c r="G32" s="16">
        <f t="shared" si="5"/>
        <v>0</v>
      </c>
      <c r="L32" s="16" t="str">
        <f t="shared" si="20"/>
        <v>Fiche info Avenant 1GSem</v>
      </c>
      <c r="M32" s="16">
        <f>IF('Fiche info Avenant 1'!$BY$19=0,0,'Fiche info Avenant 1'!$BY$19)</f>
        <v>0</v>
      </c>
      <c r="BX32" s="16" t="str">
        <f t="shared" si="6"/>
        <v>A préciserE3</v>
      </c>
      <c r="CK32" s="16">
        <v>2044</v>
      </c>
      <c r="EE32" s="16">
        <f t="shared" si="0"/>
        <v>0</v>
      </c>
      <c r="EF32" s="16">
        <f t="shared" si="1"/>
        <v>0</v>
      </c>
      <c r="EG32" s="16">
        <f t="shared" si="2"/>
        <v>0</v>
      </c>
      <c r="EH32" s="16">
        <f t="shared" si="3"/>
        <v>0</v>
      </c>
      <c r="EI32" s="16">
        <f t="shared" si="4"/>
        <v>0</v>
      </c>
      <c r="FB32" s="16" t="str">
        <f t="shared" si="11"/>
        <v/>
      </c>
      <c r="FC32" s="16" t="str">
        <f t="shared" si="12"/>
        <v/>
      </c>
      <c r="FD32" s="30">
        <f>+Base!$A$12</f>
        <v>46235</v>
      </c>
      <c r="FE32" s="30" t="str">
        <f>+IFERROR(VLOOKUP(FD32,BDD,79,FALSE),"")</f>
        <v/>
      </c>
      <c r="FF32" s="30" t="str">
        <f>IFERROR(+VLOOKUP(FD32,BDD,80,FALSE),"")</f>
        <v/>
      </c>
      <c r="FG32" s="30" t="str">
        <f>+IFERROR(VLOOKUP(FD32,BDD,81,FALSE),"")</f>
        <v/>
      </c>
      <c r="FH32" s="30" t="str">
        <f>+IFERROR(VLOOKUP(FD32,BDD,82,FALSE),"")</f>
        <v/>
      </c>
      <c r="FW32" s="16" t="str">
        <f>Janvier!GB49</f>
        <v>52026</v>
      </c>
      <c r="FX32" s="16">
        <f>Janvier!GC49</f>
        <v>0</v>
      </c>
      <c r="HI32" s="85">
        <f>+Janvier!AB50</f>
        <v>46053</v>
      </c>
      <c r="HJ32" s="27" t="str">
        <f>+Janvier!AD50</f>
        <v/>
      </c>
      <c r="HK32" s="16">
        <f t="shared" si="13"/>
        <v>0</v>
      </c>
      <c r="HL32" s="16" t="str">
        <f>IF(AND(HI32&gt;=DATE(Identification!$B$60,5,1),HI32&lt;=DATE(Identification!$B$60,10,31),SUM(HK32:HK46)=12),"OUI","")</f>
        <v/>
      </c>
    </row>
    <row r="33" spans="1:220" x14ac:dyDescent="0.2">
      <c r="A33" s="16" t="s">
        <v>281</v>
      </c>
      <c r="C33" s="27"/>
      <c r="D33" s="27"/>
      <c r="F33" s="34"/>
      <c r="G33" s="16">
        <f t="shared" si="5"/>
        <v>0</v>
      </c>
      <c r="L33" s="16" t="str">
        <f t="shared" si="20"/>
        <v>Fiche info Avenant 1HSem</v>
      </c>
      <c r="M33" s="16">
        <f>IF('Fiche info Avenant 1'!$CJ$19=0,0,'Fiche info Avenant 1'!$CJ$19)</f>
        <v>0</v>
      </c>
      <c r="BX33" s="16" t="str">
        <f t="shared" si="6"/>
        <v>A préciserE4</v>
      </c>
      <c r="CK33" s="16">
        <v>2045</v>
      </c>
      <c r="EE33" s="16">
        <f t="shared" si="0"/>
        <v>0</v>
      </c>
      <c r="EF33" s="16">
        <f t="shared" si="1"/>
        <v>0</v>
      </c>
      <c r="EG33" s="16">
        <f t="shared" si="2"/>
        <v>0</v>
      </c>
      <c r="EH33" s="16">
        <f t="shared" si="3"/>
        <v>0</v>
      </c>
      <c r="EI33" s="16">
        <f t="shared" si="4"/>
        <v>0</v>
      </c>
      <c r="FB33" s="16" t="str">
        <f t="shared" si="11"/>
        <v/>
      </c>
      <c r="FC33" s="16" t="str">
        <f t="shared" si="12"/>
        <v/>
      </c>
      <c r="FD33" s="30">
        <f>+Base!$A$12</f>
        <v>46235</v>
      </c>
      <c r="FE33" s="30" t="str">
        <f>+IFERROR(VLOOKUP(FD33,BDD,83,FALSE),"")</f>
        <v/>
      </c>
      <c r="FF33" s="30" t="str">
        <f>+IFERROR(VLOOKUP(FD33,BDD,84,FALSE),"")</f>
        <v/>
      </c>
      <c r="FG33" s="30" t="str">
        <f>+IFERROR(VLOOKUP(FD33,BDD,85,FALSE),"")</f>
        <v/>
      </c>
      <c r="FH33" s="30" t="str">
        <f>+IFERROR(VLOOKUP(FD33,BDD,86,FALSE),"")</f>
        <v/>
      </c>
      <c r="FW33" s="16" t="str">
        <f>Janvier!GB50</f>
        <v>52026</v>
      </c>
      <c r="FX33" s="16">
        <f>Janvier!GC50</f>
        <v>0</v>
      </c>
      <c r="HI33" s="85">
        <f>+Février!AB20</f>
        <v>46054</v>
      </c>
      <c r="HJ33" s="27" t="str">
        <f>+Février!AD20</f>
        <v/>
      </c>
      <c r="HK33" s="16">
        <f t="shared" si="13"/>
        <v>0</v>
      </c>
      <c r="HL33" s="16" t="str">
        <f>IF(AND(HI33&gt;=DATE(Identification!$B$60,5,1),HI33&lt;=DATE(Identification!$B$60,10,31),SUM(HK33:HK47)=12),"OUI","")</f>
        <v/>
      </c>
    </row>
    <row r="34" spans="1:220" x14ac:dyDescent="0.2">
      <c r="A34" s="16" t="s">
        <v>282</v>
      </c>
      <c r="C34" s="27"/>
      <c r="D34" s="27"/>
      <c r="F34" s="34"/>
      <c r="G34" s="16">
        <f t="shared" si="5"/>
        <v>0</v>
      </c>
      <c r="L34" s="16" t="str">
        <f>+$P$6&amp;N2</f>
        <v>Fiche info Avenant 2ASem</v>
      </c>
      <c r="M34" s="16">
        <f>IF('Fiche info Avenant 2'!$K$19=0,0,'Fiche info Avenant 2'!$K$19)</f>
        <v>0</v>
      </c>
      <c r="BX34" s="16" t="str">
        <f t="shared" si="6"/>
        <v>A préciserE5</v>
      </c>
      <c r="CK34" s="16">
        <v>2046</v>
      </c>
      <c r="EE34" s="16">
        <f t="shared" si="0"/>
        <v>0</v>
      </c>
      <c r="EF34" s="16">
        <f t="shared" si="1"/>
        <v>0</v>
      </c>
      <c r="EG34" s="16">
        <f t="shared" si="2"/>
        <v>0</v>
      </c>
      <c r="EH34" s="16">
        <f t="shared" si="3"/>
        <v>0</v>
      </c>
      <c r="EI34" s="16">
        <f t="shared" si="4"/>
        <v>0</v>
      </c>
      <c r="FB34" s="16" t="str">
        <f t="shared" si="11"/>
        <v/>
      </c>
      <c r="FC34" s="16" t="str">
        <f t="shared" si="12"/>
        <v/>
      </c>
      <c r="FD34" s="30">
        <f>+Base!$A$13</f>
        <v>46266</v>
      </c>
      <c r="FE34" s="30" t="str">
        <f>+IFERROR(VLOOKUP(FD34,BDD,71,FALSE),"")</f>
        <v/>
      </c>
      <c r="FF34" s="30" t="str">
        <f>IFERROR(+VLOOKUP(FD34,BDD,72,FALSE),"")</f>
        <v/>
      </c>
      <c r="FG34" s="30" t="str">
        <f>+IFERROR(VLOOKUP(FD34,BDD,73,FALSE),"")</f>
        <v/>
      </c>
      <c r="FH34" s="30" t="str">
        <f>+IFERROR(VLOOKUP(FD34,BDD,74,FALSE),"")</f>
        <v/>
      </c>
      <c r="FW34" s="16" t="str">
        <f>Février!GB20</f>
        <v>52026</v>
      </c>
      <c r="FX34" s="16">
        <f>Février!GC20</f>
        <v>0</v>
      </c>
      <c r="HI34" s="85">
        <f>+Février!AB21</f>
        <v>46055</v>
      </c>
      <c r="HJ34" s="27" t="str">
        <f>+Février!AD21</f>
        <v/>
      </c>
      <c r="HK34" s="16">
        <f t="shared" si="13"/>
        <v>0</v>
      </c>
      <c r="HL34" s="16" t="str">
        <f>IF(AND(HI34&gt;=DATE(Identification!$B$60,5,1),HI34&lt;=DATE(Identification!$B$60,10,31),SUM(HK34:HK48)=12),"OUI","")</f>
        <v/>
      </c>
    </row>
    <row r="35" spans="1:220" x14ac:dyDescent="0.2">
      <c r="A35" s="16" t="s">
        <v>283</v>
      </c>
      <c r="C35" s="27"/>
      <c r="D35" s="27"/>
      <c r="F35" s="34"/>
      <c r="G35" s="16">
        <f t="shared" si="5"/>
        <v>0</v>
      </c>
      <c r="L35" s="16" t="str">
        <f t="shared" ref="L35:L41" si="21">+$P$6&amp;N3</f>
        <v>Fiche info Avenant 2BSem</v>
      </c>
      <c r="M35" s="16">
        <f>IF('Fiche info Avenant 2'!$V$19=0,0,'Fiche info Avenant 2'!$V$19)</f>
        <v>0</v>
      </c>
      <c r="BX35" s="16" t="str">
        <f t="shared" si="6"/>
        <v>A préciserE6</v>
      </c>
      <c r="CK35" s="16">
        <v>2047</v>
      </c>
      <c r="EE35" s="16">
        <f t="shared" si="0"/>
        <v>0</v>
      </c>
      <c r="EF35" s="16">
        <f t="shared" si="1"/>
        <v>0</v>
      </c>
      <c r="EG35" s="16">
        <f t="shared" si="2"/>
        <v>0</v>
      </c>
      <c r="EH35" s="16">
        <f t="shared" si="3"/>
        <v>0</v>
      </c>
      <c r="EI35" s="16">
        <f t="shared" si="4"/>
        <v>0</v>
      </c>
      <c r="FB35" s="16" t="str">
        <f t="shared" si="11"/>
        <v/>
      </c>
      <c r="FC35" s="16" t="str">
        <f t="shared" si="12"/>
        <v/>
      </c>
      <c r="FD35" s="30">
        <f>+Base!$A$13</f>
        <v>46266</v>
      </c>
      <c r="FE35" s="30" t="str">
        <f>+IFERROR(VLOOKUP(FD35,BDD,75,FALSE),"")</f>
        <v/>
      </c>
      <c r="FF35" s="30" t="str">
        <f>+IFERROR(VLOOKUP(FD35,BDD,76,FALSE),"")</f>
        <v/>
      </c>
      <c r="FG35" s="30" t="str">
        <f>IFERROR(+VLOOKUP(FD35,BDD,77,FALSE),"")</f>
        <v/>
      </c>
      <c r="FH35" s="30" t="str">
        <f>+IFERROR(VLOOKUP(FD35,BDD,78,FALSE),"")</f>
        <v/>
      </c>
      <c r="FW35" s="16" t="str">
        <f>Février!GB21</f>
        <v>62026</v>
      </c>
      <c r="FX35" s="16">
        <f>Février!GC21</f>
        <v>0</v>
      </c>
      <c r="HI35" s="85">
        <f>+Février!AB22</f>
        <v>46056</v>
      </c>
      <c r="HJ35" s="27" t="str">
        <f>+Février!AD22</f>
        <v/>
      </c>
      <c r="HK35" s="16">
        <f t="shared" si="13"/>
        <v>0</v>
      </c>
      <c r="HL35" s="16" t="str">
        <f>IF(AND(HI35&gt;=DATE(Identification!$B$60,5,1),HI35&lt;=DATE(Identification!$B$60,10,31),SUM(HK35:HK49)=12),"OUI","")</f>
        <v/>
      </c>
    </row>
    <row r="36" spans="1:220" x14ac:dyDescent="0.2">
      <c r="A36" s="16" t="s">
        <v>284</v>
      </c>
      <c r="C36" s="27"/>
      <c r="D36" s="27"/>
      <c r="F36" s="34"/>
      <c r="G36" s="16">
        <f t="shared" si="5"/>
        <v>0</v>
      </c>
      <c r="L36" s="16" t="str">
        <f t="shared" si="21"/>
        <v>Fiche info Avenant 2CSem</v>
      </c>
      <c r="M36" s="16">
        <f>IF('Fiche info Avenant 2'!$AG$19=0,0,'Fiche info Avenant 2'!$AG$19)</f>
        <v>0</v>
      </c>
      <c r="BX36" s="16" t="str">
        <f t="shared" si="6"/>
        <v>A préciserE7</v>
      </c>
      <c r="CK36" s="16">
        <v>2048</v>
      </c>
      <c r="EE36" s="16">
        <f t="shared" si="0"/>
        <v>0</v>
      </c>
      <c r="EF36" s="16">
        <f t="shared" si="1"/>
        <v>0</v>
      </c>
      <c r="EG36" s="16">
        <f t="shared" si="2"/>
        <v>0</v>
      </c>
      <c r="EH36" s="16">
        <f t="shared" si="3"/>
        <v>0</v>
      </c>
      <c r="EI36" s="16">
        <f t="shared" si="4"/>
        <v>0</v>
      </c>
      <c r="FB36" s="16" t="str">
        <f t="shared" si="11"/>
        <v/>
      </c>
      <c r="FC36" s="16" t="str">
        <f t="shared" si="12"/>
        <v/>
      </c>
      <c r="FD36" s="30">
        <f>+Base!$A$13</f>
        <v>46266</v>
      </c>
      <c r="FE36" s="30" t="str">
        <f>+IFERROR(VLOOKUP(FD36,BDD,79,FALSE),"")</f>
        <v/>
      </c>
      <c r="FF36" s="30" t="str">
        <f>IFERROR(+VLOOKUP(FD36,BDD,80,FALSE),"")</f>
        <v/>
      </c>
      <c r="FG36" s="30" t="str">
        <f>+IFERROR(VLOOKUP(FD36,BDD,81,FALSE),"")</f>
        <v/>
      </c>
      <c r="FH36" s="30" t="str">
        <f>+IFERROR(VLOOKUP(FD36,BDD,82,FALSE),"")</f>
        <v/>
      </c>
      <c r="FW36" s="16" t="str">
        <f>Février!GB22</f>
        <v>62026</v>
      </c>
      <c r="FX36" s="16">
        <f>Février!GC22</f>
        <v>0</v>
      </c>
      <c r="HI36" s="85">
        <f>+Février!AB23</f>
        <v>46057</v>
      </c>
      <c r="HJ36" s="27" t="str">
        <f>+Février!AD23</f>
        <v/>
      </c>
      <c r="HK36" s="16">
        <f t="shared" si="13"/>
        <v>0</v>
      </c>
      <c r="HL36" s="16" t="str">
        <f>IF(AND(HI36&gt;=DATE(Identification!$B$60,5,1),HI36&lt;=DATE(Identification!$B$60,10,31),SUM(HK36:HK50)=12),"OUI","")</f>
        <v/>
      </c>
    </row>
    <row r="37" spans="1:220" x14ac:dyDescent="0.2">
      <c r="A37" s="16" t="s">
        <v>285</v>
      </c>
      <c r="C37" s="27"/>
      <c r="D37" s="27"/>
      <c r="F37" s="34"/>
      <c r="G37" s="16">
        <f t="shared" si="5"/>
        <v>0</v>
      </c>
      <c r="L37" s="16" t="str">
        <f t="shared" si="21"/>
        <v>Fiche info Avenant 2DSem</v>
      </c>
      <c r="M37" s="16">
        <f>IF('Fiche info Avenant 2'!$AR$19=0,0,'Fiche info Avenant 2'!$AR$19)</f>
        <v>0</v>
      </c>
      <c r="BX37" s="16" t="str">
        <f t="shared" si="6"/>
        <v>A préciserF1</v>
      </c>
      <c r="CK37" s="16">
        <v>2049</v>
      </c>
      <c r="EE37" s="16">
        <f t="shared" si="0"/>
        <v>0</v>
      </c>
      <c r="EF37" s="16">
        <f t="shared" si="1"/>
        <v>0</v>
      </c>
      <c r="EG37" s="16">
        <f t="shared" si="2"/>
        <v>0</v>
      </c>
      <c r="EH37" s="16">
        <f t="shared" si="3"/>
        <v>0</v>
      </c>
      <c r="EI37" s="16">
        <f t="shared" si="4"/>
        <v>0</v>
      </c>
      <c r="FB37" s="16" t="str">
        <f t="shared" si="11"/>
        <v/>
      </c>
      <c r="FC37" s="16" t="str">
        <f t="shared" si="12"/>
        <v/>
      </c>
      <c r="FD37" s="30">
        <f>+Base!$A$13</f>
        <v>46266</v>
      </c>
      <c r="FE37" s="30" t="str">
        <f>+IFERROR(VLOOKUP(FD37,BDD,83,FALSE),"")</f>
        <v/>
      </c>
      <c r="FF37" s="30" t="str">
        <f>+IFERROR(VLOOKUP(FD37,BDD,84,FALSE),"")</f>
        <v/>
      </c>
      <c r="FG37" s="30" t="str">
        <f>+IFERROR(VLOOKUP(FD37,BDD,85,FALSE),"")</f>
        <v/>
      </c>
      <c r="FH37" s="30" t="str">
        <f>+IFERROR(VLOOKUP(FD37,BDD,86,FALSE),"")</f>
        <v/>
      </c>
      <c r="FW37" s="16" t="str">
        <f>Février!GB23</f>
        <v>62026</v>
      </c>
      <c r="FX37" s="16">
        <f>Février!GC23</f>
        <v>0</v>
      </c>
      <c r="HI37" s="85">
        <f>+Février!AB24</f>
        <v>46058</v>
      </c>
      <c r="HJ37" s="27" t="str">
        <f>+Février!AD24</f>
        <v/>
      </c>
      <c r="HK37" s="16">
        <f t="shared" si="13"/>
        <v>0</v>
      </c>
      <c r="HL37" s="16" t="str">
        <f>IF(AND(HI37&gt;=DATE(Identification!$B$60,5,1),HI37&lt;=DATE(Identification!$B$60,10,31),SUM(HK37:HK51)=12),"OUI","")</f>
        <v/>
      </c>
    </row>
    <row r="38" spans="1:220" x14ac:dyDescent="0.2">
      <c r="A38" s="16" t="s">
        <v>286</v>
      </c>
      <c r="C38" s="27"/>
      <c r="D38" s="27"/>
      <c r="F38" s="34"/>
      <c r="G38" s="16">
        <f t="shared" si="5"/>
        <v>0</v>
      </c>
      <c r="L38" s="16" t="str">
        <f t="shared" si="21"/>
        <v>Fiche info Avenant 2ESem</v>
      </c>
      <c r="M38" s="16">
        <f>IF('Fiche info Avenant 2'!$BC$19=0,0,'Fiche info Avenant 2'!$BC$19)</f>
        <v>0</v>
      </c>
      <c r="BX38" s="16" t="str">
        <f t="shared" si="6"/>
        <v>A préciserF2</v>
      </c>
      <c r="CK38" s="16">
        <v>2050</v>
      </c>
      <c r="EE38" s="16">
        <f t="shared" si="0"/>
        <v>0</v>
      </c>
      <c r="EF38" s="16">
        <f t="shared" si="1"/>
        <v>0</v>
      </c>
      <c r="EG38" s="16">
        <f t="shared" si="2"/>
        <v>0</v>
      </c>
      <c r="EH38" s="16">
        <f t="shared" si="3"/>
        <v>0</v>
      </c>
      <c r="EI38" s="16">
        <f t="shared" si="4"/>
        <v>0</v>
      </c>
      <c r="FB38" s="16" t="str">
        <f t="shared" si="11"/>
        <v/>
      </c>
      <c r="FC38" s="16" t="str">
        <f t="shared" si="12"/>
        <v/>
      </c>
      <c r="FD38" s="30">
        <f>+Base!$A$14</f>
        <v>46296</v>
      </c>
      <c r="FE38" s="30" t="str">
        <f>+IFERROR(VLOOKUP(FD38,BDD,71,FALSE),"")</f>
        <v/>
      </c>
      <c r="FF38" s="30" t="str">
        <f>IFERROR(+VLOOKUP(FD38,BDD,72,FALSE),"")</f>
        <v/>
      </c>
      <c r="FG38" s="30" t="str">
        <f>+IFERROR(VLOOKUP(FD38,BDD,73,FALSE),"")</f>
        <v/>
      </c>
      <c r="FH38" s="30" t="str">
        <f>+IFERROR(VLOOKUP(FD38,BDD,74,FALSE),"")</f>
        <v/>
      </c>
      <c r="FW38" s="16" t="str">
        <f>Février!GB24</f>
        <v>62026</v>
      </c>
      <c r="FX38" s="16">
        <f>Février!GC24</f>
        <v>0</v>
      </c>
      <c r="HI38" s="85">
        <f>+Février!AB25</f>
        <v>46059</v>
      </c>
      <c r="HJ38" s="27" t="str">
        <f>+Février!AD25</f>
        <v/>
      </c>
      <c r="HK38" s="16">
        <f t="shared" si="13"/>
        <v>0</v>
      </c>
      <c r="HL38" s="16" t="str">
        <f>IF(AND(HI38&gt;=DATE(Identification!$B$60,5,1),HI38&lt;=DATE(Identification!$B$60,10,31),SUM(HK38:HK52)=12),"OUI","")</f>
        <v/>
      </c>
    </row>
    <row r="39" spans="1:220" x14ac:dyDescent="0.2">
      <c r="A39" s="16" t="s">
        <v>287</v>
      </c>
      <c r="C39" s="27"/>
      <c r="D39" s="27"/>
      <c r="F39" s="34"/>
      <c r="G39" s="16">
        <f t="shared" si="5"/>
        <v>0</v>
      </c>
      <c r="L39" s="16" t="str">
        <f t="shared" si="21"/>
        <v>Fiche info Avenant 2FSem</v>
      </c>
      <c r="M39" s="16">
        <f>IF('Fiche info Avenant 2'!$BN$19=0,0,'Fiche info Avenant 2'!$BN$19)</f>
        <v>0</v>
      </c>
      <c r="BX39" s="16" t="str">
        <f t="shared" si="6"/>
        <v>A préciserF3</v>
      </c>
      <c r="EE39" s="16">
        <f t="shared" si="0"/>
        <v>0</v>
      </c>
      <c r="EF39" s="16">
        <f t="shared" si="1"/>
        <v>0</v>
      </c>
      <c r="EG39" s="16">
        <f t="shared" si="2"/>
        <v>0</v>
      </c>
      <c r="EH39" s="16">
        <f t="shared" si="3"/>
        <v>0</v>
      </c>
      <c r="EI39" s="16">
        <f t="shared" si="4"/>
        <v>0</v>
      </c>
      <c r="FB39" s="16" t="str">
        <f t="shared" si="11"/>
        <v/>
      </c>
      <c r="FC39" s="16" t="str">
        <f t="shared" si="12"/>
        <v/>
      </c>
      <c r="FD39" s="30">
        <f>+Base!$A$14</f>
        <v>46296</v>
      </c>
      <c r="FE39" s="30" t="str">
        <f>+IFERROR(VLOOKUP(FD39,BDD,75,FALSE),"")</f>
        <v/>
      </c>
      <c r="FF39" s="30" t="str">
        <f>+IFERROR(VLOOKUP(FD39,BDD,76,FALSE),"")</f>
        <v/>
      </c>
      <c r="FG39" s="30" t="str">
        <f>IFERROR(+VLOOKUP(FD39,BDD,77,FALSE),"")</f>
        <v/>
      </c>
      <c r="FH39" s="30" t="str">
        <f>+IFERROR(VLOOKUP(FD39,BDD,78,FALSE),"")</f>
        <v/>
      </c>
      <c r="FW39" s="16" t="str">
        <f>Février!GB25</f>
        <v>62026</v>
      </c>
      <c r="FX39" s="16">
        <f>Février!GC25</f>
        <v>0</v>
      </c>
      <c r="HI39" s="85">
        <f>+Février!AB26</f>
        <v>46060</v>
      </c>
      <c r="HJ39" s="27" t="str">
        <f>+Février!AD26</f>
        <v/>
      </c>
      <c r="HK39" s="16">
        <f t="shared" si="13"/>
        <v>0</v>
      </c>
      <c r="HL39" s="16" t="str">
        <f>IF(AND(HI39&gt;=DATE(Identification!$B$60,5,1),HI39&lt;=DATE(Identification!$B$60,10,31),SUM(HK39:HK53)=12),"OUI","")</f>
        <v/>
      </c>
    </row>
    <row r="40" spans="1:220" x14ac:dyDescent="0.2">
      <c r="A40" s="16" t="s">
        <v>288</v>
      </c>
      <c r="C40" s="27"/>
      <c r="D40" s="27"/>
      <c r="F40" s="34"/>
      <c r="G40" s="16">
        <f t="shared" si="5"/>
        <v>0</v>
      </c>
      <c r="L40" s="16" t="str">
        <f t="shared" si="21"/>
        <v>Fiche info Avenant 2GSem</v>
      </c>
      <c r="M40" s="16">
        <f>IF('Fiche info Avenant 2'!$BY$19=0,0,'Fiche info Avenant 2'!$BY$19)</f>
        <v>0</v>
      </c>
      <c r="BX40" s="16" t="str">
        <f t="shared" si="6"/>
        <v>A préciserF4</v>
      </c>
      <c r="EE40" s="16">
        <f t="shared" si="0"/>
        <v>0</v>
      </c>
      <c r="EF40" s="16">
        <f t="shared" si="1"/>
        <v>0</v>
      </c>
      <c r="EG40" s="16">
        <f t="shared" si="2"/>
        <v>0</v>
      </c>
      <c r="EH40" s="16">
        <f t="shared" si="3"/>
        <v>0</v>
      </c>
      <c r="EI40" s="16">
        <f t="shared" si="4"/>
        <v>0</v>
      </c>
      <c r="FB40" s="16" t="str">
        <f t="shared" si="11"/>
        <v/>
      </c>
      <c r="FC40" s="16" t="str">
        <f t="shared" si="12"/>
        <v/>
      </c>
      <c r="FD40" s="30">
        <f>+Base!$A$14</f>
        <v>46296</v>
      </c>
      <c r="FE40" s="30" t="str">
        <f>+IFERROR(VLOOKUP(FD40,BDD,79,FALSE),"")</f>
        <v/>
      </c>
      <c r="FF40" s="30" t="str">
        <f>IFERROR(+VLOOKUP(FD40,BDD,80,FALSE),"")</f>
        <v/>
      </c>
      <c r="FG40" s="30" t="str">
        <f>+IFERROR(VLOOKUP(FD40,BDD,81,FALSE),"")</f>
        <v/>
      </c>
      <c r="FH40" s="30" t="str">
        <f>+IFERROR(VLOOKUP(FD40,BDD,82,FALSE),"")</f>
        <v/>
      </c>
      <c r="FW40" s="16" t="str">
        <f>Février!GB26</f>
        <v>62026</v>
      </c>
      <c r="FX40" s="16">
        <f>Février!GC26</f>
        <v>0</v>
      </c>
      <c r="HI40" s="85">
        <f>+Février!AB27</f>
        <v>46061</v>
      </c>
      <c r="HJ40" s="27" t="str">
        <f>+Février!AD27</f>
        <v/>
      </c>
      <c r="HK40" s="16">
        <f t="shared" si="13"/>
        <v>0</v>
      </c>
      <c r="HL40" s="16" t="str">
        <f>IF(AND(HI40&gt;=DATE(Identification!$B$60,5,1),HI40&lt;=DATE(Identification!$B$60,10,31),SUM(HK40:HK54)=12),"OUI","")</f>
        <v/>
      </c>
    </row>
    <row r="41" spans="1:220" x14ac:dyDescent="0.2">
      <c r="A41" s="16" t="s">
        <v>289</v>
      </c>
      <c r="C41" s="27"/>
      <c r="D41" s="27"/>
      <c r="F41" s="34"/>
      <c r="G41" s="16">
        <f t="shared" si="5"/>
        <v>0</v>
      </c>
      <c r="L41" s="16" t="str">
        <f t="shared" si="21"/>
        <v>Fiche info Avenant 2HSem</v>
      </c>
      <c r="M41" s="16">
        <f>IF('Fiche info Avenant 2'!$CJ$19=0,0,'Fiche info Avenant 2'!$CJ$19)</f>
        <v>0</v>
      </c>
      <c r="BX41" s="16" t="str">
        <f t="shared" si="6"/>
        <v>A préciserF5</v>
      </c>
      <c r="EE41" s="16">
        <f t="shared" si="0"/>
        <v>0</v>
      </c>
      <c r="EF41" s="16">
        <f t="shared" si="1"/>
        <v>0</v>
      </c>
      <c r="EG41" s="16">
        <f t="shared" si="2"/>
        <v>0</v>
      </c>
      <c r="EH41" s="16">
        <f t="shared" si="3"/>
        <v>0</v>
      </c>
      <c r="EI41" s="16">
        <f t="shared" si="4"/>
        <v>0</v>
      </c>
      <c r="FB41" s="16" t="str">
        <f t="shared" si="11"/>
        <v/>
      </c>
      <c r="FC41" s="16" t="str">
        <f t="shared" si="12"/>
        <v/>
      </c>
      <c r="FD41" s="30">
        <f>+Base!$A$14</f>
        <v>46296</v>
      </c>
      <c r="FE41" s="30" t="str">
        <f>+IFERROR(VLOOKUP(FD41,BDD,83,FALSE),"")</f>
        <v/>
      </c>
      <c r="FF41" s="30" t="str">
        <f>+IFERROR(VLOOKUP(FD41,BDD,84,FALSE),"")</f>
        <v/>
      </c>
      <c r="FG41" s="30" t="str">
        <f>+IFERROR(VLOOKUP(FD41,BDD,85,FALSE),"")</f>
        <v/>
      </c>
      <c r="FH41" s="30" t="str">
        <f>+IFERROR(VLOOKUP(FD41,BDD,86,FALSE),"")</f>
        <v/>
      </c>
      <c r="FW41" s="16" t="str">
        <f>Février!GB27</f>
        <v>62026</v>
      </c>
      <c r="FX41" s="16">
        <f>Février!GC27</f>
        <v>0</v>
      </c>
      <c r="HI41" s="85">
        <f>+Février!AB28</f>
        <v>46062</v>
      </c>
      <c r="HJ41" s="27" t="str">
        <f>+Février!AD28</f>
        <v/>
      </c>
      <c r="HK41" s="16">
        <f t="shared" si="13"/>
        <v>0</v>
      </c>
      <c r="HL41" s="16" t="str">
        <f>IF(AND(HI41&gt;=DATE(Identification!$B$60,5,1),HI41&lt;=DATE(Identification!$B$60,10,31),SUM(HK41:HK55)=12),"OUI","")</f>
        <v/>
      </c>
    </row>
    <row r="42" spans="1:220" x14ac:dyDescent="0.2">
      <c r="A42" s="16" t="s">
        <v>290</v>
      </c>
      <c r="C42" s="27"/>
      <c r="D42" s="27"/>
      <c r="F42" s="34"/>
      <c r="G42" s="16">
        <f t="shared" si="5"/>
        <v>0</v>
      </c>
      <c r="L42" s="16" t="str">
        <f>+$P$7&amp;N2</f>
        <v>Fiche info Avenant 3ASem</v>
      </c>
      <c r="M42" s="16">
        <f>IF('Fiche info Avenant 3'!$K$19=0,0,'Fiche info Avenant 3'!$K$19)</f>
        <v>0</v>
      </c>
      <c r="BX42" s="16" t="str">
        <f t="shared" si="6"/>
        <v>A préciserF6</v>
      </c>
      <c r="EE42" s="16">
        <f t="shared" si="0"/>
        <v>0</v>
      </c>
      <c r="EF42" s="16">
        <f t="shared" si="1"/>
        <v>0</v>
      </c>
      <c r="EG42" s="16">
        <f t="shared" si="2"/>
        <v>0</v>
      </c>
      <c r="EH42" s="16">
        <f t="shared" si="3"/>
        <v>0</v>
      </c>
      <c r="EI42" s="16">
        <f t="shared" si="4"/>
        <v>0</v>
      </c>
      <c r="FB42" s="16" t="str">
        <f t="shared" si="11"/>
        <v/>
      </c>
      <c r="FC42" s="16" t="str">
        <f t="shared" si="12"/>
        <v/>
      </c>
      <c r="FD42" s="30">
        <f>+Base!$A$15</f>
        <v>46327</v>
      </c>
      <c r="FE42" s="30" t="str">
        <f>+IFERROR(VLOOKUP(FD42,BDD,71,FALSE),"")</f>
        <v/>
      </c>
      <c r="FF42" s="30" t="str">
        <f>IFERROR(+VLOOKUP(FD42,BDD,72,FALSE),"")</f>
        <v/>
      </c>
      <c r="FG42" s="30" t="str">
        <f>+IFERROR(VLOOKUP(FD42,BDD,73,FALSE),"")</f>
        <v/>
      </c>
      <c r="FH42" s="30" t="str">
        <f>+IFERROR(VLOOKUP(FD42,BDD,74,FALSE),"")</f>
        <v/>
      </c>
      <c r="FW42" s="16" t="str">
        <f>Février!GB28</f>
        <v>72026</v>
      </c>
      <c r="FX42" s="16">
        <f>Février!GC28</f>
        <v>0</v>
      </c>
      <c r="HI42" s="85">
        <f>+Février!AB29</f>
        <v>46063</v>
      </c>
      <c r="HJ42" s="27" t="str">
        <f>+Février!AD29</f>
        <v/>
      </c>
      <c r="HK42" s="16">
        <f t="shared" si="13"/>
        <v>0</v>
      </c>
      <c r="HL42" s="16" t="str">
        <f>IF(AND(HI42&gt;=DATE(Identification!$B$60,5,1),HI42&lt;=DATE(Identification!$B$60,10,31),SUM(HK42:HK56)=12),"OUI","")</f>
        <v/>
      </c>
    </row>
    <row r="43" spans="1:220" x14ac:dyDescent="0.2">
      <c r="A43" s="16" t="s">
        <v>291</v>
      </c>
      <c r="C43" s="27"/>
      <c r="D43" s="27"/>
      <c r="F43" s="34"/>
      <c r="G43" s="16">
        <f t="shared" si="5"/>
        <v>0</v>
      </c>
      <c r="L43" s="16" t="str">
        <f t="shared" ref="L43:L49" si="22">+$P$7&amp;N3</f>
        <v>Fiche info Avenant 3BSem</v>
      </c>
      <c r="M43" s="16">
        <f>IF('Fiche info Avenant 3'!$V$19=0,0,'Fiche info Avenant 3'!$V$19)</f>
        <v>0</v>
      </c>
      <c r="BX43" s="16" t="str">
        <f t="shared" si="6"/>
        <v>A préciserF7</v>
      </c>
      <c r="EE43" s="16">
        <f t="shared" si="0"/>
        <v>0</v>
      </c>
      <c r="EF43" s="16">
        <f t="shared" si="1"/>
        <v>0</v>
      </c>
      <c r="EG43" s="16">
        <f t="shared" si="2"/>
        <v>0</v>
      </c>
      <c r="EH43" s="16">
        <f t="shared" si="3"/>
        <v>0</v>
      </c>
      <c r="EI43" s="16">
        <f t="shared" si="4"/>
        <v>0</v>
      </c>
      <c r="FB43" s="16" t="str">
        <f t="shared" si="11"/>
        <v/>
      </c>
      <c r="FC43" s="16" t="str">
        <f t="shared" si="12"/>
        <v/>
      </c>
      <c r="FD43" s="30">
        <f>+Base!$A$15</f>
        <v>46327</v>
      </c>
      <c r="FE43" s="30" t="str">
        <f>+IFERROR(VLOOKUP(FD43,BDD,75,FALSE),"")</f>
        <v/>
      </c>
      <c r="FF43" s="30" t="str">
        <f>+IFERROR(VLOOKUP(FD43,BDD,76,FALSE),"")</f>
        <v/>
      </c>
      <c r="FG43" s="30" t="str">
        <f>IFERROR(+VLOOKUP(FD43,BDD,77,FALSE),"")</f>
        <v/>
      </c>
      <c r="FH43" s="30" t="str">
        <f>+IFERROR(VLOOKUP(FD43,BDD,78,FALSE),"")</f>
        <v/>
      </c>
      <c r="FW43" s="16" t="str">
        <f>Février!GB29</f>
        <v>72026</v>
      </c>
      <c r="FX43" s="16">
        <f>Février!GC29</f>
        <v>0</v>
      </c>
      <c r="HI43" s="85">
        <f>+Février!AB30</f>
        <v>46064</v>
      </c>
      <c r="HJ43" s="27" t="str">
        <f>+Février!AD30</f>
        <v/>
      </c>
      <c r="HK43" s="16">
        <f t="shared" si="13"/>
        <v>0</v>
      </c>
      <c r="HL43" s="16" t="str">
        <f>IF(AND(HI43&gt;=DATE(Identification!$B$60,5,1),HI43&lt;=DATE(Identification!$B$60,10,31),SUM(HK43:HK57)=12),"OUI","")</f>
        <v/>
      </c>
    </row>
    <row r="44" spans="1:220" x14ac:dyDescent="0.2">
      <c r="A44" s="16" t="s">
        <v>292</v>
      </c>
      <c r="C44" s="27"/>
      <c r="D44" s="27"/>
      <c r="F44" s="34"/>
      <c r="G44" s="16">
        <f t="shared" si="5"/>
        <v>0</v>
      </c>
      <c r="L44" s="16" t="str">
        <f t="shared" si="22"/>
        <v>Fiche info Avenant 3CSem</v>
      </c>
      <c r="M44" s="16">
        <f>IF('Fiche info Avenant 3'!$AG$19=0,0,'Fiche info Avenant 3'!$AG$19)</f>
        <v>0</v>
      </c>
      <c r="BX44" s="16" t="str">
        <f t="shared" si="6"/>
        <v>A préciserG1</v>
      </c>
      <c r="EE44" s="16">
        <f t="shared" si="0"/>
        <v>0</v>
      </c>
      <c r="EF44" s="16">
        <f t="shared" si="1"/>
        <v>0</v>
      </c>
      <c r="EG44" s="16">
        <f t="shared" si="2"/>
        <v>0</v>
      </c>
      <c r="EH44" s="16">
        <f t="shared" si="3"/>
        <v>0</v>
      </c>
      <c r="EI44" s="16">
        <f t="shared" si="4"/>
        <v>0</v>
      </c>
      <c r="FB44" s="16" t="str">
        <f t="shared" si="11"/>
        <v/>
      </c>
      <c r="FC44" s="16" t="str">
        <f t="shared" si="12"/>
        <v/>
      </c>
      <c r="FD44" s="30">
        <f>+Base!$A$15</f>
        <v>46327</v>
      </c>
      <c r="FE44" s="30" t="str">
        <f>+IFERROR(VLOOKUP(FD44,BDD,79,FALSE),"")</f>
        <v/>
      </c>
      <c r="FF44" s="30" t="str">
        <f>IFERROR(+VLOOKUP(FD44,BDD,80,FALSE),"")</f>
        <v/>
      </c>
      <c r="FG44" s="30" t="str">
        <f>+IFERROR(VLOOKUP(FD44,BDD,81,FALSE),"")</f>
        <v/>
      </c>
      <c r="FH44" s="30" t="str">
        <f>+IFERROR(VLOOKUP(FD44,BDD,82,FALSE),"")</f>
        <v/>
      </c>
      <c r="FW44" s="16" t="str">
        <f>Février!GB30</f>
        <v>72026</v>
      </c>
      <c r="FX44" s="16">
        <f>Février!GC30</f>
        <v>0</v>
      </c>
      <c r="HI44" s="85">
        <f>+Février!AB31</f>
        <v>46065</v>
      </c>
      <c r="HJ44" s="27" t="str">
        <f>+Février!AD31</f>
        <v/>
      </c>
      <c r="HK44" s="16">
        <f t="shared" si="13"/>
        <v>0</v>
      </c>
      <c r="HL44" s="16" t="str">
        <f>IF(AND(HI44&gt;=DATE(Identification!$B$60,5,1),HI44&lt;=DATE(Identification!$B$60,10,31),SUM(HK44:HK58)=12),"OUI","")</f>
        <v/>
      </c>
    </row>
    <row r="45" spans="1:220" x14ac:dyDescent="0.2">
      <c r="A45" s="16" t="s">
        <v>293</v>
      </c>
      <c r="C45" s="27"/>
      <c r="D45" s="27"/>
      <c r="F45" s="34"/>
      <c r="G45" s="16">
        <f t="shared" si="5"/>
        <v>0</v>
      </c>
      <c r="L45" s="16" t="str">
        <f t="shared" si="22"/>
        <v>Fiche info Avenant 3DSem</v>
      </c>
      <c r="M45" s="16">
        <f>IF('Fiche info Avenant 3'!$AR$19=0,0,'Fiche info Avenant 3'!$AR$19)</f>
        <v>0</v>
      </c>
      <c r="BX45" s="16" t="str">
        <f t="shared" si="6"/>
        <v>A préciserG2</v>
      </c>
      <c r="EE45" s="16">
        <f t="shared" si="0"/>
        <v>0</v>
      </c>
      <c r="EF45" s="16">
        <f t="shared" si="1"/>
        <v>0</v>
      </c>
      <c r="EG45" s="16">
        <f t="shared" si="2"/>
        <v>0</v>
      </c>
      <c r="EH45" s="16">
        <f t="shared" si="3"/>
        <v>0</v>
      </c>
      <c r="EI45" s="16">
        <f t="shared" si="4"/>
        <v>0</v>
      </c>
      <c r="FB45" s="16" t="str">
        <f t="shared" si="11"/>
        <v/>
      </c>
      <c r="FC45" s="16" t="str">
        <f t="shared" si="12"/>
        <v/>
      </c>
      <c r="FD45" s="30">
        <f>+Base!$A$15</f>
        <v>46327</v>
      </c>
      <c r="FE45" s="30" t="str">
        <f>+IFERROR(VLOOKUP(FD45,BDD,83,FALSE),"")</f>
        <v/>
      </c>
      <c r="FF45" s="30" t="str">
        <f>+IFERROR(VLOOKUP(FD45,BDD,84,FALSE),"")</f>
        <v/>
      </c>
      <c r="FG45" s="30" t="str">
        <f>+IFERROR(VLOOKUP(FD45,BDD,85,FALSE),"")</f>
        <v/>
      </c>
      <c r="FH45" s="30" t="str">
        <f>+IFERROR(VLOOKUP(FD45,BDD,86,FALSE),"")</f>
        <v/>
      </c>
      <c r="FW45" s="16" t="str">
        <f>Février!GB31</f>
        <v>72026</v>
      </c>
      <c r="FX45" s="16">
        <f>Février!GC31</f>
        <v>0</v>
      </c>
      <c r="HI45" s="85">
        <f>+Février!AB32</f>
        <v>46066</v>
      </c>
      <c r="HJ45" s="27" t="str">
        <f>+Février!AD32</f>
        <v/>
      </c>
      <c r="HK45" s="16">
        <f t="shared" si="13"/>
        <v>0</v>
      </c>
      <c r="HL45" s="16" t="str">
        <f>IF(AND(HI45&gt;=DATE(Identification!$B$60,5,1),HI45&lt;=DATE(Identification!$B$60,10,31),SUM(HK45:HK59)=12),"OUI","")</f>
        <v/>
      </c>
    </row>
    <row r="46" spans="1:220" x14ac:dyDescent="0.2">
      <c r="A46" s="16" t="s">
        <v>294</v>
      </c>
      <c r="C46" s="27"/>
      <c r="D46" s="27"/>
      <c r="F46" s="34"/>
      <c r="G46" s="16">
        <f t="shared" si="5"/>
        <v>0</v>
      </c>
      <c r="L46" s="16" t="str">
        <f t="shared" si="22"/>
        <v>Fiche info Avenant 3ESem</v>
      </c>
      <c r="M46" s="16">
        <f>IF('Fiche info Avenant 3'!$BC$19=0,0,'Fiche info Avenant 3'!$BC$19)</f>
        <v>0</v>
      </c>
      <c r="BX46" s="16" t="str">
        <f t="shared" si="6"/>
        <v>A préciserG3</v>
      </c>
      <c r="EE46" s="16">
        <f t="shared" si="0"/>
        <v>0</v>
      </c>
      <c r="EF46" s="16">
        <f t="shared" si="1"/>
        <v>0</v>
      </c>
      <c r="EG46" s="16">
        <f t="shared" si="2"/>
        <v>0</v>
      </c>
      <c r="EH46" s="16">
        <f t="shared" si="3"/>
        <v>0</v>
      </c>
      <c r="EI46" s="16">
        <f t="shared" si="4"/>
        <v>0</v>
      </c>
      <c r="FB46" s="16" t="str">
        <f t="shared" si="11"/>
        <v/>
      </c>
      <c r="FC46" s="16" t="str">
        <f t="shared" si="12"/>
        <v/>
      </c>
      <c r="FD46" s="30">
        <f>+Base!$A$16</f>
        <v>46357</v>
      </c>
      <c r="FE46" s="30" t="str">
        <f>+IFERROR(VLOOKUP(FD46,BDD,71,FALSE),"")</f>
        <v/>
      </c>
      <c r="FF46" s="30" t="str">
        <f>IFERROR(+VLOOKUP(FD46,BDD,72,FALSE),"")</f>
        <v/>
      </c>
      <c r="FG46" s="30" t="str">
        <f>+IFERROR(VLOOKUP(FD46,BDD,73,FALSE),"")</f>
        <v/>
      </c>
      <c r="FH46" s="30" t="str">
        <f>+IFERROR(VLOOKUP(FD46,BDD,74,FALSE),"")</f>
        <v/>
      </c>
      <c r="FW46" s="16" t="str">
        <f>Février!GB32</f>
        <v>72026</v>
      </c>
      <c r="FX46" s="16">
        <f>Février!GC32</f>
        <v>0</v>
      </c>
      <c r="HI46" s="85">
        <f>+Février!AB33</f>
        <v>46067</v>
      </c>
      <c r="HJ46" s="27" t="str">
        <f>+Février!AD33</f>
        <v/>
      </c>
      <c r="HK46" s="16">
        <f t="shared" si="13"/>
        <v>0</v>
      </c>
      <c r="HL46" s="16" t="str">
        <f>IF(AND(HI46&gt;=DATE(Identification!$B$60,5,1),HI46&lt;=DATE(Identification!$B$60,10,31),SUM(HK46:HK60)=12),"OUI","")</f>
        <v/>
      </c>
    </row>
    <row r="47" spans="1:220" x14ac:dyDescent="0.2">
      <c r="A47" s="16" t="s">
        <v>295</v>
      </c>
      <c r="C47" s="27"/>
      <c r="D47" s="27"/>
      <c r="F47" s="34"/>
      <c r="G47" s="16">
        <f t="shared" si="5"/>
        <v>0</v>
      </c>
      <c r="L47" s="16" t="str">
        <f t="shared" si="22"/>
        <v>Fiche info Avenant 3FSem</v>
      </c>
      <c r="M47" s="16">
        <f>IF('Fiche info Avenant 3'!$BN$19=0,0,'Fiche info Avenant 3'!$BN$19)</f>
        <v>0</v>
      </c>
      <c r="BX47" s="16" t="str">
        <f t="shared" si="6"/>
        <v>A préciserG4</v>
      </c>
      <c r="EE47" s="16">
        <f t="shared" si="0"/>
        <v>0</v>
      </c>
      <c r="EF47" s="16">
        <f t="shared" si="1"/>
        <v>0</v>
      </c>
      <c r="EG47" s="16">
        <f t="shared" si="2"/>
        <v>0</v>
      </c>
      <c r="EH47" s="16">
        <f t="shared" si="3"/>
        <v>0</v>
      </c>
      <c r="EI47" s="16">
        <f t="shared" si="4"/>
        <v>0</v>
      </c>
      <c r="FB47" s="16" t="str">
        <f t="shared" si="11"/>
        <v/>
      </c>
      <c r="FC47" s="16" t="str">
        <f t="shared" si="12"/>
        <v/>
      </c>
      <c r="FD47" s="30">
        <f>+Base!$A$16</f>
        <v>46357</v>
      </c>
      <c r="FE47" s="30" t="str">
        <f>+IFERROR(VLOOKUP(FD47,BDD,75,FALSE),"")</f>
        <v/>
      </c>
      <c r="FF47" s="30" t="str">
        <f>+IFERROR(VLOOKUP(FD47,BDD,76,FALSE),"")</f>
        <v/>
      </c>
      <c r="FG47" s="30" t="str">
        <f>IFERROR(+VLOOKUP(FD47,BDD,77,FALSE),"")</f>
        <v/>
      </c>
      <c r="FH47" s="30" t="str">
        <f>+IFERROR(VLOOKUP(FD47,BDD,78,FALSE),"")</f>
        <v/>
      </c>
      <c r="FW47" s="16" t="str">
        <f>Février!GB33</f>
        <v>72026</v>
      </c>
      <c r="FX47" s="16">
        <f>Février!GC33</f>
        <v>0</v>
      </c>
      <c r="HI47" s="85">
        <f>+Février!AB34</f>
        <v>46068</v>
      </c>
      <c r="HJ47" s="27" t="str">
        <f>+Février!AD34</f>
        <v/>
      </c>
      <c r="HK47" s="16">
        <f t="shared" si="13"/>
        <v>0</v>
      </c>
      <c r="HL47" s="16" t="str">
        <f>IF(AND(HI47&gt;=DATE(Identification!$B$60,5,1),HI47&lt;=DATE(Identification!$B$60,10,31),SUM(HK47:HK61)=12),"OUI","")</f>
        <v/>
      </c>
    </row>
    <row r="48" spans="1:220" x14ac:dyDescent="0.2">
      <c r="A48" s="16" t="s">
        <v>296</v>
      </c>
      <c r="C48" s="27"/>
      <c r="D48" s="27"/>
      <c r="F48" s="34"/>
      <c r="G48" s="16">
        <f t="shared" si="5"/>
        <v>0</v>
      </c>
      <c r="L48" s="16" t="str">
        <f t="shared" si="22"/>
        <v>Fiche info Avenant 3GSem</v>
      </c>
      <c r="M48" s="16">
        <f>IF('Fiche info Avenant 3'!$BY$19=0,0,'Fiche info Avenant 3'!$BY$19)</f>
        <v>0</v>
      </c>
      <c r="BX48" s="16" t="str">
        <f t="shared" si="6"/>
        <v>A préciserG5</v>
      </c>
      <c r="EE48" s="16">
        <f t="shared" si="0"/>
        <v>0</v>
      </c>
      <c r="EF48" s="16">
        <f t="shared" si="1"/>
        <v>0</v>
      </c>
      <c r="EG48" s="16">
        <f t="shared" si="2"/>
        <v>0</v>
      </c>
      <c r="EH48" s="16">
        <f t="shared" si="3"/>
        <v>0</v>
      </c>
      <c r="EI48" s="16">
        <f t="shared" si="4"/>
        <v>0</v>
      </c>
      <c r="FB48" s="16" t="str">
        <f t="shared" si="11"/>
        <v/>
      </c>
      <c r="FC48" s="16" t="str">
        <f t="shared" si="12"/>
        <v/>
      </c>
      <c r="FD48" s="30">
        <f>+Base!$A$16</f>
        <v>46357</v>
      </c>
      <c r="FE48" s="30" t="str">
        <f>+IFERROR(VLOOKUP(FD48,BDD,79,FALSE),"")</f>
        <v/>
      </c>
      <c r="FF48" s="30" t="str">
        <f>IFERROR(+VLOOKUP(FD48,BDD,80,FALSE),"")</f>
        <v/>
      </c>
      <c r="FG48" s="30" t="str">
        <f>+IFERROR(VLOOKUP(FD48,BDD,81,FALSE),"")</f>
        <v/>
      </c>
      <c r="FH48" s="30" t="str">
        <f>+IFERROR(VLOOKUP(FD48,BDD,82,FALSE),"")</f>
        <v/>
      </c>
      <c r="FW48" s="16" t="str">
        <f>Février!GB34</f>
        <v>72026</v>
      </c>
      <c r="FX48" s="16">
        <f>Février!GC34</f>
        <v>0</v>
      </c>
      <c r="HI48" s="85">
        <f>+Février!AB35</f>
        <v>46069</v>
      </c>
      <c r="HJ48" s="27" t="str">
        <f>+Février!AD35</f>
        <v/>
      </c>
      <c r="HK48" s="16">
        <f t="shared" si="13"/>
        <v>0</v>
      </c>
      <c r="HL48" s="16" t="str">
        <f>IF(AND(HI48&gt;=DATE(Identification!$B$60,5,1),HI48&lt;=DATE(Identification!$B$60,10,31),SUM(HK48:HK62)=12),"OUI","")</f>
        <v/>
      </c>
    </row>
    <row r="49" spans="1:220" x14ac:dyDescent="0.2">
      <c r="A49" s="16" t="s">
        <v>297</v>
      </c>
      <c r="C49" s="27"/>
      <c r="D49" s="27"/>
      <c r="F49" s="34"/>
      <c r="G49" s="16">
        <f t="shared" si="5"/>
        <v>0</v>
      </c>
      <c r="L49" s="16" t="str">
        <f t="shared" si="22"/>
        <v>Fiche info Avenant 3HSem</v>
      </c>
      <c r="M49" s="16">
        <f>IF('Fiche info Avenant 3'!$CJ$19=0,0,'Fiche info Avenant 3'!$CJ$19)</f>
        <v>0</v>
      </c>
      <c r="BX49" s="16" t="str">
        <f t="shared" si="6"/>
        <v>A préciserG6</v>
      </c>
      <c r="EE49" s="16">
        <f t="shared" si="0"/>
        <v>0</v>
      </c>
      <c r="EF49" s="16">
        <f t="shared" si="1"/>
        <v>0</v>
      </c>
      <c r="EG49" s="16">
        <f t="shared" si="2"/>
        <v>0</v>
      </c>
      <c r="EH49" s="16">
        <f t="shared" si="3"/>
        <v>0</v>
      </c>
      <c r="EI49" s="16">
        <f t="shared" si="4"/>
        <v>0</v>
      </c>
      <c r="FB49" s="16" t="str">
        <f t="shared" si="11"/>
        <v/>
      </c>
      <c r="FC49" s="16" t="str">
        <f t="shared" si="12"/>
        <v/>
      </c>
      <c r="FD49" s="30">
        <f>+Base!$A$16</f>
        <v>46357</v>
      </c>
      <c r="FE49" s="30" t="str">
        <f>+IFERROR(VLOOKUP(FD49,BDD,83,FALSE),"")</f>
        <v/>
      </c>
      <c r="FF49" s="30" t="str">
        <f>+IFERROR(VLOOKUP(FD49,BDD,84,FALSE),"")</f>
        <v/>
      </c>
      <c r="FG49" s="30" t="str">
        <f>+IFERROR(VLOOKUP(FD49,BDD,85,FALSE),"")</f>
        <v/>
      </c>
      <c r="FH49" s="30" t="str">
        <f>+IFERROR(VLOOKUP(FD49,BDD,86,FALSE),"")</f>
        <v/>
      </c>
      <c r="FW49" s="16" t="str">
        <f>Février!GB35</f>
        <v>82026</v>
      </c>
      <c r="FX49" s="16">
        <f>Février!GC35</f>
        <v>0</v>
      </c>
      <c r="HI49" s="85">
        <f>+Février!AB36</f>
        <v>46070</v>
      </c>
      <c r="HJ49" s="27" t="str">
        <f>+Février!AD36</f>
        <v/>
      </c>
      <c r="HK49" s="16">
        <f t="shared" si="13"/>
        <v>0</v>
      </c>
      <c r="HL49" s="16" t="str">
        <f>IF(AND(HI49&gt;=DATE(Identification!$B$60,5,1),HI49&lt;=DATE(Identification!$B$60,10,31),SUM(HK49:HK63)=12),"OUI","")</f>
        <v/>
      </c>
    </row>
    <row r="50" spans="1:220" x14ac:dyDescent="0.2">
      <c r="A50" s="16" t="s">
        <v>298</v>
      </c>
      <c r="C50" s="27"/>
      <c r="D50" s="27"/>
      <c r="F50" s="34"/>
      <c r="G50" s="16">
        <f t="shared" si="5"/>
        <v>0</v>
      </c>
      <c r="L50" s="16" t="str">
        <f>+$P$8&amp;N2</f>
        <v>Fiche info Avenant 4ASem</v>
      </c>
      <c r="M50" s="16">
        <f>IF('Fiche info Avenant 4'!$K$19=0,0,'Fiche info Avenant 4'!$K$19)</f>
        <v>0</v>
      </c>
      <c r="BX50" s="16" t="str">
        <f t="shared" si="6"/>
        <v>A préciserG7</v>
      </c>
      <c r="EE50" s="16">
        <f t="shared" si="0"/>
        <v>0</v>
      </c>
      <c r="EF50" s="16">
        <f t="shared" si="1"/>
        <v>0</v>
      </c>
      <c r="EG50" s="16">
        <f t="shared" si="2"/>
        <v>0</v>
      </c>
      <c r="EH50" s="16">
        <f t="shared" si="3"/>
        <v>0</v>
      </c>
      <c r="EI50" s="16">
        <f t="shared" si="4"/>
        <v>0</v>
      </c>
      <c r="FB50" s="16" t="str">
        <f t="shared" si="11"/>
        <v/>
      </c>
      <c r="FC50" s="16" t="str">
        <f t="shared" si="12"/>
        <v/>
      </c>
      <c r="FD50" s="30">
        <f>+DATE(YEAR(FD2),MONTH(FD2)-1,DAY(FD2))</f>
        <v>45992</v>
      </c>
      <c r="FE50" s="30" t="str">
        <f>+IFERROR(VLOOKUP(FD50,BDD,71,FALSE),"")</f>
        <v/>
      </c>
      <c r="FF50" s="30" t="str">
        <f>IFERROR(+VLOOKUP(FD50,BDD,72,FALSE),"")</f>
        <v/>
      </c>
      <c r="FG50" s="30" t="str">
        <f>+IFERROR(VLOOKUP(FD50,BDD,73,FALSE),"")</f>
        <v/>
      </c>
      <c r="FH50" s="30" t="str">
        <f>+IFERROR(VLOOKUP(FD50,BDD,74,FALSE),"")</f>
        <v/>
      </c>
      <c r="FW50" s="16" t="str">
        <f>Février!GB36</f>
        <v>82026</v>
      </c>
      <c r="FX50" s="16">
        <f>Février!GC36</f>
        <v>0</v>
      </c>
      <c r="HI50" s="85">
        <f>+Février!AB37</f>
        <v>46071</v>
      </c>
      <c r="HJ50" s="27" t="str">
        <f>+Février!AD37</f>
        <v/>
      </c>
      <c r="HK50" s="16">
        <f t="shared" si="13"/>
        <v>0</v>
      </c>
      <c r="HL50" s="16" t="str">
        <f>IF(AND(HI50&gt;=DATE(Identification!$B$60,5,1),HI50&lt;=DATE(Identification!$B$60,10,31),SUM(HK50:HK64)=12),"OUI","")</f>
        <v/>
      </c>
    </row>
    <row r="51" spans="1:220" x14ac:dyDescent="0.2">
      <c r="A51" s="16" t="s">
        <v>299</v>
      </c>
      <c r="C51" s="27"/>
      <c r="D51" s="27"/>
      <c r="F51" s="34"/>
      <c r="G51" s="16">
        <f t="shared" si="5"/>
        <v>0</v>
      </c>
      <c r="L51" s="16" t="str">
        <f t="shared" ref="L51:L57" si="23">+$P$8&amp;N3</f>
        <v>Fiche info Avenant 4BSem</v>
      </c>
      <c r="M51" s="16">
        <f>IF('Fiche info Avenant 4'!$V$19=0,0,'Fiche info Avenant 4'!$V$19)</f>
        <v>0</v>
      </c>
      <c r="BX51" s="16" t="str">
        <f t="shared" si="6"/>
        <v>A préciserH1</v>
      </c>
      <c r="EE51" s="16">
        <f t="shared" si="0"/>
        <v>0</v>
      </c>
      <c r="EF51" s="16">
        <f t="shared" si="1"/>
        <v>0</v>
      </c>
      <c r="EG51" s="16">
        <f t="shared" si="2"/>
        <v>0</v>
      </c>
      <c r="EH51" s="16">
        <f t="shared" si="3"/>
        <v>0</v>
      </c>
      <c r="EI51" s="16">
        <f t="shared" si="4"/>
        <v>0</v>
      </c>
      <c r="FB51" s="16" t="str">
        <f t="shared" si="11"/>
        <v/>
      </c>
      <c r="FC51" s="16" t="str">
        <f t="shared" si="12"/>
        <v/>
      </c>
      <c r="FD51" s="30">
        <f>+DATE(YEAR(FD3),MONTH(FD3)-1,DAY(FD3))</f>
        <v>45992</v>
      </c>
      <c r="FE51" s="30" t="str">
        <f>+IFERROR(VLOOKUP(FD51,BDD,75,FALSE),"")</f>
        <v/>
      </c>
      <c r="FF51" s="30" t="str">
        <f>+IFERROR(VLOOKUP(FD51,BDD,76,FALSE),"")</f>
        <v/>
      </c>
      <c r="FG51" s="30" t="str">
        <f>IFERROR(+VLOOKUP(FD51,BDD,77,FALSE),"")</f>
        <v/>
      </c>
      <c r="FH51" s="30" t="str">
        <f>+IFERROR(VLOOKUP(FD51,BDD,78,FALSE),"")</f>
        <v/>
      </c>
      <c r="FW51" s="16" t="str">
        <f>Février!GB37</f>
        <v>82026</v>
      </c>
      <c r="FX51" s="16">
        <f>Février!GC37</f>
        <v>0</v>
      </c>
      <c r="HI51" s="85">
        <f>+Février!AB38</f>
        <v>46072</v>
      </c>
      <c r="HJ51" s="27" t="str">
        <f>+Février!AD38</f>
        <v/>
      </c>
      <c r="HK51" s="16">
        <f t="shared" si="13"/>
        <v>0</v>
      </c>
      <c r="HL51" s="16" t="str">
        <f>IF(AND(HI51&gt;=DATE(Identification!$B$60,5,1),HI51&lt;=DATE(Identification!$B$60,10,31),SUM(HK51:HK65)=12),"OUI","")</f>
        <v/>
      </c>
    </row>
    <row r="52" spans="1:220" x14ac:dyDescent="0.2">
      <c r="A52" s="16" t="s">
        <v>300</v>
      </c>
      <c r="C52" s="27"/>
      <c r="D52" s="27"/>
      <c r="F52" s="34"/>
      <c r="G52" s="16">
        <f t="shared" si="5"/>
        <v>0</v>
      </c>
      <c r="L52" s="16" t="str">
        <f t="shared" si="23"/>
        <v>Fiche info Avenant 4CSem</v>
      </c>
      <c r="M52" s="16">
        <f>IF('Fiche info Avenant 4'!$AG$19=0,0,'Fiche info Avenant 4'!$AG$19)</f>
        <v>0</v>
      </c>
      <c r="BX52" s="16" t="str">
        <f t="shared" si="6"/>
        <v>A préciserH2</v>
      </c>
      <c r="EE52" s="16">
        <f t="shared" si="0"/>
        <v>0</v>
      </c>
      <c r="EF52" s="16">
        <f t="shared" si="1"/>
        <v>0</v>
      </c>
      <c r="EG52" s="16">
        <f t="shared" si="2"/>
        <v>0</v>
      </c>
      <c r="EH52" s="16">
        <f t="shared" si="3"/>
        <v>0</v>
      </c>
      <c r="EI52" s="16">
        <f t="shared" si="4"/>
        <v>0</v>
      </c>
      <c r="FB52" s="16" t="str">
        <f t="shared" si="11"/>
        <v/>
      </c>
      <c r="FC52" s="16" t="str">
        <f t="shared" si="12"/>
        <v/>
      </c>
      <c r="FD52" s="30">
        <f>+DATE(YEAR(FD4),MONTH(FD4)-1,DAY(FD4))</f>
        <v>45992</v>
      </c>
      <c r="FE52" s="30" t="str">
        <f>+IFERROR(VLOOKUP(FD52,BDD,79,FALSE),"")</f>
        <v/>
      </c>
      <c r="FF52" s="30" t="str">
        <f>IFERROR(+VLOOKUP(FD52,BDD,80,FALSE),"")</f>
        <v/>
      </c>
      <c r="FG52" s="30" t="str">
        <f>+IFERROR(VLOOKUP(FD52,BDD,81,FALSE),"")</f>
        <v/>
      </c>
      <c r="FH52" s="30" t="str">
        <f>+IFERROR(VLOOKUP(FD52,BDD,82,FALSE),"")</f>
        <v/>
      </c>
      <c r="FW52" s="16" t="str">
        <f>Février!GB38</f>
        <v>82026</v>
      </c>
      <c r="FX52" s="16">
        <f>Février!GC38</f>
        <v>0</v>
      </c>
      <c r="HI52" s="85">
        <f>+Février!AB39</f>
        <v>46073</v>
      </c>
      <c r="HJ52" s="27" t="str">
        <f>+Février!AD39</f>
        <v/>
      </c>
      <c r="HK52" s="16">
        <f t="shared" si="13"/>
        <v>0</v>
      </c>
      <c r="HL52" s="16" t="str">
        <f>IF(AND(HI52&gt;=DATE(Identification!$B$60,5,1),HI52&lt;=DATE(Identification!$B$60,10,31),SUM(HK52:HK66)=12),"OUI","")</f>
        <v/>
      </c>
    </row>
    <row r="53" spans="1:220" x14ac:dyDescent="0.2">
      <c r="A53" s="16" t="s">
        <v>301</v>
      </c>
      <c r="C53" s="27"/>
      <c r="D53" s="27"/>
      <c r="F53" s="34"/>
      <c r="G53" s="16">
        <f t="shared" si="5"/>
        <v>0</v>
      </c>
      <c r="L53" s="16" t="str">
        <f t="shared" si="23"/>
        <v>Fiche info Avenant 4DSem</v>
      </c>
      <c r="M53" s="16">
        <f>IF('Fiche info Avenant 4'!$AR$19=0,0,'Fiche info Avenant 4'!$AR$19)</f>
        <v>0</v>
      </c>
      <c r="BX53" s="16" t="str">
        <f t="shared" si="6"/>
        <v>A préciserH3</v>
      </c>
      <c r="EE53" s="16">
        <f t="shared" si="0"/>
        <v>0</v>
      </c>
      <c r="EF53" s="16">
        <f t="shared" si="1"/>
        <v>0</v>
      </c>
      <c r="EG53" s="16">
        <f t="shared" si="2"/>
        <v>0</v>
      </c>
      <c r="EH53" s="16">
        <f t="shared" si="3"/>
        <v>0</v>
      </c>
      <c r="EI53" s="16">
        <f t="shared" si="4"/>
        <v>0</v>
      </c>
      <c r="FB53" s="16" t="str">
        <f t="shared" si="11"/>
        <v/>
      </c>
      <c r="FC53" s="16" t="str">
        <f t="shared" si="12"/>
        <v/>
      </c>
      <c r="FD53" s="30">
        <f>+DATE(YEAR(FD5),MONTH(FD5)-1,DAY(FD5))</f>
        <v>45992</v>
      </c>
      <c r="FE53" s="30" t="str">
        <f>+IFERROR(VLOOKUP(FD53,BDD,83,FALSE),"")</f>
        <v/>
      </c>
      <c r="FF53" s="30" t="str">
        <f>+IFERROR(VLOOKUP(FD53,BDD,84,FALSE),"")</f>
        <v/>
      </c>
      <c r="FG53" s="30" t="str">
        <f>+IFERROR(VLOOKUP(FD53,BDD,85,FALSE),"")</f>
        <v/>
      </c>
      <c r="FH53" s="30" t="str">
        <f>+IFERROR(VLOOKUP(FD53,BDD,86,FALSE),"")</f>
        <v/>
      </c>
      <c r="FW53" s="16" t="str">
        <f>Février!GB39</f>
        <v>82026</v>
      </c>
      <c r="FX53" s="16">
        <f>Février!GC39</f>
        <v>0</v>
      </c>
      <c r="HI53" s="85">
        <f>+Février!AB40</f>
        <v>46074</v>
      </c>
      <c r="HJ53" s="27" t="str">
        <f>+Février!AD40</f>
        <v/>
      </c>
      <c r="HK53" s="16">
        <f t="shared" si="13"/>
        <v>0</v>
      </c>
      <c r="HL53" s="16" t="str">
        <f>IF(AND(HI53&gt;=DATE(Identification!$B$60,5,1),HI53&lt;=DATE(Identification!$B$60,10,31),SUM(HK53:HK67)=12),"OUI","")</f>
        <v/>
      </c>
    </row>
    <row r="54" spans="1:220" x14ac:dyDescent="0.2">
      <c r="A54" s="16" t="s">
        <v>302</v>
      </c>
      <c r="C54" s="27"/>
      <c r="D54" s="27"/>
      <c r="F54" s="34"/>
      <c r="G54" s="16">
        <f t="shared" si="5"/>
        <v>0</v>
      </c>
      <c r="L54" s="16" t="str">
        <f t="shared" si="23"/>
        <v>Fiche info Avenant 4ESem</v>
      </c>
      <c r="M54" s="16">
        <f>IF('Fiche info Avenant 4'!$BC$19=0,0,'Fiche info Avenant 4'!$BC$19)</f>
        <v>0</v>
      </c>
      <c r="BX54" s="16" t="str">
        <f t="shared" si="6"/>
        <v>A préciserH4</v>
      </c>
      <c r="EE54" s="16">
        <f t="shared" si="0"/>
        <v>0</v>
      </c>
      <c r="EF54" s="16">
        <f t="shared" si="1"/>
        <v>0</v>
      </c>
      <c r="EG54" s="16">
        <f t="shared" si="2"/>
        <v>0</v>
      </c>
      <c r="EH54" s="16">
        <f t="shared" si="3"/>
        <v>0</v>
      </c>
      <c r="EI54" s="16">
        <f t="shared" si="4"/>
        <v>0</v>
      </c>
      <c r="FB54" s="16" t="str">
        <f t="shared" si="11"/>
        <v/>
      </c>
      <c r="FC54" s="16" t="str">
        <f t="shared" si="12"/>
        <v/>
      </c>
      <c r="FD54" s="30">
        <f>+DATE(YEAR(FD50),MONTH(FD50)-1,DAY(FD50))</f>
        <v>45962</v>
      </c>
      <c r="FE54" s="30" t="str">
        <f>+IFERROR(VLOOKUP(FD54,BDD,71,FALSE),"")</f>
        <v/>
      </c>
      <c r="FF54" s="30" t="str">
        <f>IFERROR(+VLOOKUP(FD54,BDD,72,FALSE),"")</f>
        <v/>
      </c>
      <c r="FG54" s="30" t="str">
        <f>+IFERROR(VLOOKUP(FD54,BDD,73,FALSE),"")</f>
        <v/>
      </c>
      <c r="FH54" s="30" t="str">
        <f>+IFERROR(VLOOKUP(FD54,BDD,74,FALSE),"")</f>
        <v/>
      </c>
      <c r="FW54" s="16" t="str">
        <f>Février!GB40</f>
        <v>82026</v>
      </c>
      <c r="FX54" s="16">
        <f>Février!GC40</f>
        <v>0</v>
      </c>
      <c r="HI54" s="85">
        <f>+Février!AB41</f>
        <v>46075</v>
      </c>
      <c r="HJ54" s="27" t="str">
        <f>+Février!AD41</f>
        <v/>
      </c>
      <c r="HK54" s="16">
        <f t="shared" si="13"/>
        <v>0</v>
      </c>
      <c r="HL54" s="16" t="str">
        <f>IF(AND(HI54&gt;=DATE(Identification!$B$60,5,1),HI54&lt;=DATE(Identification!$B$60,10,31),SUM(HK54:HK68)=12),"OUI","")</f>
        <v/>
      </c>
    </row>
    <row r="55" spans="1:220" x14ac:dyDescent="0.2">
      <c r="A55" s="16" t="s">
        <v>303</v>
      </c>
      <c r="C55" s="27"/>
      <c r="D55" s="27"/>
      <c r="F55" s="34"/>
      <c r="G55" s="16">
        <f t="shared" si="5"/>
        <v>0</v>
      </c>
      <c r="L55" s="16" t="str">
        <f t="shared" si="23"/>
        <v>Fiche info Avenant 4FSem</v>
      </c>
      <c r="M55" s="16">
        <f>IF('Fiche info Avenant 4'!$BN$19=0,0,'Fiche info Avenant 4'!$BN$19)</f>
        <v>0</v>
      </c>
      <c r="BX55" s="16" t="str">
        <f t="shared" si="6"/>
        <v>A préciserH5</v>
      </c>
      <c r="EE55" s="16">
        <f t="shared" si="0"/>
        <v>0</v>
      </c>
      <c r="EF55" s="16">
        <f t="shared" si="1"/>
        <v>0</v>
      </c>
      <c r="EG55" s="16">
        <f t="shared" si="2"/>
        <v>0</v>
      </c>
      <c r="EH55" s="16">
        <f t="shared" si="3"/>
        <v>0</v>
      </c>
      <c r="EI55" s="16">
        <f t="shared" si="4"/>
        <v>0</v>
      </c>
      <c r="FB55" s="16" t="str">
        <f t="shared" si="11"/>
        <v/>
      </c>
      <c r="FC55" s="16" t="str">
        <f t="shared" si="12"/>
        <v/>
      </c>
      <c r="FD55" s="30">
        <f>+DATE(YEAR(FD51),MONTH(FD51)-1,DAY(FD51))</f>
        <v>45962</v>
      </c>
      <c r="FE55" s="30" t="str">
        <f>+IFERROR(VLOOKUP(FD55,BDD,75,FALSE),"")</f>
        <v/>
      </c>
      <c r="FF55" s="30" t="str">
        <f>+IFERROR(VLOOKUP(FD55,BDD,76,FALSE),"")</f>
        <v/>
      </c>
      <c r="FG55" s="30" t="str">
        <f>IFERROR(+VLOOKUP(FD55,BDD,77,FALSE),"")</f>
        <v/>
      </c>
      <c r="FH55" s="30" t="str">
        <f>+IFERROR(VLOOKUP(FD55,BDD,78,FALSE),"")</f>
        <v/>
      </c>
      <c r="FW55" s="16" t="str">
        <f>Février!GB41</f>
        <v>82026</v>
      </c>
      <c r="FX55" s="16">
        <f>Février!GC41</f>
        <v>0</v>
      </c>
      <c r="HI55" s="85">
        <f>+Février!AB42</f>
        <v>46076</v>
      </c>
      <c r="HJ55" s="27" t="str">
        <f>+Février!AD42</f>
        <v/>
      </c>
      <c r="HK55" s="16">
        <f t="shared" si="13"/>
        <v>0</v>
      </c>
      <c r="HL55" s="16" t="str">
        <f>IF(AND(HI55&gt;=DATE(Identification!$B$60,5,1),HI55&lt;=DATE(Identification!$B$60,10,31),SUM(HK55:HK69)=12),"OUI","")</f>
        <v/>
      </c>
    </row>
    <row r="56" spans="1:220" x14ac:dyDescent="0.2">
      <c r="A56" s="16" t="s">
        <v>304</v>
      </c>
      <c r="C56" s="27"/>
      <c r="D56" s="27"/>
      <c r="F56" s="34"/>
      <c r="G56" s="16">
        <f t="shared" si="5"/>
        <v>0</v>
      </c>
      <c r="L56" s="16" t="str">
        <f t="shared" si="23"/>
        <v>Fiche info Avenant 4GSem</v>
      </c>
      <c r="M56" s="16">
        <f>IF('Fiche info Avenant 4'!$BY$19=0,0,'Fiche info Avenant 4'!$BY$19)</f>
        <v>0</v>
      </c>
      <c r="BX56" s="16" t="str">
        <f t="shared" si="6"/>
        <v>A préciserH6</v>
      </c>
      <c r="EE56" s="16">
        <f t="shared" si="0"/>
        <v>0</v>
      </c>
      <c r="EF56" s="16">
        <f t="shared" si="1"/>
        <v>0</v>
      </c>
      <c r="EG56" s="16">
        <f t="shared" si="2"/>
        <v>0</v>
      </c>
      <c r="EH56" s="16">
        <f t="shared" si="3"/>
        <v>0</v>
      </c>
      <c r="EI56" s="16">
        <f t="shared" si="4"/>
        <v>0</v>
      </c>
      <c r="FB56" s="16" t="str">
        <f t="shared" si="11"/>
        <v/>
      </c>
      <c r="FC56" s="16" t="str">
        <f t="shared" si="12"/>
        <v/>
      </c>
      <c r="FD56" s="30">
        <f>+DATE(YEAR(FD52),MONTH(FD52)-1,DAY(FD52))</f>
        <v>45962</v>
      </c>
      <c r="FE56" s="30" t="str">
        <f>+IFERROR(VLOOKUP(FD56,BDD,79,FALSE),"")</f>
        <v/>
      </c>
      <c r="FF56" s="30" t="str">
        <f>IFERROR(+VLOOKUP(FD56,BDD,80,FALSE),"")</f>
        <v/>
      </c>
      <c r="FG56" s="30" t="str">
        <f>+IFERROR(VLOOKUP(FD56,BDD,81,FALSE),"")</f>
        <v/>
      </c>
      <c r="FH56" s="30" t="str">
        <f>+IFERROR(VLOOKUP(FD56,BDD,82,FALSE),"")</f>
        <v/>
      </c>
      <c r="FW56" s="16" t="str">
        <f>Février!GB42</f>
        <v>92026</v>
      </c>
      <c r="FX56" s="16">
        <f>Février!GC42</f>
        <v>0</v>
      </c>
      <c r="HI56" s="85">
        <f>+Février!AB43</f>
        <v>46077</v>
      </c>
      <c r="HJ56" s="27" t="str">
        <f>+Février!AD43</f>
        <v/>
      </c>
      <c r="HK56" s="16">
        <f t="shared" si="13"/>
        <v>0</v>
      </c>
      <c r="HL56" s="16" t="str">
        <f>IF(AND(HI56&gt;=DATE(Identification!$B$60,5,1),HI56&lt;=DATE(Identification!$B$60,10,31),SUM(HK56:HK70)=12),"OUI","")</f>
        <v/>
      </c>
    </row>
    <row r="57" spans="1:220" x14ac:dyDescent="0.2">
      <c r="A57" s="16" t="s">
        <v>305</v>
      </c>
      <c r="C57" s="27"/>
      <c r="D57" s="27"/>
      <c r="F57" s="34"/>
      <c r="G57" s="16">
        <f t="shared" si="5"/>
        <v>0</v>
      </c>
      <c r="L57" s="16" t="str">
        <f t="shared" si="23"/>
        <v>Fiche info Avenant 4HSem</v>
      </c>
      <c r="M57" s="16">
        <f>IF('Fiche info Avenant 4'!$CJ$19=0,0,'Fiche info Avenant 4'!$CJ$19)</f>
        <v>0</v>
      </c>
      <c r="BX57" s="16" t="str">
        <f t="shared" si="6"/>
        <v>A préciserH7</v>
      </c>
      <c r="EE57" s="16">
        <f t="shared" si="0"/>
        <v>0</v>
      </c>
      <c r="EF57" s="16">
        <f t="shared" si="1"/>
        <v>0</v>
      </c>
      <c r="EG57" s="16">
        <f t="shared" si="2"/>
        <v>0</v>
      </c>
      <c r="EH57" s="16">
        <f t="shared" si="3"/>
        <v>0</v>
      </c>
      <c r="EI57" s="16">
        <f t="shared" si="4"/>
        <v>0</v>
      </c>
      <c r="FB57" s="16" t="str">
        <f t="shared" si="11"/>
        <v/>
      </c>
      <c r="FC57" s="16" t="str">
        <f t="shared" si="12"/>
        <v/>
      </c>
      <c r="FD57" s="30">
        <f>+DATE(YEAR(FD53),MONTH(FD53)-1,DAY(FD53))</f>
        <v>45962</v>
      </c>
      <c r="FE57" s="30" t="str">
        <f>+IFERROR(VLOOKUP(FD57,BDD,83,FALSE),"")</f>
        <v/>
      </c>
      <c r="FF57" s="30" t="str">
        <f>+IFERROR(VLOOKUP(FD57,BDD,84,FALSE),"")</f>
        <v/>
      </c>
      <c r="FG57" s="30" t="str">
        <f>+IFERROR(VLOOKUP(FD57,BDD,85,FALSE),"")</f>
        <v/>
      </c>
      <c r="FH57" s="30" t="str">
        <f>+IFERROR(VLOOKUP(FD57,BDD,86,FALSE),"")</f>
        <v/>
      </c>
      <c r="FW57" s="16" t="str">
        <f>Février!GB43</f>
        <v>92026</v>
      </c>
      <c r="FX57" s="16">
        <f>Février!GC43</f>
        <v>0</v>
      </c>
      <c r="HI57" s="85">
        <f>+Février!AB44</f>
        <v>46078</v>
      </c>
      <c r="HJ57" s="27" t="str">
        <f>+Février!AD44</f>
        <v/>
      </c>
      <c r="HK57" s="16">
        <f t="shared" si="13"/>
        <v>0</v>
      </c>
      <c r="HL57" s="16" t="str">
        <f>IF(AND(HI57&gt;=DATE(Identification!$B$60,5,1),HI57&lt;=DATE(Identification!$B$60,10,31),SUM(HK57:HK71)=12),"OUI","")</f>
        <v/>
      </c>
    </row>
    <row r="58" spans="1:220" x14ac:dyDescent="0.2">
      <c r="A58" s="16" t="s">
        <v>359</v>
      </c>
      <c r="C58" s="27"/>
      <c r="D58" s="27"/>
      <c r="F58" s="34"/>
      <c r="G58" s="16">
        <f t="shared" si="5"/>
        <v>0</v>
      </c>
      <c r="L58" s="16" t="str">
        <f>+$P$9&amp;$N$2</f>
        <v>Fiche info Avenant 5ASem</v>
      </c>
      <c r="M58" s="16">
        <f>IF('Fiche info Avenant 5'!$K$19=0,0,'Fiche info Avenant 5'!$K$19)</f>
        <v>0</v>
      </c>
      <c r="BX58" s="16" t="str">
        <f t="shared" si="6"/>
        <v>Contrat finiA1</v>
      </c>
      <c r="EE58" s="16">
        <f t="shared" si="0"/>
        <v>0</v>
      </c>
      <c r="EF58" s="16">
        <f t="shared" si="1"/>
        <v>0</v>
      </c>
      <c r="EG58" s="16">
        <f t="shared" si="2"/>
        <v>0</v>
      </c>
      <c r="EH58" s="16">
        <f t="shared" si="3"/>
        <v>0</v>
      </c>
      <c r="EI58" s="16">
        <f t="shared" si="4"/>
        <v>0</v>
      </c>
      <c r="FB58" s="16" t="str">
        <f t="shared" si="11"/>
        <v/>
      </c>
      <c r="FC58" s="16" t="str">
        <f t="shared" si="12"/>
        <v/>
      </c>
      <c r="FD58" s="30">
        <f>+DATE(YEAR(FD54),MONTH(FD54)-1,DAY(FD54))</f>
        <v>45931</v>
      </c>
      <c r="FE58" s="30" t="str">
        <f>+IFERROR(VLOOKUP(FD58,BDD,71,FALSE),"")</f>
        <v/>
      </c>
      <c r="FF58" s="30" t="str">
        <f>IFERROR(+VLOOKUP(FD58,BDD,72,FALSE),"")</f>
        <v/>
      </c>
      <c r="FG58" s="30" t="str">
        <f>+IFERROR(VLOOKUP(FD58,BDD,73,FALSE),"")</f>
        <v/>
      </c>
      <c r="FH58" s="30" t="str">
        <f>+IFERROR(VLOOKUP(FD58,BDD,74,FALSE),"")</f>
        <v/>
      </c>
      <c r="FW58" s="16" t="str">
        <f>Février!GB44</f>
        <v>92026</v>
      </c>
      <c r="FX58" s="16">
        <f>Février!GC44</f>
        <v>0</v>
      </c>
      <c r="HI58" s="85">
        <f>+Février!AB45</f>
        <v>46079</v>
      </c>
      <c r="HJ58" s="27" t="str">
        <f>+Février!AD45</f>
        <v/>
      </c>
      <c r="HK58" s="16">
        <f t="shared" si="13"/>
        <v>0</v>
      </c>
      <c r="HL58" s="16" t="str">
        <f>IF(AND(HI58&gt;=DATE(Identification!$B$60,5,1),HI58&lt;=DATE(Identification!$B$60,10,31),SUM(HK58:HK72)=12),"OUI","")</f>
        <v/>
      </c>
    </row>
    <row r="59" spans="1:220" x14ac:dyDescent="0.2">
      <c r="A59" s="16" t="s">
        <v>360</v>
      </c>
      <c r="C59" s="27"/>
      <c r="D59" s="27"/>
      <c r="F59" s="34"/>
      <c r="G59" s="16">
        <f t="shared" si="5"/>
        <v>0</v>
      </c>
      <c r="L59" s="16" t="str">
        <f>+$P$9&amp;$N$3</f>
        <v>Fiche info Avenant 5BSem</v>
      </c>
      <c r="M59" s="16">
        <f>IF('Fiche info Avenant 5'!$V$19=0,0,'Fiche info Avenant 5'!$V$19)</f>
        <v>0</v>
      </c>
      <c r="BX59" s="16" t="str">
        <f t="shared" si="6"/>
        <v>Contrat finiA2</v>
      </c>
      <c r="EE59" s="16">
        <f t="shared" si="0"/>
        <v>0</v>
      </c>
      <c r="EF59" s="16">
        <f t="shared" si="1"/>
        <v>0</v>
      </c>
      <c r="EG59" s="16">
        <f t="shared" si="2"/>
        <v>0</v>
      </c>
      <c r="EH59" s="16">
        <f t="shared" si="3"/>
        <v>0</v>
      </c>
      <c r="EI59" s="16">
        <f t="shared" si="4"/>
        <v>0</v>
      </c>
      <c r="FB59" s="16" t="str">
        <f t="shared" si="11"/>
        <v/>
      </c>
      <c r="FC59" s="16" t="str">
        <f t="shared" si="12"/>
        <v/>
      </c>
      <c r="FD59" s="30">
        <f t="shared" ref="FD59:FD122" si="24">+DATE(YEAR(FD55),MONTH(FD55)-1,DAY(FD55))</f>
        <v>45931</v>
      </c>
      <c r="FE59" s="30" t="str">
        <f>+IFERROR(VLOOKUP(FD59,BDD,75,FALSE),"")</f>
        <v/>
      </c>
      <c r="FF59" s="30" t="str">
        <f>+IFERROR(VLOOKUP(FD59,BDD,76,FALSE),"")</f>
        <v/>
      </c>
      <c r="FG59" s="30" t="str">
        <f>IFERROR(+VLOOKUP(FD59,BDD,77,FALSE),"")</f>
        <v/>
      </c>
      <c r="FH59" s="30" t="str">
        <f>+IFERROR(VLOOKUP(FD59,BDD,78,FALSE),"")</f>
        <v/>
      </c>
      <c r="FW59" s="16" t="str">
        <f>Février!GB45</f>
        <v>92026</v>
      </c>
      <c r="FX59" s="16">
        <f>Février!GC45</f>
        <v>0</v>
      </c>
      <c r="HI59" s="85">
        <f>+Février!AB46</f>
        <v>46080</v>
      </c>
      <c r="HJ59" s="27" t="str">
        <f>+Février!AD46</f>
        <v/>
      </c>
      <c r="HK59" s="16">
        <f t="shared" si="13"/>
        <v>0</v>
      </c>
      <c r="HL59" s="16" t="str">
        <f>IF(AND(HI59&gt;=DATE(Identification!$B$60,5,1),HI59&lt;=DATE(Identification!$B$60,10,31),SUM(HK59:HK73)=12),"OUI","")</f>
        <v/>
      </c>
    </row>
    <row r="60" spans="1:220" x14ac:dyDescent="0.2">
      <c r="A60" s="16" t="s">
        <v>361</v>
      </c>
      <c r="C60" s="27"/>
      <c r="D60" s="27"/>
      <c r="F60" s="34"/>
      <c r="G60" s="16">
        <f t="shared" si="5"/>
        <v>0</v>
      </c>
      <c r="L60" s="16" t="str">
        <f>+$P$9&amp;$N$4</f>
        <v>Fiche info Avenant 5CSem</v>
      </c>
      <c r="M60" s="16">
        <f>IF('Fiche info Avenant 5'!$AG$19=0,0,'Fiche info Avenant 5'!$AG$19)</f>
        <v>0</v>
      </c>
      <c r="BX60" s="16" t="str">
        <f t="shared" si="6"/>
        <v>Contrat finiA3</v>
      </c>
      <c r="EE60" s="16">
        <f t="shared" si="0"/>
        <v>0</v>
      </c>
      <c r="EF60" s="16">
        <f t="shared" si="1"/>
        <v>0</v>
      </c>
      <c r="EG60" s="16">
        <f t="shared" si="2"/>
        <v>0</v>
      </c>
      <c r="EH60" s="16">
        <f t="shared" si="3"/>
        <v>0</v>
      </c>
      <c r="EI60" s="16">
        <f t="shared" si="4"/>
        <v>0</v>
      </c>
      <c r="FB60" s="16" t="str">
        <f t="shared" si="11"/>
        <v/>
      </c>
      <c r="FC60" s="16" t="str">
        <f t="shared" si="12"/>
        <v/>
      </c>
      <c r="FD60" s="30">
        <f t="shared" si="24"/>
        <v>45931</v>
      </c>
      <c r="FE60" s="30" t="str">
        <f>+IFERROR(VLOOKUP(FD60,BDD,79,FALSE),"")</f>
        <v/>
      </c>
      <c r="FF60" s="30" t="str">
        <f>IFERROR(+VLOOKUP(FD60,BDD,80,FALSE),"")</f>
        <v/>
      </c>
      <c r="FG60" s="30" t="str">
        <f>+IFERROR(VLOOKUP(FD60,BDD,81,FALSE),"")</f>
        <v/>
      </c>
      <c r="FH60" s="30" t="str">
        <f>+IFERROR(VLOOKUP(FD60,BDD,82,FALSE),"")</f>
        <v/>
      </c>
      <c r="FW60" s="16" t="str">
        <f>Février!GB46</f>
        <v>92026</v>
      </c>
      <c r="FX60" s="16">
        <f>Février!GC46</f>
        <v>0</v>
      </c>
      <c r="HI60" s="85">
        <f>+Février!AB47</f>
        <v>46081</v>
      </c>
      <c r="HJ60" s="27" t="str">
        <f>+Février!AD47</f>
        <v/>
      </c>
      <c r="HK60" s="16">
        <f t="shared" si="13"/>
        <v>0</v>
      </c>
      <c r="HL60" s="16" t="str">
        <f>IF(AND(HI60&gt;=DATE(Identification!$B$60,5,1),HI60&lt;=DATE(Identification!$B$60,10,31),SUM(HK60:HK74)=12),"OUI","")</f>
        <v/>
      </c>
    </row>
    <row r="61" spans="1:220" x14ac:dyDescent="0.2">
      <c r="A61" s="16" t="s">
        <v>362</v>
      </c>
      <c r="C61" s="27"/>
      <c r="D61" s="27"/>
      <c r="F61" s="34"/>
      <c r="G61" s="16">
        <f t="shared" si="5"/>
        <v>0</v>
      </c>
      <c r="L61" s="16" t="str">
        <f>+$P$9&amp;$N$5</f>
        <v>Fiche info Avenant 5DSem</v>
      </c>
      <c r="M61" s="16">
        <f>IF('Fiche info Avenant 5'!$AR$19=0,0,'Fiche info Avenant 5'!$AR$19)</f>
        <v>0</v>
      </c>
      <c r="BX61" s="16" t="str">
        <f t="shared" si="6"/>
        <v>Contrat finiA4</v>
      </c>
      <c r="EE61" s="16">
        <f t="shared" si="0"/>
        <v>0</v>
      </c>
      <c r="EF61" s="16">
        <f t="shared" si="1"/>
        <v>0</v>
      </c>
      <c r="EG61" s="16">
        <f t="shared" si="2"/>
        <v>0</v>
      </c>
      <c r="EH61" s="16">
        <f t="shared" si="3"/>
        <v>0</v>
      </c>
      <c r="EI61" s="16">
        <f t="shared" si="4"/>
        <v>0</v>
      </c>
      <c r="FB61" s="16" t="str">
        <f t="shared" si="11"/>
        <v/>
      </c>
      <c r="FC61" s="16" t="str">
        <f t="shared" si="12"/>
        <v/>
      </c>
      <c r="FD61" s="30">
        <f t="shared" si="24"/>
        <v>45931</v>
      </c>
      <c r="FE61" s="30" t="str">
        <f>+IFERROR(VLOOKUP(FD61,BDD,83,FALSE),"")</f>
        <v/>
      </c>
      <c r="FF61" s="30" t="str">
        <f>+IFERROR(VLOOKUP(FD61,BDD,84,FALSE),"")</f>
        <v/>
      </c>
      <c r="FG61" s="30" t="str">
        <f>+IFERROR(VLOOKUP(FD61,BDD,85,FALSE),"")</f>
        <v/>
      </c>
      <c r="FH61" s="30" t="str">
        <f>+IFERROR(VLOOKUP(FD61,BDD,86,FALSE),"")</f>
        <v/>
      </c>
      <c r="FW61" s="16" t="str">
        <f>Février!GB47</f>
        <v>92026</v>
      </c>
      <c r="FX61" s="16">
        <f>Février!GC47</f>
        <v>0</v>
      </c>
      <c r="HI61" s="85" t="str">
        <f>+Février!AB48</f>
        <v/>
      </c>
      <c r="HJ61" s="27" t="str">
        <f>+Février!AD48</f>
        <v/>
      </c>
      <c r="HK61" s="16">
        <f t="shared" si="13"/>
        <v>0</v>
      </c>
      <c r="HL61" s="16" t="str">
        <f>IF(AND(HI61&gt;=DATE(Identification!$B$60,5,1),HI61&lt;=DATE(Identification!$B$60,10,31),SUM(HK61:HK75)=12),"OUI","")</f>
        <v/>
      </c>
    </row>
    <row r="62" spans="1:220" x14ac:dyDescent="0.2">
      <c r="A62" s="16" t="s">
        <v>363</v>
      </c>
      <c r="C62" s="27"/>
      <c r="D62" s="27"/>
      <c r="F62" s="34"/>
      <c r="G62" s="16">
        <f t="shared" si="5"/>
        <v>0</v>
      </c>
      <c r="L62" s="16" t="str">
        <f>+$P$9&amp;$N$6</f>
        <v>Fiche info Avenant 5ESem</v>
      </c>
      <c r="M62" s="16">
        <f>IF('Fiche info Avenant 5'!$BC$19=0,0,'Fiche info Avenant 5'!$BC$19)</f>
        <v>0</v>
      </c>
      <c r="BX62" s="16" t="str">
        <f t="shared" si="6"/>
        <v>Contrat finiA5</v>
      </c>
      <c r="EE62" s="16">
        <f t="shared" si="0"/>
        <v>0</v>
      </c>
      <c r="EF62" s="16">
        <f t="shared" si="1"/>
        <v>0</v>
      </c>
      <c r="EG62" s="16">
        <f t="shared" si="2"/>
        <v>0</v>
      </c>
      <c r="EH62" s="16">
        <f t="shared" si="3"/>
        <v>0</v>
      </c>
      <c r="EI62" s="16">
        <f t="shared" si="4"/>
        <v>0</v>
      </c>
      <c r="FB62" s="16" t="str">
        <f t="shared" si="11"/>
        <v/>
      </c>
      <c r="FC62" s="16" t="str">
        <f t="shared" si="12"/>
        <v/>
      </c>
      <c r="FD62" s="30">
        <f t="shared" si="24"/>
        <v>45901</v>
      </c>
      <c r="FE62" s="30" t="str">
        <f>+IFERROR(VLOOKUP(FD62,BDD,71,FALSE),"")</f>
        <v/>
      </c>
      <c r="FF62" s="30" t="str">
        <f>IFERROR(+VLOOKUP(FD62,BDD,72,FALSE),"")</f>
        <v/>
      </c>
      <c r="FG62" s="30" t="str">
        <f>+IFERROR(VLOOKUP(FD62,BDD,73,FALSE),"")</f>
        <v/>
      </c>
      <c r="FH62" s="30" t="str">
        <f>+IFERROR(VLOOKUP(FD62,BDD,74,FALSE),"")</f>
        <v/>
      </c>
      <c r="FW62" s="16" t="str">
        <f>Février!GB48</f>
        <v>2026</v>
      </c>
      <c r="FX62" s="16">
        <f>Février!GC48</f>
        <v>0</v>
      </c>
      <c r="HI62" s="85" t="str">
        <f>+Février!AB49</f>
        <v/>
      </c>
      <c r="HJ62" s="27" t="str">
        <f>+Février!AD49</f>
        <v/>
      </c>
      <c r="HK62" s="16">
        <f t="shared" si="13"/>
        <v>0</v>
      </c>
      <c r="HL62" s="16" t="str">
        <f>IF(AND(HI62&gt;=DATE(Identification!$B$60,5,1),HI62&lt;=DATE(Identification!$B$60,10,31),SUM(HK62:HK76)=12),"OUI","")</f>
        <v/>
      </c>
    </row>
    <row r="63" spans="1:220" x14ac:dyDescent="0.2">
      <c r="A63" s="16" t="s">
        <v>364</v>
      </c>
      <c r="C63" s="27"/>
      <c r="D63" s="27"/>
      <c r="F63" s="34"/>
      <c r="G63" s="16">
        <f t="shared" si="5"/>
        <v>0</v>
      </c>
      <c r="L63" s="16" t="str">
        <f>+$P$9&amp;$N$7</f>
        <v>Fiche info Avenant 5FSem</v>
      </c>
      <c r="M63" s="16">
        <f>IF('Fiche info Avenant 5'!$BN$19=0,0,'Fiche info Avenant 5'!$BN$19)</f>
        <v>0</v>
      </c>
      <c r="BX63" s="16" t="str">
        <f t="shared" si="6"/>
        <v>Contrat finiA6</v>
      </c>
      <c r="EE63" s="16">
        <f t="shared" si="0"/>
        <v>0</v>
      </c>
      <c r="EF63" s="16">
        <f t="shared" si="1"/>
        <v>0</v>
      </c>
      <c r="EG63" s="16">
        <f t="shared" si="2"/>
        <v>0</v>
      </c>
      <c r="EH63" s="16">
        <f t="shared" si="3"/>
        <v>0</v>
      </c>
      <c r="EI63" s="16">
        <f t="shared" si="4"/>
        <v>0</v>
      </c>
      <c r="FB63" s="16" t="str">
        <f t="shared" si="11"/>
        <v/>
      </c>
      <c r="FC63" s="16" t="str">
        <f t="shared" si="12"/>
        <v/>
      </c>
      <c r="FD63" s="30">
        <f t="shared" si="24"/>
        <v>45901</v>
      </c>
      <c r="FE63" s="30" t="str">
        <f>+IFERROR(VLOOKUP(FD63,BDD,75,FALSE),"")</f>
        <v/>
      </c>
      <c r="FF63" s="30" t="str">
        <f>+IFERROR(VLOOKUP(FD63,BDD,76,FALSE),"")</f>
        <v/>
      </c>
      <c r="FG63" s="30" t="str">
        <f>IFERROR(+VLOOKUP(FD63,BDD,77,FALSE),"")</f>
        <v/>
      </c>
      <c r="FH63" s="30" t="str">
        <f>+IFERROR(VLOOKUP(FD63,BDD,78,FALSE),"")</f>
        <v/>
      </c>
      <c r="FW63" s="16" t="str">
        <f>Février!GB49</f>
        <v>2026</v>
      </c>
      <c r="FX63" s="16">
        <f>Février!GC49</f>
        <v>0</v>
      </c>
      <c r="HI63" s="85" t="str">
        <f>+Février!AB50</f>
        <v/>
      </c>
      <c r="HJ63" s="27" t="str">
        <f>+Février!AD50</f>
        <v/>
      </c>
      <c r="HK63" s="16">
        <f t="shared" si="13"/>
        <v>0</v>
      </c>
      <c r="HL63" s="16" t="str">
        <f>IF(AND(HI63&gt;=DATE(Identification!$B$60,5,1),HI63&lt;=DATE(Identification!$B$60,10,31),SUM(HK63:HK77)=12),"OUI","")</f>
        <v/>
      </c>
    </row>
    <row r="64" spans="1:220" x14ac:dyDescent="0.2">
      <c r="A64" s="16" t="s">
        <v>365</v>
      </c>
      <c r="C64" s="27"/>
      <c r="D64" s="27"/>
      <c r="F64" s="34"/>
      <c r="G64" s="16">
        <f t="shared" si="5"/>
        <v>0</v>
      </c>
      <c r="L64" s="16" t="str">
        <f>+$P$9&amp;$N$8</f>
        <v>Fiche info Avenant 5GSem</v>
      </c>
      <c r="M64" s="16">
        <f>IF('Fiche info Avenant 5'!$BY$19=0,0,'Fiche info Avenant 5'!$BY$19)</f>
        <v>0</v>
      </c>
      <c r="BX64" s="16" t="str">
        <f t="shared" si="6"/>
        <v>Contrat finiA7</v>
      </c>
      <c r="EE64" s="16">
        <f t="shared" si="0"/>
        <v>0</v>
      </c>
      <c r="EF64" s="16">
        <f t="shared" si="1"/>
        <v>0</v>
      </c>
      <c r="EG64" s="16">
        <f t="shared" si="2"/>
        <v>0</v>
      </c>
      <c r="EH64" s="16">
        <f t="shared" si="3"/>
        <v>0</v>
      </c>
      <c r="EI64" s="16">
        <f t="shared" si="4"/>
        <v>0</v>
      </c>
      <c r="FB64" s="16" t="str">
        <f t="shared" si="11"/>
        <v/>
      </c>
      <c r="FC64" s="16" t="str">
        <f t="shared" si="12"/>
        <v/>
      </c>
      <c r="FD64" s="30">
        <f t="shared" si="24"/>
        <v>45901</v>
      </c>
      <c r="FE64" s="30" t="str">
        <f>+IFERROR(VLOOKUP(FD64,BDD,79,FALSE),"")</f>
        <v/>
      </c>
      <c r="FF64" s="30" t="str">
        <f>IFERROR(+VLOOKUP(FD64,BDD,80,FALSE),"")</f>
        <v/>
      </c>
      <c r="FG64" s="30" t="str">
        <f>+IFERROR(VLOOKUP(FD64,BDD,81,FALSE),"")</f>
        <v/>
      </c>
      <c r="FH64" s="30" t="str">
        <f>+IFERROR(VLOOKUP(FD64,BDD,82,FALSE),"")</f>
        <v/>
      </c>
      <c r="FW64" s="16" t="str">
        <f>Février!GB50</f>
        <v>2026</v>
      </c>
      <c r="FX64" s="16">
        <f>Février!GC50</f>
        <v>0</v>
      </c>
      <c r="HI64" s="85">
        <f>+Mars!AB20</f>
        <v>46082</v>
      </c>
      <c r="HJ64" s="27" t="str">
        <f>+Mars!AD20</f>
        <v/>
      </c>
      <c r="HK64" s="16">
        <f t="shared" si="13"/>
        <v>0</v>
      </c>
      <c r="HL64" s="16" t="str">
        <f>IF(AND(HI64&gt;=DATE(Identification!$B$60,5,1),HI64&lt;=DATE(Identification!$B$60,10,31),SUM(HK64:HK78)=12),"OUI","")</f>
        <v/>
      </c>
    </row>
    <row r="65" spans="1:220" x14ac:dyDescent="0.2">
      <c r="A65" s="16" t="s">
        <v>366</v>
      </c>
      <c r="C65" s="27"/>
      <c r="D65" s="27"/>
      <c r="F65" s="34"/>
      <c r="G65" s="16">
        <f t="shared" si="5"/>
        <v>0</v>
      </c>
      <c r="L65" s="16" t="str">
        <f>+$P$9&amp;$N$9</f>
        <v>Fiche info Avenant 5HSem</v>
      </c>
      <c r="M65" s="16">
        <f>IF('Fiche info Avenant 5'!$CJ$19=0,0,'Fiche info Avenant 5'!$CJ$19)</f>
        <v>0</v>
      </c>
      <c r="BX65" s="16" t="str">
        <f t="shared" si="6"/>
        <v>Contrat finiB1</v>
      </c>
      <c r="EE65" s="16">
        <f t="shared" ref="EE65:EE128" si="25">B65</f>
        <v>0</v>
      </c>
      <c r="EF65" s="16">
        <f t="shared" ref="EF65:EF128" si="26">C65</f>
        <v>0</v>
      </c>
      <c r="EG65" s="16">
        <f t="shared" ref="EG65:EG128" si="27">D65</f>
        <v>0</v>
      </c>
      <c r="EH65" s="16">
        <f t="shared" ref="EH65:EH128" si="28">E65</f>
        <v>0</v>
      </c>
      <c r="EI65" s="16">
        <f t="shared" ref="EI65:EI128" si="29">F65</f>
        <v>0</v>
      </c>
      <c r="FB65" s="16" t="str">
        <f t="shared" si="11"/>
        <v/>
      </c>
      <c r="FC65" s="16" t="str">
        <f t="shared" si="12"/>
        <v/>
      </c>
      <c r="FD65" s="30">
        <f t="shared" si="24"/>
        <v>45901</v>
      </c>
      <c r="FE65" s="30" t="str">
        <f>+IFERROR(VLOOKUP(FD65,BDD,83,FALSE),"")</f>
        <v/>
      </c>
      <c r="FF65" s="30" t="str">
        <f>+IFERROR(VLOOKUP(FD65,BDD,84,FALSE),"")</f>
        <v/>
      </c>
      <c r="FG65" s="30" t="str">
        <f>+IFERROR(VLOOKUP(FD65,BDD,85,FALSE),"")</f>
        <v/>
      </c>
      <c r="FH65" s="30" t="str">
        <f>+IFERROR(VLOOKUP(FD65,BDD,86,FALSE),"")</f>
        <v/>
      </c>
      <c r="FW65" s="16" t="str">
        <f>Mars!GB20</f>
        <v>92026</v>
      </c>
      <c r="FX65" s="16">
        <f>Mars!GC20</f>
        <v>0</v>
      </c>
      <c r="HI65" s="85">
        <f>+Mars!AB21</f>
        <v>46083</v>
      </c>
      <c r="HJ65" s="27" t="str">
        <f>+Mars!AD21</f>
        <v/>
      </c>
      <c r="HK65" s="16">
        <f t="shared" si="13"/>
        <v>0</v>
      </c>
      <c r="HL65" s="16" t="str">
        <f>IF(AND(HI65&gt;=DATE(Identification!$B$60,5,1),HI65&lt;=DATE(Identification!$B$60,10,31),SUM(HK65:HK79)=12),"OUI","")</f>
        <v/>
      </c>
    </row>
    <row r="66" spans="1:220" x14ac:dyDescent="0.2">
      <c r="A66" s="16" t="s">
        <v>367</v>
      </c>
      <c r="C66" s="27"/>
      <c r="D66" s="27"/>
      <c r="F66" s="34"/>
      <c r="G66" s="16">
        <f t="shared" ref="G66:G129" si="30">+IF(OR(F66=0,F66=""),0,1)</f>
        <v>0</v>
      </c>
      <c r="L66" s="16" t="str">
        <f>+$P$10&amp;N2</f>
        <v>Fiche info CDD C.DuréeASem</v>
      </c>
      <c r="M66" s="16">
        <f>IF('Fiche info CDD C.Durée'!$K$19=0,0,'Fiche info CDD C.Durée'!$K$19)</f>
        <v>0</v>
      </c>
      <c r="BX66" s="16" t="str">
        <f t="shared" ref="BX66:BX129" si="31">A66</f>
        <v>Contrat finiB2</v>
      </c>
      <c r="EE66" s="16">
        <f t="shared" si="25"/>
        <v>0</v>
      </c>
      <c r="EF66" s="16">
        <f t="shared" si="26"/>
        <v>0</v>
      </c>
      <c r="EG66" s="16">
        <f t="shared" si="27"/>
        <v>0</v>
      </c>
      <c r="EH66" s="16">
        <f t="shared" si="28"/>
        <v>0</v>
      </c>
      <c r="EI66" s="16">
        <f t="shared" si="29"/>
        <v>0</v>
      </c>
      <c r="FB66" s="16" t="str">
        <f t="shared" si="11"/>
        <v/>
      </c>
      <c r="FC66" s="16" t="str">
        <f t="shared" si="12"/>
        <v/>
      </c>
      <c r="FD66" s="30">
        <f t="shared" si="24"/>
        <v>45870</v>
      </c>
      <c r="FE66" s="30" t="str">
        <f>+IFERROR(VLOOKUP(FD66,BDD,71,FALSE),"")</f>
        <v/>
      </c>
      <c r="FF66" s="30" t="str">
        <f>IFERROR(+VLOOKUP(FD66,BDD,72,FALSE),"")</f>
        <v/>
      </c>
      <c r="FG66" s="30" t="str">
        <f>+IFERROR(VLOOKUP(FD66,BDD,73,FALSE),"")</f>
        <v/>
      </c>
      <c r="FH66" s="30" t="str">
        <f>+IFERROR(VLOOKUP(FD66,BDD,74,FALSE),"")</f>
        <v/>
      </c>
      <c r="FW66" s="16" t="str">
        <f>Mars!GB21</f>
        <v>102026</v>
      </c>
      <c r="FX66" s="16">
        <f>Mars!GC21</f>
        <v>0</v>
      </c>
      <c r="HI66" s="85">
        <f>+Mars!AB22</f>
        <v>46084</v>
      </c>
      <c r="HJ66" s="27" t="str">
        <f>+Mars!AD22</f>
        <v/>
      </c>
      <c r="HK66" s="16">
        <f t="shared" si="13"/>
        <v>0</v>
      </c>
      <c r="HL66" s="16" t="str">
        <f>IF(AND(HI66&gt;=DATE(Identification!$B$60,5,1),HI66&lt;=DATE(Identification!$B$60,10,31),SUM(HK66:HK80)=12),"OUI","")</f>
        <v/>
      </c>
    </row>
    <row r="67" spans="1:220" x14ac:dyDescent="0.2">
      <c r="A67" s="16" t="s">
        <v>368</v>
      </c>
      <c r="C67" s="27"/>
      <c r="D67" s="27"/>
      <c r="F67" s="34"/>
      <c r="G67" s="16">
        <f t="shared" si="30"/>
        <v>0</v>
      </c>
      <c r="L67" s="16" t="str">
        <f t="shared" ref="L67:L73" si="32">+$P$10&amp;N3</f>
        <v>Fiche info CDD C.DuréeBSem</v>
      </c>
      <c r="M67" s="16">
        <f>IF('Fiche info CDD C.Durée'!$V$19=0,0,'Fiche info CDD C.Durée'!$V$19)</f>
        <v>0</v>
      </c>
      <c r="BX67" s="16" t="str">
        <f t="shared" si="31"/>
        <v>Contrat finiB3</v>
      </c>
      <c r="EE67" s="16">
        <f t="shared" si="25"/>
        <v>0</v>
      </c>
      <c r="EF67" s="16">
        <f t="shared" si="26"/>
        <v>0</v>
      </c>
      <c r="EG67" s="16">
        <f t="shared" si="27"/>
        <v>0</v>
      </c>
      <c r="EH67" s="16">
        <f t="shared" si="28"/>
        <v>0</v>
      </c>
      <c r="EI67" s="16">
        <f t="shared" si="29"/>
        <v>0</v>
      </c>
      <c r="FB67" s="16" t="str">
        <f t="shared" ref="FB67:FB130" si="33">+IF(FE67=$EX$2,FE67&amp;FF67&amp;FG67,"")</f>
        <v/>
      </c>
      <c r="FC67" s="16" t="str">
        <f t="shared" ref="FC67:FC130" si="34">+IF(FE67=$EX$3,FE67&amp;FF67&amp;FG67,"")</f>
        <v/>
      </c>
      <c r="FD67" s="30">
        <f t="shared" si="24"/>
        <v>45870</v>
      </c>
      <c r="FE67" s="30" t="str">
        <f>+IFERROR(VLOOKUP(FD67,BDD,75,FALSE),"")</f>
        <v/>
      </c>
      <c r="FF67" s="30" t="str">
        <f>+IFERROR(VLOOKUP(FD67,BDD,76,FALSE),"")</f>
        <v/>
      </c>
      <c r="FG67" s="30" t="str">
        <f>IFERROR(+VLOOKUP(FD67,BDD,77,FALSE),"")</f>
        <v/>
      </c>
      <c r="FH67" s="30" t="str">
        <f>+IFERROR(VLOOKUP(FD67,BDD,78,FALSE),"")</f>
        <v/>
      </c>
      <c r="FW67" s="16" t="str">
        <f>Mars!GB22</f>
        <v>102026</v>
      </c>
      <c r="FX67" s="16">
        <f>Mars!GC22</f>
        <v>0</v>
      </c>
      <c r="HI67" s="85">
        <f>+Mars!AB23</f>
        <v>46085</v>
      </c>
      <c r="HJ67" s="27" t="str">
        <f>+Mars!AD23</f>
        <v/>
      </c>
      <c r="HK67" s="16">
        <f t="shared" ref="HK67:HK130" si="35">IF(HI67="",0,IF(AND(OR(HJ67=$BJ$3,HJ67=$BJ$4),WEEKDAY(HI67,2)&lt;7),1,0))</f>
        <v>0</v>
      </c>
      <c r="HL67" s="16" t="str">
        <f>IF(AND(HI67&gt;=DATE(Identification!$B$60,5,1),HI67&lt;=DATE(Identification!$B$60,10,31),SUM(HK67:HK81)=12),"OUI","")</f>
        <v/>
      </c>
    </row>
    <row r="68" spans="1:220" x14ac:dyDescent="0.2">
      <c r="A68" s="16" t="s">
        <v>369</v>
      </c>
      <c r="C68" s="27"/>
      <c r="D68" s="27"/>
      <c r="F68" s="34"/>
      <c r="G68" s="16">
        <f t="shared" si="30"/>
        <v>0</v>
      </c>
      <c r="L68" s="16" t="str">
        <f t="shared" si="32"/>
        <v>Fiche info CDD C.DuréeCSem</v>
      </c>
      <c r="M68" s="16">
        <f>IF('Fiche info CDD C.Durée'!$AG$19=0,0,'Fiche info CDD C.Durée'!$AG$19)</f>
        <v>0</v>
      </c>
      <c r="BX68" s="16" t="str">
        <f t="shared" si="31"/>
        <v>Contrat finiB4</v>
      </c>
      <c r="EE68" s="16">
        <f t="shared" si="25"/>
        <v>0</v>
      </c>
      <c r="EF68" s="16">
        <f t="shared" si="26"/>
        <v>0</v>
      </c>
      <c r="EG68" s="16">
        <f t="shared" si="27"/>
        <v>0</v>
      </c>
      <c r="EH68" s="16">
        <f t="shared" si="28"/>
        <v>0</v>
      </c>
      <c r="EI68" s="16">
        <f t="shared" si="29"/>
        <v>0</v>
      </c>
      <c r="FB68" s="16" t="str">
        <f t="shared" si="33"/>
        <v/>
      </c>
      <c r="FC68" s="16" t="str">
        <f t="shared" si="34"/>
        <v/>
      </c>
      <c r="FD68" s="30">
        <f t="shared" si="24"/>
        <v>45870</v>
      </c>
      <c r="FE68" s="30" t="str">
        <f>+IFERROR(VLOOKUP(FD68,BDD,79,FALSE),"")</f>
        <v/>
      </c>
      <c r="FF68" s="30" t="str">
        <f>IFERROR(+VLOOKUP(FD68,BDD,80,FALSE),"")</f>
        <v/>
      </c>
      <c r="FG68" s="30" t="str">
        <f>+IFERROR(VLOOKUP(FD68,BDD,81,FALSE),"")</f>
        <v/>
      </c>
      <c r="FH68" s="30" t="str">
        <f>+IFERROR(VLOOKUP(FD68,BDD,82,FALSE),"")</f>
        <v/>
      </c>
      <c r="FW68" s="16" t="str">
        <f>Mars!GB23</f>
        <v>102026</v>
      </c>
      <c r="FX68" s="16">
        <f>Mars!GC23</f>
        <v>0</v>
      </c>
      <c r="HI68" s="85">
        <f>+Mars!AB24</f>
        <v>46086</v>
      </c>
      <c r="HJ68" s="27" t="str">
        <f>+Mars!AD24</f>
        <v/>
      </c>
      <c r="HK68" s="16">
        <f t="shared" si="35"/>
        <v>0</v>
      </c>
      <c r="HL68" s="16" t="str">
        <f>IF(AND(HI68&gt;=DATE(Identification!$B$60,5,1),HI68&lt;=DATE(Identification!$B$60,10,31),SUM(HK68:HK82)=12),"OUI","")</f>
        <v/>
      </c>
    </row>
    <row r="69" spans="1:220" x14ac:dyDescent="0.2">
      <c r="A69" s="16" t="s">
        <v>370</v>
      </c>
      <c r="C69" s="27"/>
      <c r="D69" s="27"/>
      <c r="F69" s="34"/>
      <c r="G69" s="16">
        <f t="shared" si="30"/>
        <v>0</v>
      </c>
      <c r="L69" s="16" t="str">
        <f t="shared" si="32"/>
        <v>Fiche info CDD C.DuréeDSem</v>
      </c>
      <c r="M69" s="16">
        <f>IF('Fiche info CDD C.Durée'!$AR$19=0,0,'Fiche info CDD C.Durée'!$AR$19)</f>
        <v>0</v>
      </c>
      <c r="BX69" s="16" t="str">
        <f t="shared" si="31"/>
        <v>Contrat finiB5</v>
      </c>
      <c r="EE69" s="16">
        <f t="shared" si="25"/>
        <v>0</v>
      </c>
      <c r="EF69" s="16">
        <f t="shared" si="26"/>
        <v>0</v>
      </c>
      <c r="EG69" s="16">
        <f t="shared" si="27"/>
        <v>0</v>
      </c>
      <c r="EH69" s="16">
        <f t="shared" si="28"/>
        <v>0</v>
      </c>
      <c r="EI69" s="16">
        <f t="shared" si="29"/>
        <v>0</v>
      </c>
      <c r="FB69" s="16" t="str">
        <f t="shared" si="33"/>
        <v/>
      </c>
      <c r="FC69" s="16" t="str">
        <f t="shared" si="34"/>
        <v/>
      </c>
      <c r="FD69" s="30">
        <f t="shared" si="24"/>
        <v>45870</v>
      </c>
      <c r="FE69" s="30" t="str">
        <f>+IFERROR(VLOOKUP(FD69,BDD,83,FALSE),"")</f>
        <v/>
      </c>
      <c r="FF69" s="30" t="str">
        <f>+IFERROR(VLOOKUP(FD69,BDD,84,FALSE),"")</f>
        <v/>
      </c>
      <c r="FG69" s="30" t="str">
        <f>+IFERROR(VLOOKUP(FD69,BDD,85,FALSE),"")</f>
        <v/>
      </c>
      <c r="FH69" s="30" t="str">
        <f>+IFERROR(VLOOKUP(FD69,BDD,86,FALSE),"")</f>
        <v/>
      </c>
      <c r="FW69" s="16" t="str">
        <f>Mars!GB24</f>
        <v>102026</v>
      </c>
      <c r="FX69" s="16">
        <f>Mars!GC24</f>
        <v>0</v>
      </c>
      <c r="HI69" s="85">
        <f>+Mars!AB25</f>
        <v>46087</v>
      </c>
      <c r="HJ69" s="27" t="str">
        <f>+Mars!AD25</f>
        <v/>
      </c>
      <c r="HK69" s="16">
        <f t="shared" si="35"/>
        <v>0</v>
      </c>
      <c r="HL69" s="16" t="str">
        <f>IF(AND(HI69&gt;=DATE(Identification!$B$60,5,1),HI69&lt;=DATE(Identification!$B$60,10,31),SUM(HK69:HK83)=12),"OUI","")</f>
        <v/>
      </c>
    </row>
    <row r="70" spans="1:220" x14ac:dyDescent="0.2">
      <c r="A70" s="16" t="s">
        <v>371</v>
      </c>
      <c r="C70" s="27"/>
      <c r="D70" s="27"/>
      <c r="F70" s="34"/>
      <c r="G70" s="16">
        <f t="shared" si="30"/>
        <v>0</v>
      </c>
      <c r="L70" s="16" t="str">
        <f t="shared" si="32"/>
        <v>Fiche info CDD C.DuréeESem</v>
      </c>
      <c r="M70" s="16">
        <f>IF('Fiche info CDD C.Durée'!$BC$19=0,0,'Fiche info CDD C.Durée'!$BC$19)</f>
        <v>0</v>
      </c>
      <c r="BX70" s="16" t="str">
        <f t="shared" si="31"/>
        <v>Contrat finiB6</v>
      </c>
      <c r="EE70" s="16">
        <f t="shared" si="25"/>
        <v>0</v>
      </c>
      <c r="EF70" s="16">
        <f t="shared" si="26"/>
        <v>0</v>
      </c>
      <c r="EG70" s="16">
        <f t="shared" si="27"/>
        <v>0</v>
      </c>
      <c r="EH70" s="16">
        <f t="shared" si="28"/>
        <v>0</v>
      </c>
      <c r="EI70" s="16">
        <f t="shared" si="29"/>
        <v>0</v>
      </c>
      <c r="FB70" s="16" t="str">
        <f t="shared" si="33"/>
        <v/>
      </c>
      <c r="FC70" s="16" t="str">
        <f t="shared" si="34"/>
        <v/>
      </c>
      <c r="FD70" s="30">
        <f t="shared" si="24"/>
        <v>45839</v>
      </c>
      <c r="FE70" s="30" t="str">
        <f>+IFERROR(VLOOKUP(FD70,BDD,71,FALSE),"")</f>
        <v/>
      </c>
      <c r="FF70" s="30" t="str">
        <f>IFERROR(+VLOOKUP(FD70,BDD,72,FALSE),"")</f>
        <v/>
      </c>
      <c r="FG70" s="30" t="str">
        <f>+IFERROR(VLOOKUP(FD70,BDD,73,FALSE),"")</f>
        <v/>
      </c>
      <c r="FH70" s="30" t="str">
        <f>+IFERROR(VLOOKUP(FD70,BDD,74,FALSE),"")</f>
        <v/>
      </c>
      <c r="FW70" s="16" t="str">
        <f>Mars!GB25</f>
        <v>102026</v>
      </c>
      <c r="FX70" s="16">
        <f>Mars!GC25</f>
        <v>0</v>
      </c>
      <c r="HI70" s="85">
        <f>+Mars!AB26</f>
        <v>46088</v>
      </c>
      <c r="HJ70" s="27" t="str">
        <f>+Mars!AD26</f>
        <v/>
      </c>
      <c r="HK70" s="16">
        <f t="shared" si="35"/>
        <v>0</v>
      </c>
      <c r="HL70" s="16" t="str">
        <f>IF(AND(HI70&gt;=DATE(Identification!$B$60,5,1),HI70&lt;=DATE(Identification!$B$60,10,31),SUM(HK70:HK84)=12),"OUI","")</f>
        <v/>
      </c>
    </row>
    <row r="71" spans="1:220" x14ac:dyDescent="0.2">
      <c r="A71" s="16" t="s">
        <v>372</v>
      </c>
      <c r="C71" s="27"/>
      <c r="D71" s="27"/>
      <c r="F71" s="34"/>
      <c r="G71" s="16">
        <f t="shared" si="30"/>
        <v>0</v>
      </c>
      <c r="L71" s="16" t="str">
        <f t="shared" si="32"/>
        <v>Fiche info CDD C.DuréeFSem</v>
      </c>
      <c r="M71" s="16">
        <f>IF('Fiche info CDD C.Durée'!$BN$19=0,0,'Fiche info CDD C.Durée'!$BN$19)</f>
        <v>0</v>
      </c>
      <c r="BX71" s="16" t="str">
        <f t="shared" si="31"/>
        <v>Contrat finiB7</v>
      </c>
      <c r="EE71" s="16">
        <f t="shared" si="25"/>
        <v>0</v>
      </c>
      <c r="EF71" s="16">
        <f t="shared" si="26"/>
        <v>0</v>
      </c>
      <c r="EG71" s="16">
        <f t="shared" si="27"/>
        <v>0</v>
      </c>
      <c r="EH71" s="16">
        <f t="shared" si="28"/>
        <v>0</v>
      </c>
      <c r="EI71" s="16">
        <f t="shared" si="29"/>
        <v>0</v>
      </c>
      <c r="FB71" s="16" t="str">
        <f t="shared" si="33"/>
        <v/>
      </c>
      <c r="FC71" s="16" t="str">
        <f t="shared" si="34"/>
        <v/>
      </c>
      <c r="FD71" s="30">
        <f t="shared" si="24"/>
        <v>45839</v>
      </c>
      <c r="FE71" s="30" t="str">
        <f>+IFERROR(VLOOKUP(FD71,BDD,75,FALSE),"")</f>
        <v/>
      </c>
      <c r="FF71" s="30" t="str">
        <f>+IFERROR(VLOOKUP(FD71,BDD,76,FALSE),"")</f>
        <v/>
      </c>
      <c r="FG71" s="30" t="str">
        <f>IFERROR(+VLOOKUP(FD71,BDD,77,FALSE),"")</f>
        <v/>
      </c>
      <c r="FH71" s="30" t="str">
        <f>+IFERROR(VLOOKUP(FD71,BDD,78,FALSE),"")</f>
        <v/>
      </c>
      <c r="FW71" s="16" t="str">
        <f>Mars!GB26</f>
        <v>102026</v>
      </c>
      <c r="FX71" s="16">
        <f>Mars!GC26</f>
        <v>0</v>
      </c>
      <c r="HI71" s="85">
        <f>+Mars!AB27</f>
        <v>46089</v>
      </c>
      <c r="HJ71" s="27" t="str">
        <f>+Mars!AD27</f>
        <v/>
      </c>
      <c r="HK71" s="16">
        <f t="shared" si="35"/>
        <v>0</v>
      </c>
      <c r="HL71" s="16" t="str">
        <f>IF(AND(HI71&gt;=DATE(Identification!$B$60,5,1),HI71&lt;=DATE(Identification!$B$60,10,31),SUM(HK71:HK85)=12),"OUI","")</f>
        <v/>
      </c>
    </row>
    <row r="72" spans="1:220" x14ac:dyDescent="0.2">
      <c r="A72" s="16" t="s">
        <v>373</v>
      </c>
      <c r="C72" s="27"/>
      <c r="D72" s="27"/>
      <c r="F72" s="34"/>
      <c r="G72" s="16">
        <f t="shared" si="30"/>
        <v>0</v>
      </c>
      <c r="L72" s="16" t="str">
        <f t="shared" si="32"/>
        <v>Fiche info CDD C.DuréeGSem</v>
      </c>
      <c r="M72" s="16">
        <f>IF('Fiche info CDD C.Durée'!$BY$19=0,0,'Fiche info CDD C.Durée'!$BY$19)</f>
        <v>0</v>
      </c>
      <c r="BX72" s="16" t="str">
        <f t="shared" si="31"/>
        <v>Contrat finiC1</v>
      </c>
      <c r="EE72" s="16">
        <f t="shared" si="25"/>
        <v>0</v>
      </c>
      <c r="EF72" s="16">
        <f t="shared" si="26"/>
        <v>0</v>
      </c>
      <c r="EG72" s="16">
        <f t="shared" si="27"/>
        <v>0</v>
      </c>
      <c r="EH72" s="16">
        <f t="shared" si="28"/>
        <v>0</v>
      </c>
      <c r="EI72" s="16">
        <f t="shared" si="29"/>
        <v>0</v>
      </c>
      <c r="FB72" s="16" t="str">
        <f t="shared" si="33"/>
        <v/>
      </c>
      <c r="FC72" s="16" t="str">
        <f t="shared" si="34"/>
        <v/>
      </c>
      <c r="FD72" s="30">
        <f t="shared" si="24"/>
        <v>45839</v>
      </c>
      <c r="FE72" s="30" t="str">
        <f>+IFERROR(VLOOKUP(FD72,BDD,79,FALSE),"")</f>
        <v/>
      </c>
      <c r="FF72" s="30" t="str">
        <f>IFERROR(+VLOOKUP(FD72,BDD,80,FALSE),"")</f>
        <v/>
      </c>
      <c r="FG72" s="30" t="str">
        <f>+IFERROR(VLOOKUP(FD72,BDD,81,FALSE),"")</f>
        <v/>
      </c>
      <c r="FH72" s="30" t="str">
        <f>+IFERROR(VLOOKUP(FD72,BDD,82,FALSE),"")</f>
        <v/>
      </c>
      <c r="FW72" s="16" t="str">
        <f>Mars!GB27</f>
        <v>102026</v>
      </c>
      <c r="FX72" s="16">
        <f>Mars!GC27</f>
        <v>0</v>
      </c>
      <c r="HI72" s="85">
        <f>+Mars!AB28</f>
        <v>46090</v>
      </c>
      <c r="HJ72" s="27" t="str">
        <f>+Mars!AD28</f>
        <v/>
      </c>
      <c r="HK72" s="16">
        <f t="shared" si="35"/>
        <v>0</v>
      </c>
      <c r="HL72" s="16" t="str">
        <f>IF(AND(HI72&gt;=DATE(Identification!$B$60,5,1),HI72&lt;=DATE(Identification!$B$60,10,31),SUM(HK72:HK86)=12),"OUI","")</f>
        <v/>
      </c>
    </row>
    <row r="73" spans="1:220" x14ac:dyDescent="0.2">
      <c r="A73" s="16" t="s">
        <v>374</v>
      </c>
      <c r="C73" s="27"/>
      <c r="D73" s="27"/>
      <c r="F73" s="34"/>
      <c r="G73" s="16">
        <f t="shared" si="30"/>
        <v>0</v>
      </c>
      <c r="L73" s="16" t="str">
        <f t="shared" si="32"/>
        <v>Fiche info CDD C.DuréeHSem</v>
      </c>
      <c r="M73" s="16">
        <f>IF('Fiche info CDD C.Durée'!$CJ$19=0,0,'Fiche info CDD C.Durée'!$CJ$19)</f>
        <v>0</v>
      </c>
      <c r="BX73" s="16" t="str">
        <f t="shared" si="31"/>
        <v>Contrat finiC2</v>
      </c>
      <c r="EE73" s="16">
        <f t="shared" si="25"/>
        <v>0</v>
      </c>
      <c r="EF73" s="16">
        <f t="shared" si="26"/>
        <v>0</v>
      </c>
      <c r="EG73" s="16">
        <f t="shared" si="27"/>
        <v>0</v>
      </c>
      <c r="EH73" s="16">
        <f t="shared" si="28"/>
        <v>0</v>
      </c>
      <c r="EI73" s="16">
        <f t="shared" si="29"/>
        <v>0</v>
      </c>
      <c r="FB73" s="16" t="str">
        <f t="shared" si="33"/>
        <v/>
      </c>
      <c r="FC73" s="16" t="str">
        <f t="shared" si="34"/>
        <v/>
      </c>
      <c r="FD73" s="30">
        <f t="shared" si="24"/>
        <v>45839</v>
      </c>
      <c r="FE73" s="30" t="str">
        <f>+IFERROR(VLOOKUP(FD73,BDD,83,FALSE),"")</f>
        <v/>
      </c>
      <c r="FF73" s="30" t="str">
        <f>+IFERROR(VLOOKUP(FD73,BDD,84,FALSE),"")</f>
        <v/>
      </c>
      <c r="FG73" s="30" t="str">
        <f>+IFERROR(VLOOKUP(FD73,BDD,85,FALSE),"")</f>
        <v/>
      </c>
      <c r="FH73" s="30" t="str">
        <f>+IFERROR(VLOOKUP(FD73,BDD,86,FALSE),"")</f>
        <v/>
      </c>
      <c r="FW73" s="16" t="str">
        <f>Mars!GB28</f>
        <v>112026</v>
      </c>
      <c r="FX73" s="16">
        <f>Mars!GC28</f>
        <v>0</v>
      </c>
      <c r="HI73" s="85">
        <f>+Mars!AB29</f>
        <v>46091</v>
      </c>
      <c r="HJ73" s="27" t="str">
        <f>+Mars!AD29</f>
        <v/>
      </c>
      <c r="HK73" s="16">
        <f t="shared" si="35"/>
        <v>0</v>
      </c>
      <c r="HL73" s="16" t="str">
        <f>IF(AND(HI73&gt;=DATE(Identification!$B$60,5,1),HI73&lt;=DATE(Identification!$B$60,10,31),SUM(HK73:HK87)=12),"OUI","")</f>
        <v/>
      </c>
    </row>
    <row r="74" spans="1:220" x14ac:dyDescent="0.2">
      <c r="A74" s="16" t="s">
        <v>375</v>
      </c>
      <c r="C74" s="27"/>
      <c r="D74" s="27"/>
      <c r="F74" s="34"/>
      <c r="G74" s="16">
        <f t="shared" si="30"/>
        <v>0</v>
      </c>
      <c r="L74" s="16" t="str">
        <f>+$P$11&amp;N2</f>
        <v>Fiche info CDD_ Avenant 1ASem</v>
      </c>
      <c r="M74" s="16">
        <f>IF('Fiche info CDD_ Avenant 1'!$K$19=0,0,'Fiche info CDD_ Avenant 1'!$K$19)</f>
        <v>0</v>
      </c>
      <c r="BX74" s="16" t="str">
        <f t="shared" si="31"/>
        <v>Contrat finiC3</v>
      </c>
      <c r="EE74" s="16">
        <f t="shared" si="25"/>
        <v>0</v>
      </c>
      <c r="EF74" s="16">
        <f t="shared" si="26"/>
        <v>0</v>
      </c>
      <c r="EG74" s="16">
        <f t="shared" si="27"/>
        <v>0</v>
      </c>
      <c r="EH74" s="16">
        <f t="shared" si="28"/>
        <v>0</v>
      </c>
      <c r="EI74" s="16">
        <f t="shared" si="29"/>
        <v>0</v>
      </c>
      <c r="FB74" s="16" t="str">
        <f t="shared" si="33"/>
        <v/>
      </c>
      <c r="FC74" s="16" t="str">
        <f t="shared" si="34"/>
        <v/>
      </c>
      <c r="FD74" s="30">
        <f t="shared" si="24"/>
        <v>45809</v>
      </c>
      <c r="FE74" s="30" t="str">
        <f>+IFERROR(VLOOKUP(FD74,BDD,71,FALSE),"")</f>
        <v/>
      </c>
      <c r="FF74" s="30" t="str">
        <f>IFERROR(+VLOOKUP(FD74,BDD,72,FALSE),"")</f>
        <v/>
      </c>
      <c r="FG74" s="30" t="str">
        <f>+IFERROR(VLOOKUP(FD74,BDD,73,FALSE),"")</f>
        <v/>
      </c>
      <c r="FH74" s="30" t="str">
        <f>+IFERROR(VLOOKUP(FD74,BDD,74,FALSE),"")</f>
        <v/>
      </c>
      <c r="FW74" s="16" t="str">
        <f>Mars!GB29</f>
        <v>112026</v>
      </c>
      <c r="FX74" s="16">
        <f>Mars!GC29</f>
        <v>0</v>
      </c>
      <c r="HI74" s="85">
        <f>+Mars!AB30</f>
        <v>46092</v>
      </c>
      <c r="HJ74" s="27" t="str">
        <f>+Mars!AD30</f>
        <v/>
      </c>
      <c r="HK74" s="16">
        <f t="shared" si="35"/>
        <v>0</v>
      </c>
      <c r="HL74" s="16" t="str">
        <f>IF(AND(HI74&gt;=DATE(Identification!$B$60,5,1),HI74&lt;=DATE(Identification!$B$60,10,31),SUM(HK74:HK88)=12),"OUI","")</f>
        <v/>
      </c>
    </row>
    <row r="75" spans="1:220" x14ac:dyDescent="0.2">
      <c r="A75" s="16" t="s">
        <v>376</v>
      </c>
      <c r="C75" s="27"/>
      <c r="D75" s="27"/>
      <c r="F75" s="34"/>
      <c r="G75" s="16">
        <f t="shared" si="30"/>
        <v>0</v>
      </c>
      <c r="L75" s="16" t="str">
        <f t="shared" ref="L75:L81" si="36">+$P$11&amp;N3</f>
        <v>Fiche info CDD_ Avenant 1BSem</v>
      </c>
      <c r="M75" s="16">
        <f>IF('Fiche info CDD_ Avenant 1'!$V$19=0,0,'Fiche info CDD_ Avenant 1'!$V$19)</f>
        <v>0</v>
      </c>
      <c r="BX75" s="16" t="str">
        <f t="shared" si="31"/>
        <v>Contrat finiC4</v>
      </c>
      <c r="EE75" s="16">
        <f t="shared" si="25"/>
        <v>0</v>
      </c>
      <c r="EF75" s="16">
        <f t="shared" si="26"/>
        <v>0</v>
      </c>
      <c r="EG75" s="16">
        <f t="shared" si="27"/>
        <v>0</v>
      </c>
      <c r="EH75" s="16">
        <f t="shared" si="28"/>
        <v>0</v>
      </c>
      <c r="EI75" s="16">
        <f t="shared" si="29"/>
        <v>0</v>
      </c>
      <c r="FB75" s="16" t="str">
        <f t="shared" si="33"/>
        <v/>
      </c>
      <c r="FC75" s="16" t="str">
        <f t="shared" si="34"/>
        <v/>
      </c>
      <c r="FD75" s="30">
        <f t="shared" si="24"/>
        <v>45809</v>
      </c>
      <c r="FE75" s="30" t="str">
        <f>+IFERROR(VLOOKUP(FD75,BDD,75,FALSE),"")</f>
        <v/>
      </c>
      <c r="FF75" s="30" t="str">
        <f>+IFERROR(VLOOKUP(FD75,BDD,76,FALSE),"")</f>
        <v/>
      </c>
      <c r="FG75" s="30" t="str">
        <f>IFERROR(+VLOOKUP(FD75,BDD,77,FALSE),"")</f>
        <v/>
      </c>
      <c r="FH75" s="30" t="str">
        <f>+IFERROR(VLOOKUP(FD75,BDD,78,FALSE),"")</f>
        <v/>
      </c>
      <c r="FW75" s="16" t="str">
        <f>Mars!GB30</f>
        <v>112026</v>
      </c>
      <c r="FX75" s="16">
        <f>Mars!GC30</f>
        <v>0</v>
      </c>
      <c r="HI75" s="85">
        <f>+Mars!AB31</f>
        <v>46093</v>
      </c>
      <c r="HJ75" s="27" t="str">
        <f>+Mars!AD31</f>
        <v/>
      </c>
      <c r="HK75" s="16">
        <f t="shared" si="35"/>
        <v>0</v>
      </c>
      <c r="HL75" s="16" t="str">
        <f>IF(AND(HI75&gt;=DATE(Identification!$B$60,5,1),HI75&lt;=DATE(Identification!$B$60,10,31),SUM(HK75:HK89)=12),"OUI","")</f>
        <v/>
      </c>
    </row>
    <row r="76" spans="1:220" x14ac:dyDescent="0.2">
      <c r="A76" s="16" t="s">
        <v>377</v>
      </c>
      <c r="C76" s="27"/>
      <c r="D76" s="27"/>
      <c r="F76" s="34"/>
      <c r="G76" s="16">
        <f t="shared" si="30"/>
        <v>0</v>
      </c>
      <c r="L76" s="16" t="str">
        <f t="shared" si="36"/>
        <v>Fiche info CDD_ Avenant 1CSem</v>
      </c>
      <c r="M76" s="16">
        <f>IF('Fiche info CDD_ Avenant 1'!$AG$19=0,0,'Fiche info CDD_ Avenant 1'!$AG$19)</f>
        <v>0</v>
      </c>
      <c r="BX76" s="16" t="str">
        <f t="shared" si="31"/>
        <v>Contrat finiC5</v>
      </c>
      <c r="EE76" s="16">
        <f t="shared" si="25"/>
        <v>0</v>
      </c>
      <c r="EF76" s="16">
        <f t="shared" si="26"/>
        <v>0</v>
      </c>
      <c r="EG76" s="16">
        <f t="shared" si="27"/>
        <v>0</v>
      </c>
      <c r="EH76" s="16">
        <f t="shared" si="28"/>
        <v>0</v>
      </c>
      <c r="EI76" s="16">
        <f t="shared" si="29"/>
        <v>0</v>
      </c>
      <c r="FB76" s="16" t="str">
        <f t="shared" si="33"/>
        <v/>
      </c>
      <c r="FC76" s="16" t="str">
        <f t="shared" si="34"/>
        <v/>
      </c>
      <c r="FD76" s="30">
        <f t="shared" si="24"/>
        <v>45809</v>
      </c>
      <c r="FE76" s="30" t="str">
        <f>+IFERROR(VLOOKUP(FD76,BDD,79,FALSE),"")</f>
        <v/>
      </c>
      <c r="FF76" s="30" t="str">
        <f>IFERROR(+VLOOKUP(FD76,BDD,80,FALSE),"")</f>
        <v/>
      </c>
      <c r="FG76" s="30" t="str">
        <f>+IFERROR(VLOOKUP(FD76,BDD,81,FALSE),"")</f>
        <v/>
      </c>
      <c r="FH76" s="30" t="str">
        <f>+IFERROR(VLOOKUP(FD76,BDD,82,FALSE),"")</f>
        <v/>
      </c>
      <c r="FW76" s="16" t="str">
        <f>Mars!GB31</f>
        <v>112026</v>
      </c>
      <c r="FX76" s="16">
        <f>Mars!GC31</f>
        <v>0</v>
      </c>
      <c r="HI76" s="85">
        <f>+Mars!AB32</f>
        <v>46094</v>
      </c>
      <c r="HJ76" s="27" t="str">
        <f>+Mars!AD32</f>
        <v/>
      </c>
      <c r="HK76" s="16">
        <f t="shared" si="35"/>
        <v>0</v>
      </c>
      <c r="HL76" s="16" t="str">
        <f>IF(AND(HI76&gt;=DATE(Identification!$B$60,5,1),HI76&lt;=DATE(Identification!$B$60,10,31),SUM(HK76:HK90)=12),"OUI","")</f>
        <v/>
      </c>
    </row>
    <row r="77" spans="1:220" x14ac:dyDescent="0.2">
      <c r="A77" s="16" t="s">
        <v>378</v>
      </c>
      <c r="C77" s="27"/>
      <c r="D77" s="27"/>
      <c r="F77" s="34"/>
      <c r="G77" s="16">
        <f t="shared" si="30"/>
        <v>0</v>
      </c>
      <c r="L77" s="16" t="str">
        <f t="shared" si="36"/>
        <v>Fiche info CDD_ Avenant 1DSem</v>
      </c>
      <c r="M77" s="16">
        <f>IF('Fiche info CDD_ Avenant 1'!$AR$19=0,0,'Fiche info CDD_ Avenant 1'!$AR$19)</f>
        <v>0</v>
      </c>
      <c r="BX77" s="16" t="str">
        <f t="shared" si="31"/>
        <v>Contrat finiC6</v>
      </c>
      <c r="EE77" s="16">
        <f t="shared" si="25"/>
        <v>0</v>
      </c>
      <c r="EF77" s="16">
        <f t="shared" si="26"/>
        <v>0</v>
      </c>
      <c r="EG77" s="16">
        <f t="shared" si="27"/>
        <v>0</v>
      </c>
      <c r="EH77" s="16">
        <f t="shared" si="28"/>
        <v>0</v>
      </c>
      <c r="EI77" s="16">
        <f t="shared" si="29"/>
        <v>0</v>
      </c>
      <c r="FB77" s="16" t="str">
        <f t="shared" si="33"/>
        <v/>
      </c>
      <c r="FC77" s="16" t="str">
        <f t="shared" si="34"/>
        <v/>
      </c>
      <c r="FD77" s="30">
        <f t="shared" si="24"/>
        <v>45809</v>
      </c>
      <c r="FE77" s="30" t="str">
        <f>+IFERROR(VLOOKUP(FD77,BDD,83,FALSE),"")</f>
        <v/>
      </c>
      <c r="FF77" s="30" t="str">
        <f>+IFERROR(VLOOKUP(FD77,BDD,84,FALSE),"")</f>
        <v/>
      </c>
      <c r="FG77" s="30" t="str">
        <f>+IFERROR(VLOOKUP(FD77,BDD,85,FALSE),"")</f>
        <v/>
      </c>
      <c r="FH77" s="30" t="str">
        <f>+IFERROR(VLOOKUP(FD77,BDD,86,FALSE),"")</f>
        <v/>
      </c>
      <c r="FW77" s="16" t="str">
        <f>Mars!GB32</f>
        <v>112026</v>
      </c>
      <c r="FX77" s="16">
        <f>Mars!GC32</f>
        <v>0</v>
      </c>
      <c r="HI77" s="85">
        <f>+Mars!AB33</f>
        <v>46095</v>
      </c>
      <c r="HJ77" s="27" t="str">
        <f>+Mars!AD33</f>
        <v/>
      </c>
      <c r="HK77" s="16">
        <f t="shared" si="35"/>
        <v>0</v>
      </c>
      <c r="HL77" s="16" t="str">
        <f>IF(AND(HI77&gt;=DATE(Identification!$B$60,5,1),HI77&lt;=DATE(Identification!$B$60,10,31),SUM(HK77:HK91)=12),"OUI","")</f>
        <v/>
      </c>
    </row>
    <row r="78" spans="1:220" x14ac:dyDescent="0.2">
      <c r="A78" s="16" t="s">
        <v>379</v>
      </c>
      <c r="C78" s="27"/>
      <c r="D78" s="27"/>
      <c r="F78" s="34"/>
      <c r="G78" s="16">
        <f t="shared" si="30"/>
        <v>0</v>
      </c>
      <c r="L78" s="16" t="str">
        <f t="shared" si="36"/>
        <v>Fiche info CDD_ Avenant 1ESem</v>
      </c>
      <c r="M78" s="16">
        <f>IF('Fiche info CDD_ Avenant 1'!$BC$19=0,0,'Fiche info CDD_ Avenant 1'!$BC$19)</f>
        <v>0</v>
      </c>
      <c r="BX78" s="16" t="str">
        <f t="shared" si="31"/>
        <v>Contrat finiC7</v>
      </c>
      <c r="EE78" s="16">
        <f t="shared" si="25"/>
        <v>0</v>
      </c>
      <c r="EF78" s="16">
        <f t="shared" si="26"/>
        <v>0</v>
      </c>
      <c r="EG78" s="16">
        <f t="shared" si="27"/>
        <v>0</v>
      </c>
      <c r="EH78" s="16">
        <f t="shared" si="28"/>
        <v>0</v>
      </c>
      <c r="EI78" s="16">
        <f t="shared" si="29"/>
        <v>0</v>
      </c>
      <c r="FB78" s="16" t="str">
        <f t="shared" si="33"/>
        <v/>
      </c>
      <c r="FC78" s="16" t="str">
        <f t="shared" si="34"/>
        <v/>
      </c>
      <c r="FD78" s="30">
        <f t="shared" si="24"/>
        <v>45778</v>
      </c>
      <c r="FE78" s="30" t="str">
        <f>+IFERROR(VLOOKUP(FD78,BDD,71,FALSE),"")</f>
        <v/>
      </c>
      <c r="FF78" s="30" t="str">
        <f>IFERROR(+VLOOKUP(FD78,BDD,72,FALSE),"")</f>
        <v/>
      </c>
      <c r="FG78" s="30" t="str">
        <f>+IFERROR(VLOOKUP(FD78,BDD,73,FALSE),"")</f>
        <v/>
      </c>
      <c r="FH78" s="30" t="str">
        <f>+IFERROR(VLOOKUP(FD78,BDD,74,FALSE),"")</f>
        <v/>
      </c>
      <c r="FW78" s="16" t="str">
        <f>Mars!GB33</f>
        <v>112026</v>
      </c>
      <c r="FX78" s="16">
        <f>Mars!GC33</f>
        <v>0</v>
      </c>
      <c r="HI78" s="85">
        <f>+Mars!AB34</f>
        <v>46096</v>
      </c>
      <c r="HJ78" s="27" t="str">
        <f>+Mars!AD34</f>
        <v/>
      </c>
      <c r="HK78" s="16">
        <f t="shared" si="35"/>
        <v>0</v>
      </c>
      <c r="HL78" s="16" t="str">
        <f>IF(AND(HI78&gt;=DATE(Identification!$B$60,5,1),HI78&lt;=DATE(Identification!$B$60,10,31),SUM(HK78:HK92)=12),"OUI","")</f>
        <v/>
      </c>
    </row>
    <row r="79" spans="1:220" x14ac:dyDescent="0.2">
      <c r="A79" s="16" t="s">
        <v>380</v>
      </c>
      <c r="C79" s="27"/>
      <c r="D79" s="27"/>
      <c r="F79" s="34"/>
      <c r="G79" s="16">
        <f t="shared" si="30"/>
        <v>0</v>
      </c>
      <c r="L79" s="16" t="str">
        <f t="shared" si="36"/>
        <v>Fiche info CDD_ Avenant 1FSem</v>
      </c>
      <c r="M79" s="16">
        <f>IF('Fiche info CDD_ Avenant 1'!$BN$19=0,0,'Fiche info CDD_ Avenant 1'!$BN$19)</f>
        <v>0</v>
      </c>
      <c r="BX79" s="16" t="str">
        <f t="shared" si="31"/>
        <v>Contrat finiD1</v>
      </c>
      <c r="EE79" s="16">
        <f t="shared" si="25"/>
        <v>0</v>
      </c>
      <c r="EF79" s="16">
        <f t="shared" si="26"/>
        <v>0</v>
      </c>
      <c r="EG79" s="16">
        <f t="shared" si="27"/>
        <v>0</v>
      </c>
      <c r="EH79" s="16">
        <f t="shared" si="28"/>
        <v>0</v>
      </c>
      <c r="EI79" s="16">
        <f t="shared" si="29"/>
        <v>0</v>
      </c>
      <c r="FB79" s="16" t="str">
        <f t="shared" si="33"/>
        <v/>
      </c>
      <c r="FC79" s="16" t="str">
        <f t="shared" si="34"/>
        <v/>
      </c>
      <c r="FD79" s="30">
        <f t="shared" si="24"/>
        <v>45778</v>
      </c>
      <c r="FE79" s="30" t="str">
        <f>+IFERROR(VLOOKUP(FD79,BDD,75,FALSE),"")</f>
        <v/>
      </c>
      <c r="FF79" s="30" t="str">
        <f>+IFERROR(VLOOKUP(FD79,BDD,76,FALSE),"")</f>
        <v/>
      </c>
      <c r="FG79" s="30" t="str">
        <f>IFERROR(+VLOOKUP(FD79,BDD,77,FALSE),"")</f>
        <v/>
      </c>
      <c r="FH79" s="30" t="str">
        <f>+IFERROR(VLOOKUP(FD79,BDD,78,FALSE),"")</f>
        <v/>
      </c>
      <c r="FW79" s="16" t="str">
        <f>Mars!GB34</f>
        <v>112026</v>
      </c>
      <c r="FX79" s="16">
        <f>Mars!GC34</f>
        <v>0</v>
      </c>
      <c r="HI79" s="85">
        <f>+Mars!AB35</f>
        <v>46097</v>
      </c>
      <c r="HJ79" s="27" t="str">
        <f>+Mars!AD35</f>
        <v/>
      </c>
      <c r="HK79" s="16">
        <f t="shared" si="35"/>
        <v>0</v>
      </c>
      <c r="HL79" s="16" t="str">
        <f>IF(AND(HI79&gt;=DATE(Identification!$B$60,5,1),HI79&lt;=DATE(Identification!$B$60,10,31),SUM(HK79:HK93)=12),"OUI","")</f>
        <v/>
      </c>
    </row>
    <row r="80" spans="1:220" x14ac:dyDescent="0.2">
      <c r="A80" s="16" t="s">
        <v>381</v>
      </c>
      <c r="C80" s="27"/>
      <c r="D80" s="27"/>
      <c r="F80" s="34"/>
      <c r="G80" s="16">
        <f t="shared" si="30"/>
        <v>0</v>
      </c>
      <c r="L80" s="16" t="str">
        <f t="shared" si="36"/>
        <v>Fiche info CDD_ Avenant 1GSem</v>
      </c>
      <c r="M80" s="16">
        <f>IF('Fiche info CDD_ Avenant 1'!$BY$19=0,0,'Fiche info CDD_ Avenant 1'!$BY$19)</f>
        <v>0</v>
      </c>
      <c r="BX80" s="16" t="str">
        <f t="shared" si="31"/>
        <v>Contrat finiD2</v>
      </c>
      <c r="EE80" s="16">
        <f t="shared" si="25"/>
        <v>0</v>
      </c>
      <c r="EF80" s="16">
        <f t="shared" si="26"/>
        <v>0</v>
      </c>
      <c r="EG80" s="16">
        <f t="shared" si="27"/>
        <v>0</v>
      </c>
      <c r="EH80" s="16">
        <f t="shared" si="28"/>
        <v>0</v>
      </c>
      <c r="EI80" s="16">
        <f t="shared" si="29"/>
        <v>0</v>
      </c>
      <c r="FB80" s="16" t="str">
        <f t="shared" si="33"/>
        <v/>
      </c>
      <c r="FC80" s="16" t="str">
        <f t="shared" si="34"/>
        <v/>
      </c>
      <c r="FD80" s="30">
        <f t="shared" si="24"/>
        <v>45778</v>
      </c>
      <c r="FE80" s="30" t="str">
        <f>+IFERROR(VLOOKUP(FD80,BDD,79,FALSE),"")</f>
        <v/>
      </c>
      <c r="FF80" s="30" t="str">
        <f>IFERROR(+VLOOKUP(FD80,BDD,80,FALSE),"")</f>
        <v/>
      </c>
      <c r="FG80" s="30" t="str">
        <f>+IFERROR(VLOOKUP(FD80,BDD,81,FALSE),"")</f>
        <v/>
      </c>
      <c r="FH80" s="30" t="str">
        <f>+IFERROR(VLOOKUP(FD80,BDD,82,FALSE),"")</f>
        <v/>
      </c>
      <c r="FW80" s="16" t="str">
        <f>Mars!GB35</f>
        <v>122026</v>
      </c>
      <c r="FX80" s="16">
        <f>Mars!GC35</f>
        <v>0</v>
      </c>
      <c r="HI80" s="85">
        <f>+Mars!AB36</f>
        <v>46098</v>
      </c>
      <c r="HJ80" s="27" t="str">
        <f>+Mars!AD36</f>
        <v/>
      </c>
      <c r="HK80" s="16">
        <f t="shared" si="35"/>
        <v>0</v>
      </c>
      <c r="HL80" s="16" t="str">
        <f>IF(AND(HI80&gt;=DATE(Identification!$B$60,5,1),HI80&lt;=DATE(Identification!$B$60,10,31),SUM(HK80:HK94)=12),"OUI","")</f>
        <v/>
      </c>
    </row>
    <row r="81" spans="1:220" x14ac:dyDescent="0.2">
      <c r="A81" s="16" t="s">
        <v>382</v>
      </c>
      <c r="C81" s="27"/>
      <c r="D81" s="27"/>
      <c r="F81" s="34"/>
      <c r="G81" s="16">
        <f t="shared" si="30"/>
        <v>0</v>
      </c>
      <c r="L81" s="16" t="str">
        <f t="shared" si="36"/>
        <v>Fiche info CDD_ Avenant 1HSem</v>
      </c>
      <c r="M81" s="16">
        <f>IF('Fiche info CDD_ Avenant 1'!$CJ$19=0,0,'Fiche info CDD_ Avenant 1'!$CJ$19)</f>
        <v>0</v>
      </c>
      <c r="BX81" s="16" t="str">
        <f t="shared" si="31"/>
        <v>Contrat finiD3</v>
      </c>
      <c r="EE81" s="16">
        <f t="shared" si="25"/>
        <v>0</v>
      </c>
      <c r="EF81" s="16">
        <f t="shared" si="26"/>
        <v>0</v>
      </c>
      <c r="EG81" s="16">
        <f t="shared" si="27"/>
        <v>0</v>
      </c>
      <c r="EH81" s="16">
        <f t="shared" si="28"/>
        <v>0</v>
      </c>
      <c r="EI81" s="16">
        <f t="shared" si="29"/>
        <v>0</v>
      </c>
      <c r="FB81" s="16" t="str">
        <f t="shared" si="33"/>
        <v/>
      </c>
      <c r="FC81" s="16" t="str">
        <f t="shared" si="34"/>
        <v/>
      </c>
      <c r="FD81" s="30">
        <f t="shared" si="24"/>
        <v>45778</v>
      </c>
      <c r="FE81" s="30" t="str">
        <f>+IFERROR(VLOOKUP(FD81,BDD,83,FALSE),"")</f>
        <v/>
      </c>
      <c r="FF81" s="30" t="str">
        <f>+IFERROR(VLOOKUP(FD81,BDD,84,FALSE),"")</f>
        <v/>
      </c>
      <c r="FG81" s="30" t="str">
        <f>+IFERROR(VLOOKUP(FD81,BDD,85,FALSE),"")</f>
        <v/>
      </c>
      <c r="FH81" s="30" t="str">
        <f>+IFERROR(VLOOKUP(FD81,BDD,86,FALSE),"")</f>
        <v/>
      </c>
      <c r="FW81" s="16" t="str">
        <f>Mars!GB36</f>
        <v>122026</v>
      </c>
      <c r="FX81" s="16">
        <f>Mars!GC36</f>
        <v>0</v>
      </c>
      <c r="HI81" s="85">
        <f>+Mars!AB37</f>
        <v>46099</v>
      </c>
      <c r="HJ81" s="27" t="str">
        <f>+Mars!AD37</f>
        <v/>
      </c>
      <c r="HK81" s="16">
        <f t="shared" si="35"/>
        <v>0</v>
      </c>
      <c r="HL81" s="16" t="str">
        <f>IF(AND(HI81&gt;=DATE(Identification!$B$60,5,1),HI81&lt;=DATE(Identification!$B$60,10,31),SUM(HK81:HK95)=12),"OUI","")</f>
        <v/>
      </c>
    </row>
    <row r="82" spans="1:220" x14ac:dyDescent="0.2">
      <c r="A82" s="16" t="s">
        <v>383</v>
      </c>
      <c r="C82" s="27"/>
      <c r="D82" s="27"/>
      <c r="F82" s="34"/>
      <c r="G82" s="16">
        <f t="shared" si="30"/>
        <v>0</v>
      </c>
      <c r="L82" s="16" t="str">
        <f>+$P$12&amp;N2</f>
        <v>Fiche info CDD_ Avenant 2ASem</v>
      </c>
      <c r="M82" s="16">
        <f>IF('Fiche info CDD_ Avenant 2'!$K$19=0,0,'Fiche info CDD_ Avenant 2'!$K$19)</f>
        <v>0</v>
      </c>
      <c r="BX82" s="16" t="str">
        <f t="shared" si="31"/>
        <v>Contrat finiD4</v>
      </c>
      <c r="EE82" s="16">
        <f t="shared" si="25"/>
        <v>0</v>
      </c>
      <c r="EF82" s="16">
        <f t="shared" si="26"/>
        <v>0</v>
      </c>
      <c r="EG82" s="16">
        <f t="shared" si="27"/>
        <v>0</v>
      </c>
      <c r="EH82" s="16">
        <f t="shared" si="28"/>
        <v>0</v>
      </c>
      <c r="EI82" s="16">
        <f t="shared" si="29"/>
        <v>0</v>
      </c>
      <c r="FB82" s="16" t="str">
        <f t="shared" si="33"/>
        <v/>
      </c>
      <c r="FC82" s="16" t="str">
        <f t="shared" si="34"/>
        <v/>
      </c>
      <c r="FD82" s="30">
        <f t="shared" si="24"/>
        <v>45748</v>
      </c>
      <c r="FE82" s="30" t="str">
        <f>+IFERROR(VLOOKUP(FD82,BDD,71,FALSE),"")</f>
        <v/>
      </c>
      <c r="FF82" s="30" t="str">
        <f>IFERROR(+VLOOKUP(FD82,BDD,72,FALSE),"")</f>
        <v/>
      </c>
      <c r="FG82" s="30" t="str">
        <f>+IFERROR(VLOOKUP(FD82,BDD,73,FALSE),"")</f>
        <v/>
      </c>
      <c r="FH82" s="30" t="str">
        <f>+IFERROR(VLOOKUP(FD82,BDD,74,FALSE),"")</f>
        <v/>
      </c>
      <c r="FW82" s="16" t="str">
        <f>Mars!GB37</f>
        <v>122026</v>
      </c>
      <c r="FX82" s="16">
        <f>Mars!GC37</f>
        <v>0</v>
      </c>
      <c r="HI82" s="85">
        <f>+Mars!AB38</f>
        <v>46100</v>
      </c>
      <c r="HJ82" s="27" t="str">
        <f>+Mars!AD38</f>
        <v/>
      </c>
      <c r="HK82" s="16">
        <f t="shared" si="35"/>
        <v>0</v>
      </c>
      <c r="HL82" s="16" t="str">
        <f>IF(AND(HI82&gt;=DATE(Identification!$B$60,5,1),HI82&lt;=DATE(Identification!$B$60,10,31),SUM(HK82:HK96)=12),"OUI","")</f>
        <v/>
      </c>
    </row>
    <row r="83" spans="1:220" x14ac:dyDescent="0.2">
      <c r="A83" s="16" t="s">
        <v>384</v>
      </c>
      <c r="C83" s="27"/>
      <c r="D83" s="27"/>
      <c r="F83" s="34"/>
      <c r="G83" s="16">
        <f t="shared" si="30"/>
        <v>0</v>
      </c>
      <c r="L83" s="16" t="str">
        <f t="shared" ref="L83:L88" si="37">+$P$12&amp;N3</f>
        <v>Fiche info CDD_ Avenant 2BSem</v>
      </c>
      <c r="M83" s="16">
        <f>IF('Fiche info CDD_ Avenant 2'!$V$19=0,0,'Fiche info CDD_ Avenant 2'!$V$19)</f>
        <v>0</v>
      </c>
      <c r="BX83" s="16" t="str">
        <f t="shared" si="31"/>
        <v>Contrat finiD5</v>
      </c>
      <c r="EE83" s="16">
        <f t="shared" si="25"/>
        <v>0</v>
      </c>
      <c r="EF83" s="16">
        <f t="shared" si="26"/>
        <v>0</v>
      </c>
      <c r="EG83" s="16">
        <f t="shared" si="27"/>
        <v>0</v>
      </c>
      <c r="EH83" s="16">
        <f t="shared" si="28"/>
        <v>0</v>
      </c>
      <c r="EI83" s="16">
        <f t="shared" si="29"/>
        <v>0</v>
      </c>
      <c r="FB83" s="16" t="str">
        <f t="shared" si="33"/>
        <v/>
      </c>
      <c r="FC83" s="16" t="str">
        <f t="shared" si="34"/>
        <v/>
      </c>
      <c r="FD83" s="30">
        <f t="shared" si="24"/>
        <v>45748</v>
      </c>
      <c r="FE83" s="30" t="str">
        <f>+IFERROR(VLOOKUP(FD83,BDD,75,FALSE),"")</f>
        <v/>
      </c>
      <c r="FF83" s="30" t="str">
        <f>+IFERROR(VLOOKUP(FD83,BDD,76,FALSE),"")</f>
        <v/>
      </c>
      <c r="FG83" s="30" t="str">
        <f>IFERROR(+VLOOKUP(FD83,BDD,77,FALSE),"")</f>
        <v/>
      </c>
      <c r="FH83" s="30" t="str">
        <f>+IFERROR(VLOOKUP(FD83,BDD,78,FALSE),"")</f>
        <v/>
      </c>
      <c r="FW83" s="16" t="str">
        <f>Mars!GB38</f>
        <v>122026</v>
      </c>
      <c r="FX83" s="16">
        <f>Mars!GC38</f>
        <v>0</v>
      </c>
      <c r="HI83" s="85">
        <f>+Mars!AB39</f>
        <v>46101</v>
      </c>
      <c r="HJ83" s="27" t="str">
        <f>+Mars!AD39</f>
        <v/>
      </c>
      <c r="HK83" s="16">
        <f t="shared" si="35"/>
        <v>0</v>
      </c>
      <c r="HL83" s="16" t="str">
        <f>IF(AND(HI83&gt;=DATE(Identification!$B$60,5,1),HI83&lt;=DATE(Identification!$B$60,10,31),SUM(HK83:HK97)=12),"OUI","")</f>
        <v/>
      </c>
    </row>
    <row r="84" spans="1:220" x14ac:dyDescent="0.2">
      <c r="A84" s="16" t="s">
        <v>385</v>
      </c>
      <c r="C84" s="27"/>
      <c r="D84" s="27"/>
      <c r="F84" s="34"/>
      <c r="G84" s="16">
        <f t="shared" si="30"/>
        <v>0</v>
      </c>
      <c r="L84" s="16" t="str">
        <f t="shared" si="37"/>
        <v>Fiche info CDD_ Avenant 2CSem</v>
      </c>
      <c r="M84" s="16">
        <f>IF('Fiche info CDD_ Avenant 2'!$AG$19=0,0,'Fiche info CDD_ Avenant 2'!$AG$19)</f>
        <v>0</v>
      </c>
      <c r="BX84" s="16" t="str">
        <f t="shared" si="31"/>
        <v>Contrat finiD6</v>
      </c>
      <c r="EE84" s="16">
        <f t="shared" si="25"/>
        <v>0</v>
      </c>
      <c r="EF84" s="16">
        <f t="shared" si="26"/>
        <v>0</v>
      </c>
      <c r="EG84" s="16">
        <f t="shared" si="27"/>
        <v>0</v>
      </c>
      <c r="EH84" s="16">
        <f t="shared" si="28"/>
        <v>0</v>
      </c>
      <c r="EI84" s="16">
        <f t="shared" si="29"/>
        <v>0</v>
      </c>
      <c r="FB84" s="16" t="str">
        <f t="shared" si="33"/>
        <v/>
      </c>
      <c r="FC84" s="16" t="str">
        <f t="shared" si="34"/>
        <v/>
      </c>
      <c r="FD84" s="30">
        <f t="shared" si="24"/>
        <v>45748</v>
      </c>
      <c r="FE84" s="30" t="str">
        <f>+IFERROR(VLOOKUP(FD84,BDD,79,FALSE),"")</f>
        <v/>
      </c>
      <c r="FF84" s="30" t="str">
        <f>IFERROR(+VLOOKUP(FD84,BDD,80,FALSE),"")</f>
        <v/>
      </c>
      <c r="FG84" s="30" t="str">
        <f>+IFERROR(VLOOKUP(FD84,BDD,81,FALSE),"")</f>
        <v/>
      </c>
      <c r="FH84" s="30" t="str">
        <f>+IFERROR(VLOOKUP(FD84,BDD,82,FALSE),"")</f>
        <v/>
      </c>
      <c r="FW84" s="16" t="str">
        <f>Mars!GB39</f>
        <v>122026</v>
      </c>
      <c r="FX84" s="16">
        <f>Mars!GC39</f>
        <v>0</v>
      </c>
      <c r="HI84" s="85">
        <f>+Mars!AB40</f>
        <v>46102</v>
      </c>
      <c r="HJ84" s="27" t="str">
        <f>+Mars!AD40</f>
        <v/>
      </c>
      <c r="HK84" s="16">
        <f t="shared" si="35"/>
        <v>0</v>
      </c>
      <c r="HL84" s="16" t="str">
        <f>IF(AND(HI84&gt;=DATE(Identification!$B$60,5,1),HI84&lt;=DATE(Identification!$B$60,10,31),SUM(HK84:HK98)=12),"OUI","")</f>
        <v/>
      </c>
    </row>
    <row r="85" spans="1:220" x14ac:dyDescent="0.2">
      <c r="A85" s="16" t="s">
        <v>386</v>
      </c>
      <c r="C85" s="27"/>
      <c r="D85" s="27"/>
      <c r="F85" s="34"/>
      <c r="G85" s="16">
        <f t="shared" si="30"/>
        <v>0</v>
      </c>
      <c r="L85" s="16" t="str">
        <f t="shared" si="37"/>
        <v>Fiche info CDD_ Avenant 2DSem</v>
      </c>
      <c r="M85" s="16">
        <f>IF('Fiche info CDD_ Avenant 2'!$AR$19=0,0,'Fiche info CDD_ Avenant 2'!$AR$19)</f>
        <v>0</v>
      </c>
      <c r="BX85" s="16" t="str">
        <f t="shared" si="31"/>
        <v>Contrat finiD7</v>
      </c>
      <c r="EE85" s="16">
        <f t="shared" si="25"/>
        <v>0</v>
      </c>
      <c r="EF85" s="16">
        <f t="shared" si="26"/>
        <v>0</v>
      </c>
      <c r="EG85" s="16">
        <f t="shared" si="27"/>
        <v>0</v>
      </c>
      <c r="EH85" s="16">
        <f t="shared" si="28"/>
        <v>0</v>
      </c>
      <c r="EI85" s="16">
        <f t="shared" si="29"/>
        <v>0</v>
      </c>
      <c r="FB85" s="16" t="str">
        <f t="shared" si="33"/>
        <v/>
      </c>
      <c r="FC85" s="16" t="str">
        <f t="shared" si="34"/>
        <v/>
      </c>
      <c r="FD85" s="30">
        <f t="shared" si="24"/>
        <v>45748</v>
      </c>
      <c r="FE85" s="30" t="str">
        <f>+IFERROR(VLOOKUP(FD85,BDD,83,FALSE),"")</f>
        <v/>
      </c>
      <c r="FF85" s="30" t="str">
        <f>+IFERROR(VLOOKUP(FD85,BDD,84,FALSE),"")</f>
        <v/>
      </c>
      <c r="FG85" s="30" t="str">
        <f>+IFERROR(VLOOKUP(FD85,BDD,85,FALSE),"")</f>
        <v/>
      </c>
      <c r="FH85" s="30" t="str">
        <f>+IFERROR(VLOOKUP(FD85,BDD,86,FALSE),"")</f>
        <v/>
      </c>
      <c r="FW85" s="16" t="str">
        <f>Mars!GB40</f>
        <v>122026</v>
      </c>
      <c r="FX85" s="16">
        <f>Mars!GC40</f>
        <v>0</v>
      </c>
      <c r="HI85" s="85">
        <f>+Mars!AB41</f>
        <v>46103</v>
      </c>
      <c r="HJ85" s="27" t="str">
        <f>+Mars!AD41</f>
        <v/>
      </c>
      <c r="HK85" s="16">
        <f t="shared" si="35"/>
        <v>0</v>
      </c>
      <c r="HL85" s="16" t="str">
        <f>IF(AND(HI85&gt;=DATE(Identification!$B$60,5,1),HI85&lt;=DATE(Identification!$B$60,10,31),SUM(HK85:HK99)=12),"OUI","")</f>
        <v/>
      </c>
    </row>
    <row r="86" spans="1:220" x14ac:dyDescent="0.2">
      <c r="A86" s="16" t="s">
        <v>387</v>
      </c>
      <c r="C86" s="27"/>
      <c r="D86" s="27"/>
      <c r="F86" s="34"/>
      <c r="G86" s="16">
        <f t="shared" si="30"/>
        <v>0</v>
      </c>
      <c r="L86" s="16" t="str">
        <f t="shared" si="37"/>
        <v>Fiche info CDD_ Avenant 2ESem</v>
      </c>
      <c r="M86" s="16">
        <f>IF('Fiche info CDD_ Avenant 2'!$BC$19=0,0,'Fiche info CDD_ Avenant 2'!$BC$19)</f>
        <v>0</v>
      </c>
      <c r="BX86" s="16" t="str">
        <f t="shared" si="31"/>
        <v>Contrat finiE1</v>
      </c>
      <c r="EE86" s="16">
        <f t="shared" si="25"/>
        <v>0</v>
      </c>
      <c r="EF86" s="16">
        <f t="shared" si="26"/>
        <v>0</v>
      </c>
      <c r="EG86" s="16">
        <f t="shared" si="27"/>
        <v>0</v>
      </c>
      <c r="EH86" s="16">
        <f t="shared" si="28"/>
        <v>0</v>
      </c>
      <c r="EI86" s="16">
        <f t="shared" si="29"/>
        <v>0</v>
      </c>
      <c r="FB86" s="16" t="str">
        <f t="shared" si="33"/>
        <v/>
      </c>
      <c r="FC86" s="16" t="str">
        <f t="shared" si="34"/>
        <v/>
      </c>
      <c r="FD86" s="30">
        <f t="shared" si="24"/>
        <v>45717</v>
      </c>
      <c r="FE86" s="30" t="str">
        <f>+IFERROR(VLOOKUP(FD86,BDD,71,FALSE),"")</f>
        <v/>
      </c>
      <c r="FF86" s="30" t="str">
        <f>IFERROR(+VLOOKUP(FD86,BDD,72,FALSE),"")</f>
        <v/>
      </c>
      <c r="FG86" s="30" t="str">
        <f>+IFERROR(VLOOKUP(FD86,BDD,73,FALSE),"")</f>
        <v/>
      </c>
      <c r="FH86" s="30" t="str">
        <f>+IFERROR(VLOOKUP(FD86,BDD,74,FALSE),"")</f>
        <v/>
      </c>
      <c r="FW86" s="16" t="str">
        <f>Mars!GB41</f>
        <v>122026</v>
      </c>
      <c r="FX86" s="16">
        <f>Mars!GC41</f>
        <v>0</v>
      </c>
      <c r="HI86" s="85">
        <f>+Mars!AB42</f>
        <v>46104</v>
      </c>
      <c r="HJ86" s="27" t="str">
        <f>+Mars!AD42</f>
        <v/>
      </c>
      <c r="HK86" s="16">
        <f t="shared" si="35"/>
        <v>0</v>
      </c>
      <c r="HL86" s="16" t="str">
        <f>IF(AND(HI86&gt;=DATE(Identification!$B$60,5,1),HI86&lt;=DATE(Identification!$B$60,10,31),SUM(HK86:HK100)=12),"OUI","")</f>
        <v/>
      </c>
    </row>
    <row r="87" spans="1:220" x14ac:dyDescent="0.2">
      <c r="A87" s="16" t="s">
        <v>388</v>
      </c>
      <c r="C87" s="27"/>
      <c r="D87" s="27"/>
      <c r="F87" s="34"/>
      <c r="G87" s="16">
        <f t="shared" si="30"/>
        <v>0</v>
      </c>
      <c r="L87" s="16" t="str">
        <f t="shared" si="37"/>
        <v>Fiche info CDD_ Avenant 2FSem</v>
      </c>
      <c r="M87" s="16">
        <f>IF('Fiche info CDD_ Avenant 2'!$BN$19=0,0,'Fiche info CDD_ Avenant 2'!$BN$19)</f>
        <v>0</v>
      </c>
      <c r="BX87" s="16" t="str">
        <f t="shared" si="31"/>
        <v>Contrat finiE2</v>
      </c>
      <c r="EE87" s="16">
        <f t="shared" si="25"/>
        <v>0</v>
      </c>
      <c r="EF87" s="16">
        <f t="shared" si="26"/>
        <v>0</v>
      </c>
      <c r="EG87" s="16">
        <f t="shared" si="27"/>
        <v>0</v>
      </c>
      <c r="EH87" s="16">
        <f t="shared" si="28"/>
        <v>0</v>
      </c>
      <c r="EI87" s="16">
        <f t="shared" si="29"/>
        <v>0</v>
      </c>
      <c r="FB87" s="16" t="str">
        <f t="shared" si="33"/>
        <v/>
      </c>
      <c r="FC87" s="16" t="str">
        <f t="shared" si="34"/>
        <v/>
      </c>
      <c r="FD87" s="30">
        <f t="shared" si="24"/>
        <v>45717</v>
      </c>
      <c r="FE87" s="30" t="str">
        <f>+IFERROR(VLOOKUP(FD87,BDD,75,FALSE),"")</f>
        <v/>
      </c>
      <c r="FF87" s="30" t="str">
        <f>+IFERROR(VLOOKUP(FD87,BDD,76,FALSE),"")</f>
        <v/>
      </c>
      <c r="FG87" s="30" t="str">
        <f>IFERROR(+VLOOKUP(FD87,BDD,77,FALSE),"")</f>
        <v/>
      </c>
      <c r="FH87" s="30" t="str">
        <f>+IFERROR(VLOOKUP(FD87,BDD,78,FALSE),"")</f>
        <v/>
      </c>
      <c r="FW87" s="16" t="str">
        <f>Mars!GB42</f>
        <v>132026</v>
      </c>
      <c r="FX87" s="16">
        <f>Mars!GC42</f>
        <v>0</v>
      </c>
      <c r="HI87" s="85">
        <f>+Mars!AB43</f>
        <v>46105</v>
      </c>
      <c r="HJ87" s="27" t="str">
        <f>+Mars!AD43</f>
        <v/>
      </c>
      <c r="HK87" s="16">
        <f t="shared" si="35"/>
        <v>0</v>
      </c>
      <c r="HL87" s="16" t="str">
        <f>IF(AND(HI87&gt;=DATE(Identification!$B$60,5,1),HI87&lt;=DATE(Identification!$B$60,10,31),SUM(HK87:HK101)=12),"OUI","")</f>
        <v/>
      </c>
    </row>
    <row r="88" spans="1:220" x14ac:dyDescent="0.2">
      <c r="A88" s="16" t="s">
        <v>389</v>
      </c>
      <c r="C88" s="27"/>
      <c r="D88" s="27"/>
      <c r="F88" s="34"/>
      <c r="G88" s="16">
        <f t="shared" si="30"/>
        <v>0</v>
      </c>
      <c r="L88" s="16" t="str">
        <f t="shared" si="37"/>
        <v>Fiche info CDD_ Avenant 2GSem</v>
      </c>
      <c r="M88" s="16">
        <f>IF('Fiche info CDD_ Avenant 2'!$BY$19=0,0,'Fiche info CDD_ Avenant 2'!$BY$19)</f>
        <v>0</v>
      </c>
      <c r="BX88" s="16" t="str">
        <f t="shared" si="31"/>
        <v>Contrat finiE3</v>
      </c>
      <c r="EE88" s="16">
        <f t="shared" si="25"/>
        <v>0</v>
      </c>
      <c r="EF88" s="16">
        <f t="shared" si="26"/>
        <v>0</v>
      </c>
      <c r="EG88" s="16">
        <f t="shared" si="27"/>
        <v>0</v>
      </c>
      <c r="EH88" s="16">
        <f t="shared" si="28"/>
        <v>0</v>
      </c>
      <c r="EI88" s="16">
        <f t="shared" si="29"/>
        <v>0</v>
      </c>
      <c r="FB88" s="16" t="str">
        <f t="shared" si="33"/>
        <v/>
      </c>
      <c r="FC88" s="16" t="str">
        <f t="shared" si="34"/>
        <v/>
      </c>
      <c r="FD88" s="30">
        <f t="shared" si="24"/>
        <v>45717</v>
      </c>
      <c r="FE88" s="30" t="str">
        <f>+IFERROR(VLOOKUP(FD88,BDD,79,FALSE),"")</f>
        <v/>
      </c>
      <c r="FF88" s="30" t="str">
        <f>IFERROR(+VLOOKUP(FD88,BDD,80,FALSE),"")</f>
        <v/>
      </c>
      <c r="FG88" s="30" t="str">
        <f>+IFERROR(VLOOKUP(FD88,BDD,81,FALSE),"")</f>
        <v/>
      </c>
      <c r="FH88" s="30" t="str">
        <f>+IFERROR(VLOOKUP(FD88,BDD,82,FALSE),"")</f>
        <v/>
      </c>
      <c r="FW88" s="16" t="str">
        <f>Mars!GB43</f>
        <v>132026</v>
      </c>
      <c r="FX88" s="16">
        <f>Mars!GC43</f>
        <v>0</v>
      </c>
      <c r="HI88" s="85">
        <f>+Mars!AB44</f>
        <v>46106</v>
      </c>
      <c r="HJ88" s="27" t="str">
        <f>+Mars!AD44</f>
        <v/>
      </c>
      <c r="HK88" s="16">
        <f t="shared" si="35"/>
        <v>0</v>
      </c>
      <c r="HL88" s="16" t="str">
        <f>IF(AND(HI88&gt;=DATE(Identification!$B$60,5,1),HI88&lt;=DATE(Identification!$B$60,10,31),SUM(HK88:HK102)=12),"OUI","")</f>
        <v/>
      </c>
    </row>
    <row r="89" spans="1:220" x14ac:dyDescent="0.2">
      <c r="A89" s="16" t="s">
        <v>390</v>
      </c>
      <c r="C89" s="27"/>
      <c r="D89" s="27"/>
      <c r="F89" s="34"/>
      <c r="G89" s="16">
        <f t="shared" si="30"/>
        <v>0</v>
      </c>
      <c r="L89" s="16" t="str">
        <f>+$P$12&amp;N9</f>
        <v>Fiche info CDD_ Avenant 2HSem</v>
      </c>
      <c r="M89" s="16">
        <f>IF('Fiche info CDD_ Avenant 2'!$CJ$19=0,0,'Fiche info CDD_ Avenant 2'!$CJ$19)</f>
        <v>0</v>
      </c>
      <c r="BX89" s="16" t="str">
        <f t="shared" si="31"/>
        <v>Contrat finiE4</v>
      </c>
      <c r="EE89" s="16">
        <f t="shared" si="25"/>
        <v>0</v>
      </c>
      <c r="EF89" s="16">
        <f t="shared" si="26"/>
        <v>0</v>
      </c>
      <c r="EG89" s="16">
        <f t="shared" si="27"/>
        <v>0</v>
      </c>
      <c r="EH89" s="16">
        <f t="shared" si="28"/>
        <v>0</v>
      </c>
      <c r="EI89" s="16">
        <f t="shared" si="29"/>
        <v>0</v>
      </c>
      <c r="FB89" s="16" t="str">
        <f t="shared" si="33"/>
        <v/>
      </c>
      <c r="FC89" s="16" t="str">
        <f t="shared" si="34"/>
        <v/>
      </c>
      <c r="FD89" s="30">
        <f t="shared" si="24"/>
        <v>45717</v>
      </c>
      <c r="FE89" s="30" t="str">
        <f>+IFERROR(VLOOKUP(FD89,BDD,83,FALSE),"")</f>
        <v/>
      </c>
      <c r="FF89" s="30" t="str">
        <f>+IFERROR(VLOOKUP(FD89,BDD,84,FALSE),"")</f>
        <v/>
      </c>
      <c r="FG89" s="30" t="str">
        <f>+IFERROR(VLOOKUP(FD89,BDD,85,FALSE),"")</f>
        <v/>
      </c>
      <c r="FH89" s="30" t="str">
        <f>+IFERROR(VLOOKUP(FD89,BDD,86,FALSE),"")</f>
        <v/>
      </c>
      <c r="FW89" s="16" t="str">
        <f>Mars!GB44</f>
        <v>132026</v>
      </c>
      <c r="FX89" s="16">
        <f>Mars!GC44</f>
        <v>0</v>
      </c>
      <c r="HI89" s="85">
        <f>+Mars!AB45</f>
        <v>46107</v>
      </c>
      <c r="HJ89" s="27" t="str">
        <f>+Mars!AD45</f>
        <v/>
      </c>
      <c r="HK89" s="16">
        <f t="shared" si="35"/>
        <v>0</v>
      </c>
      <c r="HL89" s="16" t="str">
        <f>IF(AND(HI89&gt;=DATE(Identification!$B$60,5,1),HI89&lt;=DATE(Identification!$B$60,10,31),SUM(HK89:HK103)=12),"OUI","")</f>
        <v/>
      </c>
    </row>
    <row r="90" spans="1:220" x14ac:dyDescent="0.2">
      <c r="A90" s="16" t="s">
        <v>391</v>
      </c>
      <c r="C90" s="27"/>
      <c r="D90" s="27"/>
      <c r="F90" s="34"/>
      <c r="G90" s="16">
        <f t="shared" si="30"/>
        <v>0</v>
      </c>
      <c r="L90" s="16" t="str">
        <f>+$P$13&amp;$N$2</f>
        <v>Fiche info Avenant 6ASem</v>
      </c>
      <c r="M90" s="16">
        <f>IF('Fiche info Avenant 6'!$K$19=0,0,'Fiche info Avenant 6'!$K$19)</f>
        <v>0</v>
      </c>
      <c r="BX90" s="16" t="str">
        <f t="shared" si="31"/>
        <v>Contrat finiE5</v>
      </c>
      <c r="EE90" s="16">
        <f t="shared" si="25"/>
        <v>0</v>
      </c>
      <c r="EF90" s="16">
        <f t="shared" si="26"/>
        <v>0</v>
      </c>
      <c r="EG90" s="16">
        <f t="shared" si="27"/>
        <v>0</v>
      </c>
      <c r="EH90" s="16">
        <f t="shared" si="28"/>
        <v>0</v>
      </c>
      <c r="EI90" s="16">
        <f t="shared" si="29"/>
        <v>0</v>
      </c>
      <c r="FB90" s="16" t="str">
        <f t="shared" si="33"/>
        <v/>
      </c>
      <c r="FC90" s="16" t="str">
        <f t="shared" si="34"/>
        <v/>
      </c>
      <c r="FD90" s="30">
        <f t="shared" si="24"/>
        <v>45689</v>
      </c>
      <c r="FE90" s="30" t="str">
        <f>+IFERROR(VLOOKUP(FD90,BDD,71,FALSE),"")</f>
        <v/>
      </c>
      <c r="FF90" s="30" t="str">
        <f>IFERROR(+VLOOKUP(FD90,BDD,72,FALSE),"")</f>
        <v/>
      </c>
      <c r="FG90" s="30" t="str">
        <f>+IFERROR(VLOOKUP(FD90,BDD,73,FALSE),"")</f>
        <v/>
      </c>
      <c r="FH90" s="30" t="str">
        <f>+IFERROR(VLOOKUP(FD90,BDD,74,FALSE),"")</f>
        <v/>
      </c>
      <c r="FW90" s="16" t="str">
        <f>Mars!GB45</f>
        <v>132026</v>
      </c>
      <c r="FX90" s="16">
        <f>Mars!GC45</f>
        <v>0</v>
      </c>
      <c r="HI90" s="85">
        <f>+Mars!AB46</f>
        <v>46108</v>
      </c>
      <c r="HJ90" s="27" t="str">
        <f>+Mars!AD46</f>
        <v/>
      </c>
      <c r="HK90" s="16">
        <f t="shared" si="35"/>
        <v>0</v>
      </c>
      <c r="HL90" s="16" t="str">
        <f>IF(AND(HI90&gt;=DATE(Identification!$B$60,5,1),HI90&lt;=DATE(Identification!$B$60,10,31),SUM(HK90:HK104)=12),"OUI","")</f>
        <v/>
      </c>
    </row>
    <row r="91" spans="1:220" x14ac:dyDescent="0.2">
      <c r="A91" s="16" t="s">
        <v>392</v>
      </c>
      <c r="C91" s="27"/>
      <c r="D91" s="27"/>
      <c r="F91" s="34"/>
      <c r="G91" s="16">
        <f t="shared" si="30"/>
        <v>0</v>
      </c>
      <c r="L91" s="16" t="str">
        <f>+$P$13&amp;$N$3</f>
        <v>Fiche info Avenant 6BSem</v>
      </c>
      <c r="M91" s="16">
        <f>IF('Fiche info Avenant 6'!$V$19=0,0,'Fiche info Avenant 6'!$V$19)</f>
        <v>0</v>
      </c>
      <c r="BX91" s="16" t="str">
        <f t="shared" si="31"/>
        <v>Contrat finiE6</v>
      </c>
      <c r="EE91" s="16">
        <f t="shared" si="25"/>
        <v>0</v>
      </c>
      <c r="EF91" s="16">
        <f t="shared" si="26"/>
        <v>0</v>
      </c>
      <c r="EG91" s="16">
        <f t="shared" si="27"/>
        <v>0</v>
      </c>
      <c r="EH91" s="16">
        <f t="shared" si="28"/>
        <v>0</v>
      </c>
      <c r="EI91" s="16">
        <f t="shared" si="29"/>
        <v>0</v>
      </c>
      <c r="FB91" s="16" t="str">
        <f t="shared" si="33"/>
        <v/>
      </c>
      <c r="FC91" s="16" t="str">
        <f t="shared" si="34"/>
        <v/>
      </c>
      <c r="FD91" s="30">
        <f t="shared" si="24"/>
        <v>45689</v>
      </c>
      <c r="FE91" s="30" t="str">
        <f>+IFERROR(VLOOKUP(FD91,BDD,75,FALSE),"")</f>
        <v/>
      </c>
      <c r="FF91" s="30" t="str">
        <f>+IFERROR(VLOOKUP(FD91,BDD,76,FALSE),"")</f>
        <v/>
      </c>
      <c r="FG91" s="30" t="str">
        <f>IFERROR(+VLOOKUP(FD91,BDD,77,FALSE),"")</f>
        <v/>
      </c>
      <c r="FH91" s="30" t="str">
        <f>+IFERROR(VLOOKUP(FD91,BDD,78,FALSE),"")</f>
        <v/>
      </c>
      <c r="FW91" s="16" t="str">
        <f>Mars!GB46</f>
        <v>132026</v>
      </c>
      <c r="FX91" s="16">
        <f>Mars!GC46</f>
        <v>0</v>
      </c>
      <c r="HI91" s="85">
        <f>+Mars!AB47</f>
        <v>46109</v>
      </c>
      <c r="HJ91" s="27" t="str">
        <f>+Mars!AD47</f>
        <v/>
      </c>
      <c r="HK91" s="16">
        <f t="shared" si="35"/>
        <v>0</v>
      </c>
      <c r="HL91" s="16" t="str">
        <f>IF(AND(HI91&gt;=DATE(Identification!$B$60,5,1),HI91&lt;=DATE(Identification!$B$60,10,31),SUM(HK91:HK105)=12),"OUI","")</f>
        <v/>
      </c>
    </row>
    <row r="92" spans="1:220" x14ac:dyDescent="0.2">
      <c r="A92" s="16" t="s">
        <v>393</v>
      </c>
      <c r="C92" s="27"/>
      <c r="D92" s="27"/>
      <c r="F92" s="34"/>
      <c r="G92" s="16">
        <f t="shared" si="30"/>
        <v>0</v>
      </c>
      <c r="L92" s="16" t="str">
        <f>+$P$13&amp;$N$4</f>
        <v>Fiche info Avenant 6CSem</v>
      </c>
      <c r="M92" s="16">
        <f>IF('Fiche info Avenant 6'!$AG$19=0,0,'Fiche info Avenant 6'!$AG$19)</f>
        <v>0</v>
      </c>
      <c r="BX92" s="16" t="str">
        <f t="shared" si="31"/>
        <v>Contrat finiE7</v>
      </c>
      <c r="EE92" s="16">
        <f t="shared" si="25"/>
        <v>0</v>
      </c>
      <c r="EF92" s="16">
        <f t="shared" si="26"/>
        <v>0</v>
      </c>
      <c r="EG92" s="16">
        <f t="shared" si="27"/>
        <v>0</v>
      </c>
      <c r="EH92" s="16">
        <f t="shared" si="28"/>
        <v>0</v>
      </c>
      <c r="EI92" s="16">
        <f t="shared" si="29"/>
        <v>0</v>
      </c>
      <c r="FB92" s="16" t="str">
        <f t="shared" si="33"/>
        <v/>
      </c>
      <c r="FC92" s="16" t="str">
        <f t="shared" si="34"/>
        <v/>
      </c>
      <c r="FD92" s="30">
        <f t="shared" si="24"/>
        <v>45689</v>
      </c>
      <c r="FE92" s="30" t="str">
        <f>+IFERROR(VLOOKUP(FD92,BDD,79,FALSE),"")</f>
        <v/>
      </c>
      <c r="FF92" s="30" t="str">
        <f>IFERROR(+VLOOKUP(FD92,BDD,80,FALSE),"")</f>
        <v/>
      </c>
      <c r="FG92" s="30" t="str">
        <f>+IFERROR(VLOOKUP(FD92,BDD,81,FALSE),"")</f>
        <v/>
      </c>
      <c r="FH92" s="30" t="str">
        <f>+IFERROR(VLOOKUP(FD92,BDD,82,FALSE),"")</f>
        <v/>
      </c>
      <c r="FW92" s="16" t="str">
        <f>Mars!GB47</f>
        <v>132026</v>
      </c>
      <c r="FX92" s="16">
        <f>Mars!GC47</f>
        <v>0</v>
      </c>
      <c r="HI92" s="85">
        <f>+Mars!AB48</f>
        <v>46110</v>
      </c>
      <c r="HJ92" s="27" t="str">
        <f>+Mars!AD48</f>
        <v/>
      </c>
      <c r="HK92" s="16">
        <f t="shared" si="35"/>
        <v>0</v>
      </c>
      <c r="HL92" s="16" t="str">
        <f>IF(AND(HI92&gt;=DATE(Identification!$B$60,5,1),HI92&lt;=DATE(Identification!$B$60,10,31),SUM(HK92:HK106)=12),"OUI","")</f>
        <v/>
      </c>
    </row>
    <row r="93" spans="1:220" x14ac:dyDescent="0.2">
      <c r="A93" s="16" t="s">
        <v>394</v>
      </c>
      <c r="C93" s="27"/>
      <c r="D93" s="27"/>
      <c r="F93" s="34"/>
      <c r="G93" s="16">
        <f t="shared" si="30"/>
        <v>0</v>
      </c>
      <c r="L93" s="16" t="str">
        <f>+$P$13&amp;$N$5</f>
        <v>Fiche info Avenant 6DSem</v>
      </c>
      <c r="M93" s="16">
        <f>IF('Fiche info Avenant 6'!$AR$19=0,0,'Fiche info Avenant 6'!$AR$19)</f>
        <v>0</v>
      </c>
      <c r="BX93" s="16" t="str">
        <f t="shared" si="31"/>
        <v>Contrat finiF1</v>
      </c>
      <c r="EE93" s="16">
        <f t="shared" si="25"/>
        <v>0</v>
      </c>
      <c r="EF93" s="16">
        <f t="shared" si="26"/>
        <v>0</v>
      </c>
      <c r="EG93" s="16">
        <f t="shared" si="27"/>
        <v>0</v>
      </c>
      <c r="EH93" s="16">
        <f t="shared" si="28"/>
        <v>0</v>
      </c>
      <c r="EI93" s="16">
        <f t="shared" si="29"/>
        <v>0</v>
      </c>
      <c r="FB93" s="16" t="str">
        <f t="shared" si="33"/>
        <v/>
      </c>
      <c r="FC93" s="16" t="str">
        <f t="shared" si="34"/>
        <v/>
      </c>
      <c r="FD93" s="30">
        <f t="shared" si="24"/>
        <v>45689</v>
      </c>
      <c r="FE93" s="30" t="str">
        <f>+IFERROR(VLOOKUP(FD93,BDD,83,FALSE),"")</f>
        <v/>
      </c>
      <c r="FF93" s="30" t="str">
        <f>+IFERROR(VLOOKUP(FD93,BDD,84,FALSE),"")</f>
        <v/>
      </c>
      <c r="FG93" s="30" t="str">
        <f>+IFERROR(VLOOKUP(FD93,BDD,85,FALSE),"")</f>
        <v/>
      </c>
      <c r="FH93" s="30" t="str">
        <f>+IFERROR(VLOOKUP(FD93,BDD,86,FALSE),"")</f>
        <v/>
      </c>
      <c r="FW93" s="16" t="str">
        <f>Mars!GB48</f>
        <v>132026</v>
      </c>
      <c r="FX93" s="16">
        <f>Mars!GC48</f>
        <v>0</v>
      </c>
      <c r="HI93" s="85">
        <f>+Mars!AB49</f>
        <v>46111</v>
      </c>
      <c r="HJ93" s="27" t="str">
        <f>+Mars!AD49</f>
        <v/>
      </c>
      <c r="HK93" s="16">
        <f t="shared" si="35"/>
        <v>0</v>
      </c>
      <c r="HL93" s="16" t="str">
        <f>IF(AND(HI93&gt;=DATE(Identification!$B$60,5,1),HI93&lt;=DATE(Identification!$B$60,10,31),SUM(HK93:HK107)=12),"OUI","")</f>
        <v/>
      </c>
    </row>
    <row r="94" spans="1:220" x14ac:dyDescent="0.2">
      <c r="A94" s="16" t="s">
        <v>395</v>
      </c>
      <c r="C94" s="27"/>
      <c r="D94" s="27"/>
      <c r="F94" s="34"/>
      <c r="G94" s="16">
        <f t="shared" si="30"/>
        <v>0</v>
      </c>
      <c r="L94" s="16" t="str">
        <f>+$P$13&amp;$N$6</f>
        <v>Fiche info Avenant 6ESem</v>
      </c>
      <c r="M94" s="16">
        <f>IF('Fiche info Avenant 6'!$BC$19=0,0,'Fiche info Avenant 6'!$BC$19)</f>
        <v>0</v>
      </c>
      <c r="BX94" s="16" t="str">
        <f t="shared" si="31"/>
        <v>Contrat finiF2</v>
      </c>
      <c r="EE94" s="16">
        <f t="shared" si="25"/>
        <v>0</v>
      </c>
      <c r="EF94" s="16">
        <f t="shared" si="26"/>
        <v>0</v>
      </c>
      <c r="EG94" s="16">
        <f t="shared" si="27"/>
        <v>0</v>
      </c>
      <c r="EH94" s="16">
        <f t="shared" si="28"/>
        <v>0</v>
      </c>
      <c r="EI94" s="16">
        <f t="shared" si="29"/>
        <v>0</v>
      </c>
      <c r="FB94" s="16" t="str">
        <f t="shared" si="33"/>
        <v/>
      </c>
      <c r="FC94" s="16" t="str">
        <f t="shared" si="34"/>
        <v/>
      </c>
      <c r="FD94" s="30">
        <f t="shared" si="24"/>
        <v>45658</v>
      </c>
      <c r="FE94" s="30" t="str">
        <f>+IFERROR(VLOOKUP(FD94,BDD,71,FALSE),"")</f>
        <v/>
      </c>
      <c r="FF94" s="30" t="str">
        <f>IFERROR(+VLOOKUP(FD94,BDD,72,FALSE),"")</f>
        <v/>
      </c>
      <c r="FG94" s="30" t="str">
        <f>+IFERROR(VLOOKUP(FD94,BDD,73,FALSE),"")</f>
        <v/>
      </c>
      <c r="FH94" s="30" t="str">
        <f>+IFERROR(VLOOKUP(FD94,BDD,74,FALSE),"")</f>
        <v/>
      </c>
      <c r="FW94" s="16" t="str">
        <f>Mars!GB49</f>
        <v>142026</v>
      </c>
      <c r="FX94" s="16">
        <f>Mars!GC49</f>
        <v>0</v>
      </c>
      <c r="HI94" s="85">
        <f>+Mars!AB50</f>
        <v>46112</v>
      </c>
      <c r="HJ94" s="27" t="str">
        <f>+Mars!AD50</f>
        <v/>
      </c>
      <c r="HK94" s="16">
        <f t="shared" si="35"/>
        <v>0</v>
      </c>
      <c r="HL94" s="16" t="str">
        <f>IF(AND(HI94&gt;=DATE(Identification!$B$60,5,1),HI94&lt;=DATE(Identification!$B$60,10,31),SUM(HK94:HK108)=12),"OUI","")</f>
        <v/>
      </c>
    </row>
    <row r="95" spans="1:220" x14ac:dyDescent="0.2">
      <c r="A95" s="16" t="s">
        <v>396</v>
      </c>
      <c r="C95" s="27"/>
      <c r="D95" s="27"/>
      <c r="F95" s="34"/>
      <c r="G95" s="16">
        <f t="shared" si="30"/>
        <v>0</v>
      </c>
      <c r="L95" s="16" t="str">
        <f>+$P$13&amp;$N$7</f>
        <v>Fiche info Avenant 6FSem</v>
      </c>
      <c r="M95" s="16">
        <f>IF('Fiche info Avenant 6'!$BN$19=0,0,'Fiche info Avenant 6'!$BN$19)</f>
        <v>0</v>
      </c>
      <c r="BX95" s="16" t="str">
        <f t="shared" si="31"/>
        <v>Contrat finiF3</v>
      </c>
      <c r="EE95" s="16">
        <f t="shared" si="25"/>
        <v>0</v>
      </c>
      <c r="EF95" s="16">
        <f t="shared" si="26"/>
        <v>0</v>
      </c>
      <c r="EG95" s="16">
        <f t="shared" si="27"/>
        <v>0</v>
      </c>
      <c r="EH95" s="16">
        <f t="shared" si="28"/>
        <v>0</v>
      </c>
      <c r="EI95" s="16">
        <f t="shared" si="29"/>
        <v>0</v>
      </c>
      <c r="FB95" s="16" t="str">
        <f t="shared" si="33"/>
        <v/>
      </c>
      <c r="FC95" s="16" t="str">
        <f t="shared" si="34"/>
        <v/>
      </c>
      <c r="FD95" s="30">
        <f t="shared" si="24"/>
        <v>45658</v>
      </c>
      <c r="FE95" s="30" t="str">
        <f>+IFERROR(VLOOKUP(FD95,BDD,75,FALSE),"")</f>
        <v/>
      </c>
      <c r="FF95" s="30" t="str">
        <f>+IFERROR(VLOOKUP(FD95,BDD,76,FALSE),"")</f>
        <v/>
      </c>
      <c r="FG95" s="30" t="str">
        <f>IFERROR(+VLOOKUP(FD95,BDD,77,FALSE),"")</f>
        <v/>
      </c>
      <c r="FH95" s="30" t="str">
        <f>+IFERROR(VLOOKUP(FD95,BDD,78,FALSE),"")</f>
        <v/>
      </c>
      <c r="FW95" s="16" t="str">
        <f>Mars!GB50</f>
        <v>142026</v>
      </c>
      <c r="FX95" s="16">
        <f>Mars!GC50</f>
        <v>0</v>
      </c>
      <c r="HI95" s="85">
        <f>+Avril!AB20</f>
        <v>46113</v>
      </c>
      <c r="HJ95" s="27" t="str">
        <f>+Avril!AD20</f>
        <v/>
      </c>
      <c r="HK95" s="16">
        <f t="shared" si="35"/>
        <v>0</v>
      </c>
      <c r="HL95" s="16" t="str">
        <f>IF(AND(HI95&gt;=DATE(Identification!$B$60,5,1),HI95&lt;=DATE(Identification!$B$60,10,31),SUM(HK95:HK109)=12),"OUI","")</f>
        <v/>
      </c>
    </row>
    <row r="96" spans="1:220" x14ac:dyDescent="0.2">
      <c r="A96" s="16" t="s">
        <v>397</v>
      </c>
      <c r="C96" s="27"/>
      <c r="D96" s="27"/>
      <c r="F96" s="34"/>
      <c r="G96" s="16">
        <f t="shared" si="30"/>
        <v>0</v>
      </c>
      <c r="L96" s="16" t="str">
        <f>+$P$13&amp;$N$8</f>
        <v>Fiche info Avenant 6GSem</v>
      </c>
      <c r="M96" s="16">
        <f>IF('Fiche info Avenant 6'!$BY$19=0,0,'Fiche info Avenant 6'!$BY$19)</f>
        <v>0</v>
      </c>
      <c r="BX96" s="16" t="str">
        <f t="shared" si="31"/>
        <v>Contrat finiF4</v>
      </c>
      <c r="EE96" s="16">
        <f t="shared" si="25"/>
        <v>0</v>
      </c>
      <c r="EF96" s="16">
        <f t="shared" si="26"/>
        <v>0</v>
      </c>
      <c r="EG96" s="16">
        <f t="shared" si="27"/>
        <v>0</v>
      </c>
      <c r="EH96" s="16">
        <f t="shared" si="28"/>
        <v>0</v>
      </c>
      <c r="EI96" s="16">
        <f t="shared" si="29"/>
        <v>0</v>
      </c>
      <c r="FB96" s="16" t="str">
        <f t="shared" si="33"/>
        <v/>
      </c>
      <c r="FC96" s="16" t="str">
        <f t="shared" si="34"/>
        <v/>
      </c>
      <c r="FD96" s="30">
        <f t="shared" si="24"/>
        <v>45658</v>
      </c>
      <c r="FE96" s="30" t="str">
        <f>+IFERROR(VLOOKUP(FD96,BDD,79,FALSE),"")</f>
        <v/>
      </c>
      <c r="FF96" s="30" t="str">
        <f>IFERROR(+VLOOKUP(FD96,BDD,80,FALSE),"")</f>
        <v/>
      </c>
      <c r="FG96" s="30" t="str">
        <f>+IFERROR(VLOOKUP(FD96,BDD,81,FALSE),"")</f>
        <v/>
      </c>
      <c r="FH96" s="30" t="str">
        <f>+IFERROR(VLOOKUP(FD96,BDD,82,FALSE),"")</f>
        <v/>
      </c>
      <c r="FW96" s="16" t="str">
        <f>Avril!GB20</f>
        <v>142026</v>
      </c>
      <c r="FX96" s="16">
        <f>Avril!GC20</f>
        <v>0</v>
      </c>
      <c r="HI96" s="85">
        <f>+Avril!AB21</f>
        <v>46114</v>
      </c>
      <c r="HJ96" s="27" t="str">
        <f>+Avril!AD21</f>
        <v/>
      </c>
      <c r="HK96" s="16">
        <f t="shared" si="35"/>
        <v>0</v>
      </c>
      <c r="HL96" s="16" t="str">
        <f>IF(AND(HI96&gt;=DATE(Identification!$B$60,5,1),HI96&lt;=DATE(Identification!$B$60,10,31),SUM(HK96:HK110)=12),"OUI","")</f>
        <v/>
      </c>
    </row>
    <row r="97" spans="1:220" x14ac:dyDescent="0.2">
      <c r="A97" s="16" t="s">
        <v>398</v>
      </c>
      <c r="C97" s="27"/>
      <c r="D97" s="27"/>
      <c r="F97" s="34"/>
      <c r="G97" s="16">
        <f t="shared" si="30"/>
        <v>0</v>
      </c>
      <c r="L97" s="16" t="str">
        <f>+$P$13&amp;$N$9</f>
        <v>Fiche info Avenant 6HSem</v>
      </c>
      <c r="M97" s="16">
        <f>IF('Fiche info Avenant 6'!$CJ$19=0,0,'Fiche info Avenant 6'!$CJ$19)</f>
        <v>0</v>
      </c>
      <c r="BX97" s="16" t="str">
        <f t="shared" si="31"/>
        <v>Contrat finiF5</v>
      </c>
      <c r="EE97" s="16">
        <f t="shared" si="25"/>
        <v>0</v>
      </c>
      <c r="EF97" s="16">
        <f t="shared" si="26"/>
        <v>0</v>
      </c>
      <c r="EG97" s="16">
        <f t="shared" si="27"/>
        <v>0</v>
      </c>
      <c r="EH97" s="16">
        <f t="shared" si="28"/>
        <v>0</v>
      </c>
      <c r="EI97" s="16">
        <f t="shared" si="29"/>
        <v>0</v>
      </c>
      <c r="FB97" s="16" t="str">
        <f t="shared" si="33"/>
        <v/>
      </c>
      <c r="FC97" s="16" t="str">
        <f t="shared" si="34"/>
        <v/>
      </c>
      <c r="FD97" s="30">
        <f t="shared" si="24"/>
        <v>45658</v>
      </c>
      <c r="FE97" s="30" t="str">
        <f>+IFERROR(VLOOKUP(FD97,BDD,83,FALSE),"")</f>
        <v/>
      </c>
      <c r="FF97" s="30" t="str">
        <f>+IFERROR(VLOOKUP(FD97,BDD,84,FALSE),"")</f>
        <v/>
      </c>
      <c r="FG97" s="30" t="str">
        <f>+IFERROR(VLOOKUP(FD97,BDD,85,FALSE),"")</f>
        <v/>
      </c>
      <c r="FH97" s="30" t="str">
        <f>+IFERROR(VLOOKUP(FD97,BDD,86,FALSE),"")</f>
        <v/>
      </c>
      <c r="FW97" s="16" t="str">
        <f>Avril!GB21</f>
        <v>142026</v>
      </c>
      <c r="FX97" s="16">
        <f>Avril!GC21</f>
        <v>0</v>
      </c>
      <c r="HI97" s="85">
        <f>+Avril!AB22</f>
        <v>46115</v>
      </c>
      <c r="HJ97" s="27" t="str">
        <f>+Avril!AD22</f>
        <v/>
      </c>
      <c r="HK97" s="16">
        <f t="shared" si="35"/>
        <v>0</v>
      </c>
      <c r="HL97" s="16" t="str">
        <f>IF(AND(HI97&gt;=DATE(Identification!$B$60,5,1),HI97&lt;=DATE(Identification!$B$60,10,31),SUM(HK97:HK111)=12),"OUI","")</f>
        <v/>
      </c>
    </row>
    <row r="98" spans="1:220" x14ac:dyDescent="0.2">
      <c r="A98" s="16" t="s">
        <v>399</v>
      </c>
      <c r="C98" s="27"/>
      <c r="D98" s="27"/>
      <c r="F98" s="34"/>
      <c r="G98" s="16">
        <f t="shared" si="30"/>
        <v>0</v>
      </c>
      <c r="L98" s="16" t="str">
        <f>+$P$14&amp;$N$2</f>
        <v>Fiche info Avenant 7ASem</v>
      </c>
      <c r="M98" s="16">
        <f>IF('Fiche info Avenant 7'!$K$19=0,0,'Fiche info Avenant 7'!$K$19)</f>
        <v>0</v>
      </c>
      <c r="BX98" s="16" t="str">
        <f t="shared" si="31"/>
        <v>Contrat finiF6</v>
      </c>
      <c r="EE98" s="16">
        <f t="shared" si="25"/>
        <v>0</v>
      </c>
      <c r="EF98" s="16">
        <f t="shared" si="26"/>
        <v>0</v>
      </c>
      <c r="EG98" s="16">
        <f t="shared" si="27"/>
        <v>0</v>
      </c>
      <c r="EH98" s="16">
        <f t="shared" si="28"/>
        <v>0</v>
      </c>
      <c r="EI98" s="16">
        <f t="shared" si="29"/>
        <v>0</v>
      </c>
      <c r="FB98" s="16" t="str">
        <f t="shared" si="33"/>
        <v/>
      </c>
      <c r="FC98" s="16" t="str">
        <f t="shared" si="34"/>
        <v/>
      </c>
      <c r="FD98" s="30">
        <f t="shared" si="24"/>
        <v>45627</v>
      </c>
      <c r="FE98" s="30" t="str">
        <f>+IFERROR(VLOOKUP(FD98,BDD,71,FALSE),"")</f>
        <v/>
      </c>
      <c r="FF98" s="30" t="str">
        <f>IFERROR(+VLOOKUP(FD98,BDD,72,FALSE),"")</f>
        <v/>
      </c>
      <c r="FG98" s="30" t="str">
        <f>+IFERROR(VLOOKUP(FD98,BDD,73,FALSE),"")</f>
        <v/>
      </c>
      <c r="FH98" s="30" t="str">
        <f>+IFERROR(VLOOKUP(FD98,BDD,74,FALSE),"")</f>
        <v/>
      </c>
      <c r="FW98" s="16" t="str">
        <f>Avril!GB22</f>
        <v>142026</v>
      </c>
      <c r="FX98" s="16">
        <f>Avril!GC22</f>
        <v>0</v>
      </c>
      <c r="HI98" s="85">
        <f>+Avril!AB23</f>
        <v>46116</v>
      </c>
      <c r="HJ98" s="27" t="str">
        <f>+Avril!AD23</f>
        <v/>
      </c>
      <c r="HK98" s="16">
        <f t="shared" si="35"/>
        <v>0</v>
      </c>
      <c r="HL98" s="16" t="str">
        <f>IF(AND(HI98&gt;=DATE(Identification!$B$60,5,1),HI98&lt;=DATE(Identification!$B$60,10,31),SUM(HK98:HK112)=12),"OUI","")</f>
        <v/>
      </c>
    </row>
    <row r="99" spans="1:220" x14ac:dyDescent="0.2">
      <c r="A99" s="16" t="s">
        <v>400</v>
      </c>
      <c r="C99" s="27"/>
      <c r="D99" s="27"/>
      <c r="F99" s="34"/>
      <c r="G99" s="16">
        <f t="shared" si="30"/>
        <v>0</v>
      </c>
      <c r="L99" s="16" t="str">
        <f>+$P$14&amp;$N$3</f>
        <v>Fiche info Avenant 7BSem</v>
      </c>
      <c r="M99" s="16">
        <f>IF('Fiche info Avenant 7'!$V$19=0,0,'Fiche info Avenant 7'!$V$19)</f>
        <v>0</v>
      </c>
      <c r="BX99" s="16" t="str">
        <f t="shared" si="31"/>
        <v>Contrat finiF7</v>
      </c>
      <c r="EE99" s="16">
        <f t="shared" si="25"/>
        <v>0</v>
      </c>
      <c r="EF99" s="16">
        <f t="shared" si="26"/>
        <v>0</v>
      </c>
      <c r="EG99" s="16">
        <f t="shared" si="27"/>
        <v>0</v>
      </c>
      <c r="EH99" s="16">
        <f t="shared" si="28"/>
        <v>0</v>
      </c>
      <c r="EI99" s="16">
        <f t="shared" si="29"/>
        <v>0</v>
      </c>
      <c r="FB99" s="16" t="str">
        <f t="shared" si="33"/>
        <v/>
      </c>
      <c r="FC99" s="16" t="str">
        <f t="shared" si="34"/>
        <v/>
      </c>
      <c r="FD99" s="30">
        <f t="shared" si="24"/>
        <v>45627</v>
      </c>
      <c r="FE99" s="30" t="str">
        <f>+IFERROR(VLOOKUP(FD99,BDD,75,FALSE),"")</f>
        <v/>
      </c>
      <c r="FF99" s="30" t="str">
        <f>+IFERROR(VLOOKUP(FD99,BDD,76,FALSE),"")</f>
        <v/>
      </c>
      <c r="FG99" s="30" t="str">
        <f>IFERROR(+VLOOKUP(FD99,BDD,77,FALSE),"")</f>
        <v/>
      </c>
      <c r="FH99" s="30" t="str">
        <f>+IFERROR(VLOOKUP(FD99,BDD,78,FALSE),"")</f>
        <v/>
      </c>
      <c r="FW99" s="16" t="str">
        <f>Avril!GB23</f>
        <v>142026</v>
      </c>
      <c r="FX99" s="16">
        <f>Avril!GC23</f>
        <v>0</v>
      </c>
      <c r="HI99" s="85">
        <f>+Avril!AB24</f>
        <v>46117</v>
      </c>
      <c r="HJ99" s="27" t="str">
        <f>+Avril!AD24</f>
        <v/>
      </c>
      <c r="HK99" s="16">
        <f t="shared" si="35"/>
        <v>0</v>
      </c>
      <c r="HL99" s="16" t="str">
        <f>IF(AND(HI99&gt;=DATE(Identification!$B$60,5,1),HI99&lt;=DATE(Identification!$B$60,10,31),SUM(HK99:HK113)=12),"OUI","")</f>
        <v/>
      </c>
    </row>
    <row r="100" spans="1:220" x14ac:dyDescent="0.2">
      <c r="A100" s="16" t="s">
        <v>401</v>
      </c>
      <c r="C100" s="27"/>
      <c r="D100" s="27"/>
      <c r="F100" s="34"/>
      <c r="G100" s="16">
        <f t="shared" si="30"/>
        <v>0</v>
      </c>
      <c r="L100" s="16" t="str">
        <f>+$P$14&amp;$N$4</f>
        <v>Fiche info Avenant 7CSem</v>
      </c>
      <c r="M100" s="16">
        <f>IF('Fiche info Avenant 7'!$AG$19=0,0,'Fiche info Avenant 7'!$AG$19)</f>
        <v>0</v>
      </c>
      <c r="BX100" s="16" t="str">
        <f t="shared" si="31"/>
        <v>Contrat finiG1</v>
      </c>
      <c r="EE100" s="16">
        <f t="shared" si="25"/>
        <v>0</v>
      </c>
      <c r="EF100" s="16">
        <f t="shared" si="26"/>
        <v>0</v>
      </c>
      <c r="EG100" s="16">
        <f t="shared" si="27"/>
        <v>0</v>
      </c>
      <c r="EH100" s="16">
        <f t="shared" si="28"/>
        <v>0</v>
      </c>
      <c r="EI100" s="16">
        <f t="shared" si="29"/>
        <v>0</v>
      </c>
      <c r="FB100" s="16" t="str">
        <f t="shared" si="33"/>
        <v/>
      </c>
      <c r="FC100" s="16" t="str">
        <f t="shared" si="34"/>
        <v/>
      </c>
      <c r="FD100" s="30">
        <f t="shared" si="24"/>
        <v>45627</v>
      </c>
      <c r="FE100" s="30" t="str">
        <f>+IFERROR(VLOOKUP(FD100,BDD,79,FALSE),"")</f>
        <v/>
      </c>
      <c r="FF100" s="30" t="str">
        <f>IFERROR(+VLOOKUP(FD100,BDD,80,FALSE),"")</f>
        <v/>
      </c>
      <c r="FG100" s="30" t="str">
        <f>+IFERROR(VLOOKUP(FD100,BDD,81,FALSE),"")</f>
        <v/>
      </c>
      <c r="FH100" s="30" t="str">
        <f>+IFERROR(VLOOKUP(FD100,BDD,82,FALSE),"")</f>
        <v/>
      </c>
      <c r="FW100" s="16" t="str">
        <f>Avril!GB24</f>
        <v>142026</v>
      </c>
      <c r="FX100" s="16">
        <f>Avril!GC24</f>
        <v>0</v>
      </c>
      <c r="HI100" s="85">
        <f>+Avril!AB25</f>
        <v>46118</v>
      </c>
      <c r="HJ100" s="27" t="str">
        <f>+Avril!AD25</f>
        <v/>
      </c>
      <c r="HK100" s="16">
        <f t="shared" si="35"/>
        <v>0</v>
      </c>
      <c r="HL100" s="16" t="str">
        <f>IF(AND(HI100&gt;=DATE(Identification!$B$60,5,1),HI100&lt;=DATE(Identification!$B$60,10,31),SUM(HK100:HK114)=12),"OUI","")</f>
        <v/>
      </c>
    </row>
    <row r="101" spans="1:220" x14ac:dyDescent="0.2">
      <c r="A101" s="16" t="s">
        <v>402</v>
      </c>
      <c r="C101" s="27"/>
      <c r="D101" s="27"/>
      <c r="F101" s="34"/>
      <c r="G101" s="16">
        <f t="shared" si="30"/>
        <v>0</v>
      </c>
      <c r="L101" s="16" t="str">
        <f>+$P$14&amp;$N$5</f>
        <v>Fiche info Avenant 7DSem</v>
      </c>
      <c r="M101" s="16">
        <f>IF('Fiche info Avenant 7'!$AR$19=0,0,'Fiche info Avenant 7'!$AR$19)</f>
        <v>0</v>
      </c>
      <c r="BX101" s="16" t="str">
        <f t="shared" si="31"/>
        <v>Contrat finiG2</v>
      </c>
      <c r="EE101" s="16">
        <f t="shared" si="25"/>
        <v>0</v>
      </c>
      <c r="EF101" s="16">
        <f t="shared" si="26"/>
        <v>0</v>
      </c>
      <c r="EG101" s="16">
        <f t="shared" si="27"/>
        <v>0</v>
      </c>
      <c r="EH101" s="16">
        <f t="shared" si="28"/>
        <v>0</v>
      </c>
      <c r="EI101" s="16">
        <f t="shared" si="29"/>
        <v>0</v>
      </c>
      <c r="FB101" s="16" t="str">
        <f t="shared" si="33"/>
        <v/>
      </c>
      <c r="FC101" s="16" t="str">
        <f t="shared" si="34"/>
        <v/>
      </c>
      <c r="FD101" s="30">
        <f t="shared" si="24"/>
        <v>45627</v>
      </c>
      <c r="FE101" s="30" t="str">
        <f>+IFERROR(VLOOKUP(FD101,BDD,83,FALSE),"")</f>
        <v/>
      </c>
      <c r="FF101" s="30" t="str">
        <f>+IFERROR(VLOOKUP(FD101,BDD,84,FALSE),"")</f>
        <v/>
      </c>
      <c r="FG101" s="30" t="str">
        <f>+IFERROR(VLOOKUP(FD101,BDD,85,FALSE),"")</f>
        <v/>
      </c>
      <c r="FH101" s="30" t="str">
        <f>+IFERROR(VLOOKUP(FD101,BDD,86,FALSE),"")</f>
        <v/>
      </c>
      <c r="FW101" s="16" t="str">
        <f>Avril!GB25</f>
        <v>152026</v>
      </c>
      <c r="FX101" s="16">
        <f>Avril!GC25</f>
        <v>0</v>
      </c>
      <c r="HI101" s="85">
        <f>+Avril!AB26</f>
        <v>46119</v>
      </c>
      <c r="HJ101" s="27" t="str">
        <f>+Avril!AD26</f>
        <v/>
      </c>
      <c r="HK101" s="16">
        <f t="shared" si="35"/>
        <v>0</v>
      </c>
      <c r="HL101" s="16" t="str">
        <f>IF(AND(HI101&gt;=DATE(Identification!$B$60,5,1),HI101&lt;=DATE(Identification!$B$60,10,31),SUM(HK101:HK115)=12),"OUI","")</f>
        <v/>
      </c>
    </row>
    <row r="102" spans="1:220" x14ac:dyDescent="0.2">
      <c r="A102" s="16" t="s">
        <v>403</v>
      </c>
      <c r="C102" s="27"/>
      <c r="D102" s="27"/>
      <c r="F102" s="34"/>
      <c r="G102" s="16">
        <f t="shared" si="30"/>
        <v>0</v>
      </c>
      <c r="L102" s="16" t="str">
        <f>+$P$14&amp;$N$6</f>
        <v>Fiche info Avenant 7ESem</v>
      </c>
      <c r="M102" s="16">
        <f>IF('Fiche info Avenant 7'!$BC$19=0,0,'Fiche info Avenant 7'!$BC$19)</f>
        <v>0</v>
      </c>
      <c r="BX102" s="16" t="str">
        <f t="shared" si="31"/>
        <v>Contrat finiG3</v>
      </c>
      <c r="EE102" s="16">
        <f t="shared" si="25"/>
        <v>0</v>
      </c>
      <c r="EF102" s="16">
        <f t="shared" si="26"/>
        <v>0</v>
      </c>
      <c r="EG102" s="16">
        <f t="shared" si="27"/>
        <v>0</v>
      </c>
      <c r="EH102" s="16">
        <f t="shared" si="28"/>
        <v>0</v>
      </c>
      <c r="EI102" s="16">
        <f t="shared" si="29"/>
        <v>0</v>
      </c>
      <c r="FB102" s="16" t="str">
        <f t="shared" si="33"/>
        <v/>
      </c>
      <c r="FC102" s="16" t="str">
        <f t="shared" si="34"/>
        <v/>
      </c>
      <c r="FD102" s="30">
        <f t="shared" si="24"/>
        <v>45597</v>
      </c>
      <c r="FE102" s="30" t="str">
        <f>+IFERROR(VLOOKUP(FD102,BDD,71,FALSE),"")</f>
        <v/>
      </c>
      <c r="FF102" s="30" t="str">
        <f>IFERROR(+VLOOKUP(FD102,BDD,72,FALSE),"")</f>
        <v/>
      </c>
      <c r="FG102" s="30" t="str">
        <f>+IFERROR(VLOOKUP(FD102,BDD,73,FALSE),"")</f>
        <v/>
      </c>
      <c r="FH102" s="30" t="str">
        <f>+IFERROR(VLOOKUP(FD102,BDD,74,FALSE),"")</f>
        <v/>
      </c>
      <c r="FW102" s="16" t="str">
        <f>Avril!GB26</f>
        <v>152026</v>
      </c>
      <c r="FX102" s="16">
        <f>Avril!GC26</f>
        <v>0</v>
      </c>
      <c r="HI102" s="85">
        <f>+Avril!AB27</f>
        <v>46120</v>
      </c>
      <c r="HJ102" s="27" t="str">
        <f>+Avril!AD27</f>
        <v/>
      </c>
      <c r="HK102" s="16">
        <f t="shared" si="35"/>
        <v>0</v>
      </c>
      <c r="HL102" s="16" t="str">
        <f>IF(AND(HI102&gt;=DATE(Identification!$B$60,5,1),HI102&lt;=DATE(Identification!$B$60,10,31),SUM(HK102:HK116)=12),"OUI","")</f>
        <v/>
      </c>
    </row>
    <row r="103" spans="1:220" x14ac:dyDescent="0.2">
      <c r="A103" s="16" t="s">
        <v>404</v>
      </c>
      <c r="C103" s="27"/>
      <c r="D103" s="27"/>
      <c r="F103" s="34"/>
      <c r="G103" s="16">
        <f t="shared" si="30"/>
        <v>0</v>
      </c>
      <c r="L103" s="16" t="str">
        <f>+$P$14&amp;$N$7</f>
        <v>Fiche info Avenant 7FSem</v>
      </c>
      <c r="M103" s="16">
        <f>IF('Fiche info Avenant 7'!$BN$19=0,0,'Fiche info Avenant 7'!$BN$19)</f>
        <v>0</v>
      </c>
      <c r="BX103" s="16" t="str">
        <f t="shared" si="31"/>
        <v>Contrat finiG4</v>
      </c>
      <c r="EE103" s="16">
        <f t="shared" si="25"/>
        <v>0</v>
      </c>
      <c r="EF103" s="16">
        <f t="shared" si="26"/>
        <v>0</v>
      </c>
      <c r="EG103" s="16">
        <f t="shared" si="27"/>
        <v>0</v>
      </c>
      <c r="EH103" s="16">
        <f t="shared" si="28"/>
        <v>0</v>
      </c>
      <c r="EI103" s="16">
        <f t="shared" si="29"/>
        <v>0</v>
      </c>
      <c r="FB103" s="16" t="str">
        <f t="shared" si="33"/>
        <v/>
      </c>
      <c r="FC103" s="16" t="str">
        <f t="shared" si="34"/>
        <v/>
      </c>
      <c r="FD103" s="30">
        <f t="shared" si="24"/>
        <v>45597</v>
      </c>
      <c r="FE103" s="30" t="str">
        <f>+IFERROR(VLOOKUP(FD103,BDD,75,FALSE),"")</f>
        <v/>
      </c>
      <c r="FF103" s="30" t="str">
        <f>+IFERROR(VLOOKUP(FD103,BDD,76,FALSE),"")</f>
        <v/>
      </c>
      <c r="FG103" s="30" t="str">
        <f>IFERROR(+VLOOKUP(FD103,BDD,77,FALSE),"")</f>
        <v/>
      </c>
      <c r="FH103" s="30" t="str">
        <f>+IFERROR(VLOOKUP(FD103,BDD,78,FALSE),"")</f>
        <v/>
      </c>
      <c r="FW103" s="16" t="str">
        <f>Avril!GB27</f>
        <v>152026</v>
      </c>
      <c r="FX103" s="16">
        <f>Avril!GC27</f>
        <v>0</v>
      </c>
      <c r="HI103" s="85">
        <f>+Avril!AB28</f>
        <v>46121</v>
      </c>
      <c r="HJ103" s="27" t="str">
        <f>+Avril!AD28</f>
        <v/>
      </c>
      <c r="HK103" s="16">
        <f t="shared" si="35"/>
        <v>0</v>
      </c>
      <c r="HL103" s="16" t="str">
        <f>IF(AND(HI103&gt;=DATE(Identification!$B$60,5,1),HI103&lt;=DATE(Identification!$B$60,10,31),SUM(HK103:HK117)=12),"OUI","")</f>
        <v/>
      </c>
    </row>
    <row r="104" spans="1:220" x14ac:dyDescent="0.2">
      <c r="A104" s="16" t="s">
        <v>405</v>
      </c>
      <c r="C104" s="27"/>
      <c r="D104" s="27"/>
      <c r="F104" s="34"/>
      <c r="G104" s="16">
        <f t="shared" si="30"/>
        <v>0</v>
      </c>
      <c r="L104" s="16" t="str">
        <f>+$P$14&amp;$N$8</f>
        <v>Fiche info Avenant 7GSem</v>
      </c>
      <c r="M104" s="16">
        <f>IF('Fiche info Avenant 7'!$BY$19=0,0,'Fiche info Avenant 7'!$BY$19)</f>
        <v>0</v>
      </c>
      <c r="BX104" s="16" t="str">
        <f t="shared" si="31"/>
        <v>Contrat finiG5</v>
      </c>
      <c r="EE104" s="16">
        <f t="shared" si="25"/>
        <v>0</v>
      </c>
      <c r="EF104" s="16">
        <f t="shared" si="26"/>
        <v>0</v>
      </c>
      <c r="EG104" s="16">
        <f t="shared" si="27"/>
        <v>0</v>
      </c>
      <c r="EH104" s="16">
        <f t="shared" si="28"/>
        <v>0</v>
      </c>
      <c r="EI104" s="16">
        <f t="shared" si="29"/>
        <v>0</v>
      </c>
      <c r="FB104" s="16" t="str">
        <f t="shared" si="33"/>
        <v/>
      </c>
      <c r="FC104" s="16" t="str">
        <f t="shared" si="34"/>
        <v/>
      </c>
      <c r="FD104" s="30">
        <f t="shared" si="24"/>
        <v>45597</v>
      </c>
      <c r="FE104" s="30" t="str">
        <f>+IFERROR(VLOOKUP(FD104,BDD,79,FALSE),"")</f>
        <v/>
      </c>
      <c r="FF104" s="30" t="str">
        <f>IFERROR(+VLOOKUP(FD104,BDD,80,FALSE),"")</f>
        <v/>
      </c>
      <c r="FG104" s="30" t="str">
        <f>+IFERROR(VLOOKUP(FD104,BDD,81,FALSE),"")</f>
        <v/>
      </c>
      <c r="FH104" s="30" t="str">
        <f>+IFERROR(VLOOKUP(FD104,BDD,82,FALSE),"")</f>
        <v/>
      </c>
      <c r="FW104" s="16" t="str">
        <f>Avril!GB28</f>
        <v>152026</v>
      </c>
      <c r="FX104" s="16">
        <f>Avril!GC28</f>
        <v>0</v>
      </c>
      <c r="HI104" s="85">
        <f>+Avril!AB29</f>
        <v>46122</v>
      </c>
      <c r="HJ104" s="27" t="str">
        <f>+Avril!AD29</f>
        <v/>
      </c>
      <c r="HK104" s="16">
        <f t="shared" si="35"/>
        <v>0</v>
      </c>
      <c r="HL104" s="16" t="str">
        <f>IF(AND(HI104&gt;=DATE(Identification!$B$60,5,1),HI104&lt;=DATE(Identification!$B$60,10,31),SUM(HK104:HK118)=12),"OUI","")</f>
        <v/>
      </c>
    </row>
    <row r="105" spans="1:220" x14ac:dyDescent="0.2">
      <c r="A105" s="16" t="s">
        <v>406</v>
      </c>
      <c r="C105" s="27"/>
      <c r="D105" s="27"/>
      <c r="F105" s="34"/>
      <c r="G105" s="16">
        <f t="shared" si="30"/>
        <v>0</v>
      </c>
      <c r="L105" s="16" t="str">
        <f>+$P$14&amp;$N$9</f>
        <v>Fiche info Avenant 7HSem</v>
      </c>
      <c r="M105" s="16">
        <f>IF('Fiche info Avenant 7'!$CJ$19=0,0,'Fiche info Avenant 7'!$CJ$19)</f>
        <v>0</v>
      </c>
      <c r="BX105" s="16" t="str">
        <f t="shared" si="31"/>
        <v>Contrat finiG6</v>
      </c>
      <c r="EE105" s="16">
        <f t="shared" si="25"/>
        <v>0</v>
      </c>
      <c r="EF105" s="16">
        <f t="shared" si="26"/>
        <v>0</v>
      </c>
      <c r="EG105" s="16">
        <f t="shared" si="27"/>
        <v>0</v>
      </c>
      <c r="EH105" s="16">
        <f t="shared" si="28"/>
        <v>0</v>
      </c>
      <c r="EI105" s="16">
        <f t="shared" si="29"/>
        <v>0</v>
      </c>
      <c r="FB105" s="16" t="str">
        <f t="shared" si="33"/>
        <v/>
      </c>
      <c r="FC105" s="16" t="str">
        <f t="shared" si="34"/>
        <v/>
      </c>
      <c r="FD105" s="30">
        <f t="shared" si="24"/>
        <v>45597</v>
      </c>
      <c r="FE105" s="30" t="str">
        <f>+IFERROR(VLOOKUP(FD105,BDD,83,FALSE),"")</f>
        <v/>
      </c>
      <c r="FF105" s="30" t="str">
        <f>+IFERROR(VLOOKUP(FD105,BDD,84,FALSE),"")</f>
        <v/>
      </c>
      <c r="FG105" s="30" t="str">
        <f>+IFERROR(VLOOKUP(FD105,BDD,85,FALSE),"")</f>
        <v/>
      </c>
      <c r="FH105" s="30" t="str">
        <f>+IFERROR(VLOOKUP(FD105,BDD,86,FALSE),"")</f>
        <v/>
      </c>
      <c r="FW105" s="16" t="str">
        <f>Avril!GB29</f>
        <v>152026</v>
      </c>
      <c r="FX105" s="16">
        <f>Avril!GC29</f>
        <v>0</v>
      </c>
      <c r="HI105" s="85">
        <f>+Avril!AB30</f>
        <v>46123</v>
      </c>
      <c r="HJ105" s="27" t="str">
        <f>+Avril!AD30</f>
        <v/>
      </c>
      <c r="HK105" s="16">
        <f t="shared" si="35"/>
        <v>0</v>
      </c>
      <c r="HL105" s="16" t="str">
        <f>IF(AND(HI105&gt;=DATE(Identification!$B$60,5,1),HI105&lt;=DATE(Identification!$B$60,10,31),SUM(HK105:HK119)=12),"OUI","")</f>
        <v/>
      </c>
    </row>
    <row r="106" spans="1:220" x14ac:dyDescent="0.2">
      <c r="A106" s="16" t="s">
        <v>407</v>
      </c>
      <c r="C106" s="27"/>
      <c r="D106" s="27"/>
      <c r="F106" s="34"/>
      <c r="G106" s="16">
        <f t="shared" si="30"/>
        <v>0</v>
      </c>
      <c r="L106" s="16" t="str">
        <f>+$P$15&amp;$N$2</f>
        <v>Fiche info Avenant 8ASem</v>
      </c>
      <c r="M106" s="16">
        <f>IF('Fiche info Avenant 8'!$K$19=0,0,'Fiche info Avenant 8'!$K$19)</f>
        <v>0</v>
      </c>
      <c r="BX106" s="16" t="str">
        <f t="shared" si="31"/>
        <v>Contrat finiG7</v>
      </c>
      <c r="EE106" s="16">
        <f t="shared" si="25"/>
        <v>0</v>
      </c>
      <c r="EF106" s="16">
        <f t="shared" si="26"/>
        <v>0</v>
      </c>
      <c r="EG106" s="16">
        <f t="shared" si="27"/>
        <v>0</v>
      </c>
      <c r="EH106" s="16">
        <f t="shared" si="28"/>
        <v>0</v>
      </c>
      <c r="EI106" s="16">
        <f t="shared" si="29"/>
        <v>0</v>
      </c>
      <c r="FB106" s="16" t="str">
        <f t="shared" si="33"/>
        <v/>
      </c>
      <c r="FC106" s="16" t="str">
        <f t="shared" si="34"/>
        <v/>
      </c>
      <c r="FD106" s="30">
        <f t="shared" si="24"/>
        <v>45566</v>
      </c>
      <c r="FE106" s="30" t="str">
        <f>+IFERROR(VLOOKUP(FD106,BDD,71,FALSE),"")</f>
        <v/>
      </c>
      <c r="FF106" s="30" t="str">
        <f>IFERROR(+VLOOKUP(FD106,BDD,72,FALSE),"")</f>
        <v/>
      </c>
      <c r="FG106" s="30" t="str">
        <f>+IFERROR(VLOOKUP(FD106,BDD,73,FALSE),"")</f>
        <v/>
      </c>
      <c r="FH106" s="30" t="str">
        <f>+IFERROR(VLOOKUP(FD106,BDD,74,FALSE),"")</f>
        <v/>
      </c>
      <c r="FW106" s="16" t="str">
        <f>Avril!GB30</f>
        <v>152026</v>
      </c>
      <c r="FX106" s="16">
        <f>Avril!GC30</f>
        <v>0</v>
      </c>
      <c r="HI106" s="85">
        <f>+Avril!AB31</f>
        <v>46124</v>
      </c>
      <c r="HJ106" s="27" t="str">
        <f>+Avril!AD31</f>
        <v/>
      </c>
      <c r="HK106" s="16">
        <f t="shared" si="35"/>
        <v>0</v>
      </c>
      <c r="HL106" s="16" t="str">
        <f>IF(AND(HI106&gt;=DATE(Identification!$B$60,5,1),HI106&lt;=DATE(Identification!$B$60,10,31),SUM(HK106:HK120)=12),"OUI","")</f>
        <v/>
      </c>
    </row>
    <row r="107" spans="1:220" x14ac:dyDescent="0.2">
      <c r="A107" s="16" t="s">
        <v>408</v>
      </c>
      <c r="C107" s="27"/>
      <c r="D107" s="27"/>
      <c r="F107" s="34"/>
      <c r="G107" s="16">
        <f t="shared" si="30"/>
        <v>0</v>
      </c>
      <c r="L107" s="16" t="str">
        <f>+$P$15&amp;$N$3</f>
        <v>Fiche info Avenant 8BSem</v>
      </c>
      <c r="M107" s="16">
        <f>IF('Fiche info Avenant 8'!$V$19=0,0,'Fiche info Avenant 8'!$V$19)</f>
        <v>0</v>
      </c>
      <c r="BX107" s="16" t="str">
        <f t="shared" si="31"/>
        <v>Contrat finiH1</v>
      </c>
      <c r="EE107" s="16">
        <f t="shared" si="25"/>
        <v>0</v>
      </c>
      <c r="EF107" s="16">
        <f t="shared" si="26"/>
        <v>0</v>
      </c>
      <c r="EG107" s="16">
        <f t="shared" si="27"/>
        <v>0</v>
      </c>
      <c r="EH107" s="16">
        <f t="shared" si="28"/>
        <v>0</v>
      </c>
      <c r="EI107" s="16">
        <f t="shared" si="29"/>
        <v>0</v>
      </c>
      <c r="FB107" s="16" t="str">
        <f t="shared" si="33"/>
        <v/>
      </c>
      <c r="FC107" s="16" t="str">
        <f t="shared" si="34"/>
        <v/>
      </c>
      <c r="FD107" s="30">
        <f t="shared" si="24"/>
        <v>45566</v>
      </c>
      <c r="FE107" s="30" t="str">
        <f>+IFERROR(VLOOKUP(FD107,BDD,75,FALSE),"")</f>
        <v/>
      </c>
      <c r="FF107" s="30" t="str">
        <f>+IFERROR(VLOOKUP(FD107,BDD,76,FALSE),"")</f>
        <v/>
      </c>
      <c r="FG107" s="30" t="str">
        <f>IFERROR(+VLOOKUP(FD107,BDD,77,FALSE),"")</f>
        <v/>
      </c>
      <c r="FH107" s="30" t="str">
        <f>+IFERROR(VLOOKUP(FD107,BDD,78,FALSE),"")</f>
        <v/>
      </c>
      <c r="FW107" s="16" t="str">
        <f>Avril!GB31</f>
        <v>152026</v>
      </c>
      <c r="FX107" s="16">
        <f>Avril!GC31</f>
        <v>0</v>
      </c>
      <c r="HI107" s="85">
        <f>+Avril!AB32</f>
        <v>46125</v>
      </c>
      <c r="HJ107" s="27" t="str">
        <f>+Avril!AD32</f>
        <v/>
      </c>
      <c r="HK107" s="16">
        <f t="shared" si="35"/>
        <v>0</v>
      </c>
      <c r="HL107" s="16" t="str">
        <f>IF(AND(HI107&gt;=DATE(Identification!$B$60,5,1),HI107&lt;=DATE(Identification!$B$60,10,31),SUM(HK107:HK121)=12),"OUI","")</f>
        <v/>
      </c>
    </row>
    <row r="108" spans="1:220" x14ac:dyDescent="0.2">
      <c r="A108" s="16" t="s">
        <v>409</v>
      </c>
      <c r="C108" s="27"/>
      <c r="D108" s="27"/>
      <c r="F108" s="34"/>
      <c r="G108" s="16">
        <f t="shared" si="30"/>
        <v>0</v>
      </c>
      <c r="L108" s="16" t="str">
        <f>+$P$15&amp;$N$4</f>
        <v>Fiche info Avenant 8CSem</v>
      </c>
      <c r="M108" s="16">
        <f>IF('Fiche info Avenant 8'!$AG$19=0,0,'Fiche info Avenant 8'!$AG$19)</f>
        <v>0</v>
      </c>
      <c r="BX108" s="16" t="str">
        <f t="shared" si="31"/>
        <v>Contrat finiH2</v>
      </c>
      <c r="EE108" s="16">
        <f t="shared" si="25"/>
        <v>0</v>
      </c>
      <c r="EF108" s="16">
        <f t="shared" si="26"/>
        <v>0</v>
      </c>
      <c r="EG108" s="16">
        <f t="shared" si="27"/>
        <v>0</v>
      </c>
      <c r="EH108" s="16">
        <f t="shared" si="28"/>
        <v>0</v>
      </c>
      <c r="EI108" s="16">
        <f t="shared" si="29"/>
        <v>0</v>
      </c>
      <c r="FB108" s="16" t="str">
        <f t="shared" si="33"/>
        <v/>
      </c>
      <c r="FC108" s="16" t="str">
        <f t="shared" si="34"/>
        <v/>
      </c>
      <c r="FD108" s="30">
        <f t="shared" si="24"/>
        <v>45566</v>
      </c>
      <c r="FE108" s="30" t="str">
        <f>+IFERROR(VLOOKUP(FD108,BDD,79,FALSE),"")</f>
        <v/>
      </c>
      <c r="FF108" s="30" t="str">
        <f>IFERROR(+VLOOKUP(FD108,BDD,80,FALSE),"")</f>
        <v/>
      </c>
      <c r="FG108" s="30" t="str">
        <f>+IFERROR(VLOOKUP(FD108,BDD,81,FALSE),"")</f>
        <v/>
      </c>
      <c r="FH108" s="30" t="str">
        <f>+IFERROR(VLOOKUP(FD108,BDD,82,FALSE),"")</f>
        <v/>
      </c>
      <c r="FW108" s="16" t="str">
        <f>Avril!GB32</f>
        <v>162026</v>
      </c>
      <c r="FX108" s="16">
        <f>Avril!GC32</f>
        <v>0</v>
      </c>
      <c r="HI108" s="85">
        <f>+Avril!AB33</f>
        <v>46126</v>
      </c>
      <c r="HJ108" s="27" t="str">
        <f>+Avril!AD33</f>
        <v/>
      </c>
      <c r="HK108" s="16">
        <f t="shared" si="35"/>
        <v>0</v>
      </c>
      <c r="HL108" s="16" t="str">
        <f>IF(AND(HI108&gt;=DATE(Identification!$B$60,5,1),HI108&lt;=DATE(Identification!$B$60,10,31),SUM(HK108:HK122)=12),"OUI","")</f>
        <v/>
      </c>
    </row>
    <row r="109" spans="1:220" x14ac:dyDescent="0.2">
      <c r="A109" s="16" t="s">
        <v>410</v>
      </c>
      <c r="C109" s="27"/>
      <c r="D109" s="27"/>
      <c r="F109" s="34"/>
      <c r="G109" s="16">
        <f t="shared" si="30"/>
        <v>0</v>
      </c>
      <c r="L109" s="16" t="str">
        <f>+$P$15&amp;$N$5</f>
        <v>Fiche info Avenant 8DSem</v>
      </c>
      <c r="M109" s="16">
        <f>IF('Fiche info Avenant 8'!$AR$19=0,0,'Fiche info Avenant 8'!$AR$19)</f>
        <v>0</v>
      </c>
      <c r="BX109" s="16" t="str">
        <f t="shared" si="31"/>
        <v>Contrat finiH3</v>
      </c>
      <c r="EE109" s="16">
        <f t="shared" si="25"/>
        <v>0</v>
      </c>
      <c r="EF109" s="16">
        <f t="shared" si="26"/>
        <v>0</v>
      </c>
      <c r="EG109" s="16">
        <f t="shared" si="27"/>
        <v>0</v>
      </c>
      <c r="EH109" s="16">
        <f t="shared" si="28"/>
        <v>0</v>
      </c>
      <c r="EI109" s="16">
        <f t="shared" si="29"/>
        <v>0</v>
      </c>
      <c r="FB109" s="16" t="str">
        <f t="shared" si="33"/>
        <v/>
      </c>
      <c r="FC109" s="16" t="str">
        <f t="shared" si="34"/>
        <v/>
      </c>
      <c r="FD109" s="30">
        <f t="shared" si="24"/>
        <v>45566</v>
      </c>
      <c r="FE109" s="30" t="str">
        <f>+IFERROR(VLOOKUP(FD109,BDD,83,FALSE),"")</f>
        <v/>
      </c>
      <c r="FF109" s="30" t="str">
        <f>+IFERROR(VLOOKUP(FD109,BDD,84,FALSE),"")</f>
        <v/>
      </c>
      <c r="FG109" s="30" t="str">
        <f>+IFERROR(VLOOKUP(FD109,BDD,85,FALSE),"")</f>
        <v/>
      </c>
      <c r="FH109" s="30" t="str">
        <f>+IFERROR(VLOOKUP(FD109,BDD,86,FALSE),"")</f>
        <v/>
      </c>
      <c r="FW109" s="16" t="str">
        <f>Avril!GB33</f>
        <v>162026</v>
      </c>
      <c r="FX109" s="16">
        <f>Avril!GC33</f>
        <v>0</v>
      </c>
      <c r="HI109" s="85">
        <f>+Avril!AB34</f>
        <v>46127</v>
      </c>
      <c r="HJ109" s="27" t="str">
        <f>+Avril!AD34</f>
        <v/>
      </c>
      <c r="HK109" s="16">
        <f t="shared" si="35"/>
        <v>0</v>
      </c>
      <c r="HL109" s="16" t="str">
        <f>IF(AND(HI109&gt;=DATE(Identification!$B$60,5,1),HI109&lt;=DATE(Identification!$B$60,10,31),SUM(HK109:HK123)=12),"OUI","")</f>
        <v/>
      </c>
    </row>
    <row r="110" spans="1:220" x14ac:dyDescent="0.2">
      <c r="A110" s="16" t="s">
        <v>411</v>
      </c>
      <c r="C110" s="27"/>
      <c r="D110" s="27"/>
      <c r="F110" s="34"/>
      <c r="G110" s="16">
        <f t="shared" si="30"/>
        <v>0</v>
      </c>
      <c r="L110" s="16" t="str">
        <f>+$P$15&amp;$N$6</f>
        <v>Fiche info Avenant 8ESem</v>
      </c>
      <c r="M110" s="16">
        <f>IF('Fiche info Avenant 8'!$BC$19=0,0,'Fiche info Avenant 8'!$BC$19)</f>
        <v>0</v>
      </c>
      <c r="BX110" s="16" t="str">
        <f t="shared" si="31"/>
        <v>Contrat finiH4</v>
      </c>
      <c r="EE110" s="16">
        <f t="shared" si="25"/>
        <v>0</v>
      </c>
      <c r="EF110" s="16">
        <f t="shared" si="26"/>
        <v>0</v>
      </c>
      <c r="EG110" s="16">
        <f t="shared" si="27"/>
        <v>0</v>
      </c>
      <c r="EH110" s="16">
        <f t="shared" si="28"/>
        <v>0</v>
      </c>
      <c r="EI110" s="16">
        <f t="shared" si="29"/>
        <v>0</v>
      </c>
      <c r="FB110" s="16" t="str">
        <f t="shared" si="33"/>
        <v/>
      </c>
      <c r="FC110" s="16" t="str">
        <f t="shared" si="34"/>
        <v/>
      </c>
      <c r="FD110" s="30">
        <f t="shared" si="24"/>
        <v>45536</v>
      </c>
      <c r="FE110" s="30" t="str">
        <f>+IFERROR(VLOOKUP(FD110,BDD,71,FALSE),"")</f>
        <v/>
      </c>
      <c r="FF110" s="30" t="str">
        <f>IFERROR(+VLOOKUP(FD110,BDD,72,FALSE),"")</f>
        <v/>
      </c>
      <c r="FG110" s="30" t="str">
        <f>+IFERROR(VLOOKUP(FD110,BDD,73,FALSE),"")</f>
        <v/>
      </c>
      <c r="FH110" s="30" t="str">
        <f>+IFERROR(VLOOKUP(FD110,BDD,74,FALSE),"")</f>
        <v/>
      </c>
      <c r="FW110" s="16" t="str">
        <f>Avril!GB34</f>
        <v>162026</v>
      </c>
      <c r="FX110" s="16">
        <f>Avril!GC34</f>
        <v>0</v>
      </c>
      <c r="HI110" s="85">
        <f>+Avril!AB35</f>
        <v>46128</v>
      </c>
      <c r="HJ110" s="27" t="str">
        <f>+Avril!AD35</f>
        <v/>
      </c>
      <c r="HK110" s="16">
        <f t="shared" si="35"/>
        <v>0</v>
      </c>
      <c r="HL110" s="16" t="str">
        <f>IF(AND(HI110&gt;=DATE(Identification!$B$60,5,1),HI110&lt;=DATE(Identification!$B$60,10,31),SUM(HK110:HK124)=12),"OUI","")</f>
        <v/>
      </c>
    </row>
    <row r="111" spans="1:220" x14ac:dyDescent="0.2">
      <c r="A111" s="16" t="s">
        <v>412</v>
      </c>
      <c r="C111" s="27"/>
      <c r="D111" s="27"/>
      <c r="F111" s="34"/>
      <c r="G111" s="16">
        <f t="shared" si="30"/>
        <v>0</v>
      </c>
      <c r="L111" s="16" t="str">
        <f>+$P$15&amp;$N$7</f>
        <v>Fiche info Avenant 8FSem</v>
      </c>
      <c r="M111" s="16">
        <f>IF('Fiche info Avenant 8'!$BN$19=0,0,'Fiche info Avenant 8'!$BN$19)</f>
        <v>0</v>
      </c>
      <c r="BX111" s="16" t="str">
        <f t="shared" si="31"/>
        <v>Contrat finiH5</v>
      </c>
      <c r="EE111" s="16">
        <f t="shared" si="25"/>
        <v>0</v>
      </c>
      <c r="EF111" s="16">
        <f t="shared" si="26"/>
        <v>0</v>
      </c>
      <c r="EG111" s="16">
        <f t="shared" si="27"/>
        <v>0</v>
      </c>
      <c r="EH111" s="16">
        <f t="shared" si="28"/>
        <v>0</v>
      </c>
      <c r="EI111" s="16">
        <f t="shared" si="29"/>
        <v>0</v>
      </c>
      <c r="FB111" s="16" t="str">
        <f t="shared" si="33"/>
        <v/>
      </c>
      <c r="FC111" s="16" t="str">
        <f t="shared" si="34"/>
        <v/>
      </c>
      <c r="FD111" s="30">
        <f t="shared" si="24"/>
        <v>45536</v>
      </c>
      <c r="FE111" s="30" t="str">
        <f>+IFERROR(VLOOKUP(FD111,BDD,75,FALSE),"")</f>
        <v/>
      </c>
      <c r="FF111" s="30" t="str">
        <f>+IFERROR(VLOOKUP(FD111,BDD,76,FALSE),"")</f>
        <v/>
      </c>
      <c r="FG111" s="30" t="str">
        <f>IFERROR(+VLOOKUP(FD111,BDD,77,FALSE),"")</f>
        <v/>
      </c>
      <c r="FH111" s="30" t="str">
        <f>+IFERROR(VLOOKUP(FD111,BDD,78,FALSE),"")</f>
        <v/>
      </c>
      <c r="FW111" s="16" t="str">
        <f>Avril!GB35</f>
        <v>162026</v>
      </c>
      <c r="FX111" s="16">
        <f>Avril!GC35</f>
        <v>0</v>
      </c>
      <c r="HI111" s="85">
        <f>+Avril!AB36</f>
        <v>46129</v>
      </c>
      <c r="HJ111" s="27" t="str">
        <f>+Avril!AD36</f>
        <v/>
      </c>
      <c r="HK111" s="16">
        <f t="shared" si="35"/>
        <v>0</v>
      </c>
      <c r="HL111" s="16" t="str">
        <f>IF(AND(HI111&gt;=DATE(Identification!$B$60,5,1),HI111&lt;=DATE(Identification!$B$60,10,31),SUM(HK111:HK125)=12),"OUI","")</f>
        <v/>
      </c>
    </row>
    <row r="112" spans="1:220" x14ac:dyDescent="0.2">
      <c r="A112" s="16" t="s">
        <v>413</v>
      </c>
      <c r="C112" s="27"/>
      <c r="D112" s="27"/>
      <c r="F112" s="34"/>
      <c r="G112" s="16">
        <f t="shared" si="30"/>
        <v>0</v>
      </c>
      <c r="L112" s="16" t="str">
        <f>+$P$15&amp;$N$8</f>
        <v>Fiche info Avenant 8GSem</v>
      </c>
      <c r="M112" s="16">
        <f>IF('Fiche info Avenant 8'!$BY$19=0,0,'Fiche info Avenant 8'!$BY$19)</f>
        <v>0</v>
      </c>
      <c r="BX112" s="16" t="str">
        <f t="shared" si="31"/>
        <v>Contrat finiH6</v>
      </c>
      <c r="EE112" s="16">
        <f t="shared" si="25"/>
        <v>0</v>
      </c>
      <c r="EF112" s="16">
        <f t="shared" si="26"/>
        <v>0</v>
      </c>
      <c r="EG112" s="16">
        <f t="shared" si="27"/>
        <v>0</v>
      </c>
      <c r="EH112" s="16">
        <f t="shared" si="28"/>
        <v>0</v>
      </c>
      <c r="EI112" s="16">
        <f t="shared" si="29"/>
        <v>0</v>
      </c>
      <c r="FB112" s="16" t="str">
        <f t="shared" si="33"/>
        <v/>
      </c>
      <c r="FC112" s="16" t="str">
        <f t="shared" si="34"/>
        <v/>
      </c>
      <c r="FD112" s="30">
        <f t="shared" si="24"/>
        <v>45536</v>
      </c>
      <c r="FE112" s="30" t="str">
        <f>+IFERROR(VLOOKUP(FD112,BDD,79,FALSE),"")</f>
        <v/>
      </c>
      <c r="FF112" s="30" t="str">
        <f>IFERROR(+VLOOKUP(FD112,BDD,80,FALSE),"")</f>
        <v/>
      </c>
      <c r="FG112" s="30" t="str">
        <f>+IFERROR(VLOOKUP(FD112,BDD,81,FALSE),"")</f>
        <v/>
      </c>
      <c r="FH112" s="30" t="str">
        <f>+IFERROR(VLOOKUP(FD112,BDD,82,FALSE),"")</f>
        <v/>
      </c>
      <c r="FW112" s="16" t="str">
        <f>Avril!GB36</f>
        <v>162026</v>
      </c>
      <c r="FX112" s="16">
        <f>Avril!GC36</f>
        <v>0</v>
      </c>
      <c r="HI112" s="85">
        <f>+Avril!AB37</f>
        <v>46130</v>
      </c>
      <c r="HJ112" s="27" t="str">
        <f>+Avril!AD37</f>
        <v/>
      </c>
      <c r="HK112" s="16">
        <f t="shared" si="35"/>
        <v>0</v>
      </c>
      <c r="HL112" s="16" t="str">
        <f>IF(AND(HI112&gt;=DATE(Identification!$B$60,5,1),HI112&lt;=DATE(Identification!$B$60,10,31),SUM(HK112:HK126)=12),"OUI","")</f>
        <v/>
      </c>
    </row>
    <row r="113" spans="1:220" x14ac:dyDescent="0.2">
      <c r="A113" s="16" t="s">
        <v>414</v>
      </c>
      <c r="C113" s="27"/>
      <c r="D113" s="27"/>
      <c r="F113" s="34"/>
      <c r="G113" s="16">
        <f t="shared" si="30"/>
        <v>0</v>
      </c>
      <c r="L113" s="16" t="str">
        <f>+$P$15&amp;$N$9</f>
        <v>Fiche info Avenant 8HSem</v>
      </c>
      <c r="M113" s="16">
        <f>IF('Fiche info Avenant 8'!$CJ$19=0,0,'Fiche info Avenant 8'!$CJ$19)</f>
        <v>0</v>
      </c>
      <c r="BX113" s="16" t="str">
        <f t="shared" si="31"/>
        <v>Contrat finiH7</v>
      </c>
      <c r="EE113" s="16">
        <f t="shared" si="25"/>
        <v>0</v>
      </c>
      <c r="EF113" s="16">
        <f t="shared" si="26"/>
        <v>0</v>
      </c>
      <c r="EG113" s="16">
        <f t="shared" si="27"/>
        <v>0</v>
      </c>
      <c r="EH113" s="16">
        <f t="shared" si="28"/>
        <v>0</v>
      </c>
      <c r="EI113" s="16">
        <f t="shared" si="29"/>
        <v>0</v>
      </c>
      <c r="FB113" s="16" t="str">
        <f t="shared" si="33"/>
        <v/>
      </c>
      <c r="FC113" s="16" t="str">
        <f t="shared" si="34"/>
        <v/>
      </c>
      <c r="FD113" s="30">
        <f t="shared" si="24"/>
        <v>45536</v>
      </c>
      <c r="FE113" s="30" t="str">
        <f>+IFERROR(VLOOKUP(FD113,BDD,83,FALSE),"")</f>
        <v/>
      </c>
      <c r="FF113" s="30" t="str">
        <f>+IFERROR(VLOOKUP(FD113,BDD,84,FALSE),"")</f>
        <v/>
      </c>
      <c r="FG113" s="30" t="str">
        <f>+IFERROR(VLOOKUP(FD113,BDD,85,FALSE),"")</f>
        <v/>
      </c>
      <c r="FH113" s="30" t="str">
        <f>+IFERROR(VLOOKUP(FD113,BDD,86,FALSE),"")</f>
        <v/>
      </c>
      <c r="FW113" s="16" t="str">
        <f>Avril!GB37</f>
        <v>162026</v>
      </c>
      <c r="FX113" s="16">
        <f>Avril!GC37</f>
        <v>0</v>
      </c>
      <c r="HI113" s="85">
        <f>+Avril!AB38</f>
        <v>46131</v>
      </c>
      <c r="HJ113" s="27" t="str">
        <f>+Avril!AD38</f>
        <v/>
      </c>
      <c r="HK113" s="16">
        <f t="shared" si="35"/>
        <v>0</v>
      </c>
      <c r="HL113" s="16" t="str">
        <f>IF(AND(HI113&gt;=DATE(Identification!$B$60,5,1),HI113&lt;=DATE(Identification!$B$60,10,31),SUM(HK113:HK127)=12),"OUI","")</f>
        <v/>
      </c>
    </row>
    <row r="114" spans="1:220" x14ac:dyDescent="0.2">
      <c r="A114" s="16" t="str">
        <f>+B114&amp;C114&amp;D114</f>
        <v>Fiche infoA1</v>
      </c>
      <c r="B114" s="16" t="str">
        <f>+$Z$4</f>
        <v>Fiche info</v>
      </c>
      <c r="C114" s="27" t="s">
        <v>226</v>
      </c>
      <c r="D114" s="27">
        <v>1</v>
      </c>
      <c r="E114" s="16" t="s">
        <v>17</v>
      </c>
      <c r="F114" s="34" t="str">
        <f>IF('Fiche info'!$K$7=0,"",'Fiche info'!$K$7)</f>
        <v/>
      </c>
      <c r="G114" s="16">
        <f t="shared" si="30"/>
        <v>0</v>
      </c>
      <c r="L114" s="16" t="str">
        <f>+$P$16&amp;$N$2</f>
        <v>Fiche info Avenant 9ASem</v>
      </c>
      <c r="M114" s="16">
        <f>IF('Fiche info Avenant 9'!$K$19=0,0,'Fiche info Avenant 9'!$K$19)</f>
        <v>0</v>
      </c>
      <c r="BX114" s="16" t="str">
        <f t="shared" si="31"/>
        <v>Fiche infoA1</v>
      </c>
      <c r="BY114" s="431">
        <f>'Fiche info'!B7</f>
        <v>0</v>
      </c>
      <c r="BZ114" s="431">
        <f>'Fiche info'!C7</f>
        <v>0</v>
      </c>
      <c r="CA114" s="431">
        <f>'Fiche info'!D7</f>
        <v>0</v>
      </c>
      <c r="CB114" s="431">
        <f>'Fiche info'!E7</f>
        <v>0</v>
      </c>
      <c r="CC114" s="431">
        <f>'Fiche info'!F7</f>
        <v>0</v>
      </c>
      <c r="CD114" s="431">
        <f>'Fiche info'!G7</f>
        <v>0</v>
      </c>
      <c r="CE114" s="431">
        <f>'Fiche info'!H7</f>
        <v>0</v>
      </c>
      <c r="CF114" s="431">
        <f>'Fiche info'!I7</f>
        <v>0</v>
      </c>
      <c r="ED114" s="16" t="str">
        <f>+EE114&amp;EF114</f>
        <v>Fiche infoA</v>
      </c>
      <c r="EE114" s="16" t="str">
        <f t="shared" si="25"/>
        <v>Fiche info</v>
      </c>
      <c r="EF114" s="16" t="str">
        <f t="shared" si="26"/>
        <v>A</v>
      </c>
      <c r="EG114" s="16">
        <f t="shared" si="27"/>
        <v>1</v>
      </c>
      <c r="EH114" s="16" t="str">
        <f t="shared" si="28"/>
        <v>Lundi</v>
      </c>
      <c r="EI114" s="16" t="str">
        <f t="shared" si="29"/>
        <v/>
      </c>
      <c r="FB114" s="16" t="str">
        <f t="shared" si="33"/>
        <v/>
      </c>
      <c r="FC114" s="16" t="str">
        <f t="shared" si="34"/>
        <v/>
      </c>
      <c r="FD114" s="30">
        <f t="shared" si="24"/>
        <v>45505</v>
      </c>
      <c r="FE114" s="30" t="str">
        <f>+IFERROR(VLOOKUP(FD114,BDD,71,FALSE),"")</f>
        <v/>
      </c>
      <c r="FF114" s="30" t="str">
        <f>IFERROR(+VLOOKUP(FD114,BDD,72,FALSE),"")</f>
        <v/>
      </c>
      <c r="FG114" s="30" t="str">
        <f>+IFERROR(VLOOKUP(FD114,BDD,73,FALSE),"")</f>
        <v/>
      </c>
      <c r="FH114" s="30" t="str">
        <f>+IFERROR(VLOOKUP(FD114,BDD,74,FALSE),"")</f>
        <v/>
      </c>
      <c r="FW114" s="16" t="str">
        <f>Avril!GB38</f>
        <v>162026</v>
      </c>
      <c r="FX114" s="16">
        <f>Avril!GC38</f>
        <v>0</v>
      </c>
      <c r="HI114" s="85">
        <f>+Avril!AB39</f>
        <v>46132</v>
      </c>
      <c r="HJ114" s="27" t="str">
        <f>+Avril!AD39</f>
        <v/>
      </c>
      <c r="HK114" s="16">
        <f t="shared" si="35"/>
        <v>0</v>
      </c>
      <c r="HL114" s="16" t="str">
        <f>IF(AND(HI114&gt;=DATE(Identification!$B$60,5,1),HI114&lt;=DATE(Identification!$B$60,10,31),SUM(HK114:HK128)=12),"OUI","")</f>
        <v/>
      </c>
    </row>
    <row r="115" spans="1:220" x14ac:dyDescent="0.2">
      <c r="A115" s="16" t="str">
        <f t="shared" ref="A115:A169" si="38">+B115&amp;C115&amp;D115</f>
        <v>Fiche infoA2</v>
      </c>
      <c r="B115" s="16" t="str">
        <f t="shared" ref="B115:B169" si="39">+$Z$4</f>
        <v>Fiche info</v>
      </c>
      <c r="C115" s="27" t="s">
        <v>226</v>
      </c>
      <c r="D115" s="27">
        <v>2</v>
      </c>
      <c r="E115" s="16" t="s">
        <v>18</v>
      </c>
      <c r="F115" s="34" t="str">
        <f>IF('Fiche info'!$K$8=0,"",'Fiche info'!$K$8)</f>
        <v/>
      </c>
      <c r="G115" s="16">
        <f t="shared" si="30"/>
        <v>0</v>
      </c>
      <c r="L115" s="16" t="str">
        <f>+$P$16&amp;$N$3</f>
        <v>Fiche info Avenant 9BSem</v>
      </c>
      <c r="M115" s="16">
        <f>IF('Fiche info Avenant 9'!$V$19=0,0,'Fiche info Avenant 9'!$V$19)</f>
        <v>0</v>
      </c>
      <c r="BX115" s="16" t="str">
        <f t="shared" si="31"/>
        <v>Fiche infoA2</v>
      </c>
      <c r="BY115" s="431">
        <f>'Fiche info'!B8</f>
        <v>0</v>
      </c>
      <c r="BZ115" s="431">
        <f>'Fiche info'!C8</f>
        <v>0</v>
      </c>
      <c r="CA115" s="431">
        <f>'Fiche info'!D8</f>
        <v>0</v>
      </c>
      <c r="CB115" s="431">
        <f>'Fiche info'!E8</f>
        <v>0</v>
      </c>
      <c r="CC115" s="431">
        <f>'Fiche info'!F8</f>
        <v>0</v>
      </c>
      <c r="CD115" s="431">
        <f>'Fiche info'!G8</f>
        <v>0</v>
      </c>
      <c r="CE115" s="431">
        <f>'Fiche info'!H8</f>
        <v>0</v>
      </c>
      <c r="CF115" s="431">
        <f>'Fiche info'!I8</f>
        <v>0</v>
      </c>
      <c r="ED115" s="16" t="str">
        <f t="shared" ref="ED115:ED178" si="40">+EE115&amp;EF115</f>
        <v>Fiche infoA</v>
      </c>
      <c r="EE115" s="16" t="str">
        <f t="shared" si="25"/>
        <v>Fiche info</v>
      </c>
      <c r="EF115" s="16" t="str">
        <f t="shared" si="26"/>
        <v>A</v>
      </c>
      <c r="EG115" s="16">
        <f t="shared" si="27"/>
        <v>2</v>
      </c>
      <c r="EH115" s="16" t="str">
        <f t="shared" si="28"/>
        <v>Mardi</v>
      </c>
      <c r="EI115" s="16" t="str">
        <f t="shared" si="29"/>
        <v/>
      </c>
      <c r="FB115" s="16" t="str">
        <f t="shared" si="33"/>
        <v/>
      </c>
      <c r="FC115" s="16" t="str">
        <f t="shared" si="34"/>
        <v/>
      </c>
      <c r="FD115" s="30">
        <f t="shared" si="24"/>
        <v>45505</v>
      </c>
      <c r="FE115" s="30" t="str">
        <f>+IFERROR(VLOOKUP(FD115,BDD,75,FALSE),"")</f>
        <v/>
      </c>
      <c r="FF115" s="30" t="str">
        <f>+IFERROR(VLOOKUP(FD115,BDD,76,FALSE),"")</f>
        <v/>
      </c>
      <c r="FG115" s="30" t="str">
        <f>IFERROR(+VLOOKUP(FD115,BDD,77,FALSE),"")</f>
        <v/>
      </c>
      <c r="FH115" s="30" t="str">
        <f>+IFERROR(VLOOKUP(FD115,BDD,78,FALSE),"")</f>
        <v/>
      </c>
      <c r="FW115" s="16" t="str">
        <f>Avril!GB39</f>
        <v>172026</v>
      </c>
      <c r="FX115" s="16">
        <f>Avril!GC39</f>
        <v>0</v>
      </c>
      <c r="HI115" s="85">
        <f>+Avril!AB40</f>
        <v>46133</v>
      </c>
      <c r="HJ115" s="27" t="str">
        <f>+Avril!AD40</f>
        <v/>
      </c>
      <c r="HK115" s="16">
        <f t="shared" si="35"/>
        <v>0</v>
      </c>
      <c r="HL115" s="16" t="str">
        <f>IF(AND(HI115&gt;=DATE(Identification!$B$60,5,1),HI115&lt;=DATE(Identification!$B$60,10,31),SUM(HK115:HK129)=12),"OUI","")</f>
        <v/>
      </c>
    </row>
    <row r="116" spans="1:220" x14ac:dyDescent="0.2">
      <c r="A116" s="16" t="str">
        <f t="shared" si="38"/>
        <v>Fiche infoA3</v>
      </c>
      <c r="B116" s="16" t="str">
        <f t="shared" si="39"/>
        <v>Fiche info</v>
      </c>
      <c r="C116" s="27" t="s">
        <v>226</v>
      </c>
      <c r="D116" s="27">
        <v>3</v>
      </c>
      <c r="E116" s="16" t="s">
        <v>19</v>
      </c>
      <c r="F116" s="34" t="str">
        <f>IF('Fiche info'!$K$9=0,"",'Fiche info'!$K$9)</f>
        <v/>
      </c>
      <c r="G116" s="16">
        <f t="shared" si="30"/>
        <v>0</v>
      </c>
      <c r="L116" s="16" t="str">
        <f>+$P$16&amp;$N$4</f>
        <v>Fiche info Avenant 9CSem</v>
      </c>
      <c r="M116" s="16">
        <f>IF('Fiche info Avenant 9'!$AG$19=0,0,'Fiche info Avenant 9'!$AG$19)</f>
        <v>0</v>
      </c>
      <c r="BX116" s="16" t="str">
        <f t="shared" si="31"/>
        <v>Fiche infoA3</v>
      </c>
      <c r="BY116" s="431">
        <f>'Fiche info'!B9</f>
        <v>0</v>
      </c>
      <c r="BZ116" s="431">
        <f>'Fiche info'!C9</f>
        <v>0</v>
      </c>
      <c r="CA116" s="431">
        <f>'Fiche info'!D9</f>
        <v>0</v>
      </c>
      <c r="CB116" s="431">
        <f>'Fiche info'!E9</f>
        <v>0</v>
      </c>
      <c r="CC116" s="431">
        <f>'Fiche info'!F9</f>
        <v>0</v>
      </c>
      <c r="CD116" s="431">
        <f>'Fiche info'!G9</f>
        <v>0</v>
      </c>
      <c r="CE116" s="431">
        <f>'Fiche info'!H9</f>
        <v>0</v>
      </c>
      <c r="CF116" s="431">
        <f>'Fiche info'!I9</f>
        <v>0</v>
      </c>
      <c r="ED116" s="16" t="str">
        <f t="shared" si="40"/>
        <v>Fiche infoA</v>
      </c>
      <c r="EE116" s="16" t="str">
        <f t="shared" si="25"/>
        <v>Fiche info</v>
      </c>
      <c r="EF116" s="16" t="str">
        <f t="shared" si="26"/>
        <v>A</v>
      </c>
      <c r="EG116" s="16">
        <f t="shared" si="27"/>
        <v>3</v>
      </c>
      <c r="EH116" s="16" t="str">
        <f t="shared" si="28"/>
        <v>Mercredi</v>
      </c>
      <c r="EI116" s="16" t="str">
        <f t="shared" si="29"/>
        <v/>
      </c>
      <c r="FB116" s="16" t="str">
        <f t="shared" si="33"/>
        <v/>
      </c>
      <c r="FC116" s="16" t="str">
        <f t="shared" si="34"/>
        <v/>
      </c>
      <c r="FD116" s="30">
        <f t="shared" si="24"/>
        <v>45505</v>
      </c>
      <c r="FE116" s="30" t="str">
        <f>+IFERROR(VLOOKUP(FD116,BDD,79,FALSE),"")</f>
        <v/>
      </c>
      <c r="FF116" s="30" t="str">
        <f>IFERROR(+VLOOKUP(FD116,BDD,80,FALSE),"")</f>
        <v/>
      </c>
      <c r="FG116" s="30" t="str">
        <f>+IFERROR(VLOOKUP(FD116,BDD,81,FALSE),"")</f>
        <v/>
      </c>
      <c r="FH116" s="30" t="str">
        <f>+IFERROR(VLOOKUP(FD116,BDD,82,FALSE),"")</f>
        <v/>
      </c>
      <c r="FW116" s="16" t="str">
        <f>Avril!GB40</f>
        <v>172026</v>
      </c>
      <c r="FX116" s="16">
        <f>Avril!GC40</f>
        <v>0</v>
      </c>
      <c r="HI116" s="85">
        <f>+Avril!AB41</f>
        <v>46134</v>
      </c>
      <c r="HJ116" s="27" t="str">
        <f>+Avril!AD41</f>
        <v/>
      </c>
      <c r="HK116" s="16">
        <f t="shared" si="35"/>
        <v>0</v>
      </c>
      <c r="HL116" s="16" t="str">
        <f>IF(AND(HI116&gt;=DATE(Identification!$B$60,5,1),HI116&lt;=DATE(Identification!$B$60,10,31),SUM(HK116:HK130)=12),"OUI","")</f>
        <v/>
      </c>
    </row>
    <row r="117" spans="1:220" x14ac:dyDescent="0.2">
      <c r="A117" s="16" t="str">
        <f t="shared" si="38"/>
        <v>Fiche infoA4</v>
      </c>
      <c r="B117" s="16" t="str">
        <f t="shared" si="39"/>
        <v>Fiche info</v>
      </c>
      <c r="C117" s="27" t="s">
        <v>226</v>
      </c>
      <c r="D117" s="27">
        <v>4</v>
      </c>
      <c r="E117" s="16" t="s">
        <v>20</v>
      </c>
      <c r="F117" s="34" t="str">
        <f>IF('Fiche info'!$K$10=0,"",'Fiche info'!$K$10)</f>
        <v/>
      </c>
      <c r="G117" s="16">
        <f t="shared" si="30"/>
        <v>0</v>
      </c>
      <c r="L117" s="16" t="str">
        <f>+$P$16&amp;$N$5</f>
        <v>Fiche info Avenant 9DSem</v>
      </c>
      <c r="M117" s="16">
        <f>IF('Fiche info Avenant 9'!$AR$19=0,0,'Fiche info Avenant 9'!$AR$19)</f>
        <v>0</v>
      </c>
      <c r="BX117" s="16" t="str">
        <f t="shared" si="31"/>
        <v>Fiche infoA4</v>
      </c>
      <c r="BY117" s="431">
        <f>'Fiche info'!B10</f>
        <v>0</v>
      </c>
      <c r="BZ117" s="431">
        <f>'Fiche info'!C10</f>
        <v>0</v>
      </c>
      <c r="CA117" s="431">
        <f>'Fiche info'!D10</f>
        <v>0</v>
      </c>
      <c r="CB117" s="431">
        <f>'Fiche info'!E10</f>
        <v>0</v>
      </c>
      <c r="CC117" s="431">
        <f>'Fiche info'!F10</f>
        <v>0</v>
      </c>
      <c r="CD117" s="431">
        <f>'Fiche info'!G10</f>
        <v>0</v>
      </c>
      <c r="CE117" s="431">
        <f>'Fiche info'!H10</f>
        <v>0</v>
      </c>
      <c r="CF117" s="431">
        <f>'Fiche info'!I10</f>
        <v>0</v>
      </c>
      <c r="ED117" s="16" t="str">
        <f t="shared" si="40"/>
        <v>Fiche infoA</v>
      </c>
      <c r="EE117" s="16" t="str">
        <f t="shared" si="25"/>
        <v>Fiche info</v>
      </c>
      <c r="EF117" s="16" t="str">
        <f t="shared" si="26"/>
        <v>A</v>
      </c>
      <c r="EG117" s="16">
        <f t="shared" si="27"/>
        <v>4</v>
      </c>
      <c r="EH117" s="16" t="str">
        <f t="shared" si="28"/>
        <v>Jeudi</v>
      </c>
      <c r="EI117" s="16" t="str">
        <f t="shared" si="29"/>
        <v/>
      </c>
      <c r="FB117" s="16" t="str">
        <f t="shared" si="33"/>
        <v/>
      </c>
      <c r="FC117" s="16" t="str">
        <f t="shared" si="34"/>
        <v/>
      </c>
      <c r="FD117" s="30">
        <f t="shared" si="24"/>
        <v>45505</v>
      </c>
      <c r="FE117" s="30" t="str">
        <f>+IFERROR(VLOOKUP(FD117,BDD,83,FALSE),"")</f>
        <v/>
      </c>
      <c r="FF117" s="30" t="str">
        <f>+IFERROR(VLOOKUP(FD117,BDD,84,FALSE),"")</f>
        <v/>
      </c>
      <c r="FG117" s="30" t="str">
        <f>+IFERROR(VLOOKUP(FD117,BDD,85,FALSE),"")</f>
        <v/>
      </c>
      <c r="FH117" s="30" t="str">
        <f>+IFERROR(VLOOKUP(FD117,BDD,86,FALSE),"")</f>
        <v/>
      </c>
      <c r="FW117" s="16" t="str">
        <f>Avril!GB41</f>
        <v>172026</v>
      </c>
      <c r="FX117" s="16">
        <f>Avril!GC41</f>
        <v>0</v>
      </c>
      <c r="HI117" s="85">
        <f>+Avril!AB42</f>
        <v>46135</v>
      </c>
      <c r="HJ117" s="27" t="str">
        <f>+Avril!AD42</f>
        <v/>
      </c>
      <c r="HK117" s="16">
        <f t="shared" si="35"/>
        <v>0</v>
      </c>
      <c r="HL117" s="16" t="str">
        <f>IF(AND(HI117&gt;=DATE(Identification!$B$60,5,1),HI117&lt;=DATE(Identification!$B$60,10,31),SUM(HK117:HK131)=12),"OUI","")</f>
        <v/>
      </c>
    </row>
    <row r="118" spans="1:220" x14ac:dyDescent="0.2">
      <c r="A118" s="16" t="str">
        <f t="shared" si="38"/>
        <v>Fiche infoA5</v>
      </c>
      <c r="B118" s="16" t="str">
        <f t="shared" si="39"/>
        <v>Fiche info</v>
      </c>
      <c r="C118" s="27" t="s">
        <v>226</v>
      </c>
      <c r="D118" s="27">
        <v>5</v>
      </c>
      <c r="E118" s="16" t="s">
        <v>21</v>
      </c>
      <c r="F118" s="34" t="str">
        <f>IF('Fiche info'!$K$11=0,"",'Fiche info'!$K$11)</f>
        <v/>
      </c>
      <c r="G118" s="16">
        <f t="shared" si="30"/>
        <v>0</v>
      </c>
      <c r="L118" s="16" t="str">
        <f>+$P$16&amp;$N$6</f>
        <v>Fiche info Avenant 9ESem</v>
      </c>
      <c r="M118" s="16">
        <f>IF('Fiche info Avenant 9'!$BC$19=0,0,'Fiche info Avenant 9'!$BC$19)</f>
        <v>0</v>
      </c>
      <c r="BX118" s="16" t="str">
        <f t="shared" si="31"/>
        <v>Fiche infoA5</v>
      </c>
      <c r="BY118" s="431">
        <f>'Fiche info'!B11</f>
        <v>0</v>
      </c>
      <c r="BZ118" s="431">
        <f>'Fiche info'!C11</f>
        <v>0</v>
      </c>
      <c r="CA118" s="431">
        <f>'Fiche info'!D11</f>
        <v>0</v>
      </c>
      <c r="CB118" s="431">
        <f>'Fiche info'!E11</f>
        <v>0</v>
      </c>
      <c r="CC118" s="431">
        <f>'Fiche info'!F11</f>
        <v>0</v>
      </c>
      <c r="CD118" s="431">
        <f>'Fiche info'!G11</f>
        <v>0</v>
      </c>
      <c r="CE118" s="431">
        <f>'Fiche info'!H11</f>
        <v>0</v>
      </c>
      <c r="CF118" s="431">
        <f>'Fiche info'!I11</f>
        <v>0</v>
      </c>
      <c r="ED118" s="16" t="str">
        <f t="shared" si="40"/>
        <v>Fiche infoA</v>
      </c>
      <c r="EE118" s="16" t="str">
        <f t="shared" si="25"/>
        <v>Fiche info</v>
      </c>
      <c r="EF118" s="16" t="str">
        <f t="shared" si="26"/>
        <v>A</v>
      </c>
      <c r="EG118" s="16">
        <f t="shared" si="27"/>
        <v>5</v>
      </c>
      <c r="EH118" s="16" t="str">
        <f t="shared" si="28"/>
        <v>Vendredi</v>
      </c>
      <c r="EI118" s="16" t="str">
        <f t="shared" si="29"/>
        <v/>
      </c>
      <c r="FB118" s="16" t="str">
        <f t="shared" si="33"/>
        <v/>
      </c>
      <c r="FC118" s="16" t="str">
        <f t="shared" si="34"/>
        <v/>
      </c>
      <c r="FD118" s="30">
        <f t="shared" si="24"/>
        <v>45474</v>
      </c>
      <c r="FE118" s="30" t="str">
        <f>+IFERROR(VLOOKUP(FD118,BDD,71,FALSE),"")</f>
        <v/>
      </c>
      <c r="FF118" s="30" t="str">
        <f>IFERROR(+VLOOKUP(FD118,BDD,72,FALSE),"")</f>
        <v/>
      </c>
      <c r="FG118" s="30" t="str">
        <f>+IFERROR(VLOOKUP(FD118,BDD,73,FALSE),"")</f>
        <v/>
      </c>
      <c r="FH118" s="30" t="str">
        <f>+IFERROR(VLOOKUP(FD118,BDD,74,FALSE),"")</f>
        <v/>
      </c>
      <c r="FW118" s="16" t="str">
        <f>Avril!GB42</f>
        <v>172026</v>
      </c>
      <c r="FX118" s="16">
        <f>Avril!GC42</f>
        <v>0</v>
      </c>
      <c r="HI118" s="85">
        <f>+Avril!AB43</f>
        <v>46136</v>
      </c>
      <c r="HJ118" s="27" t="str">
        <f>+Avril!AD43</f>
        <v/>
      </c>
      <c r="HK118" s="16">
        <f t="shared" si="35"/>
        <v>0</v>
      </c>
      <c r="HL118" s="16" t="str">
        <f>IF(AND(HI118&gt;=DATE(Identification!$B$60,5,1),HI118&lt;=DATE(Identification!$B$60,10,31),SUM(HK118:HK132)=12),"OUI","")</f>
        <v/>
      </c>
    </row>
    <row r="119" spans="1:220" x14ac:dyDescent="0.2">
      <c r="A119" s="16" t="str">
        <f t="shared" si="38"/>
        <v>Fiche infoA6</v>
      </c>
      <c r="B119" s="16" t="str">
        <f t="shared" si="39"/>
        <v>Fiche info</v>
      </c>
      <c r="C119" s="27" t="s">
        <v>226</v>
      </c>
      <c r="D119" s="27">
        <v>6</v>
      </c>
      <c r="E119" s="16" t="s">
        <v>184</v>
      </c>
      <c r="F119" s="34" t="str">
        <f>IF('Fiche info'!$K$12=0,"",'Fiche info'!$K$12)</f>
        <v/>
      </c>
      <c r="G119" s="16">
        <f t="shared" si="30"/>
        <v>0</v>
      </c>
      <c r="L119" s="16" t="str">
        <f>+$P$16&amp;$N$7</f>
        <v>Fiche info Avenant 9FSem</v>
      </c>
      <c r="M119" s="16">
        <f>IF('Fiche info Avenant 9'!$BN$19=0,0,'Fiche info Avenant 9'!$BN$19)</f>
        <v>0</v>
      </c>
      <c r="BX119" s="16" t="str">
        <f t="shared" si="31"/>
        <v>Fiche infoA6</v>
      </c>
      <c r="BY119" s="431">
        <f>'Fiche info'!B12</f>
        <v>0</v>
      </c>
      <c r="BZ119" s="431">
        <f>'Fiche info'!C12</f>
        <v>0</v>
      </c>
      <c r="CA119" s="431">
        <f>'Fiche info'!D12</f>
        <v>0</v>
      </c>
      <c r="CB119" s="431">
        <f>'Fiche info'!E12</f>
        <v>0</v>
      </c>
      <c r="CC119" s="431">
        <f>'Fiche info'!F12</f>
        <v>0</v>
      </c>
      <c r="CD119" s="431">
        <f>'Fiche info'!G12</f>
        <v>0</v>
      </c>
      <c r="CE119" s="431">
        <f>'Fiche info'!H12</f>
        <v>0</v>
      </c>
      <c r="CF119" s="431">
        <f>'Fiche info'!I12</f>
        <v>0</v>
      </c>
      <c r="ED119" s="16" t="str">
        <f t="shared" si="40"/>
        <v>Fiche infoA</v>
      </c>
      <c r="EE119" s="16" t="str">
        <f t="shared" si="25"/>
        <v>Fiche info</v>
      </c>
      <c r="EF119" s="16" t="str">
        <f t="shared" si="26"/>
        <v>A</v>
      </c>
      <c r="EG119" s="16">
        <f t="shared" si="27"/>
        <v>6</v>
      </c>
      <c r="EH119" s="16" t="str">
        <f t="shared" si="28"/>
        <v>Samedi</v>
      </c>
      <c r="EI119" s="16" t="str">
        <f t="shared" si="29"/>
        <v/>
      </c>
      <c r="FB119" s="16" t="str">
        <f t="shared" si="33"/>
        <v/>
      </c>
      <c r="FC119" s="16" t="str">
        <f t="shared" si="34"/>
        <v/>
      </c>
      <c r="FD119" s="30">
        <f t="shared" si="24"/>
        <v>45474</v>
      </c>
      <c r="FE119" s="30" t="str">
        <f>+IFERROR(VLOOKUP(FD119,BDD,75,FALSE),"")</f>
        <v/>
      </c>
      <c r="FF119" s="30" t="str">
        <f>+IFERROR(VLOOKUP(FD119,BDD,76,FALSE),"")</f>
        <v/>
      </c>
      <c r="FG119" s="30" t="str">
        <f>IFERROR(+VLOOKUP(FD119,BDD,77,FALSE),"")</f>
        <v/>
      </c>
      <c r="FH119" s="30" t="str">
        <f>+IFERROR(VLOOKUP(FD119,BDD,78,FALSE),"")</f>
        <v/>
      </c>
      <c r="FW119" s="16" t="str">
        <f>Avril!GB43</f>
        <v>172026</v>
      </c>
      <c r="FX119" s="16">
        <f>Avril!GC43</f>
        <v>0</v>
      </c>
      <c r="HI119" s="85">
        <f>+Avril!AB44</f>
        <v>46137</v>
      </c>
      <c r="HJ119" s="27" t="str">
        <f>+Avril!AD44</f>
        <v/>
      </c>
      <c r="HK119" s="16">
        <f t="shared" si="35"/>
        <v>0</v>
      </c>
      <c r="HL119" s="16" t="str">
        <f>IF(AND(HI119&gt;=DATE(Identification!$B$60,5,1),HI119&lt;=DATE(Identification!$B$60,10,31),SUM(HK119:HK133)=12),"OUI","")</f>
        <v/>
      </c>
    </row>
    <row r="120" spans="1:220" x14ac:dyDescent="0.2">
      <c r="A120" s="16" t="str">
        <f t="shared" si="38"/>
        <v>Fiche infoA7</v>
      </c>
      <c r="B120" s="16" t="str">
        <f t="shared" si="39"/>
        <v>Fiche info</v>
      </c>
      <c r="C120" s="27" t="s">
        <v>226</v>
      </c>
      <c r="D120" s="27">
        <v>7</v>
      </c>
      <c r="E120" s="16" t="s">
        <v>185</v>
      </c>
      <c r="F120" s="34" t="str">
        <f>IF('Fiche info'!$K$13=0,"",'Fiche info'!$K$13)</f>
        <v/>
      </c>
      <c r="G120" s="16">
        <f t="shared" si="30"/>
        <v>0</v>
      </c>
      <c r="L120" s="16" t="str">
        <f>+$P$16&amp;$N$8</f>
        <v>Fiche info Avenant 9GSem</v>
      </c>
      <c r="M120" s="16">
        <f>IF('Fiche info Avenant 9'!$BY$19=0,0,'Fiche info Avenant 9'!$BY$19)</f>
        <v>0</v>
      </c>
      <c r="BX120" s="16" t="str">
        <f t="shared" si="31"/>
        <v>Fiche infoA7</v>
      </c>
      <c r="BY120" s="431">
        <f>'Fiche info'!B13</f>
        <v>0</v>
      </c>
      <c r="BZ120" s="431">
        <f>'Fiche info'!C13</f>
        <v>0</v>
      </c>
      <c r="CA120" s="431">
        <f>'Fiche info'!D13</f>
        <v>0</v>
      </c>
      <c r="CB120" s="431">
        <f>'Fiche info'!E13</f>
        <v>0</v>
      </c>
      <c r="CC120" s="431">
        <f>'Fiche info'!F13</f>
        <v>0</v>
      </c>
      <c r="CD120" s="431">
        <f>'Fiche info'!G13</f>
        <v>0</v>
      </c>
      <c r="CE120" s="431">
        <f>'Fiche info'!H13</f>
        <v>0</v>
      </c>
      <c r="CF120" s="431">
        <f>'Fiche info'!I13</f>
        <v>0</v>
      </c>
      <c r="ED120" s="16" t="str">
        <f t="shared" si="40"/>
        <v>Fiche infoA</v>
      </c>
      <c r="EE120" s="16" t="str">
        <f t="shared" si="25"/>
        <v>Fiche info</v>
      </c>
      <c r="EF120" s="16" t="str">
        <f t="shared" si="26"/>
        <v>A</v>
      </c>
      <c r="EG120" s="16">
        <f t="shared" si="27"/>
        <v>7</v>
      </c>
      <c r="EH120" s="16" t="str">
        <f t="shared" si="28"/>
        <v>Dimanche</v>
      </c>
      <c r="EI120" s="16" t="str">
        <f t="shared" si="29"/>
        <v/>
      </c>
      <c r="FB120" s="16" t="str">
        <f t="shared" si="33"/>
        <v/>
      </c>
      <c r="FC120" s="16" t="str">
        <f t="shared" si="34"/>
        <v/>
      </c>
      <c r="FD120" s="30">
        <f t="shared" si="24"/>
        <v>45474</v>
      </c>
      <c r="FE120" s="30" t="str">
        <f>+IFERROR(VLOOKUP(FD120,BDD,79,FALSE),"")</f>
        <v/>
      </c>
      <c r="FF120" s="30" t="str">
        <f>IFERROR(+VLOOKUP(FD120,BDD,80,FALSE),"")</f>
        <v/>
      </c>
      <c r="FG120" s="30" t="str">
        <f>+IFERROR(VLOOKUP(FD120,BDD,81,FALSE),"")</f>
        <v/>
      </c>
      <c r="FH120" s="30" t="str">
        <f>+IFERROR(VLOOKUP(FD120,BDD,82,FALSE),"")</f>
        <v/>
      </c>
      <c r="FW120" s="16" t="str">
        <f>Avril!GB44</f>
        <v>172026</v>
      </c>
      <c r="FX120" s="16">
        <f>Avril!GC44</f>
        <v>0</v>
      </c>
      <c r="HI120" s="85">
        <f>+Avril!AB45</f>
        <v>46138</v>
      </c>
      <c r="HJ120" s="27" t="str">
        <f>+Avril!AD45</f>
        <v/>
      </c>
      <c r="HK120" s="16">
        <f t="shared" si="35"/>
        <v>0</v>
      </c>
      <c r="HL120" s="16" t="str">
        <f>IF(AND(HI120&gt;=DATE(Identification!$B$60,5,1),HI120&lt;=DATE(Identification!$B$60,10,31),SUM(HK120:HK134)=12),"OUI","")</f>
        <v/>
      </c>
    </row>
    <row r="121" spans="1:220" x14ac:dyDescent="0.2">
      <c r="A121" s="16" t="str">
        <f t="shared" si="38"/>
        <v>Fiche infoB1</v>
      </c>
      <c r="B121" s="16" t="str">
        <f t="shared" si="39"/>
        <v>Fiche info</v>
      </c>
      <c r="C121" s="27" t="s">
        <v>227</v>
      </c>
      <c r="D121" s="27">
        <v>1</v>
      </c>
      <c r="E121" s="16" t="s">
        <v>17</v>
      </c>
      <c r="F121" s="34" t="str">
        <f>+IF('Fiche info'!$V$7=0,"",'Fiche info'!$V$7)</f>
        <v/>
      </c>
      <c r="G121" s="16">
        <f t="shared" si="30"/>
        <v>0</v>
      </c>
      <c r="L121" s="16" t="str">
        <f>+$P$16&amp;$N$9</f>
        <v>Fiche info Avenant 9HSem</v>
      </c>
      <c r="M121" s="16">
        <f>IF('Fiche info Avenant 9'!$CJ$19=0,0,'Fiche info Avenant 9'!$CJ$19)</f>
        <v>0</v>
      </c>
      <c r="BX121" s="16" t="str">
        <f t="shared" si="31"/>
        <v>Fiche infoB1</v>
      </c>
      <c r="BY121" s="431">
        <f>'Fiche info'!M7</f>
        <v>0</v>
      </c>
      <c r="BZ121" s="431">
        <f>'Fiche info'!N7</f>
        <v>0</v>
      </c>
      <c r="CA121" s="431">
        <f>'Fiche info'!O7</f>
        <v>0</v>
      </c>
      <c r="CB121" s="431">
        <f>'Fiche info'!P7</f>
        <v>0</v>
      </c>
      <c r="CC121" s="431">
        <f>'Fiche info'!Q7</f>
        <v>0</v>
      </c>
      <c r="CD121" s="431">
        <f>'Fiche info'!R7</f>
        <v>0</v>
      </c>
      <c r="CE121" s="431">
        <f>'Fiche info'!S7</f>
        <v>0</v>
      </c>
      <c r="CF121" s="431">
        <f>'Fiche info'!T7</f>
        <v>0</v>
      </c>
      <c r="ED121" s="16" t="str">
        <f t="shared" si="40"/>
        <v>Fiche infoB</v>
      </c>
      <c r="EE121" s="16" t="str">
        <f t="shared" si="25"/>
        <v>Fiche info</v>
      </c>
      <c r="EF121" s="16" t="str">
        <f t="shared" si="26"/>
        <v>B</v>
      </c>
      <c r="EG121" s="16">
        <f t="shared" si="27"/>
        <v>1</v>
      </c>
      <c r="EH121" s="16" t="str">
        <f t="shared" si="28"/>
        <v>Lundi</v>
      </c>
      <c r="EI121" s="16" t="str">
        <f t="shared" si="29"/>
        <v/>
      </c>
      <c r="FB121" s="16" t="str">
        <f t="shared" si="33"/>
        <v/>
      </c>
      <c r="FC121" s="16" t="str">
        <f t="shared" si="34"/>
        <v/>
      </c>
      <c r="FD121" s="30">
        <f t="shared" si="24"/>
        <v>45474</v>
      </c>
      <c r="FE121" s="30" t="str">
        <f>+IFERROR(VLOOKUP(FD121,BDD,83,FALSE),"")</f>
        <v/>
      </c>
      <c r="FF121" s="30" t="str">
        <f>+IFERROR(VLOOKUP(FD121,BDD,84,FALSE),"")</f>
        <v/>
      </c>
      <c r="FG121" s="30" t="str">
        <f>+IFERROR(VLOOKUP(FD121,BDD,85,FALSE),"")</f>
        <v/>
      </c>
      <c r="FH121" s="30" t="str">
        <f>+IFERROR(VLOOKUP(FD121,BDD,86,FALSE),"")</f>
        <v/>
      </c>
      <c r="FW121" s="16" t="str">
        <f>Avril!GB45</f>
        <v>172026</v>
      </c>
      <c r="FX121" s="16">
        <f>Avril!GC45</f>
        <v>0</v>
      </c>
      <c r="HI121" s="85">
        <f>+Avril!AB46</f>
        <v>46139</v>
      </c>
      <c r="HJ121" s="27" t="str">
        <f>+Avril!AD46</f>
        <v/>
      </c>
      <c r="HK121" s="16">
        <f t="shared" si="35"/>
        <v>0</v>
      </c>
      <c r="HL121" s="16" t="str">
        <f>IF(AND(HI121&gt;=DATE(Identification!$B$60,5,1),HI121&lt;=DATE(Identification!$B$60,10,31),SUM(HK121:HK135)=12),"OUI","")</f>
        <v/>
      </c>
    </row>
    <row r="122" spans="1:220" x14ac:dyDescent="0.2">
      <c r="A122" s="16" t="str">
        <f t="shared" si="38"/>
        <v>Fiche infoB2</v>
      </c>
      <c r="B122" s="16" t="str">
        <f t="shared" si="39"/>
        <v>Fiche info</v>
      </c>
      <c r="C122" s="27" t="s">
        <v>227</v>
      </c>
      <c r="D122" s="27">
        <v>2</v>
      </c>
      <c r="E122" s="16" t="s">
        <v>18</v>
      </c>
      <c r="F122" s="34" t="str">
        <f>+IF('Fiche info'!$V$8=0,"",'Fiche info'!$V$8)</f>
        <v/>
      </c>
      <c r="G122" s="16">
        <f t="shared" si="30"/>
        <v>0</v>
      </c>
      <c r="L122" s="16" t="str">
        <f>+$P$17&amp;$N$2</f>
        <v>Fiche info Avenant 10ASem</v>
      </c>
      <c r="M122" s="16">
        <f>IF('Fiche info Avenant 10'!$K$19=0,0,'Fiche info Avenant 10'!$K$19)</f>
        <v>0</v>
      </c>
      <c r="BX122" s="16" t="str">
        <f t="shared" si="31"/>
        <v>Fiche infoB2</v>
      </c>
      <c r="BY122" s="431">
        <f>'Fiche info'!M8</f>
        <v>0</v>
      </c>
      <c r="BZ122" s="431">
        <f>'Fiche info'!N8</f>
        <v>0</v>
      </c>
      <c r="CA122" s="431">
        <f>'Fiche info'!O8</f>
        <v>0</v>
      </c>
      <c r="CB122" s="431">
        <f>'Fiche info'!P8</f>
        <v>0</v>
      </c>
      <c r="CC122" s="431">
        <f>'Fiche info'!Q8</f>
        <v>0</v>
      </c>
      <c r="CD122" s="431">
        <f>'Fiche info'!R8</f>
        <v>0</v>
      </c>
      <c r="CE122" s="431">
        <f>'Fiche info'!S8</f>
        <v>0</v>
      </c>
      <c r="CF122" s="431">
        <f>'Fiche info'!T8</f>
        <v>0</v>
      </c>
      <c r="ED122" s="16" t="str">
        <f t="shared" si="40"/>
        <v>Fiche infoB</v>
      </c>
      <c r="EE122" s="16" t="str">
        <f t="shared" si="25"/>
        <v>Fiche info</v>
      </c>
      <c r="EF122" s="16" t="str">
        <f t="shared" si="26"/>
        <v>B</v>
      </c>
      <c r="EG122" s="16">
        <f t="shared" si="27"/>
        <v>2</v>
      </c>
      <c r="EH122" s="16" t="str">
        <f t="shared" si="28"/>
        <v>Mardi</v>
      </c>
      <c r="EI122" s="16" t="str">
        <f t="shared" si="29"/>
        <v/>
      </c>
      <c r="FB122" s="16" t="str">
        <f t="shared" si="33"/>
        <v/>
      </c>
      <c r="FC122" s="16" t="str">
        <f t="shared" si="34"/>
        <v/>
      </c>
      <c r="FD122" s="30">
        <f t="shared" si="24"/>
        <v>45444</v>
      </c>
      <c r="FE122" s="30" t="str">
        <f>+IFERROR(VLOOKUP(FD122,BDD,71,FALSE),"")</f>
        <v/>
      </c>
      <c r="FF122" s="30" t="str">
        <f>IFERROR(+VLOOKUP(FD122,BDD,72,FALSE),"")</f>
        <v/>
      </c>
      <c r="FG122" s="30" t="str">
        <f>+IFERROR(VLOOKUP(FD122,BDD,73,FALSE),"")</f>
        <v/>
      </c>
      <c r="FH122" s="30" t="str">
        <f>+IFERROR(VLOOKUP(FD122,BDD,74,FALSE),"")</f>
        <v/>
      </c>
      <c r="FW122" s="16" t="str">
        <f>Avril!GB46</f>
        <v>182026</v>
      </c>
      <c r="FX122" s="16">
        <f>Avril!GC46</f>
        <v>0</v>
      </c>
      <c r="HI122" s="85">
        <f>+Avril!AB47</f>
        <v>46140</v>
      </c>
      <c r="HJ122" s="27" t="str">
        <f>+Avril!AD47</f>
        <v/>
      </c>
      <c r="HK122" s="16">
        <f t="shared" si="35"/>
        <v>0</v>
      </c>
      <c r="HL122" s="16" t="str">
        <f>IF(AND(HI122&gt;=DATE(Identification!$B$60,5,1),HI122&lt;=DATE(Identification!$B$60,10,31),SUM(HK122:HK136)=12),"OUI","")</f>
        <v/>
      </c>
    </row>
    <row r="123" spans="1:220" x14ac:dyDescent="0.2">
      <c r="A123" s="16" t="str">
        <f t="shared" si="38"/>
        <v>Fiche infoB3</v>
      </c>
      <c r="B123" s="16" t="str">
        <f t="shared" si="39"/>
        <v>Fiche info</v>
      </c>
      <c r="C123" s="27" t="s">
        <v>227</v>
      </c>
      <c r="D123" s="27">
        <v>3</v>
      </c>
      <c r="E123" s="16" t="s">
        <v>19</v>
      </c>
      <c r="F123" s="34" t="str">
        <f>+IF('Fiche info'!$V$9=0,"",'Fiche info'!$V$9)</f>
        <v/>
      </c>
      <c r="G123" s="16">
        <f t="shared" si="30"/>
        <v>0</v>
      </c>
      <c r="L123" s="16" t="str">
        <f>+$P$17&amp;$N$3</f>
        <v>Fiche info Avenant 10BSem</v>
      </c>
      <c r="M123" s="16">
        <f>IF('Fiche info Avenant 10'!$V$19=0,0,'Fiche info Avenant 10'!$V$19)</f>
        <v>0</v>
      </c>
      <c r="BX123" s="16" t="str">
        <f t="shared" si="31"/>
        <v>Fiche infoB3</v>
      </c>
      <c r="BY123" s="431">
        <f>'Fiche info'!M9</f>
        <v>0</v>
      </c>
      <c r="BZ123" s="431">
        <f>'Fiche info'!N9</f>
        <v>0</v>
      </c>
      <c r="CA123" s="431">
        <f>'Fiche info'!O9</f>
        <v>0</v>
      </c>
      <c r="CB123" s="431">
        <f>'Fiche info'!P9</f>
        <v>0</v>
      </c>
      <c r="CC123" s="431">
        <f>'Fiche info'!Q9</f>
        <v>0</v>
      </c>
      <c r="CD123" s="431">
        <f>'Fiche info'!R9</f>
        <v>0</v>
      </c>
      <c r="CE123" s="431">
        <f>'Fiche info'!S9</f>
        <v>0</v>
      </c>
      <c r="CF123" s="431">
        <f>'Fiche info'!T9</f>
        <v>0</v>
      </c>
      <c r="ED123" s="16" t="str">
        <f t="shared" si="40"/>
        <v>Fiche infoB</v>
      </c>
      <c r="EE123" s="16" t="str">
        <f t="shared" si="25"/>
        <v>Fiche info</v>
      </c>
      <c r="EF123" s="16" t="str">
        <f t="shared" si="26"/>
        <v>B</v>
      </c>
      <c r="EG123" s="16">
        <f t="shared" si="27"/>
        <v>3</v>
      </c>
      <c r="EH123" s="16" t="str">
        <f t="shared" si="28"/>
        <v>Mercredi</v>
      </c>
      <c r="EI123" s="16" t="str">
        <f t="shared" si="29"/>
        <v/>
      </c>
      <c r="FB123" s="16" t="str">
        <f t="shared" si="33"/>
        <v/>
      </c>
      <c r="FC123" s="16" t="str">
        <f t="shared" si="34"/>
        <v/>
      </c>
      <c r="FD123" s="30">
        <f t="shared" ref="FD123:FD186" si="41">+DATE(YEAR(FD119),MONTH(FD119)-1,DAY(FD119))</f>
        <v>45444</v>
      </c>
      <c r="FE123" s="30" t="str">
        <f>+IFERROR(VLOOKUP(FD123,BDD,75,FALSE),"")</f>
        <v/>
      </c>
      <c r="FF123" s="30" t="str">
        <f>+IFERROR(VLOOKUP(FD123,BDD,76,FALSE),"")</f>
        <v/>
      </c>
      <c r="FG123" s="30" t="str">
        <f>IFERROR(+VLOOKUP(FD123,BDD,77,FALSE),"")</f>
        <v/>
      </c>
      <c r="FH123" s="30" t="str">
        <f>+IFERROR(VLOOKUP(FD123,BDD,78,FALSE),"")</f>
        <v/>
      </c>
      <c r="FW123" s="16" t="str">
        <f>Avril!GB47</f>
        <v>182026</v>
      </c>
      <c r="FX123" s="16">
        <f>Avril!GC47</f>
        <v>0</v>
      </c>
      <c r="HI123" s="85">
        <f>+Avril!AB48</f>
        <v>46141</v>
      </c>
      <c r="HJ123" s="27" t="str">
        <f>+Avril!AD48</f>
        <v/>
      </c>
      <c r="HK123" s="16">
        <f t="shared" si="35"/>
        <v>0</v>
      </c>
      <c r="HL123" s="16" t="str">
        <f>IF(AND(HI123&gt;=DATE(Identification!$B$60,5,1),HI123&lt;=DATE(Identification!$B$60,10,31),SUM(HK123:HK137)=12),"OUI","")</f>
        <v/>
      </c>
    </row>
    <row r="124" spans="1:220" x14ac:dyDescent="0.2">
      <c r="A124" s="16" t="str">
        <f t="shared" si="38"/>
        <v>Fiche infoB4</v>
      </c>
      <c r="B124" s="16" t="str">
        <f t="shared" si="39"/>
        <v>Fiche info</v>
      </c>
      <c r="C124" s="27" t="s">
        <v>227</v>
      </c>
      <c r="D124" s="27">
        <v>4</v>
      </c>
      <c r="E124" s="16" t="s">
        <v>20</v>
      </c>
      <c r="F124" s="34" t="str">
        <f>+IF('Fiche info'!$V$10=0,"",'Fiche info'!$V$10)</f>
        <v/>
      </c>
      <c r="G124" s="16">
        <f t="shared" si="30"/>
        <v>0</v>
      </c>
      <c r="L124" s="16" t="str">
        <f>+$P$17&amp;$N$4</f>
        <v>Fiche info Avenant 10CSem</v>
      </c>
      <c r="M124" s="16">
        <f>IF('Fiche info Avenant 10'!$AG$19=0,0,'Fiche info Avenant 10'!$AG$19)</f>
        <v>0</v>
      </c>
      <c r="BX124" s="16" t="str">
        <f t="shared" si="31"/>
        <v>Fiche infoB4</v>
      </c>
      <c r="BY124" s="431">
        <f>'Fiche info'!M10</f>
        <v>0</v>
      </c>
      <c r="BZ124" s="431">
        <f>'Fiche info'!N10</f>
        <v>0</v>
      </c>
      <c r="CA124" s="431">
        <f>'Fiche info'!O10</f>
        <v>0</v>
      </c>
      <c r="CB124" s="431">
        <f>'Fiche info'!P10</f>
        <v>0</v>
      </c>
      <c r="CC124" s="431">
        <f>'Fiche info'!Q10</f>
        <v>0</v>
      </c>
      <c r="CD124" s="431">
        <f>'Fiche info'!R10</f>
        <v>0</v>
      </c>
      <c r="CE124" s="431">
        <f>'Fiche info'!S10</f>
        <v>0</v>
      </c>
      <c r="CF124" s="431">
        <f>'Fiche info'!T10</f>
        <v>0</v>
      </c>
      <c r="ED124" s="16" t="str">
        <f t="shared" si="40"/>
        <v>Fiche infoB</v>
      </c>
      <c r="EE124" s="16" t="str">
        <f t="shared" si="25"/>
        <v>Fiche info</v>
      </c>
      <c r="EF124" s="16" t="str">
        <f t="shared" si="26"/>
        <v>B</v>
      </c>
      <c r="EG124" s="16">
        <f t="shared" si="27"/>
        <v>4</v>
      </c>
      <c r="EH124" s="16" t="str">
        <f t="shared" si="28"/>
        <v>Jeudi</v>
      </c>
      <c r="EI124" s="16" t="str">
        <f t="shared" si="29"/>
        <v/>
      </c>
      <c r="FB124" s="16" t="str">
        <f t="shared" si="33"/>
        <v/>
      </c>
      <c r="FC124" s="16" t="str">
        <f t="shared" si="34"/>
        <v/>
      </c>
      <c r="FD124" s="30">
        <f t="shared" si="41"/>
        <v>45444</v>
      </c>
      <c r="FE124" s="30" t="str">
        <f>+IFERROR(VLOOKUP(FD124,BDD,79,FALSE),"")</f>
        <v/>
      </c>
      <c r="FF124" s="30" t="str">
        <f>IFERROR(+VLOOKUP(FD124,BDD,80,FALSE),"")</f>
        <v/>
      </c>
      <c r="FG124" s="30" t="str">
        <f>+IFERROR(VLOOKUP(FD124,BDD,81,FALSE),"")</f>
        <v/>
      </c>
      <c r="FH124" s="30" t="str">
        <f>+IFERROR(VLOOKUP(FD124,BDD,82,FALSE),"")</f>
        <v/>
      </c>
      <c r="FW124" s="16" t="str">
        <f>Avril!GB48</f>
        <v>182026</v>
      </c>
      <c r="FX124" s="16">
        <f>Avril!GC48</f>
        <v>0</v>
      </c>
      <c r="HI124" s="85">
        <f>+Avril!AB49</f>
        <v>46142</v>
      </c>
      <c r="HJ124" s="27" t="str">
        <f>+Avril!AD49</f>
        <v/>
      </c>
      <c r="HK124" s="16">
        <f t="shared" si="35"/>
        <v>0</v>
      </c>
      <c r="HL124" s="16" t="str">
        <f>IF(AND(HI124&gt;=DATE(Identification!$B$60,5,1),HI124&lt;=DATE(Identification!$B$60,10,31),SUM(HK124:HK138)=12),"OUI","")</f>
        <v/>
      </c>
    </row>
    <row r="125" spans="1:220" x14ac:dyDescent="0.2">
      <c r="A125" s="16" t="str">
        <f t="shared" si="38"/>
        <v>Fiche infoB5</v>
      </c>
      <c r="B125" s="16" t="str">
        <f t="shared" si="39"/>
        <v>Fiche info</v>
      </c>
      <c r="C125" s="27" t="s">
        <v>227</v>
      </c>
      <c r="D125" s="27">
        <v>5</v>
      </c>
      <c r="E125" s="16" t="s">
        <v>21</v>
      </c>
      <c r="F125" s="34" t="str">
        <f>+IF('Fiche info'!$V$11=0,"",'Fiche info'!$V$11)</f>
        <v/>
      </c>
      <c r="G125" s="16">
        <f t="shared" si="30"/>
        <v>0</v>
      </c>
      <c r="L125" s="16" t="str">
        <f>+$P$17&amp;$N$5</f>
        <v>Fiche info Avenant 10DSem</v>
      </c>
      <c r="M125" s="16">
        <f>IF('Fiche info Avenant 10'!$AR$19=0,0,'Fiche info Avenant 10'!$AR$19)</f>
        <v>0</v>
      </c>
      <c r="BX125" s="16" t="str">
        <f t="shared" si="31"/>
        <v>Fiche infoB5</v>
      </c>
      <c r="BY125" s="431">
        <f>'Fiche info'!M11</f>
        <v>0</v>
      </c>
      <c r="BZ125" s="431">
        <f>'Fiche info'!N11</f>
        <v>0</v>
      </c>
      <c r="CA125" s="431">
        <f>'Fiche info'!O11</f>
        <v>0</v>
      </c>
      <c r="CB125" s="431">
        <f>'Fiche info'!P11</f>
        <v>0</v>
      </c>
      <c r="CC125" s="431">
        <f>'Fiche info'!Q11</f>
        <v>0</v>
      </c>
      <c r="CD125" s="431">
        <f>'Fiche info'!R11</f>
        <v>0</v>
      </c>
      <c r="CE125" s="431">
        <f>'Fiche info'!S11</f>
        <v>0</v>
      </c>
      <c r="CF125" s="431">
        <f>'Fiche info'!T11</f>
        <v>0</v>
      </c>
      <c r="ED125" s="16" t="str">
        <f t="shared" si="40"/>
        <v>Fiche infoB</v>
      </c>
      <c r="EE125" s="16" t="str">
        <f t="shared" si="25"/>
        <v>Fiche info</v>
      </c>
      <c r="EF125" s="16" t="str">
        <f t="shared" si="26"/>
        <v>B</v>
      </c>
      <c r="EG125" s="16">
        <f t="shared" si="27"/>
        <v>5</v>
      </c>
      <c r="EH125" s="16" t="str">
        <f t="shared" si="28"/>
        <v>Vendredi</v>
      </c>
      <c r="EI125" s="16" t="str">
        <f t="shared" si="29"/>
        <v/>
      </c>
      <c r="FB125" s="16" t="str">
        <f t="shared" si="33"/>
        <v/>
      </c>
      <c r="FC125" s="16" t="str">
        <f t="shared" si="34"/>
        <v/>
      </c>
      <c r="FD125" s="30">
        <f t="shared" si="41"/>
        <v>45444</v>
      </c>
      <c r="FE125" s="30" t="str">
        <f>+IFERROR(VLOOKUP(FD125,BDD,83,FALSE),"")</f>
        <v/>
      </c>
      <c r="FF125" s="30" t="str">
        <f>+IFERROR(VLOOKUP(FD125,BDD,84,FALSE),"")</f>
        <v/>
      </c>
      <c r="FG125" s="30" t="str">
        <f>+IFERROR(VLOOKUP(FD125,BDD,85,FALSE),"")</f>
        <v/>
      </c>
      <c r="FH125" s="30" t="str">
        <f>+IFERROR(VLOOKUP(FD125,BDD,86,FALSE),"")</f>
        <v/>
      </c>
      <c r="FW125" s="16" t="str">
        <f>Avril!GB49</f>
        <v>182026</v>
      </c>
      <c r="FX125" s="16">
        <f>Avril!GC49</f>
        <v>0</v>
      </c>
      <c r="HI125" s="85" t="str">
        <f>+Avril!AB50</f>
        <v/>
      </c>
      <c r="HJ125" s="27" t="str">
        <f>+Avril!AD50</f>
        <v/>
      </c>
      <c r="HK125" s="16">
        <f t="shared" si="35"/>
        <v>0</v>
      </c>
      <c r="HL125" s="16" t="str">
        <f>IF(AND(HI125&gt;=DATE(Identification!$B$60,5,1),HI125&lt;=DATE(Identification!$B$60,10,31),SUM(HK125:HK139)=12),"OUI","")</f>
        <v/>
      </c>
    </row>
    <row r="126" spans="1:220" x14ac:dyDescent="0.2">
      <c r="A126" s="16" t="str">
        <f t="shared" si="38"/>
        <v>Fiche infoB6</v>
      </c>
      <c r="B126" s="16" t="str">
        <f t="shared" si="39"/>
        <v>Fiche info</v>
      </c>
      <c r="C126" s="27" t="s">
        <v>227</v>
      </c>
      <c r="D126" s="27">
        <v>6</v>
      </c>
      <c r="E126" s="16" t="s">
        <v>184</v>
      </c>
      <c r="F126" s="34" t="str">
        <f>+IF('Fiche info'!$V$12=0,"",'Fiche info'!$V$12)</f>
        <v/>
      </c>
      <c r="G126" s="16">
        <f t="shared" si="30"/>
        <v>0</v>
      </c>
      <c r="L126" s="16" t="str">
        <f>+$P$17&amp;$N$6</f>
        <v>Fiche info Avenant 10ESem</v>
      </c>
      <c r="M126" s="16">
        <f>IF('Fiche info Avenant 10'!$BC$19=0,0,'Fiche info Avenant 10'!$BC$19)</f>
        <v>0</v>
      </c>
      <c r="BX126" s="16" t="str">
        <f t="shared" si="31"/>
        <v>Fiche infoB6</v>
      </c>
      <c r="BY126" s="431">
        <f>'Fiche info'!M12</f>
        <v>0</v>
      </c>
      <c r="BZ126" s="431">
        <f>'Fiche info'!N12</f>
        <v>0</v>
      </c>
      <c r="CA126" s="431">
        <f>'Fiche info'!O12</f>
        <v>0</v>
      </c>
      <c r="CB126" s="431">
        <f>'Fiche info'!P12</f>
        <v>0</v>
      </c>
      <c r="CC126" s="431">
        <f>'Fiche info'!Q12</f>
        <v>0</v>
      </c>
      <c r="CD126" s="431">
        <f>'Fiche info'!R12</f>
        <v>0</v>
      </c>
      <c r="CE126" s="431">
        <f>'Fiche info'!S12</f>
        <v>0</v>
      </c>
      <c r="CF126" s="431">
        <f>'Fiche info'!T12</f>
        <v>0</v>
      </c>
      <c r="ED126" s="16" t="str">
        <f t="shared" si="40"/>
        <v>Fiche infoB</v>
      </c>
      <c r="EE126" s="16" t="str">
        <f t="shared" si="25"/>
        <v>Fiche info</v>
      </c>
      <c r="EF126" s="16" t="str">
        <f t="shared" si="26"/>
        <v>B</v>
      </c>
      <c r="EG126" s="16">
        <f t="shared" si="27"/>
        <v>6</v>
      </c>
      <c r="EH126" s="16" t="str">
        <f t="shared" si="28"/>
        <v>Samedi</v>
      </c>
      <c r="EI126" s="16" t="str">
        <f t="shared" si="29"/>
        <v/>
      </c>
      <c r="FB126" s="16" t="str">
        <f t="shared" si="33"/>
        <v/>
      </c>
      <c r="FC126" s="16" t="str">
        <f t="shared" si="34"/>
        <v/>
      </c>
      <c r="FD126" s="30">
        <f t="shared" si="41"/>
        <v>45413</v>
      </c>
      <c r="FE126" s="30" t="str">
        <f>+IFERROR(VLOOKUP(FD126,BDD,71,FALSE),"")</f>
        <v/>
      </c>
      <c r="FF126" s="30" t="str">
        <f>IFERROR(+VLOOKUP(FD126,BDD,72,FALSE),"")</f>
        <v/>
      </c>
      <c r="FG126" s="30" t="str">
        <f>+IFERROR(VLOOKUP(FD126,BDD,73,FALSE),"")</f>
        <v/>
      </c>
      <c r="FH126" s="30" t="str">
        <f>+IFERROR(VLOOKUP(FD126,BDD,74,FALSE),"")</f>
        <v/>
      </c>
      <c r="FW126" s="16" t="str">
        <f>Avril!GB50</f>
        <v>2026</v>
      </c>
      <c r="FX126" s="16">
        <f>Avril!GC50</f>
        <v>0</v>
      </c>
      <c r="HI126" s="85">
        <f>+Mai!AB20</f>
        <v>46143</v>
      </c>
      <c r="HJ126" s="27" t="str">
        <f>+Mai!AD20</f>
        <v/>
      </c>
      <c r="HK126" s="16">
        <f t="shared" si="35"/>
        <v>0</v>
      </c>
      <c r="HL126" s="16" t="str">
        <f>IF(AND(HI126&gt;=DATE(Identification!$B$60,5,1),HI126&lt;=DATE(Identification!$B$60,10,31),SUM(HK126:HK140)=12),"OUI","")</f>
        <v/>
      </c>
    </row>
    <row r="127" spans="1:220" x14ac:dyDescent="0.2">
      <c r="A127" s="16" t="str">
        <f t="shared" si="38"/>
        <v>Fiche infoB7</v>
      </c>
      <c r="B127" s="16" t="str">
        <f t="shared" si="39"/>
        <v>Fiche info</v>
      </c>
      <c r="C127" s="27" t="s">
        <v>227</v>
      </c>
      <c r="D127" s="27">
        <v>7</v>
      </c>
      <c r="E127" s="16" t="s">
        <v>185</v>
      </c>
      <c r="F127" s="34" t="str">
        <f>+IF('Fiche info'!$V$13=0,"",'Fiche info'!$V$13)</f>
        <v/>
      </c>
      <c r="G127" s="16">
        <f t="shared" si="30"/>
        <v>0</v>
      </c>
      <c r="L127" s="16" t="str">
        <f>+$P$17&amp;$N$7</f>
        <v>Fiche info Avenant 10FSem</v>
      </c>
      <c r="M127" s="16">
        <f>IF('Fiche info Avenant 10'!$BN$19=0,0,'Fiche info Avenant 10'!$BN$19)</f>
        <v>0</v>
      </c>
      <c r="BX127" s="16" t="str">
        <f t="shared" si="31"/>
        <v>Fiche infoB7</v>
      </c>
      <c r="BY127" s="431">
        <f>'Fiche info'!M13</f>
        <v>0</v>
      </c>
      <c r="BZ127" s="431">
        <f>'Fiche info'!N13</f>
        <v>0</v>
      </c>
      <c r="CA127" s="431">
        <f>'Fiche info'!O13</f>
        <v>0</v>
      </c>
      <c r="CB127" s="431">
        <f>'Fiche info'!P13</f>
        <v>0</v>
      </c>
      <c r="CC127" s="431">
        <f>'Fiche info'!Q13</f>
        <v>0</v>
      </c>
      <c r="CD127" s="431">
        <f>'Fiche info'!R13</f>
        <v>0</v>
      </c>
      <c r="CE127" s="431">
        <f>'Fiche info'!S13</f>
        <v>0</v>
      </c>
      <c r="CF127" s="431">
        <f>'Fiche info'!T13</f>
        <v>0</v>
      </c>
      <c r="ED127" s="16" t="str">
        <f t="shared" si="40"/>
        <v>Fiche infoB</v>
      </c>
      <c r="EE127" s="16" t="str">
        <f t="shared" si="25"/>
        <v>Fiche info</v>
      </c>
      <c r="EF127" s="16" t="str">
        <f t="shared" si="26"/>
        <v>B</v>
      </c>
      <c r="EG127" s="16">
        <f t="shared" si="27"/>
        <v>7</v>
      </c>
      <c r="EH127" s="16" t="str">
        <f t="shared" si="28"/>
        <v>Dimanche</v>
      </c>
      <c r="EI127" s="16" t="str">
        <f t="shared" si="29"/>
        <v/>
      </c>
      <c r="FB127" s="16" t="str">
        <f t="shared" si="33"/>
        <v/>
      </c>
      <c r="FC127" s="16" t="str">
        <f t="shared" si="34"/>
        <v/>
      </c>
      <c r="FD127" s="30">
        <f t="shared" si="41"/>
        <v>45413</v>
      </c>
      <c r="FE127" s="30" t="str">
        <f>+IFERROR(VLOOKUP(FD127,BDD,75,FALSE),"")</f>
        <v/>
      </c>
      <c r="FF127" s="30" t="str">
        <f>+IFERROR(VLOOKUP(FD127,BDD,76,FALSE),"")</f>
        <v/>
      </c>
      <c r="FG127" s="30" t="str">
        <f>IFERROR(+VLOOKUP(FD127,BDD,77,FALSE),"")</f>
        <v/>
      </c>
      <c r="FH127" s="30" t="str">
        <f>+IFERROR(VLOOKUP(FD127,BDD,78,FALSE),"")</f>
        <v/>
      </c>
      <c r="FW127" s="16" t="str">
        <f>Mai!GB20</f>
        <v>182026</v>
      </c>
      <c r="FX127" s="16">
        <f>Mai!GC20</f>
        <v>0</v>
      </c>
      <c r="HI127" s="85">
        <f>+Mai!AB21</f>
        <v>46144</v>
      </c>
      <c r="HJ127" s="27" t="str">
        <f>+Mai!AD21</f>
        <v/>
      </c>
      <c r="HK127" s="16">
        <f t="shared" si="35"/>
        <v>0</v>
      </c>
      <c r="HL127" s="16" t="str">
        <f>IF(AND(HI127&gt;=DATE(Identification!$B$60,5,1),HI127&lt;=DATE(Identification!$B$60,10,31),SUM(HK127:HK141)=12),"OUI","")</f>
        <v/>
      </c>
    </row>
    <row r="128" spans="1:220" x14ac:dyDescent="0.2">
      <c r="A128" s="16" t="str">
        <f t="shared" si="38"/>
        <v>Fiche infoC1</v>
      </c>
      <c r="B128" s="16" t="str">
        <f t="shared" si="39"/>
        <v>Fiche info</v>
      </c>
      <c r="C128" s="27" t="s">
        <v>232</v>
      </c>
      <c r="D128" s="27">
        <v>1</v>
      </c>
      <c r="E128" s="16" t="s">
        <v>17</v>
      </c>
      <c r="F128" s="34" t="str">
        <f>+IF('Fiche info'!$AG$7=0,"",'Fiche info'!$AG$7)</f>
        <v/>
      </c>
      <c r="G128" s="16">
        <f t="shared" si="30"/>
        <v>0</v>
      </c>
      <c r="L128" s="16" t="str">
        <f>+$P$17&amp;$N$8</f>
        <v>Fiche info Avenant 10GSem</v>
      </c>
      <c r="M128" s="16">
        <f>IF('Fiche info Avenant 10'!$BY$19=0,0,'Fiche info Avenant 10'!$BY$19)</f>
        <v>0</v>
      </c>
      <c r="BX128" s="16" t="str">
        <f t="shared" si="31"/>
        <v>Fiche infoC1</v>
      </c>
      <c r="BY128" s="431">
        <f>'Fiche info'!X7</f>
        <v>0</v>
      </c>
      <c r="BZ128" s="431">
        <f>'Fiche info'!Y7</f>
        <v>0</v>
      </c>
      <c r="CA128" s="431">
        <f>'Fiche info'!Z7</f>
        <v>0</v>
      </c>
      <c r="CB128" s="431">
        <f>'Fiche info'!AA7</f>
        <v>0</v>
      </c>
      <c r="CC128" s="431">
        <f>'Fiche info'!AB7</f>
        <v>0</v>
      </c>
      <c r="CD128" s="431">
        <f>'Fiche info'!AC7</f>
        <v>0</v>
      </c>
      <c r="CE128" s="431">
        <f>'Fiche info'!AD7</f>
        <v>0</v>
      </c>
      <c r="CF128" s="431">
        <f>'Fiche info'!AE7</f>
        <v>0</v>
      </c>
      <c r="ED128" s="16" t="str">
        <f t="shared" si="40"/>
        <v>Fiche infoC</v>
      </c>
      <c r="EE128" s="16" t="str">
        <f t="shared" si="25"/>
        <v>Fiche info</v>
      </c>
      <c r="EF128" s="16" t="str">
        <f t="shared" si="26"/>
        <v>C</v>
      </c>
      <c r="EG128" s="16">
        <f t="shared" si="27"/>
        <v>1</v>
      </c>
      <c r="EH128" s="16" t="str">
        <f t="shared" si="28"/>
        <v>Lundi</v>
      </c>
      <c r="EI128" s="16" t="str">
        <f t="shared" si="29"/>
        <v/>
      </c>
      <c r="FB128" s="16" t="str">
        <f t="shared" si="33"/>
        <v/>
      </c>
      <c r="FC128" s="16" t="str">
        <f t="shared" si="34"/>
        <v/>
      </c>
      <c r="FD128" s="30">
        <f t="shared" si="41"/>
        <v>45413</v>
      </c>
      <c r="FE128" s="30" t="str">
        <f>+IFERROR(VLOOKUP(FD128,BDD,79,FALSE),"")</f>
        <v/>
      </c>
      <c r="FF128" s="30" t="str">
        <f>IFERROR(+VLOOKUP(FD128,BDD,80,FALSE),"")</f>
        <v/>
      </c>
      <c r="FG128" s="30" t="str">
        <f>+IFERROR(VLOOKUP(FD128,BDD,81,FALSE),"")</f>
        <v/>
      </c>
      <c r="FH128" s="30" t="str">
        <f>+IFERROR(VLOOKUP(FD128,BDD,82,FALSE),"")</f>
        <v/>
      </c>
      <c r="FW128" s="16" t="str">
        <f>Mai!GB21</f>
        <v>182026</v>
      </c>
      <c r="FX128" s="16">
        <f>Mai!GC21</f>
        <v>0</v>
      </c>
      <c r="HI128" s="85">
        <f>+Mai!AB22</f>
        <v>46145</v>
      </c>
      <c r="HJ128" s="27" t="str">
        <f>+Mai!AD22</f>
        <v/>
      </c>
      <c r="HK128" s="16">
        <f t="shared" si="35"/>
        <v>0</v>
      </c>
      <c r="HL128" s="16" t="str">
        <f>IF(AND(HI128&gt;=DATE(Identification!$B$60,5,1),HI128&lt;=DATE(Identification!$B$60,10,31),SUM(HK128:HK142)=12),"OUI","")</f>
        <v/>
      </c>
    </row>
    <row r="129" spans="1:220" x14ac:dyDescent="0.2">
      <c r="A129" s="16" t="str">
        <f t="shared" si="38"/>
        <v>Fiche infoC2</v>
      </c>
      <c r="B129" s="16" t="str">
        <f t="shared" si="39"/>
        <v>Fiche info</v>
      </c>
      <c r="C129" s="27" t="s">
        <v>232</v>
      </c>
      <c r="D129" s="27">
        <v>2</v>
      </c>
      <c r="E129" s="16" t="s">
        <v>18</v>
      </c>
      <c r="F129" s="34" t="str">
        <f>+IF('Fiche info'!$AG$8=0,"",'Fiche info'!$AG$8)</f>
        <v/>
      </c>
      <c r="G129" s="16">
        <f t="shared" si="30"/>
        <v>0</v>
      </c>
      <c r="L129" s="16" t="str">
        <f>+$P$17&amp;$N$9</f>
        <v>Fiche info Avenant 10HSem</v>
      </c>
      <c r="M129" s="16">
        <f>IF('Fiche info Avenant 10'!$CJ$19=0,0,'Fiche info Avenant 10'!$CJ$19)</f>
        <v>0</v>
      </c>
      <c r="BX129" s="16" t="str">
        <f t="shared" si="31"/>
        <v>Fiche infoC2</v>
      </c>
      <c r="BY129" s="431">
        <f>'Fiche info'!X8</f>
        <v>0</v>
      </c>
      <c r="BZ129" s="431">
        <f>'Fiche info'!Y8</f>
        <v>0</v>
      </c>
      <c r="CA129" s="431">
        <f>'Fiche info'!Z8</f>
        <v>0</v>
      </c>
      <c r="CB129" s="431">
        <f>'Fiche info'!AA8</f>
        <v>0</v>
      </c>
      <c r="CC129" s="431">
        <f>'Fiche info'!AB8</f>
        <v>0</v>
      </c>
      <c r="CD129" s="431">
        <f>'Fiche info'!AC8</f>
        <v>0</v>
      </c>
      <c r="CE129" s="431">
        <f>'Fiche info'!AD8</f>
        <v>0</v>
      </c>
      <c r="CF129" s="431">
        <f>'Fiche info'!AE8</f>
        <v>0</v>
      </c>
      <c r="ED129" s="16" t="str">
        <f t="shared" si="40"/>
        <v>Fiche infoC</v>
      </c>
      <c r="EE129" s="16" t="str">
        <f t="shared" ref="EE129:EE192" si="42">B129</f>
        <v>Fiche info</v>
      </c>
      <c r="EF129" s="16" t="str">
        <f t="shared" ref="EF129:EF192" si="43">C129</f>
        <v>C</v>
      </c>
      <c r="EG129" s="16">
        <f t="shared" ref="EG129:EG192" si="44">D129</f>
        <v>2</v>
      </c>
      <c r="EH129" s="16" t="str">
        <f t="shared" ref="EH129:EH192" si="45">E129</f>
        <v>Mardi</v>
      </c>
      <c r="EI129" s="16" t="str">
        <f t="shared" ref="EI129:EI192" si="46">F129</f>
        <v/>
      </c>
      <c r="FB129" s="16" t="str">
        <f t="shared" si="33"/>
        <v/>
      </c>
      <c r="FC129" s="16" t="str">
        <f t="shared" si="34"/>
        <v/>
      </c>
      <c r="FD129" s="30">
        <f t="shared" si="41"/>
        <v>45413</v>
      </c>
      <c r="FE129" s="30" t="str">
        <f>+IFERROR(VLOOKUP(FD129,BDD,83,FALSE),"")</f>
        <v/>
      </c>
      <c r="FF129" s="30" t="str">
        <f>+IFERROR(VLOOKUP(FD129,BDD,84,FALSE),"")</f>
        <v/>
      </c>
      <c r="FG129" s="30" t="str">
        <f>+IFERROR(VLOOKUP(FD129,BDD,85,FALSE),"")</f>
        <v/>
      </c>
      <c r="FH129" s="30" t="str">
        <f>+IFERROR(VLOOKUP(FD129,BDD,86,FALSE),"")</f>
        <v/>
      </c>
      <c r="FW129" s="16" t="str">
        <f>Mai!GB22</f>
        <v>182026</v>
      </c>
      <c r="FX129" s="16">
        <f>Mai!GC22</f>
        <v>0</v>
      </c>
      <c r="HI129" s="85">
        <f>+Mai!AB23</f>
        <v>46146</v>
      </c>
      <c r="HJ129" s="27" t="str">
        <f>+Mai!AD23</f>
        <v/>
      </c>
      <c r="HK129" s="16">
        <f t="shared" si="35"/>
        <v>0</v>
      </c>
      <c r="HL129" s="16" t="str">
        <f>IF(AND(HI129&gt;=DATE(Identification!$B$60,5,1),HI129&lt;=DATE(Identification!$B$60,10,31),SUM(HK129:HK143)=12),"OUI","")</f>
        <v/>
      </c>
    </row>
    <row r="130" spans="1:220" x14ac:dyDescent="0.2">
      <c r="A130" s="16" t="str">
        <f t="shared" si="38"/>
        <v>Fiche infoC3</v>
      </c>
      <c r="B130" s="16" t="str">
        <f t="shared" si="39"/>
        <v>Fiche info</v>
      </c>
      <c r="C130" s="27" t="s">
        <v>232</v>
      </c>
      <c r="D130" s="27">
        <v>3</v>
      </c>
      <c r="E130" s="16" t="s">
        <v>19</v>
      </c>
      <c r="F130" s="34" t="str">
        <f>+IF('Fiche info'!$AG$9=0,"",'Fiche info'!$AG$9)</f>
        <v/>
      </c>
      <c r="G130" s="16">
        <f t="shared" ref="G130:G193" si="47">+IF(OR(F130=0,F130=""),0,1)</f>
        <v>0</v>
      </c>
      <c r="BX130" s="16" t="str">
        <f t="shared" ref="BX130:BX193" si="48">A130</f>
        <v>Fiche infoC3</v>
      </c>
      <c r="BY130" s="431">
        <f>'Fiche info'!X9</f>
        <v>0</v>
      </c>
      <c r="BZ130" s="431">
        <f>'Fiche info'!Y9</f>
        <v>0</v>
      </c>
      <c r="CA130" s="431">
        <f>'Fiche info'!Z9</f>
        <v>0</v>
      </c>
      <c r="CB130" s="431">
        <f>'Fiche info'!AA9</f>
        <v>0</v>
      </c>
      <c r="CC130" s="431">
        <f>'Fiche info'!AB9</f>
        <v>0</v>
      </c>
      <c r="CD130" s="431">
        <f>'Fiche info'!AC9</f>
        <v>0</v>
      </c>
      <c r="CE130" s="431">
        <f>'Fiche info'!AD9</f>
        <v>0</v>
      </c>
      <c r="CF130" s="431">
        <f>'Fiche info'!AE9</f>
        <v>0</v>
      </c>
      <c r="ED130" s="16" t="str">
        <f t="shared" si="40"/>
        <v>Fiche infoC</v>
      </c>
      <c r="EE130" s="16" t="str">
        <f t="shared" si="42"/>
        <v>Fiche info</v>
      </c>
      <c r="EF130" s="16" t="str">
        <f t="shared" si="43"/>
        <v>C</v>
      </c>
      <c r="EG130" s="16">
        <f t="shared" si="44"/>
        <v>3</v>
      </c>
      <c r="EH130" s="16" t="str">
        <f t="shared" si="45"/>
        <v>Mercredi</v>
      </c>
      <c r="EI130" s="16" t="str">
        <f t="shared" si="46"/>
        <v/>
      </c>
      <c r="FB130" s="16" t="str">
        <f t="shared" si="33"/>
        <v/>
      </c>
      <c r="FC130" s="16" t="str">
        <f t="shared" si="34"/>
        <v/>
      </c>
      <c r="FD130" s="30">
        <f t="shared" si="41"/>
        <v>45383</v>
      </c>
      <c r="FE130" s="30" t="str">
        <f>+IFERROR(VLOOKUP(FD130,BDD,71,FALSE),"")</f>
        <v/>
      </c>
      <c r="FF130" s="30" t="str">
        <f>IFERROR(+VLOOKUP(FD130,BDD,72,FALSE),"")</f>
        <v/>
      </c>
      <c r="FG130" s="30" t="str">
        <f>+IFERROR(VLOOKUP(FD130,BDD,73,FALSE),"")</f>
        <v/>
      </c>
      <c r="FH130" s="30" t="str">
        <f>+IFERROR(VLOOKUP(FD130,BDD,74,FALSE),"")</f>
        <v/>
      </c>
      <c r="FW130" s="16" t="str">
        <f>Mai!GB23</f>
        <v>192026</v>
      </c>
      <c r="FX130" s="16">
        <f>Mai!GC23</f>
        <v>0</v>
      </c>
      <c r="HI130" s="85">
        <f>+Mai!AB24</f>
        <v>46147</v>
      </c>
      <c r="HJ130" s="27" t="str">
        <f>+Mai!AD24</f>
        <v/>
      </c>
      <c r="HK130" s="16">
        <f t="shared" si="35"/>
        <v>0</v>
      </c>
      <c r="HL130" s="16" t="str">
        <f>IF(AND(HI130&gt;=DATE(Identification!$B$60,5,1),HI130&lt;=DATE(Identification!$B$60,10,31),SUM(HK130:HK144)=12),"OUI","")</f>
        <v/>
      </c>
    </row>
    <row r="131" spans="1:220" x14ac:dyDescent="0.2">
      <c r="A131" s="16" t="str">
        <f t="shared" si="38"/>
        <v>Fiche infoC4</v>
      </c>
      <c r="B131" s="16" t="str">
        <f t="shared" si="39"/>
        <v>Fiche info</v>
      </c>
      <c r="C131" s="27" t="s">
        <v>232</v>
      </c>
      <c r="D131" s="27">
        <v>4</v>
      </c>
      <c r="E131" s="16" t="s">
        <v>20</v>
      </c>
      <c r="F131" s="34" t="str">
        <f>+IF('Fiche info'!$AG$10=0,"",'Fiche info'!$AG$10)</f>
        <v/>
      </c>
      <c r="G131" s="16">
        <f t="shared" si="47"/>
        <v>0</v>
      </c>
      <c r="BX131" s="16" t="str">
        <f t="shared" si="48"/>
        <v>Fiche infoC4</v>
      </c>
      <c r="BY131" s="431">
        <f>'Fiche info'!X10</f>
        <v>0</v>
      </c>
      <c r="BZ131" s="431">
        <f>'Fiche info'!Y10</f>
        <v>0</v>
      </c>
      <c r="CA131" s="431">
        <f>'Fiche info'!Z10</f>
        <v>0</v>
      </c>
      <c r="CB131" s="431">
        <f>'Fiche info'!AA10</f>
        <v>0</v>
      </c>
      <c r="CC131" s="431">
        <f>'Fiche info'!AB10</f>
        <v>0</v>
      </c>
      <c r="CD131" s="431">
        <f>'Fiche info'!AC10</f>
        <v>0</v>
      </c>
      <c r="CE131" s="431">
        <f>'Fiche info'!AD10</f>
        <v>0</v>
      </c>
      <c r="CF131" s="431">
        <f>'Fiche info'!AE10</f>
        <v>0</v>
      </c>
      <c r="ED131" s="16" t="str">
        <f t="shared" si="40"/>
        <v>Fiche infoC</v>
      </c>
      <c r="EE131" s="16" t="str">
        <f t="shared" si="42"/>
        <v>Fiche info</v>
      </c>
      <c r="EF131" s="16" t="str">
        <f t="shared" si="43"/>
        <v>C</v>
      </c>
      <c r="EG131" s="16">
        <f t="shared" si="44"/>
        <v>4</v>
      </c>
      <c r="EH131" s="16" t="str">
        <f t="shared" si="45"/>
        <v>Jeudi</v>
      </c>
      <c r="EI131" s="16" t="str">
        <f t="shared" si="46"/>
        <v/>
      </c>
      <c r="FB131" s="16" t="str">
        <f t="shared" ref="FB131:FB194" si="49">+IF(FE131=$EX$2,FE131&amp;FF131&amp;FG131,"")</f>
        <v/>
      </c>
      <c r="FC131" s="16" t="str">
        <f t="shared" ref="FC131:FC194" si="50">+IF(FE131=$EX$3,FE131&amp;FF131&amp;FG131,"")</f>
        <v/>
      </c>
      <c r="FD131" s="30">
        <f t="shared" si="41"/>
        <v>45383</v>
      </c>
      <c r="FE131" s="30" t="str">
        <f>+IFERROR(VLOOKUP(FD131,BDD,75,FALSE),"")</f>
        <v/>
      </c>
      <c r="FF131" s="30" t="str">
        <f>+IFERROR(VLOOKUP(FD131,BDD,76,FALSE),"")</f>
        <v/>
      </c>
      <c r="FG131" s="30" t="str">
        <f>IFERROR(+VLOOKUP(FD131,BDD,77,FALSE),"")</f>
        <v/>
      </c>
      <c r="FH131" s="30" t="str">
        <f>+IFERROR(VLOOKUP(FD131,BDD,78,FALSE),"")</f>
        <v/>
      </c>
      <c r="FW131" s="16" t="str">
        <f>Mai!GB24</f>
        <v>192026</v>
      </c>
      <c r="FX131" s="16">
        <f>Mai!GC24</f>
        <v>0</v>
      </c>
      <c r="HI131" s="85">
        <f>+Mai!AB25</f>
        <v>46148</v>
      </c>
      <c r="HJ131" s="27" t="str">
        <f>+Mai!AD25</f>
        <v/>
      </c>
      <c r="HK131" s="16">
        <f t="shared" ref="HK131:HK194" si="51">IF(HI131="",0,IF(AND(OR(HJ131=$BJ$3,HJ131=$BJ$4),WEEKDAY(HI131,2)&lt;7),1,0))</f>
        <v>0</v>
      </c>
      <c r="HL131" s="16" t="str">
        <f>IF(AND(HI131&gt;=DATE(Identification!$B$60,5,1),HI131&lt;=DATE(Identification!$B$60,10,31),SUM(HK131:HK145)=12),"OUI","")</f>
        <v/>
      </c>
    </row>
    <row r="132" spans="1:220" x14ac:dyDescent="0.2">
      <c r="A132" s="16" t="str">
        <f t="shared" si="38"/>
        <v>Fiche infoC5</v>
      </c>
      <c r="B132" s="16" t="str">
        <f t="shared" si="39"/>
        <v>Fiche info</v>
      </c>
      <c r="C132" s="27" t="s">
        <v>232</v>
      </c>
      <c r="D132" s="27">
        <v>5</v>
      </c>
      <c r="E132" s="16" t="s">
        <v>21</v>
      </c>
      <c r="F132" s="34" t="str">
        <f>+IF('Fiche info'!$AG$11=0,"",'Fiche info'!$AG$11)</f>
        <v/>
      </c>
      <c r="G132" s="16">
        <f t="shared" si="47"/>
        <v>0</v>
      </c>
      <c r="BX132" s="16" t="str">
        <f t="shared" si="48"/>
        <v>Fiche infoC5</v>
      </c>
      <c r="BY132" s="431">
        <f>'Fiche info'!X11</f>
        <v>0</v>
      </c>
      <c r="BZ132" s="431">
        <f>'Fiche info'!Y11</f>
        <v>0</v>
      </c>
      <c r="CA132" s="431">
        <f>'Fiche info'!Z11</f>
        <v>0</v>
      </c>
      <c r="CB132" s="431">
        <f>'Fiche info'!AA11</f>
        <v>0</v>
      </c>
      <c r="CC132" s="431">
        <f>'Fiche info'!AB11</f>
        <v>0</v>
      </c>
      <c r="CD132" s="431">
        <f>'Fiche info'!AC11</f>
        <v>0</v>
      </c>
      <c r="CE132" s="431">
        <f>'Fiche info'!AD11</f>
        <v>0</v>
      </c>
      <c r="CF132" s="431">
        <f>'Fiche info'!AE11</f>
        <v>0</v>
      </c>
      <c r="ED132" s="16" t="str">
        <f t="shared" si="40"/>
        <v>Fiche infoC</v>
      </c>
      <c r="EE132" s="16" t="str">
        <f t="shared" si="42"/>
        <v>Fiche info</v>
      </c>
      <c r="EF132" s="16" t="str">
        <f t="shared" si="43"/>
        <v>C</v>
      </c>
      <c r="EG132" s="16">
        <f t="shared" si="44"/>
        <v>5</v>
      </c>
      <c r="EH132" s="16" t="str">
        <f t="shared" si="45"/>
        <v>Vendredi</v>
      </c>
      <c r="EI132" s="16" t="str">
        <f t="shared" si="46"/>
        <v/>
      </c>
      <c r="FB132" s="16" t="str">
        <f t="shared" si="49"/>
        <v/>
      </c>
      <c r="FC132" s="16" t="str">
        <f t="shared" si="50"/>
        <v/>
      </c>
      <c r="FD132" s="30">
        <f t="shared" si="41"/>
        <v>45383</v>
      </c>
      <c r="FE132" s="30" t="str">
        <f>+IFERROR(VLOOKUP(FD132,BDD,79,FALSE),"")</f>
        <v/>
      </c>
      <c r="FF132" s="30" t="str">
        <f>IFERROR(+VLOOKUP(FD132,BDD,80,FALSE),"")</f>
        <v/>
      </c>
      <c r="FG132" s="30" t="str">
        <f>+IFERROR(VLOOKUP(FD132,BDD,81,FALSE),"")</f>
        <v/>
      </c>
      <c r="FH132" s="30" t="str">
        <f>+IFERROR(VLOOKUP(FD132,BDD,82,FALSE),"")</f>
        <v/>
      </c>
      <c r="FW132" s="16" t="str">
        <f>Mai!GB25</f>
        <v>192026</v>
      </c>
      <c r="FX132" s="16">
        <f>Mai!GC25</f>
        <v>0</v>
      </c>
      <c r="HI132" s="85">
        <f>+Mai!AB26</f>
        <v>46149</v>
      </c>
      <c r="HJ132" s="27" t="str">
        <f>+Mai!AD26</f>
        <v/>
      </c>
      <c r="HK132" s="16">
        <f t="shared" si="51"/>
        <v>0</v>
      </c>
      <c r="HL132" s="16" t="str">
        <f>IF(AND(HI132&gt;=DATE(Identification!$B$60,5,1),HI132&lt;=DATE(Identification!$B$60,10,31),SUM(HK132:HK146)=12),"OUI","")</f>
        <v/>
      </c>
    </row>
    <row r="133" spans="1:220" x14ac:dyDescent="0.2">
      <c r="A133" s="16" t="str">
        <f t="shared" si="38"/>
        <v>Fiche infoC6</v>
      </c>
      <c r="B133" s="16" t="str">
        <f t="shared" si="39"/>
        <v>Fiche info</v>
      </c>
      <c r="C133" s="27" t="s">
        <v>232</v>
      </c>
      <c r="D133" s="27">
        <v>6</v>
      </c>
      <c r="E133" s="16" t="s">
        <v>184</v>
      </c>
      <c r="F133" s="34" t="str">
        <f>+IF('Fiche info'!$AG$12=0,"",'Fiche info'!$AG$12)</f>
        <v/>
      </c>
      <c r="G133" s="16">
        <f t="shared" si="47"/>
        <v>0</v>
      </c>
      <c r="BX133" s="16" t="str">
        <f t="shared" si="48"/>
        <v>Fiche infoC6</v>
      </c>
      <c r="BY133" s="431">
        <f>'Fiche info'!X12</f>
        <v>0</v>
      </c>
      <c r="BZ133" s="431">
        <f>'Fiche info'!Y12</f>
        <v>0</v>
      </c>
      <c r="CA133" s="431">
        <f>'Fiche info'!Z12</f>
        <v>0</v>
      </c>
      <c r="CB133" s="431">
        <f>'Fiche info'!AA12</f>
        <v>0</v>
      </c>
      <c r="CC133" s="431">
        <f>'Fiche info'!AB12</f>
        <v>0</v>
      </c>
      <c r="CD133" s="431">
        <f>'Fiche info'!AC12</f>
        <v>0</v>
      </c>
      <c r="CE133" s="431">
        <f>'Fiche info'!AD12</f>
        <v>0</v>
      </c>
      <c r="CF133" s="431">
        <f>'Fiche info'!AE12</f>
        <v>0</v>
      </c>
      <c r="ED133" s="16" t="str">
        <f t="shared" si="40"/>
        <v>Fiche infoC</v>
      </c>
      <c r="EE133" s="16" t="str">
        <f t="shared" si="42"/>
        <v>Fiche info</v>
      </c>
      <c r="EF133" s="16" t="str">
        <f t="shared" si="43"/>
        <v>C</v>
      </c>
      <c r="EG133" s="16">
        <f t="shared" si="44"/>
        <v>6</v>
      </c>
      <c r="EH133" s="16" t="str">
        <f t="shared" si="45"/>
        <v>Samedi</v>
      </c>
      <c r="EI133" s="16" t="str">
        <f t="shared" si="46"/>
        <v/>
      </c>
      <c r="FB133" s="16" t="str">
        <f t="shared" si="49"/>
        <v/>
      </c>
      <c r="FC133" s="16" t="str">
        <f t="shared" si="50"/>
        <v/>
      </c>
      <c r="FD133" s="30">
        <f t="shared" si="41"/>
        <v>45383</v>
      </c>
      <c r="FE133" s="30" t="str">
        <f>+IFERROR(VLOOKUP(FD133,BDD,83,FALSE),"")</f>
        <v/>
      </c>
      <c r="FF133" s="30" t="str">
        <f>+IFERROR(VLOOKUP(FD133,BDD,84,FALSE),"")</f>
        <v/>
      </c>
      <c r="FG133" s="30" t="str">
        <f>+IFERROR(VLOOKUP(FD133,BDD,85,FALSE),"")</f>
        <v/>
      </c>
      <c r="FH133" s="30" t="str">
        <f>+IFERROR(VLOOKUP(FD133,BDD,86,FALSE),"")</f>
        <v/>
      </c>
      <c r="FW133" s="16" t="str">
        <f>Mai!GB26</f>
        <v>192026</v>
      </c>
      <c r="FX133" s="16">
        <f>Mai!GC26</f>
        <v>0</v>
      </c>
      <c r="HI133" s="85">
        <f>+Mai!AB27</f>
        <v>46150</v>
      </c>
      <c r="HJ133" s="27" t="str">
        <f>+Mai!AD27</f>
        <v/>
      </c>
      <c r="HK133" s="16">
        <f t="shared" si="51"/>
        <v>0</v>
      </c>
      <c r="HL133" s="16" t="str">
        <f>IF(AND(HI133&gt;=DATE(Identification!$B$60,5,1),HI133&lt;=DATE(Identification!$B$60,10,31),SUM(HK133:HK147)=12),"OUI","")</f>
        <v/>
      </c>
    </row>
    <row r="134" spans="1:220" x14ac:dyDescent="0.2">
      <c r="A134" s="16" t="str">
        <f t="shared" si="38"/>
        <v>Fiche infoC7</v>
      </c>
      <c r="B134" s="16" t="str">
        <f t="shared" si="39"/>
        <v>Fiche info</v>
      </c>
      <c r="C134" s="27" t="s">
        <v>232</v>
      </c>
      <c r="D134" s="27">
        <v>7</v>
      </c>
      <c r="E134" s="16" t="s">
        <v>185</v>
      </c>
      <c r="F134" s="34" t="str">
        <f>+IF('Fiche info'!$AG$13=0,"",'Fiche info'!$AG$13)</f>
        <v/>
      </c>
      <c r="G134" s="16">
        <f t="shared" si="47"/>
        <v>0</v>
      </c>
      <c r="BX134" s="16" t="str">
        <f t="shared" si="48"/>
        <v>Fiche infoC7</v>
      </c>
      <c r="BY134" s="431">
        <f>'Fiche info'!X13</f>
        <v>0</v>
      </c>
      <c r="BZ134" s="431">
        <f>'Fiche info'!Y13</f>
        <v>0</v>
      </c>
      <c r="CA134" s="431">
        <f>'Fiche info'!Z13</f>
        <v>0</v>
      </c>
      <c r="CB134" s="431">
        <f>'Fiche info'!AA13</f>
        <v>0</v>
      </c>
      <c r="CC134" s="431">
        <f>'Fiche info'!AB13</f>
        <v>0</v>
      </c>
      <c r="CD134" s="431">
        <f>'Fiche info'!AC13</f>
        <v>0</v>
      </c>
      <c r="CE134" s="431">
        <f>'Fiche info'!AD13</f>
        <v>0</v>
      </c>
      <c r="CF134" s="431">
        <f>'Fiche info'!AE13</f>
        <v>0</v>
      </c>
      <c r="ED134" s="16" t="str">
        <f t="shared" si="40"/>
        <v>Fiche infoC</v>
      </c>
      <c r="EE134" s="16" t="str">
        <f t="shared" si="42"/>
        <v>Fiche info</v>
      </c>
      <c r="EF134" s="16" t="str">
        <f t="shared" si="43"/>
        <v>C</v>
      </c>
      <c r="EG134" s="16">
        <f t="shared" si="44"/>
        <v>7</v>
      </c>
      <c r="EH134" s="16" t="str">
        <f t="shared" si="45"/>
        <v>Dimanche</v>
      </c>
      <c r="EI134" s="16" t="str">
        <f t="shared" si="46"/>
        <v/>
      </c>
      <c r="FB134" s="16" t="str">
        <f t="shared" si="49"/>
        <v/>
      </c>
      <c r="FC134" s="16" t="str">
        <f t="shared" si="50"/>
        <v/>
      </c>
      <c r="FD134" s="30">
        <f t="shared" si="41"/>
        <v>45352</v>
      </c>
      <c r="FE134" s="30" t="str">
        <f>+IFERROR(VLOOKUP(FD134,BDD,71,FALSE),"")</f>
        <v/>
      </c>
      <c r="FF134" s="30" t="str">
        <f>IFERROR(+VLOOKUP(FD134,BDD,72,FALSE),"")</f>
        <v/>
      </c>
      <c r="FG134" s="30" t="str">
        <f>+IFERROR(VLOOKUP(FD134,BDD,73,FALSE),"")</f>
        <v/>
      </c>
      <c r="FH134" s="30" t="str">
        <f>+IFERROR(VLOOKUP(FD134,BDD,74,FALSE),"")</f>
        <v/>
      </c>
      <c r="FW134" s="16" t="str">
        <f>Mai!GB27</f>
        <v>192026</v>
      </c>
      <c r="FX134" s="16">
        <f>Mai!GC27</f>
        <v>0</v>
      </c>
      <c r="HI134" s="85">
        <f>+Mai!AB28</f>
        <v>46151</v>
      </c>
      <c r="HJ134" s="27" t="str">
        <f>+Mai!AD28</f>
        <v/>
      </c>
      <c r="HK134" s="16">
        <f t="shared" si="51"/>
        <v>0</v>
      </c>
      <c r="HL134" s="16" t="str">
        <f>IF(AND(HI134&gt;=DATE(Identification!$B$60,5,1),HI134&lt;=DATE(Identification!$B$60,10,31),SUM(HK134:HK148)=12),"OUI","")</f>
        <v/>
      </c>
    </row>
    <row r="135" spans="1:220" x14ac:dyDescent="0.2">
      <c r="A135" s="16" t="str">
        <f t="shared" si="38"/>
        <v>Fiche infoD1</v>
      </c>
      <c r="B135" s="16" t="str">
        <f t="shared" si="39"/>
        <v>Fiche info</v>
      </c>
      <c r="C135" s="27" t="s">
        <v>233</v>
      </c>
      <c r="D135" s="27">
        <v>1</v>
      </c>
      <c r="E135" s="16" t="s">
        <v>17</v>
      </c>
      <c r="F135" s="34" t="str">
        <f>+IF('Fiche info'!$AR$7=0,"",'Fiche info'!$AR$7)</f>
        <v/>
      </c>
      <c r="G135" s="16">
        <f t="shared" si="47"/>
        <v>0</v>
      </c>
      <c r="BX135" s="16" t="str">
        <f t="shared" si="48"/>
        <v>Fiche infoD1</v>
      </c>
      <c r="BY135" s="431">
        <f>'Fiche info'!AI7</f>
        <v>0</v>
      </c>
      <c r="BZ135" s="431">
        <f>'Fiche info'!AJ7</f>
        <v>0</v>
      </c>
      <c r="CA135" s="431">
        <f>'Fiche info'!AK7</f>
        <v>0</v>
      </c>
      <c r="CB135" s="431">
        <f>'Fiche info'!AL7</f>
        <v>0</v>
      </c>
      <c r="CC135" s="431">
        <f>'Fiche info'!AM7</f>
        <v>0</v>
      </c>
      <c r="CD135" s="431">
        <f>'Fiche info'!AN7</f>
        <v>0</v>
      </c>
      <c r="CE135" s="431">
        <f>'Fiche info'!AO7</f>
        <v>0</v>
      </c>
      <c r="CF135" s="431">
        <f>'Fiche info'!AP7</f>
        <v>0</v>
      </c>
      <c r="ED135" s="16" t="str">
        <f t="shared" si="40"/>
        <v>Fiche infoD</v>
      </c>
      <c r="EE135" s="16" t="str">
        <f t="shared" si="42"/>
        <v>Fiche info</v>
      </c>
      <c r="EF135" s="16" t="str">
        <f t="shared" si="43"/>
        <v>D</v>
      </c>
      <c r="EG135" s="16">
        <f t="shared" si="44"/>
        <v>1</v>
      </c>
      <c r="EH135" s="16" t="str">
        <f t="shared" si="45"/>
        <v>Lundi</v>
      </c>
      <c r="EI135" s="16" t="str">
        <f t="shared" si="46"/>
        <v/>
      </c>
      <c r="FB135" s="16" t="str">
        <f t="shared" si="49"/>
        <v/>
      </c>
      <c r="FC135" s="16" t="str">
        <f t="shared" si="50"/>
        <v/>
      </c>
      <c r="FD135" s="30">
        <f t="shared" si="41"/>
        <v>45352</v>
      </c>
      <c r="FE135" s="30" t="str">
        <f>+IFERROR(VLOOKUP(FD135,BDD,75,FALSE),"")</f>
        <v/>
      </c>
      <c r="FF135" s="30" t="str">
        <f>+IFERROR(VLOOKUP(FD135,BDD,76,FALSE),"")</f>
        <v/>
      </c>
      <c r="FG135" s="30" t="str">
        <f>IFERROR(+VLOOKUP(FD135,BDD,77,FALSE),"")</f>
        <v/>
      </c>
      <c r="FH135" s="30" t="str">
        <f>+IFERROR(VLOOKUP(FD135,BDD,78,FALSE),"")</f>
        <v/>
      </c>
      <c r="FW135" s="16" t="str">
        <f>Mai!GB28</f>
        <v>192026</v>
      </c>
      <c r="FX135" s="16">
        <f>Mai!GC28</f>
        <v>0</v>
      </c>
      <c r="HI135" s="85">
        <f>+Mai!AB29</f>
        <v>46152</v>
      </c>
      <c r="HJ135" s="27" t="str">
        <f>+Mai!AD29</f>
        <v/>
      </c>
      <c r="HK135" s="16">
        <f t="shared" si="51"/>
        <v>0</v>
      </c>
      <c r="HL135" s="16" t="str">
        <f>IF(AND(HI135&gt;=DATE(Identification!$B$60,5,1),HI135&lt;=DATE(Identification!$B$60,10,31),SUM(HK135:HK149)=12),"OUI","")</f>
        <v/>
      </c>
    </row>
    <row r="136" spans="1:220" x14ac:dyDescent="0.2">
      <c r="A136" s="16" t="str">
        <f t="shared" si="38"/>
        <v>Fiche infoD2</v>
      </c>
      <c r="B136" s="16" t="str">
        <f t="shared" si="39"/>
        <v>Fiche info</v>
      </c>
      <c r="C136" s="27" t="s">
        <v>233</v>
      </c>
      <c r="D136" s="27">
        <v>2</v>
      </c>
      <c r="E136" s="16" t="s">
        <v>18</v>
      </c>
      <c r="F136" s="34" t="str">
        <f>IF(+'Fiche info'!$AR$8=0,"",'Fiche info'!$AR$8)</f>
        <v/>
      </c>
      <c r="G136" s="16">
        <f t="shared" si="47"/>
        <v>0</v>
      </c>
      <c r="BX136" s="16" t="str">
        <f t="shared" si="48"/>
        <v>Fiche infoD2</v>
      </c>
      <c r="BY136" s="431">
        <f>'Fiche info'!AI8</f>
        <v>0</v>
      </c>
      <c r="BZ136" s="431">
        <f>'Fiche info'!AJ8</f>
        <v>0</v>
      </c>
      <c r="CA136" s="431">
        <f>'Fiche info'!AK8</f>
        <v>0</v>
      </c>
      <c r="CB136" s="431">
        <f>'Fiche info'!AL8</f>
        <v>0</v>
      </c>
      <c r="CC136" s="431">
        <f>'Fiche info'!AM8</f>
        <v>0</v>
      </c>
      <c r="CD136" s="431">
        <f>'Fiche info'!AN8</f>
        <v>0</v>
      </c>
      <c r="CE136" s="431">
        <f>'Fiche info'!AO8</f>
        <v>0</v>
      </c>
      <c r="CF136" s="431">
        <f>'Fiche info'!AP8</f>
        <v>0</v>
      </c>
      <c r="ED136" s="16" t="str">
        <f t="shared" si="40"/>
        <v>Fiche infoD</v>
      </c>
      <c r="EE136" s="16" t="str">
        <f t="shared" si="42"/>
        <v>Fiche info</v>
      </c>
      <c r="EF136" s="16" t="str">
        <f t="shared" si="43"/>
        <v>D</v>
      </c>
      <c r="EG136" s="16">
        <f t="shared" si="44"/>
        <v>2</v>
      </c>
      <c r="EH136" s="16" t="str">
        <f t="shared" si="45"/>
        <v>Mardi</v>
      </c>
      <c r="EI136" s="16" t="str">
        <f t="shared" si="46"/>
        <v/>
      </c>
      <c r="FB136" s="16" t="str">
        <f t="shared" si="49"/>
        <v/>
      </c>
      <c r="FC136" s="16" t="str">
        <f t="shared" si="50"/>
        <v/>
      </c>
      <c r="FD136" s="30">
        <f t="shared" si="41"/>
        <v>45352</v>
      </c>
      <c r="FE136" s="30" t="str">
        <f>+IFERROR(VLOOKUP(FD136,BDD,79,FALSE),"")</f>
        <v/>
      </c>
      <c r="FF136" s="30" t="str">
        <f>IFERROR(+VLOOKUP(FD136,BDD,80,FALSE),"")</f>
        <v/>
      </c>
      <c r="FG136" s="30" t="str">
        <f>+IFERROR(VLOOKUP(FD136,BDD,81,FALSE),"")</f>
        <v/>
      </c>
      <c r="FH136" s="30" t="str">
        <f>+IFERROR(VLOOKUP(FD136,BDD,82,FALSE),"")</f>
        <v/>
      </c>
      <c r="FW136" s="16" t="str">
        <f>Mai!GB29</f>
        <v>192026</v>
      </c>
      <c r="FX136" s="16">
        <f>Mai!GC29</f>
        <v>0</v>
      </c>
      <c r="HI136" s="85">
        <f>+Mai!AB30</f>
        <v>46153</v>
      </c>
      <c r="HJ136" s="27" t="str">
        <f>+Mai!AD30</f>
        <v/>
      </c>
      <c r="HK136" s="16">
        <f t="shared" si="51"/>
        <v>0</v>
      </c>
      <c r="HL136" s="16" t="str">
        <f>IF(AND(HI136&gt;=DATE(Identification!$B$60,5,1),HI136&lt;=DATE(Identification!$B$60,10,31),SUM(HK136:HK150)=12),"OUI","")</f>
        <v/>
      </c>
    </row>
    <row r="137" spans="1:220" x14ac:dyDescent="0.2">
      <c r="A137" s="16" t="str">
        <f t="shared" si="38"/>
        <v>Fiche infoD3</v>
      </c>
      <c r="B137" s="16" t="str">
        <f t="shared" si="39"/>
        <v>Fiche info</v>
      </c>
      <c r="C137" s="27" t="s">
        <v>233</v>
      </c>
      <c r="D137" s="27">
        <v>3</v>
      </c>
      <c r="E137" s="16" t="s">
        <v>19</v>
      </c>
      <c r="F137" s="34" t="str">
        <f>IF(+'Fiche info'!$AR$9=0,"",'Fiche info'!$AR$9)</f>
        <v/>
      </c>
      <c r="G137" s="16">
        <f t="shared" si="47"/>
        <v>0</v>
      </c>
      <c r="BX137" s="16" t="str">
        <f t="shared" si="48"/>
        <v>Fiche infoD3</v>
      </c>
      <c r="BY137" s="431">
        <f>'Fiche info'!AI9</f>
        <v>0</v>
      </c>
      <c r="BZ137" s="431">
        <f>'Fiche info'!AJ9</f>
        <v>0</v>
      </c>
      <c r="CA137" s="431">
        <f>'Fiche info'!AK9</f>
        <v>0</v>
      </c>
      <c r="CB137" s="431">
        <f>'Fiche info'!AL9</f>
        <v>0</v>
      </c>
      <c r="CC137" s="431">
        <f>'Fiche info'!AM9</f>
        <v>0</v>
      </c>
      <c r="CD137" s="431">
        <f>'Fiche info'!AN9</f>
        <v>0</v>
      </c>
      <c r="CE137" s="431">
        <f>'Fiche info'!AO9</f>
        <v>0</v>
      </c>
      <c r="CF137" s="431">
        <f>'Fiche info'!AP9</f>
        <v>0</v>
      </c>
      <c r="ED137" s="16" t="str">
        <f t="shared" si="40"/>
        <v>Fiche infoD</v>
      </c>
      <c r="EE137" s="16" t="str">
        <f t="shared" si="42"/>
        <v>Fiche info</v>
      </c>
      <c r="EF137" s="16" t="str">
        <f t="shared" si="43"/>
        <v>D</v>
      </c>
      <c r="EG137" s="16">
        <f t="shared" si="44"/>
        <v>3</v>
      </c>
      <c r="EH137" s="16" t="str">
        <f t="shared" si="45"/>
        <v>Mercredi</v>
      </c>
      <c r="EI137" s="16" t="str">
        <f t="shared" si="46"/>
        <v/>
      </c>
      <c r="FB137" s="16" t="str">
        <f t="shared" si="49"/>
        <v/>
      </c>
      <c r="FC137" s="16" t="str">
        <f t="shared" si="50"/>
        <v/>
      </c>
      <c r="FD137" s="30">
        <f t="shared" si="41"/>
        <v>45352</v>
      </c>
      <c r="FE137" s="30" t="str">
        <f>+IFERROR(VLOOKUP(FD137,BDD,83,FALSE),"")</f>
        <v/>
      </c>
      <c r="FF137" s="30" t="str">
        <f>+IFERROR(VLOOKUP(FD137,BDD,84,FALSE),"")</f>
        <v/>
      </c>
      <c r="FG137" s="30" t="str">
        <f>+IFERROR(VLOOKUP(FD137,BDD,85,FALSE),"")</f>
        <v/>
      </c>
      <c r="FH137" s="30" t="str">
        <f>+IFERROR(VLOOKUP(FD137,BDD,86,FALSE),"")</f>
        <v/>
      </c>
      <c r="FW137" s="16" t="str">
        <f>Mai!GB30</f>
        <v>202026</v>
      </c>
      <c r="FX137" s="16">
        <f>Mai!GC30</f>
        <v>0</v>
      </c>
      <c r="HI137" s="85">
        <f>+Mai!AB31</f>
        <v>46154</v>
      </c>
      <c r="HJ137" s="27" t="str">
        <f>+Mai!AD31</f>
        <v/>
      </c>
      <c r="HK137" s="16">
        <f t="shared" si="51"/>
        <v>0</v>
      </c>
      <c r="HL137" s="16" t="str">
        <f>IF(AND(HI137&gt;=DATE(Identification!$B$60,5,1),HI137&lt;=DATE(Identification!$B$60,10,31),SUM(HK137:HK151)=12),"OUI","")</f>
        <v/>
      </c>
    </row>
    <row r="138" spans="1:220" x14ac:dyDescent="0.2">
      <c r="A138" s="16" t="str">
        <f t="shared" si="38"/>
        <v>Fiche infoD4</v>
      </c>
      <c r="B138" s="16" t="str">
        <f t="shared" si="39"/>
        <v>Fiche info</v>
      </c>
      <c r="C138" s="27" t="s">
        <v>233</v>
      </c>
      <c r="D138" s="27">
        <v>4</v>
      </c>
      <c r="E138" s="16" t="s">
        <v>20</v>
      </c>
      <c r="F138" s="34" t="str">
        <f>IF(+'Fiche info'!$AR$10=0,"",'Fiche info'!$AR$10)</f>
        <v/>
      </c>
      <c r="G138" s="16">
        <f t="shared" si="47"/>
        <v>0</v>
      </c>
      <c r="BX138" s="16" t="str">
        <f t="shared" si="48"/>
        <v>Fiche infoD4</v>
      </c>
      <c r="BY138" s="431">
        <f>'Fiche info'!AI10</f>
        <v>0</v>
      </c>
      <c r="BZ138" s="431">
        <f>'Fiche info'!AJ10</f>
        <v>0</v>
      </c>
      <c r="CA138" s="431">
        <f>'Fiche info'!AK10</f>
        <v>0</v>
      </c>
      <c r="CB138" s="431">
        <f>'Fiche info'!AL10</f>
        <v>0</v>
      </c>
      <c r="CC138" s="431">
        <f>'Fiche info'!AM10</f>
        <v>0</v>
      </c>
      <c r="CD138" s="431">
        <f>'Fiche info'!AN10</f>
        <v>0</v>
      </c>
      <c r="CE138" s="431">
        <f>'Fiche info'!AO10</f>
        <v>0</v>
      </c>
      <c r="CF138" s="431">
        <f>'Fiche info'!AP10</f>
        <v>0</v>
      </c>
      <c r="ED138" s="16" t="str">
        <f t="shared" si="40"/>
        <v>Fiche infoD</v>
      </c>
      <c r="EE138" s="16" t="str">
        <f t="shared" si="42"/>
        <v>Fiche info</v>
      </c>
      <c r="EF138" s="16" t="str">
        <f t="shared" si="43"/>
        <v>D</v>
      </c>
      <c r="EG138" s="16">
        <f t="shared" si="44"/>
        <v>4</v>
      </c>
      <c r="EH138" s="16" t="str">
        <f t="shared" si="45"/>
        <v>Jeudi</v>
      </c>
      <c r="EI138" s="16" t="str">
        <f t="shared" si="46"/>
        <v/>
      </c>
      <c r="FB138" s="16" t="str">
        <f t="shared" si="49"/>
        <v/>
      </c>
      <c r="FC138" s="16" t="str">
        <f t="shared" si="50"/>
        <v/>
      </c>
      <c r="FD138" s="30">
        <f t="shared" si="41"/>
        <v>45323</v>
      </c>
      <c r="FE138" s="30" t="str">
        <f>+IFERROR(VLOOKUP(FD138,BDD,71,FALSE),"")</f>
        <v/>
      </c>
      <c r="FF138" s="30" t="str">
        <f>IFERROR(+VLOOKUP(FD138,BDD,72,FALSE),"")</f>
        <v/>
      </c>
      <c r="FG138" s="30" t="str">
        <f>+IFERROR(VLOOKUP(FD138,BDD,73,FALSE),"")</f>
        <v/>
      </c>
      <c r="FH138" s="30" t="str">
        <f>+IFERROR(VLOOKUP(FD138,BDD,74,FALSE),"")</f>
        <v/>
      </c>
      <c r="FW138" s="16" t="str">
        <f>Mai!GB31</f>
        <v>202026</v>
      </c>
      <c r="FX138" s="16">
        <f>Mai!GC31</f>
        <v>0</v>
      </c>
      <c r="HI138" s="85">
        <f>+Mai!AB32</f>
        <v>46155</v>
      </c>
      <c r="HJ138" s="27" t="str">
        <f>+Mai!AD32</f>
        <v/>
      </c>
      <c r="HK138" s="16">
        <f t="shared" si="51"/>
        <v>0</v>
      </c>
      <c r="HL138" s="16" t="str">
        <f>IF(AND(HI138&gt;=DATE(Identification!$B$60,5,1),HI138&lt;=DATE(Identification!$B$60,10,31),SUM(HK138:HK152)=12),"OUI","")</f>
        <v/>
      </c>
    </row>
    <row r="139" spans="1:220" x14ac:dyDescent="0.2">
      <c r="A139" s="16" t="str">
        <f t="shared" si="38"/>
        <v>Fiche infoD5</v>
      </c>
      <c r="B139" s="16" t="str">
        <f t="shared" si="39"/>
        <v>Fiche info</v>
      </c>
      <c r="C139" s="27" t="s">
        <v>233</v>
      </c>
      <c r="D139" s="27">
        <v>5</v>
      </c>
      <c r="E139" s="16" t="s">
        <v>21</v>
      </c>
      <c r="F139" s="34" t="str">
        <f>IF(+'Fiche info'!$AR$11=0,"",'Fiche info'!$AR$11)</f>
        <v/>
      </c>
      <c r="G139" s="16">
        <f t="shared" si="47"/>
        <v>0</v>
      </c>
      <c r="BX139" s="16" t="str">
        <f t="shared" si="48"/>
        <v>Fiche infoD5</v>
      </c>
      <c r="BY139" s="431">
        <f>'Fiche info'!AI11</f>
        <v>0</v>
      </c>
      <c r="BZ139" s="431">
        <f>'Fiche info'!AJ11</f>
        <v>0</v>
      </c>
      <c r="CA139" s="431">
        <f>'Fiche info'!AK11</f>
        <v>0</v>
      </c>
      <c r="CB139" s="431">
        <f>'Fiche info'!AL11</f>
        <v>0</v>
      </c>
      <c r="CC139" s="431">
        <f>'Fiche info'!AM11</f>
        <v>0</v>
      </c>
      <c r="CD139" s="431">
        <f>'Fiche info'!AN11</f>
        <v>0</v>
      </c>
      <c r="CE139" s="431">
        <f>'Fiche info'!AO11</f>
        <v>0</v>
      </c>
      <c r="CF139" s="431">
        <f>'Fiche info'!AP11</f>
        <v>0</v>
      </c>
      <c r="ED139" s="16" t="str">
        <f t="shared" si="40"/>
        <v>Fiche infoD</v>
      </c>
      <c r="EE139" s="16" t="str">
        <f t="shared" si="42"/>
        <v>Fiche info</v>
      </c>
      <c r="EF139" s="16" t="str">
        <f t="shared" si="43"/>
        <v>D</v>
      </c>
      <c r="EG139" s="16">
        <f t="shared" si="44"/>
        <v>5</v>
      </c>
      <c r="EH139" s="16" t="str">
        <f t="shared" si="45"/>
        <v>Vendredi</v>
      </c>
      <c r="EI139" s="16" t="str">
        <f t="shared" si="46"/>
        <v/>
      </c>
      <c r="FB139" s="16" t="str">
        <f t="shared" si="49"/>
        <v/>
      </c>
      <c r="FC139" s="16" t="str">
        <f t="shared" si="50"/>
        <v/>
      </c>
      <c r="FD139" s="30">
        <f t="shared" si="41"/>
        <v>45323</v>
      </c>
      <c r="FE139" s="30" t="str">
        <f>+IFERROR(VLOOKUP(FD139,BDD,75,FALSE),"")</f>
        <v/>
      </c>
      <c r="FF139" s="30" t="str">
        <f>+IFERROR(VLOOKUP(FD139,BDD,76,FALSE),"")</f>
        <v/>
      </c>
      <c r="FG139" s="30" t="str">
        <f>IFERROR(+VLOOKUP(FD139,BDD,77,FALSE),"")</f>
        <v/>
      </c>
      <c r="FH139" s="30" t="str">
        <f>+IFERROR(VLOOKUP(FD139,BDD,78,FALSE),"")</f>
        <v/>
      </c>
      <c r="FW139" s="16" t="str">
        <f>Mai!GB32</f>
        <v>202026</v>
      </c>
      <c r="FX139" s="16">
        <f>Mai!GC32</f>
        <v>0</v>
      </c>
      <c r="HI139" s="85">
        <f>+Mai!AB33</f>
        <v>46156</v>
      </c>
      <c r="HJ139" s="27" t="str">
        <f>+Mai!AD33</f>
        <v/>
      </c>
      <c r="HK139" s="16">
        <f t="shared" si="51"/>
        <v>0</v>
      </c>
      <c r="HL139" s="16" t="str">
        <f>IF(AND(HI139&gt;=DATE(Identification!$B$60,5,1),HI139&lt;=DATE(Identification!$B$60,10,31),SUM(HK139:HK153)=12),"OUI","")</f>
        <v/>
      </c>
    </row>
    <row r="140" spans="1:220" x14ac:dyDescent="0.2">
      <c r="A140" s="16" t="str">
        <f t="shared" si="38"/>
        <v>Fiche infoD6</v>
      </c>
      <c r="B140" s="16" t="str">
        <f t="shared" si="39"/>
        <v>Fiche info</v>
      </c>
      <c r="C140" s="27" t="s">
        <v>233</v>
      </c>
      <c r="D140" s="27">
        <v>6</v>
      </c>
      <c r="E140" s="16" t="s">
        <v>184</v>
      </c>
      <c r="F140" s="34" t="str">
        <f>IF(+'Fiche info'!$AR$12=0,"",'Fiche info'!$AR$12)</f>
        <v/>
      </c>
      <c r="G140" s="16">
        <f t="shared" si="47"/>
        <v>0</v>
      </c>
      <c r="BX140" s="16" t="str">
        <f t="shared" si="48"/>
        <v>Fiche infoD6</v>
      </c>
      <c r="BY140" s="431">
        <f>'Fiche info'!AI12</f>
        <v>0</v>
      </c>
      <c r="BZ140" s="431">
        <f>'Fiche info'!AJ12</f>
        <v>0</v>
      </c>
      <c r="CA140" s="431">
        <f>'Fiche info'!AK12</f>
        <v>0</v>
      </c>
      <c r="CB140" s="431">
        <f>'Fiche info'!AL12</f>
        <v>0</v>
      </c>
      <c r="CC140" s="431">
        <f>'Fiche info'!AM12</f>
        <v>0</v>
      </c>
      <c r="CD140" s="431">
        <f>'Fiche info'!AN12</f>
        <v>0</v>
      </c>
      <c r="CE140" s="431">
        <f>'Fiche info'!AO12</f>
        <v>0</v>
      </c>
      <c r="CF140" s="431">
        <f>'Fiche info'!AP12</f>
        <v>0</v>
      </c>
      <c r="ED140" s="16" t="str">
        <f t="shared" si="40"/>
        <v>Fiche infoD</v>
      </c>
      <c r="EE140" s="16" t="str">
        <f t="shared" si="42"/>
        <v>Fiche info</v>
      </c>
      <c r="EF140" s="16" t="str">
        <f t="shared" si="43"/>
        <v>D</v>
      </c>
      <c r="EG140" s="16">
        <f t="shared" si="44"/>
        <v>6</v>
      </c>
      <c r="EH140" s="16" t="str">
        <f t="shared" si="45"/>
        <v>Samedi</v>
      </c>
      <c r="EI140" s="16" t="str">
        <f t="shared" si="46"/>
        <v/>
      </c>
      <c r="FB140" s="16" t="str">
        <f t="shared" si="49"/>
        <v/>
      </c>
      <c r="FC140" s="16" t="str">
        <f t="shared" si="50"/>
        <v/>
      </c>
      <c r="FD140" s="30">
        <f t="shared" si="41"/>
        <v>45323</v>
      </c>
      <c r="FE140" s="30" t="str">
        <f>+IFERROR(VLOOKUP(FD140,BDD,79,FALSE),"")</f>
        <v/>
      </c>
      <c r="FF140" s="30" t="str">
        <f>IFERROR(+VLOOKUP(FD140,BDD,80,FALSE),"")</f>
        <v/>
      </c>
      <c r="FG140" s="30" t="str">
        <f>+IFERROR(VLOOKUP(FD140,BDD,81,FALSE),"")</f>
        <v/>
      </c>
      <c r="FH140" s="30" t="str">
        <f>+IFERROR(VLOOKUP(FD140,BDD,82,FALSE),"")</f>
        <v/>
      </c>
      <c r="FW140" s="16" t="str">
        <f>Mai!GB33</f>
        <v>202026</v>
      </c>
      <c r="FX140" s="16">
        <f>Mai!GC33</f>
        <v>0</v>
      </c>
      <c r="HI140" s="85">
        <f>+Mai!AB34</f>
        <v>46157</v>
      </c>
      <c r="HJ140" s="27" t="str">
        <f>+Mai!AD34</f>
        <v/>
      </c>
      <c r="HK140" s="16">
        <f t="shared" si="51"/>
        <v>0</v>
      </c>
      <c r="HL140" s="16" t="str">
        <f>IF(AND(HI140&gt;=DATE(Identification!$B$60,5,1),HI140&lt;=DATE(Identification!$B$60,10,31),SUM(HK140:HK154)=12),"OUI","")</f>
        <v/>
      </c>
    </row>
    <row r="141" spans="1:220" x14ac:dyDescent="0.2">
      <c r="A141" s="16" t="str">
        <f t="shared" si="38"/>
        <v>Fiche infoD7</v>
      </c>
      <c r="B141" s="16" t="str">
        <f t="shared" si="39"/>
        <v>Fiche info</v>
      </c>
      <c r="C141" s="27" t="s">
        <v>233</v>
      </c>
      <c r="D141" s="27">
        <v>7</v>
      </c>
      <c r="E141" s="16" t="s">
        <v>185</v>
      </c>
      <c r="F141" s="34" t="str">
        <f>IF(+'Fiche info'!$AR$13=0,"",'Fiche info'!$AR$13)</f>
        <v/>
      </c>
      <c r="G141" s="16">
        <f t="shared" si="47"/>
        <v>0</v>
      </c>
      <c r="BX141" s="16" t="str">
        <f t="shared" si="48"/>
        <v>Fiche infoD7</v>
      </c>
      <c r="BY141" s="431">
        <f>'Fiche info'!AI13</f>
        <v>0</v>
      </c>
      <c r="BZ141" s="431">
        <f>'Fiche info'!AJ13</f>
        <v>0</v>
      </c>
      <c r="CA141" s="431">
        <f>'Fiche info'!AK13</f>
        <v>0</v>
      </c>
      <c r="CB141" s="431">
        <f>'Fiche info'!AL13</f>
        <v>0</v>
      </c>
      <c r="CC141" s="431">
        <f>'Fiche info'!AM13</f>
        <v>0</v>
      </c>
      <c r="CD141" s="431">
        <f>'Fiche info'!AN13</f>
        <v>0</v>
      </c>
      <c r="CE141" s="431">
        <f>'Fiche info'!AO13</f>
        <v>0</v>
      </c>
      <c r="CF141" s="431">
        <f>'Fiche info'!AP13</f>
        <v>0</v>
      </c>
      <c r="ED141" s="16" t="str">
        <f t="shared" si="40"/>
        <v>Fiche infoD</v>
      </c>
      <c r="EE141" s="16" t="str">
        <f t="shared" si="42"/>
        <v>Fiche info</v>
      </c>
      <c r="EF141" s="16" t="str">
        <f t="shared" si="43"/>
        <v>D</v>
      </c>
      <c r="EG141" s="16">
        <f t="shared" si="44"/>
        <v>7</v>
      </c>
      <c r="EH141" s="16" t="str">
        <f t="shared" si="45"/>
        <v>Dimanche</v>
      </c>
      <c r="EI141" s="16" t="str">
        <f t="shared" si="46"/>
        <v/>
      </c>
      <c r="FB141" s="16" t="str">
        <f t="shared" si="49"/>
        <v/>
      </c>
      <c r="FC141" s="16" t="str">
        <f t="shared" si="50"/>
        <v/>
      </c>
      <c r="FD141" s="30">
        <f t="shared" si="41"/>
        <v>45323</v>
      </c>
      <c r="FE141" s="30" t="str">
        <f>+IFERROR(VLOOKUP(FD141,BDD,83,FALSE),"")</f>
        <v/>
      </c>
      <c r="FF141" s="30" t="str">
        <f>+IFERROR(VLOOKUP(FD141,BDD,84,FALSE),"")</f>
        <v/>
      </c>
      <c r="FG141" s="30" t="str">
        <f>+IFERROR(VLOOKUP(FD141,BDD,85,FALSE),"")</f>
        <v/>
      </c>
      <c r="FH141" s="30" t="str">
        <f>+IFERROR(VLOOKUP(FD141,BDD,86,FALSE),"")</f>
        <v/>
      </c>
      <c r="FW141" s="16" t="str">
        <f>Mai!GB34</f>
        <v>202026</v>
      </c>
      <c r="FX141" s="16">
        <f>Mai!GC34</f>
        <v>0</v>
      </c>
      <c r="HI141" s="85">
        <f>+Mai!AB35</f>
        <v>46158</v>
      </c>
      <c r="HJ141" s="27" t="str">
        <f>+Mai!AD35</f>
        <v/>
      </c>
      <c r="HK141" s="16">
        <f t="shared" si="51"/>
        <v>0</v>
      </c>
      <c r="HL141" s="16" t="str">
        <f>IF(AND(HI141&gt;=DATE(Identification!$B$60,5,1),HI141&lt;=DATE(Identification!$B$60,10,31),SUM(HK141:HK155)=12),"OUI","")</f>
        <v/>
      </c>
    </row>
    <row r="142" spans="1:220" x14ac:dyDescent="0.2">
      <c r="A142" s="16" t="str">
        <f t="shared" si="38"/>
        <v>Fiche infoE1</v>
      </c>
      <c r="B142" s="16" t="str">
        <f t="shared" si="39"/>
        <v>Fiche info</v>
      </c>
      <c r="C142" s="27" t="s">
        <v>234</v>
      </c>
      <c r="D142" s="27">
        <v>1</v>
      </c>
      <c r="E142" s="16" t="s">
        <v>17</v>
      </c>
      <c r="F142" s="34" t="str">
        <f>IF(+'Fiche info'!$BC$7=0,"",'Fiche info'!$BC$7)</f>
        <v/>
      </c>
      <c r="G142" s="16">
        <f t="shared" si="47"/>
        <v>0</v>
      </c>
      <c r="BX142" s="16" t="str">
        <f t="shared" si="48"/>
        <v>Fiche infoE1</v>
      </c>
      <c r="BY142" s="431">
        <f>'Fiche info'!AT7</f>
        <v>0</v>
      </c>
      <c r="BZ142" s="431">
        <f>'Fiche info'!AU7</f>
        <v>0</v>
      </c>
      <c r="CA142" s="431">
        <f>'Fiche info'!AV7</f>
        <v>0</v>
      </c>
      <c r="CB142" s="431">
        <f>'Fiche info'!AW7</f>
        <v>0</v>
      </c>
      <c r="CC142" s="431">
        <f>'Fiche info'!AX7</f>
        <v>0</v>
      </c>
      <c r="CD142" s="431">
        <f>'Fiche info'!AY7</f>
        <v>0</v>
      </c>
      <c r="CE142" s="431">
        <f>'Fiche info'!AZ7</f>
        <v>0</v>
      </c>
      <c r="CF142" s="431">
        <f>'Fiche info'!BA7</f>
        <v>0</v>
      </c>
      <c r="ED142" s="16" t="str">
        <f t="shared" si="40"/>
        <v>Fiche infoE</v>
      </c>
      <c r="EE142" s="16" t="str">
        <f t="shared" si="42"/>
        <v>Fiche info</v>
      </c>
      <c r="EF142" s="16" t="str">
        <f t="shared" si="43"/>
        <v>E</v>
      </c>
      <c r="EG142" s="16">
        <f t="shared" si="44"/>
        <v>1</v>
      </c>
      <c r="EH142" s="16" t="str">
        <f t="shared" si="45"/>
        <v>Lundi</v>
      </c>
      <c r="EI142" s="16" t="str">
        <f t="shared" si="46"/>
        <v/>
      </c>
      <c r="FB142" s="16" t="str">
        <f t="shared" si="49"/>
        <v/>
      </c>
      <c r="FC142" s="16" t="str">
        <f t="shared" si="50"/>
        <v/>
      </c>
      <c r="FD142" s="30">
        <f t="shared" si="41"/>
        <v>45292</v>
      </c>
      <c r="FE142" s="30" t="str">
        <f>+IFERROR(VLOOKUP(FD142,BDD,71,FALSE),"")</f>
        <v/>
      </c>
      <c r="FF142" s="30" t="str">
        <f>IFERROR(+VLOOKUP(FD142,BDD,72,FALSE),"")</f>
        <v/>
      </c>
      <c r="FG142" s="30" t="str">
        <f>+IFERROR(VLOOKUP(FD142,BDD,73,FALSE),"")</f>
        <v/>
      </c>
      <c r="FH142" s="30" t="str">
        <f>+IFERROR(VLOOKUP(FD142,BDD,74,FALSE),"")</f>
        <v/>
      </c>
      <c r="FW142" s="16" t="str">
        <f>Mai!GB35</f>
        <v>202026</v>
      </c>
      <c r="FX142" s="16">
        <f>Mai!GC35</f>
        <v>0</v>
      </c>
      <c r="HI142" s="85">
        <f>+Mai!AB36</f>
        <v>46159</v>
      </c>
      <c r="HJ142" s="27" t="str">
        <f>+Mai!AD36</f>
        <v/>
      </c>
      <c r="HK142" s="16">
        <f t="shared" si="51"/>
        <v>0</v>
      </c>
      <c r="HL142" s="16" t="str">
        <f>IF(AND(HI142&gt;=DATE(Identification!$B$60,5,1),HI142&lt;=DATE(Identification!$B$60,10,31),SUM(HK142:HK156)=12),"OUI","")</f>
        <v/>
      </c>
    </row>
    <row r="143" spans="1:220" x14ac:dyDescent="0.2">
      <c r="A143" s="16" t="str">
        <f t="shared" si="38"/>
        <v>Fiche infoE2</v>
      </c>
      <c r="B143" s="16" t="str">
        <f t="shared" si="39"/>
        <v>Fiche info</v>
      </c>
      <c r="C143" s="27" t="s">
        <v>234</v>
      </c>
      <c r="D143" s="27">
        <v>2</v>
      </c>
      <c r="E143" s="16" t="s">
        <v>18</v>
      </c>
      <c r="F143" s="34" t="str">
        <f>IF(+'Fiche info'!$BC$8=0,"",'Fiche info'!$BC$8)</f>
        <v/>
      </c>
      <c r="G143" s="16">
        <f t="shared" si="47"/>
        <v>0</v>
      </c>
      <c r="BX143" s="16" t="str">
        <f t="shared" si="48"/>
        <v>Fiche infoE2</v>
      </c>
      <c r="BY143" s="431">
        <f>'Fiche info'!AT8</f>
        <v>0</v>
      </c>
      <c r="BZ143" s="431">
        <f>'Fiche info'!AU8</f>
        <v>0</v>
      </c>
      <c r="CA143" s="431">
        <f>'Fiche info'!AV8</f>
        <v>0</v>
      </c>
      <c r="CB143" s="431">
        <f>'Fiche info'!AW8</f>
        <v>0</v>
      </c>
      <c r="CC143" s="431">
        <f>'Fiche info'!AX8</f>
        <v>0</v>
      </c>
      <c r="CD143" s="431">
        <f>'Fiche info'!AY8</f>
        <v>0</v>
      </c>
      <c r="CE143" s="431">
        <f>'Fiche info'!AZ8</f>
        <v>0</v>
      </c>
      <c r="CF143" s="431">
        <f>'Fiche info'!BA8</f>
        <v>0</v>
      </c>
      <c r="ED143" s="16" t="str">
        <f t="shared" si="40"/>
        <v>Fiche infoE</v>
      </c>
      <c r="EE143" s="16" t="str">
        <f t="shared" si="42"/>
        <v>Fiche info</v>
      </c>
      <c r="EF143" s="16" t="str">
        <f t="shared" si="43"/>
        <v>E</v>
      </c>
      <c r="EG143" s="16">
        <f t="shared" si="44"/>
        <v>2</v>
      </c>
      <c r="EH143" s="16" t="str">
        <f t="shared" si="45"/>
        <v>Mardi</v>
      </c>
      <c r="EI143" s="16" t="str">
        <f t="shared" si="46"/>
        <v/>
      </c>
      <c r="FB143" s="16" t="str">
        <f t="shared" si="49"/>
        <v/>
      </c>
      <c r="FC143" s="16" t="str">
        <f t="shared" si="50"/>
        <v/>
      </c>
      <c r="FD143" s="30">
        <f t="shared" si="41"/>
        <v>45292</v>
      </c>
      <c r="FE143" s="30" t="str">
        <f>+IFERROR(VLOOKUP(FD143,BDD,75,FALSE),"")</f>
        <v/>
      </c>
      <c r="FF143" s="30" t="str">
        <f>+IFERROR(VLOOKUP(FD143,BDD,76,FALSE),"")</f>
        <v/>
      </c>
      <c r="FG143" s="30" t="str">
        <f>IFERROR(+VLOOKUP(FD143,BDD,77,FALSE),"")</f>
        <v/>
      </c>
      <c r="FH143" s="30" t="str">
        <f>+IFERROR(VLOOKUP(FD143,BDD,78,FALSE),"")</f>
        <v/>
      </c>
      <c r="FW143" s="16" t="str">
        <f>Mai!GB36</f>
        <v>202026</v>
      </c>
      <c r="FX143" s="16">
        <f>Mai!GC36</f>
        <v>0</v>
      </c>
      <c r="HI143" s="85">
        <f>+Mai!AB37</f>
        <v>46160</v>
      </c>
      <c r="HJ143" s="27" t="str">
        <f>+Mai!AD37</f>
        <v/>
      </c>
      <c r="HK143" s="16">
        <f t="shared" si="51"/>
        <v>0</v>
      </c>
      <c r="HL143" s="16" t="str">
        <f>IF(AND(HI143&gt;=DATE(Identification!$B$60,5,1),HI143&lt;=DATE(Identification!$B$60,10,31),SUM(HK143:HK157)=12),"OUI","")</f>
        <v/>
      </c>
    </row>
    <row r="144" spans="1:220" x14ac:dyDescent="0.2">
      <c r="A144" s="16" t="str">
        <f t="shared" si="38"/>
        <v>Fiche infoE3</v>
      </c>
      <c r="B144" s="16" t="str">
        <f t="shared" si="39"/>
        <v>Fiche info</v>
      </c>
      <c r="C144" s="27" t="s">
        <v>234</v>
      </c>
      <c r="D144" s="27">
        <v>3</v>
      </c>
      <c r="E144" s="16" t="s">
        <v>19</v>
      </c>
      <c r="F144" s="34" t="str">
        <f>IF(+'Fiche info'!$BC$9=0,"",'Fiche info'!$BC$9)</f>
        <v/>
      </c>
      <c r="G144" s="16">
        <f t="shared" si="47"/>
        <v>0</v>
      </c>
      <c r="BX144" s="16" t="str">
        <f t="shared" si="48"/>
        <v>Fiche infoE3</v>
      </c>
      <c r="BY144" s="431">
        <f>'Fiche info'!AT9</f>
        <v>0</v>
      </c>
      <c r="BZ144" s="431">
        <f>'Fiche info'!AU9</f>
        <v>0</v>
      </c>
      <c r="CA144" s="431">
        <f>'Fiche info'!AV9</f>
        <v>0</v>
      </c>
      <c r="CB144" s="431">
        <f>'Fiche info'!AW9</f>
        <v>0</v>
      </c>
      <c r="CC144" s="431">
        <f>'Fiche info'!AX9</f>
        <v>0</v>
      </c>
      <c r="CD144" s="431">
        <f>'Fiche info'!AY9</f>
        <v>0</v>
      </c>
      <c r="CE144" s="431">
        <f>'Fiche info'!AZ9</f>
        <v>0</v>
      </c>
      <c r="CF144" s="431">
        <f>'Fiche info'!BA9</f>
        <v>0</v>
      </c>
      <c r="ED144" s="16" t="str">
        <f t="shared" si="40"/>
        <v>Fiche infoE</v>
      </c>
      <c r="EE144" s="16" t="str">
        <f t="shared" si="42"/>
        <v>Fiche info</v>
      </c>
      <c r="EF144" s="16" t="str">
        <f t="shared" si="43"/>
        <v>E</v>
      </c>
      <c r="EG144" s="16">
        <f t="shared" si="44"/>
        <v>3</v>
      </c>
      <c r="EH144" s="16" t="str">
        <f t="shared" si="45"/>
        <v>Mercredi</v>
      </c>
      <c r="EI144" s="16" t="str">
        <f t="shared" si="46"/>
        <v/>
      </c>
      <c r="FB144" s="16" t="str">
        <f t="shared" si="49"/>
        <v/>
      </c>
      <c r="FC144" s="16" t="str">
        <f t="shared" si="50"/>
        <v/>
      </c>
      <c r="FD144" s="30">
        <f t="shared" si="41"/>
        <v>45292</v>
      </c>
      <c r="FE144" s="30" t="str">
        <f>+IFERROR(VLOOKUP(FD144,BDD,79,FALSE),"")</f>
        <v/>
      </c>
      <c r="FF144" s="30" t="str">
        <f>IFERROR(+VLOOKUP(FD144,BDD,80,FALSE),"")</f>
        <v/>
      </c>
      <c r="FG144" s="30" t="str">
        <f>+IFERROR(VLOOKUP(FD144,BDD,81,FALSE),"")</f>
        <v/>
      </c>
      <c r="FH144" s="30" t="str">
        <f>+IFERROR(VLOOKUP(FD144,BDD,82,FALSE),"")</f>
        <v/>
      </c>
      <c r="FW144" s="16" t="str">
        <f>Mai!GB37</f>
        <v>212026</v>
      </c>
      <c r="FX144" s="16">
        <f>Mai!GC37</f>
        <v>0</v>
      </c>
      <c r="HI144" s="85">
        <f>+Mai!AB38</f>
        <v>46161</v>
      </c>
      <c r="HJ144" s="27" t="str">
        <f>+Mai!AD38</f>
        <v/>
      </c>
      <c r="HK144" s="16">
        <f t="shared" si="51"/>
        <v>0</v>
      </c>
      <c r="HL144" s="16" t="str">
        <f>IF(AND(HI144&gt;=DATE(Identification!$B$60,5,1),HI144&lt;=DATE(Identification!$B$60,10,31),SUM(HK144:HK158)=12),"OUI","")</f>
        <v/>
      </c>
    </row>
    <row r="145" spans="1:220" x14ac:dyDescent="0.2">
      <c r="A145" s="16" t="str">
        <f t="shared" si="38"/>
        <v>Fiche infoE4</v>
      </c>
      <c r="B145" s="16" t="str">
        <f t="shared" si="39"/>
        <v>Fiche info</v>
      </c>
      <c r="C145" s="27" t="s">
        <v>234</v>
      </c>
      <c r="D145" s="27">
        <v>4</v>
      </c>
      <c r="E145" s="16" t="s">
        <v>20</v>
      </c>
      <c r="F145" s="34" t="str">
        <f>IF(+'Fiche info'!$BC$10=0,"",'Fiche info'!$BC$10)</f>
        <v/>
      </c>
      <c r="G145" s="16">
        <f t="shared" si="47"/>
        <v>0</v>
      </c>
      <c r="BX145" s="16" t="str">
        <f t="shared" si="48"/>
        <v>Fiche infoE4</v>
      </c>
      <c r="BY145" s="431">
        <f>'Fiche info'!AT10</f>
        <v>0</v>
      </c>
      <c r="BZ145" s="431">
        <f>'Fiche info'!AU10</f>
        <v>0</v>
      </c>
      <c r="CA145" s="431">
        <f>'Fiche info'!AV10</f>
        <v>0</v>
      </c>
      <c r="CB145" s="431">
        <f>'Fiche info'!AW10</f>
        <v>0</v>
      </c>
      <c r="CC145" s="431">
        <f>'Fiche info'!AX10</f>
        <v>0</v>
      </c>
      <c r="CD145" s="431">
        <f>'Fiche info'!AY10</f>
        <v>0</v>
      </c>
      <c r="CE145" s="431">
        <f>'Fiche info'!AZ10</f>
        <v>0</v>
      </c>
      <c r="CF145" s="431">
        <f>'Fiche info'!BA10</f>
        <v>0</v>
      </c>
      <c r="ED145" s="16" t="str">
        <f t="shared" si="40"/>
        <v>Fiche infoE</v>
      </c>
      <c r="EE145" s="16" t="str">
        <f t="shared" si="42"/>
        <v>Fiche info</v>
      </c>
      <c r="EF145" s="16" t="str">
        <f t="shared" si="43"/>
        <v>E</v>
      </c>
      <c r="EG145" s="16">
        <f t="shared" si="44"/>
        <v>4</v>
      </c>
      <c r="EH145" s="16" t="str">
        <f t="shared" si="45"/>
        <v>Jeudi</v>
      </c>
      <c r="EI145" s="16" t="str">
        <f t="shared" si="46"/>
        <v/>
      </c>
      <c r="FB145" s="16" t="str">
        <f t="shared" si="49"/>
        <v/>
      </c>
      <c r="FC145" s="16" t="str">
        <f t="shared" si="50"/>
        <v/>
      </c>
      <c r="FD145" s="30">
        <f t="shared" si="41"/>
        <v>45292</v>
      </c>
      <c r="FE145" s="30" t="str">
        <f>+IFERROR(VLOOKUP(FD145,BDD,83,FALSE),"")</f>
        <v/>
      </c>
      <c r="FF145" s="30" t="str">
        <f>+IFERROR(VLOOKUP(FD145,BDD,84,FALSE),"")</f>
        <v/>
      </c>
      <c r="FG145" s="30" t="str">
        <f>+IFERROR(VLOOKUP(FD145,BDD,85,FALSE),"")</f>
        <v/>
      </c>
      <c r="FH145" s="30" t="str">
        <f>+IFERROR(VLOOKUP(FD145,BDD,86,FALSE),"")</f>
        <v/>
      </c>
      <c r="FW145" s="16" t="str">
        <f>Mai!GB38</f>
        <v>212026</v>
      </c>
      <c r="FX145" s="16">
        <f>Mai!GC38</f>
        <v>0</v>
      </c>
      <c r="HI145" s="85">
        <f>+Mai!AB39</f>
        <v>46162</v>
      </c>
      <c r="HJ145" s="27" t="str">
        <f>+Mai!AD39</f>
        <v/>
      </c>
      <c r="HK145" s="16">
        <f t="shared" si="51"/>
        <v>0</v>
      </c>
      <c r="HL145" s="16" t="str">
        <f>IF(AND(HI145&gt;=DATE(Identification!$B$60,5,1),HI145&lt;=DATE(Identification!$B$60,10,31),SUM(HK145:HK159)=12),"OUI","")</f>
        <v/>
      </c>
    </row>
    <row r="146" spans="1:220" x14ac:dyDescent="0.2">
      <c r="A146" s="16" t="str">
        <f t="shared" si="38"/>
        <v>Fiche infoE5</v>
      </c>
      <c r="B146" s="16" t="str">
        <f t="shared" si="39"/>
        <v>Fiche info</v>
      </c>
      <c r="C146" s="27" t="s">
        <v>234</v>
      </c>
      <c r="D146" s="27">
        <v>5</v>
      </c>
      <c r="E146" s="16" t="s">
        <v>21</v>
      </c>
      <c r="F146" s="34" t="str">
        <f>IF(+'Fiche info'!$BC$11=0,"",'Fiche info'!$BC$11)</f>
        <v/>
      </c>
      <c r="G146" s="16">
        <f t="shared" si="47"/>
        <v>0</v>
      </c>
      <c r="BX146" s="16" t="str">
        <f t="shared" si="48"/>
        <v>Fiche infoE5</v>
      </c>
      <c r="BY146" s="431">
        <f>'Fiche info'!AT11</f>
        <v>0</v>
      </c>
      <c r="BZ146" s="431">
        <f>'Fiche info'!AU11</f>
        <v>0</v>
      </c>
      <c r="CA146" s="431">
        <f>'Fiche info'!AV11</f>
        <v>0</v>
      </c>
      <c r="CB146" s="431">
        <f>'Fiche info'!AW11</f>
        <v>0</v>
      </c>
      <c r="CC146" s="431">
        <f>'Fiche info'!AX11</f>
        <v>0</v>
      </c>
      <c r="CD146" s="431">
        <f>'Fiche info'!AY11</f>
        <v>0</v>
      </c>
      <c r="CE146" s="431">
        <f>'Fiche info'!AZ11</f>
        <v>0</v>
      </c>
      <c r="CF146" s="431">
        <f>'Fiche info'!BA11</f>
        <v>0</v>
      </c>
      <c r="ED146" s="16" t="str">
        <f t="shared" si="40"/>
        <v>Fiche infoE</v>
      </c>
      <c r="EE146" s="16" t="str">
        <f t="shared" si="42"/>
        <v>Fiche info</v>
      </c>
      <c r="EF146" s="16" t="str">
        <f t="shared" si="43"/>
        <v>E</v>
      </c>
      <c r="EG146" s="16">
        <f t="shared" si="44"/>
        <v>5</v>
      </c>
      <c r="EH146" s="16" t="str">
        <f t="shared" si="45"/>
        <v>Vendredi</v>
      </c>
      <c r="EI146" s="16" t="str">
        <f t="shared" si="46"/>
        <v/>
      </c>
      <c r="FB146" s="16" t="str">
        <f t="shared" si="49"/>
        <v/>
      </c>
      <c r="FC146" s="16" t="str">
        <f t="shared" si="50"/>
        <v/>
      </c>
      <c r="FD146" s="30">
        <f t="shared" si="41"/>
        <v>45261</v>
      </c>
      <c r="FE146" s="30" t="str">
        <f>+IFERROR(VLOOKUP(FD146,BDD,71,FALSE),"")</f>
        <v/>
      </c>
      <c r="FF146" s="30" t="str">
        <f>IFERROR(+VLOOKUP(FD146,BDD,72,FALSE),"")</f>
        <v/>
      </c>
      <c r="FG146" s="30" t="str">
        <f>+IFERROR(VLOOKUP(FD146,BDD,73,FALSE),"")</f>
        <v/>
      </c>
      <c r="FH146" s="30" t="str">
        <f>+IFERROR(VLOOKUP(FD146,BDD,74,FALSE),"")</f>
        <v/>
      </c>
      <c r="FW146" s="16" t="str">
        <f>Mai!GB39</f>
        <v>212026</v>
      </c>
      <c r="FX146" s="16">
        <f>Mai!GC39</f>
        <v>0</v>
      </c>
      <c r="HI146" s="85">
        <f>+Mai!AB40</f>
        <v>46163</v>
      </c>
      <c r="HJ146" s="27" t="str">
        <f>+Mai!AD40</f>
        <v/>
      </c>
      <c r="HK146" s="16">
        <f t="shared" si="51"/>
        <v>0</v>
      </c>
      <c r="HL146" s="16" t="str">
        <f>IF(AND(HI146&gt;=DATE(Identification!$B$60,5,1),HI146&lt;=DATE(Identification!$B$60,10,31),SUM(HK146:HK160)=12),"OUI","")</f>
        <v/>
      </c>
    </row>
    <row r="147" spans="1:220" x14ac:dyDescent="0.2">
      <c r="A147" s="16" t="str">
        <f t="shared" si="38"/>
        <v>Fiche infoE6</v>
      </c>
      <c r="B147" s="16" t="str">
        <f t="shared" si="39"/>
        <v>Fiche info</v>
      </c>
      <c r="C147" s="27" t="s">
        <v>234</v>
      </c>
      <c r="D147" s="27">
        <v>6</v>
      </c>
      <c r="E147" s="16" t="s">
        <v>184</v>
      </c>
      <c r="F147" s="34" t="str">
        <f>IF(+'Fiche info'!$BC$12=0,"",'Fiche info'!$BC$12)</f>
        <v/>
      </c>
      <c r="G147" s="16">
        <f t="shared" si="47"/>
        <v>0</v>
      </c>
      <c r="BX147" s="16" t="str">
        <f t="shared" si="48"/>
        <v>Fiche infoE6</v>
      </c>
      <c r="BY147" s="431">
        <f>'Fiche info'!AT12</f>
        <v>0</v>
      </c>
      <c r="BZ147" s="431">
        <f>'Fiche info'!AU12</f>
        <v>0</v>
      </c>
      <c r="CA147" s="431">
        <f>'Fiche info'!AV12</f>
        <v>0</v>
      </c>
      <c r="CB147" s="431">
        <f>'Fiche info'!AW12</f>
        <v>0</v>
      </c>
      <c r="CC147" s="431">
        <f>'Fiche info'!AX12</f>
        <v>0</v>
      </c>
      <c r="CD147" s="431">
        <f>'Fiche info'!AY12</f>
        <v>0</v>
      </c>
      <c r="CE147" s="431">
        <f>'Fiche info'!AZ12</f>
        <v>0</v>
      </c>
      <c r="CF147" s="431">
        <f>'Fiche info'!BA12</f>
        <v>0</v>
      </c>
      <c r="ED147" s="16" t="str">
        <f t="shared" si="40"/>
        <v>Fiche infoE</v>
      </c>
      <c r="EE147" s="16" t="str">
        <f t="shared" si="42"/>
        <v>Fiche info</v>
      </c>
      <c r="EF147" s="16" t="str">
        <f t="shared" si="43"/>
        <v>E</v>
      </c>
      <c r="EG147" s="16">
        <f t="shared" si="44"/>
        <v>6</v>
      </c>
      <c r="EH147" s="16" t="str">
        <f t="shared" si="45"/>
        <v>Samedi</v>
      </c>
      <c r="EI147" s="16" t="str">
        <f t="shared" si="46"/>
        <v/>
      </c>
      <c r="FB147" s="16" t="str">
        <f t="shared" si="49"/>
        <v/>
      </c>
      <c r="FC147" s="16" t="str">
        <f t="shared" si="50"/>
        <v/>
      </c>
      <c r="FD147" s="30">
        <f t="shared" si="41"/>
        <v>45261</v>
      </c>
      <c r="FE147" s="30" t="str">
        <f>+IFERROR(VLOOKUP(FD147,BDD,75,FALSE),"")</f>
        <v/>
      </c>
      <c r="FF147" s="30" t="str">
        <f>+IFERROR(VLOOKUP(FD147,BDD,76,FALSE),"")</f>
        <v/>
      </c>
      <c r="FG147" s="30" t="str">
        <f>IFERROR(+VLOOKUP(FD147,BDD,77,FALSE),"")</f>
        <v/>
      </c>
      <c r="FH147" s="30" t="str">
        <f>+IFERROR(VLOOKUP(FD147,BDD,78,FALSE),"")</f>
        <v/>
      </c>
      <c r="FW147" s="16" t="str">
        <f>Mai!GB40</f>
        <v>212026</v>
      </c>
      <c r="FX147" s="16">
        <f>Mai!GC40</f>
        <v>0</v>
      </c>
      <c r="HI147" s="85">
        <f>+Mai!AB41</f>
        <v>46164</v>
      </c>
      <c r="HJ147" s="27" t="str">
        <f>+Mai!AD41</f>
        <v/>
      </c>
      <c r="HK147" s="16">
        <f t="shared" si="51"/>
        <v>0</v>
      </c>
      <c r="HL147" s="16" t="str">
        <f>IF(AND(HI147&gt;=DATE(Identification!$B$60,5,1),HI147&lt;=DATE(Identification!$B$60,10,31),SUM(HK147:HK161)=12),"OUI","")</f>
        <v/>
      </c>
    </row>
    <row r="148" spans="1:220" x14ac:dyDescent="0.2">
      <c r="A148" s="16" t="str">
        <f t="shared" si="38"/>
        <v>Fiche infoE7</v>
      </c>
      <c r="B148" s="16" t="str">
        <f t="shared" si="39"/>
        <v>Fiche info</v>
      </c>
      <c r="C148" s="27" t="s">
        <v>234</v>
      </c>
      <c r="D148" s="27">
        <v>7</v>
      </c>
      <c r="E148" s="16" t="s">
        <v>185</v>
      </c>
      <c r="F148" s="34" t="str">
        <f>IF(+'Fiche info'!$BC$13=0,"",'Fiche info'!$BC$13)</f>
        <v/>
      </c>
      <c r="G148" s="16">
        <f t="shared" si="47"/>
        <v>0</v>
      </c>
      <c r="BX148" s="16" t="str">
        <f t="shared" si="48"/>
        <v>Fiche infoE7</v>
      </c>
      <c r="BY148" s="431">
        <f>'Fiche info'!AT13</f>
        <v>0</v>
      </c>
      <c r="BZ148" s="431">
        <f>'Fiche info'!AU13</f>
        <v>0</v>
      </c>
      <c r="CA148" s="431">
        <f>'Fiche info'!AV13</f>
        <v>0</v>
      </c>
      <c r="CB148" s="431">
        <f>'Fiche info'!AW13</f>
        <v>0</v>
      </c>
      <c r="CC148" s="431">
        <f>'Fiche info'!AX13</f>
        <v>0</v>
      </c>
      <c r="CD148" s="431">
        <f>'Fiche info'!AY13</f>
        <v>0</v>
      </c>
      <c r="CE148" s="431">
        <f>'Fiche info'!AZ13</f>
        <v>0</v>
      </c>
      <c r="CF148" s="431">
        <f>'Fiche info'!BA13</f>
        <v>0</v>
      </c>
      <c r="ED148" s="16" t="str">
        <f t="shared" si="40"/>
        <v>Fiche infoE</v>
      </c>
      <c r="EE148" s="16" t="str">
        <f t="shared" si="42"/>
        <v>Fiche info</v>
      </c>
      <c r="EF148" s="16" t="str">
        <f t="shared" si="43"/>
        <v>E</v>
      </c>
      <c r="EG148" s="16">
        <f t="shared" si="44"/>
        <v>7</v>
      </c>
      <c r="EH148" s="16" t="str">
        <f t="shared" si="45"/>
        <v>Dimanche</v>
      </c>
      <c r="EI148" s="16" t="str">
        <f t="shared" si="46"/>
        <v/>
      </c>
      <c r="FB148" s="16" t="str">
        <f t="shared" si="49"/>
        <v/>
      </c>
      <c r="FC148" s="16" t="str">
        <f t="shared" si="50"/>
        <v/>
      </c>
      <c r="FD148" s="30">
        <f t="shared" si="41"/>
        <v>45261</v>
      </c>
      <c r="FE148" s="30" t="str">
        <f>+IFERROR(VLOOKUP(FD148,BDD,79,FALSE),"")</f>
        <v/>
      </c>
      <c r="FF148" s="30" t="str">
        <f>IFERROR(+VLOOKUP(FD148,BDD,80,FALSE),"")</f>
        <v/>
      </c>
      <c r="FG148" s="30" t="str">
        <f>+IFERROR(VLOOKUP(FD148,BDD,81,FALSE),"")</f>
        <v/>
      </c>
      <c r="FH148" s="30" t="str">
        <f>+IFERROR(VLOOKUP(FD148,BDD,82,FALSE),"")</f>
        <v/>
      </c>
      <c r="FW148" s="16" t="str">
        <f>Mai!GB41</f>
        <v>212026</v>
      </c>
      <c r="FX148" s="16">
        <f>Mai!GC41</f>
        <v>0</v>
      </c>
      <c r="HI148" s="85">
        <f>+Mai!AB42</f>
        <v>46165</v>
      </c>
      <c r="HJ148" s="27" t="str">
        <f>+Mai!AD42</f>
        <v/>
      </c>
      <c r="HK148" s="16">
        <f t="shared" si="51"/>
        <v>0</v>
      </c>
      <c r="HL148" s="16" t="str">
        <f>IF(AND(HI148&gt;=DATE(Identification!$B$60,5,1),HI148&lt;=DATE(Identification!$B$60,10,31),SUM(HK148:HK162)=12),"OUI","")</f>
        <v/>
      </c>
    </row>
    <row r="149" spans="1:220" x14ac:dyDescent="0.2">
      <c r="A149" s="16" t="str">
        <f t="shared" si="38"/>
        <v>Fiche infoF1</v>
      </c>
      <c r="B149" s="16" t="str">
        <f t="shared" si="39"/>
        <v>Fiche info</v>
      </c>
      <c r="C149" s="27" t="s">
        <v>235</v>
      </c>
      <c r="D149" s="27">
        <v>1</v>
      </c>
      <c r="E149" s="16" t="s">
        <v>17</v>
      </c>
      <c r="F149" s="34" t="str">
        <f>+IF('Fiche info'!$BN$7=0,"",'Fiche info'!$BN$7)</f>
        <v/>
      </c>
      <c r="G149" s="16">
        <f t="shared" si="47"/>
        <v>0</v>
      </c>
      <c r="BX149" s="16" t="str">
        <f t="shared" si="48"/>
        <v>Fiche infoF1</v>
      </c>
      <c r="BY149" s="431">
        <f>'Fiche info'!BE7</f>
        <v>0</v>
      </c>
      <c r="BZ149" s="431">
        <f>'Fiche info'!BF7</f>
        <v>0</v>
      </c>
      <c r="CA149" s="431">
        <f>'Fiche info'!BG7</f>
        <v>0</v>
      </c>
      <c r="CB149" s="431">
        <f>'Fiche info'!BH7</f>
        <v>0</v>
      </c>
      <c r="CC149" s="431">
        <f>'Fiche info'!BI7</f>
        <v>0</v>
      </c>
      <c r="CD149" s="431">
        <f>'Fiche info'!BJ7</f>
        <v>0</v>
      </c>
      <c r="CE149" s="431">
        <f>'Fiche info'!BK7</f>
        <v>0</v>
      </c>
      <c r="CF149" s="431">
        <f>'Fiche info'!BL7</f>
        <v>0</v>
      </c>
      <c r="ED149" s="16" t="str">
        <f t="shared" si="40"/>
        <v>Fiche infoF</v>
      </c>
      <c r="EE149" s="16" t="str">
        <f t="shared" si="42"/>
        <v>Fiche info</v>
      </c>
      <c r="EF149" s="16" t="str">
        <f t="shared" si="43"/>
        <v>F</v>
      </c>
      <c r="EG149" s="16">
        <f t="shared" si="44"/>
        <v>1</v>
      </c>
      <c r="EH149" s="16" t="str">
        <f t="shared" si="45"/>
        <v>Lundi</v>
      </c>
      <c r="EI149" s="16" t="str">
        <f t="shared" si="46"/>
        <v/>
      </c>
      <c r="FB149" s="16" t="str">
        <f t="shared" si="49"/>
        <v/>
      </c>
      <c r="FC149" s="16" t="str">
        <f t="shared" si="50"/>
        <v/>
      </c>
      <c r="FD149" s="30">
        <f t="shared" si="41"/>
        <v>45261</v>
      </c>
      <c r="FE149" s="30" t="str">
        <f>+IFERROR(VLOOKUP(FD149,BDD,83,FALSE),"")</f>
        <v/>
      </c>
      <c r="FF149" s="30" t="str">
        <f>+IFERROR(VLOOKUP(FD149,BDD,84,FALSE),"")</f>
        <v/>
      </c>
      <c r="FG149" s="30" t="str">
        <f>+IFERROR(VLOOKUP(FD149,BDD,85,FALSE),"")</f>
        <v/>
      </c>
      <c r="FH149" s="30" t="str">
        <f>+IFERROR(VLOOKUP(FD149,BDD,86,FALSE),"")</f>
        <v/>
      </c>
      <c r="FW149" s="16" t="str">
        <f>Mai!GB42</f>
        <v>212026</v>
      </c>
      <c r="FX149" s="16">
        <f>Mai!GC42</f>
        <v>0</v>
      </c>
      <c r="HI149" s="85">
        <f>+Mai!AB43</f>
        <v>46166</v>
      </c>
      <c r="HJ149" s="27" t="str">
        <f>+Mai!AD43</f>
        <v/>
      </c>
      <c r="HK149" s="16">
        <f t="shared" si="51"/>
        <v>0</v>
      </c>
      <c r="HL149" s="16" t="str">
        <f>IF(AND(HI149&gt;=DATE(Identification!$B$60,5,1),HI149&lt;=DATE(Identification!$B$60,10,31),SUM(HK149:HK163)=12),"OUI","")</f>
        <v/>
      </c>
    </row>
    <row r="150" spans="1:220" x14ac:dyDescent="0.2">
      <c r="A150" s="16" t="str">
        <f t="shared" si="38"/>
        <v>Fiche infoF2</v>
      </c>
      <c r="B150" s="16" t="str">
        <f t="shared" si="39"/>
        <v>Fiche info</v>
      </c>
      <c r="C150" s="27" t="s">
        <v>235</v>
      </c>
      <c r="D150" s="27">
        <v>2</v>
      </c>
      <c r="E150" s="16" t="s">
        <v>18</v>
      </c>
      <c r="F150" s="34" t="str">
        <f>+IF('Fiche info'!$BN$8=0,"",'Fiche info'!$BN$8)</f>
        <v/>
      </c>
      <c r="G150" s="16">
        <f t="shared" si="47"/>
        <v>0</v>
      </c>
      <c r="BX150" s="16" t="str">
        <f t="shared" si="48"/>
        <v>Fiche infoF2</v>
      </c>
      <c r="BY150" s="431">
        <f>'Fiche info'!BE8</f>
        <v>0</v>
      </c>
      <c r="BZ150" s="431">
        <f>'Fiche info'!BF8</f>
        <v>0</v>
      </c>
      <c r="CA150" s="431">
        <f>'Fiche info'!BG8</f>
        <v>0</v>
      </c>
      <c r="CB150" s="431">
        <f>'Fiche info'!BH8</f>
        <v>0</v>
      </c>
      <c r="CC150" s="431">
        <f>'Fiche info'!BI8</f>
        <v>0</v>
      </c>
      <c r="CD150" s="431">
        <f>'Fiche info'!BJ8</f>
        <v>0</v>
      </c>
      <c r="CE150" s="431">
        <f>'Fiche info'!BK8</f>
        <v>0</v>
      </c>
      <c r="CF150" s="431">
        <f>'Fiche info'!BL8</f>
        <v>0</v>
      </c>
      <c r="ED150" s="16" t="str">
        <f t="shared" si="40"/>
        <v>Fiche infoF</v>
      </c>
      <c r="EE150" s="16" t="str">
        <f t="shared" si="42"/>
        <v>Fiche info</v>
      </c>
      <c r="EF150" s="16" t="str">
        <f t="shared" si="43"/>
        <v>F</v>
      </c>
      <c r="EG150" s="16">
        <f t="shared" si="44"/>
        <v>2</v>
      </c>
      <c r="EH150" s="16" t="str">
        <f t="shared" si="45"/>
        <v>Mardi</v>
      </c>
      <c r="EI150" s="16" t="str">
        <f t="shared" si="46"/>
        <v/>
      </c>
      <c r="FB150" s="16" t="str">
        <f t="shared" si="49"/>
        <v/>
      </c>
      <c r="FC150" s="16" t="str">
        <f t="shared" si="50"/>
        <v/>
      </c>
      <c r="FD150" s="30">
        <f t="shared" si="41"/>
        <v>45231</v>
      </c>
      <c r="FE150" s="30" t="str">
        <f>+IFERROR(VLOOKUP(FD150,BDD,71,FALSE),"")</f>
        <v/>
      </c>
      <c r="FF150" s="30" t="str">
        <f>IFERROR(+VLOOKUP(FD150,BDD,72,FALSE),"")</f>
        <v/>
      </c>
      <c r="FG150" s="30" t="str">
        <f>+IFERROR(VLOOKUP(FD150,BDD,73,FALSE),"")</f>
        <v/>
      </c>
      <c r="FH150" s="30" t="str">
        <f>+IFERROR(VLOOKUP(FD150,BDD,74,FALSE),"")</f>
        <v/>
      </c>
      <c r="FW150" s="16" t="str">
        <f>Mai!GB43</f>
        <v>212026</v>
      </c>
      <c r="FX150" s="16">
        <f>Mai!GC43</f>
        <v>0</v>
      </c>
      <c r="HI150" s="85">
        <f>+Mai!AB44</f>
        <v>46167</v>
      </c>
      <c r="HJ150" s="27" t="str">
        <f>+Mai!AD44</f>
        <v/>
      </c>
      <c r="HK150" s="16">
        <f t="shared" si="51"/>
        <v>0</v>
      </c>
      <c r="HL150" s="16" t="str">
        <f>IF(AND(HI150&gt;=DATE(Identification!$B$60,5,1),HI150&lt;=DATE(Identification!$B$60,10,31),SUM(HK150:HK164)=12),"OUI","")</f>
        <v/>
      </c>
    </row>
    <row r="151" spans="1:220" x14ac:dyDescent="0.2">
      <c r="A151" s="16" t="str">
        <f t="shared" si="38"/>
        <v>Fiche infoF3</v>
      </c>
      <c r="B151" s="16" t="str">
        <f t="shared" si="39"/>
        <v>Fiche info</v>
      </c>
      <c r="C151" s="27" t="s">
        <v>235</v>
      </c>
      <c r="D151" s="27">
        <v>3</v>
      </c>
      <c r="E151" s="16" t="s">
        <v>19</v>
      </c>
      <c r="F151" s="34" t="str">
        <f>+IF('Fiche info'!$BN$9=0,"",'Fiche info'!$BN$9)</f>
        <v/>
      </c>
      <c r="G151" s="16">
        <f t="shared" si="47"/>
        <v>0</v>
      </c>
      <c r="BX151" s="16" t="str">
        <f t="shared" si="48"/>
        <v>Fiche infoF3</v>
      </c>
      <c r="BY151" s="431">
        <f>'Fiche info'!BE9</f>
        <v>0</v>
      </c>
      <c r="BZ151" s="431">
        <f>'Fiche info'!BF9</f>
        <v>0</v>
      </c>
      <c r="CA151" s="431">
        <f>'Fiche info'!BG9</f>
        <v>0</v>
      </c>
      <c r="CB151" s="431">
        <f>'Fiche info'!BH9</f>
        <v>0</v>
      </c>
      <c r="CC151" s="431">
        <f>'Fiche info'!BI9</f>
        <v>0</v>
      </c>
      <c r="CD151" s="431">
        <f>'Fiche info'!BJ9</f>
        <v>0</v>
      </c>
      <c r="CE151" s="431">
        <f>'Fiche info'!BK9</f>
        <v>0</v>
      </c>
      <c r="CF151" s="431">
        <f>'Fiche info'!BL9</f>
        <v>0</v>
      </c>
      <c r="ED151" s="16" t="str">
        <f t="shared" si="40"/>
        <v>Fiche infoF</v>
      </c>
      <c r="EE151" s="16" t="str">
        <f t="shared" si="42"/>
        <v>Fiche info</v>
      </c>
      <c r="EF151" s="16" t="str">
        <f t="shared" si="43"/>
        <v>F</v>
      </c>
      <c r="EG151" s="16">
        <f t="shared" si="44"/>
        <v>3</v>
      </c>
      <c r="EH151" s="16" t="str">
        <f t="shared" si="45"/>
        <v>Mercredi</v>
      </c>
      <c r="EI151" s="16" t="str">
        <f t="shared" si="46"/>
        <v/>
      </c>
      <c r="FB151" s="16" t="str">
        <f t="shared" si="49"/>
        <v/>
      </c>
      <c r="FC151" s="16" t="str">
        <f t="shared" si="50"/>
        <v/>
      </c>
      <c r="FD151" s="30">
        <f t="shared" si="41"/>
        <v>45231</v>
      </c>
      <c r="FE151" s="30" t="str">
        <f>+IFERROR(VLOOKUP(FD151,BDD,75,FALSE),"")</f>
        <v/>
      </c>
      <c r="FF151" s="30" t="str">
        <f>+IFERROR(VLOOKUP(FD151,BDD,76,FALSE),"")</f>
        <v/>
      </c>
      <c r="FG151" s="30" t="str">
        <f>IFERROR(+VLOOKUP(FD151,BDD,77,FALSE),"")</f>
        <v/>
      </c>
      <c r="FH151" s="30" t="str">
        <f>+IFERROR(VLOOKUP(FD151,BDD,78,FALSE),"")</f>
        <v/>
      </c>
      <c r="FW151" s="16" t="str">
        <f>Mai!GB44</f>
        <v>222026</v>
      </c>
      <c r="FX151" s="16">
        <f>Mai!GC44</f>
        <v>0</v>
      </c>
      <c r="HI151" s="85">
        <f>+Mai!AB45</f>
        <v>46168</v>
      </c>
      <c r="HJ151" s="27" t="str">
        <f>+Mai!AD45</f>
        <v/>
      </c>
      <c r="HK151" s="16">
        <f t="shared" si="51"/>
        <v>0</v>
      </c>
      <c r="HL151" s="16" t="str">
        <f>IF(AND(HI151&gt;=DATE(Identification!$B$60,5,1),HI151&lt;=DATE(Identification!$B$60,10,31),SUM(HK151:HK165)=12),"OUI","")</f>
        <v/>
      </c>
    </row>
    <row r="152" spans="1:220" x14ac:dyDescent="0.2">
      <c r="A152" s="16" t="str">
        <f t="shared" si="38"/>
        <v>Fiche infoF4</v>
      </c>
      <c r="B152" s="16" t="str">
        <f t="shared" si="39"/>
        <v>Fiche info</v>
      </c>
      <c r="C152" s="27" t="s">
        <v>235</v>
      </c>
      <c r="D152" s="27">
        <v>4</v>
      </c>
      <c r="E152" s="16" t="s">
        <v>20</v>
      </c>
      <c r="F152" s="34" t="str">
        <f>+IF('Fiche info'!$BN$10=0,"",'Fiche info'!$BN$10)</f>
        <v/>
      </c>
      <c r="G152" s="16">
        <f t="shared" si="47"/>
        <v>0</v>
      </c>
      <c r="BX152" s="16" t="str">
        <f t="shared" si="48"/>
        <v>Fiche infoF4</v>
      </c>
      <c r="BY152" s="431">
        <f>'Fiche info'!BE10</f>
        <v>0</v>
      </c>
      <c r="BZ152" s="431">
        <f>'Fiche info'!BF10</f>
        <v>0</v>
      </c>
      <c r="CA152" s="431">
        <f>'Fiche info'!BG10</f>
        <v>0</v>
      </c>
      <c r="CB152" s="431">
        <f>'Fiche info'!BH10</f>
        <v>0</v>
      </c>
      <c r="CC152" s="431">
        <f>'Fiche info'!BI10</f>
        <v>0</v>
      </c>
      <c r="CD152" s="431">
        <f>'Fiche info'!BJ10</f>
        <v>0</v>
      </c>
      <c r="CE152" s="431">
        <f>'Fiche info'!BK10</f>
        <v>0</v>
      </c>
      <c r="CF152" s="431">
        <f>'Fiche info'!BL10</f>
        <v>0</v>
      </c>
      <c r="ED152" s="16" t="str">
        <f t="shared" si="40"/>
        <v>Fiche infoF</v>
      </c>
      <c r="EE152" s="16" t="str">
        <f t="shared" si="42"/>
        <v>Fiche info</v>
      </c>
      <c r="EF152" s="16" t="str">
        <f t="shared" si="43"/>
        <v>F</v>
      </c>
      <c r="EG152" s="16">
        <f t="shared" si="44"/>
        <v>4</v>
      </c>
      <c r="EH152" s="16" t="str">
        <f t="shared" si="45"/>
        <v>Jeudi</v>
      </c>
      <c r="EI152" s="16" t="str">
        <f t="shared" si="46"/>
        <v/>
      </c>
      <c r="FB152" s="16" t="str">
        <f t="shared" si="49"/>
        <v/>
      </c>
      <c r="FC152" s="16" t="str">
        <f t="shared" si="50"/>
        <v/>
      </c>
      <c r="FD152" s="30">
        <f t="shared" si="41"/>
        <v>45231</v>
      </c>
      <c r="FE152" s="30" t="str">
        <f>+IFERROR(VLOOKUP(FD152,BDD,79,FALSE),"")</f>
        <v/>
      </c>
      <c r="FF152" s="30" t="str">
        <f>IFERROR(+VLOOKUP(FD152,BDD,80,FALSE),"")</f>
        <v/>
      </c>
      <c r="FG152" s="30" t="str">
        <f>+IFERROR(VLOOKUP(FD152,BDD,81,FALSE),"")</f>
        <v/>
      </c>
      <c r="FH152" s="30" t="str">
        <f>+IFERROR(VLOOKUP(FD152,BDD,82,FALSE),"")</f>
        <v/>
      </c>
      <c r="FW152" s="16" t="str">
        <f>Mai!GB45</f>
        <v>222026</v>
      </c>
      <c r="FX152" s="16">
        <f>Mai!GC45</f>
        <v>0</v>
      </c>
      <c r="HI152" s="85">
        <f>+Mai!AB46</f>
        <v>46169</v>
      </c>
      <c r="HJ152" s="27" t="str">
        <f>+Mai!AD46</f>
        <v/>
      </c>
      <c r="HK152" s="16">
        <f t="shared" si="51"/>
        <v>0</v>
      </c>
      <c r="HL152" s="16" t="str">
        <f>IF(AND(HI152&gt;=DATE(Identification!$B$60,5,1),HI152&lt;=DATE(Identification!$B$60,10,31),SUM(HK152:HK166)=12),"OUI","")</f>
        <v/>
      </c>
    </row>
    <row r="153" spans="1:220" x14ac:dyDescent="0.2">
      <c r="A153" s="16" t="str">
        <f t="shared" si="38"/>
        <v>Fiche infoF5</v>
      </c>
      <c r="B153" s="16" t="str">
        <f t="shared" si="39"/>
        <v>Fiche info</v>
      </c>
      <c r="C153" s="27" t="s">
        <v>235</v>
      </c>
      <c r="D153" s="27">
        <v>5</v>
      </c>
      <c r="E153" s="16" t="s">
        <v>21</v>
      </c>
      <c r="F153" s="34" t="str">
        <f>+IF('Fiche info'!$BN$11=0,"",'Fiche info'!$BN$11)</f>
        <v/>
      </c>
      <c r="G153" s="16">
        <f t="shared" si="47"/>
        <v>0</v>
      </c>
      <c r="BX153" s="16" t="str">
        <f t="shared" si="48"/>
        <v>Fiche infoF5</v>
      </c>
      <c r="BY153" s="431">
        <f>'Fiche info'!BE11</f>
        <v>0</v>
      </c>
      <c r="BZ153" s="431">
        <f>'Fiche info'!BF11</f>
        <v>0</v>
      </c>
      <c r="CA153" s="431">
        <f>'Fiche info'!BG11</f>
        <v>0</v>
      </c>
      <c r="CB153" s="431">
        <f>'Fiche info'!BH11</f>
        <v>0</v>
      </c>
      <c r="CC153" s="431">
        <f>'Fiche info'!BI11</f>
        <v>0</v>
      </c>
      <c r="CD153" s="431">
        <f>'Fiche info'!BJ11</f>
        <v>0</v>
      </c>
      <c r="CE153" s="431">
        <f>'Fiche info'!BK11</f>
        <v>0</v>
      </c>
      <c r="CF153" s="431">
        <f>'Fiche info'!BL11</f>
        <v>0</v>
      </c>
      <c r="ED153" s="16" t="str">
        <f t="shared" si="40"/>
        <v>Fiche infoF</v>
      </c>
      <c r="EE153" s="16" t="str">
        <f t="shared" si="42"/>
        <v>Fiche info</v>
      </c>
      <c r="EF153" s="16" t="str">
        <f t="shared" si="43"/>
        <v>F</v>
      </c>
      <c r="EG153" s="16">
        <f t="shared" si="44"/>
        <v>5</v>
      </c>
      <c r="EH153" s="16" t="str">
        <f t="shared" si="45"/>
        <v>Vendredi</v>
      </c>
      <c r="EI153" s="16" t="str">
        <f t="shared" si="46"/>
        <v/>
      </c>
      <c r="FB153" s="16" t="str">
        <f t="shared" si="49"/>
        <v/>
      </c>
      <c r="FC153" s="16" t="str">
        <f t="shared" si="50"/>
        <v/>
      </c>
      <c r="FD153" s="30">
        <f t="shared" si="41"/>
        <v>45231</v>
      </c>
      <c r="FE153" s="30" t="str">
        <f>+IFERROR(VLOOKUP(FD153,BDD,83,FALSE),"")</f>
        <v/>
      </c>
      <c r="FF153" s="30" t="str">
        <f>+IFERROR(VLOOKUP(FD153,BDD,84,FALSE),"")</f>
        <v/>
      </c>
      <c r="FG153" s="30" t="str">
        <f>+IFERROR(VLOOKUP(FD153,BDD,85,FALSE),"")</f>
        <v/>
      </c>
      <c r="FH153" s="30" t="str">
        <f>+IFERROR(VLOOKUP(FD153,BDD,86,FALSE),"")</f>
        <v/>
      </c>
      <c r="FW153" s="16" t="str">
        <f>Mai!GB46</f>
        <v>222026</v>
      </c>
      <c r="FX153" s="16">
        <f>Mai!GC46</f>
        <v>0</v>
      </c>
      <c r="HI153" s="85">
        <f>+Mai!AB47</f>
        <v>46170</v>
      </c>
      <c r="HJ153" s="27" t="str">
        <f>+Mai!AD47</f>
        <v/>
      </c>
      <c r="HK153" s="16">
        <f t="shared" si="51"/>
        <v>0</v>
      </c>
      <c r="HL153" s="16" t="str">
        <f>IF(AND(HI153&gt;=DATE(Identification!$B$60,5,1),HI153&lt;=DATE(Identification!$B$60,10,31),SUM(HK153:HK167)=12),"OUI","")</f>
        <v/>
      </c>
    </row>
    <row r="154" spans="1:220" x14ac:dyDescent="0.2">
      <c r="A154" s="16" t="str">
        <f t="shared" si="38"/>
        <v>Fiche infoF6</v>
      </c>
      <c r="B154" s="16" t="str">
        <f t="shared" si="39"/>
        <v>Fiche info</v>
      </c>
      <c r="C154" s="27" t="s">
        <v>235</v>
      </c>
      <c r="D154" s="27">
        <v>6</v>
      </c>
      <c r="E154" s="16" t="s">
        <v>184</v>
      </c>
      <c r="F154" s="34" t="str">
        <f>+IF('Fiche info'!$BN$12=0,"",'Fiche info'!$BN$12)</f>
        <v/>
      </c>
      <c r="G154" s="16">
        <f t="shared" si="47"/>
        <v>0</v>
      </c>
      <c r="BX154" s="16" t="str">
        <f t="shared" si="48"/>
        <v>Fiche infoF6</v>
      </c>
      <c r="BY154" s="431">
        <f>'Fiche info'!BE12</f>
        <v>0</v>
      </c>
      <c r="BZ154" s="431">
        <f>'Fiche info'!BF12</f>
        <v>0</v>
      </c>
      <c r="CA154" s="431">
        <f>'Fiche info'!BG12</f>
        <v>0</v>
      </c>
      <c r="CB154" s="431">
        <f>'Fiche info'!BH12</f>
        <v>0</v>
      </c>
      <c r="CC154" s="431">
        <f>'Fiche info'!BI12</f>
        <v>0</v>
      </c>
      <c r="CD154" s="431">
        <f>'Fiche info'!BJ12</f>
        <v>0</v>
      </c>
      <c r="CE154" s="431">
        <f>'Fiche info'!BK12</f>
        <v>0</v>
      </c>
      <c r="CF154" s="431">
        <f>'Fiche info'!BL12</f>
        <v>0</v>
      </c>
      <c r="ED154" s="16" t="str">
        <f t="shared" si="40"/>
        <v>Fiche infoF</v>
      </c>
      <c r="EE154" s="16" t="str">
        <f t="shared" si="42"/>
        <v>Fiche info</v>
      </c>
      <c r="EF154" s="16" t="str">
        <f t="shared" si="43"/>
        <v>F</v>
      </c>
      <c r="EG154" s="16">
        <f t="shared" si="44"/>
        <v>6</v>
      </c>
      <c r="EH154" s="16" t="str">
        <f t="shared" si="45"/>
        <v>Samedi</v>
      </c>
      <c r="EI154" s="16" t="str">
        <f t="shared" si="46"/>
        <v/>
      </c>
      <c r="FB154" s="16" t="str">
        <f t="shared" si="49"/>
        <v/>
      </c>
      <c r="FC154" s="16" t="str">
        <f t="shared" si="50"/>
        <v/>
      </c>
      <c r="FD154" s="30">
        <f t="shared" si="41"/>
        <v>45200</v>
      </c>
      <c r="FE154" s="30" t="str">
        <f>+IFERROR(VLOOKUP(FD154,BDD,71,FALSE),"")</f>
        <v/>
      </c>
      <c r="FF154" s="30" t="str">
        <f>IFERROR(+VLOOKUP(FD154,BDD,72,FALSE),"")</f>
        <v/>
      </c>
      <c r="FG154" s="30" t="str">
        <f>+IFERROR(VLOOKUP(FD154,BDD,73,FALSE),"")</f>
        <v/>
      </c>
      <c r="FH154" s="30" t="str">
        <f>+IFERROR(VLOOKUP(FD154,BDD,74,FALSE),"")</f>
        <v/>
      </c>
      <c r="FW154" s="16" t="str">
        <f>Mai!GB47</f>
        <v>222026</v>
      </c>
      <c r="FX154" s="16">
        <f>Mai!GC47</f>
        <v>0</v>
      </c>
      <c r="HI154" s="85">
        <f>+Mai!AB48</f>
        <v>46171</v>
      </c>
      <c r="HJ154" s="27" t="str">
        <f>+Mai!AD48</f>
        <v/>
      </c>
      <c r="HK154" s="16">
        <f t="shared" si="51"/>
        <v>0</v>
      </c>
      <c r="HL154" s="16" t="str">
        <f>IF(AND(HI154&gt;=DATE(Identification!$B$60,5,1),HI154&lt;=DATE(Identification!$B$60,10,31),SUM(HK154:HK168)=12),"OUI","")</f>
        <v/>
      </c>
    </row>
    <row r="155" spans="1:220" x14ac:dyDescent="0.2">
      <c r="A155" s="16" t="str">
        <f t="shared" si="38"/>
        <v>Fiche infoF7</v>
      </c>
      <c r="B155" s="16" t="str">
        <f t="shared" si="39"/>
        <v>Fiche info</v>
      </c>
      <c r="C155" s="27" t="s">
        <v>235</v>
      </c>
      <c r="D155" s="27">
        <v>7</v>
      </c>
      <c r="E155" s="16" t="s">
        <v>185</v>
      </c>
      <c r="F155" s="34" t="str">
        <f>+IF('Fiche info'!$BN$13=0,"",'Fiche info'!$BN$13)</f>
        <v/>
      </c>
      <c r="G155" s="16">
        <f t="shared" si="47"/>
        <v>0</v>
      </c>
      <c r="BX155" s="16" t="str">
        <f t="shared" si="48"/>
        <v>Fiche infoF7</v>
      </c>
      <c r="BY155" s="431">
        <f>'Fiche info'!BE13</f>
        <v>0</v>
      </c>
      <c r="BZ155" s="431">
        <f>'Fiche info'!BF13</f>
        <v>0</v>
      </c>
      <c r="CA155" s="431">
        <f>'Fiche info'!BG13</f>
        <v>0</v>
      </c>
      <c r="CB155" s="431">
        <f>'Fiche info'!BH13</f>
        <v>0</v>
      </c>
      <c r="CC155" s="431">
        <f>'Fiche info'!BI13</f>
        <v>0</v>
      </c>
      <c r="CD155" s="431">
        <f>'Fiche info'!BJ13</f>
        <v>0</v>
      </c>
      <c r="CE155" s="431">
        <f>'Fiche info'!BK13</f>
        <v>0</v>
      </c>
      <c r="CF155" s="431">
        <f>'Fiche info'!BL13</f>
        <v>0</v>
      </c>
      <c r="ED155" s="16" t="str">
        <f t="shared" si="40"/>
        <v>Fiche infoF</v>
      </c>
      <c r="EE155" s="16" t="str">
        <f t="shared" si="42"/>
        <v>Fiche info</v>
      </c>
      <c r="EF155" s="16" t="str">
        <f t="shared" si="43"/>
        <v>F</v>
      </c>
      <c r="EG155" s="16">
        <f t="shared" si="44"/>
        <v>7</v>
      </c>
      <c r="EH155" s="16" t="str">
        <f t="shared" si="45"/>
        <v>Dimanche</v>
      </c>
      <c r="EI155" s="16" t="str">
        <f t="shared" si="46"/>
        <v/>
      </c>
      <c r="FB155" s="16" t="str">
        <f t="shared" si="49"/>
        <v/>
      </c>
      <c r="FC155" s="16" t="str">
        <f t="shared" si="50"/>
        <v/>
      </c>
      <c r="FD155" s="30">
        <f t="shared" si="41"/>
        <v>45200</v>
      </c>
      <c r="FE155" s="30" t="str">
        <f>+IFERROR(VLOOKUP(FD155,BDD,75,FALSE),"")</f>
        <v/>
      </c>
      <c r="FF155" s="30" t="str">
        <f>+IFERROR(VLOOKUP(FD155,BDD,76,FALSE),"")</f>
        <v/>
      </c>
      <c r="FG155" s="30" t="str">
        <f>IFERROR(+VLOOKUP(FD155,BDD,77,FALSE),"")</f>
        <v/>
      </c>
      <c r="FH155" s="30" t="str">
        <f>+IFERROR(VLOOKUP(FD155,BDD,78,FALSE),"")</f>
        <v/>
      </c>
      <c r="FW155" s="16" t="str">
        <f>Mai!GB48</f>
        <v>222026</v>
      </c>
      <c r="FX155" s="16">
        <f>Mai!GC48</f>
        <v>0</v>
      </c>
      <c r="HI155" s="85">
        <f>+Mai!AB49</f>
        <v>46172</v>
      </c>
      <c r="HJ155" s="27" t="str">
        <f>+Mai!AD49</f>
        <v/>
      </c>
      <c r="HK155" s="16">
        <f t="shared" si="51"/>
        <v>0</v>
      </c>
      <c r="HL155" s="16" t="str">
        <f>IF(AND(HI155&gt;=DATE(Identification!$B$60,5,1),HI155&lt;=DATE(Identification!$B$60,10,31),SUM(HK155:HK169)=12),"OUI","")</f>
        <v/>
      </c>
    </row>
    <row r="156" spans="1:220" x14ac:dyDescent="0.2">
      <c r="A156" s="16" t="str">
        <f t="shared" si="38"/>
        <v>Fiche infoG1</v>
      </c>
      <c r="B156" s="16" t="str">
        <f t="shared" si="39"/>
        <v>Fiche info</v>
      </c>
      <c r="C156" s="27" t="s">
        <v>236</v>
      </c>
      <c r="D156" s="27">
        <v>1</v>
      </c>
      <c r="E156" s="16" t="s">
        <v>17</v>
      </c>
      <c r="F156" s="34" t="str">
        <f>+IF('Fiche info'!$BY$7=0,"",'Fiche info'!$BY$7)</f>
        <v/>
      </c>
      <c r="G156" s="16">
        <f t="shared" si="47"/>
        <v>0</v>
      </c>
      <c r="BX156" s="16" t="str">
        <f t="shared" si="48"/>
        <v>Fiche infoG1</v>
      </c>
      <c r="BY156" s="431">
        <f>'Fiche info'!BP7</f>
        <v>0</v>
      </c>
      <c r="BZ156" s="431">
        <f>'Fiche info'!BQ7</f>
        <v>0</v>
      </c>
      <c r="CA156" s="431">
        <f>'Fiche info'!BR7</f>
        <v>0</v>
      </c>
      <c r="CB156" s="431">
        <f>'Fiche info'!BS7</f>
        <v>0</v>
      </c>
      <c r="CC156" s="431">
        <f>'Fiche info'!BT7</f>
        <v>0</v>
      </c>
      <c r="CD156" s="431">
        <f>'Fiche info'!BU7</f>
        <v>0</v>
      </c>
      <c r="CE156" s="431">
        <f>'Fiche info'!BV7</f>
        <v>0</v>
      </c>
      <c r="CF156" s="431">
        <f>'Fiche info'!BW7</f>
        <v>0</v>
      </c>
      <c r="ED156" s="16" t="str">
        <f t="shared" si="40"/>
        <v>Fiche infoG</v>
      </c>
      <c r="EE156" s="16" t="str">
        <f t="shared" si="42"/>
        <v>Fiche info</v>
      </c>
      <c r="EF156" s="16" t="str">
        <f t="shared" si="43"/>
        <v>G</v>
      </c>
      <c r="EG156" s="16">
        <f t="shared" si="44"/>
        <v>1</v>
      </c>
      <c r="EH156" s="16" t="str">
        <f t="shared" si="45"/>
        <v>Lundi</v>
      </c>
      <c r="EI156" s="16" t="str">
        <f t="shared" si="46"/>
        <v/>
      </c>
      <c r="FB156" s="16" t="str">
        <f t="shared" si="49"/>
        <v/>
      </c>
      <c r="FC156" s="16" t="str">
        <f t="shared" si="50"/>
        <v/>
      </c>
      <c r="FD156" s="30">
        <f t="shared" si="41"/>
        <v>45200</v>
      </c>
      <c r="FE156" s="30" t="str">
        <f>+IFERROR(VLOOKUP(FD156,BDD,79,FALSE),"")</f>
        <v/>
      </c>
      <c r="FF156" s="30" t="str">
        <f>IFERROR(+VLOOKUP(FD156,BDD,80,FALSE),"")</f>
        <v/>
      </c>
      <c r="FG156" s="30" t="str">
        <f>+IFERROR(VLOOKUP(FD156,BDD,81,FALSE),"")</f>
        <v/>
      </c>
      <c r="FH156" s="30" t="str">
        <f>+IFERROR(VLOOKUP(FD156,BDD,82,FALSE),"")</f>
        <v/>
      </c>
      <c r="FW156" s="16" t="str">
        <f>Mai!GB49</f>
        <v>222026</v>
      </c>
      <c r="FX156" s="16">
        <f>Mai!GC49</f>
        <v>0</v>
      </c>
      <c r="HI156" s="85">
        <f>+Mai!AB50</f>
        <v>46173</v>
      </c>
      <c r="HJ156" s="27" t="str">
        <f>+Mai!AD50</f>
        <v/>
      </c>
      <c r="HK156" s="16">
        <f t="shared" si="51"/>
        <v>0</v>
      </c>
      <c r="HL156" s="16" t="str">
        <f>IF(AND(HI156&gt;=DATE(Identification!$B$60,5,1),HI156&lt;=DATE(Identification!$B$60,10,31),SUM(HK156:HK170)=12),"OUI","")</f>
        <v/>
      </c>
    </row>
    <row r="157" spans="1:220" x14ac:dyDescent="0.2">
      <c r="A157" s="16" t="str">
        <f t="shared" si="38"/>
        <v>Fiche infoG2</v>
      </c>
      <c r="B157" s="16" t="str">
        <f t="shared" si="39"/>
        <v>Fiche info</v>
      </c>
      <c r="C157" s="27" t="s">
        <v>236</v>
      </c>
      <c r="D157" s="27">
        <v>2</v>
      </c>
      <c r="E157" s="16" t="s">
        <v>18</v>
      </c>
      <c r="F157" s="34" t="str">
        <f>+IF('Fiche info'!$BY$8=0,"",'Fiche info'!$BY$8)</f>
        <v/>
      </c>
      <c r="G157" s="16">
        <f t="shared" si="47"/>
        <v>0</v>
      </c>
      <c r="BX157" s="16" t="str">
        <f t="shared" si="48"/>
        <v>Fiche infoG2</v>
      </c>
      <c r="BY157" s="431">
        <f>'Fiche info'!BP8</f>
        <v>0</v>
      </c>
      <c r="BZ157" s="431">
        <f>'Fiche info'!BQ8</f>
        <v>0</v>
      </c>
      <c r="CA157" s="431">
        <f>'Fiche info'!BR8</f>
        <v>0</v>
      </c>
      <c r="CB157" s="431">
        <f>'Fiche info'!BS8</f>
        <v>0</v>
      </c>
      <c r="CC157" s="431">
        <f>'Fiche info'!BT8</f>
        <v>0</v>
      </c>
      <c r="CD157" s="431">
        <f>'Fiche info'!BU8</f>
        <v>0</v>
      </c>
      <c r="CE157" s="431">
        <f>'Fiche info'!BV8</f>
        <v>0</v>
      </c>
      <c r="CF157" s="431">
        <f>'Fiche info'!BW8</f>
        <v>0</v>
      </c>
      <c r="ED157" s="16" t="str">
        <f t="shared" si="40"/>
        <v>Fiche infoG</v>
      </c>
      <c r="EE157" s="16" t="str">
        <f t="shared" si="42"/>
        <v>Fiche info</v>
      </c>
      <c r="EF157" s="16" t="str">
        <f t="shared" si="43"/>
        <v>G</v>
      </c>
      <c r="EG157" s="16">
        <f t="shared" si="44"/>
        <v>2</v>
      </c>
      <c r="EH157" s="16" t="str">
        <f t="shared" si="45"/>
        <v>Mardi</v>
      </c>
      <c r="EI157" s="16" t="str">
        <f t="shared" si="46"/>
        <v/>
      </c>
      <c r="FB157" s="16" t="str">
        <f t="shared" si="49"/>
        <v/>
      </c>
      <c r="FC157" s="16" t="str">
        <f t="shared" si="50"/>
        <v/>
      </c>
      <c r="FD157" s="30">
        <f t="shared" si="41"/>
        <v>45200</v>
      </c>
      <c r="FE157" s="30" t="str">
        <f>+IFERROR(VLOOKUP(FD157,BDD,83,FALSE),"")</f>
        <v/>
      </c>
      <c r="FF157" s="30" t="str">
        <f>+IFERROR(VLOOKUP(FD157,BDD,84,FALSE),"")</f>
        <v/>
      </c>
      <c r="FG157" s="30" t="str">
        <f>+IFERROR(VLOOKUP(FD157,BDD,85,FALSE),"")</f>
        <v/>
      </c>
      <c r="FH157" s="30" t="str">
        <f>+IFERROR(VLOOKUP(FD157,BDD,86,FALSE),"")</f>
        <v/>
      </c>
      <c r="FW157" s="16" t="str">
        <f>Mai!GB50</f>
        <v>222026</v>
      </c>
      <c r="FX157" s="16">
        <f>Mai!GC50</f>
        <v>0</v>
      </c>
      <c r="HI157" s="85">
        <f>+Juin!AB20</f>
        <v>46174</v>
      </c>
      <c r="HJ157" s="27" t="str">
        <f>+Juin!AD20</f>
        <v/>
      </c>
      <c r="HK157" s="16">
        <f t="shared" si="51"/>
        <v>0</v>
      </c>
      <c r="HL157" s="16" t="str">
        <f>IF(AND(HI157&gt;=DATE(Identification!$B$60,5,1),HI157&lt;=DATE(Identification!$B$60,10,31),SUM(HK157:HK171)=12),"OUI","")</f>
        <v/>
      </c>
    </row>
    <row r="158" spans="1:220" x14ac:dyDescent="0.2">
      <c r="A158" s="16" t="str">
        <f t="shared" si="38"/>
        <v>Fiche infoG3</v>
      </c>
      <c r="B158" s="16" t="str">
        <f t="shared" si="39"/>
        <v>Fiche info</v>
      </c>
      <c r="C158" s="27" t="s">
        <v>236</v>
      </c>
      <c r="D158" s="27">
        <v>3</v>
      </c>
      <c r="E158" s="16" t="s">
        <v>19</v>
      </c>
      <c r="F158" s="34" t="str">
        <f>+IF('Fiche info'!$BY$9=0,"",'Fiche info'!$BY$9)</f>
        <v/>
      </c>
      <c r="G158" s="16">
        <f t="shared" si="47"/>
        <v>0</v>
      </c>
      <c r="BX158" s="16" t="str">
        <f t="shared" si="48"/>
        <v>Fiche infoG3</v>
      </c>
      <c r="BY158" s="431">
        <f>'Fiche info'!BP9</f>
        <v>0</v>
      </c>
      <c r="BZ158" s="431">
        <f>'Fiche info'!BQ9</f>
        <v>0</v>
      </c>
      <c r="CA158" s="431">
        <f>'Fiche info'!BR9</f>
        <v>0</v>
      </c>
      <c r="CB158" s="431">
        <f>'Fiche info'!BS9</f>
        <v>0</v>
      </c>
      <c r="CC158" s="431">
        <f>'Fiche info'!BT9</f>
        <v>0</v>
      </c>
      <c r="CD158" s="431">
        <f>'Fiche info'!BU9</f>
        <v>0</v>
      </c>
      <c r="CE158" s="431">
        <f>'Fiche info'!BV9</f>
        <v>0</v>
      </c>
      <c r="CF158" s="431">
        <f>'Fiche info'!BW9</f>
        <v>0</v>
      </c>
      <c r="ED158" s="16" t="str">
        <f t="shared" si="40"/>
        <v>Fiche infoG</v>
      </c>
      <c r="EE158" s="16" t="str">
        <f t="shared" si="42"/>
        <v>Fiche info</v>
      </c>
      <c r="EF158" s="16" t="str">
        <f t="shared" si="43"/>
        <v>G</v>
      </c>
      <c r="EG158" s="16">
        <f t="shared" si="44"/>
        <v>3</v>
      </c>
      <c r="EH158" s="16" t="str">
        <f t="shared" si="45"/>
        <v>Mercredi</v>
      </c>
      <c r="EI158" s="16" t="str">
        <f t="shared" si="46"/>
        <v/>
      </c>
      <c r="FB158" s="16" t="str">
        <f t="shared" si="49"/>
        <v/>
      </c>
      <c r="FC158" s="16" t="str">
        <f t="shared" si="50"/>
        <v/>
      </c>
      <c r="FD158" s="30">
        <f t="shared" si="41"/>
        <v>45170</v>
      </c>
      <c r="FE158" s="30" t="str">
        <f>+IFERROR(VLOOKUP(FD158,BDD,71,FALSE),"")</f>
        <v/>
      </c>
      <c r="FF158" s="30" t="str">
        <f>IFERROR(+VLOOKUP(FD158,BDD,72,FALSE),"")</f>
        <v/>
      </c>
      <c r="FG158" s="30" t="str">
        <f>+IFERROR(VLOOKUP(FD158,BDD,73,FALSE),"")</f>
        <v/>
      </c>
      <c r="FH158" s="30" t="str">
        <f>+IFERROR(VLOOKUP(FD158,BDD,74,FALSE),"")</f>
        <v/>
      </c>
      <c r="FW158" s="16" t="str">
        <f>Juin!GB20</f>
        <v>232026</v>
      </c>
      <c r="FX158" s="16">
        <f>Juin!GC20</f>
        <v>0</v>
      </c>
      <c r="HI158" s="85">
        <f>+Juin!AB21</f>
        <v>46175</v>
      </c>
      <c r="HJ158" s="27" t="str">
        <f>+Juin!AD21</f>
        <v/>
      </c>
      <c r="HK158" s="16">
        <f t="shared" si="51"/>
        <v>0</v>
      </c>
      <c r="HL158" s="16" t="str">
        <f>IF(AND(HI158&gt;=DATE(Identification!$B$60,5,1),HI158&lt;=DATE(Identification!$B$60,10,31),SUM(HK158:HK172)=12),"OUI","")</f>
        <v/>
      </c>
    </row>
    <row r="159" spans="1:220" x14ac:dyDescent="0.2">
      <c r="A159" s="16" t="str">
        <f t="shared" si="38"/>
        <v>Fiche infoG4</v>
      </c>
      <c r="B159" s="16" t="str">
        <f t="shared" si="39"/>
        <v>Fiche info</v>
      </c>
      <c r="C159" s="27" t="s">
        <v>236</v>
      </c>
      <c r="D159" s="27">
        <v>4</v>
      </c>
      <c r="E159" s="16" t="s">
        <v>20</v>
      </c>
      <c r="F159" s="34" t="str">
        <f>+IF('Fiche info'!$BY$10=0,"",'Fiche info'!$BY$10)</f>
        <v/>
      </c>
      <c r="G159" s="16">
        <f t="shared" si="47"/>
        <v>0</v>
      </c>
      <c r="BX159" s="16" t="str">
        <f t="shared" si="48"/>
        <v>Fiche infoG4</v>
      </c>
      <c r="BY159" s="431">
        <f>'Fiche info'!BP10</f>
        <v>0</v>
      </c>
      <c r="BZ159" s="431">
        <f>'Fiche info'!BQ10</f>
        <v>0</v>
      </c>
      <c r="CA159" s="431">
        <f>'Fiche info'!BR10</f>
        <v>0</v>
      </c>
      <c r="CB159" s="431">
        <f>'Fiche info'!BS10</f>
        <v>0</v>
      </c>
      <c r="CC159" s="431">
        <f>'Fiche info'!BT10</f>
        <v>0</v>
      </c>
      <c r="CD159" s="431">
        <f>'Fiche info'!BU10</f>
        <v>0</v>
      </c>
      <c r="CE159" s="431">
        <f>'Fiche info'!BV10</f>
        <v>0</v>
      </c>
      <c r="CF159" s="431">
        <f>'Fiche info'!BW10</f>
        <v>0</v>
      </c>
      <c r="ED159" s="16" t="str">
        <f t="shared" si="40"/>
        <v>Fiche infoG</v>
      </c>
      <c r="EE159" s="16" t="str">
        <f t="shared" si="42"/>
        <v>Fiche info</v>
      </c>
      <c r="EF159" s="16" t="str">
        <f t="shared" si="43"/>
        <v>G</v>
      </c>
      <c r="EG159" s="16">
        <f t="shared" si="44"/>
        <v>4</v>
      </c>
      <c r="EH159" s="16" t="str">
        <f t="shared" si="45"/>
        <v>Jeudi</v>
      </c>
      <c r="EI159" s="16" t="str">
        <f t="shared" si="46"/>
        <v/>
      </c>
      <c r="FB159" s="16" t="str">
        <f t="shared" si="49"/>
        <v/>
      </c>
      <c r="FC159" s="16" t="str">
        <f t="shared" si="50"/>
        <v/>
      </c>
      <c r="FD159" s="30">
        <f t="shared" si="41"/>
        <v>45170</v>
      </c>
      <c r="FE159" s="30" t="str">
        <f>+IFERROR(VLOOKUP(FD159,BDD,75,FALSE),"")</f>
        <v/>
      </c>
      <c r="FF159" s="30" t="str">
        <f>+IFERROR(VLOOKUP(FD159,BDD,76,FALSE),"")</f>
        <v/>
      </c>
      <c r="FG159" s="30" t="str">
        <f>IFERROR(+VLOOKUP(FD159,BDD,77,FALSE),"")</f>
        <v/>
      </c>
      <c r="FH159" s="30" t="str">
        <f>+IFERROR(VLOOKUP(FD159,BDD,78,FALSE),"")</f>
        <v/>
      </c>
      <c r="FW159" s="16" t="str">
        <f>Juin!GB21</f>
        <v>232026</v>
      </c>
      <c r="FX159" s="16">
        <f>Juin!GC21</f>
        <v>0</v>
      </c>
      <c r="HI159" s="85">
        <f>+Juin!AB22</f>
        <v>46176</v>
      </c>
      <c r="HJ159" s="27" t="str">
        <f>+Juin!AD22</f>
        <v/>
      </c>
      <c r="HK159" s="16">
        <f t="shared" si="51"/>
        <v>0</v>
      </c>
      <c r="HL159" s="16" t="str">
        <f>IF(AND(HI159&gt;=DATE(Identification!$B$60,5,1),HI159&lt;=DATE(Identification!$B$60,10,31),SUM(HK159:HK173)=12),"OUI","")</f>
        <v/>
      </c>
    </row>
    <row r="160" spans="1:220" x14ac:dyDescent="0.2">
      <c r="A160" s="16" t="str">
        <f t="shared" si="38"/>
        <v>Fiche infoG5</v>
      </c>
      <c r="B160" s="16" t="str">
        <f t="shared" si="39"/>
        <v>Fiche info</v>
      </c>
      <c r="C160" s="27" t="s">
        <v>236</v>
      </c>
      <c r="D160" s="27">
        <v>5</v>
      </c>
      <c r="E160" s="16" t="s">
        <v>21</v>
      </c>
      <c r="F160" s="34" t="str">
        <f>+IF('Fiche info'!$BY$11=0,"",'Fiche info'!$BY$11)</f>
        <v/>
      </c>
      <c r="G160" s="16">
        <f t="shared" si="47"/>
        <v>0</v>
      </c>
      <c r="BX160" s="16" t="str">
        <f t="shared" si="48"/>
        <v>Fiche infoG5</v>
      </c>
      <c r="BY160" s="431">
        <f>'Fiche info'!BP11</f>
        <v>0</v>
      </c>
      <c r="BZ160" s="431">
        <f>'Fiche info'!BQ11</f>
        <v>0</v>
      </c>
      <c r="CA160" s="431">
        <f>'Fiche info'!BR11</f>
        <v>0</v>
      </c>
      <c r="CB160" s="431">
        <f>'Fiche info'!BS11</f>
        <v>0</v>
      </c>
      <c r="CC160" s="431">
        <f>'Fiche info'!BT11</f>
        <v>0</v>
      </c>
      <c r="CD160" s="431">
        <f>'Fiche info'!BU11</f>
        <v>0</v>
      </c>
      <c r="CE160" s="431">
        <f>'Fiche info'!BV11</f>
        <v>0</v>
      </c>
      <c r="CF160" s="431">
        <f>'Fiche info'!BW11</f>
        <v>0</v>
      </c>
      <c r="ED160" s="16" t="str">
        <f t="shared" si="40"/>
        <v>Fiche infoG</v>
      </c>
      <c r="EE160" s="16" t="str">
        <f t="shared" si="42"/>
        <v>Fiche info</v>
      </c>
      <c r="EF160" s="16" t="str">
        <f t="shared" si="43"/>
        <v>G</v>
      </c>
      <c r="EG160" s="16">
        <f t="shared" si="44"/>
        <v>5</v>
      </c>
      <c r="EH160" s="16" t="str">
        <f t="shared" si="45"/>
        <v>Vendredi</v>
      </c>
      <c r="EI160" s="16" t="str">
        <f t="shared" si="46"/>
        <v/>
      </c>
      <c r="FB160" s="16" t="str">
        <f t="shared" si="49"/>
        <v/>
      </c>
      <c r="FC160" s="16" t="str">
        <f t="shared" si="50"/>
        <v/>
      </c>
      <c r="FD160" s="30">
        <f t="shared" si="41"/>
        <v>45170</v>
      </c>
      <c r="FE160" s="30" t="str">
        <f>+IFERROR(VLOOKUP(FD160,BDD,79,FALSE),"")</f>
        <v/>
      </c>
      <c r="FF160" s="30" t="str">
        <f>IFERROR(+VLOOKUP(FD160,BDD,80,FALSE),"")</f>
        <v/>
      </c>
      <c r="FG160" s="30" t="str">
        <f>+IFERROR(VLOOKUP(FD160,BDD,81,FALSE),"")</f>
        <v/>
      </c>
      <c r="FH160" s="30" t="str">
        <f>+IFERROR(VLOOKUP(FD160,BDD,82,FALSE),"")</f>
        <v/>
      </c>
      <c r="FW160" s="16" t="str">
        <f>Juin!GB22</f>
        <v>232026</v>
      </c>
      <c r="FX160" s="16">
        <f>Juin!GC22</f>
        <v>0</v>
      </c>
      <c r="HI160" s="85">
        <f>+Juin!AB23</f>
        <v>46177</v>
      </c>
      <c r="HJ160" s="27" t="str">
        <f>+Juin!AD23</f>
        <v/>
      </c>
      <c r="HK160" s="16">
        <f t="shared" si="51"/>
        <v>0</v>
      </c>
      <c r="HL160" s="16" t="str">
        <f>IF(AND(HI160&gt;=DATE(Identification!$B$60,5,1),HI160&lt;=DATE(Identification!$B$60,10,31),SUM(HK160:HK174)=12),"OUI","")</f>
        <v/>
      </c>
    </row>
    <row r="161" spans="1:220" x14ac:dyDescent="0.2">
      <c r="A161" s="16" t="str">
        <f t="shared" si="38"/>
        <v>Fiche infoG6</v>
      </c>
      <c r="B161" s="16" t="str">
        <f t="shared" si="39"/>
        <v>Fiche info</v>
      </c>
      <c r="C161" s="27" t="s">
        <v>236</v>
      </c>
      <c r="D161" s="27">
        <v>6</v>
      </c>
      <c r="E161" s="16" t="s">
        <v>184</v>
      </c>
      <c r="F161" s="34" t="str">
        <f>+IF('Fiche info'!$BY$12=0,"",'Fiche info'!$BY$12)</f>
        <v/>
      </c>
      <c r="G161" s="16">
        <f t="shared" si="47"/>
        <v>0</v>
      </c>
      <c r="BX161" s="16" t="str">
        <f t="shared" si="48"/>
        <v>Fiche infoG6</v>
      </c>
      <c r="BY161" s="431">
        <f>'Fiche info'!BP12</f>
        <v>0</v>
      </c>
      <c r="BZ161" s="431">
        <f>'Fiche info'!BQ12</f>
        <v>0</v>
      </c>
      <c r="CA161" s="431">
        <f>'Fiche info'!BR12</f>
        <v>0</v>
      </c>
      <c r="CB161" s="431">
        <f>'Fiche info'!BS12</f>
        <v>0</v>
      </c>
      <c r="CC161" s="431">
        <f>'Fiche info'!BT12</f>
        <v>0</v>
      </c>
      <c r="CD161" s="431">
        <f>'Fiche info'!BU12</f>
        <v>0</v>
      </c>
      <c r="CE161" s="431">
        <f>'Fiche info'!BV12</f>
        <v>0</v>
      </c>
      <c r="CF161" s="431">
        <f>'Fiche info'!BW12</f>
        <v>0</v>
      </c>
      <c r="ED161" s="16" t="str">
        <f t="shared" si="40"/>
        <v>Fiche infoG</v>
      </c>
      <c r="EE161" s="16" t="str">
        <f t="shared" si="42"/>
        <v>Fiche info</v>
      </c>
      <c r="EF161" s="16" t="str">
        <f t="shared" si="43"/>
        <v>G</v>
      </c>
      <c r="EG161" s="16">
        <f t="shared" si="44"/>
        <v>6</v>
      </c>
      <c r="EH161" s="16" t="str">
        <f t="shared" si="45"/>
        <v>Samedi</v>
      </c>
      <c r="EI161" s="16" t="str">
        <f t="shared" si="46"/>
        <v/>
      </c>
      <c r="FB161" s="16" t="str">
        <f t="shared" si="49"/>
        <v/>
      </c>
      <c r="FC161" s="16" t="str">
        <f t="shared" si="50"/>
        <v/>
      </c>
      <c r="FD161" s="30">
        <f t="shared" si="41"/>
        <v>45170</v>
      </c>
      <c r="FE161" s="30" t="str">
        <f>+IFERROR(VLOOKUP(FD161,BDD,83,FALSE),"")</f>
        <v/>
      </c>
      <c r="FF161" s="30" t="str">
        <f>+IFERROR(VLOOKUP(FD161,BDD,84,FALSE),"")</f>
        <v/>
      </c>
      <c r="FG161" s="30" t="str">
        <f>+IFERROR(VLOOKUP(FD161,BDD,85,FALSE),"")</f>
        <v/>
      </c>
      <c r="FH161" s="30" t="str">
        <f>+IFERROR(VLOOKUP(FD161,BDD,86,FALSE),"")</f>
        <v/>
      </c>
      <c r="FW161" s="16" t="str">
        <f>Juin!GB23</f>
        <v>232026</v>
      </c>
      <c r="FX161" s="16">
        <f>Juin!GC23</f>
        <v>0</v>
      </c>
      <c r="HI161" s="85">
        <f>+Juin!AB24</f>
        <v>46178</v>
      </c>
      <c r="HJ161" s="27" t="str">
        <f>+Juin!AD24</f>
        <v/>
      </c>
      <c r="HK161" s="16">
        <f t="shared" si="51"/>
        <v>0</v>
      </c>
      <c r="HL161" s="16" t="str">
        <f>IF(AND(HI161&gt;=DATE(Identification!$B$60,5,1),HI161&lt;=DATE(Identification!$B$60,10,31),SUM(HK161:HK175)=12),"OUI","")</f>
        <v/>
      </c>
    </row>
    <row r="162" spans="1:220" x14ac:dyDescent="0.2">
      <c r="A162" s="16" t="str">
        <f t="shared" si="38"/>
        <v>Fiche infoG7</v>
      </c>
      <c r="B162" s="16" t="str">
        <f t="shared" si="39"/>
        <v>Fiche info</v>
      </c>
      <c r="C162" s="27" t="s">
        <v>236</v>
      </c>
      <c r="D162" s="27">
        <v>7</v>
      </c>
      <c r="E162" s="16" t="s">
        <v>185</v>
      </c>
      <c r="F162" s="34" t="str">
        <f>+IF('Fiche info'!$BY$13=0,"",'Fiche info'!$BY$13)</f>
        <v/>
      </c>
      <c r="G162" s="16">
        <f t="shared" si="47"/>
        <v>0</v>
      </c>
      <c r="BX162" s="16" t="str">
        <f t="shared" si="48"/>
        <v>Fiche infoG7</v>
      </c>
      <c r="BY162" s="431">
        <f>'Fiche info'!BP13</f>
        <v>0</v>
      </c>
      <c r="BZ162" s="431">
        <f>'Fiche info'!BQ13</f>
        <v>0</v>
      </c>
      <c r="CA162" s="431">
        <f>'Fiche info'!BR13</f>
        <v>0</v>
      </c>
      <c r="CB162" s="431">
        <f>'Fiche info'!BS13</f>
        <v>0</v>
      </c>
      <c r="CC162" s="431">
        <f>'Fiche info'!BT13</f>
        <v>0</v>
      </c>
      <c r="CD162" s="431">
        <f>'Fiche info'!BU13</f>
        <v>0</v>
      </c>
      <c r="CE162" s="431">
        <f>'Fiche info'!BV13</f>
        <v>0</v>
      </c>
      <c r="CF162" s="431">
        <f>'Fiche info'!BW13</f>
        <v>0</v>
      </c>
      <c r="ED162" s="16" t="str">
        <f t="shared" si="40"/>
        <v>Fiche infoG</v>
      </c>
      <c r="EE162" s="16" t="str">
        <f t="shared" si="42"/>
        <v>Fiche info</v>
      </c>
      <c r="EF162" s="16" t="str">
        <f t="shared" si="43"/>
        <v>G</v>
      </c>
      <c r="EG162" s="16">
        <f t="shared" si="44"/>
        <v>7</v>
      </c>
      <c r="EH162" s="16" t="str">
        <f t="shared" si="45"/>
        <v>Dimanche</v>
      </c>
      <c r="EI162" s="16" t="str">
        <f t="shared" si="46"/>
        <v/>
      </c>
      <c r="FB162" s="16" t="str">
        <f t="shared" si="49"/>
        <v/>
      </c>
      <c r="FC162" s="16" t="str">
        <f t="shared" si="50"/>
        <v/>
      </c>
      <c r="FD162" s="30">
        <f t="shared" si="41"/>
        <v>45139</v>
      </c>
      <c r="FE162" s="30" t="str">
        <f>+IFERROR(VLOOKUP(FD162,BDD,71,FALSE),"")</f>
        <v/>
      </c>
      <c r="FF162" s="30" t="str">
        <f>IFERROR(+VLOOKUP(FD162,BDD,72,FALSE),"")</f>
        <v/>
      </c>
      <c r="FG162" s="30" t="str">
        <f>+IFERROR(VLOOKUP(FD162,BDD,73,FALSE),"")</f>
        <v/>
      </c>
      <c r="FH162" s="30" t="str">
        <f>+IFERROR(VLOOKUP(FD162,BDD,74,FALSE),"")</f>
        <v/>
      </c>
      <c r="FW162" s="16" t="str">
        <f>Juin!GB24</f>
        <v>232026</v>
      </c>
      <c r="FX162" s="16">
        <f>Juin!GC24</f>
        <v>0</v>
      </c>
      <c r="HI162" s="85">
        <f>+Juin!AB25</f>
        <v>46179</v>
      </c>
      <c r="HJ162" s="27" t="str">
        <f>+Juin!AD25</f>
        <v/>
      </c>
      <c r="HK162" s="16">
        <f t="shared" si="51"/>
        <v>0</v>
      </c>
      <c r="HL162" s="16" t="str">
        <f>IF(AND(HI162&gt;=DATE(Identification!$B$60,5,1),HI162&lt;=DATE(Identification!$B$60,10,31),SUM(HK162:HK176)=12),"OUI","")</f>
        <v/>
      </c>
    </row>
    <row r="163" spans="1:220" x14ac:dyDescent="0.2">
      <c r="A163" s="16" t="str">
        <f t="shared" si="38"/>
        <v>Fiche infoH1</v>
      </c>
      <c r="B163" s="16" t="str">
        <f t="shared" si="39"/>
        <v>Fiche info</v>
      </c>
      <c r="C163" s="27" t="s">
        <v>237</v>
      </c>
      <c r="D163" s="27">
        <v>1</v>
      </c>
      <c r="E163" s="16" t="s">
        <v>17</v>
      </c>
      <c r="F163" s="34" t="str">
        <f>+IF('Fiche info'!$CJ$7=0,"",'Fiche info'!$CJ$7)</f>
        <v/>
      </c>
      <c r="G163" s="16">
        <f t="shared" si="47"/>
        <v>0</v>
      </c>
      <c r="BX163" s="16" t="str">
        <f t="shared" si="48"/>
        <v>Fiche infoH1</v>
      </c>
      <c r="BY163" s="431">
        <f>'Fiche info'!CA7</f>
        <v>0</v>
      </c>
      <c r="BZ163" s="431">
        <f>'Fiche info'!CB7</f>
        <v>0</v>
      </c>
      <c r="CA163" s="431">
        <f>'Fiche info'!CC7</f>
        <v>0</v>
      </c>
      <c r="CB163" s="431">
        <f>'Fiche info'!CD7</f>
        <v>0</v>
      </c>
      <c r="CC163" s="431">
        <f>'Fiche info'!CE7</f>
        <v>0</v>
      </c>
      <c r="CD163" s="431">
        <f>'Fiche info'!CF7</f>
        <v>0</v>
      </c>
      <c r="CE163" s="431">
        <f>'Fiche info'!CG7</f>
        <v>0</v>
      </c>
      <c r="CF163" s="431">
        <f>'Fiche info'!CH7</f>
        <v>0</v>
      </c>
      <c r="ED163" s="16" t="str">
        <f t="shared" si="40"/>
        <v>Fiche infoH</v>
      </c>
      <c r="EE163" s="16" t="str">
        <f t="shared" si="42"/>
        <v>Fiche info</v>
      </c>
      <c r="EF163" s="16" t="str">
        <f t="shared" si="43"/>
        <v>H</v>
      </c>
      <c r="EG163" s="16">
        <f t="shared" si="44"/>
        <v>1</v>
      </c>
      <c r="EH163" s="16" t="str">
        <f t="shared" si="45"/>
        <v>Lundi</v>
      </c>
      <c r="EI163" s="16" t="str">
        <f t="shared" si="46"/>
        <v/>
      </c>
      <c r="FB163" s="16" t="str">
        <f t="shared" si="49"/>
        <v/>
      </c>
      <c r="FC163" s="16" t="str">
        <f t="shared" si="50"/>
        <v/>
      </c>
      <c r="FD163" s="30">
        <f t="shared" si="41"/>
        <v>45139</v>
      </c>
      <c r="FE163" s="30" t="str">
        <f>+IFERROR(VLOOKUP(FD163,BDD,75,FALSE),"")</f>
        <v/>
      </c>
      <c r="FF163" s="30" t="str">
        <f>+IFERROR(VLOOKUP(FD163,BDD,76,FALSE),"")</f>
        <v/>
      </c>
      <c r="FG163" s="30" t="str">
        <f>IFERROR(+VLOOKUP(FD163,BDD,77,FALSE),"")</f>
        <v/>
      </c>
      <c r="FH163" s="30" t="str">
        <f>+IFERROR(VLOOKUP(FD163,BDD,78,FALSE),"")</f>
        <v/>
      </c>
      <c r="FW163" s="16" t="str">
        <f>Juin!GB25</f>
        <v>232026</v>
      </c>
      <c r="FX163" s="16">
        <f>Juin!GC25</f>
        <v>0</v>
      </c>
      <c r="HI163" s="85">
        <f>+Juin!AB26</f>
        <v>46180</v>
      </c>
      <c r="HJ163" s="27" t="str">
        <f>+Juin!AD26</f>
        <v/>
      </c>
      <c r="HK163" s="16">
        <f t="shared" si="51"/>
        <v>0</v>
      </c>
      <c r="HL163" s="16" t="str">
        <f>IF(AND(HI163&gt;=DATE(Identification!$B$60,5,1),HI163&lt;=DATE(Identification!$B$60,10,31),SUM(HK163:HK177)=12),"OUI","")</f>
        <v/>
      </c>
    </row>
    <row r="164" spans="1:220" x14ac:dyDescent="0.2">
      <c r="A164" s="16" t="str">
        <f t="shared" si="38"/>
        <v>Fiche infoH2</v>
      </c>
      <c r="B164" s="16" t="str">
        <f t="shared" si="39"/>
        <v>Fiche info</v>
      </c>
      <c r="C164" s="27" t="s">
        <v>237</v>
      </c>
      <c r="D164" s="27">
        <v>2</v>
      </c>
      <c r="E164" s="16" t="s">
        <v>18</v>
      </c>
      <c r="F164" s="34" t="str">
        <f>+IF('Fiche info'!$CJ$8=0,"",'Fiche info'!$CJ$8)</f>
        <v/>
      </c>
      <c r="G164" s="16">
        <f t="shared" si="47"/>
        <v>0</v>
      </c>
      <c r="BX164" s="16" t="str">
        <f t="shared" si="48"/>
        <v>Fiche infoH2</v>
      </c>
      <c r="BY164" s="431">
        <f>'Fiche info'!CA8</f>
        <v>0</v>
      </c>
      <c r="BZ164" s="431">
        <f>'Fiche info'!CB8</f>
        <v>0</v>
      </c>
      <c r="CA164" s="431">
        <f>'Fiche info'!CC8</f>
        <v>0</v>
      </c>
      <c r="CB164" s="431">
        <f>'Fiche info'!CD8</f>
        <v>0</v>
      </c>
      <c r="CC164" s="431">
        <f>'Fiche info'!CE8</f>
        <v>0</v>
      </c>
      <c r="CD164" s="431">
        <f>'Fiche info'!CF8</f>
        <v>0</v>
      </c>
      <c r="CE164" s="431">
        <f>'Fiche info'!CG8</f>
        <v>0</v>
      </c>
      <c r="CF164" s="431">
        <f>'Fiche info'!CH8</f>
        <v>0</v>
      </c>
      <c r="ED164" s="16" t="str">
        <f t="shared" si="40"/>
        <v>Fiche infoH</v>
      </c>
      <c r="EE164" s="16" t="str">
        <f t="shared" si="42"/>
        <v>Fiche info</v>
      </c>
      <c r="EF164" s="16" t="str">
        <f t="shared" si="43"/>
        <v>H</v>
      </c>
      <c r="EG164" s="16">
        <f t="shared" si="44"/>
        <v>2</v>
      </c>
      <c r="EH164" s="16" t="str">
        <f t="shared" si="45"/>
        <v>Mardi</v>
      </c>
      <c r="EI164" s="16" t="str">
        <f t="shared" si="46"/>
        <v/>
      </c>
      <c r="FB164" s="16" t="str">
        <f t="shared" si="49"/>
        <v/>
      </c>
      <c r="FC164" s="16" t="str">
        <f t="shared" si="50"/>
        <v/>
      </c>
      <c r="FD164" s="30">
        <f t="shared" si="41"/>
        <v>45139</v>
      </c>
      <c r="FE164" s="30" t="str">
        <f>+IFERROR(VLOOKUP(FD164,BDD,79,FALSE),"")</f>
        <v/>
      </c>
      <c r="FF164" s="30" t="str">
        <f>IFERROR(+VLOOKUP(FD164,BDD,80,FALSE),"")</f>
        <v/>
      </c>
      <c r="FG164" s="30" t="str">
        <f>+IFERROR(VLOOKUP(FD164,BDD,81,FALSE),"")</f>
        <v/>
      </c>
      <c r="FH164" s="30" t="str">
        <f>+IFERROR(VLOOKUP(FD164,BDD,82,FALSE),"")</f>
        <v/>
      </c>
      <c r="FW164" s="16" t="str">
        <f>Juin!GB26</f>
        <v>232026</v>
      </c>
      <c r="FX164" s="16">
        <f>Juin!GC26</f>
        <v>0</v>
      </c>
      <c r="HI164" s="85">
        <f>+Juin!AB27</f>
        <v>46181</v>
      </c>
      <c r="HJ164" s="27" t="str">
        <f>+Juin!AD27</f>
        <v/>
      </c>
      <c r="HK164" s="16">
        <f t="shared" si="51"/>
        <v>0</v>
      </c>
      <c r="HL164" s="16" t="str">
        <f>IF(AND(HI164&gt;=DATE(Identification!$B$60,5,1),HI164&lt;=DATE(Identification!$B$60,10,31),SUM(HK164:HK178)=12),"OUI","")</f>
        <v/>
      </c>
    </row>
    <row r="165" spans="1:220" x14ac:dyDescent="0.2">
      <c r="A165" s="16" t="str">
        <f t="shared" si="38"/>
        <v>Fiche infoH3</v>
      </c>
      <c r="B165" s="16" t="str">
        <f t="shared" si="39"/>
        <v>Fiche info</v>
      </c>
      <c r="C165" s="27" t="s">
        <v>237</v>
      </c>
      <c r="D165" s="27">
        <v>3</v>
      </c>
      <c r="E165" s="16" t="s">
        <v>19</v>
      </c>
      <c r="F165" s="34" t="str">
        <f>+IF('Fiche info'!$CJ$9=0,"",'Fiche info'!$CJ$9)</f>
        <v/>
      </c>
      <c r="G165" s="16">
        <f t="shared" si="47"/>
        <v>0</v>
      </c>
      <c r="BX165" s="16" t="str">
        <f t="shared" si="48"/>
        <v>Fiche infoH3</v>
      </c>
      <c r="BY165" s="431">
        <f>'Fiche info'!CA9</f>
        <v>0</v>
      </c>
      <c r="BZ165" s="431">
        <f>'Fiche info'!CB9</f>
        <v>0</v>
      </c>
      <c r="CA165" s="431">
        <f>'Fiche info'!CC9</f>
        <v>0</v>
      </c>
      <c r="CB165" s="431">
        <f>'Fiche info'!CD9</f>
        <v>0</v>
      </c>
      <c r="CC165" s="431">
        <f>'Fiche info'!CE9</f>
        <v>0</v>
      </c>
      <c r="CD165" s="431">
        <f>'Fiche info'!CF9</f>
        <v>0</v>
      </c>
      <c r="CE165" s="431">
        <f>'Fiche info'!CG9</f>
        <v>0</v>
      </c>
      <c r="CF165" s="431">
        <f>'Fiche info'!CH9</f>
        <v>0</v>
      </c>
      <c r="ED165" s="16" t="str">
        <f t="shared" si="40"/>
        <v>Fiche infoH</v>
      </c>
      <c r="EE165" s="16" t="str">
        <f t="shared" si="42"/>
        <v>Fiche info</v>
      </c>
      <c r="EF165" s="16" t="str">
        <f t="shared" si="43"/>
        <v>H</v>
      </c>
      <c r="EG165" s="16">
        <f t="shared" si="44"/>
        <v>3</v>
      </c>
      <c r="EH165" s="16" t="str">
        <f t="shared" si="45"/>
        <v>Mercredi</v>
      </c>
      <c r="EI165" s="16" t="str">
        <f t="shared" si="46"/>
        <v/>
      </c>
      <c r="FB165" s="16" t="str">
        <f t="shared" si="49"/>
        <v/>
      </c>
      <c r="FC165" s="16" t="str">
        <f t="shared" si="50"/>
        <v/>
      </c>
      <c r="FD165" s="30">
        <f t="shared" si="41"/>
        <v>45139</v>
      </c>
      <c r="FE165" s="30" t="str">
        <f>+IFERROR(VLOOKUP(FD165,BDD,83,FALSE),"")</f>
        <v/>
      </c>
      <c r="FF165" s="30" t="str">
        <f>+IFERROR(VLOOKUP(FD165,BDD,84,FALSE),"")</f>
        <v/>
      </c>
      <c r="FG165" s="30" t="str">
        <f>+IFERROR(VLOOKUP(FD165,BDD,85,FALSE),"")</f>
        <v/>
      </c>
      <c r="FH165" s="30" t="str">
        <f>+IFERROR(VLOOKUP(FD165,BDD,86,FALSE),"")</f>
        <v/>
      </c>
      <c r="FW165" s="16" t="str">
        <f>Juin!GB27</f>
        <v>242026</v>
      </c>
      <c r="FX165" s="16">
        <f>Juin!GC27</f>
        <v>0</v>
      </c>
      <c r="HI165" s="85">
        <f>+Juin!AB28</f>
        <v>46182</v>
      </c>
      <c r="HJ165" s="27" t="str">
        <f>+Juin!AD28</f>
        <v/>
      </c>
      <c r="HK165" s="16">
        <f t="shared" si="51"/>
        <v>0</v>
      </c>
      <c r="HL165" s="16" t="str">
        <f>IF(AND(HI165&gt;=DATE(Identification!$B$60,5,1),HI165&lt;=DATE(Identification!$B$60,10,31),SUM(HK165:HK179)=12),"OUI","")</f>
        <v/>
      </c>
    </row>
    <row r="166" spans="1:220" x14ac:dyDescent="0.2">
      <c r="A166" s="16" t="str">
        <f t="shared" si="38"/>
        <v>Fiche infoH4</v>
      </c>
      <c r="B166" s="16" t="str">
        <f t="shared" si="39"/>
        <v>Fiche info</v>
      </c>
      <c r="C166" s="27" t="s">
        <v>237</v>
      </c>
      <c r="D166" s="27">
        <v>4</v>
      </c>
      <c r="E166" s="16" t="s">
        <v>20</v>
      </c>
      <c r="F166" s="34" t="str">
        <f>+IF('Fiche info'!$CJ$10=0,"",'Fiche info'!$CJ$10)</f>
        <v/>
      </c>
      <c r="G166" s="16">
        <f t="shared" si="47"/>
        <v>0</v>
      </c>
      <c r="BX166" s="16" t="str">
        <f t="shared" si="48"/>
        <v>Fiche infoH4</v>
      </c>
      <c r="BY166" s="431">
        <f>'Fiche info'!CA10</f>
        <v>0</v>
      </c>
      <c r="BZ166" s="431">
        <f>'Fiche info'!CB10</f>
        <v>0</v>
      </c>
      <c r="CA166" s="431">
        <f>'Fiche info'!CC10</f>
        <v>0</v>
      </c>
      <c r="CB166" s="431">
        <f>'Fiche info'!CD10</f>
        <v>0</v>
      </c>
      <c r="CC166" s="431">
        <f>'Fiche info'!CE10</f>
        <v>0</v>
      </c>
      <c r="CD166" s="431">
        <f>'Fiche info'!CF10</f>
        <v>0</v>
      </c>
      <c r="CE166" s="431">
        <f>'Fiche info'!CG10</f>
        <v>0</v>
      </c>
      <c r="CF166" s="431">
        <f>'Fiche info'!CH10</f>
        <v>0</v>
      </c>
      <c r="ED166" s="16" t="str">
        <f t="shared" si="40"/>
        <v>Fiche infoH</v>
      </c>
      <c r="EE166" s="16" t="str">
        <f t="shared" si="42"/>
        <v>Fiche info</v>
      </c>
      <c r="EF166" s="16" t="str">
        <f t="shared" si="43"/>
        <v>H</v>
      </c>
      <c r="EG166" s="16">
        <f t="shared" si="44"/>
        <v>4</v>
      </c>
      <c r="EH166" s="16" t="str">
        <f t="shared" si="45"/>
        <v>Jeudi</v>
      </c>
      <c r="EI166" s="16" t="str">
        <f t="shared" si="46"/>
        <v/>
      </c>
      <c r="FB166" s="16" t="str">
        <f t="shared" si="49"/>
        <v/>
      </c>
      <c r="FC166" s="16" t="str">
        <f t="shared" si="50"/>
        <v/>
      </c>
      <c r="FD166" s="30">
        <f t="shared" si="41"/>
        <v>45108</v>
      </c>
      <c r="FE166" s="30" t="str">
        <f>+IFERROR(VLOOKUP(FD166,BDD,71,FALSE),"")</f>
        <v/>
      </c>
      <c r="FF166" s="30" t="str">
        <f>IFERROR(+VLOOKUP(FD166,BDD,72,FALSE),"")</f>
        <v/>
      </c>
      <c r="FG166" s="30" t="str">
        <f>+IFERROR(VLOOKUP(FD166,BDD,73,FALSE),"")</f>
        <v/>
      </c>
      <c r="FH166" s="30" t="str">
        <f>+IFERROR(VLOOKUP(FD166,BDD,74,FALSE),"")</f>
        <v/>
      </c>
      <c r="FW166" s="16" t="str">
        <f>Juin!GB28</f>
        <v>242026</v>
      </c>
      <c r="FX166" s="16">
        <f>Juin!GC28</f>
        <v>0</v>
      </c>
      <c r="HI166" s="85">
        <f>+Juin!AB29</f>
        <v>46183</v>
      </c>
      <c r="HJ166" s="27" t="str">
        <f>+Juin!AD29</f>
        <v/>
      </c>
      <c r="HK166" s="16">
        <f t="shared" si="51"/>
        <v>0</v>
      </c>
      <c r="HL166" s="16" t="str">
        <f>IF(AND(HI166&gt;=DATE(Identification!$B$60,5,1),HI166&lt;=DATE(Identification!$B$60,10,31),SUM(HK166:HK180)=12),"OUI","")</f>
        <v/>
      </c>
    </row>
    <row r="167" spans="1:220" x14ac:dyDescent="0.2">
      <c r="A167" s="16" t="str">
        <f t="shared" si="38"/>
        <v>Fiche infoH5</v>
      </c>
      <c r="B167" s="16" t="str">
        <f t="shared" si="39"/>
        <v>Fiche info</v>
      </c>
      <c r="C167" s="27" t="s">
        <v>237</v>
      </c>
      <c r="D167" s="27">
        <v>5</v>
      </c>
      <c r="E167" s="16" t="s">
        <v>21</v>
      </c>
      <c r="F167" s="34" t="str">
        <f>+IF('Fiche info'!$CJ$11=0,"",'Fiche info'!$CJ$11)</f>
        <v/>
      </c>
      <c r="G167" s="16">
        <f t="shared" si="47"/>
        <v>0</v>
      </c>
      <c r="BX167" s="16" t="str">
        <f t="shared" si="48"/>
        <v>Fiche infoH5</v>
      </c>
      <c r="BY167" s="431">
        <f>'Fiche info'!CA11</f>
        <v>0</v>
      </c>
      <c r="BZ167" s="431">
        <f>'Fiche info'!CB11</f>
        <v>0</v>
      </c>
      <c r="CA167" s="431">
        <f>'Fiche info'!CC11</f>
        <v>0</v>
      </c>
      <c r="CB167" s="431">
        <f>'Fiche info'!CD11</f>
        <v>0</v>
      </c>
      <c r="CC167" s="431">
        <f>'Fiche info'!CE11</f>
        <v>0</v>
      </c>
      <c r="CD167" s="431">
        <f>'Fiche info'!CF11</f>
        <v>0</v>
      </c>
      <c r="CE167" s="431">
        <f>'Fiche info'!CG11</f>
        <v>0</v>
      </c>
      <c r="CF167" s="431">
        <f>'Fiche info'!CH11</f>
        <v>0</v>
      </c>
      <c r="ED167" s="16" t="str">
        <f t="shared" si="40"/>
        <v>Fiche infoH</v>
      </c>
      <c r="EE167" s="16" t="str">
        <f t="shared" si="42"/>
        <v>Fiche info</v>
      </c>
      <c r="EF167" s="16" t="str">
        <f t="shared" si="43"/>
        <v>H</v>
      </c>
      <c r="EG167" s="16">
        <f t="shared" si="44"/>
        <v>5</v>
      </c>
      <c r="EH167" s="16" t="str">
        <f t="shared" si="45"/>
        <v>Vendredi</v>
      </c>
      <c r="EI167" s="16" t="str">
        <f t="shared" si="46"/>
        <v/>
      </c>
      <c r="FB167" s="16" t="str">
        <f t="shared" si="49"/>
        <v/>
      </c>
      <c r="FC167" s="16" t="str">
        <f t="shared" si="50"/>
        <v/>
      </c>
      <c r="FD167" s="30">
        <f t="shared" si="41"/>
        <v>45108</v>
      </c>
      <c r="FE167" s="30" t="str">
        <f>+IFERROR(VLOOKUP(FD167,BDD,75,FALSE),"")</f>
        <v/>
      </c>
      <c r="FF167" s="30" t="str">
        <f>+IFERROR(VLOOKUP(FD167,BDD,76,FALSE),"")</f>
        <v/>
      </c>
      <c r="FG167" s="30" t="str">
        <f>IFERROR(+VLOOKUP(FD167,BDD,77,FALSE),"")</f>
        <v/>
      </c>
      <c r="FH167" s="30" t="str">
        <f>+IFERROR(VLOOKUP(FD167,BDD,78,FALSE),"")</f>
        <v/>
      </c>
      <c r="FW167" s="16" t="str">
        <f>Juin!GB29</f>
        <v>242026</v>
      </c>
      <c r="FX167" s="16">
        <f>Juin!GC29</f>
        <v>0</v>
      </c>
      <c r="HI167" s="85">
        <f>+Juin!AB30</f>
        <v>46184</v>
      </c>
      <c r="HJ167" s="27" t="str">
        <f>+Juin!AD30</f>
        <v/>
      </c>
      <c r="HK167" s="16">
        <f t="shared" si="51"/>
        <v>0</v>
      </c>
      <c r="HL167" s="16" t="str">
        <f>IF(AND(HI167&gt;=DATE(Identification!$B$60,5,1),HI167&lt;=DATE(Identification!$B$60,10,31),SUM(HK167:HK181)=12),"OUI","")</f>
        <v/>
      </c>
    </row>
    <row r="168" spans="1:220" x14ac:dyDescent="0.2">
      <c r="A168" s="16" t="str">
        <f t="shared" si="38"/>
        <v>Fiche infoH6</v>
      </c>
      <c r="B168" s="16" t="str">
        <f t="shared" si="39"/>
        <v>Fiche info</v>
      </c>
      <c r="C168" s="27" t="s">
        <v>237</v>
      </c>
      <c r="D168" s="27">
        <v>6</v>
      </c>
      <c r="E168" s="16" t="s">
        <v>184</v>
      </c>
      <c r="F168" s="34" t="str">
        <f>+IF('Fiche info'!$CJ$12=0,"",'Fiche info'!$CJ$12)</f>
        <v/>
      </c>
      <c r="G168" s="16">
        <f t="shared" si="47"/>
        <v>0</v>
      </c>
      <c r="BX168" s="16" t="str">
        <f t="shared" si="48"/>
        <v>Fiche infoH6</v>
      </c>
      <c r="BY168" s="431">
        <f>'Fiche info'!CA12</f>
        <v>0</v>
      </c>
      <c r="BZ168" s="431">
        <f>'Fiche info'!CB12</f>
        <v>0</v>
      </c>
      <c r="CA168" s="431">
        <f>'Fiche info'!CC12</f>
        <v>0</v>
      </c>
      <c r="CB168" s="431">
        <f>'Fiche info'!CD12</f>
        <v>0</v>
      </c>
      <c r="CC168" s="431">
        <f>'Fiche info'!CE12</f>
        <v>0</v>
      </c>
      <c r="CD168" s="431">
        <f>'Fiche info'!CF12</f>
        <v>0</v>
      </c>
      <c r="CE168" s="431">
        <f>'Fiche info'!CG12</f>
        <v>0</v>
      </c>
      <c r="CF168" s="431">
        <f>'Fiche info'!CH12</f>
        <v>0</v>
      </c>
      <c r="ED168" s="16" t="str">
        <f t="shared" si="40"/>
        <v>Fiche infoH</v>
      </c>
      <c r="EE168" s="16" t="str">
        <f t="shared" si="42"/>
        <v>Fiche info</v>
      </c>
      <c r="EF168" s="16" t="str">
        <f t="shared" si="43"/>
        <v>H</v>
      </c>
      <c r="EG168" s="16">
        <f t="shared" si="44"/>
        <v>6</v>
      </c>
      <c r="EH168" s="16" t="str">
        <f t="shared" si="45"/>
        <v>Samedi</v>
      </c>
      <c r="EI168" s="16" t="str">
        <f t="shared" si="46"/>
        <v/>
      </c>
      <c r="FB168" s="16" t="str">
        <f t="shared" si="49"/>
        <v/>
      </c>
      <c r="FC168" s="16" t="str">
        <f t="shared" si="50"/>
        <v/>
      </c>
      <c r="FD168" s="30">
        <f t="shared" si="41"/>
        <v>45108</v>
      </c>
      <c r="FE168" s="30" t="str">
        <f>+IFERROR(VLOOKUP(FD168,BDD,79,FALSE),"")</f>
        <v/>
      </c>
      <c r="FF168" s="30" t="str">
        <f>IFERROR(+VLOOKUP(FD168,BDD,80,FALSE),"")</f>
        <v/>
      </c>
      <c r="FG168" s="30" t="str">
        <f>+IFERROR(VLOOKUP(FD168,BDD,81,FALSE),"")</f>
        <v/>
      </c>
      <c r="FH168" s="30" t="str">
        <f>+IFERROR(VLOOKUP(FD168,BDD,82,FALSE),"")</f>
        <v/>
      </c>
      <c r="FW168" s="16" t="str">
        <f>Juin!GB30</f>
        <v>242026</v>
      </c>
      <c r="FX168" s="16">
        <f>Juin!GC30</f>
        <v>0</v>
      </c>
      <c r="HI168" s="85">
        <f>+Juin!AB31</f>
        <v>46185</v>
      </c>
      <c r="HJ168" s="27" t="str">
        <f>+Juin!AD31</f>
        <v/>
      </c>
      <c r="HK168" s="16">
        <f t="shared" si="51"/>
        <v>0</v>
      </c>
      <c r="HL168" s="16" t="str">
        <f>IF(AND(HI168&gt;=DATE(Identification!$B$60,5,1),HI168&lt;=DATE(Identification!$B$60,10,31),SUM(HK168:HK182)=12),"OUI","")</f>
        <v/>
      </c>
    </row>
    <row r="169" spans="1:220" x14ac:dyDescent="0.2">
      <c r="A169" s="16" t="str">
        <f t="shared" si="38"/>
        <v>Fiche infoH7</v>
      </c>
      <c r="B169" s="16" t="str">
        <f t="shared" si="39"/>
        <v>Fiche info</v>
      </c>
      <c r="C169" s="27" t="s">
        <v>237</v>
      </c>
      <c r="D169" s="27">
        <v>7</v>
      </c>
      <c r="E169" s="16" t="s">
        <v>185</v>
      </c>
      <c r="F169" s="34" t="str">
        <f>+IF('Fiche info'!$CJ$13=0,"",'Fiche info'!$CJ$13)</f>
        <v/>
      </c>
      <c r="G169" s="16">
        <f t="shared" si="47"/>
        <v>0</v>
      </c>
      <c r="BX169" s="16" t="str">
        <f t="shared" si="48"/>
        <v>Fiche infoH7</v>
      </c>
      <c r="BY169" s="431">
        <f>'Fiche info'!CA13</f>
        <v>0</v>
      </c>
      <c r="BZ169" s="431">
        <f>'Fiche info'!CB13</f>
        <v>0</v>
      </c>
      <c r="CA169" s="431">
        <f>'Fiche info'!CC13</f>
        <v>0</v>
      </c>
      <c r="CB169" s="431">
        <f>'Fiche info'!CD13</f>
        <v>0</v>
      </c>
      <c r="CC169" s="431">
        <f>'Fiche info'!CE13</f>
        <v>0</v>
      </c>
      <c r="CD169" s="431">
        <f>'Fiche info'!CF13</f>
        <v>0</v>
      </c>
      <c r="CE169" s="431">
        <f>'Fiche info'!CG13</f>
        <v>0</v>
      </c>
      <c r="CF169" s="431">
        <f>'Fiche info'!CH13</f>
        <v>0</v>
      </c>
      <c r="ED169" s="16" t="str">
        <f t="shared" si="40"/>
        <v>Fiche infoH</v>
      </c>
      <c r="EE169" s="16" t="str">
        <f t="shared" si="42"/>
        <v>Fiche info</v>
      </c>
      <c r="EF169" s="16" t="str">
        <f t="shared" si="43"/>
        <v>H</v>
      </c>
      <c r="EG169" s="16">
        <f t="shared" si="44"/>
        <v>7</v>
      </c>
      <c r="EH169" s="16" t="str">
        <f t="shared" si="45"/>
        <v>Dimanche</v>
      </c>
      <c r="EI169" s="16" t="str">
        <f t="shared" si="46"/>
        <v/>
      </c>
      <c r="FB169" s="16" t="str">
        <f t="shared" si="49"/>
        <v/>
      </c>
      <c r="FC169" s="16" t="str">
        <f t="shared" si="50"/>
        <v/>
      </c>
      <c r="FD169" s="30">
        <f t="shared" si="41"/>
        <v>45108</v>
      </c>
      <c r="FE169" s="30" t="str">
        <f>+IFERROR(VLOOKUP(FD169,BDD,83,FALSE),"")</f>
        <v/>
      </c>
      <c r="FF169" s="30" t="str">
        <f>+IFERROR(VLOOKUP(FD169,BDD,84,FALSE),"")</f>
        <v/>
      </c>
      <c r="FG169" s="30" t="str">
        <f>+IFERROR(VLOOKUP(FD169,BDD,85,FALSE),"")</f>
        <v/>
      </c>
      <c r="FH169" s="30" t="str">
        <f>+IFERROR(VLOOKUP(FD169,BDD,86,FALSE),"")</f>
        <v/>
      </c>
      <c r="FW169" s="16" t="str">
        <f>Juin!GB31</f>
        <v>242026</v>
      </c>
      <c r="FX169" s="16">
        <f>Juin!GC31</f>
        <v>0</v>
      </c>
      <c r="HI169" s="85">
        <f>+Juin!AB32</f>
        <v>46186</v>
      </c>
      <c r="HJ169" s="27" t="str">
        <f>+Juin!AD32</f>
        <v/>
      </c>
      <c r="HK169" s="16">
        <f t="shared" si="51"/>
        <v>0</v>
      </c>
      <c r="HL169" s="16" t="str">
        <f>IF(AND(HI169&gt;=DATE(Identification!$B$60,5,1),HI169&lt;=DATE(Identification!$B$60,10,31),SUM(HK169:HK183)=12),"OUI","")</f>
        <v/>
      </c>
    </row>
    <row r="170" spans="1:220" x14ac:dyDescent="0.2">
      <c r="A170" s="16" t="str">
        <f>+B170&amp;C170&amp;D170</f>
        <v>Fiche info Avenant 1A1</v>
      </c>
      <c r="B170" s="16" t="str">
        <f>+$P$5</f>
        <v>Fiche info Avenant 1</v>
      </c>
      <c r="C170" s="27" t="s">
        <v>226</v>
      </c>
      <c r="D170" s="27">
        <v>1</v>
      </c>
      <c r="E170" s="16" t="s">
        <v>17</v>
      </c>
      <c r="F170" s="34" t="str">
        <f>IF('Fiche info Avenant 1'!$K$7=0,"",'Fiche info Avenant 1'!$K$7)</f>
        <v/>
      </c>
      <c r="G170" s="16">
        <f t="shared" si="47"/>
        <v>0</v>
      </c>
      <c r="BX170" s="16" t="str">
        <f t="shared" si="48"/>
        <v>Fiche info Avenant 1A1</v>
      </c>
      <c r="BY170" s="431">
        <f>'Fiche info Avenant 1'!$B$7</f>
        <v>0</v>
      </c>
      <c r="BZ170" s="431">
        <f>'Fiche info Avenant 1'!$C$7</f>
        <v>0</v>
      </c>
      <c r="CA170" s="431">
        <f>'Fiche info Avenant 1'!$D$7</f>
        <v>0</v>
      </c>
      <c r="CB170" s="431">
        <f>'Fiche info Avenant 1'!$E$7</f>
        <v>0</v>
      </c>
      <c r="CC170" s="431">
        <f>'Fiche info Avenant 1'!$F$7</f>
        <v>0</v>
      </c>
      <c r="CD170" s="431">
        <f>'Fiche info Avenant 1'!$G$7</f>
        <v>0</v>
      </c>
      <c r="CE170" s="431">
        <f>'Fiche info Avenant 1'!$H$7</f>
        <v>0</v>
      </c>
      <c r="CF170" s="431">
        <f>'Fiche info Avenant 1'!$I$7</f>
        <v>0</v>
      </c>
      <c r="ED170" s="16" t="str">
        <f t="shared" si="40"/>
        <v>Fiche info Avenant 1A</v>
      </c>
      <c r="EE170" s="16" t="str">
        <f t="shared" si="42"/>
        <v>Fiche info Avenant 1</v>
      </c>
      <c r="EF170" s="16" t="str">
        <f t="shared" si="43"/>
        <v>A</v>
      </c>
      <c r="EG170" s="16">
        <f t="shared" si="44"/>
        <v>1</v>
      </c>
      <c r="EH170" s="16" t="str">
        <f t="shared" si="45"/>
        <v>Lundi</v>
      </c>
      <c r="EI170" s="16" t="str">
        <f t="shared" si="46"/>
        <v/>
      </c>
      <c r="FB170" s="16" t="str">
        <f t="shared" si="49"/>
        <v/>
      </c>
      <c r="FC170" s="16" t="str">
        <f t="shared" si="50"/>
        <v/>
      </c>
      <c r="FD170" s="30">
        <f t="shared" si="41"/>
        <v>45078</v>
      </c>
      <c r="FE170" s="30" t="str">
        <f>+IFERROR(VLOOKUP(FD170,BDD,71,FALSE),"")</f>
        <v/>
      </c>
      <c r="FF170" s="30" t="str">
        <f>IFERROR(+VLOOKUP(FD170,BDD,72,FALSE),"")</f>
        <v/>
      </c>
      <c r="FG170" s="30" t="str">
        <f>+IFERROR(VLOOKUP(FD170,BDD,73,FALSE),"")</f>
        <v/>
      </c>
      <c r="FH170" s="30" t="str">
        <f>+IFERROR(VLOOKUP(FD170,BDD,74,FALSE),"")</f>
        <v/>
      </c>
      <c r="FW170" s="16" t="str">
        <f>Juin!GB32</f>
        <v>242026</v>
      </c>
      <c r="FX170" s="16">
        <f>Juin!GC32</f>
        <v>0</v>
      </c>
      <c r="HI170" s="85">
        <f>+Juin!AB33</f>
        <v>46187</v>
      </c>
      <c r="HJ170" s="27" t="str">
        <f>+Juin!AD33</f>
        <v/>
      </c>
      <c r="HK170" s="16">
        <f t="shared" si="51"/>
        <v>0</v>
      </c>
      <c r="HL170" s="16" t="str">
        <f>IF(AND(HI170&gt;=DATE(Identification!$B$60,5,1),HI170&lt;=DATE(Identification!$B$60,10,31),SUM(HK170:HK184)=12),"OUI","")</f>
        <v/>
      </c>
    </row>
    <row r="171" spans="1:220" x14ac:dyDescent="0.2">
      <c r="A171" s="16" t="str">
        <f t="shared" ref="A171:A234" si="52">+B171&amp;C171&amp;D171</f>
        <v>Fiche info Avenant 1A2</v>
      </c>
      <c r="B171" s="16" t="str">
        <f t="shared" ref="B171:B225" si="53">+$P$5</f>
        <v>Fiche info Avenant 1</v>
      </c>
      <c r="C171" s="27" t="s">
        <v>226</v>
      </c>
      <c r="D171" s="27">
        <v>2</v>
      </c>
      <c r="E171" s="16" t="s">
        <v>18</v>
      </c>
      <c r="F171" s="34" t="str">
        <f>IF('Fiche info Avenant 1'!$K$8=0,"",'Fiche info Avenant 1'!$K$8)</f>
        <v/>
      </c>
      <c r="G171" s="16">
        <f t="shared" si="47"/>
        <v>0</v>
      </c>
      <c r="BX171" s="16" t="str">
        <f t="shared" si="48"/>
        <v>Fiche info Avenant 1A2</v>
      </c>
      <c r="BY171" s="431">
        <f>'Fiche info Avenant 1'!$B$8</f>
        <v>0</v>
      </c>
      <c r="BZ171" s="431">
        <f>'Fiche info Avenant 1'!$C$8</f>
        <v>0</v>
      </c>
      <c r="CA171" s="431">
        <f>'Fiche info Avenant 1'!$D$8</f>
        <v>0</v>
      </c>
      <c r="CB171" s="431">
        <f>'Fiche info Avenant 1'!$E$8</f>
        <v>0</v>
      </c>
      <c r="CC171" s="431">
        <f>'Fiche info Avenant 1'!$F$8</f>
        <v>0</v>
      </c>
      <c r="CD171" s="431">
        <f>'Fiche info Avenant 1'!$G$8</f>
        <v>0</v>
      </c>
      <c r="CE171" s="431">
        <f>'Fiche info Avenant 1'!$H$8</f>
        <v>0</v>
      </c>
      <c r="CF171" s="431">
        <f>'Fiche info Avenant 1'!$I$8</f>
        <v>0</v>
      </c>
      <c r="ED171" s="16" t="str">
        <f t="shared" si="40"/>
        <v>Fiche info Avenant 1A</v>
      </c>
      <c r="EE171" s="16" t="str">
        <f t="shared" si="42"/>
        <v>Fiche info Avenant 1</v>
      </c>
      <c r="EF171" s="16" t="str">
        <f t="shared" si="43"/>
        <v>A</v>
      </c>
      <c r="EG171" s="16">
        <f t="shared" si="44"/>
        <v>2</v>
      </c>
      <c r="EH171" s="16" t="str">
        <f t="shared" si="45"/>
        <v>Mardi</v>
      </c>
      <c r="EI171" s="16" t="str">
        <f t="shared" si="46"/>
        <v/>
      </c>
      <c r="FB171" s="16" t="str">
        <f t="shared" si="49"/>
        <v/>
      </c>
      <c r="FC171" s="16" t="str">
        <f t="shared" si="50"/>
        <v/>
      </c>
      <c r="FD171" s="30">
        <f t="shared" si="41"/>
        <v>45078</v>
      </c>
      <c r="FE171" s="30" t="str">
        <f>+IFERROR(VLOOKUP(FD171,BDD,75,FALSE),"")</f>
        <v/>
      </c>
      <c r="FF171" s="30" t="str">
        <f>+IFERROR(VLOOKUP(FD171,BDD,76,FALSE),"")</f>
        <v/>
      </c>
      <c r="FG171" s="30" t="str">
        <f>IFERROR(+VLOOKUP(FD171,BDD,77,FALSE),"")</f>
        <v/>
      </c>
      <c r="FH171" s="30" t="str">
        <f>+IFERROR(VLOOKUP(FD171,BDD,78,FALSE),"")</f>
        <v/>
      </c>
      <c r="FW171" s="16" t="str">
        <f>Juin!GB33</f>
        <v>242026</v>
      </c>
      <c r="FX171" s="16">
        <f>Juin!GC33</f>
        <v>0</v>
      </c>
      <c r="HI171" s="85">
        <f>+Juin!AB34</f>
        <v>46188</v>
      </c>
      <c r="HJ171" s="27" t="str">
        <f>+Juin!AD34</f>
        <v/>
      </c>
      <c r="HK171" s="16">
        <f t="shared" si="51"/>
        <v>0</v>
      </c>
      <c r="HL171" s="16" t="str">
        <f>IF(AND(HI171&gt;=DATE(Identification!$B$60,5,1),HI171&lt;=DATE(Identification!$B$60,10,31),SUM(HK171:HK185)=12),"OUI","")</f>
        <v/>
      </c>
    </row>
    <row r="172" spans="1:220" x14ac:dyDescent="0.2">
      <c r="A172" s="16" t="str">
        <f t="shared" si="52"/>
        <v>Fiche info Avenant 1A3</v>
      </c>
      <c r="B172" s="16" t="str">
        <f t="shared" si="53"/>
        <v>Fiche info Avenant 1</v>
      </c>
      <c r="C172" s="27" t="s">
        <v>226</v>
      </c>
      <c r="D172" s="27">
        <v>3</v>
      </c>
      <c r="E172" s="16" t="s">
        <v>19</v>
      </c>
      <c r="F172" s="34" t="str">
        <f>IF('Fiche info Avenant 1'!$K$9=0,"",'Fiche info Avenant 1'!$K$9)</f>
        <v/>
      </c>
      <c r="G172" s="16">
        <f t="shared" si="47"/>
        <v>0</v>
      </c>
      <c r="BX172" s="16" t="str">
        <f t="shared" si="48"/>
        <v>Fiche info Avenant 1A3</v>
      </c>
      <c r="BY172" s="431">
        <f>'Fiche info Avenant 1'!$B$9</f>
        <v>0</v>
      </c>
      <c r="BZ172" s="431">
        <f>'Fiche info Avenant 1'!$C$9</f>
        <v>0</v>
      </c>
      <c r="CA172" s="431">
        <f>'Fiche info Avenant 1'!$D$9</f>
        <v>0</v>
      </c>
      <c r="CB172" s="431">
        <f>'Fiche info Avenant 1'!$E$9</f>
        <v>0</v>
      </c>
      <c r="CC172" s="431">
        <f>'Fiche info Avenant 1'!$F$9</f>
        <v>0</v>
      </c>
      <c r="CD172" s="431">
        <f>'Fiche info Avenant 1'!$G$9</f>
        <v>0</v>
      </c>
      <c r="CE172" s="431">
        <f>'Fiche info Avenant 1'!$H$9</f>
        <v>0</v>
      </c>
      <c r="CF172" s="431">
        <f>'Fiche info Avenant 1'!$I$9</f>
        <v>0</v>
      </c>
      <c r="ED172" s="16" t="str">
        <f t="shared" si="40"/>
        <v>Fiche info Avenant 1A</v>
      </c>
      <c r="EE172" s="16" t="str">
        <f t="shared" si="42"/>
        <v>Fiche info Avenant 1</v>
      </c>
      <c r="EF172" s="16" t="str">
        <f t="shared" si="43"/>
        <v>A</v>
      </c>
      <c r="EG172" s="16">
        <f t="shared" si="44"/>
        <v>3</v>
      </c>
      <c r="EH172" s="16" t="str">
        <f t="shared" si="45"/>
        <v>Mercredi</v>
      </c>
      <c r="EI172" s="16" t="str">
        <f t="shared" si="46"/>
        <v/>
      </c>
      <c r="FB172" s="16" t="str">
        <f t="shared" si="49"/>
        <v/>
      </c>
      <c r="FC172" s="16" t="str">
        <f t="shared" si="50"/>
        <v/>
      </c>
      <c r="FD172" s="30">
        <f t="shared" si="41"/>
        <v>45078</v>
      </c>
      <c r="FE172" s="30" t="str">
        <f>+IFERROR(VLOOKUP(FD172,BDD,79,FALSE),"")</f>
        <v/>
      </c>
      <c r="FF172" s="30" t="str">
        <f>IFERROR(+VLOOKUP(FD172,BDD,80,FALSE),"")</f>
        <v/>
      </c>
      <c r="FG172" s="30" t="str">
        <f>+IFERROR(VLOOKUP(FD172,BDD,81,FALSE),"")</f>
        <v/>
      </c>
      <c r="FH172" s="30" t="str">
        <f>+IFERROR(VLOOKUP(FD172,BDD,82,FALSE),"")</f>
        <v/>
      </c>
      <c r="FW172" s="16" t="str">
        <f>Juin!GB34</f>
        <v>252026</v>
      </c>
      <c r="FX172" s="16">
        <f>Juin!GC34</f>
        <v>0</v>
      </c>
      <c r="HI172" s="85">
        <f>+Juin!AB35</f>
        <v>46189</v>
      </c>
      <c r="HJ172" s="27" t="str">
        <f>+Juin!AD35</f>
        <v/>
      </c>
      <c r="HK172" s="16">
        <f t="shared" si="51"/>
        <v>0</v>
      </c>
      <c r="HL172" s="16" t="str">
        <f>IF(AND(HI172&gt;=DATE(Identification!$B$60,5,1),HI172&lt;=DATE(Identification!$B$60,10,31),SUM(HK172:HK186)=12),"OUI","")</f>
        <v/>
      </c>
    </row>
    <row r="173" spans="1:220" x14ac:dyDescent="0.2">
      <c r="A173" s="16" t="str">
        <f t="shared" si="52"/>
        <v>Fiche info Avenant 1A4</v>
      </c>
      <c r="B173" s="16" t="str">
        <f t="shared" si="53"/>
        <v>Fiche info Avenant 1</v>
      </c>
      <c r="C173" s="27" t="s">
        <v>226</v>
      </c>
      <c r="D173" s="27">
        <v>4</v>
      </c>
      <c r="E173" s="16" t="s">
        <v>20</v>
      </c>
      <c r="F173" s="34" t="str">
        <f>IF('Fiche info Avenant 1'!$K$10=0,"",'Fiche info Avenant 1'!$K$10)</f>
        <v/>
      </c>
      <c r="G173" s="16">
        <f t="shared" si="47"/>
        <v>0</v>
      </c>
      <c r="BX173" s="16" t="str">
        <f t="shared" si="48"/>
        <v>Fiche info Avenant 1A4</v>
      </c>
      <c r="BY173" s="431">
        <f>'Fiche info Avenant 1'!$B$10</f>
        <v>0</v>
      </c>
      <c r="BZ173" s="431">
        <f>'Fiche info Avenant 1'!$C$10</f>
        <v>0</v>
      </c>
      <c r="CA173" s="431">
        <f>'Fiche info Avenant 1'!$D$10</f>
        <v>0</v>
      </c>
      <c r="CB173" s="431">
        <f>'Fiche info Avenant 1'!$E$10</f>
        <v>0</v>
      </c>
      <c r="CC173" s="431">
        <f>'Fiche info Avenant 1'!$F$10</f>
        <v>0</v>
      </c>
      <c r="CD173" s="431">
        <f>'Fiche info Avenant 1'!$G$10</f>
        <v>0</v>
      </c>
      <c r="CE173" s="431">
        <f>'Fiche info Avenant 1'!$H$10</f>
        <v>0</v>
      </c>
      <c r="CF173" s="431">
        <f>'Fiche info Avenant 1'!$I$10</f>
        <v>0</v>
      </c>
      <c r="ED173" s="16" t="str">
        <f t="shared" si="40"/>
        <v>Fiche info Avenant 1A</v>
      </c>
      <c r="EE173" s="16" t="str">
        <f t="shared" si="42"/>
        <v>Fiche info Avenant 1</v>
      </c>
      <c r="EF173" s="16" t="str">
        <f t="shared" si="43"/>
        <v>A</v>
      </c>
      <c r="EG173" s="16">
        <f t="shared" si="44"/>
        <v>4</v>
      </c>
      <c r="EH173" s="16" t="str">
        <f t="shared" si="45"/>
        <v>Jeudi</v>
      </c>
      <c r="EI173" s="16" t="str">
        <f t="shared" si="46"/>
        <v/>
      </c>
      <c r="FB173" s="16" t="str">
        <f t="shared" si="49"/>
        <v/>
      </c>
      <c r="FC173" s="16" t="str">
        <f t="shared" si="50"/>
        <v/>
      </c>
      <c r="FD173" s="30">
        <f t="shared" si="41"/>
        <v>45078</v>
      </c>
      <c r="FE173" s="30" t="str">
        <f>+IFERROR(VLOOKUP(FD173,BDD,83,FALSE),"")</f>
        <v/>
      </c>
      <c r="FF173" s="30" t="str">
        <f>+IFERROR(VLOOKUP(FD173,BDD,84,FALSE),"")</f>
        <v/>
      </c>
      <c r="FG173" s="30" t="str">
        <f>+IFERROR(VLOOKUP(FD173,BDD,85,FALSE),"")</f>
        <v/>
      </c>
      <c r="FH173" s="30" t="str">
        <f>+IFERROR(VLOOKUP(FD173,BDD,86,FALSE),"")</f>
        <v/>
      </c>
      <c r="FW173" s="16" t="str">
        <f>Juin!GB35</f>
        <v>252026</v>
      </c>
      <c r="FX173" s="16">
        <f>Juin!GC35</f>
        <v>0</v>
      </c>
      <c r="HI173" s="85">
        <f>+Juin!AB36</f>
        <v>46190</v>
      </c>
      <c r="HJ173" s="27" t="str">
        <f>+Juin!AD36</f>
        <v/>
      </c>
      <c r="HK173" s="16">
        <f t="shared" si="51"/>
        <v>0</v>
      </c>
      <c r="HL173" s="16" t="str">
        <f>IF(AND(HI173&gt;=DATE(Identification!$B$60,5,1),HI173&lt;=DATE(Identification!$B$60,10,31),SUM(HK173:HK187)=12),"OUI","")</f>
        <v/>
      </c>
    </row>
    <row r="174" spans="1:220" x14ac:dyDescent="0.2">
      <c r="A174" s="16" t="str">
        <f t="shared" si="52"/>
        <v>Fiche info Avenant 1A5</v>
      </c>
      <c r="B174" s="16" t="str">
        <f t="shared" si="53"/>
        <v>Fiche info Avenant 1</v>
      </c>
      <c r="C174" s="27" t="s">
        <v>226</v>
      </c>
      <c r="D174" s="27">
        <v>5</v>
      </c>
      <c r="E174" s="16" t="s">
        <v>21</v>
      </c>
      <c r="F174" s="34" t="str">
        <f>IF('Fiche info Avenant 1'!$K$11=0,"",'Fiche info Avenant 1'!$K$11)</f>
        <v/>
      </c>
      <c r="G174" s="16">
        <f t="shared" si="47"/>
        <v>0</v>
      </c>
      <c r="BX174" s="16" t="str">
        <f t="shared" si="48"/>
        <v>Fiche info Avenant 1A5</v>
      </c>
      <c r="BY174" s="431">
        <f>'Fiche info Avenant 1'!$B$11</f>
        <v>0</v>
      </c>
      <c r="BZ174" s="431">
        <f>'Fiche info Avenant 1'!$C$11</f>
        <v>0</v>
      </c>
      <c r="CA174" s="431">
        <f>'Fiche info Avenant 1'!$D$11</f>
        <v>0</v>
      </c>
      <c r="CB174" s="431">
        <f>'Fiche info Avenant 1'!$E$11</f>
        <v>0</v>
      </c>
      <c r="CC174" s="431">
        <f>'Fiche info Avenant 1'!$F$11</f>
        <v>0</v>
      </c>
      <c r="CD174" s="431">
        <f>'Fiche info Avenant 1'!$G$11</f>
        <v>0</v>
      </c>
      <c r="CE174" s="431">
        <f>'Fiche info Avenant 1'!$H$11</f>
        <v>0</v>
      </c>
      <c r="CF174" s="431">
        <f>'Fiche info Avenant 1'!$I$11</f>
        <v>0</v>
      </c>
      <c r="ED174" s="16" t="str">
        <f t="shared" si="40"/>
        <v>Fiche info Avenant 1A</v>
      </c>
      <c r="EE174" s="16" t="str">
        <f t="shared" si="42"/>
        <v>Fiche info Avenant 1</v>
      </c>
      <c r="EF174" s="16" t="str">
        <f t="shared" si="43"/>
        <v>A</v>
      </c>
      <c r="EG174" s="16">
        <f t="shared" si="44"/>
        <v>5</v>
      </c>
      <c r="EH174" s="16" t="str">
        <f t="shared" si="45"/>
        <v>Vendredi</v>
      </c>
      <c r="EI174" s="16" t="str">
        <f t="shared" si="46"/>
        <v/>
      </c>
      <c r="FB174" s="16" t="str">
        <f t="shared" si="49"/>
        <v/>
      </c>
      <c r="FC174" s="16" t="str">
        <f t="shared" si="50"/>
        <v/>
      </c>
      <c r="FD174" s="30">
        <f t="shared" si="41"/>
        <v>45047</v>
      </c>
      <c r="FE174" s="30" t="str">
        <f>+IFERROR(VLOOKUP(FD174,BDD,71,FALSE),"")</f>
        <v/>
      </c>
      <c r="FF174" s="30" t="str">
        <f>IFERROR(+VLOOKUP(FD174,BDD,72,FALSE),"")</f>
        <v/>
      </c>
      <c r="FG174" s="30" t="str">
        <f>+IFERROR(VLOOKUP(FD174,BDD,73,FALSE),"")</f>
        <v/>
      </c>
      <c r="FH174" s="30" t="str">
        <f>+IFERROR(VLOOKUP(FD174,BDD,74,FALSE),"")</f>
        <v/>
      </c>
      <c r="FW174" s="16" t="str">
        <f>Juin!GB36</f>
        <v>252026</v>
      </c>
      <c r="FX174" s="16">
        <f>Juin!GC36</f>
        <v>0</v>
      </c>
      <c r="HI174" s="85">
        <f>+Juin!AB37</f>
        <v>46191</v>
      </c>
      <c r="HJ174" s="27" t="str">
        <f>+Juin!AD37</f>
        <v/>
      </c>
      <c r="HK174" s="16">
        <f t="shared" si="51"/>
        <v>0</v>
      </c>
      <c r="HL174" s="16" t="str">
        <f>IF(AND(HI174&gt;=DATE(Identification!$B$60,5,1),HI174&lt;=DATE(Identification!$B$60,10,31),SUM(HK174:HK188)=12),"OUI","")</f>
        <v/>
      </c>
    </row>
    <row r="175" spans="1:220" x14ac:dyDescent="0.2">
      <c r="A175" s="16" t="str">
        <f t="shared" si="52"/>
        <v>Fiche info Avenant 1A6</v>
      </c>
      <c r="B175" s="16" t="str">
        <f t="shared" si="53"/>
        <v>Fiche info Avenant 1</v>
      </c>
      <c r="C175" s="27" t="s">
        <v>226</v>
      </c>
      <c r="D175" s="27">
        <v>6</v>
      </c>
      <c r="E175" s="16" t="s">
        <v>184</v>
      </c>
      <c r="F175" s="34" t="str">
        <f>IF('Fiche info Avenant 1'!$K$12=0,"",'Fiche info Avenant 1'!$K$12)</f>
        <v/>
      </c>
      <c r="G175" s="16">
        <f t="shared" si="47"/>
        <v>0</v>
      </c>
      <c r="BX175" s="16" t="str">
        <f t="shared" si="48"/>
        <v>Fiche info Avenant 1A6</v>
      </c>
      <c r="BY175" s="431">
        <f>'Fiche info Avenant 1'!$B$12</f>
        <v>0</v>
      </c>
      <c r="BZ175" s="431">
        <f>'Fiche info Avenant 1'!$C$12</f>
        <v>0</v>
      </c>
      <c r="CA175" s="431">
        <f>'Fiche info Avenant 1'!$D$12</f>
        <v>0</v>
      </c>
      <c r="CB175" s="431">
        <f>'Fiche info Avenant 1'!$E$12</f>
        <v>0</v>
      </c>
      <c r="CC175" s="431">
        <f>'Fiche info Avenant 1'!$F$12</f>
        <v>0</v>
      </c>
      <c r="CD175" s="431">
        <f>'Fiche info Avenant 1'!$G$12</f>
        <v>0</v>
      </c>
      <c r="CE175" s="431">
        <f>'Fiche info Avenant 1'!$H$12</f>
        <v>0</v>
      </c>
      <c r="CF175" s="431">
        <f>'Fiche info Avenant 1'!$I$12</f>
        <v>0</v>
      </c>
      <c r="ED175" s="16" t="str">
        <f t="shared" si="40"/>
        <v>Fiche info Avenant 1A</v>
      </c>
      <c r="EE175" s="16" t="str">
        <f t="shared" si="42"/>
        <v>Fiche info Avenant 1</v>
      </c>
      <c r="EF175" s="16" t="str">
        <f t="shared" si="43"/>
        <v>A</v>
      </c>
      <c r="EG175" s="16">
        <f t="shared" si="44"/>
        <v>6</v>
      </c>
      <c r="EH175" s="16" t="str">
        <f t="shared" si="45"/>
        <v>Samedi</v>
      </c>
      <c r="EI175" s="16" t="str">
        <f t="shared" si="46"/>
        <v/>
      </c>
      <c r="FB175" s="16" t="str">
        <f t="shared" si="49"/>
        <v/>
      </c>
      <c r="FC175" s="16" t="str">
        <f t="shared" si="50"/>
        <v/>
      </c>
      <c r="FD175" s="30">
        <f t="shared" si="41"/>
        <v>45047</v>
      </c>
      <c r="FE175" s="30" t="str">
        <f>+IFERROR(VLOOKUP(FD175,BDD,75,FALSE),"")</f>
        <v/>
      </c>
      <c r="FF175" s="30" t="str">
        <f>+IFERROR(VLOOKUP(FD175,BDD,76,FALSE),"")</f>
        <v/>
      </c>
      <c r="FG175" s="30" t="str">
        <f>IFERROR(+VLOOKUP(FD175,BDD,77,FALSE),"")</f>
        <v/>
      </c>
      <c r="FH175" s="30" t="str">
        <f>+IFERROR(VLOOKUP(FD175,BDD,78,FALSE),"")</f>
        <v/>
      </c>
      <c r="FW175" s="16" t="str">
        <f>Juin!GB37</f>
        <v>252026</v>
      </c>
      <c r="FX175" s="16">
        <f>Juin!GC37</f>
        <v>0</v>
      </c>
      <c r="HI175" s="85">
        <f>+Juin!AB38</f>
        <v>46192</v>
      </c>
      <c r="HJ175" s="27" t="str">
        <f>+Juin!AD38</f>
        <v/>
      </c>
      <c r="HK175" s="16">
        <f t="shared" si="51"/>
        <v>0</v>
      </c>
      <c r="HL175" s="16" t="str">
        <f>IF(AND(HI175&gt;=DATE(Identification!$B$60,5,1),HI175&lt;=DATE(Identification!$B$60,10,31),SUM(HK175:HK189)=12),"OUI","")</f>
        <v/>
      </c>
    </row>
    <row r="176" spans="1:220" x14ac:dyDescent="0.2">
      <c r="A176" s="16" t="str">
        <f t="shared" si="52"/>
        <v>Fiche info Avenant 1A7</v>
      </c>
      <c r="B176" s="16" t="str">
        <f t="shared" si="53"/>
        <v>Fiche info Avenant 1</v>
      </c>
      <c r="C176" s="27" t="s">
        <v>226</v>
      </c>
      <c r="D176" s="27">
        <v>7</v>
      </c>
      <c r="E176" s="16" t="s">
        <v>185</v>
      </c>
      <c r="F176" s="34" t="str">
        <f>IF('Fiche info Avenant 1'!$K$13=0,"",'Fiche info Avenant 1'!$K$13)</f>
        <v/>
      </c>
      <c r="G176" s="16">
        <f t="shared" si="47"/>
        <v>0</v>
      </c>
      <c r="BX176" s="16" t="str">
        <f t="shared" si="48"/>
        <v>Fiche info Avenant 1A7</v>
      </c>
      <c r="BY176" s="431">
        <f>'Fiche info Avenant 1'!$B$13</f>
        <v>0</v>
      </c>
      <c r="BZ176" s="431">
        <f>'Fiche info Avenant 1'!$C$13</f>
        <v>0</v>
      </c>
      <c r="CA176" s="431">
        <f>'Fiche info Avenant 1'!$D$13</f>
        <v>0</v>
      </c>
      <c r="CB176" s="431">
        <f>'Fiche info Avenant 1'!$E$13</f>
        <v>0</v>
      </c>
      <c r="CC176" s="431">
        <f>'Fiche info Avenant 1'!$F$13</f>
        <v>0</v>
      </c>
      <c r="CD176" s="431">
        <f>'Fiche info Avenant 1'!$G$13</f>
        <v>0</v>
      </c>
      <c r="CE176" s="431">
        <f>'Fiche info Avenant 1'!$H$13</f>
        <v>0</v>
      </c>
      <c r="CF176" s="431">
        <f>'Fiche info Avenant 1'!$I$13</f>
        <v>0</v>
      </c>
      <c r="ED176" s="16" t="str">
        <f t="shared" si="40"/>
        <v>Fiche info Avenant 1A</v>
      </c>
      <c r="EE176" s="16" t="str">
        <f t="shared" si="42"/>
        <v>Fiche info Avenant 1</v>
      </c>
      <c r="EF176" s="16" t="str">
        <f t="shared" si="43"/>
        <v>A</v>
      </c>
      <c r="EG176" s="16">
        <f t="shared" si="44"/>
        <v>7</v>
      </c>
      <c r="EH176" s="16" t="str">
        <f t="shared" si="45"/>
        <v>Dimanche</v>
      </c>
      <c r="EI176" s="16" t="str">
        <f t="shared" si="46"/>
        <v/>
      </c>
      <c r="FB176" s="16" t="str">
        <f t="shared" si="49"/>
        <v/>
      </c>
      <c r="FC176" s="16" t="str">
        <f t="shared" si="50"/>
        <v/>
      </c>
      <c r="FD176" s="30">
        <f t="shared" si="41"/>
        <v>45047</v>
      </c>
      <c r="FE176" s="30" t="str">
        <f>+IFERROR(VLOOKUP(FD176,BDD,79,FALSE),"")</f>
        <v/>
      </c>
      <c r="FF176" s="30" t="str">
        <f>IFERROR(+VLOOKUP(FD176,BDD,80,FALSE),"")</f>
        <v/>
      </c>
      <c r="FG176" s="30" t="str">
        <f>+IFERROR(VLOOKUP(FD176,BDD,81,FALSE),"")</f>
        <v/>
      </c>
      <c r="FH176" s="30" t="str">
        <f>+IFERROR(VLOOKUP(FD176,BDD,82,FALSE),"")</f>
        <v/>
      </c>
      <c r="FW176" s="16" t="str">
        <f>Juin!GB38</f>
        <v>252026</v>
      </c>
      <c r="FX176" s="16">
        <f>Juin!GC38</f>
        <v>0</v>
      </c>
      <c r="HI176" s="85">
        <f>+Juin!AB39</f>
        <v>46193</v>
      </c>
      <c r="HJ176" s="27" t="str">
        <f>+Juin!AD39</f>
        <v/>
      </c>
      <c r="HK176" s="16">
        <f t="shared" si="51"/>
        <v>0</v>
      </c>
      <c r="HL176" s="16" t="str">
        <f>IF(AND(HI176&gt;=DATE(Identification!$B$60,5,1),HI176&lt;=DATE(Identification!$B$60,10,31),SUM(HK176:HK190)=12),"OUI","")</f>
        <v/>
      </c>
    </row>
    <row r="177" spans="1:220" x14ac:dyDescent="0.2">
      <c r="A177" s="16" t="str">
        <f t="shared" si="52"/>
        <v>Fiche info Avenant 1B1</v>
      </c>
      <c r="B177" s="16" t="str">
        <f t="shared" si="53"/>
        <v>Fiche info Avenant 1</v>
      </c>
      <c r="C177" s="27" t="s">
        <v>227</v>
      </c>
      <c r="D177" s="27">
        <v>1</v>
      </c>
      <c r="E177" s="16" t="s">
        <v>17</v>
      </c>
      <c r="F177" s="34" t="str">
        <f>+IF('Fiche info Avenant 1'!$V$7=0,"",'Fiche info Avenant 1'!$V$7)</f>
        <v/>
      </c>
      <c r="G177" s="16">
        <f t="shared" si="47"/>
        <v>0</v>
      </c>
      <c r="BX177" s="16" t="str">
        <f t="shared" si="48"/>
        <v>Fiche info Avenant 1B1</v>
      </c>
      <c r="BY177" s="431">
        <f>'Fiche info Avenant 1'!$M$7</f>
        <v>0</v>
      </c>
      <c r="BZ177" s="431">
        <f>'Fiche info Avenant 1'!$N$7</f>
        <v>0</v>
      </c>
      <c r="CA177" s="431">
        <f>'Fiche info Avenant 1'!$O$7</f>
        <v>0</v>
      </c>
      <c r="CB177" s="431">
        <f>'Fiche info Avenant 1'!$P$7</f>
        <v>0</v>
      </c>
      <c r="CC177" s="431">
        <f>'Fiche info Avenant 1'!$Q$7</f>
        <v>0</v>
      </c>
      <c r="CD177" s="431">
        <f>'Fiche info Avenant 1'!$R$7</f>
        <v>0</v>
      </c>
      <c r="CE177" s="431">
        <f>'Fiche info Avenant 1'!$S$7</f>
        <v>0</v>
      </c>
      <c r="CF177" s="431">
        <f>'Fiche info Avenant 1'!$T$7</f>
        <v>0</v>
      </c>
      <c r="ED177" s="16" t="str">
        <f t="shared" si="40"/>
        <v>Fiche info Avenant 1B</v>
      </c>
      <c r="EE177" s="16" t="str">
        <f t="shared" si="42"/>
        <v>Fiche info Avenant 1</v>
      </c>
      <c r="EF177" s="16" t="str">
        <f t="shared" si="43"/>
        <v>B</v>
      </c>
      <c r="EG177" s="16">
        <f t="shared" si="44"/>
        <v>1</v>
      </c>
      <c r="EH177" s="16" t="str">
        <f t="shared" si="45"/>
        <v>Lundi</v>
      </c>
      <c r="EI177" s="16" t="str">
        <f t="shared" si="46"/>
        <v/>
      </c>
      <c r="FB177" s="16" t="str">
        <f t="shared" si="49"/>
        <v/>
      </c>
      <c r="FC177" s="16" t="str">
        <f t="shared" si="50"/>
        <v/>
      </c>
      <c r="FD177" s="30">
        <f t="shared" si="41"/>
        <v>45047</v>
      </c>
      <c r="FE177" s="30" t="str">
        <f>+IFERROR(VLOOKUP(FD177,BDD,83,FALSE),"")</f>
        <v/>
      </c>
      <c r="FF177" s="30" t="str">
        <f>+IFERROR(VLOOKUP(FD177,BDD,84,FALSE),"")</f>
        <v/>
      </c>
      <c r="FG177" s="30" t="str">
        <f>+IFERROR(VLOOKUP(FD177,BDD,85,FALSE),"")</f>
        <v/>
      </c>
      <c r="FH177" s="30" t="str">
        <f>+IFERROR(VLOOKUP(FD177,BDD,86,FALSE),"")</f>
        <v/>
      </c>
      <c r="FW177" s="16" t="str">
        <f>Juin!GB39</f>
        <v>252026</v>
      </c>
      <c r="FX177" s="16">
        <f>Juin!GC39</f>
        <v>0</v>
      </c>
      <c r="HI177" s="85">
        <f>+Juin!AB40</f>
        <v>46194</v>
      </c>
      <c r="HJ177" s="27" t="str">
        <f>+Juin!AD40</f>
        <v/>
      </c>
      <c r="HK177" s="16">
        <f t="shared" si="51"/>
        <v>0</v>
      </c>
      <c r="HL177" s="16" t="str">
        <f>IF(AND(HI177&gt;=DATE(Identification!$B$60,5,1),HI177&lt;=DATE(Identification!$B$60,10,31),SUM(HK177:HK191)=12),"OUI","")</f>
        <v/>
      </c>
    </row>
    <row r="178" spans="1:220" x14ac:dyDescent="0.2">
      <c r="A178" s="16" t="str">
        <f t="shared" si="52"/>
        <v>Fiche info Avenant 1B2</v>
      </c>
      <c r="B178" s="16" t="str">
        <f t="shared" si="53"/>
        <v>Fiche info Avenant 1</v>
      </c>
      <c r="C178" s="27" t="s">
        <v>227</v>
      </c>
      <c r="D178" s="27">
        <v>2</v>
      </c>
      <c r="E178" s="16" t="s">
        <v>18</v>
      </c>
      <c r="F178" s="34" t="str">
        <f>+IF('Fiche info Avenant 1'!$V$8=0,"",'Fiche info Avenant 1'!$V$8)</f>
        <v/>
      </c>
      <c r="G178" s="16">
        <f t="shared" si="47"/>
        <v>0</v>
      </c>
      <c r="BX178" s="16" t="str">
        <f t="shared" si="48"/>
        <v>Fiche info Avenant 1B2</v>
      </c>
      <c r="BY178" s="431">
        <f>'Fiche info Avenant 1'!$M$8</f>
        <v>0</v>
      </c>
      <c r="BZ178" s="431">
        <f>'Fiche info Avenant 1'!$N$8</f>
        <v>0</v>
      </c>
      <c r="CA178" s="431">
        <f>'Fiche info Avenant 1'!$O$8</f>
        <v>0</v>
      </c>
      <c r="CB178" s="431">
        <f>'Fiche info Avenant 1'!$P$8</f>
        <v>0</v>
      </c>
      <c r="CC178" s="431">
        <f>'Fiche info Avenant 1'!$Q$8</f>
        <v>0</v>
      </c>
      <c r="CD178" s="431">
        <f>'Fiche info Avenant 1'!$R$8</f>
        <v>0</v>
      </c>
      <c r="CE178" s="431">
        <f>'Fiche info Avenant 1'!$S$8</f>
        <v>0</v>
      </c>
      <c r="CF178" s="431">
        <f>'Fiche info Avenant 1'!$T$8</f>
        <v>0</v>
      </c>
      <c r="ED178" s="16" t="str">
        <f t="shared" si="40"/>
        <v>Fiche info Avenant 1B</v>
      </c>
      <c r="EE178" s="16" t="str">
        <f t="shared" si="42"/>
        <v>Fiche info Avenant 1</v>
      </c>
      <c r="EF178" s="16" t="str">
        <f t="shared" si="43"/>
        <v>B</v>
      </c>
      <c r="EG178" s="16">
        <f t="shared" si="44"/>
        <v>2</v>
      </c>
      <c r="EH178" s="16" t="str">
        <f t="shared" si="45"/>
        <v>Mardi</v>
      </c>
      <c r="EI178" s="16" t="str">
        <f t="shared" si="46"/>
        <v/>
      </c>
      <c r="FB178" s="16" t="str">
        <f t="shared" si="49"/>
        <v/>
      </c>
      <c r="FC178" s="16" t="str">
        <f t="shared" si="50"/>
        <v/>
      </c>
      <c r="FD178" s="30">
        <f t="shared" si="41"/>
        <v>45017</v>
      </c>
      <c r="FE178" s="30" t="str">
        <f>+IFERROR(VLOOKUP(FD178,BDD,71,FALSE),"")</f>
        <v/>
      </c>
      <c r="FF178" s="30" t="str">
        <f>IFERROR(+VLOOKUP(FD178,BDD,72,FALSE),"")</f>
        <v/>
      </c>
      <c r="FG178" s="30" t="str">
        <f>+IFERROR(VLOOKUP(FD178,BDD,73,FALSE),"")</f>
        <v/>
      </c>
      <c r="FH178" s="30" t="str">
        <f>+IFERROR(VLOOKUP(FD178,BDD,74,FALSE),"")</f>
        <v/>
      </c>
      <c r="FW178" s="16" t="str">
        <f>Juin!GB40</f>
        <v>252026</v>
      </c>
      <c r="FX178" s="16">
        <f>Juin!GC40</f>
        <v>0</v>
      </c>
      <c r="HI178" s="85">
        <f>+Juin!AB41</f>
        <v>46195</v>
      </c>
      <c r="HJ178" s="27" t="str">
        <f>+Juin!AD41</f>
        <v/>
      </c>
      <c r="HK178" s="16">
        <f t="shared" si="51"/>
        <v>0</v>
      </c>
      <c r="HL178" s="16" t="str">
        <f>IF(AND(HI178&gt;=DATE(Identification!$B$60,5,1),HI178&lt;=DATE(Identification!$B$60,10,31),SUM(HK178:HK192)=12),"OUI","")</f>
        <v/>
      </c>
    </row>
    <row r="179" spans="1:220" x14ac:dyDescent="0.2">
      <c r="A179" s="16" t="str">
        <f t="shared" si="52"/>
        <v>Fiche info Avenant 1B3</v>
      </c>
      <c r="B179" s="16" t="str">
        <f t="shared" si="53"/>
        <v>Fiche info Avenant 1</v>
      </c>
      <c r="C179" s="27" t="s">
        <v>227</v>
      </c>
      <c r="D179" s="27">
        <v>3</v>
      </c>
      <c r="E179" s="16" t="s">
        <v>19</v>
      </c>
      <c r="F179" s="34" t="str">
        <f>+IF('Fiche info Avenant 1'!$V$9=0,"",'Fiche info Avenant 1'!$V$9)</f>
        <v/>
      </c>
      <c r="G179" s="16">
        <f t="shared" si="47"/>
        <v>0</v>
      </c>
      <c r="BX179" s="16" t="str">
        <f t="shared" si="48"/>
        <v>Fiche info Avenant 1B3</v>
      </c>
      <c r="BY179" s="431">
        <f>'Fiche info Avenant 1'!$M$9</f>
        <v>0</v>
      </c>
      <c r="BZ179" s="431">
        <f>'Fiche info Avenant 1'!$N$9</f>
        <v>0</v>
      </c>
      <c r="CA179" s="431">
        <f>'Fiche info Avenant 1'!$O$9</f>
        <v>0</v>
      </c>
      <c r="CB179" s="431">
        <f>'Fiche info Avenant 1'!$P$9</f>
        <v>0</v>
      </c>
      <c r="CC179" s="431">
        <f>'Fiche info Avenant 1'!$Q$9</f>
        <v>0</v>
      </c>
      <c r="CD179" s="431">
        <f>'Fiche info Avenant 1'!$R$9</f>
        <v>0</v>
      </c>
      <c r="CE179" s="431">
        <f>'Fiche info Avenant 1'!$S$9</f>
        <v>0</v>
      </c>
      <c r="CF179" s="431">
        <f>'Fiche info Avenant 1'!$T$9</f>
        <v>0</v>
      </c>
      <c r="ED179" s="16" t="str">
        <f t="shared" ref="ED179:ED242" si="54">+EE179&amp;EF179</f>
        <v>Fiche info Avenant 1B</v>
      </c>
      <c r="EE179" s="16" t="str">
        <f t="shared" si="42"/>
        <v>Fiche info Avenant 1</v>
      </c>
      <c r="EF179" s="16" t="str">
        <f t="shared" si="43"/>
        <v>B</v>
      </c>
      <c r="EG179" s="16">
        <f t="shared" si="44"/>
        <v>3</v>
      </c>
      <c r="EH179" s="16" t="str">
        <f t="shared" si="45"/>
        <v>Mercredi</v>
      </c>
      <c r="EI179" s="16" t="str">
        <f t="shared" si="46"/>
        <v/>
      </c>
      <c r="FB179" s="16" t="str">
        <f t="shared" si="49"/>
        <v/>
      </c>
      <c r="FC179" s="16" t="str">
        <f t="shared" si="50"/>
        <v/>
      </c>
      <c r="FD179" s="30">
        <f t="shared" si="41"/>
        <v>45017</v>
      </c>
      <c r="FE179" s="30" t="str">
        <f>+IFERROR(VLOOKUP(FD179,BDD,75,FALSE),"")</f>
        <v/>
      </c>
      <c r="FF179" s="30" t="str">
        <f>+IFERROR(VLOOKUP(FD179,BDD,76,FALSE),"")</f>
        <v/>
      </c>
      <c r="FG179" s="30" t="str">
        <f>IFERROR(+VLOOKUP(FD179,BDD,77,FALSE),"")</f>
        <v/>
      </c>
      <c r="FH179" s="30" t="str">
        <f>+IFERROR(VLOOKUP(FD179,BDD,78,FALSE),"")</f>
        <v/>
      </c>
      <c r="FW179" s="16" t="str">
        <f>Juin!GB41</f>
        <v>262026</v>
      </c>
      <c r="FX179" s="16">
        <f>Juin!GC41</f>
        <v>0</v>
      </c>
      <c r="HI179" s="85">
        <f>+Juin!AB42</f>
        <v>46196</v>
      </c>
      <c r="HJ179" s="27" t="str">
        <f>+Juin!AD42</f>
        <v/>
      </c>
      <c r="HK179" s="16">
        <f t="shared" si="51"/>
        <v>0</v>
      </c>
      <c r="HL179" s="16" t="str">
        <f>IF(AND(HI179&gt;=DATE(Identification!$B$60,5,1),HI179&lt;=DATE(Identification!$B$60,10,31),SUM(HK179:HK193)=12),"OUI","")</f>
        <v/>
      </c>
    </row>
    <row r="180" spans="1:220" x14ac:dyDescent="0.2">
      <c r="A180" s="16" t="str">
        <f t="shared" si="52"/>
        <v>Fiche info Avenant 1B4</v>
      </c>
      <c r="B180" s="16" t="str">
        <f t="shared" si="53"/>
        <v>Fiche info Avenant 1</v>
      </c>
      <c r="C180" s="27" t="s">
        <v>227</v>
      </c>
      <c r="D180" s="27">
        <v>4</v>
      </c>
      <c r="E180" s="16" t="s">
        <v>20</v>
      </c>
      <c r="F180" s="34" t="str">
        <f>+IF('Fiche info Avenant 1'!$V$10=0,"",'Fiche info Avenant 1'!$V$10)</f>
        <v/>
      </c>
      <c r="G180" s="16">
        <f t="shared" si="47"/>
        <v>0</v>
      </c>
      <c r="BX180" s="16" t="str">
        <f t="shared" si="48"/>
        <v>Fiche info Avenant 1B4</v>
      </c>
      <c r="BY180" s="431">
        <f>'Fiche info Avenant 1'!$M$10</f>
        <v>0</v>
      </c>
      <c r="BZ180" s="431">
        <f>'Fiche info Avenant 1'!$N$10</f>
        <v>0</v>
      </c>
      <c r="CA180" s="431">
        <f>'Fiche info Avenant 1'!$O$10</f>
        <v>0</v>
      </c>
      <c r="CB180" s="431">
        <f>'Fiche info Avenant 1'!$P$10</f>
        <v>0</v>
      </c>
      <c r="CC180" s="431">
        <f>'Fiche info Avenant 1'!$Q$10</f>
        <v>0</v>
      </c>
      <c r="CD180" s="431">
        <f>'Fiche info Avenant 1'!$R$10</f>
        <v>0</v>
      </c>
      <c r="CE180" s="431">
        <f>'Fiche info Avenant 1'!$S$10</f>
        <v>0</v>
      </c>
      <c r="CF180" s="431">
        <f>'Fiche info Avenant 1'!$T$10</f>
        <v>0</v>
      </c>
      <c r="ED180" s="16" t="str">
        <f t="shared" si="54"/>
        <v>Fiche info Avenant 1B</v>
      </c>
      <c r="EE180" s="16" t="str">
        <f t="shared" si="42"/>
        <v>Fiche info Avenant 1</v>
      </c>
      <c r="EF180" s="16" t="str">
        <f t="shared" si="43"/>
        <v>B</v>
      </c>
      <c r="EG180" s="16">
        <f t="shared" si="44"/>
        <v>4</v>
      </c>
      <c r="EH180" s="16" t="str">
        <f t="shared" si="45"/>
        <v>Jeudi</v>
      </c>
      <c r="EI180" s="16" t="str">
        <f t="shared" si="46"/>
        <v/>
      </c>
      <c r="FB180" s="16" t="str">
        <f t="shared" si="49"/>
        <v/>
      </c>
      <c r="FC180" s="16" t="str">
        <f t="shared" si="50"/>
        <v/>
      </c>
      <c r="FD180" s="30">
        <f t="shared" si="41"/>
        <v>45017</v>
      </c>
      <c r="FE180" s="30" t="str">
        <f>+IFERROR(VLOOKUP(FD180,BDD,79,FALSE),"")</f>
        <v/>
      </c>
      <c r="FF180" s="30" t="str">
        <f>IFERROR(+VLOOKUP(FD180,BDD,80,FALSE),"")</f>
        <v/>
      </c>
      <c r="FG180" s="30" t="str">
        <f>+IFERROR(VLOOKUP(FD180,BDD,81,FALSE),"")</f>
        <v/>
      </c>
      <c r="FH180" s="30" t="str">
        <f>+IFERROR(VLOOKUP(FD180,BDD,82,FALSE),"")</f>
        <v/>
      </c>
      <c r="FW180" s="16" t="str">
        <f>Juin!GB42</f>
        <v>262026</v>
      </c>
      <c r="FX180" s="16">
        <f>Juin!GC42</f>
        <v>0</v>
      </c>
      <c r="HI180" s="85">
        <f>+Juin!AB43</f>
        <v>46197</v>
      </c>
      <c r="HJ180" s="27" t="str">
        <f>+Juin!AD43</f>
        <v/>
      </c>
      <c r="HK180" s="16">
        <f t="shared" si="51"/>
        <v>0</v>
      </c>
      <c r="HL180" s="16" t="str">
        <f>IF(AND(HI180&gt;=DATE(Identification!$B$60,5,1),HI180&lt;=DATE(Identification!$B$60,10,31),SUM(HK180:HK194)=12),"OUI","")</f>
        <v/>
      </c>
    </row>
    <row r="181" spans="1:220" x14ac:dyDescent="0.2">
      <c r="A181" s="16" t="str">
        <f t="shared" si="52"/>
        <v>Fiche info Avenant 1B5</v>
      </c>
      <c r="B181" s="16" t="str">
        <f t="shared" si="53"/>
        <v>Fiche info Avenant 1</v>
      </c>
      <c r="C181" s="27" t="s">
        <v>227</v>
      </c>
      <c r="D181" s="27">
        <v>5</v>
      </c>
      <c r="E181" s="16" t="s">
        <v>21</v>
      </c>
      <c r="F181" s="34" t="str">
        <f>+IF('Fiche info Avenant 1'!$V$11=0,"",'Fiche info Avenant 1'!$V$11)</f>
        <v/>
      </c>
      <c r="G181" s="16">
        <f t="shared" si="47"/>
        <v>0</v>
      </c>
      <c r="BX181" s="16" t="str">
        <f t="shared" si="48"/>
        <v>Fiche info Avenant 1B5</v>
      </c>
      <c r="BY181" s="431">
        <f>'Fiche info Avenant 1'!$M$11</f>
        <v>0</v>
      </c>
      <c r="BZ181" s="431">
        <f>'Fiche info Avenant 1'!$N$11</f>
        <v>0</v>
      </c>
      <c r="CA181" s="431">
        <f>'Fiche info Avenant 1'!$O$11</f>
        <v>0</v>
      </c>
      <c r="CB181" s="431">
        <f>'Fiche info Avenant 1'!$P$11</f>
        <v>0</v>
      </c>
      <c r="CC181" s="431">
        <f>'Fiche info Avenant 1'!$Q$11</f>
        <v>0</v>
      </c>
      <c r="CD181" s="431">
        <f>'Fiche info Avenant 1'!$R$11</f>
        <v>0</v>
      </c>
      <c r="CE181" s="431">
        <f>'Fiche info Avenant 1'!$S$11</f>
        <v>0</v>
      </c>
      <c r="CF181" s="431">
        <f>'Fiche info Avenant 1'!$T$11</f>
        <v>0</v>
      </c>
      <c r="ED181" s="16" t="str">
        <f t="shared" si="54"/>
        <v>Fiche info Avenant 1B</v>
      </c>
      <c r="EE181" s="16" t="str">
        <f t="shared" si="42"/>
        <v>Fiche info Avenant 1</v>
      </c>
      <c r="EF181" s="16" t="str">
        <f t="shared" si="43"/>
        <v>B</v>
      </c>
      <c r="EG181" s="16">
        <f t="shared" si="44"/>
        <v>5</v>
      </c>
      <c r="EH181" s="16" t="str">
        <f t="shared" si="45"/>
        <v>Vendredi</v>
      </c>
      <c r="EI181" s="16" t="str">
        <f t="shared" si="46"/>
        <v/>
      </c>
      <c r="FB181" s="16" t="str">
        <f t="shared" si="49"/>
        <v/>
      </c>
      <c r="FC181" s="16" t="str">
        <f t="shared" si="50"/>
        <v/>
      </c>
      <c r="FD181" s="30">
        <f t="shared" si="41"/>
        <v>45017</v>
      </c>
      <c r="FE181" s="30" t="str">
        <f>+IFERROR(VLOOKUP(FD181,BDD,83,FALSE),"")</f>
        <v/>
      </c>
      <c r="FF181" s="30" t="str">
        <f>+IFERROR(VLOOKUP(FD181,BDD,84,FALSE),"")</f>
        <v/>
      </c>
      <c r="FG181" s="30" t="str">
        <f>+IFERROR(VLOOKUP(FD181,BDD,85,FALSE),"")</f>
        <v/>
      </c>
      <c r="FH181" s="30" t="str">
        <f>+IFERROR(VLOOKUP(FD181,BDD,86,FALSE),"")</f>
        <v/>
      </c>
      <c r="FW181" s="16" t="str">
        <f>Juin!GB43</f>
        <v>262026</v>
      </c>
      <c r="FX181" s="16">
        <f>Juin!GC43</f>
        <v>0</v>
      </c>
      <c r="HI181" s="85">
        <f>+Juin!AB44</f>
        <v>46198</v>
      </c>
      <c r="HJ181" s="27" t="str">
        <f>+Juin!AD44</f>
        <v/>
      </c>
      <c r="HK181" s="16">
        <f t="shared" si="51"/>
        <v>0</v>
      </c>
      <c r="HL181" s="16" t="str">
        <f>IF(AND(HI181&gt;=DATE(Identification!$B$60,5,1),HI181&lt;=DATE(Identification!$B$60,10,31),SUM(HK181:HK195)=12),"OUI","")</f>
        <v/>
      </c>
    </row>
    <row r="182" spans="1:220" x14ac:dyDescent="0.2">
      <c r="A182" s="16" t="str">
        <f t="shared" si="52"/>
        <v>Fiche info Avenant 1B6</v>
      </c>
      <c r="B182" s="16" t="str">
        <f t="shared" si="53"/>
        <v>Fiche info Avenant 1</v>
      </c>
      <c r="C182" s="27" t="s">
        <v>227</v>
      </c>
      <c r="D182" s="27">
        <v>6</v>
      </c>
      <c r="E182" s="16" t="s">
        <v>184</v>
      </c>
      <c r="F182" s="34" t="str">
        <f>+IF('Fiche info Avenant 1'!$V$12=0,"",'Fiche info Avenant 1'!$V$12)</f>
        <v/>
      </c>
      <c r="G182" s="16">
        <f t="shared" si="47"/>
        <v>0</v>
      </c>
      <c r="BX182" s="16" t="str">
        <f t="shared" si="48"/>
        <v>Fiche info Avenant 1B6</v>
      </c>
      <c r="BY182" s="431">
        <f>'Fiche info Avenant 1'!$M$12</f>
        <v>0</v>
      </c>
      <c r="BZ182" s="431">
        <f>'Fiche info Avenant 1'!$N$12</f>
        <v>0</v>
      </c>
      <c r="CA182" s="431">
        <f>'Fiche info Avenant 1'!$O$12</f>
        <v>0</v>
      </c>
      <c r="CB182" s="431">
        <f>'Fiche info Avenant 1'!$P$12</f>
        <v>0</v>
      </c>
      <c r="CC182" s="431">
        <f>'Fiche info Avenant 1'!$Q$12</f>
        <v>0</v>
      </c>
      <c r="CD182" s="431">
        <f>'Fiche info Avenant 1'!$R$12</f>
        <v>0</v>
      </c>
      <c r="CE182" s="431">
        <f>'Fiche info Avenant 1'!$S$12</f>
        <v>0</v>
      </c>
      <c r="CF182" s="431">
        <f>'Fiche info Avenant 1'!$T$12</f>
        <v>0</v>
      </c>
      <c r="ED182" s="16" t="str">
        <f t="shared" si="54"/>
        <v>Fiche info Avenant 1B</v>
      </c>
      <c r="EE182" s="16" t="str">
        <f t="shared" si="42"/>
        <v>Fiche info Avenant 1</v>
      </c>
      <c r="EF182" s="16" t="str">
        <f t="shared" si="43"/>
        <v>B</v>
      </c>
      <c r="EG182" s="16">
        <f t="shared" si="44"/>
        <v>6</v>
      </c>
      <c r="EH182" s="16" t="str">
        <f t="shared" si="45"/>
        <v>Samedi</v>
      </c>
      <c r="EI182" s="16" t="str">
        <f t="shared" si="46"/>
        <v/>
      </c>
      <c r="FB182" s="16" t="str">
        <f t="shared" si="49"/>
        <v/>
      </c>
      <c r="FC182" s="16" t="str">
        <f t="shared" si="50"/>
        <v/>
      </c>
      <c r="FD182" s="30">
        <f t="shared" si="41"/>
        <v>44986</v>
      </c>
      <c r="FE182" s="30" t="str">
        <f>+IFERROR(VLOOKUP(FD182,BDD,71,FALSE),"")</f>
        <v/>
      </c>
      <c r="FF182" s="30" t="str">
        <f>IFERROR(+VLOOKUP(FD182,BDD,72,FALSE),"")</f>
        <v/>
      </c>
      <c r="FG182" s="30" t="str">
        <f>+IFERROR(VLOOKUP(FD182,BDD,73,FALSE),"")</f>
        <v/>
      </c>
      <c r="FH182" s="30" t="str">
        <f>+IFERROR(VLOOKUP(FD182,BDD,74,FALSE),"")</f>
        <v/>
      </c>
      <c r="FW182" s="16" t="str">
        <f>Juin!GB44</f>
        <v>262026</v>
      </c>
      <c r="FX182" s="16">
        <f>Juin!GC44</f>
        <v>0</v>
      </c>
      <c r="HI182" s="85">
        <f>+Juin!AB45</f>
        <v>46199</v>
      </c>
      <c r="HJ182" s="27" t="str">
        <f>+Juin!AD45</f>
        <v/>
      </c>
      <c r="HK182" s="16">
        <f t="shared" si="51"/>
        <v>0</v>
      </c>
      <c r="HL182" s="16" t="str">
        <f>IF(AND(HI182&gt;=DATE(Identification!$B$60,5,1),HI182&lt;=DATE(Identification!$B$60,10,31),SUM(HK182:HK196)=12),"OUI","")</f>
        <v/>
      </c>
    </row>
    <row r="183" spans="1:220" x14ac:dyDescent="0.2">
      <c r="A183" s="16" t="str">
        <f t="shared" si="52"/>
        <v>Fiche info Avenant 1B7</v>
      </c>
      <c r="B183" s="16" t="str">
        <f t="shared" si="53"/>
        <v>Fiche info Avenant 1</v>
      </c>
      <c r="C183" s="27" t="s">
        <v>227</v>
      </c>
      <c r="D183" s="27">
        <v>7</v>
      </c>
      <c r="E183" s="16" t="s">
        <v>185</v>
      </c>
      <c r="F183" s="34" t="str">
        <f>+IF('Fiche info Avenant 1'!$V$13=0,"",'Fiche info Avenant 1'!$V$13)</f>
        <v/>
      </c>
      <c r="G183" s="16">
        <f t="shared" si="47"/>
        <v>0</v>
      </c>
      <c r="BX183" s="16" t="str">
        <f t="shared" si="48"/>
        <v>Fiche info Avenant 1B7</v>
      </c>
      <c r="BY183" s="431">
        <f>'Fiche info Avenant 1'!$M$13</f>
        <v>0</v>
      </c>
      <c r="BZ183" s="431">
        <f>'Fiche info Avenant 1'!$N$13</f>
        <v>0</v>
      </c>
      <c r="CA183" s="431">
        <f>'Fiche info Avenant 1'!$O$13</f>
        <v>0</v>
      </c>
      <c r="CB183" s="431">
        <f>'Fiche info Avenant 1'!$P$13</f>
        <v>0</v>
      </c>
      <c r="CC183" s="431">
        <f>'Fiche info Avenant 1'!$Q$13</f>
        <v>0</v>
      </c>
      <c r="CD183" s="431">
        <f>'Fiche info Avenant 1'!$R$13</f>
        <v>0</v>
      </c>
      <c r="CE183" s="431">
        <f>'Fiche info Avenant 1'!$S$13</f>
        <v>0</v>
      </c>
      <c r="CF183" s="431">
        <f>'Fiche info Avenant 1'!$T$13</f>
        <v>0</v>
      </c>
      <c r="ED183" s="16" t="str">
        <f t="shared" si="54"/>
        <v>Fiche info Avenant 1B</v>
      </c>
      <c r="EE183" s="16" t="str">
        <f t="shared" si="42"/>
        <v>Fiche info Avenant 1</v>
      </c>
      <c r="EF183" s="16" t="str">
        <f t="shared" si="43"/>
        <v>B</v>
      </c>
      <c r="EG183" s="16">
        <f t="shared" si="44"/>
        <v>7</v>
      </c>
      <c r="EH183" s="16" t="str">
        <f t="shared" si="45"/>
        <v>Dimanche</v>
      </c>
      <c r="EI183" s="16" t="str">
        <f t="shared" si="46"/>
        <v/>
      </c>
      <c r="FB183" s="16" t="str">
        <f t="shared" si="49"/>
        <v/>
      </c>
      <c r="FC183" s="16" t="str">
        <f t="shared" si="50"/>
        <v/>
      </c>
      <c r="FD183" s="30">
        <f t="shared" si="41"/>
        <v>44986</v>
      </c>
      <c r="FE183" s="30" t="str">
        <f>+IFERROR(VLOOKUP(FD183,BDD,75,FALSE),"")</f>
        <v/>
      </c>
      <c r="FF183" s="30" t="str">
        <f>+IFERROR(VLOOKUP(FD183,BDD,76,FALSE),"")</f>
        <v/>
      </c>
      <c r="FG183" s="30" t="str">
        <f>IFERROR(+VLOOKUP(FD183,BDD,77,FALSE),"")</f>
        <v/>
      </c>
      <c r="FH183" s="30" t="str">
        <f>+IFERROR(VLOOKUP(FD183,BDD,78,FALSE),"")</f>
        <v/>
      </c>
      <c r="FW183" s="16" t="str">
        <f>Juin!GB45</f>
        <v>262026</v>
      </c>
      <c r="FX183" s="16">
        <f>Juin!GC45</f>
        <v>0</v>
      </c>
      <c r="HI183" s="85">
        <f>+Juin!AB46</f>
        <v>46200</v>
      </c>
      <c r="HJ183" s="27" t="str">
        <f>+Juin!AD46</f>
        <v/>
      </c>
      <c r="HK183" s="16">
        <f t="shared" si="51"/>
        <v>0</v>
      </c>
      <c r="HL183" s="16" t="str">
        <f>IF(AND(HI183&gt;=DATE(Identification!$B$60,5,1),HI183&lt;=DATE(Identification!$B$60,10,31),SUM(HK183:HK197)=12),"OUI","")</f>
        <v/>
      </c>
    </row>
    <row r="184" spans="1:220" x14ac:dyDescent="0.2">
      <c r="A184" s="16" t="str">
        <f t="shared" si="52"/>
        <v>Fiche info Avenant 1C1</v>
      </c>
      <c r="B184" s="16" t="str">
        <f t="shared" si="53"/>
        <v>Fiche info Avenant 1</v>
      </c>
      <c r="C184" s="27" t="s">
        <v>232</v>
      </c>
      <c r="D184" s="27">
        <v>1</v>
      </c>
      <c r="E184" s="16" t="s">
        <v>17</v>
      </c>
      <c r="F184" s="34" t="str">
        <f>+IF('Fiche info Avenant 1'!$AG$7=0,"",'Fiche info Avenant 1'!$AG$7)</f>
        <v/>
      </c>
      <c r="G184" s="16">
        <f t="shared" si="47"/>
        <v>0</v>
      </c>
      <c r="BX184" s="16" t="str">
        <f t="shared" si="48"/>
        <v>Fiche info Avenant 1C1</v>
      </c>
      <c r="BY184" s="431">
        <f>'Fiche info Avenant 1'!$X$7</f>
        <v>0</v>
      </c>
      <c r="BZ184" s="431">
        <f>'Fiche info Avenant 1'!$Y$7</f>
        <v>0</v>
      </c>
      <c r="CA184" s="431">
        <f>'Fiche info Avenant 1'!$Z$7</f>
        <v>0</v>
      </c>
      <c r="CB184" s="431">
        <f>'Fiche info Avenant 1'!$AA$7</f>
        <v>0</v>
      </c>
      <c r="CC184" s="431">
        <f>'Fiche info Avenant 1'!$AB$7</f>
        <v>0</v>
      </c>
      <c r="CD184" s="431">
        <f>'Fiche info Avenant 1'!$AC$7</f>
        <v>0</v>
      </c>
      <c r="CE184" s="431">
        <f>'Fiche info Avenant 1'!$AD$7</f>
        <v>0</v>
      </c>
      <c r="CF184" s="431">
        <f>'Fiche info Avenant 1'!$AE$7</f>
        <v>0</v>
      </c>
      <c r="ED184" s="16" t="str">
        <f t="shared" si="54"/>
        <v>Fiche info Avenant 1C</v>
      </c>
      <c r="EE184" s="16" t="str">
        <f t="shared" si="42"/>
        <v>Fiche info Avenant 1</v>
      </c>
      <c r="EF184" s="16" t="str">
        <f t="shared" si="43"/>
        <v>C</v>
      </c>
      <c r="EG184" s="16">
        <f t="shared" si="44"/>
        <v>1</v>
      </c>
      <c r="EH184" s="16" t="str">
        <f t="shared" si="45"/>
        <v>Lundi</v>
      </c>
      <c r="EI184" s="16" t="str">
        <f t="shared" si="46"/>
        <v/>
      </c>
      <c r="FB184" s="16" t="str">
        <f t="shared" si="49"/>
        <v/>
      </c>
      <c r="FC184" s="16" t="str">
        <f t="shared" si="50"/>
        <v/>
      </c>
      <c r="FD184" s="30">
        <f t="shared" si="41"/>
        <v>44986</v>
      </c>
      <c r="FE184" s="30" t="str">
        <f>+IFERROR(VLOOKUP(FD184,BDD,79,FALSE),"")</f>
        <v/>
      </c>
      <c r="FF184" s="30" t="str">
        <f>IFERROR(+VLOOKUP(FD184,BDD,80,FALSE),"")</f>
        <v/>
      </c>
      <c r="FG184" s="30" t="str">
        <f>+IFERROR(VLOOKUP(FD184,BDD,81,FALSE),"")</f>
        <v/>
      </c>
      <c r="FH184" s="30" t="str">
        <f>+IFERROR(VLOOKUP(FD184,BDD,82,FALSE),"")</f>
        <v/>
      </c>
      <c r="FW184" s="16" t="str">
        <f>Juin!GB46</f>
        <v>262026</v>
      </c>
      <c r="FX184" s="16">
        <f>Juin!GC46</f>
        <v>0</v>
      </c>
      <c r="HI184" s="85">
        <f>+Juin!AB47</f>
        <v>46201</v>
      </c>
      <c r="HJ184" s="27" t="str">
        <f>+Juin!AD47</f>
        <v/>
      </c>
      <c r="HK184" s="16">
        <f t="shared" si="51"/>
        <v>0</v>
      </c>
      <c r="HL184" s="16" t="str">
        <f>IF(AND(HI184&gt;=DATE(Identification!$B$60,5,1),HI184&lt;=DATE(Identification!$B$60,10,31),SUM(HK184:HK198)=12),"OUI","")</f>
        <v/>
      </c>
    </row>
    <row r="185" spans="1:220" x14ac:dyDescent="0.2">
      <c r="A185" s="16" t="str">
        <f t="shared" si="52"/>
        <v>Fiche info Avenant 1C2</v>
      </c>
      <c r="B185" s="16" t="str">
        <f t="shared" si="53"/>
        <v>Fiche info Avenant 1</v>
      </c>
      <c r="C185" s="27" t="s">
        <v>232</v>
      </c>
      <c r="D185" s="27">
        <v>2</v>
      </c>
      <c r="E185" s="16" t="s">
        <v>18</v>
      </c>
      <c r="F185" s="34" t="str">
        <f>+IF('Fiche info Avenant 1'!$AG$8=0,"",'Fiche info Avenant 1'!$AG$8)</f>
        <v/>
      </c>
      <c r="G185" s="16">
        <f t="shared" si="47"/>
        <v>0</v>
      </c>
      <c r="BX185" s="16" t="str">
        <f t="shared" si="48"/>
        <v>Fiche info Avenant 1C2</v>
      </c>
      <c r="BY185" s="431">
        <f>'Fiche info Avenant 1'!$X$8</f>
        <v>0</v>
      </c>
      <c r="BZ185" s="431">
        <f>'Fiche info Avenant 1'!$Y$8</f>
        <v>0</v>
      </c>
      <c r="CA185" s="431">
        <f>'Fiche info Avenant 1'!$Z$8</f>
        <v>0</v>
      </c>
      <c r="CB185" s="431">
        <f>'Fiche info Avenant 1'!$AA$8</f>
        <v>0</v>
      </c>
      <c r="CC185" s="431">
        <f>'Fiche info Avenant 1'!$AB$8</f>
        <v>0</v>
      </c>
      <c r="CD185" s="431">
        <f>'Fiche info Avenant 1'!$AC$8</f>
        <v>0</v>
      </c>
      <c r="CE185" s="431">
        <f>'Fiche info Avenant 1'!$AD$8</f>
        <v>0</v>
      </c>
      <c r="CF185" s="431">
        <f>'Fiche info Avenant 1'!$AE$8</f>
        <v>0</v>
      </c>
      <c r="ED185" s="16" t="str">
        <f t="shared" si="54"/>
        <v>Fiche info Avenant 1C</v>
      </c>
      <c r="EE185" s="16" t="str">
        <f t="shared" si="42"/>
        <v>Fiche info Avenant 1</v>
      </c>
      <c r="EF185" s="16" t="str">
        <f t="shared" si="43"/>
        <v>C</v>
      </c>
      <c r="EG185" s="16">
        <f t="shared" si="44"/>
        <v>2</v>
      </c>
      <c r="EH185" s="16" t="str">
        <f t="shared" si="45"/>
        <v>Mardi</v>
      </c>
      <c r="EI185" s="16" t="str">
        <f t="shared" si="46"/>
        <v/>
      </c>
      <c r="FB185" s="16" t="str">
        <f t="shared" si="49"/>
        <v/>
      </c>
      <c r="FC185" s="16" t="str">
        <f t="shared" si="50"/>
        <v/>
      </c>
      <c r="FD185" s="30">
        <f t="shared" si="41"/>
        <v>44986</v>
      </c>
      <c r="FE185" s="30" t="str">
        <f>+IFERROR(VLOOKUP(FD185,BDD,83,FALSE),"")</f>
        <v/>
      </c>
      <c r="FF185" s="30" t="str">
        <f>+IFERROR(VLOOKUP(FD185,BDD,84,FALSE),"")</f>
        <v/>
      </c>
      <c r="FG185" s="30" t="str">
        <f>+IFERROR(VLOOKUP(FD185,BDD,85,FALSE),"")</f>
        <v/>
      </c>
      <c r="FH185" s="30" t="str">
        <f>+IFERROR(VLOOKUP(FD185,BDD,86,FALSE),"")</f>
        <v/>
      </c>
      <c r="FW185" s="16" t="str">
        <f>Juin!GB47</f>
        <v>262026</v>
      </c>
      <c r="FX185" s="16">
        <f>Juin!GC47</f>
        <v>0</v>
      </c>
      <c r="HI185" s="85">
        <f>+Juin!AB48</f>
        <v>46202</v>
      </c>
      <c r="HJ185" s="27" t="str">
        <f>+Juin!AD48</f>
        <v/>
      </c>
      <c r="HK185" s="16">
        <f t="shared" si="51"/>
        <v>0</v>
      </c>
      <c r="HL185" s="16" t="str">
        <f>IF(AND(HI185&gt;=DATE(Identification!$B$60,5,1),HI185&lt;=DATE(Identification!$B$60,10,31),SUM(HK185:HK199)=12),"OUI","")</f>
        <v/>
      </c>
    </row>
    <row r="186" spans="1:220" x14ac:dyDescent="0.2">
      <c r="A186" s="16" t="str">
        <f t="shared" si="52"/>
        <v>Fiche info Avenant 1C3</v>
      </c>
      <c r="B186" s="16" t="str">
        <f t="shared" si="53"/>
        <v>Fiche info Avenant 1</v>
      </c>
      <c r="C186" s="27" t="s">
        <v>232</v>
      </c>
      <c r="D186" s="27">
        <v>3</v>
      </c>
      <c r="E186" s="16" t="s">
        <v>19</v>
      </c>
      <c r="F186" s="34" t="str">
        <f>+IF('Fiche info Avenant 1'!$AG$9=0,"",'Fiche info Avenant 1'!$AG$9)</f>
        <v/>
      </c>
      <c r="G186" s="16">
        <f t="shared" si="47"/>
        <v>0</v>
      </c>
      <c r="BX186" s="16" t="str">
        <f t="shared" si="48"/>
        <v>Fiche info Avenant 1C3</v>
      </c>
      <c r="BY186" s="431">
        <f>'Fiche info Avenant 1'!$X$9</f>
        <v>0</v>
      </c>
      <c r="BZ186" s="431">
        <f>'Fiche info Avenant 1'!$Y$9</f>
        <v>0</v>
      </c>
      <c r="CA186" s="431">
        <f>'Fiche info Avenant 1'!$Z$9</f>
        <v>0</v>
      </c>
      <c r="CB186" s="431">
        <f>'Fiche info Avenant 1'!$AA$9</f>
        <v>0</v>
      </c>
      <c r="CC186" s="431">
        <f>'Fiche info Avenant 1'!$AB$9</f>
        <v>0</v>
      </c>
      <c r="CD186" s="431">
        <f>'Fiche info Avenant 1'!$AC$9</f>
        <v>0</v>
      </c>
      <c r="CE186" s="431">
        <f>'Fiche info Avenant 1'!$AD$9</f>
        <v>0</v>
      </c>
      <c r="CF186" s="431">
        <f>'Fiche info Avenant 1'!$AE$9</f>
        <v>0</v>
      </c>
      <c r="ED186" s="16" t="str">
        <f t="shared" si="54"/>
        <v>Fiche info Avenant 1C</v>
      </c>
      <c r="EE186" s="16" t="str">
        <f t="shared" si="42"/>
        <v>Fiche info Avenant 1</v>
      </c>
      <c r="EF186" s="16" t="str">
        <f t="shared" si="43"/>
        <v>C</v>
      </c>
      <c r="EG186" s="16">
        <f t="shared" si="44"/>
        <v>3</v>
      </c>
      <c r="EH186" s="16" t="str">
        <f t="shared" si="45"/>
        <v>Mercredi</v>
      </c>
      <c r="EI186" s="16" t="str">
        <f t="shared" si="46"/>
        <v/>
      </c>
      <c r="FB186" s="16" t="str">
        <f t="shared" si="49"/>
        <v/>
      </c>
      <c r="FC186" s="16" t="str">
        <f t="shared" si="50"/>
        <v/>
      </c>
      <c r="FD186" s="30">
        <f t="shared" si="41"/>
        <v>44958</v>
      </c>
      <c r="FE186" s="30" t="str">
        <f>+IFERROR(VLOOKUP(FD186,BDD,71,FALSE),"")</f>
        <v/>
      </c>
      <c r="FF186" s="30" t="str">
        <f>IFERROR(+VLOOKUP(FD186,BDD,72,FALSE),"")</f>
        <v/>
      </c>
      <c r="FG186" s="30" t="str">
        <f>+IFERROR(VLOOKUP(FD186,BDD,73,FALSE),"")</f>
        <v/>
      </c>
      <c r="FH186" s="30" t="str">
        <f>+IFERROR(VLOOKUP(FD186,BDD,74,FALSE),"")</f>
        <v/>
      </c>
      <c r="FW186" s="16" t="str">
        <f>Juin!GB48</f>
        <v>272026</v>
      </c>
      <c r="FX186" s="16">
        <f>Juin!GC48</f>
        <v>0</v>
      </c>
      <c r="HI186" s="85">
        <f>+Juin!AB49</f>
        <v>46203</v>
      </c>
      <c r="HJ186" s="27" t="str">
        <f>+Juin!AD49</f>
        <v/>
      </c>
      <c r="HK186" s="16">
        <f t="shared" si="51"/>
        <v>0</v>
      </c>
      <c r="HL186" s="16" t="str">
        <f>IF(AND(HI186&gt;=DATE(Identification!$B$60,5,1),HI186&lt;=DATE(Identification!$B$60,10,31),SUM(HK186:HK200)=12),"OUI","")</f>
        <v/>
      </c>
    </row>
    <row r="187" spans="1:220" x14ac:dyDescent="0.2">
      <c r="A187" s="16" t="str">
        <f t="shared" si="52"/>
        <v>Fiche info Avenant 1C4</v>
      </c>
      <c r="B187" s="16" t="str">
        <f t="shared" si="53"/>
        <v>Fiche info Avenant 1</v>
      </c>
      <c r="C187" s="27" t="s">
        <v>232</v>
      </c>
      <c r="D187" s="27">
        <v>4</v>
      </c>
      <c r="E187" s="16" t="s">
        <v>20</v>
      </c>
      <c r="F187" s="34" t="str">
        <f>+IF('Fiche info Avenant 1'!$AG$10=0,"",'Fiche info Avenant 1'!$AG$10)</f>
        <v/>
      </c>
      <c r="G187" s="16">
        <f t="shared" si="47"/>
        <v>0</v>
      </c>
      <c r="BX187" s="16" t="str">
        <f t="shared" si="48"/>
        <v>Fiche info Avenant 1C4</v>
      </c>
      <c r="BY187" s="431">
        <f>'Fiche info Avenant 1'!$X$10</f>
        <v>0</v>
      </c>
      <c r="BZ187" s="431">
        <f>'Fiche info Avenant 1'!$Y$10</f>
        <v>0</v>
      </c>
      <c r="CA187" s="431">
        <f>'Fiche info Avenant 1'!$Z$10</f>
        <v>0</v>
      </c>
      <c r="CB187" s="431">
        <f>'Fiche info Avenant 1'!$AA$10</f>
        <v>0</v>
      </c>
      <c r="CC187" s="431">
        <f>'Fiche info Avenant 1'!$AB$10</f>
        <v>0</v>
      </c>
      <c r="CD187" s="431">
        <f>'Fiche info Avenant 1'!$AC$10</f>
        <v>0</v>
      </c>
      <c r="CE187" s="431">
        <f>'Fiche info Avenant 1'!$AD$10</f>
        <v>0</v>
      </c>
      <c r="CF187" s="431">
        <f>'Fiche info Avenant 1'!$AE$10</f>
        <v>0</v>
      </c>
      <c r="ED187" s="16" t="str">
        <f t="shared" si="54"/>
        <v>Fiche info Avenant 1C</v>
      </c>
      <c r="EE187" s="16" t="str">
        <f t="shared" si="42"/>
        <v>Fiche info Avenant 1</v>
      </c>
      <c r="EF187" s="16" t="str">
        <f t="shared" si="43"/>
        <v>C</v>
      </c>
      <c r="EG187" s="16">
        <f t="shared" si="44"/>
        <v>4</v>
      </c>
      <c r="EH187" s="16" t="str">
        <f t="shared" si="45"/>
        <v>Jeudi</v>
      </c>
      <c r="EI187" s="16" t="str">
        <f t="shared" si="46"/>
        <v/>
      </c>
      <c r="FB187" s="16" t="str">
        <f t="shared" si="49"/>
        <v/>
      </c>
      <c r="FC187" s="16" t="str">
        <f t="shared" si="50"/>
        <v/>
      </c>
      <c r="FD187" s="30">
        <f t="shared" ref="FD187:FD250" si="55">+DATE(YEAR(FD183),MONTH(FD183)-1,DAY(FD183))</f>
        <v>44958</v>
      </c>
      <c r="FE187" s="30" t="str">
        <f>+IFERROR(VLOOKUP(FD187,BDD,75,FALSE),"")</f>
        <v/>
      </c>
      <c r="FF187" s="30" t="str">
        <f>+IFERROR(VLOOKUP(FD187,BDD,76,FALSE),"")</f>
        <v/>
      </c>
      <c r="FG187" s="30" t="str">
        <f>IFERROR(+VLOOKUP(FD187,BDD,77,FALSE),"")</f>
        <v/>
      </c>
      <c r="FH187" s="30" t="str">
        <f>+IFERROR(VLOOKUP(FD187,BDD,78,FALSE),"")</f>
        <v/>
      </c>
      <c r="FW187" s="16" t="str">
        <f>Juin!GB49</f>
        <v>272026</v>
      </c>
      <c r="FX187" s="16">
        <f>Juin!GC49</f>
        <v>0</v>
      </c>
      <c r="HI187" s="85" t="str">
        <f>+Juin!AB50</f>
        <v/>
      </c>
      <c r="HJ187" s="27" t="str">
        <f>+Juin!AD50</f>
        <v/>
      </c>
      <c r="HK187" s="16">
        <f t="shared" si="51"/>
        <v>0</v>
      </c>
      <c r="HL187" s="16" t="str">
        <f>IF(AND(HI187&gt;=DATE(Identification!$B$60,5,1),HI187&lt;=DATE(Identification!$B$60,10,31),SUM(HK187:HK201)=12),"OUI","")</f>
        <v/>
      </c>
    </row>
    <row r="188" spans="1:220" x14ac:dyDescent="0.2">
      <c r="A188" s="16" t="str">
        <f t="shared" si="52"/>
        <v>Fiche info Avenant 1C5</v>
      </c>
      <c r="B188" s="16" t="str">
        <f t="shared" si="53"/>
        <v>Fiche info Avenant 1</v>
      </c>
      <c r="C188" s="27" t="s">
        <v>232</v>
      </c>
      <c r="D188" s="27">
        <v>5</v>
      </c>
      <c r="E188" s="16" t="s">
        <v>21</v>
      </c>
      <c r="F188" s="34" t="str">
        <f>+IF('Fiche info Avenant 1'!$AG$11=0,"",'Fiche info Avenant 1'!$AG$11)</f>
        <v/>
      </c>
      <c r="G188" s="16">
        <f t="shared" si="47"/>
        <v>0</v>
      </c>
      <c r="BX188" s="16" t="str">
        <f t="shared" si="48"/>
        <v>Fiche info Avenant 1C5</v>
      </c>
      <c r="BY188" s="431">
        <f>'Fiche info Avenant 1'!$X$11</f>
        <v>0</v>
      </c>
      <c r="BZ188" s="431">
        <f>'Fiche info Avenant 1'!$Y$11</f>
        <v>0</v>
      </c>
      <c r="CA188" s="431">
        <f>'Fiche info Avenant 1'!$Z$11</f>
        <v>0</v>
      </c>
      <c r="CB188" s="431">
        <f>'Fiche info Avenant 1'!$AA$11</f>
        <v>0</v>
      </c>
      <c r="CC188" s="431">
        <f>'Fiche info Avenant 1'!$AB$11</f>
        <v>0</v>
      </c>
      <c r="CD188" s="431">
        <f>'Fiche info Avenant 1'!$AC$11</f>
        <v>0</v>
      </c>
      <c r="CE188" s="431">
        <f>'Fiche info Avenant 1'!$AD$11</f>
        <v>0</v>
      </c>
      <c r="CF188" s="431">
        <f>'Fiche info Avenant 1'!$AE$11</f>
        <v>0</v>
      </c>
      <c r="ED188" s="16" t="str">
        <f t="shared" si="54"/>
        <v>Fiche info Avenant 1C</v>
      </c>
      <c r="EE188" s="16" t="str">
        <f t="shared" si="42"/>
        <v>Fiche info Avenant 1</v>
      </c>
      <c r="EF188" s="16" t="str">
        <f t="shared" si="43"/>
        <v>C</v>
      </c>
      <c r="EG188" s="16">
        <f t="shared" si="44"/>
        <v>5</v>
      </c>
      <c r="EH188" s="16" t="str">
        <f t="shared" si="45"/>
        <v>Vendredi</v>
      </c>
      <c r="EI188" s="16" t="str">
        <f t="shared" si="46"/>
        <v/>
      </c>
      <c r="FB188" s="16" t="str">
        <f t="shared" si="49"/>
        <v/>
      </c>
      <c r="FC188" s="16" t="str">
        <f t="shared" si="50"/>
        <v/>
      </c>
      <c r="FD188" s="30">
        <f t="shared" si="55"/>
        <v>44958</v>
      </c>
      <c r="FE188" s="30" t="str">
        <f>+IFERROR(VLOOKUP(FD188,BDD,79,FALSE),"")</f>
        <v/>
      </c>
      <c r="FF188" s="30" t="str">
        <f>IFERROR(+VLOOKUP(FD188,BDD,80,FALSE),"")</f>
        <v/>
      </c>
      <c r="FG188" s="30" t="str">
        <f>+IFERROR(VLOOKUP(FD188,BDD,81,FALSE),"")</f>
        <v/>
      </c>
      <c r="FH188" s="30" t="str">
        <f>+IFERROR(VLOOKUP(FD188,BDD,82,FALSE),"")</f>
        <v/>
      </c>
      <c r="FW188" s="16" t="str">
        <f>Juin!GB50</f>
        <v>2026</v>
      </c>
      <c r="FX188" s="16">
        <f>Juin!GC50</f>
        <v>0</v>
      </c>
      <c r="HI188" s="85">
        <f>+Juillet!AB20</f>
        <v>46204</v>
      </c>
      <c r="HJ188" s="27" t="str">
        <f>+Juillet!AD20</f>
        <v/>
      </c>
      <c r="HK188" s="16">
        <f t="shared" si="51"/>
        <v>0</v>
      </c>
      <c r="HL188" s="16" t="str">
        <f>IF(AND(HI188&gt;=DATE(Identification!$B$60,5,1),HI188&lt;=DATE(Identification!$B$60,10,31),SUM(HK188:HK202)=12),"OUI","")</f>
        <v/>
      </c>
    </row>
    <row r="189" spans="1:220" x14ac:dyDescent="0.2">
      <c r="A189" s="16" t="str">
        <f t="shared" si="52"/>
        <v>Fiche info Avenant 1C6</v>
      </c>
      <c r="B189" s="16" t="str">
        <f t="shared" si="53"/>
        <v>Fiche info Avenant 1</v>
      </c>
      <c r="C189" s="27" t="s">
        <v>232</v>
      </c>
      <c r="D189" s="27">
        <v>6</v>
      </c>
      <c r="E189" s="16" t="s">
        <v>184</v>
      </c>
      <c r="F189" s="34" t="str">
        <f>+IF('Fiche info Avenant 1'!$AG$12=0,"",'Fiche info Avenant 1'!$AG$12)</f>
        <v/>
      </c>
      <c r="G189" s="16">
        <f t="shared" si="47"/>
        <v>0</v>
      </c>
      <c r="BX189" s="16" t="str">
        <f t="shared" si="48"/>
        <v>Fiche info Avenant 1C6</v>
      </c>
      <c r="BY189" s="431">
        <f>'Fiche info Avenant 1'!$X$12</f>
        <v>0</v>
      </c>
      <c r="BZ189" s="431">
        <f>'Fiche info Avenant 1'!$Y$12</f>
        <v>0</v>
      </c>
      <c r="CA189" s="431">
        <f>'Fiche info Avenant 1'!$Z$12</f>
        <v>0</v>
      </c>
      <c r="CB189" s="431">
        <f>'Fiche info Avenant 1'!$AA$12</f>
        <v>0</v>
      </c>
      <c r="CC189" s="431">
        <f>'Fiche info Avenant 1'!$AB$12</f>
        <v>0</v>
      </c>
      <c r="CD189" s="431">
        <f>'Fiche info Avenant 1'!$AC$12</f>
        <v>0</v>
      </c>
      <c r="CE189" s="431">
        <f>'Fiche info Avenant 1'!$AD$12</f>
        <v>0</v>
      </c>
      <c r="CF189" s="431">
        <f>'Fiche info Avenant 1'!$AE$12</f>
        <v>0</v>
      </c>
      <c r="ED189" s="16" t="str">
        <f t="shared" si="54"/>
        <v>Fiche info Avenant 1C</v>
      </c>
      <c r="EE189" s="16" t="str">
        <f t="shared" si="42"/>
        <v>Fiche info Avenant 1</v>
      </c>
      <c r="EF189" s="16" t="str">
        <f t="shared" si="43"/>
        <v>C</v>
      </c>
      <c r="EG189" s="16">
        <f t="shared" si="44"/>
        <v>6</v>
      </c>
      <c r="EH189" s="16" t="str">
        <f t="shared" si="45"/>
        <v>Samedi</v>
      </c>
      <c r="EI189" s="16" t="str">
        <f t="shared" si="46"/>
        <v/>
      </c>
      <c r="FB189" s="16" t="str">
        <f t="shared" si="49"/>
        <v/>
      </c>
      <c r="FC189" s="16" t="str">
        <f t="shared" si="50"/>
        <v/>
      </c>
      <c r="FD189" s="30">
        <f t="shared" si="55"/>
        <v>44958</v>
      </c>
      <c r="FE189" s="30" t="str">
        <f>+IFERROR(VLOOKUP(FD189,BDD,83,FALSE),"")</f>
        <v/>
      </c>
      <c r="FF189" s="30" t="str">
        <f>+IFERROR(VLOOKUP(FD189,BDD,84,FALSE),"")</f>
        <v/>
      </c>
      <c r="FG189" s="30" t="str">
        <f>+IFERROR(VLOOKUP(FD189,BDD,85,FALSE),"")</f>
        <v/>
      </c>
      <c r="FH189" s="30" t="str">
        <f>+IFERROR(VLOOKUP(FD189,BDD,86,FALSE),"")</f>
        <v/>
      </c>
      <c r="FW189" s="16" t="str">
        <f>Juillet!GB20</f>
        <v>272026</v>
      </c>
      <c r="FX189" s="16">
        <f>Juillet!GC20</f>
        <v>0</v>
      </c>
      <c r="HI189" s="85">
        <f>+Juillet!AB21</f>
        <v>46205</v>
      </c>
      <c r="HJ189" s="27" t="str">
        <f>+Juillet!AD21</f>
        <v/>
      </c>
      <c r="HK189" s="16">
        <f t="shared" si="51"/>
        <v>0</v>
      </c>
      <c r="HL189" s="16" t="str">
        <f>IF(AND(HI189&gt;=DATE(Identification!$B$60,5,1),HI189&lt;=DATE(Identification!$B$60,10,31),SUM(HK189:HK203)=12),"OUI","")</f>
        <v/>
      </c>
    </row>
    <row r="190" spans="1:220" x14ac:dyDescent="0.2">
      <c r="A190" s="16" t="str">
        <f t="shared" si="52"/>
        <v>Fiche info Avenant 1C7</v>
      </c>
      <c r="B190" s="16" t="str">
        <f t="shared" si="53"/>
        <v>Fiche info Avenant 1</v>
      </c>
      <c r="C190" s="27" t="s">
        <v>232</v>
      </c>
      <c r="D190" s="27">
        <v>7</v>
      </c>
      <c r="E190" s="16" t="s">
        <v>185</v>
      </c>
      <c r="F190" s="34" t="str">
        <f>+IF('Fiche info Avenant 1'!$AG$13=0,"",'Fiche info Avenant 1'!$AG$13)</f>
        <v/>
      </c>
      <c r="G190" s="16">
        <f t="shared" si="47"/>
        <v>0</v>
      </c>
      <c r="BX190" s="16" t="str">
        <f t="shared" si="48"/>
        <v>Fiche info Avenant 1C7</v>
      </c>
      <c r="BY190" s="431">
        <f>'Fiche info Avenant 1'!$X$13</f>
        <v>0</v>
      </c>
      <c r="BZ190" s="431">
        <f>'Fiche info Avenant 1'!$Y$13</f>
        <v>0</v>
      </c>
      <c r="CA190" s="431">
        <f>'Fiche info Avenant 1'!$Z$13</f>
        <v>0</v>
      </c>
      <c r="CB190" s="431">
        <f>'Fiche info Avenant 1'!$AA$13</f>
        <v>0</v>
      </c>
      <c r="CC190" s="431">
        <f>'Fiche info Avenant 1'!$AB$13</f>
        <v>0</v>
      </c>
      <c r="CD190" s="431">
        <f>'Fiche info Avenant 1'!$AC$13</f>
        <v>0</v>
      </c>
      <c r="CE190" s="431">
        <f>'Fiche info Avenant 1'!$AD$13</f>
        <v>0</v>
      </c>
      <c r="CF190" s="431">
        <f>'Fiche info Avenant 1'!$AE$13</f>
        <v>0</v>
      </c>
      <c r="ED190" s="16" t="str">
        <f t="shared" si="54"/>
        <v>Fiche info Avenant 1C</v>
      </c>
      <c r="EE190" s="16" t="str">
        <f t="shared" si="42"/>
        <v>Fiche info Avenant 1</v>
      </c>
      <c r="EF190" s="16" t="str">
        <f t="shared" si="43"/>
        <v>C</v>
      </c>
      <c r="EG190" s="16">
        <f t="shared" si="44"/>
        <v>7</v>
      </c>
      <c r="EH190" s="16" t="str">
        <f t="shared" si="45"/>
        <v>Dimanche</v>
      </c>
      <c r="EI190" s="16" t="str">
        <f t="shared" si="46"/>
        <v/>
      </c>
      <c r="FB190" s="16" t="str">
        <f t="shared" si="49"/>
        <v/>
      </c>
      <c r="FC190" s="16" t="str">
        <f t="shared" si="50"/>
        <v/>
      </c>
      <c r="FD190" s="30">
        <f t="shared" si="55"/>
        <v>44927</v>
      </c>
      <c r="FE190" s="30" t="str">
        <f>+IFERROR(VLOOKUP(FD190,BDD,71,FALSE),"")</f>
        <v/>
      </c>
      <c r="FF190" s="30" t="str">
        <f>IFERROR(+VLOOKUP(FD190,BDD,72,FALSE),"")</f>
        <v/>
      </c>
      <c r="FG190" s="30" t="str">
        <f>+IFERROR(VLOOKUP(FD190,BDD,73,FALSE),"")</f>
        <v/>
      </c>
      <c r="FH190" s="30" t="str">
        <f>+IFERROR(VLOOKUP(FD190,BDD,74,FALSE),"")</f>
        <v/>
      </c>
      <c r="FW190" s="16" t="str">
        <f>Juillet!GB21</f>
        <v>272026</v>
      </c>
      <c r="FX190" s="16">
        <f>Juillet!GC21</f>
        <v>0</v>
      </c>
      <c r="HI190" s="85">
        <f>+Juillet!AB22</f>
        <v>46206</v>
      </c>
      <c r="HJ190" s="27" t="str">
        <f>+Juillet!AD22</f>
        <v/>
      </c>
      <c r="HK190" s="16">
        <f t="shared" si="51"/>
        <v>0</v>
      </c>
      <c r="HL190" s="16" t="str">
        <f>IF(AND(HI190&gt;=DATE(Identification!$B$60,5,1),HI190&lt;=DATE(Identification!$B$60,10,31),SUM(HK190:HK204)=12),"OUI","")</f>
        <v/>
      </c>
    </row>
    <row r="191" spans="1:220" x14ac:dyDescent="0.2">
      <c r="A191" s="16" t="str">
        <f t="shared" si="52"/>
        <v>Fiche info Avenant 1D1</v>
      </c>
      <c r="B191" s="16" t="str">
        <f t="shared" si="53"/>
        <v>Fiche info Avenant 1</v>
      </c>
      <c r="C191" s="27" t="s">
        <v>233</v>
      </c>
      <c r="D191" s="27">
        <v>1</v>
      </c>
      <c r="E191" s="16" t="s">
        <v>17</v>
      </c>
      <c r="F191" s="34" t="str">
        <f>+IF('Fiche info Avenant 1'!$AR$7=0,"",'Fiche info Avenant 1'!$AR$7)</f>
        <v/>
      </c>
      <c r="G191" s="16">
        <f t="shared" si="47"/>
        <v>0</v>
      </c>
      <c r="BX191" s="16" t="str">
        <f t="shared" si="48"/>
        <v>Fiche info Avenant 1D1</v>
      </c>
      <c r="BY191" s="431">
        <f>'Fiche info Avenant 1'!$AI$7</f>
        <v>0</v>
      </c>
      <c r="BZ191" s="431">
        <f>'Fiche info Avenant 1'!$AJ$7</f>
        <v>0</v>
      </c>
      <c r="CA191" s="431">
        <f>'Fiche info Avenant 1'!$AK$7</f>
        <v>0</v>
      </c>
      <c r="CB191" s="431">
        <f>'Fiche info Avenant 1'!$AL$7</f>
        <v>0</v>
      </c>
      <c r="CC191" s="431">
        <f>'Fiche info Avenant 1'!$AM$7</f>
        <v>0</v>
      </c>
      <c r="CD191" s="431">
        <f>'Fiche info Avenant 1'!$AN$7</f>
        <v>0</v>
      </c>
      <c r="CE191" s="431">
        <f>'Fiche info Avenant 1'!$AO$7</f>
        <v>0</v>
      </c>
      <c r="CF191" s="431">
        <f>'Fiche info Avenant 1'!$AP$7</f>
        <v>0</v>
      </c>
      <c r="ED191" s="16" t="str">
        <f t="shared" si="54"/>
        <v>Fiche info Avenant 1D</v>
      </c>
      <c r="EE191" s="16" t="str">
        <f t="shared" si="42"/>
        <v>Fiche info Avenant 1</v>
      </c>
      <c r="EF191" s="16" t="str">
        <f t="shared" si="43"/>
        <v>D</v>
      </c>
      <c r="EG191" s="16">
        <f t="shared" si="44"/>
        <v>1</v>
      </c>
      <c r="EH191" s="16" t="str">
        <f t="shared" si="45"/>
        <v>Lundi</v>
      </c>
      <c r="EI191" s="16" t="str">
        <f t="shared" si="46"/>
        <v/>
      </c>
      <c r="FB191" s="16" t="str">
        <f t="shared" si="49"/>
        <v/>
      </c>
      <c r="FC191" s="16" t="str">
        <f t="shared" si="50"/>
        <v/>
      </c>
      <c r="FD191" s="30">
        <f t="shared" si="55"/>
        <v>44927</v>
      </c>
      <c r="FE191" s="30" t="str">
        <f>+IFERROR(VLOOKUP(FD191,BDD,75,FALSE),"")</f>
        <v/>
      </c>
      <c r="FF191" s="30" t="str">
        <f>+IFERROR(VLOOKUP(FD191,BDD,76,FALSE),"")</f>
        <v/>
      </c>
      <c r="FG191" s="30" t="str">
        <f>IFERROR(+VLOOKUP(FD191,BDD,77,FALSE),"")</f>
        <v/>
      </c>
      <c r="FH191" s="30" t="str">
        <f>+IFERROR(VLOOKUP(FD191,BDD,78,FALSE),"")</f>
        <v/>
      </c>
      <c r="FW191" s="16" t="str">
        <f>Juillet!GB22</f>
        <v>272026</v>
      </c>
      <c r="FX191" s="16">
        <f>Juillet!GC22</f>
        <v>0</v>
      </c>
      <c r="HI191" s="85">
        <f>+Juillet!AB23</f>
        <v>46207</v>
      </c>
      <c r="HJ191" s="27" t="str">
        <f>+Juillet!AD23</f>
        <v/>
      </c>
      <c r="HK191" s="16">
        <f t="shared" si="51"/>
        <v>0</v>
      </c>
      <c r="HL191" s="16" t="str">
        <f>IF(AND(HI191&gt;=DATE(Identification!$B$60,5,1),HI191&lt;=DATE(Identification!$B$60,10,31),SUM(HK191:HK205)=12),"OUI","")</f>
        <v/>
      </c>
    </row>
    <row r="192" spans="1:220" x14ac:dyDescent="0.2">
      <c r="A192" s="16" t="str">
        <f t="shared" si="52"/>
        <v>Fiche info Avenant 1D2</v>
      </c>
      <c r="B192" s="16" t="str">
        <f t="shared" si="53"/>
        <v>Fiche info Avenant 1</v>
      </c>
      <c r="C192" s="27" t="s">
        <v>233</v>
      </c>
      <c r="D192" s="27">
        <v>2</v>
      </c>
      <c r="E192" s="16" t="s">
        <v>18</v>
      </c>
      <c r="F192" s="34" t="str">
        <f>IF(+'Fiche info Avenant 1'!$AR$8=0,"",'Fiche info Avenant 1'!$AR$8)</f>
        <v/>
      </c>
      <c r="G192" s="16">
        <f t="shared" si="47"/>
        <v>0</v>
      </c>
      <c r="BX192" s="16" t="str">
        <f t="shared" si="48"/>
        <v>Fiche info Avenant 1D2</v>
      </c>
      <c r="BY192" s="431">
        <f>'Fiche info Avenant 1'!$AI$8</f>
        <v>0</v>
      </c>
      <c r="BZ192" s="431">
        <f>'Fiche info Avenant 1'!$AJ$8</f>
        <v>0</v>
      </c>
      <c r="CA192" s="431">
        <f>'Fiche info Avenant 1'!$AK$8</f>
        <v>0</v>
      </c>
      <c r="CB192" s="431">
        <f>'Fiche info Avenant 1'!$AL$8</f>
        <v>0</v>
      </c>
      <c r="CC192" s="431">
        <f>'Fiche info Avenant 1'!$AM$8</f>
        <v>0</v>
      </c>
      <c r="CD192" s="431">
        <f>'Fiche info Avenant 1'!$AN$8</f>
        <v>0</v>
      </c>
      <c r="CE192" s="431">
        <f>'Fiche info Avenant 1'!$AO$8</f>
        <v>0</v>
      </c>
      <c r="CF192" s="431">
        <f>'Fiche info Avenant 1'!$AP$8</f>
        <v>0</v>
      </c>
      <c r="ED192" s="16" t="str">
        <f t="shared" si="54"/>
        <v>Fiche info Avenant 1D</v>
      </c>
      <c r="EE192" s="16" t="str">
        <f t="shared" si="42"/>
        <v>Fiche info Avenant 1</v>
      </c>
      <c r="EF192" s="16" t="str">
        <f t="shared" si="43"/>
        <v>D</v>
      </c>
      <c r="EG192" s="16">
        <f t="shared" si="44"/>
        <v>2</v>
      </c>
      <c r="EH192" s="16" t="str">
        <f t="shared" si="45"/>
        <v>Mardi</v>
      </c>
      <c r="EI192" s="16" t="str">
        <f t="shared" si="46"/>
        <v/>
      </c>
      <c r="FB192" s="16" t="str">
        <f t="shared" si="49"/>
        <v/>
      </c>
      <c r="FC192" s="16" t="str">
        <f t="shared" si="50"/>
        <v/>
      </c>
      <c r="FD192" s="30">
        <f t="shared" si="55"/>
        <v>44927</v>
      </c>
      <c r="FE192" s="30" t="str">
        <f>+IFERROR(VLOOKUP(FD192,BDD,79,FALSE),"")</f>
        <v/>
      </c>
      <c r="FF192" s="30" t="str">
        <f>IFERROR(+VLOOKUP(FD192,BDD,80,FALSE),"")</f>
        <v/>
      </c>
      <c r="FG192" s="30" t="str">
        <f>+IFERROR(VLOOKUP(FD192,BDD,81,FALSE),"")</f>
        <v/>
      </c>
      <c r="FH192" s="30" t="str">
        <f>+IFERROR(VLOOKUP(FD192,BDD,82,FALSE),"")</f>
        <v/>
      </c>
      <c r="FW192" s="16" t="str">
        <f>Juillet!GB23</f>
        <v>272026</v>
      </c>
      <c r="FX192" s="16">
        <f>Juillet!GC23</f>
        <v>0</v>
      </c>
      <c r="HI192" s="85">
        <f>+Juillet!AB24</f>
        <v>46208</v>
      </c>
      <c r="HJ192" s="27" t="str">
        <f>+Juillet!AD24</f>
        <v/>
      </c>
      <c r="HK192" s="16">
        <f t="shared" si="51"/>
        <v>0</v>
      </c>
      <c r="HL192" s="16" t="str">
        <f>IF(AND(HI192&gt;=DATE(Identification!$B$60,5,1),HI192&lt;=DATE(Identification!$B$60,10,31),SUM(HK192:HK206)=12),"OUI","")</f>
        <v/>
      </c>
    </row>
    <row r="193" spans="1:220" x14ac:dyDescent="0.2">
      <c r="A193" s="16" t="str">
        <f t="shared" si="52"/>
        <v>Fiche info Avenant 1D3</v>
      </c>
      <c r="B193" s="16" t="str">
        <f t="shared" si="53"/>
        <v>Fiche info Avenant 1</v>
      </c>
      <c r="C193" s="27" t="s">
        <v>233</v>
      </c>
      <c r="D193" s="27">
        <v>3</v>
      </c>
      <c r="E193" s="16" t="s">
        <v>19</v>
      </c>
      <c r="F193" s="34" t="str">
        <f>IF(+'Fiche info Avenant 1'!$AR$9=0,"",'Fiche info Avenant 1'!$AR$9)</f>
        <v/>
      </c>
      <c r="G193" s="16">
        <f t="shared" si="47"/>
        <v>0</v>
      </c>
      <c r="BX193" s="16" t="str">
        <f t="shared" si="48"/>
        <v>Fiche info Avenant 1D3</v>
      </c>
      <c r="BY193" s="431">
        <f>'Fiche info Avenant 1'!$AI$9</f>
        <v>0</v>
      </c>
      <c r="BZ193" s="431">
        <f>'Fiche info Avenant 1'!$AJ$9</f>
        <v>0</v>
      </c>
      <c r="CA193" s="431">
        <f>'Fiche info Avenant 1'!$AK$9</f>
        <v>0</v>
      </c>
      <c r="CB193" s="431">
        <f>'Fiche info Avenant 1'!$AL$9</f>
        <v>0</v>
      </c>
      <c r="CC193" s="431">
        <f>'Fiche info Avenant 1'!$AM$9</f>
        <v>0</v>
      </c>
      <c r="CD193" s="431">
        <f>'Fiche info Avenant 1'!$AN$9</f>
        <v>0</v>
      </c>
      <c r="CE193" s="431">
        <f>'Fiche info Avenant 1'!$AO$9</f>
        <v>0</v>
      </c>
      <c r="CF193" s="431">
        <f>'Fiche info Avenant 1'!$AP$9</f>
        <v>0</v>
      </c>
      <c r="ED193" s="16" t="str">
        <f t="shared" si="54"/>
        <v>Fiche info Avenant 1D</v>
      </c>
      <c r="EE193" s="16" t="str">
        <f t="shared" ref="EE193:EE256" si="56">B193</f>
        <v>Fiche info Avenant 1</v>
      </c>
      <c r="EF193" s="16" t="str">
        <f t="shared" ref="EF193:EF256" si="57">C193</f>
        <v>D</v>
      </c>
      <c r="EG193" s="16">
        <f t="shared" ref="EG193:EG256" si="58">D193</f>
        <v>3</v>
      </c>
      <c r="EH193" s="16" t="str">
        <f t="shared" ref="EH193:EH256" si="59">E193</f>
        <v>Mercredi</v>
      </c>
      <c r="EI193" s="16" t="str">
        <f t="shared" ref="EI193:EI256" si="60">F193</f>
        <v/>
      </c>
      <c r="FB193" s="16" t="str">
        <f t="shared" si="49"/>
        <v/>
      </c>
      <c r="FC193" s="16" t="str">
        <f t="shared" si="50"/>
        <v/>
      </c>
      <c r="FD193" s="30">
        <f t="shared" si="55"/>
        <v>44927</v>
      </c>
      <c r="FE193" s="30" t="str">
        <f>+IFERROR(VLOOKUP(FD193,BDD,83,FALSE),"")</f>
        <v/>
      </c>
      <c r="FF193" s="30" t="str">
        <f>+IFERROR(VLOOKUP(FD193,BDD,84,FALSE),"")</f>
        <v/>
      </c>
      <c r="FG193" s="30" t="str">
        <f>+IFERROR(VLOOKUP(FD193,BDD,85,FALSE),"")</f>
        <v/>
      </c>
      <c r="FH193" s="30" t="str">
        <f>+IFERROR(VLOOKUP(FD193,BDD,86,FALSE),"")</f>
        <v/>
      </c>
      <c r="FW193" s="16" t="str">
        <f>Juillet!GB24</f>
        <v>272026</v>
      </c>
      <c r="FX193" s="16">
        <f>Juillet!GC24</f>
        <v>0</v>
      </c>
      <c r="HI193" s="85">
        <f>+Juillet!AB25</f>
        <v>46209</v>
      </c>
      <c r="HJ193" s="27" t="str">
        <f>+Juillet!AD25</f>
        <v/>
      </c>
      <c r="HK193" s="16">
        <f t="shared" si="51"/>
        <v>0</v>
      </c>
      <c r="HL193" s="16" t="str">
        <f>IF(AND(HI193&gt;=DATE(Identification!$B$60,5,1),HI193&lt;=DATE(Identification!$B$60,10,31),SUM(HK193:HK207)=12),"OUI","")</f>
        <v/>
      </c>
    </row>
    <row r="194" spans="1:220" x14ac:dyDescent="0.2">
      <c r="A194" s="16" t="str">
        <f t="shared" si="52"/>
        <v>Fiche info Avenant 1D4</v>
      </c>
      <c r="B194" s="16" t="str">
        <f t="shared" si="53"/>
        <v>Fiche info Avenant 1</v>
      </c>
      <c r="C194" s="27" t="s">
        <v>233</v>
      </c>
      <c r="D194" s="27">
        <v>4</v>
      </c>
      <c r="E194" s="16" t="s">
        <v>20</v>
      </c>
      <c r="F194" s="34" t="str">
        <f>IF(+'Fiche info Avenant 1'!$AR$10=0,"",'Fiche info Avenant 1'!$AR$10)</f>
        <v/>
      </c>
      <c r="G194" s="16">
        <f t="shared" ref="G194:G257" si="61">+IF(OR(F194=0,F194=""),0,1)</f>
        <v>0</v>
      </c>
      <c r="BX194" s="16" t="str">
        <f t="shared" ref="BX194:BX257" si="62">A194</f>
        <v>Fiche info Avenant 1D4</v>
      </c>
      <c r="BY194" s="431">
        <f>'Fiche info Avenant 1'!$AI$10</f>
        <v>0</v>
      </c>
      <c r="BZ194" s="431">
        <f>'Fiche info Avenant 1'!$AJ$10</f>
        <v>0</v>
      </c>
      <c r="CA194" s="431">
        <f>'Fiche info Avenant 1'!$AK$10</f>
        <v>0</v>
      </c>
      <c r="CB194" s="431">
        <f>'Fiche info Avenant 1'!$AL$10</f>
        <v>0</v>
      </c>
      <c r="CC194" s="431">
        <f>'Fiche info Avenant 1'!$AM$10</f>
        <v>0</v>
      </c>
      <c r="CD194" s="431">
        <f>'Fiche info Avenant 1'!$AN$10</f>
        <v>0</v>
      </c>
      <c r="CE194" s="431">
        <f>'Fiche info Avenant 1'!$AO$10</f>
        <v>0</v>
      </c>
      <c r="CF194" s="431">
        <f>'Fiche info Avenant 1'!$AP$10</f>
        <v>0</v>
      </c>
      <c r="ED194" s="16" t="str">
        <f t="shared" si="54"/>
        <v>Fiche info Avenant 1D</v>
      </c>
      <c r="EE194" s="16" t="str">
        <f t="shared" si="56"/>
        <v>Fiche info Avenant 1</v>
      </c>
      <c r="EF194" s="16" t="str">
        <f t="shared" si="57"/>
        <v>D</v>
      </c>
      <c r="EG194" s="16">
        <f t="shared" si="58"/>
        <v>4</v>
      </c>
      <c r="EH194" s="16" t="str">
        <f t="shared" si="59"/>
        <v>Jeudi</v>
      </c>
      <c r="EI194" s="16" t="str">
        <f t="shared" si="60"/>
        <v/>
      </c>
      <c r="FB194" s="16" t="str">
        <f t="shared" si="49"/>
        <v/>
      </c>
      <c r="FC194" s="16" t="str">
        <f t="shared" si="50"/>
        <v/>
      </c>
      <c r="FD194" s="30">
        <f t="shared" si="55"/>
        <v>44896</v>
      </c>
      <c r="FE194" s="30" t="str">
        <f>+IFERROR(VLOOKUP(FD194,BDD,71,FALSE),"")</f>
        <v/>
      </c>
      <c r="FF194" s="30" t="str">
        <f>IFERROR(+VLOOKUP(FD194,BDD,72,FALSE),"")</f>
        <v/>
      </c>
      <c r="FG194" s="30" t="str">
        <f>+IFERROR(VLOOKUP(FD194,BDD,73,FALSE),"")</f>
        <v/>
      </c>
      <c r="FH194" s="30" t="str">
        <f>+IFERROR(VLOOKUP(FD194,BDD,74,FALSE),"")</f>
        <v/>
      </c>
      <c r="FW194" s="16" t="str">
        <f>Juillet!GB25</f>
        <v>282026</v>
      </c>
      <c r="FX194" s="16">
        <f>Juillet!GC25</f>
        <v>0</v>
      </c>
      <c r="HI194" s="85">
        <f>+Juillet!AB26</f>
        <v>46210</v>
      </c>
      <c r="HJ194" s="27" t="str">
        <f>+Juillet!AD26</f>
        <v/>
      </c>
      <c r="HK194" s="16">
        <f t="shared" si="51"/>
        <v>0</v>
      </c>
      <c r="HL194" s="16" t="str">
        <f>IF(AND(HI194&gt;=DATE(Identification!$B$60,5,1),HI194&lt;=DATE(Identification!$B$60,10,31),SUM(HK194:HK208)=12),"OUI","")</f>
        <v/>
      </c>
    </row>
    <row r="195" spans="1:220" x14ac:dyDescent="0.2">
      <c r="A195" s="16" t="str">
        <f t="shared" si="52"/>
        <v>Fiche info Avenant 1D5</v>
      </c>
      <c r="B195" s="16" t="str">
        <f t="shared" si="53"/>
        <v>Fiche info Avenant 1</v>
      </c>
      <c r="C195" s="27" t="s">
        <v>233</v>
      </c>
      <c r="D195" s="27">
        <v>5</v>
      </c>
      <c r="E195" s="16" t="s">
        <v>21</v>
      </c>
      <c r="F195" s="34" t="str">
        <f>IF(+'Fiche info Avenant 1'!$AR$11=0,"",'Fiche info Avenant 1'!$AR$11)</f>
        <v/>
      </c>
      <c r="G195" s="16">
        <f t="shared" si="61"/>
        <v>0</v>
      </c>
      <c r="BX195" s="16" t="str">
        <f t="shared" si="62"/>
        <v>Fiche info Avenant 1D5</v>
      </c>
      <c r="BY195" s="431">
        <f>'Fiche info Avenant 1'!$AI$11</f>
        <v>0</v>
      </c>
      <c r="BZ195" s="431">
        <f>'Fiche info Avenant 1'!$AJ$11</f>
        <v>0</v>
      </c>
      <c r="CA195" s="431">
        <f>'Fiche info Avenant 1'!$AK$11</f>
        <v>0</v>
      </c>
      <c r="CB195" s="431">
        <f>'Fiche info Avenant 1'!$AL$11</f>
        <v>0</v>
      </c>
      <c r="CC195" s="431">
        <f>'Fiche info Avenant 1'!$AM$11</f>
        <v>0</v>
      </c>
      <c r="CD195" s="431">
        <f>'Fiche info Avenant 1'!$AN$11</f>
        <v>0</v>
      </c>
      <c r="CE195" s="431">
        <f>'Fiche info Avenant 1'!$AO$11</f>
        <v>0</v>
      </c>
      <c r="CF195" s="431">
        <f>'Fiche info Avenant 1'!$AP$11</f>
        <v>0</v>
      </c>
      <c r="ED195" s="16" t="str">
        <f t="shared" si="54"/>
        <v>Fiche info Avenant 1D</v>
      </c>
      <c r="EE195" s="16" t="str">
        <f t="shared" si="56"/>
        <v>Fiche info Avenant 1</v>
      </c>
      <c r="EF195" s="16" t="str">
        <f t="shared" si="57"/>
        <v>D</v>
      </c>
      <c r="EG195" s="16">
        <f t="shared" si="58"/>
        <v>5</v>
      </c>
      <c r="EH195" s="16" t="str">
        <f t="shared" si="59"/>
        <v>Vendredi</v>
      </c>
      <c r="EI195" s="16" t="str">
        <f t="shared" si="60"/>
        <v/>
      </c>
      <c r="FB195" s="16" t="str">
        <f t="shared" ref="FB195:FB258" si="63">+IF(FE195=$EX$2,FE195&amp;FF195&amp;FG195,"")</f>
        <v/>
      </c>
      <c r="FC195" s="16" t="str">
        <f t="shared" ref="FC195:FC258" si="64">+IF(FE195=$EX$3,FE195&amp;FF195&amp;FG195,"")</f>
        <v/>
      </c>
      <c r="FD195" s="30">
        <f t="shared" si="55"/>
        <v>44896</v>
      </c>
      <c r="FE195" s="30" t="str">
        <f>+IFERROR(VLOOKUP(FD195,BDD,75,FALSE),"")</f>
        <v/>
      </c>
      <c r="FF195" s="30" t="str">
        <f>+IFERROR(VLOOKUP(FD195,BDD,76,FALSE),"")</f>
        <v/>
      </c>
      <c r="FG195" s="30" t="str">
        <f>IFERROR(+VLOOKUP(FD195,BDD,77,FALSE),"")</f>
        <v/>
      </c>
      <c r="FH195" s="30" t="str">
        <f>+IFERROR(VLOOKUP(FD195,BDD,78,FALSE),"")</f>
        <v/>
      </c>
      <c r="FW195" s="16" t="str">
        <f>Juillet!GB26</f>
        <v>282026</v>
      </c>
      <c r="FX195" s="16">
        <f>Juillet!GC26</f>
        <v>0</v>
      </c>
      <c r="HI195" s="85">
        <f>+Juillet!AB27</f>
        <v>46211</v>
      </c>
      <c r="HJ195" s="27" t="str">
        <f>+Juillet!AD27</f>
        <v/>
      </c>
      <c r="HK195" s="16">
        <f t="shared" ref="HK195:HK258" si="65">IF(HI195="",0,IF(AND(OR(HJ195=$BJ$3,HJ195=$BJ$4),WEEKDAY(HI195,2)&lt;7),1,0))</f>
        <v>0</v>
      </c>
      <c r="HL195" s="16" t="str">
        <f>IF(AND(HI195&gt;=DATE(Identification!$B$60,5,1),HI195&lt;=DATE(Identification!$B$60,10,31),SUM(HK195:HK209)=12),"OUI","")</f>
        <v/>
      </c>
    </row>
    <row r="196" spans="1:220" x14ac:dyDescent="0.2">
      <c r="A196" s="16" t="str">
        <f t="shared" si="52"/>
        <v>Fiche info Avenant 1D6</v>
      </c>
      <c r="B196" s="16" t="str">
        <f t="shared" si="53"/>
        <v>Fiche info Avenant 1</v>
      </c>
      <c r="C196" s="27" t="s">
        <v>233</v>
      </c>
      <c r="D196" s="27">
        <v>6</v>
      </c>
      <c r="E196" s="16" t="s">
        <v>184</v>
      </c>
      <c r="F196" s="34" t="str">
        <f>IF(+'Fiche info Avenant 1'!$AR$12=0,"",'Fiche info Avenant 1'!$AR$12)</f>
        <v/>
      </c>
      <c r="G196" s="16">
        <f t="shared" si="61"/>
        <v>0</v>
      </c>
      <c r="BX196" s="16" t="str">
        <f t="shared" si="62"/>
        <v>Fiche info Avenant 1D6</v>
      </c>
      <c r="BY196" s="431">
        <f>'Fiche info Avenant 1'!$AI$12</f>
        <v>0</v>
      </c>
      <c r="BZ196" s="431">
        <f>'Fiche info Avenant 1'!$AJ$12</f>
        <v>0</v>
      </c>
      <c r="CA196" s="431">
        <f>'Fiche info Avenant 1'!$AK$12</f>
        <v>0</v>
      </c>
      <c r="CB196" s="431">
        <f>'Fiche info Avenant 1'!$AL$12</f>
        <v>0</v>
      </c>
      <c r="CC196" s="431">
        <f>'Fiche info Avenant 1'!$AM$12</f>
        <v>0</v>
      </c>
      <c r="CD196" s="431">
        <f>'Fiche info Avenant 1'!$AN$12</f>
        <v>0</v>
      </c>
      <c r="CE196" s="431">
        <f>'Fiche info Avenant 1'!$AO$12</f>
        <v>0</v>
      </c>
      <c r="CF196" s="431">
        <f>'Fiche info Avenant 1'!$AP$12</f>
        <v>0</v>
      </c>
      <c r="ED196" s="16" t="str">
        <f t="shared" si="54"/>
        <v>Fiche info Avenant 1D</v>
      </c>
      <c r="EE196" s="16" t="str">
        <f t="shared" si="56"/>
        <v>Fiche info Avenant 1</v>
      </c>
      <c r="EF196" s="16" t="str">
        <f t="shared" si="57"/>
        <v>D</v>
      </c>
      <c r="EG196" s="16">
        <f t="shared" si="58"/>
        <v>6</v>
      </c>
      <c r="EH196" s="16" t="str">
        <f t="shared" si="59"/>
        <v>Samedi</v>
      </c>
      <c r="EI196" s="16" t="str">
        <f t="shared" si="60"/>
        <v/>
      </c>
      <c r="FB196" s="16" t="str">
        <f t="shared" si="63"/>
        <v/>
      </c>
      <c r="FC196" s="16" t="str">
        <f t="shared" si="64"/>
        <v/>
      </c>
      <c r="FD196" s="30">
        <f t="shared" si="55"/>
        <v>44896</v>
      </c>
      <c r="FE196" s="30" t="str">
        <f>+IFERROR(VLOOKUP(FD196,BDD,79,FALSE),"")</f>
        <v/>
      </c>
      <c r="FF196" s="30" t="str">
        <f>IFERROR(+VLOOKUP(FD196,BDD,80,FALSE),"")</f>
        <v/>
      </c>
      <c r="FG196" s="30" t="str">
        <f>+IFERROR(VLOOKUP(FD196,BDD,81,FALSE),"")</f>
        <v/>
      </c>
      <c r="FH196" s="30" t="str">
        <f>+IFERROR(VLOOKUP(FD196,BDD,82,FALSE),"")</f>
        <v/>
      </c>
      <c r="FW196" s="16" t="str">
        <f>Juillet!GB27</f>
        <v>282026</v>
      </c>
      <c r="FX196" s="16">
        <f>Juillet!GC27</f>
        <v>0</v>
      </c>
      <c r="HI196" s="85">
        <f>+Juillet!AB28</f>
        <v>46212</v>
      </c>
      <c r="HJ196" s="27" t="str">
        <f>+Juillet!AD28</f>
        <v/>
      </c>
      <c r="HK196" s="16">
        <f t="shared" si="65"/>
        <v>0</v>
      </c>
      <c r="HL196" s="16" t="str">
        <f>IF(AND(HI196&gt;=DATE(Identification!$B$60,5,1),HI196&lt;=DATE(Identification!$B$60,10,31),SUM(HK196:HK210)=12),"OUI","")</f>
        <v/>
      </c>
    </row>
    <row r="197" spans="1:220" x14ac:dyDescent="0.2">
      <c r="A197" s="16" t="str">
        <f t="shared" si="52"/>
        <v>Fiche info Avenant 1D7</v>
      </c>
      <c r="B197" s="16" t="str">
        <f t="shared" si="53"/>
        <v>Fiche info Avenant 1</v>
      </c>
      <c r="C197" s="27" t="s">
        <v>233</v>
      </c>
      <c r="D197" s="27">
        <v>7</v>
      </c>
      <c r="E197" s="16" t="s">
        <v>185</v>
      </c>
      <c r="F197" s="34" t="str">
        <f>IF(+'Fiche info Avenant 1'!$AR$13=0,"",'Fiche info Avenant 1'!$AR$13)</f>
        <v/>
      </c>
      <c r="G197" s="16">
        <f t="shared" si="61"/>
        <v>0</v>
      </c>
      <c r="BX197" s="16" t="str">
        <f t="shared" si="62"/>
        <v>Fiche info Avenant 1D7</v>
      </c>
      <c r="BY197" s="431">
        <f>'Fiche info Avenant 1'!$AI$13</f>
        <v>0</v>
      </c>
      <c r="BZ197" s="431">
        <f>'Fiche info Avenant 1'!$AJ$13</f>
        <v>0</v>
      </c>
      <c r="CA197" s="431">
        <f>'Fiche info Avenant 1'!$AK$13</f>
        <v>0</v>
      </c>
      <c r="CB197" s="431">
        <f>'Fiche info Avenant 1'!$AL$13</f>
        <v>0</v>
      </c>
      <c r="CC197" s="431">
        <f>'Fiche info Avenant 1'!$AM$13</f>
        <v>0</v>
      </c>
      <c r="CD197" s="431">
        <f>'Fiche info Avenant 1'!$AN$13</f>
        <v>0</v>
      </c>
      <c r="CE197" s="431">
        <f>'Fiche info Avenant 1'!$AO$13</f>
        <v>0</v>
      </c>
      <c r="CF197" s="431">
        <f>'Fiche info Avenant 1'!$AP$13</f>
        <v>0</v>
      </c>
      <c r="ED197" s="16" t="str">
        <f t="shared" si="54"/>
        <v>Fiche info Avenant 1D</v>
      </c>
      <c r="EE197" s="16" t="str">
        <f t="shared" si="56"/>
        <v>Fiche info Avenant 1</v>
      </c>
      <c r="EF197" s="16" t="str">
        <f t="shared" si="57"/>
        <v>D</v>
      </c>
      <c r="EG197" s="16">
        <f t="shared" si="58"/>
        <v>7</v>
      </c>
      <c r="EH197" s="16" t="str">
        <f t="shared" si="59"/>
        <v>Dimanche</v>
      </c>
      <c r="EI197" s="16" t="str">
        <f t="shared" si="60"/>
        <v/>
      </c>
      <c r="FB197" s="16" t="str">
        <f t="shared" si="63"/>
        <v/>
      </c>
      <c r="FC197" s="16" t="str">
        <f t="shared" si="64"/>
        <v/>
      </c>
      <c r="FD197" s="30">
        <f t="shared" si="55"/>
        <v>44896</v>
      </c>
      <c r="FE197" s="30" t="str">
        <f>+IFERROR(VLOOKUP(FD197,BDD,83,FALSE),"")</f>
        <v/>
      </c>
      <c r="FF197" s="30" t="str">
        <f>+IFERROR(VLOOKUP(FD197,BDD,84,FALSE),"")</f>
        <v/>
      </c>
      <c r="FG197" s="30" t="str">
        <f>+IFERROR(VLOOKUP(FD197,BDD,85,FALSE),"")</f>
        <v/>
      </c>
      <c r="FH197" s="30" t="str">
        <f>+IFERROR(VLOOKUP(FD197,BDD,86,FALSE),"")</f>
        <v/>
      </c>
      <c r="FW197" s="16" t="str">
        <f>Juillet!GB28</f>
        <v>282026</v>
      </c>
      <c r="FX197" s="16">
        <f>Juillet!GC28</f>
        <v>0</v>
      </c>
      <c r="HI197" s="85">
        <f>+Juillet!AB29</f>
        <v>46213</v>
      </c>
      <c r="HJ197" s="27" t="str">
        <f>+Juillet!AD29</f>
        <v/>
      </c>
      <c r="HK197" s="16">
        <f t="shared" si="65"/>
        <v>0</v>
      </c>
      <c r="HL197" s="16" t="str">
        <f>IF(AND(HI197&gt;=DATE(Identification!$B$60,5,1),HI197&lt;=DATE(Identification!$B$60,10,31),SUM(HK197:HK211)=12),"OUI","")</f>
        <v/>
      </c>
    </row>
    <row r="198" spans="1:220" x14ac:dyDescent="0.2">
      <c r="A198" s="16" t="str">
        <f t="shared" si="52"/>
        <v>Fiche info Avenant 1E1</v>
      </c>
      <c r="B198" s="16" t="str">
        <f t="shared" si="53"/>
        <v>Fiche info Avenant 1</v>
      </c>
      <c r="C198" s="27" t="s">
        <v>234</v>
      </c>
      <c r="D198" s="27">
        <v>1</v>
      </c>
      <c r="E198" s="16" t="s">
        <v>17</v>
      </c>
      <c r="F198" s="34" t="str">
        <f>IF(+'Fiche info Avenant 1'!$BC$7=0,"",'Fiche info Avenant 1'!$BC$7)</f>
        <v/>
      </c>
      <c r="G198" s="16">
        <f t="shared" si="61"/>
        <v>0</v>
      </c>
      <c r="BX198" s="16" t="str">
        <f t="shared" si="62"/>
        <v>Fiche info Avenant 1E1</v>
      </c>
      <c r="BY198" s="431">
        <f>'Fiche info Avenant 1'!$AT$7</f>
        <v>0</v>
      </c>
      <c r="BZ198" s="431">
        <f>'Fiche info Avenant 1'!$AU$7</f>
        <v>0</v>
      </c>
      <c r="CA198" s="431">
        <f>'Fiche info Avenant 1'!$AV$7</f>
        <v>0</v>
      </c>
      <c r="CB198" s="431">
        <f>'Fiche info Avenant 1'!$AW$7</f>
        <v>0</v>
      </c>
      <c r="CC198" s="431">
        <f>'Fiche info Avenant 1'!$AX$7</f>
        <v>0</v>
      </c>
      <c r="CD198" s="431">
        <f>'Fiche info Avenant 1'!$AY$7</f>
        <v>0</v>
      </c>
      <c r="CE198" s="431">
        <f>'Fiche info Avenant 1'!$AZ$7</f>
        <v>0</v>
      </c>
      <c r="CF198" s="431">
        <f>'Fiche info Avenant 1'!$BA$7</f>
        <v>0</v>
      </c>
      <c r="ED198" s="16" t="str">
        <f t="shared" si="54"/>
        <v>Fiche info Avenant 1E</v>
      </c>
      <c r="EE198" s="16" t="str">
        <f t="shared" si="56"/>
        <v>Fiche info Avenant 1</v>
      </c>
      <c r="EF198" s="16" t="str">
        <f t="shared" si="57"/>
        <v>E</v>
      </c>
      <c r="EG198" s="16">
        <f t="shared" si="58"/>
        <v>1</v>
      </c>
      <c r="EH198" s="16" t="str">
        <f t="shared" si="59"/>
        <v>Lundi</v>
      </c>
      <c r="EI198" s="16" t="str">
        <f t="shared" si="60"/>
        <v/>
      </c>
      <c r="FB198" s="16" t="str">
        <f t="shared" si="63"/>
        <v/>
      </c>
      <c r="FC198" s="16" t="str">
        <f t="shared" si="64"/>
        <v/>
      </c>
      <c r="FD198" s="30">
        <f t="shared" si="55"/>
        <v>44866</v>
      </c>
      <c r="FE198" s="30" t="str">
        <f>+IFERROR(VLOOKUP(FD198,BDD,71,FALSE),"")</f>
        <v/>
      </c>
      <c r="FF198" s="30" t="str">
        <f>IFERROR(+VLOOKUP(FD198,BDD,72,FALSE),"")</f>
        <v/>
      </c>
      <c r="FG198" s="30" t="str">
        <f>+IFERROR(VLOOKUP(FD198,BDD,73,FALSE),"")</f>
        <v/>
      </c>
      <c r="FH198" s="30" t="str">
        <f>+IFERROR(VLOOKUP(FD198,BDD,74,FALSE),"")</f>
        <v/>
      </c>
      <c r="FW198" s="16" t="str">
        <f>Juillet!GB29</f>
        <v>282026</v>
      </c>
      <c r="FX198" s="16">
        <f>Juillet!GC29</f>
        <v>0</v>
      </c>
      <c r="HI198" s="85">
        <f>+Juillet!AB30</f>
        <v>46214</v>
      </c>
      <c r="HJ198" s="27" t="str">
        <f>+Juillet!AD30</f>
        <v/>
      </c>
      <c r="HK198" s="16">
        <f t="shared" si="65"/>
        <v>0</v>
      </c>
      <c r="HL198" s="16" t="str">
        <f>IF(AND(HI198&gt;=DATE(Identification!$B$60,5,1),HI198&lt;=DATE(Identification!$B$60,10,31),SUM(HK198:HK212)=12),"OUI","")</f>
        <v/>
      </c>
    </row>
    <row r="199" spans="1:220" x14ac:dyDescent="0.2">
      <c r="A199" s="16" t="str">
        <f t="shared" si="52"/>
        <v>Fiche info Avenant 1E2</v>
      </c>
      <c r="B199" s="16" t="str">
        <f t="shared" si="53"/>
        <v>Fiche info Avenant 1</v>
      </c>
      <c r="C199" s="27" t="s">
        <v>234</v>
      </c>
      <c r="D199" s="27">
        <v>2</v>
      </c>
      <c r="E199" s="16" t="s">
        <v>18</v>
      </c>
      <c r="F199" s="34" t="str">
        <f>IF(+'Fiche info Avenant 1'!$BC$8=0,"",'Fiche info Avenant 1'!$BC$8)</f>
        <v/>
      </c>
      <c r="G199" s="16">
        <f t="shared" si="61"/>
        <v>0</v>
      </c>
      <c r="BX199" s="16" t="str">
        <f t="shared" si="62"/>
        <v>Fiche info Avenant 1E2</v>
      </c>
      <c r="BY199" s="431">
        <f>'Fiche info Avenant 1'!$AT$8</f>
        <v>0</v>
      </c>
      <c r="BZ199" s="431">
        <f>'Fiche info Avenant 1'!$AU$8</f>
        <v>0</v>
      </c>
      <c r="CA199" s="431">
        <f>'Fiche info Avenant 1'!$AV$8</f>
        <v>0</v>
      </c>
      <c r="CB199" s="431">
        <f>'Fiche info Avenant 1'!$AW$8</f>
        <v>0</v>
      </c>
      <c r="CC199" s="431">
        <f>'Fiche info Avenant 1'!$AX$8</f>
        <v>0</v>
      </c>
      <c r="CD199" s="431">
        <f>'Fiche info Avenant 1'!$AY$8</f>
        <v>0</v>
      </c>
      <c r="CE199" s="431">
        <f>'Fiche info Avenant 1'!$AZ$8</f>
        <v>0</v>
      </c>
      <c r="CF199" s="431">
        <f>'Fiche info Avenant 1'!$BA$8</f>
        <v>0</v>
      </c>
      <c r="ED199" s="16" t="str">
        <f t="shared" si="54"/>
        <v>Fiche info Avenant 1E</v>
      </c>
      <c r="EE199" s="16" t="str">
        <f t="shared" si="56"/>
        <v>Fiche info Avenant 1</v>
      </c>
      <c r="EF199" s="16" t="str">
        <f t="shared" si="57"/>
        <v>E</v>
      </c>
      <c r="EG199" s="16">
        <f t="shared" si="58"/>
        <v>2</v>
      </c>
      <c r="EH199" s="16" t="str">
        <f t="shared" si="59"/>
        <v>Mardi</v>
      </c>
      <c r="EI199" s="16" t="str">
        <f t="shared" si="60"/>
        <v/>
      </c>
      <c r="FB199" s="16" t="str">
        <f t="shared" si="63"/>
        <v/>
      </c>
      <c r="FC199" s="16" t="str">
        <f t="shared" si="64"/>
        <v/>
      </c>
      <c r="FD199" s="30">
        <f t="shared" si="55"/>
        <v>44866</v>
      </c>
      <c r="FE199" s="30" t="str">
        <f>+IFERROR(VLOOKUP(FD199,BDD,75,FALSE),"")</f>
        <v/>
      </c>
      <c r="FF199" s="30" t="str">
        <f>+IFERROR(VLOOKUP(FD199,BDD,76,FALSE),"")</f>
        <v/>
      </c>
      <c r="FG199" s="30" t="str">
        <f>IFERROR(+VLOOKUP(FD199,BDD,77,FALSE),"")</f>
        <v/>
      </c>
      <c r="FH199" s="30" t="str">
        <f>+IFERROR(VLOOKUP(FD199,BDD,78,FALSE),"")</f>
        <v/>
      </c>
      <c r="FW199" s="16" t="str">
        <f>Juillet!GB30</f>
        <v>282026</v>
      </c>
      <c r="FX199" s="16">
        <f>Juillet!GC30</f>
        <v>0</v>
      </c>
      <c r="HI199" s="85">
        <f>+Juillet!AB31</f>
        <v>46215</v>
      </c>
      <c r="HJ199" s="27" t="str">
        <f>+Juillet!AD31</f>
        <v/>
      </c>
      <c r="HK199" s="16">
        <f t="shared" si="65"/>
        <v>0</v>
      </c>
      <c r="HL199" s="16" t="str">
        <f>IF(AND(HI199&gt;=DATE(Identification!$B$60,5,1),HI199&lt;=DATE(Identification!$B$60,10,31),SUM(HK199:HK213)=12),"OUI","")</f>
        <v/>
      </c>
    </row>
    <row r="200" spans="1:220" x14ac:dyDescent="0.2">
      <c r="A200" s="16" t="str">
        <f t="shared" si="52"/>
        <v>Fiche info Avenant 1E3</v>
      </c>
      <c r="B200" s="16" t="str">
        <f t="shared" si="53"/>
        <v>Fiche info Avenant 1</v>
      </c>
      <c r="C200" s="27" t="s">
        <v>234</v>
      </c>
      <c r="D200" s="27">
        <v>3</v>
      </c>
      <c r="E200" s="16" t="s">
        <v>19</v>
      </c>
      <c r="F200" s="34" t="str">
        <f>IF(+'Fiche info Avenant 1'!$BC$9=0,"",'Fiche info Avenant 1'!$BC$9)</f>
        <v/>
      </c>
      <c r="G200" s="16">
        <f t="shared" si="61"/>
        <v>0</v>
      </c>
      <c r="BX200" s="16" t="str">
        <f t="shared" si="62"/>
        <v>Fiche info Avenant 1E3</v>
      </c>
      <c r="BY200" s="431">
        <f>'Fiche info Avenant 1'!$AT$9</f>
        <v>0</v>
      </c>
      <c r="BZ200" s="431">
        <f>'Fiche info Avenant 1'!$AU$9</f>
        <v>0</v>
      </c>
      <c r="CA200" s="431">
        <f>'Fiche info Avenant 1'!$AV$9</f>
        <v>0</v>
      </c>
      <c r="CB200" s="431">
        <f>'Fiche info Avenant 1'!$AW$9</f>
        <v>0</v>
      </c>
      <c r="CC200" s="431">
        <f>'Fiche info Avenant 1'!$AX$9</f>
        <v>0</v>
      </c>
      <c r="CD200" s="431">
        <f>'Fiche info Avenant 1'!$AY$9</f>
        <v>0</v>
      </c>
      <c r="CE200" s="431">
        <f>'Fiche info Avenant 1'!$AZ$9</f>
        <v>0</v>
      </c>
      <c r="CF200" s="431">
        <f>'Fiche info Avenant 1'!$BA$9</f>
        <v>0</v>
      </c>
      <c r="ED200" s="16" t="str">
        <f t="shared" si="54"/>
        <v>Fiche info Avenant 1E</v>
      </c>
      <c r="EE200" s="16" t="str">
        <f t="shared" si="56"/>
        <v>Fiche info Avenant 1</v>
      </c>
      <c r="EF200" s="16" t="str">
        <f t="shared" si="57"/>
        <v>E</v>
      </c>
      <c r="EG200" s="16">
        <f t="shared" si="58"/>
        <v>3</v>
      </c>
      <c r="EH200" s="16" t="str">
        <f t="shared" si="59"/>
        <v>Mercredi</v>
      </c>
      <c r="EI200" s="16" t="str">
        <f t="shared" si="60"/>
        <v/>
      </c>
      <c r="FB200" s="16" t="str">
        <f t="shared" si="63"/>
        <v/>
      </c>
      <c r="FC200" s="16" t="str">
        <f t="shared" si="64"/>
        <v/>
      </c>
      <c r="FD200" s="30">
        <f t="shared" si="55"/>
        <v>44866</v>
      </c>
      <c r="FE200" s="30" t="str">
        <f>+IFERROR(VLOOKUP(FD200,BDD,79,FALSE),"")</f>
        <v/>
      </c>
      <c r="FF200" s="30" t="str">
        <f>IFERROR(+VLOOKUP(FD200,BDD,80,FALSE),"")</f>
        <v/>
      </c>
      <c r="FG200" s="30" t="str">
        <f>+IFERROR(VLOOKUP(FD200,BDD,81,FALSE),"")</f>
        <v/>
      </c>
      <c r="FH200" s="30" t="str">
        <f>+IFERROR(VLOOKUP(FD200,BDD,82,FALSE),"")</f>
        <v/>
      </c>
      <c r="FW200" s="16" t="str">
        <f>Juillet!GB31</f>
        <v>282026</v>
      </c>
      <c r="FX200" s="16">
        <f>Juillet!GC31</f>
        <v>0</v>
      </c>
      <c r="HI200" s="85">
        <f>+Juillet!AB32</f>
        <v>46216</v>
      </c>
      <c r="HJ200" s="27" t="str">
        <f>+Juillet!AD32</f>
        <v/>
      </c>
      <c r="HK200" s="16">
        <f t="shared" si="65"/>
        <v>0</v>
      </c>
      <c r="HL200" s="16" t="str">
        <f>IF(AND(HI200&gt;=DATE(Identification!$B$60,5,1),HI200&lt;=DATE(Identification!$B$60,10,31),SUM(HK200:HK214)=12),"OUI","")</f>
        <v/>
      </c>
    </row>
    <row r="201" spans="1:220" x14ac:dyDescent="0.2">
      <c r="A201" s="16" t="str">
        <f t="shared" si="52"/>
        <v>Fiche info Avenant 1E4</v>
      </c>
      <c r="B201" s="16" t="str">
        <f t="shared" si="53"/>
        <v>Fiche info Avenant 1</v>
      </c>
      <c r="C201" s="27" t="s">
        <v>234</v>
      </c>
      <c r="D201" s="27">
        <v>4</v>
      </c>
      <c r="E201" s="16" t="s">
        <v>20</v>
      </c>
      <c r="F201" s="34" t="str">
        <f>IF(+'Fiche info Avenant 1'!$BC$10=0,"",'Fiche info Avenant 1'!$BC$10)</f>
        <v/>
      </c>
      <c r="G201" s="16">
        <f t="shared" si="61"/>
        <v>0</v>
      </c>
      <c r="BX201" s="16" t="str">
        <f t="shared" si="62"/>
        <v>Fiche info Avenant 1E4</v>
      </c>
      <c r="BY201" s="431">
        <f>'Fiche info Avenant 1'!$AT$10</f>
        <v>0</v>
      </c>
      <c r="BZ201" s="431">
        <f>'Fiche info Avenant 1'!$AU$10</f>
        <v>0</v>
      </c>
      <c r="CA201" s="431">
        <f>'Fiche info Avenant 1'!$AV$10</f>
        <v>0</v>
      </c>
      <c r="CB201" s="431">
        <f>'Fiche info Avenant 1'!$AW$10</f>
        <v>0</v>
      </c>
      <c r="CC201" s="431">
        <f>'Fiche info Avenant 1'!$AX$10</f>
        <v>0</v>
      </c>
      <c r="CD201" s="431">
        <f>'Fiche info Avenant 1'!$AY$10</f>
        <v>0</v>
      </c>
      <c r="CE201" s="431">
        <f>'Fiche info Avenant 1'!$AZ$10</f>
        <v>0</v>
      </c>
      <c r="CF201" s="431">
        <f>'Fiche info Avenant 1'!$BA$10</f>
        <v>0</v>
      </c>
      <c r="ED201" s="16" t="str">
        <f t="shared" si="54"/>
        <v>Fiche info Avenant 1E</v>
      </c>
      <c r="EE201" s="16" t="str">
        <f t="shared" si="56"/>
        <v>Fiche info Avenant 1</v>
      </c>
      <c r="EF201" s="16" t="str">
        <f t="shared" si="57"/>
        <v>E</v>
      </c>
      <c r="EG201" s="16">
        <f t="shared" si="58"/>
        <v>4</v>
      </c>
      <c r="EH201" s="16" t="str">
        <f t="shared" si="59"/>
        <v>Jeudi</v>
      </c>
      <c r="EI201" s="16" t="str">
        <f t="shared" si="60"/>
        <v/>
      </c>
      <c r="FB201" s="16" t="str">
        <f t="shared" si="63"/>
        <v/>
      </c>
      <c r="FC201" s="16" t="str">
        <f t="shared" si="64"/>
        <v/>
      </c>
      <c r="FD201" s="30">
        <f t="shared" si="55"/>
        <v>44866</v>
      </c>
      <c r="FE201" s="30" t="str">
        <f>+IFERROR(VLOOKUP(FD201,BDD,83,FALSE),"")</f>
        <v/>
      </c>
      <c r="FF201" s="30" t="str">
        <f>+IFERROR(VLOOKUP(FD201,BDD,84,FALSE),"")</f>
        <v/>
      </c>
      <c r="FG201" s="30" t="str">
        <f>+IFERROR(VLOOKUP(FD201,BDD,85,FALSE),"")</f>
        <v/>
      </c>
      <c r="FH201" s="30" t="str">
        <f>+IFERROR(VLOOKUP(FD201,BDD,86,FALSE),"")</f>
        <v/>
      </c>
      <c r="FW201" s="16" t="str">
        <f>Juillet!GB32</f>
        <v>292026</v>
      </c>
      <c r="FX201" s="16">
        <f>Juillet!GC32</f>
        <v>0</v>
      </c>
      <c r="HI201" s="85">
        <f>+Juillet!AB33</f>
        <v>46217</v>
      </c>
      <c r="HJ201" s="27" t="str">
        <f>+Juillet!AD33</f>
        <v/>
      </c>
      <c r="HK201" s="16">
        <f t="shared" si="65"/>
        <v>0</v>
      </c>
      <c r="HL201" s="16" t="str">
        <f>IF(AND(HI201&gt;=DATE(Identification!$B$60,5,1),HI201&lt;=DATE(Identification!$B$60,10,31),SUM(HK201:HK215)=12),"OUI","")</f>
        <v/>
      </c>
    </row>
    <row r="202" spans="1:220" x14ac:dyDescent="0.2">
      <c r="A202" s="16" t="str">
        <f t="shared" si="52"/>
        <v>Fiche info Avenant 1E5</v>
      </c>
      <c r="B202" s="16" t="str">
        <f t="shared" si="53"/>
        <v>Fiche info Avenant 1</v>
      </c>
      <c r="C202" s="27" t="s">
        <v>234</v>
      </c>
      <c r="D202" s="27">
        <v>5</v>
      </c>
      <c r="E202" s="16" t="s">
        <v>21</v>
      </c>
      <c r="F202" s="34" t="str">
        <f>IF(+'Fiche info Avenant 1'!$BC$11=0,"",'Fiche info Avenant 1'!$BC$11)</f>
        <v/>
      </c>
      <c r="G202" s="16">
        <f t="shared" si="61"/>
        <v>0</v>
      </c>
      <c r="BX202" s="16" t="str">
        <f t="shared" si="62"/>
        <v>Fiche info Avenant 1E5</v>
      </c>
      <c r="BY202" s="431">
        <f>'Fiche info Avenant 1'!$AT$11</f>
        <v>0</v>
      </c>
      <c r="BZ202" s="431">
        <f>'Fiche info Avenant 1'!$AU$11</f>
        <v>0</v>
      </c>
      <c r="CA202" s="431">
        <f>'Fiche info Avenant 1'!$AV$11</f>
        <v>0</v>
      </c>
      <c r="CB202" s="431">
        <f>'Fiche info Avenant 1'!$AW$11</f>
        <v>0</v>
      </c>
      <c r="CC202" s="431">
        <f>'Fiche info Avenant 1'!$AX$11</f>
        <v>0</v>
      </c>
      <c r="CD202" s="431">
        <f>'Fiche info Avenant 1'!$AY$11</f>
        <v>0</v>
      </c>
      <c r="CE202" s="431">
        <f>'Fiche info Avenant 1'!$AZ$11</f>
        <v>0</v>
      </c>
      <c r="CF202" s="431">
        <f>'Fiche info Avenant 1'!$BA$11</f>
        <v>0</v>
      </c>
      <c r="ED202" s="16" t="str">
        <f t="shared" si="54"/>
        <v>Fiche info Avenant 1E</v>
      </c>
      <c r="EE202" s="16" t="str">
        <f t="shared" si="56"/>
        <v>Fiche info Avenant 1</v>
      </c>
      <c r="EF202" s="16" t="str">
        <f t="shared" si="57"/>
        <v>E</v>
      </c>
      <c r="EG202" s="16">
        <f t="shared" si="58"/>
        <v>5</v>
      </c>
      <c r="EH202" s="16" t="str">
        <f t="shared" si="59"/>
        <v>Vendredi</v>
      </c>
      <c r="EI202" s="16" t="str">
        <f t="shared" si="60"/>
        <v/>
      </c>
      <c r="FB202" s="16" t="str">
        <f t="shared" si="63"/>
        <v/>
      </c>
      <c r="FC202" s="16" t="str">
        <f t="shared" si="64"/>
        <v/>
      </c>
      <c r="FD202" s="30">
        <f t="shared" si="55"/>
        <v>44835</v>
      </c>
      <c r="FE202" s="30" t="str">
        <f>+IFERROR(VLOOKUP(FD202,BDD,71,FALSE),"")</f>
        <v/>
      </c>
      <c r="FF202" s="30" t="str">
        <f>IFERROR(+VLOOKUP(FD202,BDD,72,FALSE),"")</f>
        <v/>
      </c>
      <c r="FG202" s="30" t="str">
        <f>+IFERROR(VLOOKUP(FD202,BDD,73,FALSE),"")</f>
        <v/>
      </c>
      <c r="FH202" s="30" t="str">
        <f>+IFERROR(VLOOKUP(FD202,BDD,74,FALSE),"")</f>
        <v/>
      </c>
      <c r="FW202" s="16" t="str">
        <f>Juillet!GB33</f>
        <v>292026</v>
      </c>
      <c r="FX202" s="16">
        <f>Juillet!GC33</f>
        <v>0</v>
      </c>
      <c r="HI202" s="85">
        <f>+Juillet!AB34</f>
        <v>46218</v>
      </c>
      <c r="HJ202" s="27" t="str">
        <f>+Juillet!AD34</f>
        <v/>
      </c>
      <c r="HK202" s="16">
        <f t="shared" si="65"/>
        <v>0</v>
      </c>
      <c r="HL202" s="16" t="str">
        <f>IF(AND(HI202&gt;=DATE(Identification!$B$60,5,1),HI202&lt;=DATE(Identification!$B$60,10,31),SUM(HK202:HK216)=12),"OUI","")</f>
        <v/>
      </c>
    </row>
    <row r="203" spans="1:220" x14ac:dyDescent="0.2">
      <c r="A203" s="16" t="str">
        <f t="shared" si="52"/>
        <v>Fiche info Avenant 1E6</v>
      </c>
      <c r="B203" s="16" t="str">
        <f t="shared" si="53"/>
        <v>Fiche info Avenant 1</v>
      </c>
      <c r="C203" s="27" t="s">
        <v>234</v>
      </c>
      <c r="D203" s="27">
        <v>6</v>
      </c>
      <c r="E203" s="16" t="s">
        <v>184</v>
      </c>
      <c r="F203" s="34" t="str">
        <f>IF(+'Fiche info Avenant 1'!$BC$12=0,"",'Fiche info Avenant 1'!$BC$12)</f>
        <v/>
      </c>
      <c r="G203" s="16">
        <f t="shared" si="61"/>
        <v>0</v>
      </c>
      <c r="BX203" s="16" t="str">
        <f t="shared" si="62"/>
        <v>Fiche info Avenant 1E6</v>
      </c>
      <c r="BY203" s="431">
        <f>'Fiche info Avenant 1'!$AT$12</f>
        <v>0</v>
      </c>
      <c r="BZ203" s="431">
        <f>'Fiche info Avenant 1'!$AU$12</f>
        <v>0</v>
      </c>
      <c r="CA203" s="431">
        <f>'Fiche info Avenant 1'!$AV$12</f>
        <v>0</v>
      </c>
      <c r="CB203" s="431">
        <f>'Fiche info Avenant 1'!$AW$12</f>
        <v>0</v>
      </c>
      <c r="CC203" s="431">
        <f>'Fiche info Avenant 1'!$AX$12</f>
        <v>0</v>
      </c>
      <c r="CD203" s="431">
        <f>'Fiche info Avenant 1'!$AY$12</f>
        <v>0</v>
      </c>
      <c r="CE203" s="431">
        <f>'Fiche info Avenant 1'!$AZ$12</f>
        <v>0</v>
      </c>
      <c r="CF203" s="431">
        <f>'Fiche info Avenant 1'!$BA$12</f>
        <v>0</v>
      </c>
      <c r="ED203" s="16" t="str">
        <f t="shared" si="54"/>
        <v>Fiche info Avenant 1E</v>
      </c>
      <c r="EE203" s="16" t="str">
        <f t="shared" si="56"/>
        <v>Fiche info Avenant 1</v>
      </c>
      <c r="EF203" s="16" t="str">
        <f t="shared" si="57"/>
        <v>E</v>
      </c>
      <c r="EG203" s="16">
        <f t="shared" si="58"/>
        <v>6</v>
      </c>
      <c r="EH203" s="16" t="str">
        <f t="shared" si="59"/>
        <v>Samedi</v>
      </c>
      <c r="EI203" s="16" t="str">
        <f t="shared" si="60"/>
        <v/>
      </c>
      <c r="FB203" s="16" t="str">
        <f t="shared" si="63"/>
        <v/>
      </c>
      <c r="FC203" s="16" t="str">
        <f t="shared" si="64"/>
        <v/>
      </c>
      <c r="FD203" s="30">
        <f t="shared" si="55"/>
        <v>44835</v>
      </c>
      <c r="FE203" s="30" t="str">
        <f>+IFERROR(VLOOKUP(FD203,BDD,75,FALSE),"")</f>
        <v/>
      </c>
      <c r="FF203" s="30" t="str">
        <f>+IFERROR(VLOOKUP(FD203,BDD,76,FALSE),"")</f>
        <v/>
      </c>
      <c r="FG203" s="30" t="str">
        <f>IFERROR(+VLOOKUP(FD203,BDD,77,FALSE),"")</f>
        <v/>
      </c>
      <c r="FH203" s="30" t="str">
        <f>+IFERROR(VLOOKUP(FD203,BDD,78,FALSE),"")</f>
        <v/>
      </c>
      <c r="FW203" s="16" t="str">
        <f>Juillet!GB34</f>
        <v>292026</v>
      </c>
      <c r="FX203" s="16">
        <f>Juillet!GC34</f>
        <v>0</v>
      </c>
      <c r="HI203" s="85">
        <f>+Juillet!AB35</f>
        <v>46219</v>
      </c>
      <c r="HJ203" s="27" t="str">
        <f>+Juillet!AD35</f>
        <v/>
      </c>
      <c r="HK203" s="16">
        <f t="shared" si="65"/>
        <v>0</v>
      </c>
      <c r="HL203" s="16" t="str">
        <f>IF(AND(HI203&gt;=DATE(Identification!$B$60,5,1),HI203&lt;=DATE(Identification!$B$60,10,31),SUM(HK203:HK217)=12),"OUI","")</f>
        <v/>
      </c>
    </row>
    <row r="204" spans="1:220" x14ac:dyDescent="0.2">
      <c r="A204" s="16" t="str">
        <f t="shared" si="52"/>
        <v>Fiche info Avenant 1E7</v>
      </c>
      <c r="B204" s="16" t="str">
        <f t="shared" si="53"/>
        <v>Fiche info Avenant 1</v>
      </c>
      <c r="C204" s="27" t="s">
        <v>234</v>
      </c>
      <c r="D204" s="27">
        <v>7</v>
      </c>
      <c r="E204" s="16" t="s">
        <v>185</v>
      </c>
      <c r="F204" s="34" t="str">
        <f>IF(+'Fiche info Avenant 1'!$BC$13=0,"",'Fiche info Avenant 1'!$BC$13)</f>
        <v/>
      </c>
      <c r="G204" s="16">
        <f t="shared" si="61"/>
        <v>0</v>
      </c>
      <c r="BX204" s="16" t="str">
        <f t="shared" si="62"/>
        <v>Fiche info Avenant 1E7</v>
      </c>
      <c r="BY204" s="431">
        <f>'Fiche info Avenant 1'!$AT$13</f>
        <v>0</v>
      </c>
      <c r="BZ204" s="431">
        <f>'Fiche info Avenant 1'!$AU$13</f>
        <v>0</v>
      </c>
      <c r="CA204" s="431">
        <f>'Fiche info Avenant 1'!$AV$13</f>
        <v>0</v>
      </c>
      <c r="CB204" s="431">
        <f>'Fiche info Avenant 1'!$AW$13</f>
        <v>0</v>
      </c>
      <c r="CC204" s="431">
        <f>'Fiche info Avenant 1'!$AX$13</f>
        <v>0</v>
      </c>
      <c r="CD204" s="431">
        <f>'Fiche info Avenant 1'!$AY$13</f>
        <v>0</v>
      </c>
      <c r="CE204" s="431">
        <f>'Fiche info Avenant 1'!$AZ$13</f>
        <v>0</v>
      </c>
      <c r="CF204" s="431">
        <f>'Fiche info Avenant 1'!$BA$13</f>
        <v>0</v>
      </c>
      <c r="ED204" s="16" t="str">
        <f t="shared" si="54"/>
        <v>Fiche info Avenant 1E</v>
      </c>
      <c r="EE204" s="16" t="str">
        <f t="shared" si="56"/>
        <v>Fiche info Avenant 1</v>
      </c>
      <c r="EF204" s="16" t="str">
        <f t="shared" si="57"/>
        <v>E</v>
      </c>
      <c r="EG204" s="16">
        <f t="shared" si="58"/>
        <v>7</v>
      </c>
      <c r="EH204" s="16" t="str">
        <f t="shared" si="59"/>
        <v>Dimanche</v>
      </c>
      <c r="EI204" s="16" t="str">
        <f t="shared" si="60"/>
        <v/>
      </c>
      <c r="FB204" s="16" t="str">
        <f t="shared" si="63"/>
        <v/>
      </c>
      <c r="FC204" s="16" t="str">
        <f t="shared" si="64"/>
        <v/>
      </c>
      <c r="FD204" s="30">
        <f t="shared" si="55"/>
        <v>44835</v>
      </c>
      <c r="FE204" s="30" t="str">
        <f>+IFERROR(VLOOKUP(FD204,BDD,79,FALSE),"")</f>
        <v/>
      </c>
      <c r="FF204" s="30" t="str">
        <f>IFERROR(+VLOOKUP(FD204,BDD,80,FALSE),"")</f>
        <v/>
      </c>
      <c r="FG204" s="30" t="str">
        <f>+IFERROR(VLOOKUP(FD204,BDD,81,FALSE),"")</f>
        <v/>
      </c>
      <c r="FH204" s="30" t="str">
        <f>+IFERROR(VLOOKUP(FD204,BDD,82,FALSE),"")</f>
        <v/>
      </c>
      <c r="FW204" s="16" t="str">
        <f>Juillet!GB35</f>
        <v>292026</v>
      </c>
      <c r="FX204" s="16">
        <f>Juillet!GC35</f>
        <v>0</v>
      </c>
      <c r="HI204" s="85">
        <f>+Juillet!AB36</f>
        <v>46220</v>
      </c>
      <c r="HJ204" s="27" t="str">
        <f>+Juillet!AD36</f>
        <v/>
      </c>
      <c r="HK204" s="16">
        <f t="shared" si="65"/>
        <v>0</v>
      </c>
      <c r="HL204" s="16" t="str">
        <f>IF(AND(HI204&gt;=DATE(Identification!$B$60,5,1),HI204&lt;=DATE(Identification!$B$60,10,31),SUM(HK204:HK218)=12),"OUI","")</f>
        <v/>
      </c>
    </row>
    <row r="205" spans="1:220" x14ac:dyDescent="0.2">
      <c r="A205" s="16" t="str">
        <f t="shared" si="52"/>
        <v>Fiche info Avenant 1F1</v>
      </c>
      <c r="B205" s="16" t="str">
        <f t="shared" si="53"/>
        <v>Fiche info Avenant 1</v>
      </c>
      <c r="C205" s="27" t="s">
        <v>235</v>
      </c>
      <c r="D205" s="27">
        <v>1</v>
      </c>
      <c r="E205" s="16" t="s">
        <v>17</v>
      </c>
      <c r="F205" s="34" t="str">
        <f>+IF('Fiche info Avenant 1'!$BN$7=0,"",'Fiche info Avenant 1'!$BN$7)</f>
        <v/>
      </c>
      <c r="G205" s="16">
        <f t="shared" si="61"/>
        <v>0</v>
      </c>
      <c r="BX205" s="16" t="str">
        <f t="shared" si="62"/>
        <v>Fiche info Avenant 1F1</v>
      </c>
      <c r="BY205" s="431">
        <f>'Fiche info Avenant 1'!$BE$7</f>
        <v>0</v>
      </c>
      <c r="BZ205" s="431">
        <f>'Fiche info Avenant 1'!$BF$7</f>
        <v>0</v>
      </c>
      <c r="CA205" s="431">
        <f>'Fiche info Avenant 1'!$BG$7</f>
        <v>0</v>
      </c>
      <c r="CB205" s="431">
        <f>'Fiche info Avenant 1'!$BH$7</f>
        <v>0</v>
      </c>
      <c r="CC205" s="431">
        <f>'Fiche info Avenant 1'!$BI$7</f>
        <v>0</v>
      </c>
      <c r="CD205" s="431">
        <f>'Fiche info Avenant 1'!$BJ$7</f>
        <v>0</v>
      </c>
      <c r="CE205" s="431">
        <f>'Fiche info Avenant 1'!$BK$7</f>
        <v>0</v>
      </c>
      <c r="CF205" s="431">
        <f>'Fiche info Avenant 1'!$BL$7</f>
        <v>0</v>
      </c>
      <c r="ED205" s="16" t="str">
        <f t="shared" si="54"/>
        <v>Fiche info Avenant 1F</v>
      </c>
      <c r="EE205" s="16" t="str">
        <f t="shared" si="56"/>
        <v>Fiche info Avenant 1</v>
      </c>
      <c r="EF205" s="16" t="str">
        <f t="shared" si="57"/>
        <v>F</v>
      </c>
      <c r="EG205" s="16">
        <f t="shared" si="58"/>
        <v>1</v>
      </c>
      <c r="EH205" s="16" t="str">
        <f t="shared" si="59"/>
        <v>Lundi</v>
      </c>
      <c r="EI205" s="16" t="str">
        <f t="shared" si="60"/>
        <v/>
      </c>
      <c r="FB205" s="16" t="str">
        <f t="shared" si="63"/>
        <v/>
      </c>
      <c r="FC205" s="16" t="str">
        <f t="shared" si="64"/>
        <v/>
      </c>
      <c r="FD205" s="30">
        <f t="shared" si="55"/>
        <v>44835</v>
      </c>
      <c r="FE205" s="30" t="str">
        <f>+IFERROR(VLOOKUP(FD205,BDD,83,FALSE),"")</f>
        <v/>
      </c>
      <c r="FF205" s="30" t="str">
        <f>+IFERROR(VLOOKUP(FD205,BDD,84,FALSE),"")</f>
        <v/>
      </c>
      <c r="FG205" s="30" t="str">
        <f>+IFERROR(VLOOKUP(FD205,BDD,85,FALSE),"")</f>
        <v/>
      </c>
      <c r="FH205" s="30" t="str">
        <f>+IFERROR(VLOOKUP(FD205,BDD,86,FALSE),"")</f>
        <v/>
      </c>
      <c r="FW205" s="16" t="str">
        <f>Juillet!GB36</f>
        <v>292026</v>
      </c>
      <c r="FX205" s="16">
        <f>Juillet!GC36</f>
        <v>0</v>
      </c>
      <c r="HI205" s="85">
        <f>+Juillet!AB37</f>
        <v>46221</v>
      </c>
      <c r="HJ205" s="27" t="str">
        <f>+Juillet!AD37</f>
        <v/>
      </c>
      <c r="HK205" s="16">
        <f t="shared" si="65"/>
        <v>0</v>
      </c>
      <c r="HL205" s="16" t="str">
        <f>IF(AND(HI205&gt;=DATE(Identification!$B$60,5,1),HI205&lt;=DATE(Identification!$B$60,10,31),SUM(HK205:HK219)=12),"OUI","")</f>
        <v/>
      </c>
    </row>
    <row r="206" spans="1:220" x14ac:dyDescent="0.2">
      <c r="A206" s="16" t="str">
        <f t="shared" si="52"/>
        <v>Fiche info Avenant 1F2</v>
      </c>
      <c r="B206" s="16" t="str">
        <f t="shared" si="53"/>
        <v>Fiche info Avenant 1</v>
      </c>
      <c r="C206" s="27" t="s">
        <v>235</v>
      </c>
      <c r="D206" s="27">
        <v>2</v>
      </c>
      <c r="E206" s="16" t="s">
        <v>18</v>
      </c>
      <c r="F206" s="34" t="str">
        <f>+IF('Fiche info Avenant 1'!$BN$8=0,"",'Fiche info Avenant 1'!$BN$8)</f>
        <v/>
      </c>
      <c r="G206" s="16">
        <f t="shared" si="61"/>
        <v>0</v>
      </c>
      <c r="BX206" s="16" t="str">
        <f t="shared" si="62"/>
        <v>Fiche info Avenant 1F2</v>
      </c>
      <c r="BY206" s="431">
        <f>'Fiche info Avenant 1'!$BE$8</f>
        <v>0</v>
      </c>
      <c r="BZ206" s="431">
        <f>'Fiche info Avenant 1'!$BF$8</f>
        <v>0</v>
      </c>
      <c r="CA206" s="431">
        <f>'Fiche info Avenant 1'!$BG$8</f>
        <v>0</v>
      </c>
      <c r="CB206" s="431">
        <f>'Fiche info Avenant 1'!$BH$8</f>
        <v>0</v>
      </c>
      <c r="CC206" s="431">
        <f>'Fiche info Avenant 1'!$BI$8</f>
        <v>0</v>
      </c>
      <c r="CD206" s="431">
        <f>'Fiche info Avenant 1'!$BJ$8</f>
        <v>0</v>
      </c>
      <c r="CE206" s="431">
        <f>'Fiche info Avenant 1'!$BK$8</f>
        <v>0</v>
      </c>
      <c r="CF206" s="431">
        <f>'Fiche info Avenant 1'!$BL$8</f>
        <v>0</v>
      </c>
      <c r="ED206" s="16" t="str">
        <f t="shared" si="54"/>
        <v>Fiche info Avenant 1F</v>
      </c>
      <c r="EE206" s="16" t="str">
        <f t="shared" si="56"/>
        <v>Fiche info Avenant 1</v>
      </c>
      <c r="EF206" s="16" t="str">
        <f t="shared" si="57"/>
        <v>F</v>
      </c>
      <c r="EG206" s="16">
        <f t="shared" si="58"/>
        <v>2</v>
      </c>
      <c r="EH206" s="16" t="str">
        <f t="shared" si="59"/>
        <v>Mardi</v>
      </c>
      <c r="EI206" s="16" t="str">
        <f t="shared" si="60"/>
        <v/>
      </c>
      <c r="FB206" s="16" t="str">
        <f t="shared" si="63"/>
        <v/>
      </c>
      <c r="FC206" s="16" t="str">
        <f t="shared" si="64"/>
        <v/>
      </c>
      <c r="FD206" s="30">
        <f t="shared" si="55"/>
        <v>44805</v>
      </c>
      <c r="FE206" s="30" t="str">
        <f>+IFERROR(VLOOKUP(FD206,BDD,71,FALSE),"")</f>
        <v/>
      </c>
      <c r="FF206" s="30" t="str">
        <f>IFERROR(+VLOOKUP(FD206,BDD,72,FALSE),"")</f>
        <v/>
      </c>
      <c r="FG206" s="30" t="str">
        <f>+IFERROR(VLOOKUP(FD206,BDD,73,FALSE),"")</f>
        <v/>
      </c>
      <c r="FH206" s="30" t="str">
        <f>+IFERROR(VLOOKUP(FD206,BDD,74,FALSE),"")</f>
        <v/>
      </c>
      <c r="FW206" s="16" t="str">
        <f>Juillet!GB37</f>
        <v>292026</v>
      </c>
      <c r="FX206" s="16">
        <f>Juillet!GC37</f>
        <v>0</v>
      </c>
      <c r="HI206" s="85">
        <f>+Juillet!AB38</f>
        <v>46222</v>
      </c>
      <c r="HJ206" s="27" t="str">
        <f>+Juillet!AD38</f>
        <v/>
      </c>
      <c r="HK206" s="16">
        <f t="shared" si="65"/>
        <v>0</v>
      </c>
      <c r="HL206" s="16" t="str">
        <f>IF(AND(HI206&gt;=DATE(Identification!$B$60,5,1),HI206&lt;=DATE(Identification!$B$60,10,31),SUM(HK206:HK220)=12),"OUI","")</f>
        <v/>
      </c>
    </row>
    <row r="207" spans="1:220" x14ac:dyDescent="0.2">
      <c r="A207" s="16" t="str">
        <f t="shared" si="52"/>
        <v>Fiche info Avenant 1F3</v>
      </c>
      <c r="B207" s="16" t="str">
        <f t="shared" si="53"/>
        <v>Fiche info Avenant 1</v>
      </c>
      <c r="C207" s="27" t="s">
        <v>235</v>
      </c>
      <c r="D207" s="27">
        <v>3</v>
      </c>
      <c r="E207" s="16" t="s">
        <v>19</v>
      </c>
      <c r="F207" s="34" t="str">
        <f>+IF('Fiche info Avenant 1'!$BN$9=0,"",'Fiche info Avenant 1'!$BN$9)</f>
        <v/>
      </c>
      <c r="G207" s="16">
        <f t="shared" si="61"/>
        <v>0</v>
      </c>
      <c r="BX207" s="16" t="str">
        <f t="shared" si="62"/>
        <v>Fiche info Avenant 1F3</v>
      </c>
      <c r="BY207" s="431">
        <f>'Fiche info Avenant 1'!$BE$9</f>
        <v>0</v>
      </c>
      <c r="BZ207" s="431">
        <f>'Fiche info Avenant 1'!$BF$9</f>
        <v>0</v>
      </c>
      <c r="CA207" s="431">
        <f>'Fiche info Avenant 1'!$BG$9</f>
        <v>0</v>
      </c>
      <c r="CB207" s="431">
        <f>'Fiche info Avenant 1'!$BH$9</f>
        <v>0</v>
      </c>
      <c r="CC207" s="431">
        <f>'Fiche info Avenant 1'!$BI$9</f>
        <v>0</v>
      </c>
      <c r="CD207" s="431">
        <f>'Fiche info Avenant 1'!$BJ$9</f>
        <v>0</v>
      </c>
      <c r="CE207" s="431">
        <f>'Fiche info Avenant 1'!$BK$9</f>
        <v>0</v>
      </c>
      <c r="CF207" s="431">
        <f>'Fiche info Avenant 1'!$BL$9</f>
        <v>0</v>
      </c>
      <c r="ED207" s="16" t="str">
        <f t="shared" si="54"/>
        <v>Fiche info Avenant 1F</v>
      </c>
      <c r="EE207" s="16" t="str">
        <f t="shared" si="56"/>
        <v>Fiche info Avenant 1</v>
      </c>
      <c r="EF207" s="16" t="str">
        <f t="shared" si="57"/>
        <v>F</v>
      </c>
      <c r="EG207" s="16">
        <f t="shared" si="58"/>
        <v>3</v>
      </c>
      <c r="EH207" s="16" t="str">
        <f t="shared" si="59"/>
        <v>Mercredi</v>
      </c>
      <c r="EI207" s="16" t="str">
        <f t="shared" si="60"/>
        <v/>
      </c>
      <c r="FB207" s="16" t="str">
        <f t="shared" si="63"/>
        <v/>
      </c>
      <c r="FC207" s="16" t="str">
        <f t="shared" si="64"/>
        <v/>
      </c>
      <c r="FD207" s="30">
        <f t="shared" si="55"/>
        <v>44805</v>
      </c>
      <c r="FE207" s="30" t="str">
        <f>+IFERROR(VLOOKUP(FD207,BDD,75,FALSE),"")</f>
        <v/>
      </c>
      <c r="FF207" s="30" t="str">
        <f>+IFERROR(VLOOKUP(FD207,BDD,76,FALSE),"")</f>
        <v/>
      </c>
      <c r="FG207" s="30" t="str">
        <f>IFERROR(+VLOOKUP(FD207,BDD,77,FALSE),"")</f>
        <v/>
      </c>
      <c r="FH207" s="30" t="str">
        <f>+IFERROR(VLOOKUP(FD207,BDD,78,FALSE),"")</f>
        <v/>
      </c>
      <c r="FW207" s="16" t="str">
        <f>Juillet!GB38</f>
        <v>292026</v>
      </c>
      <c r="FX207" s="16">
        <f>Juillet!GC38</f>
        <v>0</v>
      </c>
      <c r="HI207" s="85">
        <f>+Juillet!AB39</f>
        <v>46223</v>
      </c>
      <c r="HJ207" s="27" t="str">
        <f>+Juillet!AD39</f>
        <v/>
      </c>
      <c r="HK207" s="16">
        <f t="shared" si="65"/>
        <v>0</v>
      </c>
      <c r="HL207" s="16" t="str">
        <f>IF(AND(HI207&gt;=DATE(Identification!$B$60,5,1),HI207&lt;=DATE(Identification!$B$60,10,31),SUM(HK207:HK221)=12),"OUI","")</f>
        <v/>
      </c>
    </row>
    <row r="208" spans="1:220" x14ac:dyDescent="0.2">
      <c r="A208" s="16" t="str">
        <f t="shared" si="52"/>
        <v>Fiche info Avenant 1F4</v>
      </c>
      <c r="B208" s="16" t="str">
        <f t="shared" si="53"/>
        <v>Fiche info Avenant 1</v>
      </c>
      <c r="C208" s="27" t="s">
        <v>235</v>
      </c>
      <c r="D208" s="27">
        <v>4</v>
      </c>
      <c r="E208" s="16" t="s">
        <v>20</v>
      </c>
      <c r="F208" s="34" t="str">
        <f>+IF('Fiche info Avenant 1'!$BN$10=0,"",'Fiche info Avenant 1'!$BN$10)</f>
        <v/>
      </c>
      <c r="G208" s="16">
        <f t="shared" si="61"/>
        <v>0</v>
      </c>
      <c r="BX208" s="16" t="str">
        <f t="shared" si="62"/>
        <v>Fiche info Avenant 1F4</v>
      </c>
      <c r="BY208" s="431">
        <f>'Fiche info Avenant 1'!$BE$10</f>
        <v>0</v>
      </c>
      <c r="BZ208" s="431">
        <f>'Fiche info Avenant 1'!$BF$10</f>
        <v>0</v>
      </c>
      <c r="CA208" s="431">
        <f>'Fiche info Avenant 1'!$BG$10</f>
        <v>0</v>
      </c>
      <c r="CB208" s="431">
        <f>'Fiche info Avenant 1'!$BH$10</f>
        <v>0</v>
      </c>
      <c r="CC208" s="431">
        <f>'Fiche info Avenant 1'!$BI$10</f>
        <v>0</v>
      </c>
      <c r="CD208" s="431">
        <f>'Fiche info Avenant 1'!$BJ$10</f>
        <v>0</v>
      </c>
      <c r="CE208" s="431">
        <f>'Fiche info Avenant 1'!$BK$10</f>
        <v>0</v>
      </c>
      <c r="CF208" s="431">
        <f>'Fiche info Avenant 1'!$BL$10</f>
        <v>0</v>
      </c>
      <c r="ED208" s="16" t="str">
        <f t="shared" si="54"/>
        <v>Fiche info Avenant 1F</v>
      </c>
      <c r="EE208" s="16" t="str">
        <f t="shared" si="56"/>
        <v>Fiche info Avenant 1</v>
      </c>
      <c r="EF208" s="16" t="str">
        <f t="shared" si="57"/>
        <v>F</v>
      </c>
      <c r="EG208" s="16">
        <f t="shared" si="58"/>
        <v>4</v>
      </c>
      <c r="EH208" s="16" t="str">
        <f t="shared" si="59"/>
        <v>Jeudi</v>
      </c>
      <c r="EI208" s="16" t="str">
        <f t="shared" si="60"/>
        <v/>
      </c>
      <c r="FB208" s="16" t="str">
        <f t="shared" si="63"/>
        <v/>
      </c>
      <c r="FC208" s="16" t="str">
        <f t="shared" si="64"/>
        <v/>
      </c>
      <c r="FD208" s="30">
        <f t="shared" si="55"/>
        <v>44805</v>
      </c>
      <c r="FE208" s="30" t="str">
        <f>+IFERROR(VLOOKUP(FD208,BDD,79,FALSE),"")</f>
        <v/>
      </c>
      <c r="FF208" s="30" t="str">
        <f>IFERROR(+VLOOKUP(FD208,BDD,80,FALSE),"")</f>
        <v/>
      </c>
      <c r="FG208" s="30" t="str">
        <f>+IFERROR(VLOOKUP(FD208,BDD,81,FALSE),"")</f>
        <v/>
      </c>
      <c r="FH208" s="30" t="str">
        <f>+IFERROR(VLOOKUP(FD208,BDD,82,FALSE),"")</f>
        <v/>
      </c>
      <c r="FW208" s="16" t="str">
        <f>Juillet!GB39</f>
        <v>302026</v>
      </c>
      <c r="FX208" s="16">
        <f>Juillet!GC39</f>
        <v>0</v>
      </c>
      <c r="HI208" s="85">
        <f>+Juillet!AB40</f>
        <v>46224</v>
      </c>
      <c r="HJ208" s="27" t="str">
        <f>+Juillet!AD40</f>
        <v/>
      </c>
      <c r="HK208" s="16">
        <f t="shared" si="65"/>
        <v>0</v>
      </c>
      <c r="HL208" s="16" t="str">
        <f>IF(AND(HI208&gt;=DATE(Identification!$B$60,5,1),HI208&lt;=DATE(Identification!$B$60,10,31),SUM(HK208:HK222)=12),"OUI","")</f>
        <v/>
      </c>
    </row>
    <row r="209" spans="1:220" x14ac:dyDescent="0.2">
      <c r="A209" s="16" t="str">
        <f t="shared" si="52"/>
        <v>Fiche info Avenant 1F5</v>
      </c>
      <c r="B209" s="16" t="str">
        <f t="shared" si="53"/>
        <v>Fiche info Avenant 1</v>
      </c>
      <c r="C209" s="27" t="s">
        <v>235</v>
      </c>
      <c r="D209" s="27">
        <v>5</v>
      </c>
      <c r="E209" s="16" t="s">
        <v>21</v>
      </c>
      <c r="F209" s="34" t="str">
        <f>+IF('Fiche info Avenant 1'!$BN$11=0,"",'Fiche info Avenant 1'!$BN$11)</f>
        <v/>
      </c>
      <c r="G209" s="16">
        <f t="shared" si="61"/>
        <v>0</v>
      </c>
      <c r="BX209" s="16" t="str">
        <f t="shared" si="62"/>
        <v>Fiche info Avenant 1F5</v>
      </c>
      <c r="BY209" s="431">
        <f>'Fiche info Avenant 1'!$BE$11</f>
        <v>0</v>
      </c>
      <c r="BZ209" s="431">
        <f>'Fiche info Avenant 1'!$BF$11</f>
        <v>0</v>
      </c>
      <c r="CA209" s="431">
        <f>'Fiche info Avenant 1'!$BG$11</f>
        <v>0</v>
      </c>
      <c r="CB209" s="431">
        <f>'Fiche info Avenant 1'!$BH$11</f>
        <v>0</v>
      </c>
      <c r="CC209" s="431">
        <f>'Fiche info Avenant 1'!$BI$11</f>
        <v>0</v>
      </c>
      <c r="CD209" s="431">
        <f>'Fiche info Avenant 1'!$BJ$11</f>
        <v>0</v>
      </c>
      <c r="CE209" s="431">
        <f>'Fiche info Avenant 1'!$BK$11</f>
        <v>0</v>
      </c>
      <c r="CF209" s="431">
        <f>'Fiche info Avenant 1'!$BL$11</f>
        <v>0</v>
      </c>
      <c r="ED209" s="16" t="str">
        <f t="shared" si="54"/>
        <v>Fiche info Avenant 1F</v>
      </c>
      <c r="EE209" s="16" t="str">
        <f t="shared" si="56"/>
        <v>Fiche info Avenant 1</v>
      </c>
      <c r="EF209" s="16" t="str">
        <f t="shared" si="57"/>
        <v>F</v>
      </c>
      <c r="EG209" s="16">
        <f t="shared" si="58"/>
        <v>5</v>
      </c>
      <c r="EH209" s="16" t="str">
        <f t="shared" si="59"/>
        <v>Vendredi</v>
      </c>
      <c r="EI209" s="16" t="str">
        <f t="shared" si="60"/>
        <v/>
      </c>
      <c r="FB209" s="16" t="str">
        <f t="shared" si="63"/>
        <v/>
      </c>
      <c r="FC209" s="16" t="str">
        <f t="shared" si="64"/>
        <v/>
      </c>
      <c r="FD209" s="30">
        <f t="shared" si="55"/>
        <v>44805</v>
      </c>
      <c r="FE209" s="30" t="str">
        <f>+IFERROR(VLOOKUP(FD209,BDD,83,FALSE),"")</f>
        <v/>
      </c>
      <c r="FF209" s="30" t="str">
        <f>+IFERROR(VLOOKUP(FD209,BDD,84,FALSE),"")</f>
        <v/>
      </c>
      <c r="FG209" s="30" t="str">
        <f>+IFERROR(VLOOKUP(FD209,BDD,85,FALSE),"")</f>
        <v/>
      </c>
      <c r="FH209" s="30" t="str">
        <f>+IFERROR(VLOOKUP(FD209,BDD,86,FALSE),"")</f>
        <v/>
      </c>
      <c r="FW209" s="16" t="str">
        <f>Juillet!GB40</f>
        <v>302026</v>
      </c>
      <c r="FX209" s="16">
        <f>Juillet!GC40</f>
        <v>0</v>
      </c>
      <c r="HI209" s="85">
        <f>+Juillet!AB41</f>
        <v>46225</v>
      </c>
      <c r="HJ209" s="27" t="str">
        <f>+Juillet!AD41</f>
        <v/>
      </c>
      <c r="HK209" s="16">
        <f t="shared" si="65"/>
        <v>0</v>
      </c>
      <c r="HL209" s="16" t="str">
        <f>IF(AND(HI209&gt;=DATE(Identification!$B$60,5,1),HI209&lt;=DATE(Identification!$B$60,10,31),SUM(HK209:HK223)=12),"OUI","")</f>
        <v/>
      </c>
    </row>
    <row r="210" spans="1:220" x14ac:dyDescent="0.2">
      <c r="A210" s="16" t="str">
        <f t="shared" si="52"/>
        <v>Fiche info Avenant 1F6</v>
      </c>
      <c r="B210" s="16" t="str">
        <f t="shared" si="53"/>
        <v>Fiche info Avenant 1</v>
      </c>
      <c r="C210" s="27" t="s">
        <v>235</v>
      </c>
      <c r="D210" s="27">
        <v>6</v>
      </c>
      <c r="E210" s="16" t="s">
        <v>184</v>
      </c>
      <c r="F210" s="34" t="str">
        <f>+IF('Fiche info Avenant 1'!$BN$12=0,"",'Fiche info Avenant 1'!$BN$12)</f>
        <v/>
      </c>
      <c r="G210" s="16">
        <f t="shared" si="61"/>
        <v>0</v>
      </c>
      <c r="BX210" s="16" t="str">
        <f t="shared" si="62"/>
        <v>Fiche info Avenant 1F6</v>
      </c>
      <c r="BY210" s="431">
        <f>'Fiche info Avenant 1'!$BE$12</f>
        <v>0</v>
      </c>
      <c r="BZ210" s="431">
        <f>'Fiche info Avenant 1'!$BF$12</f>
        <v>0</v>
      </c>
      <c r="CA210" s="431">
        <f>'Fiche info Avenant 1'!$BG$12</f>
        <v>0</v>
      </c>
      <c r="CB210" s="431">
        <f>'Fiche info Avenant 1'!$BH$12</f>
        <v>0</v>
      </c>
      <c r="CC210" s="431">
        <f>'Fiche info Avenant 1'!$BI$12</f>
        <v>0</v>
      </c>
      <c r="CD210" s="431">
        <f>'Fiche info Avenant 1'!$BJ$12</f>
        <v>0</v>
      </c>
      <c r="CE210" s="431">
        <f>'Fiche info Avenant 1'!$BK$12</f>
        <v>0</v>
      </c>
      <c r="CF210" s="431">
        <f>'Fiche info Avenant 1'!$BL$12</f>
        <v>0</v>
      </c>
      <c r="ED210" s="16" t="str">
        <f t="shared" si="54"/>
        <v>Fiche info Avenant 1F</v>
      </c>
      <c r="EE210" s="16" t="str">
        <f t="shared" si="56"/>
        <v>Fiche info Avenant 1</v>
      </c>
      <c r="EF210" s="16" t="str">
        <f t="shared" si="57"/>
        <v>F</v>
      </c>
      <c r="EG210" s="16">
        <f t="shared" si="58"/>
        <v>6</v>
      </c>
      <c r="EH210" s="16" t="str">
        <f t="shared" si="59"/>
        <v>Samedi</v>
      </c>
      <c r="EI210" s="16" t="str">
        <f t="shared" si="60"/>
        <v/>
      </c>
      <c r="FB210" s="16" t="str">
        <f t="shared" si="63"/>
        <v/>
      </c>
      <c r="FC210" s="16" t="str">
        <f t="shared" si="64"/>
        <v/>
      </c>
      <c r="FD210" s="30">
        <f t="shared" si="55"/>
        <v>44774</v>
      </c>
      <c r="FE210" s="30" t="str">
        <f>+IFERROR(VLOOKUP(FD210,BDD,71,FALSE),"")</f>
        <v/>
      </c>
      <c r="FF210" s="30" t="str">
        <f>IFERROR(+VLOOKUP(FD210,BDD,72,FALSE),"")</f>
        <v/>
      </c>
      <c r="FG210" s="30" t="str">
        <f>+IFERROR(VLOOKUP(FD210,BDD,73,FALSE),"")</f>
        <v/>
      </c>
      <c r="FH210" s="30" t="str">
        <f>+IFERROR(VLOOKUP(FD210,BDD,74,FALSE),"")</f>
        <v/>
      </c>
      <c r="FW210" s="16" t="str">
        <f>Juillet!GB41</f>
        <v>302026</v>
      </c>
      <c r="FX210" s="16">
        <f>Juillet!GC41</f>
        <v>0</v>
      </c>
      <c r="HI210" s="85">
        <f>+Juillet!AB42</f>
        <v>46226</v>
      </c>
      <c r="HJ210" s="27" t="str">
        <f>+Juillet!AD42</f>
        <v/>
      </c>
      <c r="HK210" s="16">
        <f t="shared" si="65"/>
        <v>0</v>
      </c>
      <c r="HL210" s="16" t="str">
        <f>IF(AND(HI210&gt;=DATE(Identification!$B$60,5,1),HI210&lt;=DATE(Identification!$B$60,10,31),SUM(HK210:HK224)=12),"OUI","")</f>
        <v/>
      </c>
    </row>
    <row r="211" spans="1:220" x14ac:dyDescent="0.2">
      <c r="A211" s="16" t="str">
        <f t="shared" si="52"/>
        <v>Fiche info Avenant 1F7</v>
      </c>
      <c r="B211" s="16" t="str">
        <f t="shared" si="53"/>
        <v>Fiche info Avenant 1</v>
      </c>
      <c r="C211" s="27" t="s">
        <v>235</v>
      </c>
      <c r="D211" s="27">
        <v>7</v>
      </c>
      <c r="E211" s="16" t="s">
        <v>185</v>
      </c>
      <c r="F211" s="34" t="str">
        <f>+IF('Fiche info Avenant 1'!$BN$13=0,"",'Fiche info Avenant 1'!$BN$13)</f>
        <v/>
      </c>
      <c r="G211" s="16">
        <f t="shared" si="61"/>
        <v>0</v>
      </c>
      <c r="BX211" s="16" t="str">
        <f t="shared" si="62"/>
        <v>Fiche info Avenant 1F7</v>
      </c>
      <c r="BY211" s="431">
        <f>'Fiche info Avenant 1'!$BE$13</f>
        <v>0</v>
      </c>
      <c r="BZ211" s="431">
        <f>'Fiche info Avenant 1'!$BF$13</f>
        <v>0</v>
      </c>
      <c r="CA211" s="431">
        <f>'Fiche info Avenant 1'!$BG$13</f>
        <v>0</v>
      </c>
      <c r="CB211" s="431">
        <f>'Fiche info Avenant 1'!$BH$13</f>
        <v>0</v>
      </c>
      <c r="CC211" s="431">
        <f>'Fiche info Avenant 1'!$BI$13</f>
        <v>0</v>
      </c>
      <c r="CD211" s="431">
        <f>'Fiche info Avenant 1'!$BJ$13</f>
        <v>0</v>
      </c>
      <c r="CE211" s="431">
        <f>'Fiche info Avenant 1'!$BK$13</f>
        <v>0</v>
      </c>
      <c r="CF211" s="431">
        <f>'Fiche info Avenant 1'!$BL$13</f>
        <v>0</v>
      </c>
      <c r="ED211" s="16" t="str">
        <f t="shared" si="54"/>
        <v>Fiche info Avenant 1F</v>
      </c>
      <c r="EE211" s="16" t="str">
        <f t="shared" si="56"/>
        <v>Fiche info Avenant 1</v>
      </c>
      <c r="EF211" s="16" t="str">
        <f t="shared" si="57"/>
        <v>F</v>
      </c>
      <c r="EG211" s="16">
        <f t="shared" si="58"/>
        <v>7</v>
      </c>
      <c r="EH211" s="16" t="str">
        <f t="shared" si="59"/>
        <v>Dimanche</v>
      </c>
      <c r="EI211" s="16" t="str">
        <f t="shared" si="60"/>
        <v/>
      </c>
      <c r="FB211" s="16" t="str">
        <f t="shared" si="63"/>
        <v/>
      </c>
      <c r="FC211" s="16" t="str">
        <f t="shared" si="64"/>
        <v/>
      </c>
      <c r="FD211" s="30">
        <f t="shared" si="55"/>
        <v>44774</v>
      </c>
      <c r="FE211" s="30" t="str">
        <f>+IFERROR(VLOOKUP(FD211,BDD,75,FALSE),"")</f>
        <v/>
      </c>
      <c r="FF211" s="30" t="str">
        <f>+IFERROR(VLOOKUP(FD211,BDD,76,FALSE),"")</f>
        <v/>
      </c>
      <c r="FG211" s="30" t="str">
        <f>IFERROR(+VLOOKUP(FD211,BDD,77,FALSE),"")</f>
        <v/>
      </c>
      <c r="FH211" s="30" t="str">
        <f>+IFERROR(VLOOKUP(FD211,BDD,78,FALSE),"")</f>
        <v/>
      </c>
      <c r="FW211" s="16" t="str">
        <f>Juillet!GB42</f>
        <v>302026</v>
      </c>
      <c r="FX211" s="16">
        <f>Juillet!GC42</f>
        <v>0</v>
      </c>
      <c r="HI211" s="85">
        <f>+Juillet!AB43</f>
        <v>46227</v>
      </c>
      <c r="HJ211" s="27" t="str">
        <f>+Juillet!AD43</f>
        <v/>
      </c>
      <c r="HK211" s="16">
        <f t="shared" si="65"/>
        <v>0</v>
      </c>
      <c r="HL211" s="16" t="str">
        <f>IF(AND(HI211&gt;=DATE(Identification!$B$60,5,1),HI211&lt;=DATE(Identification!$B$60,10,31),SUM(HK211:HK225)=12),"OUI","")</f>
        <v/>
      </c>
    </row>
    <row r="212" spans="1:220" x14ac:dyDescent="0.2">
      <c r="A212" s="16" t="str">
        <f t="shared" si="52"/>
        <v>Fiche info Avenant 1G1</v>
      </c>
      <c r="B212" s="16" t="str">
        <f t="shared" si="53"/>
        <v>Fiche info Avenant 1</v>
      </c>
      <c r="C212" s="27" t="s">
        <v>236</v>
      </c>
      <c r="D212" s="27">
        <v>1</v>
      </c>
      <c r="E212" s="16" t="s">
        <v>17</v>
      </c>
      <c r="F212" s="34" t="str">
        <f>+IF('Fiche info Avenant 1'!$BY$7=0,"",'Fiche info Avenant 1'!$BY$7)</f>
        <v/>
      </c>
      <c r="G212" s="16">
        <f t="shared" si="61"/>
        <v>0</v>
      </c>
      <c r="BX212" s="16" t="str">
        <f t="shared" si="62"/>
        <v>Fiche info Avenant 1G1</v>
      </c>
      <c r="BY212" s="431">
        <f>'Fiche info Avenant 1'!$BP$7</f>
        <v>0</v>
      </c>
      <c r="BZ212" s="431">
        <f>'Fiche info Avenant 1'!$BQ$7</f>
        <v>0</v>
      </c>
      <c r="CA212" s="431">
        <f>'Fiche info Avenant 1'!$BR$7</f>
        <v>0</v>
      </c>
      <c r="CB212" s="431">
        <f>'Fiche info Avenant 1'!$BS$7</f>
        <v>0</v>
      </c>
      <c r="CC212" s="431">
        <f>'Fiche info Avenant 1'!$BT$7</f>
        <v>0</v>
      </c>
      <c r="CD212" s="431">
        <f>'Fiche info Avenant 1'!$BU$7</f>
        <v>0</v>
      </c>
      <c r="CE212" s="431">
        <f>'Fiche info Avenant 1'!$BV$7</f>
        <v>0</v>
      </c>
      <c r="CF212" s="431">
        <f>'Fiche info Avenant 1'!$BW$7</f>
        <v>0</v>
      </c>
      <c r="ED212" s="16" t="str">
        <f t="shared" si="54"/>
        <v>Fiche info Avenant 1G</v>
      </c>
      <c r="EE212" s="16" t="str">
        <f t="shared" si="56"/>
        <v>Fiche info Avenant 1</v>
      </c>
      <c r="EF212" s="16" t="str">
        <f t="shared" si="57"/>
        <v>G</v>
      </c>
      <c r="EG212" s="16">
        <f t="shared" si="58"/>
        <v>1</v>
      </c>
      <c r="EH212" s="16" t="str">
        <f t="shared" si="59"/>
        <v>Lundi</v>
      </c>
      <c r="EI212" s="16" t="str">
        <f t="shared" si="60"/>
        <v/>
      </c>
      <c r="FB212" s="16" t="str">
        <f t="shared" si="63"/>
        <v/>
      </c>
      <c r="FC212" s="16" t="str">
        <f t="shared" si="64"/>
        <v/>
      </c>
      <c r="FD212" s="30">
        <f t="shared" si="55"/>
        <v>44774</v>
      </c>
      <c r="FE212" s="30" t="str">
        <f>+IFERROR(VLOOKUP(FD212,BDD,79,FALSE),"")</f>
        <v/>
      </c>
      <c r="FF212" s="30" t="str">
        <f>IFERROR(+VLOOKUP(FD212,BDD,80,FALSE),"")</f>
        <v/>
      </c>
      <c r="FG212" s="30" t="str">
        <f>+IFERROR(VLOOKUP(FD212,BDD,81,FALSE),"")</f>
        <v/>
      </c>
      <c r="FH212" s="30" t="str">
        <f>+IFERROR(VLOOKUP(FD212,BDD,82,FALSE),"")</f>
        <v/>
      </c>
      <c r="FW212" s="16" t="str">
        <f>Juillet!GB43</f>
        <v>302026</v>
      </c>
      <c r="FX212" s="16">
        <f>Juillet!GC43</f>
        <v>0</v>
      </c>
      <c r="HI212" s="85">
        <f>+Juillet!AB44</f>
        <v>46228</v>
      </c>
      <c r="HJ212" s="27" t="str">
        <f>+Juillet!AD44</f>
        <v/>
      </c>
      <c r="HK212" s="16">
        <f t="shared" si="65"/>
        <v>0</v>
      </c>
      <c r="HL212" s="16" t="str">
        <f>IF(AND(HI212&gt;=DATE(Identification!$B$60,5,1),HI212&lt;=DATE(Identification!$B$60,10,31),SUM(HK212:HK226)=12),"OUI","")</f>
        <v/>
      </c>
    </row>
    <row r="213" spans="1:220" x14ac:dyDescent="0.2">
      <c r="A213" s="16" t="str">
        <f t="shared" si="52"/>
        <v>Fiche info Avenant 1G2</v>
      </c>
      <c r="B213" s="16" t="str">
        <f t="shared" si="53"/>
        <v>Fiche info Avenant 1</v>
      </c>
      <c r="C213" s="27" t="s">
        <v>236</v>
      </c>
      <c r="D213" s="27">
        <v>2</v>
      </c>
      <c r="E213" s="16" t="s">
        <v>18</v>
      </c>
      <c r="F213" s="34" t="str">
        <f>+IF('Fiche info Avenant 1'!$BY$8=0,"",'Fiche info Avenant 1'!$BY$8)</f>
        <v/>
      </c>
      <c r="G213" s="16">
        <f t="shared" si="61"/>
        <v>0</v>
      </c>
      <c r="BX213" s="16" t="str">
        <f t="shared" si="62"/>
        <v>Fiche info Avenant 1G2</v>
      </c>
      <c r="BY213" s="431">
        <f>'Fiche info Avenant 1'!$BP$8</f>
        <v>0</v>
      </c>
      <c r="BZ213" s="431">
        <f>'Fiche info Avenant 1'!$BQ$8</f>
        <v>0</v>
      </c>
      <c r="CA213" s="431">
        <f>'Fiche info Avenant 1'!$BR$8</f>
        <v>0</v>
      </c>
      <c r="CB213" s="431">
        <f>'Fiche info Avenant 1'!$BS$8</f>
        <v>0</v>
      </c>
      <c r="CC213" s="431">
        <f>'Fiche info Avenant 1'!$BT$8</f>
        <v>0</v>
      </c>
      <c r="CD213" s="431">
        <f>'Fiche info Avenant 1'!$BU$8</f>
        <v>0</v>
      </c>
      <c r="CE213" s="431">
        <f>'Fiche info Avenant 1'!$BV$8</f>
        <v>0</v>
      </c>
      <c r="CF213" s="431">
        <f>'Fiche info Avenant 1'!$BW$8</f>
        <v>0</v>
      </c>
      <c r="ED213" s="16" t="str">
        <f t="shared" si="54"/>
        <v>Fiche info Avenant 1G</v>
      </c>
      <c r="EE213" s="16" t="str">
        <f t="shared" si="56"/>
        <v>Fiche info Avenant 1</v>
      </c>
      <c r="EF213" s="16" t="str">
        <f t="shared" si="57"/>
        <v>G</v>
      </c>
      <c r="EG213" s="16">
        <f t="shared" si="58"/>
        <v>2</v>
      </c>
      <c r="EH213" s="16" t="str">
        <f t="shared" si="59"/>
        <v>Mardi</v>
      </c>
      <c r="EI213" s="16" t="str">
        <f t="shared" si="60"/>
        <v/>
      </c>
      <c r="FB213" s="16" t="str">
        <f t="shared" si="63"/>
        <v/>
      </c>
      <c r="FC213" s="16" t="str">
        <f t="shared" si="64"/>
        <v/>
      </c>
      <c r="FD213" s="30">
        <f t="shared" si="55"/>
        <v>44774</v>
      </c>
      <c r="FE213" s="30" t="str">
        <f>+IFERROR(VLOOKUP(FD213,BDD,83,FALSE),"")</f>
        <v/>
      </c>
      <c r="FF213" s="30" t="str">
        <f>+IFERROR(VLOOKUP(FD213,BDD,84,FALSE),"")</f>
        <v/>
      </c>
      <c r="FG213" s="30" t="str">
        <f>+IFERROR(VLOOKUP(FD213,BDD,85,FALSE),"")</f>
        <v/>
      </c>
      <c r="FH213" s="30" t="str">
        <f>+IFERROR(VLOOKUP(FD213,BDD,86,FALSE),"")</f>
        <v/>
      </c>
      <c r="FW213" s="16" t="str">
        <f>Juillet!GB44</f>
        <v>302026</v>
      </c>
      <c r="FX213" s="16">
        <f>Juillet!GC44</f>
        <v>0</v>
      </c>
      <c r="HI213" s="85">
        <f>+Juillet!AB45</f>
        <v>46229</v>
      </c>
      <c r="HJ213" s="27" t="str">
        <f>+Juillet!AD45</f>
        <v/>
      </c>
      <c r="HK213" s="16">
        <f t="shared" si="65"/>
        <v>0</v>
      </c>
      <c r="HL213" s="16" t="str">
        <f>IF(AND(HI213&gt;=DATE(Identification!$B$60,5,1),HI213&lt;=DATE(Identification!$B$60,10,31),SUM(HK213:HK227)=12),"OUI","")</f>
        <v/>
      </c>
    </row>
    <row r="214" spans="1:220" x14ac:dyDescent="0.2">
      <c r="A214" s="16" t="str">
        <f t="shared" si="52"/>
        <v>Fiche info Avenant 1G3</v>
      </c>
      <c r="B214" s="16" t="str">
        <f t="shared" si="53"/>
        <v>Fiche info Avenant 1</v>
      </c>
      <c r="C214" s="27" t="s">
        <v>236</v>
      </c>
      <c r="D214" s="27">
        <v>3</v>
      </c>
      <c r="E214" s="16" t="s">
        <v>19</v>
      </c>
      <c r="F214" s="34" t="str">
        <f>+IF('Fiche info Avenant 1'!$BY$9=0,"",'Fiche info Avenant 1'!$BY$9)</f>
        <v/>
      </c>
      <c r="G214" s="16">
        <f t="shared" si="61"/>
        <v>0</v>
      </c>
      <c r="BX214" s="16" t="str">
        <f t="shared" si="62"/>
        <v>Fiche info Avenant 1G3</v>
      </c>
      <c r="BY214" s="431">
        <f>'Fiche info Avenant 1'!$BP$9</f>
        <v>0</v>
      </c>
      <c r="BZ214" s="431">
        <f>'Fiche info Avenant 1'!$BQ$9</f>
        <v>0</v>
      </c>
      <c r="CA214" s="431">
        <f>'Fiche info Avenant 1'!$BR$9</f>
        <v>0</v>
      </c>
      <c r="CB214" s="431">
        <f>'Fiche info Avenant 1'!$BS$9</f>
        <v>0</v>
      </c>
      <c r="CC214" s="431">
        <f>'Fiche info Avenant 1'!$BT$9</f>
        <v>0</v>
      </c>
      <c r="CD214" s="431">
        <f>'Fiche info Avenant 1'!$BU$9</f>
        <v>0</v>
      </c>
      <c r="CE214" s="431">
        <f>'Fiche info Avenant 1'!$BV$9</f>
        <v>0</v>
      </c>
      <c r="CF214" s="431">
        <f>'Fiche info Avenant 1'!$BW$9</f>
        <v>0</v>
      </c>
      <c r="ED214" s="16" t="str">
        <f t="shared" si="54"/>
        <v>Fiche info Avenant 1G</v>
      </c>
      <c r="EE214" s="16" t="str">
        <f t="shared" si="56"/>
        <v>Fiche info Avenant 1</v>
      </c>
      <c r="EF214" s="16" t="str">
        <f t="shared" si="57"/>
        <v>G</v>
      </c>
      <c r="EG214" s="16">
        <f t="shared" si="58"/>
        <v>3</v>
      </c>
      <c r="EH214" s="16" t="str">
        <f t="shared" si="59"/>
        <v>Mercredi</v>
      </c>
      <c r="EI214" s="16" t="str">
        <f t="shared" si="60"/>
        <v/>
      </c>
      <c r="FB214" s="16" t="str">
        <f t="shared" si="63"/>
        <v/>
      </c>
      <c r="FC214" s="16" t="str">
        <f t="shared" si="64"/>
        <v/>
      </c>
      <c r="FD214" s="30">
        <f t="shared" si="55"/>
        <v>44743</v>
      </c>
      <c r="FE214" s="30" t="str">
        <f>+IFERROR(VLOOKUP(FD214,BDD,71,FALSE),"")</f>
        <v/>
      </c>
      <c r="FF214" s="30" t="str">
        <f>IFERROR(+VLOOKUP(FD214,BDD,72,FALSE),"")</f>
        <v/>
      </c>
      <c r="FG214" s="30" t="str">
        <f>+IFERROR(VLOOKUP(FD214,BDD,73,FALSE),"")</f>
        <v/>
      </c>
      <c r="FH214" s="30" t="str">
        <f>+IFERROR(VLOOKUP(FD214,BDD,74,FALSE),"")</f>
        <v/>
      </c>
      <c r="FW214" s="16" t="str">
        <f>Juillet!GB45</f>
        <v>302026</v>
      </c>
      <c r="FX214" s="16">
        <f>Juillet!GC45</f>
        <v>0</v>
      </c>
      <c r="HI214" s="85">
        <f>+Juillet!AB46</f>
        <v>46230</v>
      </c>
      <c r="HJ214" s="27" t="str">
        <f>+Juillet!AD46</f>
        <v/>
      </c>
      <c r="HK214" s="16">
        <f t="shared" si="65"/>
        <v>0</v>
      </c>
      <c r="HL214" s="16" t="str">
        <f>IF(AND(HI214&gt;=DATE(Identification!$B$60,5,1),HI214&lt;=DATE(Identification!$B$60,10,31),SUM(HK214:HK228)=12),"OUI","")</f>
        <v/>
      </c>
    </row>
    <row r="215" spans="1:220" x14ac:dyDescent="0.2">
      <c r="A215" s="16" t="str">
        <f t="shared" si="52"/>
        <v>Fiche info Avenant 1G4</v>
      </c>
      <c r="B215" s="16" t="str">
        <f t="shared" si="53"/>
        <v>Fiche info Avenant 1</v>
      </c>
      <c r="C215" s="27" t="s">
        <v>236</v>
      </c>
      <c r="D215" s="27">
        <v>4</v>
      </c>
      <c r="E215" s="16" t="s">
        <v>20</v>
      </c>
      <c r="F215" s="34" t="str">
        <f>+IF('Fiche info Avenant 1'!$BY$10=0,"",'Fiche info Avenant 1'!$BY$10)</f>
        <v/>
      </c>
      <c r="G215" s="16">
        <f t="shared" si="61"/>
        <v>0</v>
      </c>
      <c r="BX215" s="16" t="str">
        <f t="shared" si="62"/>
        <v>Fiche info Avenant 1G4</v>
      </c>
      <c r="BY215" s="431">
        <f>'Fiche info Avenant 1'!$BP$10</f>
        <v>0</v>
      </c>
      <c r="BZ215" s="431">
        <f>'Fiche info Avenant 1'!$BQ$10</f>
        <v>0</v>
      </c>
      <c r="CA215" s="431">
        <f>'Fiche info Avenant 1'!$BR$10</f>
        <v>0</v>
      </c>
      <c r="CB215" s="431">
        <f>'Fiche info Avenant 1'!$BS$10</f>
        <v>0</v>
      </c>
      <c r="CC215" s="431">
        <f>'Fiche info Avenant 1'!$BT$10</f>
        <v>0</v>
      </c>
      <c r="CD215" s="431">
        <f>'Fiche info Avenant 1'!$BU$10</f>
        <v>0</v>
      </c>
      <c r="CE215" s="431">
        <f>'Fiche info Avenant 1'!$BV$10</f>
        <v>0</v>
      </c>
      <c r="CF215" s="431">
        <f>'Fiche info Avenant 1'!$BW$10</f>
        <v>0</v>
      </c>
      <c r="ED215" s="16" t="str">
        <f t="shared" si="54"/>
        <v>Fiche info Avenant 1G</v>
      </c>
      <c r="EE215" s="16" t="str">
        <f t="shared" si="56"/>
        <v>Fiche info Avenant 1</v>
      </c>
      <c r="EF215" s="16" t="str">
        <f t="shared" si="57"/>
        <v>G</v>
      </c>
      <c r="EG215" s="16">
        <f t="shared" si="58"/>
        <v>4</v>
      </c>
      <c r="EH215" s="16" t="str">
        <f t="shared" si="59"/>
        <v>Jeudi</v>
      </c>
      <c r="EI215" s="16" t="str">
        <f t="shared" si="60"/>
        <v/>
      </c>
      <c r="FB215" s="16" t="str">
        <f t="shared" si="63"/>
        <v/>
      </c>
      <c r="FC215" s="16" t="str">
        <f t="shared" si="64"/>
        <v/>
      </c>
      <c r="FD215" s="30">
        <f t="shared" si="55"/>
        <v>44743</v>
      </c>
      <c r="FE215" s="30" t="str">
        <f>+IFERROR(VLOOKUP(FD215,BDD,75,FALSE),"")</f>
        <v/>
      </c>
      <c r="FF215" s="30" t="str">
        <f>+IFERROR(VLOOKUP(FD215,BDD,76,FALSE),"")</f>
        <v/>
      </c>
      <c r="FG215" s="30" t="str">
        <f>IFERROR(+VLOOKUP(FD215,BDD,77,FALSE),"")</f>
        <v/>
      </c>
      <c r="FH215" s="30" t="str">
        <f>+IFERROR(VLOOKUP(FD215,BDD,78,FALSE),"")</f>
        <v/>
      </c>
      <c r="FW215" s="16" t="str">
        <f>Juillet!GB46</f>
        <v>312026</v>
      </c>
      <c r="FX215" s="16">
        <f>Juillet!GC46</f>
        <v>0</v>
      </c>
      <c r="HI215" s="85">
        <f>+Juillet!AB47</f>
        <v>46231</v>
      </c>
      <c r="HJ215" s="27" t="str">
        <f>+Juillet!AD47</f>
        <v/>
      </c>
      <c r="HK215" s="16">
        <f t="shared" si="65"/>
        <v>0</v>
      </c>
      <c r="HL215" s="16" t="str">
        <f>IF(AND(HI215&gt;=DATE(Identification!$B$60,5,1),HI215&lt;=DATE(Identification!$B$60,10,31),SUM(HK215:HK229)=12),"OUI","")</f>
        <v/>
      </c>
    </row>
    <row r="216" spans="1:220" x14ac:dyDescent="0.2">
      <c r="A216" s="16" t="str">
        <f t="shared" si="52"/>
        <v>Fiche info Avenant 1G5</v>
      </c>
      <c r="B216" s="16" t="str">
        <f t="shared" si="53"/>
        <v>Fiche info Avenant 1</v>
      </c>
      <c r="C216" s="27" t="s">
        <v>236</v>
      </c>
      <c r="D216" s="27">
        <v>5</v>
      </c>
      <c r="E216" s="16" t="s">
        <v>21</v>
      </c>
      <c r="F216" s="34" t="str">
        <f>+IF('Fiche info Avenant 1'!$BY$11=0,"",'Fiche info Avenant 1'!$BY$11)</f>
        <v/>
      </c>
      <c r="G216" s="16">
        <f t="shared" si="61"/>
        <v>0</v>
      </c>
      <c r="BX216" s="16" t="str">
        <f t="shared" si="62"/>
        <v>Fiche info Avenant 1G5</v>
      </c>
      <c r="BY216" s="431">
        <f>'Fiche info Avenant 1'!$BP$11</f>
        <v>0</v>
      </c>
      <c r="BZ216" s="431">
        <f>'Fiche info Avenant 1'!$BQ$11</f>
        <v>0</v>
      </c>
      <c r="CA216" s="431">
        <f>'Fiche info Avenant 1'!$BR$11</f>
        <v>0</v>
      </c>
      <c r="CB216" s="431">
        <f>'Fiche info Avenant 1'!$BS$11</f>
        <v>0</v>
      </c>
      <c r="CC216" s="431">
        <f>'Fiche info Avenant 1'!$BT$11</f>
        <v>0</v>
      </c>
      <c r="CD216" s="431">
        <f>'Fiche info Avenant 1'!$BU$11</f>
        <v>0</v>
      </c>
      <c r="CE216" s="431">
        <f>'Fiche info Avenant 1'!$BV$11</f>
        <v>0</v>
      </c>
      <c r="CF216" s="431">
        <f>'Fiche info Avenant 1'!$BW$11</f>
        <v>0</v>
      </c>
      <c r="ED216" s="16" t="str">
        <f t="shared" si="54"/>
        <v>Fiche info Avenant 1G</v>
      </c>
      <c r="EE216" s="16" t="str">
        <f t="shared" si="56"/>
        <v>Fiche info Avenant 1</v>
      </c>
      <c r="EF216" s="16" t="str">
        <f t="shared" si="57"/>
        <v>G</v>
      </c>
      <c r="EG216" s="16">
        <f t="shared" si="58"/>
        <v>5</v>
      </c>
      <c r="EH216" s="16" t="str">
        <f t="shared" si="59"/>
        <v>Vendredi</v>
      </c>
      <c r="EI216" s="16" t="str">
        <f t="shared" si="60"/>
        <v/>
      </c>
      <c r="FB216" s="16" t="str">
        <f t="shared" si="63"/>
        <v/>
      </c>
      <c r="FC216" s="16" t="str">
        <f t="shared" si="64"/>
        <v/>
      </c>
      <c r="FD216" s="30">
        <f t="shared" si="55"/>
        <v>44743</v>
      </c>
      <c r="FE216" s="30" t="str">
        <f>+IFERROR(VLOOKUP(FD216,BDD,79,FALSE),"")</f>
        <v/>
      </c>
      <c r="FF216" s="30" t="str">
        <f>IFERROR(+VLOOKUP(FD216,BDD,80,FALSE),"")</f>
        <v/>
      </c>
      <c r="FG216" s="30" t="str">
        <f>+IFERROR(VLOOKUP(FD216,BDD,81,FALSE),"")</f>
        <v/>
      </c>
      <c r="FH216" s="30" t="str">
        <f>+IFERROR(VLOOKUP(FD216,BDD,82,FALSE),"")</f>
        <v/>
      </c>
      <c r="FW216" s="16" t="str">
        <f>Juillet!GB47</f>
        <v>312026</v>
      </c>
      <c r="FX216" s="16">
        <f>Juillet!GC47</f>
        <v>0</v>
      </c>
      <c r="HI216" s="85">
        <f>+Juillet!AB48</f>
        <v>46232</v>
      </c>
      <c r="HJ216" s="27" t="str">
        <f>+Juillet!AD48</f>
        <v/>
      </c>
      <c r="HK216" s="16">
        <f t="shared" si="65"/>
        <v>0</v>
      </c>
      <c r="HL216" s="16" t="str">
        <f>IF(AND(HI216&gt;=DATE(Identification!$B$60,5,1),HI216&lt;=DATE(Identification!$B$60,10,31),SUM(HK216:HK230)=12),"OUI","")</f>
        <v/>
      </c>
    </row>
    <row r="217" spans="1:220" x14ac:dyDescent="0.2">
      <c r="A217" s="16" t="str">
        <f t="shared" si="52"/>
        <v>Fiche info Avenant 1G6</v>
      </c>
      <c r="B217" s="16" t="str">
        <f t="shared" si="53"/>
        <v>Fiche info Avenant 1</v>
      </c>
      <c r="C217" s="27" t="s">
        <v>236</v>
      </c>
      <c r="D217" s="27">
        <v>6</v>
      </c>
      <c r="E217" s="16" t="s">
        <v>184</v>
      </c>
      <c r="F217" s="34" t="str">
        <f>+IF('Fiche info Avenant 1'!$BY$12=0,"",'Fiche info Avenant 1'!$BY$12)</f>
        <v/>
      </c>
      <c r="G217" s="16">
        <f t="shared" si="61"/>
        <v>0</v>
      </c>
      <c r="BX217" s="16" t="str">
        <f t="shared" si="62"/>
        <v>Fiche info Avenant 1G6</v>
      </c>
      <c r="BY217" s="431">
        <f>'Fiche info Avenant 1'!$BP$12</f>
        <v>0</v>
      </c>
      <c r="BZ217" s="431">
        <f>'Fiche info Avenant 1'!$BQ$12</f>
        <v>0</v>
      </c>
      <c r="CA217" s="431">
        <f>'Fiche info Avenant 1'!$BR$12</f>
        <v>0</v>
      </c>
      <c r="CB217" s="431">
        <f>'Fiche info Avenant 1'!$BS$12</f>
        <v>0</v>
      </c>
      <c r="CC217" s="431">
        <f>'Fiche info Avenant 1'!$BT$12</f>
        <v>0</v>
      </c>
      <c r="CD217" s="431">
        <f>'Fiche info Avenant 1'!$BU$12</f>
        <v>0</v>
      </c>
      <c r="CE217" s="431">
        <f>'Fiche info Avenant 1'!$BV$12</f>
        <v>0</v>
      </c>
      <c r="CF217" s="431">
        <f>'Fiche info Avenant 1'!$BW$12</f>
        <v>0</v>
      </c>
      <c r="ED217" s="16" t="str">
        <f t="shared" si="54"/>
        <v>Fiche info Avenant 1G</v>
      </c>
      <c r="EE217" s="16" t="str">
        <f t="shared" si="56"/>
        <v>Fiche info Avenant 1</v>
      </c>
      <c r="EF217" s="16" t="str">
        <f t="shared" si="57"/>
        <v>G</v>
      </c>
      <c r="EG217" s="16">
        <f t="shared" si="58"/>
        <v>6</v>
      </c>
      <c r="EH217" s="16" t="str">
        <f t="shared" si="59"/>
        <v>Samedi</v>
      </c>
      <c r="EI217" s="16" t="str">
        <f t="shared" si="60"/>
        <v/>
      </c>
      <c r="FB217" s="16" t="str">
        <f t="shared" si="63"/>
        <v/>
      </c>
      <c r="FC217" s="16" t="str">
        <f t="shared" si="64"/>
        <v/>
      </c>
      <c r="FD217" s="30">
        <f t="shared" si="55"/>
        <v>44743</v>
      </c>
      <c r="FE217" s="30" t="str">
        <f>+IFERROR(VLOOKUP(FD217,BDD,83,FALSE),"")</f>
        <v/>
      </c>
      <c r="FF217" s="30" t="str">
        <f>+IFERROR(VLOOKUP(FD217,BDD,84,FALSE),"")</f>
        <v/>
      </c>
      <c r="FG217" s="30" t="str">
        <f>+IFERROR(VLOOKUP(FD217,BDD,85,FALSE),"")</f>
        <v/>
      </c>
      <c r="FH217" s="30" t="str">
        <f>+IFERROR(VLOOKUP(FD217,BDD,86,FALSE),"")</f>
        <v/>
      </c>
      <c r="FW217" s="16" t="str">
        <f>Juillet!GB48</f>
        <v>312026</v>
      </c>
      <c r="FX217" s="16">
        <f>Juillet!GC48</f>
        <v>0</v>
      </c>
      <c r="HI217" s="85">
        <f>+Juillet!AB49</f>
        <v>46233</v>
      </c>
      <c r="HJ217" s="27" t="str">
        <f>+Juillet!AD49</f>
        <v/>
      </c>
      <c r="HK217" s="16">
        <f t="shared" si="65"/>
        <v>0</v>
      </c>
      <c r="HL217" s="16" t="str">
        <f>IF(AND(HI217&gt;=DATE(Identification!$B$60,5,1),HI217&lt;=DATE(Identification!$B$60,10,31),SUM(HK217:HK231)=12),"OUI","")</f>
        <v/>
      </c>
    </row>
    <row r="218" spans="1:220" x14ac:dyDescent="0.2">
      <c r="A218" s="16" t="str">
        <f t="shared" si="52"/>
        <v>Fiche info Avenant 1G7</v>
      </c>
      <c r="B218" s="16" t="str">
        <f t="shared" si="53"/>
        <v>Fiche info Avenant 1</v>
      </c>
      <c r="C218" s="27" t="s">
        <v>236</v>
      </c>
      <c r="D218" s="27">
        <v>7</v>
      </c>
      <c r="E218" s="16" t="s">
        <v>185</v>
      </c>
      <c r="F218" s="34" t="str">
        <f>+IF('Fiche info Avenant 1'!$BY$13=0,"",'Fiche info Avenant 1'!$BY$13)</f>
        <v/>
      </c>
      <c r="G218" s="16">
        <f t="shared" si="61"/>
        <v>0</v>
      </c>
      <c r="BX218" s="16" t="str">
        <f t="shared" si="62"/>
        <v>Fiche info Avenant 1G7</v>
      </c>
      <c r="BY218" s="431">
        <f>'Fiche info Avenant 1'!$BP$13</f>
        <v>0</v>
      </c>
      <c r="BZ218" s="431">
        <f>'Fiche info Avenant 1'!$BQ$13</f>
        <v>0</v>
      </c>
      <c r="CA218" s="431">
        <f>'Fiche info Avenant 1'!$BR$13</f>
        <v>0</v>
      </c>
      <c r="CB218" s="431">
        <f>'Fiche info Avenant 1'!$BS$13</f>
        <v>0</v>
      </c>
      <c r="CC218" s="431">
        <f>'Fiche info Avenant 1'!$BT$13</f>
        <v>0</v>
      </c>
      <c r="CD218" s="431">
        <f>'Fiche info Avenant 1'!$BU$13</f>
        <v>0</v>
      </c>
      <c r="CE218" s="431">
        <f>'Fiche info Avenant 1'!$BV$13</f>
        <v>0</v>
      </c>
      <c r="CF218" s="431">
        <f>'Fiche info Avenant 1'!$BW$13</f>
        <v>0</v>
      </c>
      <c r="ED218" s="16" t="str">
        <f t="shared" si="54"/>
        <v>Fiche info Avenant 1G</v>
      </c>
      <c r="EE218" s="16" t="str">
        <f t="shared" si="56"/>
        <v>Fiche info Avenant 1</v>
      </c>
      <c r="EF218" s="16" t="str">
        <f t="shared" si="57"/>
        <v>G</v>
      </c>
      <c r="EG218" s="16">
        <f t="shared" si="58"/>
        <v>7</v>
      </c>
      <c r="EH218" s="16" t="str">
        <f t="shared" si="59"/>
        <v>Dimanche</v>
      </c>
      <c r="EI218" s="16" t="str">
        <f t="shared" si="60"/>
        <v/>
      </c>
      <c r="FB218" s="16" t="str">
        <f t="shared" si="63"/>
        <v/>
      </c>
      <c r="FC218" s="16" t="str">
        <f t="shared" si="64"/>
        <v/>
      </c>
      <c r="FD218" s="30">
        <f t="shared" si="55"/>
        <v>44713</v>
      </c>
      <c r="FE218" s="30" t="str">
        <f>+IFERROR(VLOOKUP(FD218,BDD,71,FALSE),"")</f>
        <v/>
      </c>
      <c r="FF218" s="30" t="str">
        <f>IFERROR(+VLOOKUP(FD218,BDD,72,FALSE),"")</f>
        <v/>
      </c>
      <c r="FG218" s="30" t="str">
        <f>+IFERROR(VLOOKUP(FD218,BDD,73,FALSE),"")</f>
        <v/>
      </c>
      <c r="FH218" s="30" t="str">
        <f>+IFERROR(VLOOKUP(FD218,BDD,74,FALSE),"")</f>
        <v/>
      </c>
      <c r="FW218" s="16" t="str">
        <f>Juillet!GB49</f>
        <v>312026</v>
      </c>
      <c r="FX218" s="16">
        <f>Juillet!GC49</f>
        <v>0</v>
      </c>
      <c r="HI218" s="85">
        <f>+Juillet!AB50</f>
        <v>46234</v>
      </c>
      <c r="HJ218" s="27" t="str">
        <f>+Juillet!AD50</f>
        <v/>
      </c>
      <c r="HK218" s="16">
        <f t="shared" si="65"/>
        <v>0</v>
      </c>
      <c r="HL218" s="16" t="str">
        <f>IF(AND(HI218&gt;=DATE(Identification!$B$60,5,1),HI218&lt;=DATE(Identification!$B$60,10,31),SUM(HK218:HK232)=12),"OUI","")</f>
        <v/>
      </c>
    </row>
    <row r="219" spans="1:220" x14ac:dyDescent="0.2">
      <c r="A219" s="16" t="str">
        <f t="shared" si="52"/>
        <v>Fiche info Avenant 1H1</v>
      </c>
      <c r="B219" s="16" t="str">
        <f t="shared" si="53"/>
        <v>Fiche info Avenant 1</v>
      </c>
      <c r="C219" s="27" t="s">
        <v>237</v>
      </c>
      <c r="D219" s="27">
        <v>1</v>
      </c>
      <c r="E219" s="16" t="s">
        <v>17</v>
      </c>
      <c r="F219" s="34" t="str">
        <f>+IF('Fiche info Avenant 1'!$CJ$7=0,"",'Fiche info Avenant 1'!$CJ$7)</f>
        <v/>
      </c>
      <c r="G219" s="16">
        <f t="shared" si="61"/>
        <v>0</v>
      </c>
      <c r="BX219" s="16" t="str">
        <f t="shared" si="62"/>
        <v>Fiche info Avenant 1H1</v>
      </c>
      <c r="BY219" s="431">
        <f>'Fiche info Avenant 1'!$CA$7</f>
        <v>0</v>
      </c>
      <c r="BZ219" s="431">
        <f>'Fiche info Avenant 1'!$CB$7</f>
        <v>0</v>
      </c>
      <c r="CA219" s="431">
        <f>'Fiche info Avenant 1'!$CC$7</f>
        <v>0</v>
      </c>
      <c r="CB219" s="431">
        <f>'Fiche info Avenant 1'!$CD$7</f>
        <v>0</v>
      </c>
      <c r="CC219" s="431">
        <f>'Fiche info Avenant 1'!$CE$7</f>
        <v>0</v>
      </c>
      <c r="CD219" s="431">
        <f>'Fiche info Avenant 1'!$CF$7</f>
        <v>0</v>
      </c>
      <c r="CE219" s="431">
        <f>'Fiche info Avenant 1'!$CG$7</f>
        <v>0</v>
      </c>
      <c r="CF219" s="431">
        <f>'Fiche info Avenant 1'!$CH$7</f>
        <v>0</v>
      </c>
      <c r="ED219" s="16" t="str">
        <f t="shared" si="54"/>
        <v>Fiche info Avenant 1H</v>
      </c>
      <c r="EE219" s="16" t="str">
        <f t="shared" si="56"/>
        <v>Fiche info Avenant 1</v>
      </c>
      <c r="EF219" s="16" t="str">
        <f t="shared" si="57"/>
        <v>H</v>
      </c>
      <c r="EG219" s="16">
        <f t="shared" si="58"/>
        <v>1</v>
      </c>
      <c r="EH219" s="16" t="str">
        <f t="shared" si="59"/>
        <v>Lundi</v>
      </c>
      <c r="EI219" s="16" t="str">
        <f t="shared" si="60"/>
        <v/>
      </c>
      <c r="FB219" s="16" t="str">
        <f t="shared" si="63"/>
        <v/>
      </c>
      <c r="FC219" s="16" t="str">
        <f t="shared" si="64"/>
        <v/>
      </c>
      <c r="FD219" s="30">
        <f t="shared" si="55"/>
        <v>44713</v>
      </c>
      <c r="FE219" s="30" t="str">
        <f>+IFERROR(VLOOKUP(FD219,BDD,75,FALSE),"")</f>
        <v/>
      </c>
      <c r="FF219" s="30" t="str">
        <f>+IFERROR(VLOOKUP(FD219,BDD,76,FALSE),"")</f>
        <v/>
      </c>
      <c r="FG219" s="30" t="str">
        <f>IFERROR(+VLOOKUP(FD219,BDD,77,FALSE),"")</f>
        <v/>
      </c>
      <c r="FH219" s="30" t="str">
        <f>+IFERROR(VLOOKUP(FD219,BDD,78,FALSE),"")</f>
        <v/>
      </c>
      <c r="FW219" s="16" t="str">
        <f>Juillet!GB50</f>
        <v>312026</v>
      </c>
      <c r="FX219" s="16">
        <f>Juillet!GC50</f>
        <v>0</v>
      </c>
      <c r="HI219" s="85">
        <f>+Aout!AB20</f>
        <v>46235</v>
      </c>
      <c r="HJ219" s="27" t="str">
        <f>+Aout!AD20</f>
        <v/>
      </c>
      <c r="HK219" s="16">
        <f t="shared" si="65"/>
        <v>0</v>
      </c>
      <c r="HL219" s="16" t="str">
        <f>IF(AND(HI219&gt;=DATE(Identification!$B$60,5,1),HI219&lt;=DATE(Identification!$B$60,10,31),SUM(HK219:HK233)=12),"OUI","")</f>
        <v/>
      </c>
    </row>
    <row r="220" spans="1:220" x14ac:dyDescent="0.2">
      <c r="A220" s="16" t="str">
        <f t="shared" si="52"/>
        <v>Fiche info Avenant 1H2</v>
      </c>
      <c r="B220" s="16" t="str">
        <f t="shared" si="53"/>
        <v>Fiche info Avenant 1</v>
      </c>
      <c r="C220" s="27" t="s">
        <v>237</v>
      </c>
      <c r="D220" s="27">
        <v>2</v>
      </c>
      <c r="E220" s="16" t="s">
        <v>18</v>
      </c>
      <c r="F220" s="34" t="str">
        <f>+IF('Fiche info Avenant 1'!$CJ$8=0,"",'Fiche info Avenant 1'!$CJ$8)</f>
        <v/>
      </c>
      <c r="G220" s="16">
        <f t="shared" si="61"/>
        <v>0</v>
      </c>
      <c r="BX220" s="16" t="str">
        <f t="shared" si="62"/>
        <v>Fiche info Avenant 1H2</v>
      </c>
      <c r="BY220" s="431">
        <f>'Fiche info Avenant 1'!$CA$8</f>
        <v>0</v>
      </c>
      <c r="BZ220" s="431">
        <f>'Fiche info Avenant 1'!$CB$8</f>
        <v>0</v>
      </c>
      <c r="CA220" s="431">
        <f>'Fiche info Avenant 1'!$CC$8</f>
        <v>0</v>
      </c>
      <c r="CB220" s="431">
        <f>'Fiche info Avenant 1'!$CD$8</f>
        <v>0</v>
      </c>
      <c r="CC220" s="431">
        <f>'Fiche info Avenant 1'!$CE$8</f>
        <v>0</v>
      </c>
      <c r="CD220" s="431">
        <f>'Fiche info Avenant 1'!$CF$8</f>
        <v>0</v>
      </c>
      <c r="CE220" s="431">
        <f>'Fiche info Avenant 1'!$CG$8</f>
        <v>0</v>
      </c>
      <c r="CF220" s="431">
        <f>'Fiche info Avenant 1'!$CH$8</f>
        <v>0</v>
      </c>
      <c r="ED220" s="16" t="str">
        <f t="shared" si="54"/>
        <v>Fiche info Avenant 1H</v>
      </c>
      <c r="EE220" s="16" t="str">
        <f t="shared" si="56"/>
        <v>Fiche info Avenant 1</v>
      </c>
      <c r="EF220" s="16" t="str">
        <f t="shared" si="57"/>
        <v>H</v>
      </c>
      <c r="EG220" s="16">
        <f t="shared" si="58"/>
        <v>2</v>
      </c>
      <c r="EH220" s="16" t="str">
        <f t="shared" si="59"/>
        <v>Mardi</v>
      </c>
      <c r="EI220" s="16" t="str">
        <f t="shared" si="60"/>
        <v/>
      </c>
      <c r="FB220" s="16" t="str">
        <f t="shared" si="63"/>
        <v/>
      </c>
      <c r="FC220" s="16" t="str">
        <f t="shared" si="64"/>
        <v/>
      </c>
      <c r="FD220" s="30">
        <f t="shared" si="55"/>
        <v>44713</v>
      </c>
      <c r="FE220" s="30" t="str">
        <f>+IFERROR(VLOOKUP(FD220,BDD,79,FALSE),"")</f>
        <v/>
      </c>
      <c r="FF220" s="30" t="str">
        <f>IFERROR(+VLOOKUP(FD220,BDD,80,FALSE),"")</f>
        <v/>
      </c>
      <c r="FG220" s="30" t="str">
        <f>+IFERROR(VLOOKUP(FD220,BDD,81,FALSE),"")</f>
        <v/>
      </c>
      <c r="FH220" s="30" t="str">
        <f>+IFERROR(VLOOKUP(FD220,BDD,82,FALSE),"")</f>
        <v/>
      </c>
      <c r="FW220" s="16" t="str">
        <f>Aout!GB20</f>
        <v>312026</v>
      </c>
      <c r="FX220" s="16">
        <f>Aout!GC20</f>
        <v>0</v>
      </c>
      <c r="HI220" s="85">
        <f>+Aout!AB21</f>
        <v>46236</v>
      </c>
      <c r="HJ220" s="27" t="str">
        <f>+Aout!AD21</f>
        <v/>
      </c>
      <c r="HK220" s="16">
        <f t="shared" si="65"/>
        <v>0</v>
      </c>
      <c r="HL220" s="16" t="str">
        <f>IF(AND(HI220&gt;=DATE(Identification!$B$60,5,1),HI220&lt;=DATE(Identification!$B$60,10,31),SUM(HK220:HK234)=12),"OUI","")</f>
        <v/>
      </c>
    </row>
    <row r="221" spans="1:220" x14ac:dyDescent="0.2">
      <c r="A221" s="16" t="str">
        <f t="shared" si="52"/>
        <v>Fiche info Avenant 1H3</v>
      </c>
      <c r="B221" s="16" t="str">
        <f t="shared" si="53"/>
        <v>Fiche info Avenant 1</v>
      </c>
      <c r="C221" s="27" t="s">
        <v>237</v>
      </c>
      <c r="D221" s="27">
        <v>3</v>
      </c>
      <c r="E221" s="16" t="s">
        <v>19</v>
      </c>
      <c r="F221" s="34" t="str">
        <f>+IF('Fiche info Avenant 1'!$CJ$9=0,"",'Fiche info Avenant 1'!$CJ$9)</f>
        <v/>
      </c>
      <c r="G221" s="16">
        <f t="shared" si="61"/>
        <v>0</v>
      </c>
      <c r="BX221" s="16" t="str">
        <f t="shared" si="62"/>
        <v>Fiche info Avenant 1H3</v>
      </c>
      <c r="BY221" s="431">
        <f>'Fiche info Avenant 1'!$CA$9</f>
        <v>0</v>
      </c>
      <c r="BZ221" s="431">
        <f>'Fiche info Avenant 1'!$CB$9</f>
        <v>0</v>
      </c>
      <c r="CA221" s="431">
        <f>'Fiche info Avenant 1'!$CC$9</f>
        <v>0</v>
      </c>
      <c r="CB221" s="431">
        <f>'Fiche info Avenant 1'!$CD$9</f>
        <v>0</v>
      </c>
      <c r="CC221" s="431">
        <f>'Fiche info Avenant 1'!$CE$9</f>
        <v>0</v>
      </c>
      <c r="CD221" s="431">
        <f>'Fiche info Avenant 1'!$CF$9</f>
        <v>0</v>
      </c>
      <c r="CE221" s="431">
        <f>'Fiche info Avenant 1'!$CG$9</f>
        <v>0</v>
      </c>
      <c r="CF221" s="431">
        <f>'Fiche info Avenant 1'!$CH$9</f>
        <v>0</v>
      </c>
      <c r="ED221" s="16" t="str">
        <f t="shared" si="54"/>
        <v>Fiche info Avenant 1H</v>
      </c>
      <c r="EE221" s="16" t="str">
        <f t="shared" si="56"/>
        <v>Fiche info Avenant 1</v>
      </c>
      <c r="EF221" s="16" t="str">
        <f t="shared" si="57"/>
        <v>H</v>
      </c>
      <c r="EG221" s="16">
        <f t="shared" si="58"/>
        <v>3</v>
      </c>
      <c r="EH221" s="16" t="str">
        <f t="shared" si="59"/>
        <v>Mercredi</v>
      </c>
      <c r="EI221" s="16" t="str">
        <f t="shared" si="60"/>
        <v/>
      </c>
      <c r="FB221" s="16" t="str">
        <f t="shared" si="63"/>
        <v/>
      </c>
      <c r="FC221" s="16" t="str">
        <f t="shared" si="64"/>
        <v/>
      </c>
      <c r="FD221" s="30">
        <f t="shared" si="55"/>
        <v>44713</v>
      </c>
      <c r="FE221" s="30" t="str">
        <f>+IFERROR(VLOOKUP(FD221,BDD,83,FALSE),"")</f>
        <v/>
      </c>
      <c r="FF221" s="30" t="str">
        <f>+IFERROR(VLOOKUP(FD221,BDD,84,FALSE),"")</f>
        <v/>
      </c>
      <c r="FG221" s="30" t="str">
        <f>+IFERROR(VLOOKUP(FD221,BDD,85,FALSE),"")</f>
        <v/>
      </c>
      <c r="FH221" s="30" t="str">
        <f>+IFERROR(VLOOKUP(FD221,BDD,86,FALSE),"")</f>
        <v/>
      </c>
      <c r="FW221" s="16" t="str">
        <f>Aout!GB21</f>
        <v>312026</v>
      </c>
      <c r="FX221" s="16">
        <f>Aout!GC21</f>
        <v>0</v>
      </c>
      <c r="HI221" s="85">
        <f>+Aout!AB22</f>
        <v>46237</v>
      </c>
      <c r="HJ221" s="27" t="str">
        <f>+Aout!AD22</f>
        <v/>
      </c>
      <c r="HK221" s="16">
        <f t="shared" si="65"/>
        <v>0</v>
      </c>
      <c r="HL221" s="16" t="str">
        <f>IF(AND(HI221&gt;=DATE(Identification!$B$60,5,1),HI221&lt;=DATE(Identification!$B$60,10,31),SUM(HK221:HK235)=12),"OUI","")</f>
        <v/>
      </c>
    </row>
    <row r="222" spans="1:220" x14ac:dyDescent="0.2">
      <c r="A222" s="16" t="str">
        <f t="shared" si="52"/>
        <v>Fiche info Avenant 1H4</v>
      </c>
      <c r="B222" s="16" t="str">
        <f t="shared" si="53"/>
        <v>Fiche info Avenant 1</v>
      </c>
      <c r="C222" s="27" t="s">
        <v>237</v>
      </c>
      <c r="D222" s="27">
        <v>4</v>
      </c>
      <c r="E222" s="16" t="s">
        <v>20</v>
      </c>
      <c r="F222" s="34" t="str">
        <f>+IF('Fiche info Avenant 1'!$CJ$10=0,"",'Fiche info Avenant 1'!$CJ$10)</f>
        <v/>
      </c>
      <c r="G222" s="16">
        <f t="shared" si="61"/>
        <v>0</v>
      </c>
      <c r="BX222" s="16" t="str">
        <f t="shared" si="62"/>
        <v>Fiche info Avenant 1H4</v>
      </c>
      <c r="BY222" s="431">
        <f>'Fiche info Avenant 1'!$CA$10</f>
        <v>0</v>
      </c>
      <c r="BZ222" s="431">
        <f>'Fiche info Avenant 1'!$CB$10</f>
        <v>0</v>
      </c>
      <c r="CA222" s="431">
        <f>'Fiche info Avenant 1'!$CC$10</f>
        <v>0</v>
      </c>
      <c r="CB222" s="431">
        <f>'Fiche info Avenant 1'!$CD$10</f>
        <v>0</v>
      </c>
      <c r="CC222" s="431">
        <f>'Fiche info Avenant 1'!$CE$10</f>
        <v>0</v>
      </c>
      <c r="CD222" s="431">
        <f>'Fiche info Avenant 1'!$CF$10</f>
        <v>0</v>
      </c>
      <c r="CE222" s="431">
        <f>'Fiche info Avenant 1'!$CG$10</f>
        <v>0</v>
      </c>
      <c r="CF222" s="431">
        <f>'Fiche info Avenant 1'!$CH$10</f>
        <v>0</v>
      </c>
      <c r="ED222" s="16" t="str">
        <f t="shared" si="54"/>
        <v>Fiche info Avenant 1H</v>
      </c>
      <c r="EE222" s="16" t="str">
        <f t="shared" si="56"/>
        <v>Fiche info Avenant 1</v>
      </c>
      <c r="EF222" s="16" t="str">
        <f t="shared" si="57"/>
        <v>H</v>
      </c>
      <c r="EG222" s="16">
        <f t="shared" si="58"/>
        <v>4</v>
      </c>
      <c r="EH222" s="16" t="str">
        <f t="shared" si="59"/>
        <v>Jeudi</v>
      </c>
      <c r="EI222" s="16" t="str">
        <f t="shared" si="60"/>
        <v/>
      </c>
      <c r="FB222" s="16" t="str">
        <f t="shared" si="63"/>
        <v/>
      </c>
      <c r="FC222" s="16" t="str">
        <f t="shared" si="64"/>
        <v/>
      </c>
      <c r="FD222" s="30">
        <f t="shared" si="55"/>
        <v>44682</v>
      </c>
      <c r="FE222" s="30" t="str">
        <f>+IFERROR(VLOOKUP(FD222,BDD,71,FALSE),"")</f>
        <v/>
      </c>
      <c r="FF222" s="30" t="str">
        <f>IFERROR(+VLOOKUP(FD222,BDD,72,FALSE),"")</f>
        <v/>
      </c>
      <c r="FG222" s="30" t="str">
        <f>+IFERROR(VLOOKUP(FD222,BDD,73,FALSE),"")</f>
        <v/>
      </c>
      <c r="FH222" s="30" t="str">
        <f>+IFERROR(VLOOKUP(FD222,BDD,74,FALSE),"")</f>
        <v/>
      </c>
      <c r="FW222" s="16" t="str">
        <f>Aout!GB22</f>
        <v>322026</v>
      </c>
      <c r="FX222" s="16">
        <f>Aout!GC22</f>
        <v>0</v>
      </c>
      <c r="HI222" s="85">
        <f>+Aout!AB23</f>
        <v>46238</v>
      </c>
      <c r="HJ222" s="27" t="str">
        <f>+Aout!AD23</f>
        <v/>
      </c>
      <c r="HK222" s="16">
        <f t="shared" si="65"/>
        <v>0</v>
      </c>
      <c r="HL222" s="16" t="str">
        <f>IF(AND(HI222&gt;=DATE(Identification!$B$60,5,1),HI222&lt;=DATE(Identification!$B$60,10,31),SUM(HK222:HK236)=12),"OUI","")</f>
        <v/>
      </c>
    </row>
    <row r="223" spans="1:220" x14ac:dyDescent="0.2">
      <c r="A223" s="16" t="str">
        <f t="shared" si="52"/>
        <v>Fiche info Avenant 1H5</v>
      </c>
      <c r="B223" s="16" t="str">
        <f t="shared" si="53"/>
        <v>Fiche info Avenant 1</v>
      </c>
      <c r="C223" s="27" t="s">
        <v>237</v>
      </c>
      <c r="D223" s="27">
        <v>5</v>
      </c>
      <c r="E223" s="16" t="s">
        <v>21</v>
      </c>
      <c r="F223" s="34" t="str">
        <f>+IF('Fiche info Avenant 1'!$CJ$11=0,"",'Fiche info Avenant 1'!$CJ$11)</f>
        <v/>
      </c>
      <c r="G223" s="16">
        <f t="shared" si="61"/>
        <v>0</v>
      </c>
      <c r="BX223" s="16" t="str">
        <f t="shared" si="62"/>
        <v>Fiche info Avenant 1H5</v>
      </c>
      <c r="BY223" s="431">
        <f>'Fiche info Avenant 1'!$CA$11</f>
        <v>0</v>
      </c>
      <c r="BZ223" s="431">
        <f>'Fiche info Avenant 1'!$CB$11</f>
        <v>0</v>
      </c>
      <c r="CA223" s="431">
        <f>'Fiche info Avenant 1'!$CC$11</f>
        <v>0</v>
      </c>
      <c r="CB223" s="431">
        <f>'Fiche info Avenant 1'!$CD$11</f>
        <v>0</v>
      </c>
      <c r="CC223" s="431">
        <f>'Fiche info Avenant 1'!$CE$11</f>
        <v>0</v>
      </c>
      <c r="CD223" s="431">
        <f>'Fiche info Avenant 1'!$CF$11</f>
        <v>0</v>
      </c>
      <c r="CE223" s="431">
        <f>'Fiche info Avenant 1'!$CG$11</f>
        <v>0</v>
      </c>
      <c r="CF223" s="431">
        <f>'Fiche info Avenant 1'!$CH$11</f>
        <v>0</v>
      </c>
      <c r="ED223" s="16" t="str">
        <f t="shared" si="54"/>
        <v>Fiche info Avenant 1H</v>
      </c>
      <c r="EE223" s="16" t="str">
        <f t="shared" si="56"/>
        <v>Fiche info Avenant 1</v>
      </c>
      <c r="EF223" s="16" t="str">
        <f t="shared" si="57"/>
        <v>H</v>
      </c>
      <c r="EG223" s="16">
        <f t="shared" si="58"/>
        <v>5</v>
      </c>
      <c r="EH223" s="16" t="str">
        <f t="shared" si="59"/>
        <v>Vendredi</v>
      </c>
      <c r="EI223" s="16" t="str">
        <f t="shared" si="60"/>
        <v/>
      </c>
      <c r="FB223" s="16" t="str">
        <f t="shared" si="63"/>
        <v/>
      </c>
      <c r="FC223" s="16" t="str">
        <f t="shared" si="64"/>
        <v/>
      </c>
      <c r="FD223" s="30">
        <f t="shared" si="55"/>
        <v>44682</v>
      </c>
      <c r="FE223" s="30" t="str">
        <f>+IFERROR(VLOOKUP(FD223,BDD,75,FALSE),"")</f>
        <v/>
      </c>
      <c r="FF223" s="30" t="str">
        <f>+IFERROR(VLOOKUP(FD223,BDD,76,FALSE),"")</f>
        <v/>
      </c>
      <c r="FG223" s="30" t="str">
        <f>IFERROR(+VLOOKUP(FD223,BDD,77,FALSE),"")</f>
        <v/>
      </c>
      <c r="FH223" s="30" t="str">
        <f>+IFERROR(VLOOKUP(FD223,BDD,78,FALSE),"")</f>
        <v/>
      </c>
      <c r="FW223" s="16" t="str">
        <f>Aout!GB23</f>
        <v>322026</v>
      </c>
      <c r="FX223" s="16">
        <f>Aout!GC23</f>
        <v>0</v>
      </c>
      <c r="HI223" s="85">
        <f>+Aout!AB24</f>
        <v>46239</v>
      </c>
      <c r="HJ223" s="27" t="str">
        <f>+Aout!AD24</f>
        <v/>
      </c>
      <c r="HK223" s="16">
        <f t="shared" si="65"/>
        <v>0</v>
      </c>
      <c r="HL223" s="16" t="str">
        <f>IF(AND(HI223&gt;=DATE(Identification!$B$60,5,1),HI223&lt;=DATE(Identification!$B$60,10,31),SUM(HK223:HK237)=12),"OUI","")</f>
        <v/>
      </c>
    </row>
    <row r="224" spans="1:220" x14ac:dyDescent="0.2">
      <c r="A224" s="16" t="str">
        <f t="shared" si="52"/>
        <v>Fiche info Avenant 1H6</v>
      </c>
      <c r="B224" s="16" t="str">
        <f t="shared" si="53"/>
        <v>Fiche info Avenant 1</v>
      </c>
      <c r="C224" s="27" t="s">
        <v>237</v>
      </c>
      <c r="D224" s="27">
        <v>6</v>
      </c>
      <c r="E224" s="16" t="s">
        <v>184</v>
      </c>
      <c r="F224" s="34" t="str">
        <f>+IF('Fiche info Avenant 1'!$CJ$12=0,"",'Fiche info Avenant 1'!$CJ$12)</f>
        <v/>
      </c>
      <c r="G224" s="16">
        <f t="shared" si="61"/>
        <v>0</v>
      </c>
      <c r="BX224" s="16" t="str">
        <f t="shared" si="62"/>
        <v>Fiche info Avenant 1H6</v>
      </c>
      <c r="BY224" s="431">
        <f>'Fiche info Avenant 1'!$CA$12</f>
        <v>0</v>
      </c>
      <c r="BZ224" s="431">
        <f>'Fiche info Avenant 1'!$CB$12</f>
        <v>0</v>
      </c>
      <c r="CA224" s="431">
        <f>'Fiche info Avenant 1'!$CC$12</f>
        <v>0</v>
      </c>
      <c r="CB224" s="431">
        <f>'Fiche info Avenant 1'!$CD$12</f>
        <v>0</v>
      </c>
      <c r="CC224" s="431">
        <f>'Fiche info Avenant 1'!$CE$12</f>
        <v>0</v>
      </c>
      <c r="CD224" s="431">
        <f>'Fiche info Avenant 1'!$CF$12</f>
        <v>0</v>
      </c>
      <c r="CE224" s="431">
        <f>'Fiche info Avenant 1'!$CG$12</f>
        <v>0</v>
      </c>
      <c r="CF224" s="431">
        <f>'Fiche info Avenant 1'!$CH$12</f>
        <v>0</v>
      </c>
      <c r="ED224" s="16" t="str">
        <f t="shared" si="54"/>
        <v>Fiche info Avenant 1H</v>
      </c>
      <c r="EE224" s="16" t="str">
        <f t="shared" si="56"/>
        <v>Fiche info Avenant 1</v>
      </c>
      <c r="EF224" s="16" t="str">
        <f t="shared" si="57"/>
        <v>H</v>
      </c>
      <c r="EG224" s="16">
        <f t="shared" si="58"/>
        <v>6</v>
      </c>
      <c r="EH224" s="16" t="str">
        <f t="shared" si="59"/>
        <v>Samedi</v>
      </c>
      <c r="EI224" s="16" t="str">
        <f t="shared" si="60"/>
        <v/>
      </c>
      <c r="FB224" s="16" t="str">
        <f t="shared" si="63"/>
        <v/>
      </c>
      <c r="FC224" s="16" t="str">
        <f t="shared" si="64"/>
        <v/>
      </c>
      <c r="FD224" s="30">
        <f t="shared" si="55"/>
        <v>44682</v>
      </c>
      <c r="FE224" s="30" t="str">
        <f>+IFERROR(VLOOKUP(FD224,BDD,79,FALSE),"")</f>
        <v/>
      </c>
      <c r="FF224" s="30" t="str">
        <f>IFERROR(+VLOOKUP(FD224,BDD,80,FALSE),"")</f>
        <v/>
      </c>
      <c r="FG224" s="30" t="str">
        <f>+IFERROR(VLOOKUP(FD224,BDD,81,FALSE),"")</f>
        <v/>
      </c>
      <c r="FH224" s="30" t="str">
        <f>+IFERROR(VLOOKUP(FD224,BDD,82,FALSE),"")</f>
        <v/>
      </c>
      <c r="FW224" s="16" t="str">
        <f>Aout!GB24</f>
        <v>322026</v>
      </c>
      <c r="FX224" s="16">
        <f>Aout!GC24</f>
        <v>0</v>
      </c>
      <c r="HI224" s="85">
        <f>+Aout!AB25</f>
        <v>46240</v>
      </c>
      <c r="HJ224" s="27" t="str">
        <f>+Aout!AD25</f>
        <v/>
      </c>
      <c r="HK224" s="16">
        <f t="shared" si="65"/>
        <v>0</v>
      </c>
      <c r="HL224" s="16" t="str">
        <f>IF(AND(HI224&gt;=DATE(Identification!$B$60,5,1),HI224&lt;=DATE(Identification!$B$60,10,31),SUM(HK224:HK238)=12),"OUI","")</f>
        <v/>
      </c>
    </row>
    <row r="225" spans="1:220" x14ac:dyDescent="0.2">
      <c r="A225" s="16" t="str">
        <f t="shared" si="52"/>
        <v>Fiche info Avenant 1H7</v>
      </c>
      <c r="B225" s="16" t="str">
        <f t="shared" si="53"/>
        <v>Fiche info Avenant 1</v>
      </c>
      <c r="C225" s="27" t="s">
        <v>237</v>
      </c>
      <c r="D225" s="27">
        <v>7</v>
      </c>
      <c r="E225" s="16" t="s">
        <v>185</v>
      </c>
      <c r="F225" s="34" t="str">
        <f>+IF('Fiche info'!$CJ$13=0,"",'Fiche info'!$CJ$13)</f>
        <v/>
      </c>
      <c r="G225" s="16">
        <f t="shared" si="61"/>
        <v>0</v>
      </c>
      <c r="BX225" s="16" t="str">
        <f t="shared" si="62"/>
        <v>Fiche info Avenant 1H7</v>
      </c>
      <c r="BY225" s="431">
        <f>'Fiche info Avenant 1'!$CA$13</f>
        <v>0</v>
      </c>
      <c r="BZ225" s="431">
        <f>'Fiche info Avenant 1'!$CB$13</f>
        <v>0</v>
      </c>
      <c r="CA225" s="431">
        <f>'Fiche info Avenant 1'!$CC$13</f>
        <v>0</v>
      </c>
      <c r="CB225" s="431">
        <f>'Fiche info Avenant 1'!$CD$13</f>
        <v>0</v>
      </c>
      <c r="CC225" s="431">
        <f>'Fiche info Avenant 1'!$CE$13</f>
        <v>0</v>
      </c>
      <c r="CD225" s="431">
        <f>'Fiche info Avenant 1'!$CF$13</f>
        <v>0</v>
      </c>
      <c r="CE225" s="431">
        <f>'Fiche info Avenant 1'!$CG$13</f>
        <v>0</v>
      </c>
      <c r="CF225" s="431">
        <f>'Fiche info Avenant 1'!$CH$13</f>
        <v>0</v>
      </c>
      <c r="ED225" s="16" t="str">
        <f t="shared" si="54"/>
        <v>Fiche info Avenant 1H</v>
      </c>
      <c r="EE225" s="16" t="str">
        <f t="shared" si="56"/>
        <v>Fiche info Avenant 1</v>
      </c>
      <c r="EF225" s="16" t="str">
        <f t="shared" si="57"/>
        <v>H</v>
      </c>
      <c r="EG225" s="16">
        <f t="shared" si="58"/>
        <v>7</v>
      </c>
      <c r="EH225" s="16" t="str">
        <f t="shared" si="59"/>
        <v>Dimanche</v>
      </c>
      <c r="EI225" s="16" t="str">
        <f t="shared" si="60"/>
        <v/>
      </c>
      <c r="FB225" s="16" t="str">
        <f t="shared" si="63"/>
        <v/>
      </c>
      <c r="FC225" s="16" t="str">
        <f t="shared" si="64"/>
        <v/>
      </c>
      <c r="FD225" s="30">
        <f t="shared" si="55"/>
        <v>44682</v>
      </c>
      <c r="FE225" s="30" t="str">
        <f>+IFERROR(VLOOKUP(FD225,BDD,83,FALSE),"")</f>
        <v/>
      </c>
      <c r="FF225" s="30" t="str">
        <f>+IFERROR(VLOOKUP(FD225,BDD,84,FALSE),"")</f>
        <v/>
      </c>
      <c r="FG225" s="30" t="str">
        <f>+IFERROR(VLOOKUP(FD225,BDD,85,FALSE),"")</f>
        <v/>
      </c>
      <c r="FH225" s="30" t="str">
        <f>+IFERROR(VLOOKUP(FD225,BDD,86,FALSE),"")</f>
        <v/>
      </c>
      <c r="FW225" s="16" t="str">
        <f>Aout!GB25</f>
        <v>322026</v>
      </c>
      <c r="FX225" s="16">
        <f>Aout!GC25</f>
        <v>0</v>
      </c>
      <c r="HI225" s="85">
        <f>+Aout!AB26</f>
        <v>46241</v>
      </c>
      <c r="HJ225" s="27" t="str">
        <f>+Aout!AD26</f>
        <v/>
      </c>
      <c r="HK225" s="16">
        <f t="shared" si="65"/>
        <v>0</v>
      </c>
      <c r="HL225" s="16" t="str">
        <f>IF(AND(HI225&gt;=DATE(Identification!$B$60,5,1),HI225&lt;=DATE(Identification!$B$60,10,31),SUM(HK225:HK239)=12),"OUI","")</f>
        <v/>
      </c>
    </row>
    <row r="226" spans="1:220" x14ac:dyDescent="0.2">
      <c r="A226" s="16" t="str">
        <f t="shared" si="52"/>
        <v>Fiche info Avenant 2A1</v>
      </c>
      <c r="B226" s="16" t="str">
        <f>+$P$6</f>
        <v>Fiche info Avenant 2</v>
      </c>
      <c r="C226" s="27" t="s">
        <v>226</v>
      </c>
      <c r="D226" s="27">
        <v>1</v>
      </c>
      <c r="E226" s="16" t="s">
        <v>17</v>
      </c>
      <c r="F226" s="34" t="str">
        <f>IF('Fiche info Avenant 2'!$K$7=0,"",'Fiche info Avenant 2'!$K$7)</f>
        <v/>
      </c>
      <c r="G226" s="16">
        <f t="shared" si="61"/>
        <v>0</v>
      </c>
      <c r="BX226" s="16" t="str">
        <f t="shared" si="62"/>
        <v>Fiche info Avenant 2A1</v>
      </c>
      <c r="BY226" s="431">
        <f>'Fiche info Avenant 2'!$B$7</f>
        <v>0</v>
      </c>
      <c r="BZ226" s="431">
        <f>'Fiche info Avenant 2'!$C$7</f>
        <v>0</v>
      </c>
      <c r="CA226" s="431">
        <f>'Fiche info Avenant 2'!$D$7</f>
        <v>0</v>
      </c>
      <c r="CB226" s="431">
        <f>'Fiche info Avenant 2'!$E$7</f>
        <v>0</v>
      </c>
      <c r="CC226" s="431">
        <f>'Fiche info Avenant 2'!$F$7</f>
        <v>0</v>
      </c>
      <c r="CD226" s="431">
        <f>'Fiche info Avenant 2'!$G$7</f>
        <v>0</v>
      </c>
      <c r="CE226" s="431">
        <f>'Fiche info Avenant 2'!$H$7</f>
        <v>0</v>
      </c>
      <c r="CF226" s="431">
        <f>'Fiche info Avenant 2'!$I$7</f>
        <v>0</v>
      </c>
      <c r="ED226" s="16" t="str">
        <f t="shared" si="54"/>
        <v>Fiche info Avenant 2A</v>
      </c>
      <c r="EE226" s="16" t="str">
        <f t="shared" si="56"/>
        <v>Fiche info Avenant 2</v>
      </c>
      <c r="EF226" s="16" t="str">
        <f t="shared" si="57"/>
        <v>A</v>
      </c>
      <c r="EG226" s="16">
        <f t="shared" si="58"/>
        <v>1</v>
      </c>
      <c r="EH226" s="16" t="str">
        <f t="shared" si="59"/>
        <v>Lundi</v>
      </c>
      <c r="EI226" s="16" t="str">
        <f t="shared" si="60"/>
        <v/>
      </c>
      <c r="FB226" s="16" t="str">
        <f t="shared" si="63"/>
        <v/>
      </c>
      <c r="FC226" s="16" t="str">
        <f t="shared" si="64"/>
        <v/>
      </c>
      <c r="FD226" s="30">
        <f t="shared" si="55"/>
        <v>44652</v>
      </c>
      <c r="FE226" s="30" t="str">
        <f>+IFERROR(VLOOKUP(FD226,BDD,71,FALSE),"")</f>
        <v/>
      </c>
      <c r="FF226" s="30" t="str">
        <f>IFERROR(+VLOOKUP(FD226,BDD,72,FALSE),"")</f>
        <v/>
      </c>
      <c r="FG226" s="30" t="str">
        <f>+IFERROR(VLOOKUP(FD226,BDD,73,FALSE),"")</f>
        <v/>
      </c>
      <c r="FH226" s="30" t="str">
        <f>+IFERROR(VLOOKUP(FD226,BDD,74,FALSE),"")</f>
        <v/>
      </c>
      <c r="FW226" s="16" t="str">
        <f>Aout!GB26</f>
        <v>322026</v>
      </c>
      <c r="FX226" s="16">
        <f>Aout!GC26</f>
        <v>0</v>
      </c>
      <c r="HI226" s="85">
        <f>+Aout!AB27</f>
        <v>46242</v>
      </c>
      <c r="HJ226" s="27" t="str">
        <f>+Aout!AD27</f>
        <v/>
      </c>
      <c r="HK226" s="16">
        <f t="shared" si="65"/>
        <v>0</v>
      </c>
      <c r="HL226" s="16" t="str">
        <f>IF(AND(HI226&gt;=DATE(Identification!$B$60,5,1),HI226&lt;=DATE(Identification!$B$60,10,31),SUM(HK226:HK240)=12),"OUI","")</f>
        <v/>
      </c>
    </row>
    <row r="227" spans="1:220" x14ac:dyDescent="0.2">
      <c r="A227" s="16" t="str">
        <f t="shared" si="52"/>
        <v>Fiche info Avenant 2A2</v>
      </c>
      <c r="B227" s="16" t="str">
        <f t="shared" ref="B227:B281" si="66">+$P$6</f>
        <v>Fiche info Avenant 2</v>
      </c>
      <c r="C227" s="27" t="s">
        <v>226</v>
      </c>
      <c r="D227" s="27">
        <v>2</v>
      </c>
      <c r="E227" s="16" t="s">
        <v>18</v>
      </c>
      <c r="F227" s="34" t="str">
        <f>IF('Fiche info Avenant 2'!$K$8=0,"",'Fiche info Avenant 2'!$K$8)</f>
        <v/>
      </c>
      <c r="G227" s="16">
        <f t="shared" si="61"/>
        <v>0</v>
      </c>
      <c r="BX227" s="16" t="str">
        <f t="shared" si="62"/>
        <v>Fiche info Avenant 2A2</v>
      </c>
      <c r="BY227" s="431">
        <f>'Fiche info Avenant 2'!$B$8</f>
        <v>0</v>
      </c>
      <c r="BZ227" s="431">
        <f>'Fiche info Avenant 2'!$C$8</f>
        <v>0</v>
      </c>
      <c r="CA227" s="431">
        <f>'Fiche info Avenant 2'!$D$8</f>
        <v>0</v>
      </c>
      <c r="CB227" s="431">
        <f>'Fiche info Avenant 2'!$E$8</f>
        <v>0</v>
      </c>
      <c r="CC227" s="431">
        <f>'Fiche info Avenant 2'!$F$8</f>
        <v>0</v>
      </c>
      <c r="CD227" s="431">
        <f>'Fiche info Avenant 2'!$G$8</f>
        <v>0</v>
      </c>
      <c r="CE227" s="431">
        <f>'Fiche info Avenant 2'!$H$8</f>
        <v>0</v>
      </c>
      <c r="CF227" s="431">
        <f>'Fiche info Avenant 2'!$I$8</f>
        <v>0</v>
      </c>
      <c r="ED227" s="16" t="str">
        <f t="shared" si="54"/>
        <v>Fiche info Avenant 2A</v>
      </c>
      <c r="EE227" s="16" t="str">
        <f t="shared" si="56"/>
        <v>Fiche info Avenant 2</v>
      </c>
      <c r="EF227" s="16" t="str">
        <f t="shared" si="57"/>
        <v>A</v>
      </c>
      <c r="EG227" s="16">
        <f t="shared" si="58"/>
        <v>2</v>
      </c>
      <c r="EH227" s="16" t="str">
        <f t="shared" si="59"/>
        <v>Mardi</v>
      </c>
      <c r="EI227" s="16" t="str">
        <f t="shared" si="60"/>
        <v/>
      </c>
      <c r="FB227" s="16" t="str">
        <f t="shared" si="63"/>
        <v/>
      </c>
      <c r="FC227" s="16" t="str">
        <f t="shared" si="64"/>
        <v/>
      </c>
      <c r="FD227" s="30">
        <f t="shared" si="55"/>
        <v>44652</v>
      </c>
      <c r="FE227" s="30" t="str">
        <f>+IFERROR(VLOOKUP(FD227,BDD,75,FALSE),"")</f>
        <v/>
      </c>
      <c r="FF227" s="30" t="str">
        <f>+IFERROR(VLOOKUP(FD227,BDD,76,FALSE),"")</f>
        <v/>
      </c>
      <c r="FG227" s="30" t="str">
        <f>IFERROR(+VLOOKUP(FD227,BDD,77,FALSE),"")</f>
        <v/>
      </c>
      <c r="FH227" s="30" t="str">
        <f>+IFERROR(VLOOKUP(FD227,BDD,78,FALSE),"")</f>
        <v/>
      </c>
      <c r="FW227" s="16" t="str">
        <f>Aout!GB27</f>
        <v>322026</v>
      </c>
      <c r="FX227" s="16">
        <f>Aout!GC27</f>
        <v>0</v>
      </c>
      <c r="HI227" s="85">
        <f>+Aout!AB28</f>
        <v>46243</v>
      </c>
      <c r="HJ227" s="27" t="str">
        <f>+Aout!AD28</f>
        <v/>
      </c>
      <c r="HK227" s="16">
        <f t="shared" si="65"/>
        <v>0</v>
      </c>
      <c r="HL227" s="16" t="str">
        <f>IF(AND(HI227&gt;=DATE(Identification!$B$60,5,1),HI227&lt;=DATE(Identification!$B$60,10,31),SUM(HK227:HK241)=12),"OUI","")</f>
        <v/>
      </c>
    </row>
    <row r="228" spans="1:220" x14ac:dyDescent="0.2">
      <c r="A228" s="16" t="str">
        <f t="shared" si="52"/>
        <v>Fiche info Avenant 2A3</v>
      </c>
      <c r="B228" s="16" t="str">
        <f t="shared" si="66"/>
        <v>Fiche info Avenant 2</v>
      </c>
      <c r="C228" s="27" t="s">
        <v>226</v>
      </c>
      <c r="D228" s="27">
        <v>3</v>
      </c>
      <c r="E228" s="16" t="s">
        <v>19</v>
      </c>
      <c r="F228" s="34" t="str">
        <f>IF('Fiche info Avenant 2'!$K$9=0,"",'Fiche info Avenant 2'!$K$9)</f>
        <v/>
      </c>
      <c r="G228" s="16">
        <f t="shared" si="61"/>
        <v>0</v>
      </c>
      <c r="BX228" s="16" t="str">
        <f t="shared" si="62"/>
        <v>Fiche info Avenant 2A3</v>
      </c>
      <c r="BY228" s="431">
        <f>'Fiche info Avenant 2'!$B$9</f>
        <v>0</v>
      </c>
      <c r="BZ228" s="431">
        <f>'Fiche info Avenant 2'!$C$9</f>
        <v>0</v>
      </c>
      <c r="CA228" s="431">
        <f>'Fiche info Avenant 2'!$D$9</f>
        <v>0</v>
      </c>
      <c r="CB228" s="431">
        <f>'Fiche info Avenant 2'!$E$9</f>
        <v>0</v>
      </c>
      <c r="CC228" s="431">
        <f>'Fiche info Avenant 2'!$F$9</f>
        <v>0</v>
      </c>
      <c r="CD228" s="431">
        <f>'Fiche info Avenant 2'!$G$9</f>
        <v>0</v>
      </c>
      <c r="CE228" s="431">
        <f>'Fiche info Avenant 2'!$H$9</f>
        <v>0</v>
      </c>
      <c r="CF228" s="431">
        <f>'Fiche info Avenant 2'!$I$9</f>
        <v>0</v>
      </c>
      <c r="ED228" s="16" t="str">
        <f t="shared" si="54"/>
        <v>Fiche info Avenant 2A</v>
      </c>
      <c r="EE228" s="16" t="str">
        <f t="shared" si="56"/>
        <v>Fiche info Avenant 2</v>
      </c>
      <c r="EF228" s="16" t="str">
        <f t="shared" si="57"/>
        <v>A</v>
      </c>
      <c r="EG228" s="16">
        <f t="shared" si="58"/>
        <v>3</v>
      </c>
      <c r="EH228" s="16" t="str">
        <f t="shared" si="59"/>
        <v>Mercredi</v>
      </c>
      <c r="EI228" s="16" t="str">
        <f t="shared" si="60"/>
        <v/>
      </c>
      <c r="FB228" s="16" t="str">
        <f t="shared" si="63"/>
        <v/>
      </c>
      <c r="FC228" s="16" t="str">
        <f t="shared" si="64"/>
        <v/>
      </c>
      <c r="FD228" s="30">
        <f t="shared" si="55"/>
        <v>44652</v>
      </c>
      <c r="FE228" s="30" t="str">
        <f>+IFERROR(VLOOKUP(FD228,BDD,79,FALSE),"")</f>
        <v/>
      </c>
      <c r="FF228" s="30" t="str">
        <f>IFERROR(+VLOOKUP(FD228,BDD,80,FALSE),"")</f>
        <v/>
      </c>
      <c r="FG228" s="30" t="str">
        <f>+IFERROR(VLOOKUP(FD228,BDD,81,FALSE),"")</f>
        <v/>
      </c>
      <c r="FH228" s="30" t="str">
        <f>+IFERROR(VLOOKUP(FD228,BDD,82,FALSE),"")</f>
        <v/>
      </c>
      <c r="FW228" s="16" t="str">
        <f>Aout!GB28</f>
        <v>322026</v>
      </c>
      <c r="FX228" s="16">
        <f>Aout!GC28</f>
        <v>0</v>
      </c>
      <c r="HI228" s="85">
        <f>+Aout!AB29</f>
        <v>46244</v>
      </c>
      <c r="HJ228" s="27" t="str">
        <f>+Aout!AD29</f>
        <v/>
      </c>
      <c r="HK228" s="16">
        <f t="shared" si="65"/>
        <v>0</v>
      </c>
      <c r="HL228" s="16" t="str">
        <f>IF(AND(HI228&gt;=DATE(Identification!$B$60,5,1),HI228&lt;=DATE(Identification!$B$60,10,31),SUM(HK228:HK242)=12),"OUI","")</f>
        <v/>
      </c>
    </row>
    <row r="229" spans="1:220" x14ac:dyDescent="0.2">
      <c r="A229" s="16" t="str">
        <f t="shared" si="52"/>
        <v>Fiche info Avenant 2A4</v>
      </c>
      <c r="B229" s="16" t="str">
        <f t="shared" si="66"/>
        <v>Fiche info Avenant 2</v>
      </c>
      <c r="C229" s="27" t="s">
        <v>226</v>
      </c>
      <c r="D229" s="27">
        <v>4</v>
      </c>
      <c r="E229" s="16" t="s">
        <v>20</v>
      </c>
      <c r="F229" s="34" t="str">
        <f>IF('Fiche info Avenant 2'!$K$10=0,"",'Fiche info Avenant 2'!$K$10)</f>
        <v/>
      </c>
      <c r="G229" s="16">
        <f t="shared" si="61"/>
        <v>0</v>
      </c>
      <c r="BX229" s="16" t="str">
        <f t="shared" si="62"/>
        <v>Fiche info Avenant 2A4</v>
      </c>
      <c r="BY229" s="431">
        <f>'Fiche info Avenant 2'!$B$10</f>
        <v>0</v>
      </c>
      <c r="BZ229" s="431">
        <f>'Fiche info Avenant 2'!$C$10</f>
        <v>0</v>
      </c>
      <c r="CA229" s="431">
        <f>'Fiche info Avenant 2'!$D$10</f>
        <v>0</v>
      </c>
      <c r="CB229" s="431">
        <f>'Fiche info Avenant 2'!$E$10</f>
        <v>0</v>
      </c>
      <c r="CC229" s="431">
        <f>'Fiche info Avenant 2'!$F$10</f>
        <v>0</v>
      </c>
      <c r="CD229" s="431">
        <f>'Fiche info Avenant 2'!$G$10</f>
        <v>0</v>
      </c>
      <c r="CE229" s="431">
        <f>'Fiche info Avenant 2'!$H$10</f>
        <v>0</v>
      </c>
      <c r="CF229" s="431">
        <f>'Fiche info Avenant 2'!$I$10</f>
        <v>0</v>
      </c>
      <c r="ED229" s="16" t="str">
        <f t="shared" si="54"/>
        <v>Fiche info Avenant 2A</v>
      </c>
      <c r="EE229" s="16" t="str">
        <f t="shared" si="56"/>
        <v>Fiche info Avenant 2</v>
      </c>
      <c r="EF229" s="16" t="str">
        <f t="shared" si="57"/>
        <v>A</v>
      </c>
      <c r="EG229" s="16">
        <f t="shared" si="58"/>
        <v>4</v>
      </c>
      <c r="EH229" s="16" t="str">
        <f t="shared" si="59"/>
        <v>Jeudi</v>
      </c>
      <c r="EI229" s="16" t="str">
        <f t="shared" si="60"/>
        <v/>
      </c>
      <c r="FB229" s="16" t="str">
        <f t="shared" si="63"/>
        <v/>
      </c>
      <c r="FC229" s="16" t="str">
        <f t="shared" si="64"/>
        <v/>
      </c>
      <c r="FD229" s="30">
        <f t="shared" si="55"/>
        <v>44652</v>
      </c>
      <c r="FE229" s="30" t="str">
        <f>+IFERROR(VLOOKUP(FD229,BDD,83,FALSE),"")</f>
        <v/>
      </c>
      <c r="FF229" s="30" t="str">
        <f>+IFERROR(VLOOKUP(FD229,BDD,84,FALSE),"")</f>
        <v/>
      </c>
      <c r="FG229" s="30" t="str">
        <f>+IFERROR(VLOOKUP(FD229,BDD,85,FALSE),"")</f>
        <v/>
      </c>
      <c r="FH229" s="30" t="str">
        <f>+IFERROR(VLOOKUP(FD229,BDD,86,FALSE),"")</f>
        <v/>
      </c>
      <c r="FW229" s="16" t="str">
        <f>Aout!GB29</f>
        <v>332026</v>
      </c>
      <c r="FX229" s="16">
        <f>Aout!GC29</f>
        <v>0</v>
      </c>
      <c r="HI229" s="85">
        <f>+Aout!AB30</f>
        <v>46245</v>
      </c>
      <c r="HJ229" s="27" t="str">
        <f>+Aout!AD30</f>
        <v/>
      </c>
      <c r="HK229" s="16">
        <f t="shared" si="65"/>
        <v>0</v>
      </c>
      <c r="HL229" s="16" t="str">
        <f>IF(AND(HI229&gt;=DATE(Identification!$B$60,5,1),HI229&lt;=DATE(Identification!$B$60,10,31),SUM(HK229:HK243)=12),"OUI","")</f>
        <v/>
      </c>
    </row>
    <row r="230" spans="1:220" x14ac:dyDescent="0.2">
      <c r="A230" s="16" t="str">
        <f t="shared" si="52"/>
        <v>Fiche info Avenant 2A5</v>
      </c>
      <c r="B230" s="16" t="str">
        <f t="shared" si="66"/>
        <v>Fiche info Avenant 2</v>
      </c>
      <c r="C230" s="27" t="s">
        <v>226</v>
      </c>
      <c r="D230" s="27">
        <v>5</v>
      </c>
      <c r="E230" s="16" t="s">
        <v>21</v>
      </c>
      <c r="F230" s="34" t="str">
        <f>IF('Fiche info Avenant 2'!$K$11=0,"",'Fiche info Avenant 2'!$K$11)</f>
        <v/>
      </c>
      <c r="G230" s="16">
        <f t="shared" si="61"/>
        <v>0</v>
      </c>
      <c r="BX230" s="16" t="str">
        <f t="shared" si="62"/>
        <v>Fiche info Avenant 2A5</v>
      </c>
      <c r="BY230" s="431">
        <f>'Fiche info Avenant 2'!$B$11</f>
        <v>0</v>
      </c>
      <c r="BZ230" s="431">
        <f>'Fiche info Avenant 2'!$C$11</f>
        <v>0</v>
      </c>
      <c r="CA230" s="431">
        <f>'Fiche info Avenant 2'!$D$11</f>
        <v>0</v>
      </c>
      <c r="CB230" s="431">
        <f>'Fiche info Avenant 2'!$E$11</f>
        <v>0</v>
      </c>
      <c r="CC230" s="431">
        <f>'Fiche info Avenant 2'!$F$11</f>
        <v>0</v>
      </c>
      <c r="CD230" s="431">
        <f>'Fiche info Avenant 2'!$G$11</f>
        <v>0</v>
      </c>
      <c r="CE230" s="431">
        <f>'Fiche info Avenant 2'!$H$11</f>
        <v>0</v>
      </c>
      <c r="CF230" s="431">
        <f>'Fiche info Avenant 2'!$I$11</f>
        <v>0</v>
      </c>
      <c r="ED230" s="16" t="str">
        <f t="shared" si="54"/>
        <v>Fiche info Avenant 2A</v>
      </c>
      <c r="EE230" s="16" t="str">
        <f t="shared" si="56"/>
        <v>Fiche info Avenant 2</v>
      </c>
      <c r="EF230" s="16" t="str">
        <f t="shared" si="57"/>
        <v>A</v>
      </c>
      <c r="EG230" s="16">
        <f t="shared" si="58"/>
        <v>5</v>
      </c>
      <c r="EH230" s="16" t="str">
        <f t="shared" si="59"/>
        <v>Vendredi</v>
      </c>
      <c r="EI230" s="16" t="str">
        <f t="shared" si="60"/>
        <v/>
      </c>
      <c r="FB230" s="16" t="str">
        <f t="shared" si="63"/>
        <v/>
      </c>
      <c r="FC230" s="16" t="str">
        <f t="shared" si="64"/>
        <v/>
      </c>
      <c r="FD230" s="30">
        <f t="shared" si="55"/>
        <v>44621</v>
      </c>
      <c r="FE230" s="30" t="str">
        <f>+IFERROR(VLOOKUP(FD230,BDD,71,FALSE),"")</f>
        <v/>
      </c>
      <c r="FF230" s="30" t="str">
        <f>IFERROR(+VLOOKUP(FD230,BDD,72,FALSE),"")</f>
        <v/>
      </c>
      <c r="FG230" s="30" t="str">
        <f>+IFERROR(VLOOKUP(FD230,BDD,73,FALSE),"")</f>
        <v/>
      </c>
      <c r="FH230" s="30" t="str">
        <f>+IFERROR(VLOOKUP(FD230,BDD,74,FALSE),"")</f>
        <v/>
      </c>
      <c r="FW230" s="16" t="str">
        <f>Aout!GB30</f>
        <v>332026</v>
      </c>
      <c r="FX230" s="16">
        <f>Aout!GC30</f>
        <v>0</v>
      </c>
      <c r="HI230" s="85">
        <f>+Aout!AB31</f>
        <v>46246</v>
      </c>
      <c r="HJ230" s="27" t="str">
        <f>+Aout!AD31</f>
        <v/>
      </c>
      <c r="HK230" s="16">
        <f t="shared" si="65"/>
        <v>0</v>
      </c>
      <c r="HL230" s="16" t="str">
        <f>IF(AND(HI230&gt;=DATE(Identification!$B$60,5,1),HI230&lt;=DATE(Identification!$B$60,10,31),SUM(HK230:HK244)=12),"OUI","")</f>
        <v/>
      </c>
    </row>
    <row r="231" spans="1:220" x14ac:dyDescent="0.2">
      <c r="A231" s="16" t="str">
        <f t="shared" si="52"/>
        <v>Fiche info Avenant 2A6</v>
      </c>
      <c r="B231" s="16" t="str">
        <f t="shared" si="66"/>
        <v>Fiche info Avenant 2</v>
      </c>
      <c r="C231" s="27" t="s">
        <v>226</v>
      </c>
      <c r="D231" s="27">
        <v>6</v>
      </c>
      <c r="E231" s="16" t="s">
        <v>184</v>
      </c>
      <c r="F231" s="34" t="str">
        <f>IF('Fiche info Avenant 2'!$K$12=0,"",'Fiche info Avenant 2'!$K$12)</f>
        <v/>
      </c>
      <c r="G231" s="16">
        <f t="shared" si="61"/>
        <v>0</v>
      </c>
      <c r="BX231" s="16" t="str">
        <f t="shared" si="62"/>
        <v>Fiche info Avenant 2A6</v>
      </c>
      <c r="BY231" s="431">
        <f>'Fiche info Avenant 2'!$B$12</f>
        <v>0</v>
      </c>
      <c r="BZ231" s="431">
        <f>'Fiche info Avenant 2'!$C$12</f>
        <v>0</v>
      </c>
      <c r="CA231" s="431">
        <f>'Fiche info Avenant 2'!$D$12</f>
        <v>0</v>
      </c>
      <c r="CB231" s="431">
        <f>'Fiche info Avenant 2'!$E$12</f>
        <v>0</v>
      </c>
      <c r="CC231" s="431">
        <f>'Fiche info Avenant 2'!$F$12</f>
        <v>0</v>
      </c>
      <c r="CD231" s="431">
        <f>'Fiche info Avenant 2'!$G$12</f>
        <v>0</v>
      </c>
      <c r="CE231" s="431">
        <f>'Fiche info Avenant 2'!$H$12</f>
        <v>0</v>
      </c>
      <c r="CF231" s="431">
        <f>'Fiche info Avenant 2'!$I$12</f>
        <v>0</v>
      </c>
      <c r="ED231" s="16" t="str">
        <f t="shared" si="54"/>
        <v>Fiche info Avenant 2A</v>
      </c>
      <c r="EE231" s="16" t="str">
        <f t="shared" si="56"/>
        <v>Fiche info Avenant 2</v>
      </c>
      <c r="EF231" s="16" t="str">
        <f t="shared" si="57"/>
        <v>A</v>
      </c>
      <c r="EG231" s="16">
        <f t="shared" si="58"/>
        <v>6</v>
      </c>
      <c r="EH231" s="16" t="str">
        <f t="shared" si="59"/>
        <v>Samedi</v>
      </c>
      <c r="EI231" s="16" t="str">
        <f t="shared" si="60"/>
        <v/>
      </c>
      <c r="FB231" s="16" t="str">
        <f t="shared" si="63"/>
        <v/>
      </c>
      <c r="FC231" s="16" t="str">
        <f t="shared" si="64"/>
        <v/>
      </c>
      <c r="FD231" s="30">
        <f t="shared" si="55"/>
        <v>44621</v>
      </c>
      <c r="FE231" s="30" t="str">
        <f>+IFERROR(VLOOKUP(FD231,BDD,75,FALSE),"")</f>
        <v/>
      </c>
      <c r="FF231" s="30" t="str">
        <f>+IFERROR(VLOOKUP(FD231,BDD,76,FALSE),"")</f>
        <v/>
      </c>
      <c r="FG231" s="30" t="str">
        <f>IFERROR(+VLOOKUP(FD231,BDD,77,FALSE),"")</f>
        <v/>
      </c>
      <c r="FH231" s="30" t="str">
        <f>+IFERROR(VLOOKUP(FD231,BDD,78,FALSE),"")</f>
        <v/>
      </c>
      <c r="FW231" s="16" t="str">
        <f>Aout!GB31</f>
        <v>332026</v>
      </c>
      <c r="FX231" s="16">
        <f>Aout!GC31</f>
        <v>0</v>
      </c>
      <c r="HI231" s="85">
        <f>+Aout!AB32</f>
        <v>46247</v>
      </c>
      <c r="HJ231" s="27" t="str">
        <f>+Aout!AD32</f>
        <v/>
      </c>
      <c r="HK231" s="16">
        <f t="shared" si="65"/>
        <v>0</v>
      </c>
      <c r="HL231" s="16" t="str">
        <f>IF(AND(HI231&gt;=DATE(Identification!$B$60,5,1),HI231&lt;=DATE(Identification!$B$60,10,31),SUM(HK231:HK245)=12),"OUI","")</f>
        <v/>
      </c>
    </row>
    <row r="232" spans="1:220" x14ac:dyDescent="0.2">
      <c r="A232" s="16" t="str">
        <f t="shared" si="52"/>
        <v>Fiche info Avenant 2A7</v>
      </c>
      <c r="B232" s="16" t="str">
        <f t="shared" si="66"/>
        <v>Fiche info Avenant 2</v>
      </c>
      <c r="C232" s="27" t="s">
        <v>226</v>
      </c>
      <c r="D232" s="27">
        <v>7</v>
      </c>
      <c r="E232" s="16" t="s">
        <v>185</v>
      </c>
      <c r="F232" s="34" t="str">
        <f>IF('Fiche info Avenant 2'!$K$13=0,"",'Fiche info Avenant 2'!$K$13)</f>
        <v/>
      </c>
      <c r="G232" s="16">
        <f t="shared" si="61"/>
        <v>0</v>
      </c>
      <c r="BX232" s="16" t="str">
        <f t="shared" si="62"/>
        <v>Fiche info Avenant 2A7</v>
      </c>
      <c r="BY232" s="431">
        <f>'Fiche info Avenant 2'!$B$13</f>
        <v>0</v>
      </c>
      <c r="BZ232" s="431">
        <f>'Fiche info Avenant 2'!$C$13</f>
        <v>0</v>
      </c>
      <c r="CA232" s="431">
        <f>'Fiche info Avenant 2'!$D$13</f>
        <v>0</v>
      </c>
      <c r="CB232" s="431">
        <f>'Fiche info Avenant 2'!$E$13</f>
        <v>0</v>
      </c>
      <c r="CC232" s="431">
        <f>'Fiche info Avenant 2'!$F$13</f>
        <v>0</v>
      </c>
      <c r="CD232" s="431">
        <f>'Fiche info Avenant 2'!$G$13</f>
        <v>0</v>
      </c>
      <c r="CE232" s="431">
        <f>'Fiche info Avenant 2'!$H$13</f>
        <v>0</v>
      </c>
      <c r="CF232" s="431">
        <f>'Fiche info Avenant 2'!$I$13</f>
        <v>0</v>
      </c>
      <c r="ED232" s="16" t="str">
        <f t="shared" si="54"/>
        <v>Fiche info Avenant 2A</v>
      </c>
      <c r="EE232" s="16" t="str">
        <f t="shared" si="56"/>
        <v>Fiche info Avenant 2</v>
      </c>
      <c r="EF232" s="16" t="str">
        <f t="shared" si="57"/>
        <v>A</v>
      </c>
      <c r="EG232" s="16">
        <f t="shared" si="58"/>
        <v>7</v>
      </c>
      <c r="EH232" s="16" t="str">
        <f t="shared" si="59"/>
        <v>Dimanche</v>
      </c>
      <c r="EI232" s="16" t="str">
        <f t="shared" si="60"/>
        <v/>
      </c>
      <c r="FB232" s="16" t="str">
        <f t="shared" si="63"/>
        <v/>
      </c>
      <c r="FC232" s="16" t="str">
        <f t="shared" si="64"/>
        <v/>
      </c>
      <c r="FD232" s="30">
        <f t="shared" si="55"/>
        <v>44621</v>
      </c>
      <c r="FE232" s="30" t="str">
        <f>+IFERROR(VLOOKUP(FD232,BDD,79,FALSE),"")</f>
        <v/>
      </c>
      <c r="FF232" s="30" t="str">
        <f>IFERROR(+VLOOKUP(FD232,BDD,80,FALSE),"")</f>
        <v/>
      </c>
      <c r="FG232" s="30" t="str">
        <f>+IFERROR(VLOOKUP(FD232,BDD,81,FALSE),"")</f>
        <v/>
      </c>
      <c r="FH232" s="30" t="str">
        <f>+IFERROR(VLOOKUP(FD232,BDD,82,FALSE),"")</f>
        <v/>
      </c>
      <c r="FW232" s="16" t="str">
        <f>Aout!GB32</f>
        <v>332026</v>
      </c>
      <c r="FX232" s="16">
        <f>Aout!GC32</f>
        <v>0</v>
      </c>
      <c r="HI232" s="85">
        <f>+Aout!AB33</f>
        <v>46248</v>
      </c>
      <c r="HJ232" s="27" t="str">
        <f>+Aout!AD33</f>
        <v/>
      </c>
      <c r="HK232" s="16">
        <f t="shared" si="65"/>
        <v>0</v>
      </c>
      <c r="HL232" s="16" t="str">
        <f>IF(AND(HI232&gt;=DATE(Identification!$B$60,5,1),HI232&lt;=DATE(Identification!$B$60,10,31),SUM(HK232:HK246)=12),"OUI","")</f>
        <v/>
      </c>
    </row>
    <row r="233" spans="1:220" x14ac:dyDescent="0.2">
      <c r="A233" s="16" t="str">
        <f t="shared" si="52"/>
        <v>Fiche info Avenant 2B1</v>
      </c>
      <c r="B233" s="16" t="str">
        <f t="shared" si="66"/>
        <v>Fiche info Avenant 2</v>
      </c>
      <c r="C233" s="27" t="s">
        <v>227</v>
      </c>
      <c r="D233" s="27">
        <v>1</v>
      </c>
      <c r="E233" s="16" t="s">
        <v>17</v>
      </c>
      <c r="F233" s="34" t="str">
        <f>+IF('Fiche info Avenant 2'!$V$7=0,"",'Fiche info Avenant 2'!$V$7)</f>
        <v/>
      </c>
      <c r="G233" s="16">
        <f t="shared" si="61"/>
        <v>0</v>
      </c>
      <c r="BX233" s="16" t="str">
        <f t="shared" si="62"/>
        <v>Fiche info Avenant 2B1</v>
      </c>
      <c r="BY233" s="431">
        <f>'Fiche info Avenant 2'!$M$7</f>
        <v>0</v>
      </c>
      <c r="BZ233" s="431">
        <f>'Fiche info Avenant 2'!$N$7</f>
        <v>0</v>
      </c>
      <c r="CA233" s="431">
        <f>'Fiche info Avenant 2'!$O$7</f>
        <v>0</v>
      </c>
      <c r="CB233" s="431">
        <f>'Fiche info Avenant 2'!$P$7</f>
        <v>0</v>
      </c>
      <c r="CC233" s="431">
        <f>'Fiche info Avenant 2'!$Q$7</f>
        <v>0</v>
      </c>
      <c r="CD233" s="431">
        <f>'Fiche info Avenant 2'!$R$7</f>
        <v>0</v>
      </c>
      <c r="CE233" s="431">
        <f>'Fiche info Avenant 2'!$S$7</f>
        <v>0</v>
      </c>
      <c r="CF233" s="431">
        <f>'Fiche info Avenant 2'!$T$7</f>
        <v>0</v>
      </c>
      <c r="ED233" s="16" t="str">
        <f t="shared" si="54"/>
        <v>Fiche info Avenant 2B</v>
      </c>
      <c r="EE233" s="16" t="str">
        <f t="shared" si="56"/>
        <v>Fiche info Avenant 2</v>
      </c>
      <c r="EF233" s="16" t="str">
        <f t="shared" si="57"/>
        <v>B</v>
      </c>
      <c r="EG233" s="16">
        <f t="shared" si="58"/>
        <v>1</v>
      </c>
      <c r="EH233" s="16" t="str">
        <f t="shared" si="59"/>
        <v>Lundi</v>
      </c>
      <c r="EI233" s="16" t="str">
        <f t="shared" si="60"/>
        <v/>
      </c>
      <c r="FB233" s="16" t="str">
        <f t="shared" si="63"/>
        <v/>
      </c>
      <c r="FC233" s="16" t="str">
        <f t="shared" si="64"/>
        <v/>
      </c>
      <c r="FD233" s="30">
        <f t="shared" si="55"/>
        <v>44621</v>
      </c>
      <c r="FE233" s="30" t="str">
        <f>+IFERROR(VLOOKUP(FD233,BDD,83,FALSE),"")</f>
        <v/>
      </c>
      <c r="FF233" s="30" t="str">
        <f>+IFERROR(VLOOKUP(FD233,BDD,84,FALSE),"")</f>
        <v/>
      </c>
      <c r="FG233" s="30" t="str">
        <f>+IFERROR(VLOOKUP(FD233,BDD,85,FALSE),"")</f>
        <v/>
      </c>
      <c r="FH233" s="30" t="str">
        <f>+IFERROR(VLOOKUP(FD233,BDD,86,FALSE),"")</f>
        <v/>
      </c>
      <c r="FW233" s="16" t="str">
        <f>Aout!GB33</f>
        <v>332026</v>
      </c>
      <c r="FX233" s="16">
        <f>Aout!GC33</f>
        <v>0</v>
      </c>
      <c r="HI233" s="85">
        <f>+Aout!AB34</f>
        <v>46249</v>
      </c>
      <c r="HJ233" s="27" t="str">
        <f>+Aout!AD34</f>
        <v/>
      </c>
      <c r="HK233" s="16">
        <f t="shared" si="65"/>
        <v>0</v>
      </c>
      <c r="HL233" s="16" t="str">
        <f>IF(AND(HI233&gt;=DATE(Identification!$B$60,5,1),HI233&lt;=DATE(Identification!$B$60,10,31),SUM(HK233:HK247)=12),"OUI","")</f>
        <v/>
      </c>
    </row>
    <row r="234" spans="1:220" x14ac:dyDescent="0.2">
      <c r="A234" s="16" t="str">
        <f t="shared" si="52"/>
        <v>Fiche info Avenant 2B2</v>
      </c>
      <c r="B234" s="16" t="str">
        <f t="shared" si="66"/>
        <v>Fiche info Avenant 2</v>
      </c>
      <c r="C234" s="27" t="s">
        <v>227</v>
      </c>
      <c r="D234" s="27">
        <v>2</v>
      </c>
      <c r="E234" s="16" t="s">
        <v>18</v>
      </c>
      <c r="F234" s="34" t="str">
        <f>+IF('Fiche info Avenant 2'!$V$8=0,"",'Fiche info Avenant 2'!$V$8)</f>
        <v/>
      </c>
      <c r="G234" s="16">
        <f t="shared" si="61"/>
        <v>0</v>
      </c>
      <c r="BX234" s="16" t="str">
        <f t="shared" si="62"/>
        <v>Fiche info Avenant 2B2</v>
      </c>
      <c r="BY234" s="431">
        <f>'Fiche info Avenant 2'!$M$8</f>
        <v>0</v>
      </c>
      <c r="BZ234" s="431">
        <f>'Fiche info Avenant 2'!$N$8</f>
        <v>0</v>
      </c>
      <c r="CA234" s="431">
        <f>'Fiche info Avenant 2'!$O$8</f>
        <v>0</v>
      </c>
      <c r="CB234" s="431">
        <f>'Fiche info Avenant 2'!$P$8</f>
        <v>0</v>
      </c>
      <c r="CC234" s="431">
        <f>'Fiche info Avenant 2'!$Q$8</f>
        <v>0</v>
      </c>
      <c r="CD234" s="431">
        <f>'Fiche info Avenant 2'!$R$8</f>
        <v>0</v>
      </c>
      <c r="CE234" s="431">
        <f>'Fiche info Avenant 2'!$S$8</f>
        <v>0</v>
      </c>
      <c r="CF234" s="431">
        <f>'Fiche info Avenant 2'!$T$8</f>
        <v>0</v>
      </c>
      <c r="ED234" s="16" t="str">
        <f t="shared" si="54"/>
        <v>Fiche info Avenant 2B</v>
      </c>
      <c r="EE234" s="16" t="str">
        <f t="shared" si="56"/>
        <v>Fiche info Avenant 2</v>
      </c>
      <c r="EF234" s="16" t="str">
        <f t="shared" si="57"/>
        <v>B</v>
      </c>
      <c r="EG234" s="16">
        <f t="shared" si="58"/>
        <v>2</v>
      </c>
      <c r="EH234" s="16" t="str">
        <f t="shared" si="59"/>
        <v>Mardi</v>
      </c>
      <c r="EI234" s="16" t="str">
        <f t="shared" si="60"/>
        <v/>
      </c>
      <c r="FB234" s="16" t="str">
        <f t="shared" si="63"/>
        <v/>
      </c>
      <c r="FC234" s="16" t="str">
        <f t="shared" si="64"/>
        <v/>
      </c>
      <c r="FD234" s="30">
        <f t="shared" si="55"/>
        <v>44593</v>
      </c>
      <c r="FE234" s="30" t="str">
        <f>+IFERROR(VLOOKUP(FD234,BDD,71,FALSE),"")</f>
        <v/>
      </c>
      <c r="FF234" s="30" t="str">
        <f>IFERROR(+VLOOKUP(FD234,BDD,72,FALSE),"")</f>
        <v/>
      </c>
      <c r="FG234" s="30" t="str">
        <f>+IFERROR(VLOOKUP(FD234,BDD,73,FALSE),"")</f>
        <v/>
      </c>
      <c r="FH234" s="30" t="str">
        <f>+IFERROR(VLOOKUP(FD234,BDD,74,FALSE),"")</f>
        <v/>
      </c>
      <c r="FW234" s="16" t="str">
        <f>Aout!GB34</f>
        <v>332026</v>
      </c>
      <c r="FX234" s="16">
        <f>Aout!GC34</f>
        <v>0</v>
      </c>
      <c r="HI234" s="85">
        <f>+Aout!AB35</f>
        <v>46250</v>
      </c>
      <c r="HJ234" s="27" t="str">
        <f>+Aout!AD35</f>
        <v/>
      </c>
      <c r="HK234" s="16">
        <f t="shared" si="65"/>
        <v>0</v>
      </c>
      <c r="HL234" s="16" t="str">
        <f>IF(AND(HI234&gt;=DATE(Identification!$B$60,5,1),HI234&lt;=DATE(Identification!$B$60,10,31),SUM(HK234:HK248)=12),"OUI","")</f>
        <v/>
      </c>
    </row>
    <row r="235" spans="1:220" x14ac:dyDescent="0.2">
      <c r="A235" s="16" t="str">
        <f t="shared" ref="A235:A298" si="67">+B235&amp;C235&amp;D235</f>
        <v>Fiche info Avenant 2B3</v>
      </c>
      <c r="B235" s="16" t="str">
        <f t="shared" si="66"/>
        <v>Fiche info Avenant 2</v>
      </c>
      <c r="C235" s="27" t="s">
        <v>227</v>
      </c>
      <c r="D235" s="27">
        <v>3</v>
      </c>
      <c r="E235" s="16" t="s">
        <v>19</v>
      </c>
      <c r="F235" s="34" t="str">
        <f>+IF('Fiche info Avenant 2'!$V$9=0,"",'Fiche info Avenant 2'!$V$9)</f>
        <v/>
      </c>
      <c r="G235" s="16">
        <f t="shared" si="61"/>
        <v>0</v>
      </c>
      <c r="BX235" s="16" t="str">
        <f t="shared" si="62"/>
        <v>Fiche info Avenant 2B3</v>
      </c>
      <c r="BY235" s="431">
        <f>'Fiche info Avenant 2'!$M$9</f>
        <v>0</v>
      </c>
      <c r="BZ235" s="431">
        <f>'Fiche info Avenant 2'!$N$9</f>
        <v>0</v>
      </c>
      <c r="CA235" s="431">
        <f>'Fiche info Avenant 2'!$O$9</f>
        <v>0</v>
      </c>
      <c r="CB235" s="431">
        <f>'Fiche info Avenant 2'!$P$9</f>
        <v>0</v>
      </c>
      <c r="CC235" s="431">
        <f>'Fiche info Avenant 2'!$Q$9</f>
        <v>0</v>
      </c>
      <c r="CD235" s="431">
        <f>'Fiche info Avenant 2'!$R$9</f>
        <v>0</v>
      </c>
      <c r="CE235" s="431">
        <f>'Fiche info Avenant 2'!$S$9</f>
        <v>0</v>
      </c>
      <c r="CF235" s="431">
        <f>'Fiche info Avenant 2'!$T$9</f>
        <v>0</v>
      </c>
      <c r="ED235" s="16" t="str">
        <f t="shared" si="54"/>
        <v>Fiche info Avenant 2B</v>
      </c>
      <c r="EE235" s="16" t="str">
        <f t="shared" si="56"/>
        <v>Fiche info Avenant 2</v>
      </c>
      <c r="EF235" s="16" t="str">
        <f t="shared" si="57"/>
        <v>B</v>
      </c>
      <c r="EG235" s="16">
        <f t="shared" si="58"/>
        <v>3</v>
      </c>
      <c r="EH235" s="16" t="str">
        <f t="shared" si="59"/>
        <v>Mercredi</v>
      </c>
      <c r="EI235" s="16" t="str">
        <f t="shared" si="60"/>
        <v/>
      </c>
      <c r="FB235" s="16" t="str">
        <f t="shared" si="63"/>
        <v/>
      </c>
      <c r="FC235" s="16" t="str">
        <f t="shared" si="64"/>
        <v/>
      </c>
      <c r="FD235" s="30">
        <f t="shared" si="55"/>
        <v>44593</v>
      </c>
      <c r="FE235" s="30" t="str">
        <f>+IFERROR(VLOOKUP(FD235,BDD,75,FALSE),"")</f>
        <v/>
      </c>
      <c r="FF235" s="30" t="str">
        <f>+IFERROR(VLOOKUP(FD235,BDD,76,FALSE),"")</f>
        <v/>
      </c>
      <c r="FG235" s="30" t="str">
        <f>IFERROR(+VLOOKUP(FD235,BDD,77,FALSE),"")</f>
        <v/>
      </c>
      <c r="FH235" s="30" t="str">
        <f>+IFERROR(VLOOKUP(FD235,BDD,78,FALSE),"")</f>
        <v/>
      </c>
      <c r="FW235" s="16" t="str">
        <f>Aout!GB35</f>
        <v>332026</v>
      </c>
      <c r="FX235" s="16">
        <f>Aout!GC35</f>
        <v>0</v>
      </c>
      <c r="HI235" s="85">
        <f>+Aout!AB36</f>
        <v>46251</v>
      </c>
      <c r="HJ235" s="27" t="str">
        <f>+Aout!AD36</f>
        <v/>
      </c>
      <c r="HK235" s="16">
        <f t="shared" si="65"/>
        <v>0</v>
      </c>
      <c r="HL235" s="16" t="str">
        <f>IF(AND(HI235&gt;=DATE(Identification!$B$60,5,1),HI235&lt;=DATE(Identification!$B$60,10,31),SUM(HK235:HK249)=12),"OUI","")</f>
        <v/>
      </c>
    </row>
    <row r="236" spans="1:220" x14ac:dyDescent="0.2">
      <c r="A236" s="16" t="str">
        <f t="shared" si="67"/>
        <v>Fiche info Avenant 2B4</v>
      </c>
      <c r="B236" s="16" t="str">
        <f t="shared" si="66"/>
        <v>Fiche info Avenant 2</v>
      </c>
      <c r="C236" s="27" t="s">
        <v>227</v>
      </c>
      <c r="D236" s="27">
        <v>4</v>
      </c>
      <c r="E236" s="16" t="s">
        <v>20</v>
      </c>
      <c r="F236" s="34" t="str">
        <f>+IF('Fiche info Avenant 2'!$V$10=0,"",'Fiche info Avenant 2'!$V$10)</f>
        <v/>
      </c>
      <c r="G236" s="16">
        <f t="shared" si="61"/>
        <v>0</v>
      </c>
      <c r="BX236" s="16" t="str">
        <f t="shared" si="62"/>
        <v>Fiche info Avenant 2B4</v>
      </c>
      <c r="BY236" s="431">
        <f>'Fiche info Avenant 2'!$M$10</f>
        <v>0</v>
      </c>
      <c r="BZ236" s="431">
        <f>'Fiche info Avenant 2'!$N$10</f>
        <v>0</v>
      </c>
      <c r="CA236" s="431">
        <f>'Fiche info Avenant 2'!$O$10</f>
        <v>0</v>
      </c>
      <c r="CB236" s="431">
        <f>'Fiche info Avenant 2'!$P$10</f>
        <v>0</v>
      </c>
      <c r="CC236" s="431">
        <f>'Fiche info Avenant 2'!$Q$10</f>
        <v>0</v>
      </c>
      <c r="CD236" s="431">
        <f>'Fiche info Avenant 2'!$R$10</f>
        <v>0</v>
      </c>
      <c r="CE236" s="431">
        <f>'Fiche info Avenant 2'!$S$10</f>
        <v>0</v>
      </c>
      <c r="CF236" s="431">
        <f>'Fiche info Avenant 2'!$T$10</f>
        <v>0</v>
      </c>
      <c r="ED236" s="16" t="str">
        <f t="shared" si="54"/>
        <v>Fiche info Avenant 2B</v>
      </c>
      <c r="EE236" s="16" t="str">
        <f t="shared" si="56"/>
        <v>Fiche info Avenant 2</v>
      </c>
      <c r="EF236" s="16" t="str">
        <f t="shared" si="57"/>
        <v>B</v>
      </c>
      <c r="EG236" s="16">
        <f t="shared" si="58"/>
        <v>4</v>
      </c>
      <c r="EH236" s="16" t="str">
        <f t="shared" si="59"/>
        <v>Jeudi</v>
      </c>
      <c r="EI236" s="16" t="str">
        <f t="shared" si="60"/>
        <v/>
      </c>
      <c r="FB236" s="16" t="str">
        <f t="shared" si="63"/>
        <v/>
      </c>
      <c r="FC236" s="16" t="str">
        <f t="shared" si="64"/>
        <v/>
      </c>
      <c r="FD236" s="30">
        <f t="shared" si="55"/>
        <v>44593</v>
      </c>
      <c r="FE236" s="30" t="str">
        <f>+IFERROR(VLOOKUP(FD236,BDD,79,FALSE),"")</f>
        <v/>
      </c>
      <c r="FF236" s="30" t="str">
        <f>IFERROR(+VLOOKUP(FD236,BDD,80,FALSE),"")</f>
        <v/>
      </c>
      <c r="FG236" s="30" t="str">
        <f>+IFERROR(VLOOKUP(FD236,BDD,81,FALSE),"")</f>
        <v/>
      </c>
      <c r="FH236" s="30" t="str">
        <f>+IFERROR(VLOOKUP(FD236,BDD,82,FALSE),"")</f>
        <v/>
      </c>
      <c r="FW236" s="16" t="str">
        <f>Aout!GB36</f>
        <v>342026</v>
      </c>
      <c r="FX236" s="16">
        <f>Aout!GC36</f>
        <v>0</v>
      </c>
      <c r="HI236" s="85">
        <f>+Aout!AB37</f>
        <v>46252</v>
      </c>
      <c r="HJ236" s="27" t="str">
        <f>+Aout!AD37</f>
        <v/>
      </c>
      <c r="HK236" s="16">
        <f t="shared" si="65"/>
        <v>0</v>
      </c>
      <c r="HL236" s="16" t="str">
        <f>IF(AND(HI236&gt;=DATE(Identification!$B$60,5,1),HI236&lt;=DATE(Identification!$B$60,10,31),SUM(HK236:HK250)=12),"OUI","")</f>
        <v/>
      </c>
    </row>
    <row r="237" spans="1:220" x14ac:dyDescent="0.2">
      <c r="A237" s="16" t="str">
        <f t="shared" si="67"/>
        <v>Fiche info Avenant 2B5</v>
      </c>
      <c r="B237" s="16" t="str">
        <f t="shared" si="66"/>
        <v>Fiche info Avenant 2</v>
      </c>
      <c r="C237" s="27" t="s">
        <v>227</v>
      </c>
      <c r="D237" s="27">
        <v>5</v>
      </c>
      <c r="E237" s="16" t="s">
        <v>21</v>
      </c>
      <c r="F237" s="34" t="str">
        <f>+IF('Fiche info Avenant 2'!$V$11=0,"",'Fiche info Avenant 2'!$V$11)</f>
        <v/>
      </c>
      <c r="G237" s="16">
        <f t="shared" si="61"/>
        <v>0</v>
      </c>
      <c r="BX237" s="16" t="str">
        <f t="shared" si="62"/>
        <v>Fiche info Avenant 2B5</v>
      </c>
      <c r="BY237" s="431">
        <f>'Fiche info Avenant 2'!$M$11</f>
        <v>0</v>
      </c>
      <c r="BZ237" s="431">
        <f>'Fiche info Avenant 2'!$N$11</f>
        <v>0</v>
      </c>
      <c r="CA237" s="431">
        <f>'Fiche info Avenant 2'!$O$11</f>
        <v>0</v>
      </c>
      <c r="CB237" s="431">
        <f>'Fiche info Avenant 2'!$P$11</f>
        <v>0</v>
      </c>
      <c r="CC237" s="431">
        <f>'Fiche info Avenant 2'!$Q$11</f>
        <v>0</v>
      </c>
      <c r="CD237" s="431">
        <f>'Fiche info Avenant 2'!$R$11</f>
        <v>0</v>
      </c>
      <c r="CE237" s="431">
        <f>'Fiche info Avenant 2'!$S$11</f>
        <v>0</v>
      </c>
      <c r="CF237" s="431">
        <f>'Fiche info Avenant 2'!$T$11</f>
        <v>0</v>
      </c>
      <c r="ED237" s="16" t="str">
        <f t="shared" si="54"/>
        <v>Fiche info Avenant 2B</v>
      </c>
      <c r="EE237" s="16" t="str">
        <f t="shared" si="56"/>
        <v>Fiche info Avenant 2</v>
      </c>
      <c r="EF237" s="16" t="str">
        <f t="shared" si="57"/>
        <v>B</v>
      </c>
      <c r="EG237" s="16">
        <f t="shared" si="58"/>
        <v>5</v>
      </c>
      <c r="EH237" s="16" t="str">
        <f t="shared" si="59"/>
        <v>Vendredi</v>
      </c>
      <c r="EI237" s="16" t="str">
        <f t="shared" si="60"/>
        <v/>
      </c>
      <c r="FB237" s="16" t="str">
        <f t="shared" si="63"/>
        <v/>
      </c>
      <c r="FC237" s="16" t="str">
        <f t="shared" si="64"/>
        <v/>
      </c>
      <c r="FD237" s="30">
        <f t="shared" si="55"/>
        <v>44593</v>
      </c>
      <c r="FE237" s="30" t="str">
        <f>+IFERROR(VLOOKUP(FD237,BDD,83,FALSE),"")</f>
        <v/>
      </c>
      <c r="FF237" s="30" t="str">
        <f>+IFERROR(VLOOKUP(FD237,BDD,84,FALSE),"")</f>
        <v/>
      </c>
      <c r="FG237" s="30" t="str">
        <f>+IFERROR(VLOOKUP(FD237,BDD,85,FALSE),"")</f>
        <v/>
      </c>
      <c r="FH237" s="30" t="str">
        <f>+IFERROR(VLOOKUP(FD237,BDD,86,FALSE),"")</f>
        <v/>
      </c>
      <c r="FW237" s="16" t="str">
        <f>Aout!GB37</f>
        <v>342026</v>
      </c>
      <c r="FX237" s="16">
        <f>Aout!GC37</f>
        <v>0</v>
      </c>
      <c r="HI237" s="85">
        <f>+Aout!AB38</f>
        <v>46253</v>
      </c>
      <c r="HJ237" s="27" t="str">
        <f>+Aout!AD38</f>
        <v/>
      </c>
      <c r="HK237" s="16">
        <f t="shared" si="65"/>
        <v>0</v>
      </c>
      <c r="HL237" s="16" t="str">
        <f>IF(AND(HI237&gt;=DATE(Identification!$B$60,5,1),HI237&lt;=DATE(Identification!$B$60,10,31),SUM(HK237:HK251)=12),"OUI","")</f>
        <v/>
      </c>
    </row>
    <row r="238" spans="1:220" x14ac:dyDescent="0.2">
      <c r="A238" s="16" t="str">
        <f t="shared" si="67"/>
        <v>Fiche info Avenant 2B6</v>
      </c>
      <c r="B238" s="16" t="str">
        <f t="shared" si="66"/>
        <v>Fiche info Avenant 2</v>
      </c>
      <c r="C238" s="27" t="s">
        <v>227</v>
      </c>
      <c r="D238" s="27">
        <v>6</v>
      </c>
      <c r="E238" s="16" t="s">
        <v>184</v>
      </c>
      <c r="F238" s="34" t="str">
        <f>+IF('Fiche info Avenant 2'!$V$12=0,"",'Fiche info Avenant 2'!$V$12)</f>
        <v/>
      </c>
      <c r="G238" s="16">
        <f t="shared" si="61"/>
        <v>0</v>
      </c>
      <c r="BX238" s="16" t="str">
        <f t="shared" si="62"/>
        <v>Fiche info Avenant 2B6</v>
      </c>
      <c r="BY238" s="431">
        <f>'Fiche info Avenant 2'!$M$12</f>
        <v>0</v>
      </c>
      <c r="BZ238" s="431">
        <f>'Fiche info Avenant 2'!$N$12</f>
        <v>0</v>
      </c>
      <c r="CA238" s="431">
        <f>'Fiche info Avenant 2'!$O$12</f>
        <v>0</v>
      </c>
      <c r="CB238" s="431">
        <f>'Fiche info Avenant 2'!$P$12</f>
        <v>0</v>
      </c>
      <c r="CC238" s="431">
        <f>'Fiche info Avenant 2'!$Q$12</f>
        <v>0</v>
      </c>
      <c r="CD238" s="431">
        <f>'Fiche info Avenant 2'!$R$12</f>
        <v>0</v>
      </c>
      <c r="CE238" s="431">
        <f>'Fiche info Avenant 2'!$S$12</f>
        <v>0</v>
      </c>
      <c r="CF238" s="431">
        <f>'Fiche info Avenant 2'!$T$12</f>
        <v>0</v>
      </c>
      <c r="ED238" s="16" t="str">
        <f t="shared" si="54"/>
        <v>Fiche info Avenant 2B</v>
      </c>
      <c r="EE238" s="16" t="str">
        <f t="shared" si="56"/>
        <v>Fiche info Avenant 2</v>
      </c>
      <c r="EF238" s="16" t="str">
        <f t="shared" si="57"/>
        <v>B</v>
      </c>
      <c r="EG238" s="16">
        <f t="shared" si="58"/>
        <v>6</v>
      </c>
      <c r="EH238" s="16" t="str">
        <f t="shared" si="59"/>
        <v>Samedi</v>
      </c>
      <c r="EI238" s="16" t="str">
        <f t="shared" si="60"/>
        <v/>
      </c>
      <c r="FB238" s="16" t="str">
        <f t="shared" si="63"/>
        <v/>
      </c>
      <c r="FC238" s="16" t="str">
        <f t="shared" si="64"/>
        <v/>
      </c>
      <c r="FD238" s="30">
        <f t="shared" si="55"/>
        <v>44562</v>
      </c>
      <c r="FE238" s="30" t="str">
        <f>+IFERROR(VLOOKUP(FD238,BDD,71,FALSE),"")</f>
        <v/>
      </c>
      <c r="FF238" s="30" t="str">
        <f>IFERROR(+VLOOKUP(FD238,BDD,72,FALSE),"")</f>
        <v/>
      </c>
      <c r="FG238" s="30" t="str">
        <f>+IFERROR(VLOOKUP(FD238,BDD,73,FALSE),"")</f>
        <v/>
      </c>
      <c r="FH238" s="30" t="str">
        <f>+IFERROR(VLOOKUP(FD238,BDD,74,FALSE),"")</f>
        <v/>
      </c>
      <c r="FW238" s="16" t="str">
        <f>Aout!GB38</f>
        <v>342026</v>
      </c>
      <c r="FX238" s="16">
        <f>Aout!GC38</f>
        <v>0</v>
      </c>
      <c r="HI238" s="85">
        <f>+Aout!AB39</f>
        <v>46254</v>
      </c>
      <c r="HJ238" s="27" t="str">
        <f>+Aout!AD39</f>
        <v/>
      </c>
      <c r="HK238" s="16">
        <f t="shared" si="65"/>
        <v>0</v>
      </c>
      <c r="HL238" s="16" t="str">
        <f>IF(AND(HI238&gt;=DATE(Identification!$B$60,5,1),HI238&lt;=DATE(Identification!$B$60,10,31),SUM(HK238:HK252)=12),"OUI","")</f>
        <v/>
      </c>
    </row>
    <row r="239" spans="1:220" x14ac:dyDescent="0.2">
      <c r="A239" s="16" t="str">
        <f t="shared" si="67"/>
        <v>Fiche info Avenant 2B7</v>
      </c>
      <c r="B239" s="16" t="str">
        <f t="shared" si="66"/>
        <v>Fiche info Avenant 2</v>
      </c>
      <c r="C239" s="27" t="s">
        <v>227</v>
      </c>
      <c r="D239" s="27">
        <v>7</v>
      </c>
      <c r="E239" s="16" t="s">
        <v>185</v>
      </c>
      <c r="F239" s="34" t="str">
        <f>+IF('Fiche info Avenant 2'!$V$13=0,"",'Fiche info Avenant 2'!$V$13)</f>
        <v/>
      </c>
      <c r="G239" s="16">
        <f t="shared" si="61"/>
        <v>0</v>
      </c>
      <c r="BX239" s="16" t="str">
        <f t="shared" si="62"/>
        <v>Fiche info Avenant 2B7</v>
      </c>
      <c r="BY239" s="431">
        <f>'Fiche info Avenant 2'!$M$13</f>
        <v>0</v>
      </c>
      <c r="BZ239" s="431">
        <f>'Fiche info Avenant 2'!$N$13</f>
        <v>0</v>
      </c>
      <c r="CA239" s="431">
        <f>'Fiche info Avenant 2'!$O$13</f>
        <v>0</v>
      </c>
      <c r="CB239" s="431">
        <f>'Fiche info Avenant 2'!$P$13</f>
        <v>0</v>
      </c>
      <c r="CC239" s="431">
        <f>'Fiche info Avenant 2'!$Q$13</f>
        <v>0</v>
      </c>
      <c r="CD239" s="431">
        <f>'Fiche info Avenant 2'!$R$13</f>
        <v>0</v>
      </c>
      <c r="CE239" s="431">
        <f>'Fiche info Avenant 2'!$S$13</f>
        <v>0</v>
      </c>
      <c r="CF239" s="431">
        <f>'Fiche info Avenant 2'!$T$13</f>
        <v>0</v>
      </c>
      <c r="ED239" s="16" t="str">
        <f t="shared" si="54"/>
        <v>Fiche info Avenant 2B</v>
      </c>
      <c r="EE239" s="16" t="str">
        <f t="shared" si="56"/>
        <v>Fiche info Avenant 2</v>
      </c>
      <c r="EF239" s="16" t="str">
        <f t="shared" si="57"/>
        <v>B</v>
      </c>
      <c r="EG239" s="16">
        <f t="shared" si="58"/>
        <v>7</v>
      </c>
      <c r="EH239" s="16" t="str">
        <f t="shared" si="59"/>
        <v>Dimanche</v>
      </c>
      <c r="EI239" s="16" t="str">
        <f t="shared" si="60"/>
        <v/>
      </c>
      <c r="FB239" s="16" t="str">
        <f t="shared" si="63"/>
        <v/>
      </c>
      <c r="FC239" s="16" t="str">
        <f t="shared" si="64"/>
        <v/>
      </c>
      <c r="FD239" s="30">
        <f t="shared" si="55"/>
        <v>44562</v>
      </c>
      <c r="FE239" s="30" t="str">
        <f>+IFERROR(VLOOKUP(FD239,BDD,75,FALSE),"")</f>
        <v/>
      </c>
      <c r="FF239" s="30" t="str">
        <f>+IFERROR(VLOOKUP(FD239,BDD,76,FALSE),"")</f>
        <v/>
      </c>
      <c r="FG239" s="30" t="str">
        <f>IFERROR(+VLOOKUP(FD239,BDD,77,FALSE),"")</f>
        <v/>
      </c>
      <c r="FH239" s="30" t="str">
        <f>+IFERROR(VLOOKUP(FD239,BDD,78,FALSE),"")</f>
        <v/>
      </c>
      <c r="FW239" s="16" t="str">
        <f>Aout!GB39</f>
        <v>342026</v>
      </c>
      <c r="FX239" s="16">
        <f>Aout!GC39</f>
        <v>0</v>
      </c>
      <c r="HI239" s="85">
        <f>+Aout!AB40</f>
        <v>46255</v>
      </c>
      <c r="HJ239" s="27" t="str">
        <f>+Aout!AD40</f>
        <v/>
      </c>
      <c r="HK239" s="16">
        <f t="shared" si="65"/>
        <v>0</v>
      </c>
      <c r="HL239" s="16" t="str">
        <f>IF(AND(HI239&gt;=DATE(Identification!$B$60,5,1),HI239&lt;=DATE(Identification!$B$60,10,31),SUM(HK239:HK253)=12),"OUI","")</f>
        <v/>
      </c>
    </row>
    <row r="240" spans="1:220" x14ac:dyDescent="0.2">
      <c r="A240" s="16" t="str">
        <f t="shared" si="67"/>
        <v>Fiche info Avenant 2C1</v>
      </c>
      <c r="B240" s="16" t="str">
        <f t="shared" si="66"/>
        <v>Fiche info Avenant 2</v>
      </c>
      <c r="C240" s="27" t="s">
        <v>232</v>
      </c>
      <c r="D240" s="27">
        <v>1</v>
      </c>
      <c r="E240" s="16" t="s">
        <v>17</v>
      </c>
      <c r="F240" s="34" t="str">
        <f>+IF('Fiche info Avenant 2'!$AG$7=0,"",'Fiche info Avenant 2'!$AG$7)</f>
        <v/>
      </c>
      <c r="G240" s="16">
        <f t="shared" si="61"/>
        <v>0</v>
      </c>
      <c r="BX240" s="16" t="str">
        <f t="shared" si="62"/>
        <v>Fiche info Avenant 2C1</v>
      </c>
      <c r="BY240" s="431">
        <f>'Fiche info Avenant 2'!$X$7</f>
        <v>0</v>
      </c>
      <c r="BZ240" s="431">
        <f>'Fiche info Avenant 2'!$Y$7</f>
        <v>0</v>
      </c>
      <c r="CA240" s="431">
        <f>'Fiche info Avenant 2'!$Z$7</f>
        <v>0</v>
      </c>
      <c r="CB240" s="431">
        <f>'Fiche info Avenant 2'!$AA$7</f>
        <v>0</v>
      </c>
      <c r="CC240" s="431">
        <f>'Fiche info Avenant 2'!$AB$7</f>
        <v>0</v>
      </c>
      <c r="CD240" s="431">
        <f>'Fiche info Avenant 2'!$AC$7</f>
        <v>0</v>
      </c>
      <c r="CE240" s="431">
        <f>'Fiche info Avenant 2'!$AD$7</f>
        <v>0</v>
      </c>
      <c r="CF240" s="431">
        <f>'Fiche info Avenant 2'!$AE$7</f>
        <v>0</v>
      </c>
      <c r="ED240" s="16" t="str">
        <f t="shared" si="54"/>
        <v>Fiche info Avenant 2C</v>
      </c>
      <c r="EE240" s="16" t="str">
        <f t="shared" si="56"/>
        <v>Fiche info Avenant 2</v>
      </c>
      <c r="EF240" s="16" t="str">
        <f t="shared" si="57"/>
        <v>C</v>
      </c>
      <c r="EG240" s="16">
        <f t="shared" si="58"/>
        <v>1</v>
      </c>
      <c r="EH240" s="16" t="str">
        <f t="shared" si="59"/>
        <v>Lundi</v>
      </c>
      <c r="EI240" s="16" t="str">
        <f t="shared" si="60"/>
        <v/>
      </c>
      <c r="FB240" s="16" t="str">
        <f t="shared" si="63"/>
        <v/>
      </c>
      <c r="FC240" s="16" t="str">
        <f t="shared" si="64"/>
        <v/>
      </c>
      <c r="FD240" s="30">
        <f t="shared" si="55"/>
        <v>44562</v>
      </c>
      <c r="FE240" s="30" t="str">
        <f>+IFERROR(VLOOKUP(FD240,BDD,79,FALSE),"")</f>
        <v/>
      </c>
      <c r="FF240" s="30" t="str">
        <f>IFERROR(+VLOOKUP(FD240,BDD,80,FALSE),"")</f>
        <v/>
      </c>
      <c r="FG240" s="30" t="str">
        <f>+IFERROR(VLOOKUP(FD240,BDD,81,FALSE),"")</f>
        <v/>
      </c>
      <c r="FH240" s="30" t="str">
        <f>+IFERROR(VLOOKUP(FD240,BDD,82,FALSE),"")</f>
        <v/>
      </c>
      <c r="FW240" s="16" t="str">
        <f>Aout!GB40</f>
        <v>342026</v>
      </c>
      <c r="FX240" s="16">
        <f>Aout!GC40</f>
        <v>0</v>
      </c>
      <c r="HI240" s="85">
        <f>+Aout!AB41</f>
        <v>46256</v>
      </c>
      <c r="HJ240" s="27" t="str">
        <f>+Aout!AD41</f>
        <v/>
      </c>
      <c r="HK240" s="16">
        <f t="shared" si="65"/>
        <v>0</v>
      </c>
      <c r="HL240" s="16" t="str">
        <f>IF(AND(HI240&gt;=DATE(Identification!$B$60,5,1),HI240&lt;=DATE(Identification!$B$60,10,31),SUM(HK240:HK254)=12),"OUI","")</f>
        <v/>
      </c>
    </row>
    <row r="241" spans="1:220" x14ac:dyDescent="0.2">
      <c r="A241" s="16" t="str">
        <f t="shared" si="67"/>
        <v>Fiche info Avenant 2C2</v>
      </c>
      <c r="B241" s="16" t="str">
        <f t="shared" si="66"/>
        <v>Fiche info Avenant 2</v>
      </c>
      <c r="C241" s="27" t="s">
        <v>232</v>
      </c>
      <c r="D241" s="27">
        <v>2</v>
      </c>
      <c r="E241" s="16" t="s">
        <v>18</v>
      </c>
      <c r="F241" s="34" t="str">
        <f>+IF('Fiche info Avenant 2'!$AG$8=0,"",'Fiche info Avenant 2'!$AG$8)</f>
        <v/>
      </c>
      <c r="G241" s="16">
        <f t="shared" si="61"/>
        <v>0</v>
      </c>
      <c r="BX241" s="16" t="str">
        <f t="shared" si="62"/>
        <v>Fiche info Avenant 2C2</v>
      </c>
      <c r="BY241" s="431">
        <f>'Fiche info Avenant 2'!$X$8</f>
        <v>0</v>
      </c>
      <c r="BZ241" s="431">
        <f>'Fiche info Avenant 2'!$Y$8</f>
        <v>0</v>
      </c>
      <c r="CA241" s="431">
        <f>'Fiche info Avenant 2'!$Z$8</f>
        <v>0</v>
      </c>
      <c r="CB241" s="431">
        <f>'Fiche info Avenant 2'!$AA$8</f>
        <v>0</v>
      </c>
      <c r="CC241" s="431">
        <f>'Fiche info Avenant 2'!$AB$8</f>
        <v>0</v>
      </c>
      <c r="CD241" s="431">
        <f>'Fiche info Avenant 2'!$AC$8</f>
        <v>0</v>
      </c>
      <c r="CE241" s="431">
        <f>'Fiche info Avenant 2'!$AD$8</f>
        <v>0</v>
      </c>
      <c r="CF241" s="431">
        <f>'Fiche info Avenant 2'!$AE$8</f>
        <v>0</v>
      </c>
      <c r="ED241" s="16" t="str">
        <f t="shared" si="54"/>
        <v>Fiche info Avenant 2C</v>
      </c>
      <c r="EE241" s="16" t="str">
        <f t="shared" si="56"/>
        <v>Fiche info Avenant 2</v>
      </c>
      <c r="EF241" s="16" t="str">
        <f t="shared" si="57"/>
        <v>C</v>
      </c>
      <c r="EG241" s="16">
        <f t="shared" si="58"/>
        <v>2</v>
      </c>
      <c r="EH241" s="16" t="str">
        <f t="shared" si="59"/>
        <v>Mardi</v>
      </c>
      <c r="EI241" s="16" t="str">
        <f t="shared" si="60"/>
        <v/>
      </c>
      <c r="FB241" s="16" t="str">
        <f t="shared" si="63"/>
        <v/>
      </c>
      <c r="FC241" s="16" t="str">
        <f t="shared" si="64"/>
        <v/>
      </c>
      <c r="FD241" s="30">
        <f t="shared" si="55"/>
        <v>44562</v>
      </c>
      <c r="FE241" s="30" t="str">
        <f>+IFERROR(VLOOKUP(FD241,BDD,83,FALSE),"")</f>
        <v/>
      </c>
      <c r="FF241" s="30" t="str">
        <f>+IFERROR(VLOOKUP(FD241,BDD,84,FALSE),"")</f>
        <v/>
      </c>
      <c r="FG241" s="30" t="str">
        <f>+IFERROR(VLOOKUP(FD241,BDD,85,FALSE),"")</f>
        <v/>
      </c>
      <c r="FH241" s="30" t="str">
        <f>+IFERROR(VLOOKUP(FD241,BDD,86,FALSE),"")</f>
        <v/>
      </c>
      <c r="FW241" s="16" t="str">
        <f>Aout!GB41</f>
        <v>342026</v>
      </c>
      <c r="FX241" s="16">
        <f>Aout!GC41</f>
        <v>0</v>
      </c>
      <c r="HI241" s="85">
        <f>+Aout!AB42</f>
        <v>46257</v>
      </c>
      <c r="HJ241" s="27" t="str">
        <f>+Aout!AD42</f>
        <v/>
      </c>
      <c r="HK241" s="16">
        <f t="shared" si="65"/>
        <v>0</v>
      </c>
      <c r="HL241" s="16" t="str">
        <f>IF(AND(HI241&gt;=DATE(Identification!$B$60,5,1),HI241&lt;=DATE(Identification!$B$60,10,31),SUM(HK241:HK255)=12),"OUI","")</f>
        <v/>
      </c>
    </row>
    <row r="242" spans="1:220" x14ac:dyDescent="0.2">
      <c r="A242" s="16" t="str">
        <f t="shared" si="67"/>
        <v>Fiche info Avenant 2C3</v>
      </c>
      <c r="B242" s="16" t="str">
        <f t="shared" si="66"/>
        <v>Fiche info Avenant 2</v>
      </c>
      <c r="C242" s="27" t="s">
        <v>232</v>
      </c>
      <c r="D242" s="27">
        <v>3</v>
      </c>
      <c r="E242" s="16" t="s">
        <v>19</v>
      </c>
      <c r="F242" s="34" t="str">
        <f>+IF('Fiche info Avenant 2'!$AG$9=0,"",'Fiche info Avenant 2'!$AG$9)</f>
        <v/>
      </c>
      <c r="G242" s="16">
        <f t="shared" si="61"/>
        <v>0</v>
      </c>
      <c r="BX242" s="16" t="str">
        <f t="shared" si="62"/>
        <v>Fiche info Avenant 2C3</v>
      </c>
      <c r="BY242" s="431">
        <f>'Fiche info Avenant 2'!$X$9</f>
        <v>0</v>
      </c>
      <c r="BZ242" s="431">
        <f>'Fiche info Avenant 2'!$Y$9</f>
        <v>0</v>
      </c>
      <c r="CA242" s="431">
        <f>'Fiche info Avenant 2'!$Z$9</f>
        <v>0</v>
      </c>
      <c r="CB242" s="431">
        <f>'Fiche info Avenant 2'!$AA$9</f>
        <v>0</v>
      </c>
      <c r="CC242" s="431">
        <f>'Fiche info Avenant 2'!$AB$9</f>
        <v>0</v>
      </c>
      <c r="CD242" s="431">
        <f>'Fiche info Avenant 2'!$AC$9</f>
        <v>0</v>
      </c>
      <c r="CE242" s="431">
        <f>'Fiche info Avenant 2'!$AD$9</f>
        <v>0</v>
      </c>
      <c r="CF242" s="431">
        <f>'Fiche info Avenant 2'!$AE$9</f>
        <v>0</v>
      </c>
      <c r="ED242" s="16" t="str">
        <f t="shared" si="54"/>
        <v>Fiche info Avenant 2C</v>
      </c>
      <c r="EE242" s="16" t="str">
        <f t="shared" si="56"/>
        <v>Fiche info Avenant 2</v>
      </c>
      <c r="EF242" s="16" t="str">
        <f t="shared" si="57"/>
        <v>C</v>
      </c>
      <c r="EG242" s="16">
        <f t="shared" si="58"/>
        <v>3</v>
      </c>
      <c r="EH242" s="16" t="str">
        <f t="shared" si="59"/>
        <v>Mercredi</v>
      </c>
      <c r="EI242" s="16" t="str">
        <f t="shared" si="60"/>
        <v/>
      </c>
      <c r="FB242" s="16" t="str">
        <f t="shared" si="63"/>
        <v/>
      </c>
      <c r="FC242" s="16" t="str">
        <f t="shared" si="64"/>
        <v/>
      </c>
      <c r="FD242" s="30">
        <f t="shared" si="55"/>
        <v>44531</v>
      </c>
      <c r="FE242" s="30" t="str">
        <f>+IFERROR(VLOOKUP(FD242,BDD,71,FALSE),"")</f>
        <v/>
      </c>
      <c r="FF242" s="30" t="str">
        <f>IFERROR(+VLOOKUP(FD242,BDD,72,FALSE),"")</f>
        <v/>
      </c>
      <c r="FG242" s="30" t="str">
        <f>+IFERROR(VLOOKUP(FD242,BDD,73,FALSE),"")</f>
        <v/>
      </c>
      <c r="FH242" s="30" t="str">
        <f>+IFERROR(VLOOKUP(FD242,BDD,74,FALSE),"")</f>
        <v/>
      </c>
      <c r="FW242" s="16" t="str">
        <f>Aout!GB42</f>
        <v>342026</v>
      </c>
      <c r="FX242" s="16">
        <f>Aout!GC42</f>
        <v>0</v>
      </c>
      <c r="HI242" s="85">
        <f>+Aout!AB43</f>
        <v>46258</v>
      </c>
      <c r="HJ242" s="27" t="str">
        <f>+Aout!AD43</f>
        <v/>
      </c>
      <c r="HK242" s="16">
        <f t="shared" si="65"/>
        <v>0</v>
      </c>
      <c r="HL242" s="16" t="str">
        <f>IF(AND(HI242&gt;=DATE(Identification!$B$60,5,1),HI242&lt;=DATE(Identification!$B$60,10,31),SUM(HK242:HK256)=12),"OUI","")</f>
        <v/>
      </c>
    </row>
    <row r="243" spans="1:220" x14ac:dyDescent="0.2">
      <c r="A243" s="16" t="str">
        <f t="shared" si="67"/>
        <v>Fiche info Avenant 2C4</v>
      </c>
      <c r="B243" s="16" t="str">
        <f t="shared" si="66"/>
        <v>Fiche info Avenant 2</v>
      </c>
      <c r="C243" s="27" t="s">
        <v>232</v>
      </c>
      <c r="D243" s="27">
        <v>4</v>
      </c>
      <c r="E243" s="16" t="s">
        <v>20</v>
      </c>
      <c r="F243" s="34" t="str">
        <f>+IF('Fiche info Avenant 2'!$AG$10=0,"",'Fiche info Avenant 2'!$AG$10)</f>
        <v/>
      </c>
      <c r="G243" s="16">
        <f t="shared" si="61"/>
        <v>0</v>
      </c>
      <c r="BX243" s="16" t="str">
        <f t="shared" si="62"/>
        <v>Fiche info Avenant 2C4</v>
      </c>
      <c r="BY243" s="431">
        <f>'Fiche info Avenant 2'!$X$10</f>
        <v>0</v>
      </c>
      <c r="BZ243" s="431">
        <f>'Fiche info Avenant 2'!$Y$10</f>
        <v>0</v>
      </c>
      <c r="CA243" s="431">
        <f>'Fiche info Avenant 2'!$Z$10</f>
        <v>0</v>
      </c>
      <c r="CB243" s="431">
        <f>'Fiche info Avenant 2'!$AA$10</f>
        <v>0</v>
      </c>
      <c r="CC243" s="431">
        <f>'Fiche info Avenant 2'!$AB$10</f>
        <v>0</v>
      </c>
      <c r="CD243" s="431">
        <f>'Fiche info Avenant 2'!$AC$10</f>
        <v>0</v>
      </c>
      <c r="CE243" s="431">
        <f>'Fiche info Avenant 2'!$AD$10</f>
        <v>0</v>
      </c>
      <c r="CF243" s="431">
        <f>'Fiche info Avenant 2'!$AE$10</f>
        <v>0</v>
      </c>
      <c r="ED243" s="16" t="str">
        <f t="shared" ref="ED243:ED306" si="68">+EE243&amp;EF243</f>
        <v>Fiche info Avenant 2C</v>
      </c>
      <c r="EE243" s="16" t="str">
        <f t="shared" si="56"/>
        <v>Fiche info Avenant 2</v>
      </c>
      <c r="EF243" s="16" t="str">
        <f t="shared" si="57"/>
        <v>C</v>
      </c>
      <c r="EG243" s="16">
        <f t="shared" si="58"/>
        <v>4</v>
      </c>
      <c r="EH243" s="16" t="str">
        <f t="shared" si="59"/>
        <v>Jeudi</v>
      </c>
      <c r="EI243" s="16" t="str">
        <f t="shared" si="60"/>
        <v/>
      </c>
      <c r="FB243" s="16" t="str">
        <f t="shared" si="63"/>
        <v/>
      </c>
      <c r="FC243" s="16" t="str">
        <f t="shared" si="64"/>
        <v/>
      </c>
      <c r="FD243" s="30">
        <f t="shared" si="55"/>
        <v>44531</v>
      </c>
      <c r="FE243" s="30" t="str">
        <f>+IFERROR(VLOOKUP(FD243,BDD,75,FALSE),"")</f>
        <v/>
      </c>
      <c r="FF243" s="30" t="str">
        <f>+IFERROR(VLOOKUP(FD243,BDD,76,FALSE),"")</f>
        <v/>
      </c>
      <c r="FG243" s="30" t="str">
        <f>IFERROR(+VLOOKUP(FD243,BDD,77,FALSE),"")</f>
        <v/>
      </c>
      <c r="FH243" s="30" t="str">
        <f>+IFERROR(VLOOKUP(FD243,BDD,78,FALSE),"")</f>
        <v/>
      </c>
      <c r="FW243" s="16" t="str">
        <f>Aout!GB43</f>
        <v>352026</v>
      </c>
      <c r="FX243" s="16">
        <f>Aout!GC43</f>
        <v>0</v>
      </c>
      <c r="HI243" s="85">
        <f>+Aout!AB44</f>
        <v>46259</v>
      </c>
      <c r="HJ243" s="27" t="str">
        <f>+Aout!AD44</f>
        <v/>
      </c>
      <c r="HK243" s="16">
        <f t="shared" si="65"/>
        <v>0</v>
      </c>
      <c r="HL243" s="16" t="str">
        <f>IF(AND(HI243&gt;=DATE(Identification!$B$60,5,1),HI243&lt;=DATE(Identification!$B$60,10,31),SUM(HK243:HK257)=12),"OUI","")</f>
        <v/>
      </c>
    </row>
    <row r="244" spans="1:220" x14ac:dyDescent="0.2">
      <c r="A244" s="16" t="str">
        <f t="shared" si="67"/>
        <v>Fiche info Avenant 2C5</v>
      </c>
      <c r="B244" s="16" t="str">
        <f t="shared" si="66"/>
        <v>Fiche info Avenant 2</v>
      </c>
      <c r="C244" s="27" t="s">
        <v>232</v>
      </c>
      <c r="D244" s="27">
        <v>5</v>
      </c>
      <c r="E244" s="16" t="s">
        <v>21</v>
      </c>
      <c r="F244" s="34" t="str">
        <f>+IF('Fiche info Avenant 2'!$AG$11=0,"",'Fiche info Avenant 2'!$AG$11)</f>
        <v/>
      </c>
      <c r="G244" s="16">
        <f t="shared" si="61"/>
        <v>0</v>
      </c>
      <c r="BX244" s="16" t="str">
        <f t="shared" si="62"/>
        <v>Fiche info Avenant 2C5</v>
      </c>
      <c r="BY244" s="431">
        <f>'Fiche info Avenant 2'!$X$11</f>
        <v>0</v>
      </c>
      <c r="BZ244" s="431">
        <f>'Fiche info Avenant 2'!$Y$11</f>
        <v>0</v>
      </c>
      <c r="CA244" s="431">
        <f>'Fiche info Avenant 2'!$Z$11</f>
        <v>0</v>
      </c>
      <c r="CB244" s="431">
        <f>'Fiche info Avenant 2'!$AA$11</f>
        <v>0</v>
      </c>
      <c r="CC244" s="431">
        <f>'Fiche info Avenant 2'!$AB$11</f>
        <v>0</v>
      </c>
      <c r="CD244" s="431">
        <f>'Fiche info Avenant 2'!$AC$11</f>
        <v>0</v>
      </c>
      <c r="CE244" s="431">
        <f>'Fiche info Avenant 2'!$AD$11</f>
        <v>0</v>
      </c>
      <c r="CF244" s="431">
        <f>'Fiche info Avenant 2'!$AE$11</f>
        <v>0</v>
      </c>
      <c r="ED244" s="16" t="str">
        <f t="shared" si="68"/>
        <v>Fiche info Avenant 2C</v>
      </c>
      <c r="EE244" s="16" t="str">
        <f t="shared" si="56"/>
        <v>Fiche info Avenant 2</v>
      </c>
      <c r="EF244" s="16" t="str">
        <f t="shared" si="57"/>
        <v>C</v>
      </c>
      <c r="EG244" s="16">
        <f t="shared" si="58"/>
        <v>5</v>
      </c>
      <c r="EH244" s="16" t="str">
        <f t="shared" si="59"/>
        <v>Vendredi</v>
      </c>
      <c r="EI244" s="16" t="str">
        <f t="shared" si="60"/>
        <v/>
      </c>
      <c r="FB244" s="16" t="str">
        <f t="shared" si="63"/>
        <v/>
      </c>
      <c r="FC244" s="16" t="str">
        <f t="shared" si="64"/>
        <v/>
      </c>
      <c r="FD244" s="30">
        <f t="shared" si="55"/>
        <v>44531</v>
      </c>
      <c r="FE244" s="30" t="str">
        <f>+IFERROR(VLOOKUP(FD244,BDD,79,FALSE),"")</f>
        <v/>
      </c>
      <c r="FF244" s="30" t="str">
        <f>IFERROR(+VLOOKUP(FD244,BDD,80,FALSE),"")</f>
        <v/>
      </c>
      <c r="FG244" s="30" t="str">
        <f>+IFERROR(VLOOKUP(FD244,BDD,81,FALSE),"")</f>
        <v/>
      </c>
      <c r="FH244" s="30" t="str">
        <f>+IFERROR(VLOOKUP(FD244,BDD,82,FALSE),"")</f>
        <v/>
      </c>
      <c r="FW244" s="16" t="str">
        <f>Aout!GB44</f>
        <v>352026</v>
      </c>
      <c r="FX244" s="16">
        <f>Aout!GC44</f>
        <v>0</v>
      </c>
      <c r="HI244" s="85">
        <f>+Aout!AB45</f>
        <v>46260</v>
      </c>
      <c r="HJ244" s="27" t="str">
        <f>+Aout!AD45</f>
        <v/>
      </c>
      <c r="HK244" s="16">
        <f t="shared" si="65"/>
        <v>0</v>
      </c>
      <c r="HL244" s="16" t="str">
        <f>IF(AND(HI244&gt;=DATE(Identification!$B$60,5,1),HI244&lt;=DATE(Identification!$B$60,10,31),SUM(HK244:HK258)=12),"OUI","")</f>
        <v/>
      </c>
    </row>
    <row r="245" spans="1:220" x14ac:dyDescent="0.2">
      <c r="A245" s="16" t="str">
        <f t="shared" si="67"/>
        <v>Fiche info Avenant 2C6</v>
      </c>
      <c r="B245" s="16" t="str">
        <f t="shared" si="66"/>
        <v>Fiche info Avenant 2</v>
      </c>
      <c r="C245" s="27" t="s">
        <v>232</v>
      </c>
      <c r="D245" s="27">
        <v>6</v>
      </c>
      <c r="E245" s="16" t="s">
        <v>184</v>
      </c>
      <c r="F245" s="34" t="str">
        <f>+IF('Fiche info Avenant 2'!$AG$12=0,"",'Fiche info Avenant 2'!$AG$12)</f>
        <v/>
      </c>
      <c r="G245" s="16">
        <f t="shared" si="61"/>
        <v>0</v>
      </c>
      <c r="BX245" s="16" t="str">
        <f t="shared" si="62"/>
        <v>Fiche info Avenant 2C6</v>
      </c>
      <c r="BY245" s="431">
        <f>'Fiche info Avenant 2'!$X$12</f>
        <v>0</v>
      </c>
      <c r="BZ245" s="431">
        <f>'Fiche info Avenant 2'!$Y$12</f>
        <v>0</v>
      </c>
      <c r="CA245" s="431">
        <f>'Fiche info Avenant 2'!$Z$12</f>
        <v>0</v>
      </c>
      <c r="CB245" s="431">
        <f>'Fiche info Avenant 2'!$AA$12</f>
        <v>0</v>
      </c>
      <c r="CC245" s="431">
        <f>'Fiche info Avenant 2'!$AB$12</f>
        <v>0</v>
      </c>
      <c r="CD245" s="431">
        <f>'Fiche info Avenant 2'!$AC$12</f>
        <v>0</v>
      </c>
      <c r="CE245" s="431">
        <f>'Fiche info Avenant 2'!$AD$12</f>
        <v>0</v>
      </c>
      <c r="CF245" s="431">
        <f>'Fiche info Avenant 2'!$AE$12</f>
        <v>0</v>
      </c>
      <c r="ED245" s="16" t="str">
        <f t="shared" si="68"/>
        <v>Fiche info Avenant 2C</v>
      </c>
      <c r="EE245" s="16" t="str">
        <f t="shared" si="56"/>
        <v>Fiche info Avenant 2</v>
      </c>
      <c r="EF245" s="16" t="str">
        <f t="shared" si="57"/>
        <v>C</v>
      </c>
      <c r="EG245" s="16">
        <f t="shared" si="58"/>
        <v>6</v>
      </c>
      <c r="EH245" s="16" t="str">
        <f t="shared" si="59"/>
        <v>Samedi</v>
      </c>
      <c r="EI245" s="16" t="str">
        <f t="shared" si="60"/>
        <v/>
      </c>
      <c r="FB245" s="16" t="str">
        <f t="shared" si="63"/>
        <v/>
      </c>
      <c r="FC245" s="16" t="str">
        <f t="shared" si="64"/>
        <v/>
      </c>
      <c r="FD245" s="30">
        <f t="shared" si="55"/>
        <v>44531</v>
      </c>
      <c r="FE245" s="30" t="str">
        <f>+IFERROR(VLOOKUP(FD245,BDD,83,FALSE),"")</f>
        <v/>
      </c>
      <c r="FF245" s="30" t="str">
        <f>+IFERROR(VLOOKUP(FD245,BDD,84,FALSE),"")</f>
        <v/>
      </c>
      <c r="FG245" s="30" t="str">
        <f>+IFERROR(VLOOKUP(FD245,BDD,85,FALSE),"")</f>
        <v/>
      </c>
      <c r="FH245" s="30" t="str">
        <f>+IFERROR(VLOOKUP(FD245,BDD,86,FALSE),"")</f>
        <v/>
      </c>
      <c r="FW245" s="16" t="str">
        <f>Aout!GB45</f>
        <v>352026</v>
      </c>
      <c r="FX245" s="16">
        <f>Aout!GC45</f>
        <v>0</v>
      </c>
      <c r="HI245" s="85">
        <f>+Aout!AB46</f>
        <v>46261</v>
      </c>
      <c r="HJ245" s="27" t="str">
        <f>+Aout!AD46</f>
        <v/>
      </c>
      <c r="HK245" s="16">
        <f t="shared" si="65"/>
        <v>0</v>
      </c>
      <c r="HL245" s="16" t="str">
        <f>IF(AND(HI245&gt;=DATE(Identification!$B$60,5,1),HI245&lt;=DATE(Identification!$B$60,10,31),SUM(HK245:HK259)=12),"OUI","")</f>
        <v/>
      </c>
    </row>
    <row r="246" spans="1:220" x14ac:dyDescent="0.2">
      <c r="A246" s="16" t="str">
        <f t="shared" si="67"/>
        <v>Fiche info Avenant 2C7</v>
      </c>
      <c r="B246" s="16" t="str">
        <f t="shared" si="66"/>
        <v>Fiche info Avenant 2</v>
      </c>
      <c r="C246" s="27" t="s">
        <v>232</v>
      </c>
      <c r="D246" s="27">
        <v>7</v>
      </c>
      <c r="E246" s="16" t="s">
        <v>185</v>
      </c>
      <c r="F246" s="34" t="str">
        <f>+IF('Fiche info Avenant 2'!$AG$13=0,"",'Fiche info Avenant 2'!$AG$13)</f>
        <v/>
      </c>
      <c r="G246" s="16">
        <f t="shared" si="61"/>
        <v>0</v>
      </c>
      <c r="BX246" s="16" t="str">
        <f t="shared" si="62"/>
        <v>Fiche info Avenant 2C7</v>
      </c>
      <c r="BY246" s="431">
        <f>'Fiche info Avenant 2'!$X$13</f>
        <v>0</v>
      </c>
      <c r="BZ246" s="431">
        <f>'Fiche info Avenant 2'!$Y$13</f>
        <v>0</v>
      </c>
      <c r="CA246" s="431">
        <f>'Fiche info Avenant 2'!$Z$13</f>
        <v>0</v>
      </c>
      <c r="CB246" s="431">
        <f>'Fiche info Avenant 2'!$AA$13</f>
        <v>0</v>
      </c>
      <c r="CC246" s="431">
        <f>'Fiche info Avenant 2'!$AB$13</f>
        <v>0</v>
      </c>
      <c r="CD246" s="431">
        <f>'Fiche info Avenant 2'!$AC$13</f>
        <v>0</v>
      </c>
      <c r="CE246" s="431">
        <f>'Fiche info Avenant 2'!$AD$13</f>
        <v>0</v>
      </c>
      <c r="CF246" s="431">
        <f>'Fiche info Avenant 2'!$AE$13</f>
        <v>0</v>
      </c>
      <c r="ED246" s="16" t="str">
        <f t="shared" si="68"/>
        <v>Fiche info Avenant 2C</v>
      </c>
      <c r="EE246" s="16" t="str">
        <f t="shared" si="56"/>
        <v>Fiche info Avenant 2</v>
      </c>
      <c r="EF246" s="16" t="str">
        <f t="shared" si="57"/>
        <v>C</v>
      </c>
      <c r="EG246" s="16">
        <f t="shared" si="58"/>
        <v>7</v>
      </c>
      <c r="EH246" s="16" t="str">
        <f t="shared" si="59"/>
        <v>Dimanche</v>
      </c>
      <c r="EI246" s="16" t="str">
        <f t="shared" si="60"/>
        <v/>
      </c>
      <c r="FB246" s="16" t="str">
        <f t="shared" si="63"/>
        <v/>
      </c>
      <c r="FC246" s="16" t="str">
        <f t="shared" si="64"/>
        <v/>
      </c>
      <c r="FD246" s="30">
        <f t="shared" si="55"/>
        <v>44501</v>
      </c>
      <c r="FE246" s="30" t="str">
        <f>+IFERROR(VLOOKUP(FD246,BDD,71,FALSE),"")</f>
        <v/>
      </c>
      <c r="FF246" s="30" t="str">
        <f>IFERROR(+VLOOKUP(FD246,BDD,72,FALSE),"")</f>
        <v/>
      </c>
      <c r="FG246" s="30" t="str">
        <f>+IFERROR(VLOOKUP(FD246,BDD,73,FALSE),"")</f>
        <v/>
      </c>
      <c r="FH246" s="30" t="str">
        <f>+IFERROR(VLOOKUP(FD246,BDD,74,FALSE),"")</f>
        <v/>
      </c>
      <c r="FW246" s="16" t="str">
        <f>Aout!GB46</f>
        <v>352026</v>
      </c>
      <c r="FX246" s="16">
        <f>Aout!GC46</f>
        <v>0</v>
      </c>
      <c r="HI246" s="85">
        <f>+Aout!AB47</f>
        <v>46262</v>
      </c>
      <c r="HJ246" s="27" t="str">
        <f>+Aout!AD47</f>
        <v/>
      </c>
      <c r="HK246" s="16">
        <f t="shared" si="65"/>
        <v>0</v>
      </c>
      <c r="HL246" s="16" t="str">
        <f>IF(AND(HI246&gt;=DATE(Identification!$B$60,5,1),HI246&lt;=DATE(Identification!$B$60,10,31),SUM(HK246:HK260)=12),"OUI","")</f>
        <v/>
      </c>
    </row>
    <row r="247" spans="1:220" x14ac:dyDescent="0.2">
      <c r="A247" s="16" t="str">
        <f t="shared" si="67"/>
        <v>Fiche info Avenant 2D1</v>
      </c>
      <c r="B247" s="16" t="str">
        <f t="shared" si="66"/>
        <v>Fiche info Avenant 2</v>
      </c>
      <c r="C247" s="27" t="s">
        <v>233</v>
      </c>
      <c r="D247" s="27">
        <v>1</v>
      </c>
      <c r="E247" s="16" t="s">
        <v>17</v>
      </c>
      <c r="F247" s="34" t="str">
        <f>+IF('Fiche info Avenant 2'!$AR$7=0,"",'Fiche info Avenant 2'!$AR$7)</f>
        <v/>
      </c>
      <c r="G247" s="16">
        <f t="shared" si="61"/>
        <v>0</v>
      </c>
      <c r="BX247" s="16" t="str">
        <f t="shared" si="62"/>
        <v>Fiche info Avenant 2D1</v>
      </c>
      <c r="BY247" s="431">
        <f>'Fiche info Avenant 2'!$AI$7</f>
        <v>0</v>
      </c>
      <c r="BZ247" s="431">
        <f>'Fiche info Avenant 2'!$AJ$7</f>
        <v>0</v>
      </c>
      <c r="CA247" s="431">
        <f>'Fiche info Avenant 2'!$AK$7</f>
        <v>0</v>
      </c>
      <c r="CB247" s="431">
        <f>'Fiche info Avenant 2'!$AL$7</f>
        <v>0</v>
      </c>
      <c r="CC247" s="431">
        <f>'Fiche info Avenant 2'!$AM$7</f>
        <v>0</v>
      </c>
      <c r="CD247" s="431">
        <f>'Fiche info Avenant 2'!$AN$7</f>
        <v>0</v>
      </c>
      <c r="CE247" s="431">
        <f>'Fiche info Avenant 2'!$AO$7</f>
        <v>0</v>
      </c>
      <c r="CF247" s="431">
        <f>'Fiche info Avenant 2'!$AP$7</f>
        <v>0</v>
      </c>
      <c r="ED247" s="16" t="str">
        <f t="shared" si="68"/>
        <v>Fiche info Avenant 2D</v>
      </c>
      <c r="EE247" s="16" t="str">
        <f t="shared" si="56"/>
        <v>Fiche info Avenant 2</v>
      </c>
      <c r="EF247" s="16" t="str">
        <f t="shared" si="57"/>
        <v>D</v>
      </c>
      <c r="EG247" s="16">
        <f t="shared" si="58"/>
        <v>1</v>
      </c>
      <c r="EH247" s="16" t="str">
        <f t="shared" si="59"/>
        <v>Lundi</v>
      </c>
      <c r="EI247" s="16" t="str">
        <f t="shared" si="60"/>
        <v/>
      </c>
      <c r="FB247" s="16" t="str">
        <f t="shared" si="63"/>
        <v/>
      </c>
      <c r="FC247" s="16" t="str">
        <f t="shared" si="64"/>
        <v/>
      </c>
      <c r="FD247" s="30">
        <f t="shared" si="55"/>
        <v>44501</v>
      </c>
      <c r="FE247" s="30" t="str">
        <f>+IFERROR(VLOOKUP(FD247,BDD,75,FALSE),"")</f>
        <v/>
      </c>
      <c r="FF247" s="30" t="str">
        <f>+IFERROR(VLOOKUP(FD247,BDD,76,FALSE),"")</f>
        <v/>
      </c>
      <c r="FG247" s="30" t="str">
        <f>IFERROR(+VLOOKUP(FD247,BDD,77,FALSE),"")</f>
        <v/>
      </c>
      <c r="FH247" s="30" t="str">
        <f>+IFERROR(VLOOKUP(FD247,BDD,78,FALSE),"")</f>
        <v/>
      </c>
      <c r="FW247" s="16" t="str">
        <f>Aout!GB47</f>
        <v>352026</v>
      </c>
      <c r="FX247" s="16">
        <f>Aout!GC47</f>
        <v>0</v>
      </c>
      <c r="HI247" s="85">
        <f>+Aout!AB48</f>
        <v>46263</v>
      </c>
      <c r="HJ247" s="27" t="str">
        <f>+Aout!AD48</f>
        <v/>
      </c>
      <c r="HK247" s="16">
        <f t="shared" si="65"/>
        <v>0</v>
      </c>
      <c r="HL247" s="16" t="str">
        <f>IF(AND(HI247&gt;=DATE(Identification!$B$60,5,1),HI247&lt;=DATE(Identification!$B$60,10,31),SUM(HK247:HK261)=12),"OUI","")</f>
        <v/>
      </c>
    </row>
    <row r="248" spans="1:220" x14ac:dyDescent="0.2">
      <c r="A248" s="16" t="str">
        <f t="shared" si="67"/>
        <v>Fiche info Avenant 2D2</v>
      </c>
      <c r="B248" s="16" t="str">
        <f t="shared" si="66"/>
        <v>Fiche info Avenant 2</v>
      </c>
      <c r="C248" s="27" t="s">
        <v>233</v>
      </c>
      <c r="D248" s="27">
        <v>2</v>
      </c>
      <c r="E248" s="16" t="s">
        <v>18</v>
      </c>
      <c r="F248" s="34" t="str">
        <f>IF(+'Fiche info Avenant 2'!$AR$8=0,"",'Fiche info Avenant 2'!$AR$8)</f>
        <v/>
      </c>
      <c r="G248" s="16">
        <f t="shared" si="61"/>
        <v>0</v>
      </c>
      <c r="BX248" s="16" t="str">
        <f t="shared" si="62"/>
        <v>Fiche info Avenant 2D2</v>
      </c>
      <c r="BY248" s="431">
        <f>'Fiche info Avenant 2'!$AI$8</f>
        <v>0</v>
      </c>
      <c r="BZ248" s="431">
        <f>'Fiche info Avenant 2'!$AJ$8</f>
        <v>0</v>
      </c>
      <c r="CA248" s="431">
        <f>'Fiche info Avenant 2'!$AK$8</f>
        <v>0</v>
      </c>
      <c r="CB248" s="431">
        <f>'Fiche info Avenant 2'!$AL$8</f>
        <v>0</v>
      </c>
      <c r="CC248" s="431">
        <f>'Fiche info Avenant 2'!$AM$8</f>
        <v>0</v>
      </c>
      <c r="CD248" s="431">
        <f>'Fiche info Avenant 2'!$AN$8</f>
        <v>0</v>
      </c>
      <c r="CE248" s="431">
        <f>'Fiche info Avenant 2'!$AO$8</f>
        <v>0</v>
      </c>
      <c r="CF248" s="431">
        <f>'Fiche info Avenant 2'!$AP$8</f>
        <v>0</v>
      </c>
      <c r="ED248" s="16" t="str">
        <f t="shared" si="68"/>
        <v>Fiche info Avenant 2D</v>
      </c>
      <c r="EE248" s="16" t="str">
        <f t="shared" si="56"/>
        <v>Fiche info Avenant 2</v>
      </c>
      <c r="EF248" s="16" t="str">
        <f t="shared" si="57"/>
        <v>D</v>
      </c>
      <c r="EG248" s="16">
        <f t="shared" si="58"/>
        <v>2</v>
      </c>
      <c r="EH248" s="16" t="str">
        <f t="shared" si="59"/>
        <v>Mardi</v>
      </c>
      <c r="EI248" s="16" t="str">
        <f t="shared" si="60"/>
        <v/>
      </c>
      <c r="FB248" s="16" t="str">
        <f t="shared" si="63"/>
        <v/>
      </c>
      <c r="FC248" s="16" t="str">
        <f t="shared" si="64"/>
        <v/>
      </c>
      <c r="FD248" s="30">
        <f t="shared" si="55"/>
        <v>44501</v>
      </c>
      <c r="FE248" s="30" t="str">
        <f>+IFERROR(VLOOKUP(FD248,BDD,79,FALSE),"")</f>
        <v/>
      </c>
      <c r="FF248" s="30" t="str">
        <f>IFERROR(+VLOOKUP(FD248,BDD,80,FALSE),"")</f>
        <v/>
      </c>
      <c r="FG248" s="30" t="str">
        <f>+IFERROR(VLOOKUP(FD248,BDD,81,FALSE),"")</f>
        <v/>
      </c>
      <c r="FH248" s="30" t="str">
        <f>+IFERROR(VLOOKUP(FD248,BDD,82,FALSE),"")</f>
        <v/>
      </c>
      <c r="FW248" s="16" t="str">
        <f>Aout!GB48</f>
        <v>352026</v>
      </c>
      <c r="FX248" s="16">
        <f>Aout!GC48</f>
        <v>0</v>
      </c>
      <c r="HI248" s="85">
        <f>+Aout!AB49</f>
        <v>46264</v>
      </c>
      <c r="HJ248" s="27" t="str">
        <f>+Aout!AD49</f>
        <v/>
      </c>
      <c r="HK248" s="16">
        <f t="shared" si="65"/>
        <v>0</v>
      </c>
      <c r="HL248" s="16" t="str">
        <f>IF(AND(HI248&gt;=DATE(Identification!$B$60,5,1),HI248&lt;=DATE(Identification!$B$60,10,31),SUM(HK248:HK262)=12),"OUI","")</f>
        <v/>
      </c>
    </row>
    <row r="249" spans="1:220" x14ac:dyDescent="0.2">
      <c r="A249" s="16" t="str">
        <f t="shared" si="67"/>
        <v>Fiche info Avenant 2D3</v>
      </c>
      <c r="B249" s="16" t="str">
        <f t="shared" si="66"/>
        <v>Fiche info Avenant 2</v>
      </c>
      <c r="C249" s="27" t="s">
        <v>233</v>
      </c>
      <c r="D249" s="27">
        <v>3</v>
      </c>
      <c r="E249" s="16" t="s">
        <v>19</v>
      </c>
      <c r="F249" s="34" t="str">
        <f>IF(+'Fiche info Avenant 2'!$AR$9=0,"",'Fiche info Avenant 2'!$AR$9)</f>
        <v/>
      </c>
      <c r="G249" s="16">
        <f t="shared" si="61"/>
        <v>0</v>
      </c>
      <c r="BX249" s="16" t="str">
        <f t="shared" si="62"/>
        <v>Fiche info Avenant 2D3</v>
      </c>
      <c r="BY249" s="431">
        <f>'Fiche info Avenant 2'!$AI$9</f>
        <v>0</v>
      </c>
      <c r="BZ249" s="431">
        <f>'Fiche info Avenant 2'!$AJ$9</f>
        <v>0</v>
      </c>
      <c r="CA249" s="431">
        <f>'Fiche info Avenant 2'!$AK$9</f>
        <v>0</v>
      </c>
      <c r="CB249" s="431">
        <f>'Fiche info Avenant 2'!$AL$9</f>
        <v>0</v>
      </c>
      <c r="CC249" s="431">
        <f>'Fiche info Avenant 2'!$AM$9</f>
        <v>0</v>
      </c>
      <c r="CD249" s="431">
        <f>'Fiche info Avenant 2'!$AN$9</f>
        <v>0</v>
      </c>
      <c r="CE249" s="431">
        <f>'Fiche info Avenant 2'!$AO$9</f>
        <v>0</v>
      </c>
      <c r="CF249" s="431">
        <f>'Fiche info Avenant 2'!$AP$9</f>
        <v>0</v>
      </c>
      <c r="ED249" s="16" t="str">
        <f t="shared" si="68"/>
        <v>Fiche info Avenant 2D</v>
      </c>
      <c r="EE249" s="16" t="str">
        <f t="shared" si="56"/>
        <v>Fiche info Avenant 2</v>
      </c>
      <c r="EF249" s="16" t="str">
        <f t="shared" si="57"/>
        <v>D</v>
      </c>
      <c r="EG249" s="16">
        <f t="shared" si="58"/>
        <v>3</v>
      </c>
      <c r="EH249" s="16" t="str">
        <f t="shared" si="59"/>
        <v>Mercredi</v>
      </c>
      <c r="EI249" s="16" t="str">
        <f t="shared" si="60"/>
        <v/>
      </c>
      <c r="FB249" s="16" t="str">
        <f t="shared" si="63"/>
        <v/>
      </c>
      <c r="FC249" s="16" t="str">
        <f t="shared" si="64"/>
        <v/>
      </c>
      <c r="FD249" s="30">
        <f t="shared" si="55"/>
        <v>44501</v>
      </c>
      <c r="FE249" s="30" t="str">
        <f>+IFERROR(VLOOKUP(FD249,BDD,83,FALSE),"")</f>
        <v/>
      </c>
      <c r="FF249" s="30" t="str">
        <f>+IFERROR(VLOOKUP(FD249,BDD,84,FALSE),"")</f>
        <v/>
      </c>
      <c r="FG249" s="30" t="str">
        <f>+IFERROR(VLOOKUP(FD249,BDD,85,FALSE),"")</f>
        <v/>
      </c>
      <c r="FH249" s="30" t="str">
        <f>+IFERROR(VLOOKUP(FD249,BDD,86,FALSE),"")</f>
        <v/>
      </c>
      <c r="FW249" s="16" t="str">
        <f>Aout!GB49</f>
        <v>352026</v>
      </c>
      <c r="FX249" s="16">
        <f>Aout!GC49</f>
        <v>0</v>
      </c>
      <c r="HI249" s="85">
        <f>+Aout!AB50</f>
        <v>46265</v>
      </c>
      <c r="HJ249" s="27" t="str">
        <f>+Aout!AD50</f>
        <v/>
      </c>
      <c r="HK249" s="16">
        <f t="shared" si="65"/>
        <v>0</v>
      </c>
      <c r="HL249" s="16" t="str">
        <f>IF(AND(HI249&gt;=DATE(Identification!$B$60,5,1),HI249&lt;=DATE(Identification!$B$60,10,31),SUM(HK249:HK263)=12),"OUI","")</f>
        <v/>
      </c>
    </row>
    <row r="250" spans="1:220" x14ac:dyDescent="0.2">
      <c r="A250" s="16" t="str">
        <f t="shared" si="67"/>
        <v>Fiche info Avenant 2D4</v>
      </c>
      <c r="B250" s="16" t="str">
        <f t="shared" si="66"/>
        <v>Fiche info Avenant 2</v>
      </c>
      <c r="C250" s="27" t="s">
        <v>233</v>
      </c>
      <c r="D250" s="27">
        <v>4</v>
      </c>
      <c r="E250" s="16" t="s">
        <v>20</v>
      </c>
      <c r="F250" s="34" t="str">
        <f>IF(+'Fiche info Avenant 2'!$AR$10=0,"",'Fiche info Avenant 2'!$AR$10)</f>
        <v/>
      </c>
      <c r="G250" s="16">
        <f t="shared" si="61"/>
        <v>0</v>
      </c>
      <c r="BX250" s="16" t="str">
        <f t="shared" si="62"/>
        <v>Fiche info Avenant 2D4</v>
      </c>
      <c r="BY250" s="431">
        <f>'Fiche info Avenant 2'!$AI$10</f>
        <v>0</v>
      </c>
      <c r="BZ250" s="431">
        <f>'Fiche info Avenant 2'!$AJ$10</f>
        <v>0</v>
      </c>
      <c r="CA250" s="431">
        <f>'Fiche info Avenant 2'!$AK$10</f>
        <v>0</v>
      </c>
      <c r="CB250" s="431">
        <f>'Fiche info Avenant 2'!$AL$10</f>
        <v>0</v>
      </c>
      <c r="CC250" s="431">
        <f>'Fiche info Avenant 2'!$AM$10</f>
        <v>0</v>
      </c>
      <c r="CD250" s="431">
        <f>'Fiche info Avenant 2'!$AN$10</f>
        <v>0</v>
      </c>
      <c r="CE250" s="431">
        <f>'Fiche info Avenant 2'!$AO$10</f>
        <v>0</v>
      </c>
      <c r="CF250" s="431">
        <f>'Fiche info Avenant 2'!$AP$10</f>
        <v>0</v>
      </c>
      <c r="ED250" s="16" t="str">
        <f t="shared" si="68"/>
        <v>Fiche info Avenant 2D</v>
      </c>
      <c r="EE250" s="16" t="str">
        <f t="shared" si="56"/>
        <v>Fiche info Avenant 2</v>
      </c>
      <c r="EF250" s="16" t="str">
        <f t="shared" si="57"/>
        <v>D</v>
      </c>
      <c r="EG250" s="16">
        <f t="shared" si="58"/>
        <v>4</v>
      </c>
      <c r="EH250" s="16" t="str">
        <f t="shared" si="59"/>
        <v>Jeudi</v>
      </c>
      <c r="EI250" s="16" t="str">
        <f t="shared" si="60"/>
        <v/>
      </c>
      <c r="FB250" s="16" t="str">
        <f t="shared" si="63"/>
        <v/>
      </c>
      <c r="FC250" s="16" t="str">
        <f t="shared" si="64"/>
        <v/>
      </c>
      <c r="FD250" s="30">
        <f t="shared" si="55"/>
        <v>44470</v>
      </c>
      <c r="FE250" s="30" t="str">
        <f>+IFERROR(VLOOKUP(FD250,BDD,71,FALSE),"")</f>
        <v/>
      </c>
      <c r="FF250" s="30" t="str">
        <f>IFERROR(+VLOOKUP(FD250,BDD,72,FALSE),"")</f>
        <v/>
      </c>
      <c r="FG250" s="30" t="str">
        <f>+IFERROR(VLOOKUP(FD250,BDD,73,FALSE),"")</f>
        <v/>
      </c>
      <c r="FH250" s="30" t="str">
        <f>+IFERROR(VLOOKUP(FD250,BDD,74,FALSE),"")</f>
        <v/>
      </c>
      <c r="FW250" s="16" t="str">
        <f>Aout!GB50</f>
        <v>362026</v>
      </c>
      <c r="FX250" s="16">
        <f>Aout!GC50</f>
        <v>0</v>
      </c>
      <c r="HI250" s="85">
        <f>+Septembre!AB20</f>
        <v>46266</v>
      </c>
      <c r="HJ250" s="27" t="str">
        <f>+Septembre!AD20</f>
        <v/>
      </c>
      <c r="HK250" s="16">
        <f t="shared" si="65"/>
        <v>0</v>
      </c>
      <c r="HL250" s="16" t="str">
        <f>IF(AND(HI250&gt;=DATE(Identification!$B$60,5,1),HI250&lt;=DATE(Identification!$B$60,10,31),SUM(HK250:HK264)=12),"OUI","")</f>
        <v/>
      </c>
    </row>
    <row r="251" spans="1:220" x14ac:dyDescent="0.2">
      <c r="A251" s="16" t="str">
        <f t="shared" si="67"/>
        <v>Fiche info Avenant 2D5</v>
      </c>
      <c r="B251" s="16" t="str">
        <f t="shared" si="66"/>
        <v>Fiche info Avenant 2</v>
      </c>
      <c r="C251" s="27" t="s">
        <v>233</v>
      </c>
      <c r="D251" s="27">
        <v>5</v>
      </c>
      <c r="E251" s="16" t="s">
        <v>21</v>
      </c>
      <c r="F251" s="34" t="str">
        <f>IF(+'Fiche info Avenant 2'!$AR$11=0,"",'Fiche info Avenant 2'!$AR$11)</f>
        <v/>
      </c>
      <c r="G251" s="16">
        <f t="shared" si="61"/>
        <v>0</v>
      </c>
      <c r="BX251" s="16" t="str">
        <f t="shared" si="62"/>
        <v>Fiche info Avenant 2D5</v>
      </c>
      <c r="BY251" s="431">
        <f>'Fiche info Avenant 2'!$AI$11</f>
        <v>0</v>
      </c>
      <c r="BZ251" s="431">
        <f>'Fiche info Avenant 2'!$AJ$11</f>
        <v>0</v>
      </c>
      <c r="CA251" s="431">
        <f>'Fiche info Avenant 2'!$AK$11</f>
        <v>0</v>
      </c>
      <c r="CB251" s="431">
        <f>'Fiche info Avenant 2'!$AL$11</f>
        <v>0</v>
      </c>
      <c r="CC251" s="431">
        <f>'Fiche info Avenant 2'!$AM$11</f>
        <v>0</v>
      </c>
      <c r="CD251" s="431">
        <f>'Fiche info Avenant 2'!$AN$11</f>
        <v>0</v>
      </c>
      <c r="CE251" s="431">
        <f>'Fiche info Avenant 2'!$AO$11</f>
        <v>0</v>
      </c>
      <c r="CF251" s="431">
        <f>'Fiche info Avenant 2'!$AP$11</f>
        <v>0</v>
      </c>
      <c r="ED251" s="16" t="str">
        <f t="shared" si="68"/>
        <v>Fiche info Avenant 2D</v>
      </c>
      <c r="EE251" s="16" t="str">
        <f t="shared" si="56"/>
        <v>Fiche info Avenant 2</v>
      </c>
      <c r="EF251" s="16" t="str">
        <f t="shared" si="57"/>
        <v>D</v>
      </c>
      <c r="EG251" s="16">
        <f t="shared" si="58"/>
        <v>5</v>
      </c>
      <c r="EH251" s="16" t="str">
        <f t="shared" si="59"/>
        <v>Vendredi</v>
      </c>
      <c r="EI251" s="16" t="str">
        <f t="shared" si="60"/>
        <v/>
      </c>
      <c r="FB251" s="16" t="str">
        <f t="shared" si="63"/>
        <v/>
      </c>
      <c r="FC251" s="16" t="str">
        <f t="shared" si="64"/>
        <v/>
      </c>
      <c r="FD251" s="30">
        <f t="shared" ref="FD251:FD314" si="69">+DATE(YEAR(FD247),MONTH(FD247)-1,DAY(FD247))</f>
        <v>44470</v>
      </c>
      <c r="FE251" s="30" t="str">
        <f>+IFERROR(VLOOKUP(FD251,BDD,75,FALSE),"")</f>
        <v/>
      </c>
      <c r="FF251" s="30" t="str">
        <f>+IFERROR(VLOOKUP(FD251,BDD,76,FALSE),"")</f>
        <v/>
      </c>
      <c r="FG251" s="30" t="str">
        <f>IFERROR(+VLOOKUP(FD251,BDD,77,FALSE),"")</f>
        <v/>
      </c>
      <c r="FH251" s="30" t="str">
        <f>+IFERROR(VLOOKUP(FD251,BDD,78,FALSE),"")</f>
        <v/>
      </c>
      <c r="FW251" s="16" t="str">
        <f>Septembre!GB20</f>
        <v>362026</v>
      </c>
      <c r="FX251" s="16">
        <f>Septembre!GC20</f>
        <v>0</v>
      </c>
      <c r="HI251" s="85">
        <f>+Septembre!AB21</f>
        <v>46267</v>
      </c>
      <c r="HJ251" s="27" t="str">
        <f>+Septembre!AD21</f>
        <v/>
      </c>
      <c r="HK251" s="16">
        <f t="shared" si="65"/>
        <v>0</v>
      </c>
      <c r="HL251" s="16" t="str">
        <f>IF(AND(HI251&gt;=DATE(Identification!$B$60,5,1),HI251&lt;=DATE(Identification!$B$60,10,31),SUM(HK251:HK265)=12),"OUI","")</f>
        <v/>
      </c>
    </row>
    <row r="252" spans="1:220" x14ac:dyDescent="0.2">
      <c r="A252" s="16" t="str">
        <f t="shared" si="67"/>
        <v>Fiche info Avenant 2D6</v>
      </c>
      <c r="B252" s="16" t="str">
        <f t="shared" si="66"/>
        <v>Fiche info Avenant 2</v>
      </c>
      <c r="C252" s="27" t="s">
        <v>233</v>
      </c>
      <c r="D252" s="27">
        <v>6</v>
      </c>
      <c r="E252" s="16" t="s">
        <v>184</v>
      </c>
      <c r="F252" s="34" t="str">
        <f>IF(+'Fiche info Avenant 2'!$AR$12=0,"",'Fiche info Avenant 2'!$AR$12)</f>
        <v/>
      </c>
      <c r="G252" s="16">
        <f t="shared" si="61"/>
        <v>0</v>
      </c>
      <c r="BX252" s="16" t="str">
        <f t="shared" si="62"/>
        <v>Fiche info Avenant 2D6</v>
      </c>
      <c r="BY252" s="431">
        <f>'Fiche info Avenant 2'!$AI$12</f>
        <v>0</v>
      </c>
      <c r="BZ252" s="431">
        <f>'Fiche info Avenant 2'!$AJ$12</f>
        <v>0</v>
      </c>
      <c r="CA252" s="431">
        <f>'Fiche info Avenant 2'!$AK$12</f>
        <v>0</v>
      </c>
      <c r="CB252" s="431">
        <f>'Fiche info Avenant 2'!$AL$12</f>
        <v>0</v>
      </c>
      <c r="CC252" s="431">
        <f>'Fiche info Avenant 2'!$AM$12</f>
        <v>0</v>
      </c>
      <c r="CD252" s="431">
        <f>'Fiche info Avenant 2'!$AN$12</f>
        <v>0</v>
      </c>
      <c r="CE252" s="431">
        <f>'Fiche info Avenant 2'!$AO$12</f>
        <v>0</v>
      </c>
      <c r="CF252" s="431">
        <f>'Fiche info Avenant 2'!$AP$12</f>
        <v>0</v>
      </c>
      <c r="ED252" s="16" t="str">
        <f t="shared" si="68"/>
        <v>Fiche info Avenant 2D</v>
      </c>
      <c r="EE252" s="16" t="str">
        <f t="shared" si="56"/>
        <v>Fiche info Avenant 2</v>
      </c>
      <c r="EF252" s="16" t="str">
        <f t="shared" si="57"/>
        <v>D</v>
      </c>
      <c r="EG252" s="16">
        <f t="shared" si="58"/>
        <v>6</v>
      </c>
      <c r="EH252" s="16" t="str">
        <f t="shared" si="59"/>
        <v>Samedi</v>
      </c>
      <c r="EI252" s="16" t="str">
        <f t="shared" si="60"/>
        <v/>
      </c>
      <c r="FB252" s="16" t="str">
        <f t="shared" si="63"/>
        <v/>
      </c>
      <c r="FC252" s="16" t="str">
        <f t="shared" si="64"/>
        <v/>
      </c>
      <c r="FD252" s="30">
        <f t="shared" si="69"/>
        <v>44470</v>
      </c>
      <c r="FE252" s="30" t="str">
        <f>+IFERROR(VLOOKUP(FD252,BDD,79,FALSE),"")</f>
        <v/>
      </c>
      <c r="FF252" s="30" t="str">
        <f>IFERROR(+VLOOKUP(FD252,BDD,80,FALSE),"")</f>
        <v/>
      </c>
      <c r="FG252" s="30" t="str">
        <f>+IFERROR(VLOOKUP(FD252,BDD,81,FALSE),"")</f>
        <v/>
      </c>
      <c r="FH252" s="30" t="str">
        <f>+IFERROR(VLOOKUP(FD252,BDD,82,FALSE),"")</f>
        <v/>
      </c>
      <c r="FW252" s="16" t="str">
        <f>Septembre!GB21</f>
        <v>362026</v>
      </c>
      <c r="FX252" s="16">
        <f>Septembre!GC21</f>
        <v>0</v>
      </c>
      <c r="HI252" s="85">
        <f>+Septembre!AB22</f>
        <v>46268</v>
      </c>
      <c r="HJ252" s="27" t="str">
        <f>+Septembre!AD22</f>
        <v/>
      </c>
      <c r="HK252" s="16">
        <f t="shared" si="65"/>
        <v>0</v>
      </c>
      <c r="HL252" s="16" t="str">
        <f>IF(AND(HI252&gt;=DATE(Identification!$B$60,5,1),HI252&lt;=DATE(Identification!$B$60,10,31),SUM(HK252:HK266)=12),"OUI","")</f>
        <v/>
      </c>
    </row>
    <row r="253" spans="1:220" x14ac:dyDescent="0.2">
      <c r="A253" s="16" t="str">
        <f t="shared" si="67"/>
        <v>Fiche info Avenant 2D7</v>
      </c>
      <c r="B253" s="16" t="str">
        <f t="shared" si="66"/>
        <v>Fiche info Avenant 2</v>
      </c>
      <c r="C253" s="27" t="s">
        <v>233</v>
      </c>
      <c r="D253" s="27">
        <v>7</v>
      </c>
      <c r="E253" s="16" t="s">
        <v>185</v>
      </c>
      <c r="F253" s="34" t="str">
        <f>IF(+'Fiche info Avenant 2'!$AR$13=0,"",'Fiche info Avenant 2'!$AR$13)</f>
        <v/>
      </c>
      <c r="G253" s="16">
        <f t="shared" si="61"/>
        <v>0</v>
      </c>
      <c r="BX253" s="16" t="str">
        <f t="shared" si="62"/>
        <v>Fiche info Avenant 2D7</v>
      </c>
      <c r="BY253" s="431">
        <f>'Fiche info Avenant 2'!$AI$13</f>
        <v>0</v>
      </c>
      <c r="BZ253" s="431">
        <f>'Fiche info Avenant 2'!$AJ$13</f>
        <v>0</v>
      </c>
      <c r="CA253" s="431">
        <f>'Fiche info Avenant 2'!$AK$13</f>
        <v>0</v>
      </c>
      <c r="CB253" s="431">
        <f>'Fiche info Avenant 2'!$AL$13</f>
        <v>0</v>
      </c>
      <c r="CC253" s="431">
        <f>'Fiche info Avenant 2'!$AM$13</f>
        <v>0</v>
      </c>
      <c r="CD253" s="431">
        <f>'Fiche info Avenant 2'!$AN$13</f>
        <v>0</v>
      </c>
      <c r="CE253" s="431">
        <f>'Fiche info Avenant 2'!$AO$13</f>
        <v>0</v>
      </c>
      <c r="CF253" s="431">
        <f>'Fiche info Avenant 2'!$AP$13</f>
        <v>0</v>
      </c>
      <c r="ED253" s="16" t="str">
        <f t="shared" si="68"/>
        <v>Fiche info Avenant 2D</v>
      </c>
      <c r="EE253" s="16" t="str">
        <f t="shared" si="56"/>
        <v>Fiche info Avenant 2</v>
      </c>
      <c r="EF253" s="16" t="str">
        <f t="shared" si="57"/>
        <v>D</v>
      </c>
      <c r="EG253" s="16">
        <f t="shared" si="58"/>
        <v>7</v>
      </c>
      <c r="EH253" s="16" t="str">
        <f t="shared" si="59"/>
        <v>Dimanche</v>
      </c>
      <c r="EI253" s="16" t="str">
        <f t="shared" si="60"/>
        <v/>
      </c>
      <c r="FB253" s="16" t="str">
        <f t="shared" si="63"/>
        <v/>
      </c>
      <c r="FC253" s="16" t="str">
        <f t="shared" si="64"/>
        <v/>
      </c>
      <c r="FD253" s="30">
        <f t="shared" si="69"/>
        <v>44470</v>
      </c>
      <c r="FE253" s="30" t="str">
        <f>+IFERROR(VLOOKUP(FD253,BDD,83,FALSE),"")</f>
        <v/>
      </c>
      <c r="FF253" s="30" t="str">
        <f>+IFERROR(VLOOKUP(FD253,BDD,84,FALSE),"")</f>
        <v/>
      </c>
      <c r="FG253" s="30" t="str">
        <f>+IFERROR(VLOOKUP(FD253,BDD,85,FALSE),"")</f>
        <v/>
      </c>
      <c r="FH253" s="30" t="str">
        <f>+IFERROR(VLOOKUP(FD253,BDD,86,FALSE),"")</f>
        <v/>
      </c>
      <c r="FW253" s="16" t="str">
        <f>Septembre!GB22</f>
        <v>362026</v>
      </c>
      <c r="FX253" s="16">
        <f>Septembre!GC22</f>
        <v>0</v>
      </c>
      <c r="HI253" s="85">
        <f>+Septembre!AB23</f>
        <v>46269</v>
      </c>
      <c r="HJ253" s="27" t="str">
        <f>+Septembre!AD23</f>
        <v/>
      </c>
      <c r="HK253" s="16">
        <f t="shared" si="65"/>
        <v>0</v>
      </c>
      <c r="HL253" s="16" t="str">
        <f>IF(AND(HI253&gt;=DATE(Identification!$B$60,5,1),HI253&lt;=DATE(Identification!$B$60,10,31),SUM(HK253:HK267)=12),"OUI","")</f>
        <v/>
      </c>
    </row>
    <row r="254" spans="1:220" x14ac:dyDescent="0.2">
      <c r="A254" s="16" t="str">
        <f t="shared" si="67"/>
        <v>Fiche info Avenant 2E1</v>
      </c>
      <c r="B254" s="16" t="str">
        <f t="shared" si="66"/>
        <v>Fiche info Avenant 2</v>
      </c>
      <c r="C254" s="27" t="s">
        <v>234</v>
      </c>
      <c r="D254" s="27">
        <v>1</v>
      </c>
      <c r="E254" s="16" t="s">
        <v>17</v>
      </c>
      <c r="F254" s="34" t="str">
        <f>IF(+'Fiche info Avenant 2'!$BC$7=0,"",'Fiche info Avenant 2'!$BC$7)</f>
        <v/>
      </c>
      <c r="G254" s="16">
        <f t="shared" si="61"/>
        <v>0</v>
      </c>
      <c r="BX254" s="16" t="str">
        <f t="shared" si="62"/>
        <v>Fiche info Avenant 2E1</v>
      </c>
      <c r="BY254" s="431">
        <f>'Fiche info Avenant 2'!$AT$7</f>
        <v>0</v>
      </c>
      <c r="BZ254" s="431">
        <f>'Fiche info Avenant 2'!$AU$7</f>
        <v>0</v>
      </c>
      <c r="CA254" s="431">
        <f>'Fiche info Avenant 2'!$AV$7</f>
        <v>0</v>
      </c>
      <c r="CB254" s="431">
        <f>'Fiche info Avenant 2'!$AW$7</f>
        <v>0</v>
      </c>
      <c r="CC254" s="431">
        <f>'Fiche info Avenant 2'!$AX$7</f>
        <v>0</v>
      </c>
      <c r="CD254" s="431">
        <f>'Fiche info Avenant 2'!$AY$7</f>
        <v>0</v>
      </c>
      <c r="CE254" s="431">
        <f>'Fiche info Avenant 2'!$AZ$7</f>
        <v>0</v>
      </c>
      <c r="CF254" s="431">
        <f>'Fiche info Avenant 2'!$BA$7</f>
        <v>0</v>
      </c>
      <c r="ED254" s="16" t="str">
        <f t="shared" si="68"/>
        <v>Fiche info Avenant 2E</v>
      </c>
      <c r="EE254" s="16" t="str">
        <f t="shared" si="56"/>
        <v>Fiche info Avenant 2</v>
      </c>
      <c r="EF254" s="16" t="str">
        <f t="shared" si="57"/>
        <v>E</v>
      </c>
      <c r="EG254" s="16">
        <f t="shared" si="58"/>
        <v>1</v>
      </c>
      <c r="EH254" s="16" t="str">
        <f t="shared" si="59"/>
        <v>Lundi</v>
      </c>
      <c r="EI254" s="16" t="str">
        <f t="shared" si="60"/>
        <v/>
      </c>
      <c r="FB254" s="16" t="str">
        <f t="shared" si="63"/>
        <v/>
      </c>
      <c r="FC254" s="16" t="str">
        <f t="shared" si="64"/>
        <v/>
      </c>
      <c r="FD254" s="30">
        <f t="shared" si="69"/>
        <v>44440</v>
      </c>
      <c r="FE254" s="30" t="str">
        <f>+IFERROR(VLOOKUP(FD254,BDD,71,FALSE),"")</f>
        <v/>
      </c>
      <c r="FF254" s="30" t="str">
        <f>IFERROR(+VLOOKUP(FD254,BDD,72,FALSE),"")</f>
        <v/>
      </c>
      <c r="FG254" s="30" t="str">
        <f>+IFERROR(VLOOKUP(FD254,BDD,73,FALSE),"")</f>
        <v/>
      </c>
      <c r="FH254" s="30" t="str">
        <f>+IFERROR(VLOOKUP(FD254,BDD,74,FALSE),"")</f>
        <v/>
      </c>
      <c r="FW254" s="16" t="str">
        <f>Septembre!GB23</f>
        <v>362026</v>
      </c>
      <c r="FX254" s="16">
        <f>Septembre!GC23</f>
        <v>0</v>
      </c>
      <c r="HI254" s="85">
        <f>+Septembre!AB24</f>
        <v>46270</v>
      </c>
      <c r="HJ254" s="27" t="str">
        <f>+Septembre!AD24</f>
        <v/>
      </c>
      <c r="HK254" s="16">
        <f t="shared" si="65"/>
        <v>0</v>
      </c>
      <c r="HL254" s="16" t="str">
        <f>IF(AND(HI254&gt;=DATE(Identification!$B$60,5,1),HI254&lt;=DATE(Identification!$B$60,10,31),SUM(HK254:HK268)=12),"OUI","")</f>
        <v/>
      </c>
    </row>
    <row r="255" spans="1:220" x14ac:dyDescent="0.2">
      <c r="A255" s="16" t="str">
        <f t="shared" si="67"/>
        <v>Fiche info Avenant 2E2</v>
      </c>
      <c r="B255" s="16" t="str">
        <f t="shared" si="66"/>
        <v>Fiche info Avenant 2</v>
      </c>
      <c r="C255" s="27" t="s">
        <v>234</v>
      </c>
      <c r="D255" s="27">
        <v>2</v>
      </c>
      <c r="E255" s="16" t="s">
        <v>18</v>
      </c>
      <c r="F255" s="34" t="str">
        <f>IF(+'Fiche info Avenant 2'!$BC$8=0,"",'Fiche info Avenant 2'!$BC$8)</f>
        <v/>
      </c>
      <c r="G255" s="16">
        <f t="shared" si="61"/>
        <v>0</v>
      </c>
      <c r="BX255" s="16" t="str">
        <f t="shared" si="62"/>
        <v>Fiche info Avenant 2E2</v>
      </c>
      <c r="BY255" s="431">
        <f>'Fiche info Avenant 2'!$AT$8</f>
        <v>0</v>
      </c>
      <c r="BZ255" s="431">
        <f>'Fiche info Avenant 2'!$AU$8</f>
        <v>0</v>
      </c>
      <c r="CA255" s="431">
        <f>'Fiche info Avenant 2'!$AV$8</f>
        <v>0</v>
      </c>
      <c r="CB255" s="431">
        <f>'Fiche info Avenant 2'!$AW$8</f>
        <v>0</v>
      </c>
      <c r="CC255" s="431">
        <f>'Fiche info Avenant 2'!$AX$8</f>
        <v>0</v>
      </c>
      <c r="CD255" s="431">
        <f>'Fiche info Avenant 2'!$AY$8</f>
        <v>0</v>
      </c>
      <c r="CE255" s="431">
        <f>'Fiche info Avenant 2'!$AZ$8</f>
        <v>0</v>
      </c>
      <c r="CF255" s="431">
        <f>'Fiche info Avenant 2'!$BA$8</f>
        <v>0</v>
      </c>
      <c r="ED255" s="16" t="str">
        <f t="shared" si="68"/>
        <v>Fiche info Avenant 2E</v>
      </c>
      <c r="EE255" s="16" t="str">
        <f t="shared" si="56"/>
        <v>Fiche info Avenant 2</v>
      </c>
      <c r="EF255" s="16" t="str">
        <f t="shared" si="57"/>
        <v>E</v>
      </c>
      <c r="EG255" s="16">
        <f t="shared" si="58"/>
        <v>2</v>
      </c>
      <c r="EH255" s="16" t="str">
        <f t="shared" si="59"/>
        <v>Mardi</v>
      </c>
      <c r="EI255" s="16" t="str">
        <f t="shared" si="60"/>
        <v/>
      </c>
      <c r="FB255" s="16" t="str">
        <f t="shared" si="63"/>
        <v/>
      </c>
      <c r="FC255" s="16" t="str">
        <f t="shared" si="64"/>
        <v/>
      </c>
      <c r="FD255" s="30">
        <f t="shared" si="69"/>
        <v>44440</v>
      </c>
      <c r="FE255" s="30" t="str">
        <f>+IFERROR(VLOOKUP(FD255,BDD,75,FALSE),"")</f>
        <v/>
      </c>
      <c r="FF255" s="30" t="str">
        <f>+IFERROR(VLOOKUP(FD255,BDD,76,FALSE),"")</f>
        <v/>
      </c>
      <c r="FG255" s="30" t="str">
        <f>IFERROR(+VLOOKUP(FD255,BDD,77,FALSE),"")</f>
        <v/>
      </c>
      <c r="FH255" s="30" t="str">
        <f>+IFERROR(VLOOKUP(FD255,BDD,78,FALSE),"")</f>
        <v/>
      </c>
      <c r="FW255" s="16" t="str">
        <f>Septembre!GB24</f>
        <v>362026</v>
      </c>
      <c r="FX255" s="16">
        <f>Septembre!GC24</f>
        <v>0</v>
      </c>
      <c r="HI255" s="85">
        <f>+Septembre!AB25</f>
        <v>46271</v>
      </c>
      <c r="HJ255" s="27" t="str">
        <f>+Septembre!AD25</f>
        <v/>
      </c>
      <c r="HK255" s="16">
        <f t="shared" si="65"/>
        <v>0</v>
      </c>
      <c r="HL255" s="16" t="str">
        <f>IF(AND(HI255&gt;=DATE(Identification!$B$60,5,1),HI255&lt;=DATE(Identification!$B$60,10,31),SUM(HK255:HK269)=12),"OUI","")</f>
        <v/>
      </c>
    </row>
    <row r="256" spans="1:220" x14ac:dyDescent="0.2">
      <c r="A256" s="16" t="str">
        <f t="shared" si="67"/>
        <v>Fiche info Avenant 2E3</v>
      </c>
      <c r="B256" s="16" t="str">
        <f t="shared" si="66"/>
        <v>Fiche info Avenant 2</v>
      </c>
      <c r="C256" s="27" t="s">
        <v>234</v>
      </c>
      <c r="D256" s="27">
        <v>3</v>
      </c>
      <c r="E256" s="16" t="s">
        <v>19</v>
      </c>
      <c r="F256" s="34" t="str">
        <f>IF(+'Fiche info Avenant 2'!$BC$9=0,"",'Fiche info Avenant 2'!$BC$9)</f>
        <v/>
      </c>
      <c r="G256" s="16">
        <f t="shared" si="61"/>
        <v>0</v>
      </c>
      <c r="BX256" s="16" t="str">
        <f t="shared" si="62"/>
        <v>Fiche info Avenant 2E3</v>
      </c>
      <c r="BY256" s="431">
        <f>'Fiche info Avenant 2'!$AT$9</f>
        <v>0</v>
      </c>
      <c r="BZ256" s="431">
        <f>'Fiche info Avenant 2'!$AU$9</f>
        <v>0</v>
      </c>
      <c r="CA256" s="431">
        <f>'Fiche info Avenant 2'!$AV$9</f>
        <v>0</v>
      </c>
      <c r="CB256" s="431">
        <f>'Fiche info Avenant 2'!$AW$9</f>
        <v>0</v>
      </c>
      <c r="CC256" s="431">
        <f>'Fiche info Avenant 2'!$AX$9</f>
        <v>0</v>
      </c>
      <c r="CD256" s="431">
        <f>'Fiche info Avenant 2'!$AY$9</f>
        <v>0</v>
      </c>
      <c r="CE256" s="431">
        <f>'Fiche info Avenant 2'!$AZ$9</f>
        <v>0</v>
      </c>
      <c r="CF256" s="431">
        <f>'Fiche info Avenant 2'!$BA$9</f>
        <v>0</v>
      </c>
      <c r="ED256" s="16" t="str">
        <f t="shared" si="68"/>
        <v>Fiche info Avenant 2E</v>
      </c>
      <c r="EE256" s="16" t="str">
        <f t="shared" si="56"/>
        <v>Fiche info Avenant 2</v>
      </c>
      <c r="EF256" s="16" t="str">
        <f t="shared" si="57"/>
        <v>E</v>
      </c>
      <c r="EG256" s="16">
        <f t="shared" si="58"/>
        <v>3</v>
      </c>
      <c r="EH256" s="16" t="str">
        <f t="shared" si="59"/>
        <v>Mercredi</v>
      </c>
      <c r="EI256" s="16" t="str">
        <f t="shared" si="60"/>
        <v/>
      </c>
      <c r="FB256" s="16" t="str">
        <f t="shared" si="63"/>
        <v/>
      </c>
      <c r="FC256" s="16" t="str">
        <f t="shared" si="64"/>
        <v/>
      </c>
      <c r="FD256" s="30">
        <f t="shared" si="69"/>
        <v>44440</v>
      </c>
      <c r="FE256" s="30" t="str">
        <f>+IFERROR(VLOOKUP(FD256,BDD,79,FALSE),"")</f>
        <v/>
      </c>
      <c r="FF256" s="30" t="str">
        <f>IFERROR(+VLOOKUP(FD256,BDD,80,FALSE),"")</f>
        <v/>
      </c>
      <c r="FG256" s="30" t="str">
        <f>+IFERROR(VLOOKUP(FD256,BDD,81,FALSE),"")</f>
        <v/>
      </c>
      <c r="FH256" s="30" t="str">
        <f>+IFERROR(VLOOKUP(FD256,BDD,82,FALSE),"")</f>
        <v/>
      </c>
      <c r="FW256" s="16" t="str">
        <f>Septembre!GB25</f>
        <v>362026</v>
      </c>
      <c r="FX256" s="16">
        <f>Septembre!GC25</f>
        <v>0</v>
      </c>
      <c r="HI256" s="85">
        <f>+Septembre!AB26</f>
        <v>46272</v>
      </c>
      <c r="HJ256" s="27" t="str">
        <f>+Septembre!AD26</f>
        <v/>
      </c>
      <c r="HK256" s="16">
        <f t="shared" si="65"/>
        <v>0</v>
      </c>
      <c r="HL256" s="16" t="str">
        <f>IF(AND(HI256&gt;=DATE(Identification!$B$60,5,1),HI256&lt;=DATE(Identification!$B$60,10,31),SUM(HK256:HK270)=12),"OUI","")</f>
        <v/>
      </c>
    </row>
    <row r="257" spans="1:220" x14ac:dyDescent="0.2">
      <c r="A257" s="16" t="str">
        <f t="shared" si="67"/>
        <v>Fiche info Avenant 2E4</v>
      </c>
      <c r="B257" s="16" t="str">
        <f t="shared" si="66"/>
        <v>Fiche info Avenant 2</v>
      </c>
      <c r="C257" s="27" t="s">
        <v>234</v>
      </c>
      <c r="D257" s="27">
        <v>4</v>
      </c>
      <c r="E257" s="16" t="s">
        <v>20</v>
      </c>
      <c r="F257" s="34" t="str">
        <f>IF(+'Fiche info Avenant 2'!$BC$10=0,"",'Fiche info Avenant 2'!$BC$10)</f>
        <v/>
      </c>
      <c r="G257" s="16">
        <f t="shared" si="61"/>
        <v>0</v>
      </c>
      <c r="BX257" s="16" t="str">
        <f t="shared" si="62"/>
        <v>Fiche info Avenant 2E4</v>
      </c>
      <c r="BY257" s="431">
        <f>'Fiche info Avenant 2'!$AT$10</f>
        <v>0</v>
      </c>
      <c r="BZ257" s="431">
        <f>'Fiche info Avenant 2'!$AU$10</f>
        <v>0</v>
      </c>
      <c r="CA257" s="431">
        <f>'Fiche info Avenant 2'!$AV$10</f>
        <v>0</v>
      </c>
      <c r="CB257" s="431">
        <f>'Fiche info Avenant 2'!$AW$10</f>
        <v>0</v>
      </c>
      <c r="CC257" s="431">
        <f>'Fiche info Avenant 2'!$AX$10</f>
        <v>0</v>
      </c>
      <c r="CD257" s="431">
        <f>'Fiche info Avenant 2'!$AY$10</f>
        <v>0</v>
      </c>
      <c r="CE257" s="431">
        <f>'Fiche info Avenant 2'!$AZ$10</f>
        <v>0</v>
      </c>
      <c r="CF257" s="431">
        <f>'Fiche info Avenant 2'!$BA$10</f>
        <v>0</v>
      </c>
      <c r="ED257" s="16" t="str">
        <f t="shared" si="68"/>
        <v>Fiche info Avenant 2E</v>
      </c>
      <c r="EE257" s="16" t="str">
        <f t="shared" ref="EE257:EE320" si="70">B257</f>
        <v>Fiche info Avenant 2</v>
      </c>
      <c r="EF257" s="16" t="str">
        <f t="shared" ref="EF257:EF320" si="71">C257</f>
        <v>E</v>
      </c>
      <c r="EG257" s="16">
        <f t="shared" ref="EG257:EG320" si="72">D257</f>
        <v>4</v>
      </c>
      <c r="EH257" s="16" t="str">
        <f t="shared" ref="EH257:EH320" si="73">E257</f>
        <v>Jeudi</v>
      </c>
      <c r="EI257" s="16" t="str">
        <f t="shared" ref="EI257:EI320" si="74">F257</f>
        <v/>
      </c>
      <c r="FB257" s="16" t="str">
        <f t="shared" si="63"/>
        <v/>
      </c>
      <c r="FC257" s="16" t="str">
        <f t="shared" si="64"/>
        <v/>
      </c>
      <c r="FD257" s="30">
        <f t="shared" si="69"/>
        <v>44440</v>
      </c>
      <c r="FE257" s="30" t="str">
        <f>+IFERROR(VLOOKUP(FD257,BDD,83,FALSE),"")</f>
        <v/>
      </c>
      <c r="FF257" s="30" t="str">
        <f>+IFERROR(VLOOKUP(FD257,BDD,84,FALSE),"")</f>
        <v/>
      </c>
      <c r="FG257" s="30" t="str">
        <f>+IFERROR(VLOOKUP(FD257,BDD,85,FALSE),"")</f>
        <v/>
      </c>
      <c r="FH257" s="30" t="str">
        <f>+IFERROR(VLOOKUP(FD257,BDD,86,FALSE),"")</f>
        <v/>
      </c>
      <c r="FW257" s="16" t="str">
        <f>Septembre!GB26</f>
        <v>372026</v>
      </c>
      <c r="FX257" s="16">
        <f>Septembre!GC26</f>
        <v>0</v>
      </c>
      <c r="HI257" s="85">
        <f>+Septembre!AB27</f>
        <v>46273</v>
      </c>
      <c r="HJ257" s="27" t="str">
        <f>+Septembre!AD27</f>
        <v/>
      </c>
      <c r="HK257" s="16">
        <f t="shared" si="65"/>
        <v>0</v>
      </c>
      <c r="HL257" s="16" t="str">
        <f>IF(AND(HI257&gt;=DATE(Identification!$B$60,5,1),HI257&lt;=DATE(Identification!$B$60,10,31),SUM(HK257:HK271)=12),"OUI","")</f>
        <v/>
      </c>
    </row>
    <row r="258" spans="1:220" x14ac:dyDescent="0.2">
      <c r="A258" s="16" t="str">
        <f t="shared" si="67"/>
        <v>Fiche info Avenant 2E5</v>
      </c>
      <c r="B258" s="16" t="str">
        <f t="shared" si="66"/>
        <v>Fiche info Avenant 2</v>
      </c>
      <c r="C258" s="27" t="s">
        <v>234</v>
      </c>
      <c r="D258" s="27">
        <v>5</v>
      </c>
      <c r="E258" s="16" t="s">
        <v>21</v>
      </c>
      <c r="F258" s="34" t="str">
        <f>IF(+'Fiche info Avenant 2'!$BC$11=0,"",'Fiche info Avenant 2'!$BC$11)</f>
        <v/>
      </c>
      <c r="G258" s="16">
        <f t="shared" ref="G258:G321" si="75">+IF(OR(F258=0,F258=""),0,1)</f>
        <v>0</v>
      </c>
      <c r="BX258" s="16" t="str">
        <f t="shared" ref="BX258:BX321" si="76">A258</f>
        <v>Fiche info Avenant 2E5</v>
      </c>
      <c r="BY258" s="431">
        <f>'Fiche info Avenant 2'!$AT$11</f>
        <v>0</v>
      </c>
      <c r="BZ258" s="431">
        <f>'Fiche info Avenant 2'!$AU$11</f>
        <v>0</v>
      </c>
      <c r="CA258" s="431">
        <f>'Fiche info Avenant 2'!$AV$11</f>
        <v>0</v>
      </c>
      <c r="CB258" s="431">
        <f>'Fiche info Avenant 2'!$AW$11</f>
        <v>0</v>
      </c>
      <c r="CC258" s="431">
        <f>'Fiche info Avenant 2'!$AX$11</f>
        <v>0</v>
      </c>
      <c r="CD258" s="431">
        <f>'Fiche info Avenant 2'!$AY$11</f>
        <v>0</v>
      </c>
      <c r="CE258" s="431">
        <f>'Fiche info Avenant 2'!$AZ$11</f>
        <v>0</v>
      </c>
      <c r="CF258" s="431">
        <f>'Fiche info Avenant 2'!$BA$11</f>
        <v>0</v>
      </c>
      <c r="ED258" s="16" t="str">
        <f t="shared" si="68"/>
        <v>Fiche info Avenant 2E</v>
      </c>
      <c r="EE258" s="16" t="str">
        <f t="shared" si="70"/>
        <v>Fiche info Avenant 2</v>
      </c>
      <c r="EF258" s="16" t="str">
        <f t="shared" si="71"/>
        <v>E</v>
      </c>
      <c r="EG258" s="16">
        <f t="shared" si="72"/>
        <v>5</v>
      </c>
      <c r="EH258" s="16" t="str">
        <f t="shared" si="73"/>
        <v>Vendredi</v>
      </c>
      <c r="EI258" s="16" t="str">
        <f t="shared" si="74"/>
        <v/>
      </c>
      <c r="FB258" s="16" t="str">
        <f t="shared" si="63"/>
        <v/>
      </c>
      <c r="FC258" s="16" t="str">
        <f t="shared" si="64"/>
        <v/>
      </c>
      <c r="FD258" s="30">
        <f t="shared" si="69"/>
        <v>44409</v>
      </c>
      <c r="FE258" s="30" t="str">
        <f>+IFERROR(VLOOKUP(FD258,BDD,71,FALSE),"")</f>
        <v/>
      </c>
      <c r="FF258" s="30" t="str">
        <f>IFERROR(+VLOOKUP(FD258,BDD,72,FALSE),"")</f>
        <v/>
      </c>
      <c r="FG258" s="30" t="str">
        <f>+IFERROR(VLOOKUP(FD258,BDD,73,FALSE),"")</f>
        <v/>
      </c>
      <c r="FH258" s="30" t="str">
        <f>+IFERROR(VLOOKUP(FD258,BDD,74,FALSE),"")</f>
        <v/>
      </c>
      <c r="FW258" s="16" t="str">
        <f>Septembre!GB27</f>
        <v>372026</v>
      </c>
      <c r="FX258" s="16">
        <f>Septembre!GC27</f>
        <v>0</v>
      </c>
      <c r="HI258" s="85">
        <f>+Septembre!AB28</f>
        <v>46274</v>
      </c>
      <c r="HJ258" s="27" t="str">
        <f>+Septembre!AD28</f>
        <v/>
      </c>
      <c r="HK258" s="16">
        <f t="shared" si="65"/>
        <v>0</v>
      </c>
      <c r="HL258" s="16" t="str">
        <f>IF(AND(HI258&gt;=DATE(Identification!$B$60,5,1),HI258&lt;=DATE(Identification!$B$60,10,31),SUM(HK258:HK272)=12),"OUI","")</f>
        <v/>
      </c>
    </row>
    <row r="259" spans="1:220" x14ac:dyDescent="0.2">
      <c r="A259" s="16" t="str">
        <f t="shared" si="67"/>
        <v>Fiche info Avenant 2E6</v>
      </c>
      <c r="B259" s="16" t="str">
        <f t="shared" si="66"/>
        <v>Fiche info Avenant 2</v>
      </c>
      <c r="C259" s="27" t="s">
        <v>234</v>
      </c>
      <c r="D259" s="27">
        <v>6</v>
      </c>
      <c r="E259" s="16" t="s">
        <v>184</v>
      </c>
      <c r="F259" s="34" t="str">
        <f>IF(+'Fiche info Avenant 2'!$BC$12=0,"",'Fiche info Avenant 2'!$BC$12)</f>
        <v/>
      </c>
      <c r="G259" s="16">
        <f t="shared" si="75"/>
        <v>0</v>
      </c>
      <c r="BX259" s="16" t="str">
        <f t="shared" si="76"/>
        <v>Fiche info Avenant 2E6</v>
      </c>
      <c r="BY259" s="431">
        <f>'Fiche info Avenant 2'!$AT$12</f>
        <v>0</v>
      </c>
      <c r="BZ259" s="431">
        <f>'Fiche info Avenant 2'!$AU$12</f>
        <v>0</v>
      </c>
      <c r="CA259" s="431">
        <f>'Fiche info Avenant 2'!$AV$12</f>
        <v>0</v>
      </c>
      <c r="CB259" s="431">
        <f>'Fiche info Avenant 2'!$AW$12</f>
        <v>0</v>
      </c>
      <c r="CC259" s="431">
        <f>'Fiche info Avenant 2'!$AX$12</f>
        <v>0</v>
      </c>
      <c r="CD259" s="431">
        <f>'Fiche info Avenant 2'!$AY$12</f>
        <v>0</v>
      </c>
      <c r="CE259" s="431">
        <f>'Fiche info Avenant 2'!$AZ$12</f>
        <v>0</v>
      </c>
      <c r="CF259" s="431">
        <f>'Fiche info Avenant 2'!$BA$12</f>
        <v>0</v>
      </c>
      <c r="ED259" s="16" t="str">
        <f t="shared" si="68"/>
        <v>Fiche info Avenant 2E</v>
      </c>
      <c r="EE259" s="16" t="str">
        <f t="shared" si="70"/>
        <v>Fiche info Avenant 2</v>
      </c>
      <c r="EF259" s="16" t="str">
        <f t="shared" si="71"/>
        <v>E</v>
      </c>
      <c r="EG259" s="16">
        <f t="shared" si="72"/>
        <v>6</v>
      </c>
      <c r="EH259" s="16" t="str">
        <f t="shared" si="73"/>
        <v>Samedi</v>
      </c>
      <c r="EI259" s="16" t="str">
        <f t="shared" si="74"/>
        <v/>
      </c>
      <c r="FB259" s="16" t="str">
        <f t="shared" ref="FB259:FB322" si="77">+IF(FE259=$EX$2,FE259&amp;FF259&amp;FG259,"")</f>
        <v/>
      </c>
      <c r="FC259" s="16" t="str">
        <f t="shared" ref="FC259:FC322" si="78">+IF(FE259=$EX$3,FE259&amp;FF259&amp;FG259,"")</f>
        <v/>
      </c>
      <c r="FD259" s="30">
        <f t="shared" si="69"/>
        <v>44409</v>
      </c>
      <c r="FE259" s="30" t="str">
        <f>+IFERROR(VLOOKUP(FD259,BDD,75,FALSE),"")</f>
        <v/>
      </c>
      <c r="FF259" s="30" t="str">
        <f>+IFERROR(VLOOKUP(FD259,BDD,76,FALSE),"")</f>
        <v/>
      </c>
      <c r="FG259" s="30" t="str">
        <f>IFERROR(+VLOOKUP(FD259,BDD,77,FALSE),"")</f>
        <v/>
      </c>
      <c r="FH259" s="30" t="str">
        <f>+IFERROR(VLOOKUP(FD259,BDD,78,FALSE),"")</f>
        <v/>
      </c>
      <c r="FW259" s="16" t="str">
        <f>Septembre!GB28</f>
        <v>372026</v>
      </c>
      <c r="FX259" s="16">
        <f>Septembre!GC28</f>
        <v>0</v>
      </c>
      <c r="HI259" s="85">
        <f>+Septembre!AB29</f>
        <v>46275</v>
      </c>
      <c r="HJ259" s="27" t="str">
        <f>+Septembre!AD29</f>
        <v/>
      </c>
      <c r="HK259" s="16">
        <f t="shared" ref="HK259:HK322" si="79">IF(HI259="",0,IF(AND(OR(HJ259=$BJ$3,HJ259=$BJ$4),WEEKDAY(HI259,2)&lt;7),1,0))</f>
        <v>0</v>
      </c>
      <c r="HL259" s="16" t="str">
        <f>IF(AND(HI259&gt;=DATE(Identification!$B$60,5,1),HI259&lt;=DATE(Identification!$B$60,10,31),SUM(HK259:HK273)=12),"OUI","")</f>
        <v/>
      </c>
    </row>
    <row r="260" spans="1:220" x14ac:dyDescent="0.2">
      <c r="A260" s="16" t="str">
        <f t="shared" si="67"/>
        <v>Fiche info Avenant 2E7</v>
      </c>
      <c r="B260" s="16" t="str">
        <f t="shared" si="66"/>
        <v>Fiche info Avenant 2</v>
      </c>
      <c r="C260" s="27" t="s">
        <v>234</v>
      </c>
      <c r="D260" s="27">
        <v>7</v>
      </c>
      <c r="E260" s="16" t="s">
        <v>185</v>
      </c>
      <c r="F260" s="34" t="str">
        <f>IF(+'Fiche info Avenant 2'!$BC$13=0,"",'Fiche info Avenant 2'!$BC$13)</f>
        <v/>
      </c>
      <c r="G260" s="16">
        <f t="shared" si="75"/>
        <v>0</v>
      </c>
      <c r="BX260" s="16" t="str">
        <f t="shared" si="76"/>
        <v>Fiche info Avenant 2E7</v>
      </c>
      <c r="BY260" s="431">
        <f>'Fiche info Avenant 2'!$AT$13</f>
        <v>0</v>
      </c>
      <c r="BZ260" s="431">
        <f>'Fiche info Avenant 2'!$AU$13</f>
        <v>0</v>
      </c>
      <c r="CA260" s="431">
        <f>'Fiche info Avenant 2'!$AV$13</f>
        <v>0</v>
      </c>
      <c r="CB260" s="431">
        <f>'Fiche info Avenant 2'!$AW$13</f>
        <v>0</v>
      </c>
      <c r="CC260" s="431">
        <f>'Fiche info Avenant 2'!$AX$13</f>
        <v>0</v>
      </c>
      <c r="CD260" s="431">
        <f>'Fiche info Avenant 2'!$AY$13</f>
        <v>0</v>
      </c>
      <c r="CE260" s="431">
        <f>'Fiche info Avenant 2'!$AZ$13</f>
        <v>0</v>
      </c>
      <c r="CF260" s="431">
        <f>'Fiche info Avenant 2'!$BA$13</f>
        <v>0</v>
      </c>
      <c r="ED260" s="16" t="str">
        <f t="shared" si="68"/>
        <v>Fiche info Avenant 2E</v>
      </c>
      <c r="EE260" s="16" t="str">
        <f t="shared" si="70"/>
        <v>Fiche info Avenant 2</v>
      </c>
      <c r="EF260" s="16" t="str">
        <f t="shared" si="71"/>
        <v>E</v>
      </c>
      <c r="EG260" s="16">
        <f t="shared" si="72"/>
        <v>7</v>
      </c>
      <c r="EH260" s="16" t="str">
        <f t="shared" si="73"/>
        <v>Dimanche</v>
      </c>
      <c r="EI260" s="16" t="str">
        <f t="shared" si="74"/>
        <v/>
      </c>
      <c r="FB260" s="16" t="str">
        <f t="shared" si="77"/>
        <v/>
      </c>
      <c r="FC260" s="16" t="str">
        <f t="shared" si="78"/>
        <v/>
      </c>
      <c r="FD260" s="30">
        <f t="shared" si="69"/>
        <v>44409</v>
      </c>
      <c r="FE260" s="30" t="str">
        <f>+IFERROR(VLOOKUP(FD260,BDD,79,FALSE),"")</f>
        <v/>
      </c>
      <c r="FF260" s="30" t="str">
        <f>IFERROR(+VLOOKUP(FD260,BDD,80,FALSE),"")</f>
        <v/>
      </c>
      <c r="FG260" s="30" t="str">
        <f>+IFERROR(VLOOKUP(FD260,BDD,81,FALSE),"")</f>
        <v/>
      </c>
      <c r="FH260" s="30" t="str">
        <f>+IFERROR(VLOOKUP(FD260,BDD,82,FALSE),"")</f>
        <v/>
      </c>
      <c r="FW260" s="16" t="str">
        <f>Septembre!GB29</f>
        <v>372026</v>
      </c>
      <c r="FX260" s="16">
        <f>Septembre!GC29</f>
        <v>0</v>
      </c>
      <c r="HI260" s="85">
        <f>+Septembre!AB30</f>
        <v>46276</v>
      </c>
      <c r="HJ260" s="27" t="str">
        <f>+Septembre!AD30</f>
        <v/>
      </c>
      <c r="HK260" s="16">
        <f t="shared" si="79"/>
        <v>0</v>
      </c>
      <c r="HL260" s="16" t="str">
        <f>IF(AND(HI260&gt;=DATE(Identification!$B$60,5,1),HI260&lt;=DATE(Identification!$B$60,10,31),SUM(HK260:HK274)=12),"OUI","")</f>
        <v/>
      </c>
    </row>
    <row r="261" spans="1:220" x14ac:dyDescent="0.2">
      <c r="A261" s="16" t="str">
        <f t="shared" si="67"/>
        <v>Fiche info Avenant 2F1</v>
      </c>
      <c r="B261" s="16" t="str">
        <f t="shared" si="66"/>
        <v>Fiche info Avenant 2</v>
      </c>
      <c r="C261" s="27" t="s">
        <v>235</v>
      </c>
      <c r="D261" s="27">
        <v>1</v>
      </c>
      <c r="E261" s="16" t="s">
        <v>17</v>
      </c>
      <c r="F261" s="34" t="str">
        <f>+IF('Fiche info Avenant 2'!$BN$7=0,"",'Fiche info Avenant 2'!$BN$7)</f>
        <v/>
      </c>
      <c r="G261" s="16">
        <f t="shared" si="75"/>
        <v>0</v>
      </c>
      <c r="BX261" s="16" t="str">
        <f t="shared" si="76"/>
        <v>Fiche info Avenant 2F1</v>
      </c>
      <c r="BY261" s="431">
        <f>'Fiche info Avenant 2'!$BE$7</f>
        <v>0</v>
      </c>
      <c r="BZ261" s="431">
        <f>'Fiche info Avenant 2'!$BF$7</f>
        <v>0</v>
      </c>
      <c r="CA261" s="431">
        <f>'Fiche info Avenant 2'!$BG$7</f>
        <v>0</v>
      </c>
      <c r="CB261" s="431">
        <f>'Fiche info Avenant 2'!$BH$7</f>
        <v>0</v>
      </c>
      <c r="CC261" s="431">
        <f>'Fiche info Avenant 2'!$BI$7</f>
        <v>0</v>
      </c>
      <c r="CD261" s="431">
        <f>'Fiche info Avenant 2'!$BJ$7</f>
        <v>0</v>
      </c>
      <c r="CE261" s="431">
        <f>'Fiche info Avenant 2'!$BK$7</f>
        <v>0</v>
      </c>
      <c r="CF261" s="431">
        <f>'Fiche info Avenant 2'!$BL$7</f>
        <v>0</v>
      </c>
      <c r="ED261" s="16" t="str">
        <f t="shared" si="68"/>
        <v>Fiche info Avenant 2F</v>
      </c>
      <c r="EE261" s="16" t="str">
        <f t="shared" si="70"/>
        <v>Fiche info Avenant 2</v>
      </c>
      <c r="EF261" s="16" t="str">
        <f t="shared" si="71"/>
        <v>F</v>
      </c>
      <c r="EG261" s="16">
        <f t="shared" si="72"/>
        <v>1</v>
      </c>
      <c r="EH261" s="16" t="str">
        <f t="shared" si="73"/>
        <v>Lundi</v>
      </c>
      <c r="EI261" s="16" t="str">
        <f t="shared" si="74"/>
        <v/>
      </c>
      <c r="FB261" s="16" t="str">
        <f t="shared" si="77"/>
        <v/>
      </c>
      <c r="FC261" s="16" t="str">
        <f t="shared" si="78"/>
        <v/>
      </c>
      <c r="FD261" s="30">
        <f t="shared" si="69"/>
        <v>44409</v>
      </c>
      <c r="FE261" s="30" t="str">
        <f>+IFERROR(VLOOKUP(FD261,BDD,83,FALSE),"")</f>
        <v/>
      </c>
      <c r="FF261" s="30" t="str">
        <f>+IFERROR(VLOOKUP(FD261,BDD,84,FALSE),"")</f>
        <v/>
      </c>
      <c r="FG261" s="30" t="str">
        <f>+IFERROR(VLOOKUP(FD261,BDD,85,FALSE),"")</f>
        <v/>
      </c>
      <c r="FH261" s="30" t="str">
        <f>+IFERROR(VLOOKUP(FD261,BDD,86,FALSE),"")</f>
        <v/>
      </c>
      <c r="FW261" s="16" t="str">
        <f>Septembre!GB30</f>
        <v>372026</v>
      </c>
      <c r="FX261" s="16">
        <f>Septembre!GC30</f>
        <v>0</v>
      </c>
      <c r="HI261" s="85">
        <f>+Septembre!AB31</f>
        <v>46277</v>
      </c>
      <c r="HJ261" s="27" t="str">
        <f>+Septembre!AD31</f>
        <v/>
      </c>
      <c r="HK261" s="16">
        <f t="shared" si="79"/>
        <v>0</v>
      </c>
      <c r="HL261" s="16" t="str">
        <f>IF(AND(HI261&gt;=DATE(Identification!$B$60,5,1),HI261&lt;=DATE(Identification!$B$60,10,31),SUM(HK261:HK275)=12),"OUI","")</f>
        <v/>
      </c>
    </row>
    <row r="262" spans="1:220" x14ac:dyDescent="0.2">
      <c r="A262" s="16" t="str">
        <f t="shared" si="67"/>
        <v>Fiche info Avenant 2F2</v>
      </c>
      <c r="B262" s="16" t="str">
        <f t="shared" si="66"/>
        <v>Fiche info Avenant 2</v>
      </c>
      <c r="C262" s="27" t="s">
        <v>235</v>
      </c>
      <c r="D262" s="27">
        <v>2</v>
      </c>
      <c r="E262" s="16" t="s">
        <v>18</v>
      </c>
      <c r="F262" s="34" t="str">
        <f>+IF('Fiche info Avenant 2'!$BN$8=0,"",'Fiche info Avenant 2'!$BN$8)</f>
        <v/>
      </c>
      <c r="G262" s="16">
        <f t="shared" si="75"/>
        <v>0</v>
      </c>
      <c r="BX262" s="16" t="str">
        <f t="shared" si="76"/>
        <v>Fiche info Avenant 2F2</v>
      </c>
      <c r="BY262" s="431">
        <f>'Fiche info Avenant 2'!$BE$8</f>
        <v>0</v>
      </c>
      <c r="BZ262" s="431">
        <f>'Fiche info Avenant 2'!$BF$8</f>
        <v>0</v>
      </c>
      <c r="CA262" s="431">
        <f>'Fiche info Avenant 2'!$BG$8</f>
        <v>0</v>
      </c>
      <c r="CB262" s="431">
        <f>'Fiche info Avenant 2'!$BH$8</f>
        <v>0</v>
      </c>
      <c r="CC262" s="431">
        <f>'Fiche info Avenant 2'!$BI$8</f>
        <v>0</v>
      </c>
      <c r="CD262" s="431">
        <f>'Fiche info Avenant 2'!$BJ$8</f>
        <v>0</v>
      </c>
      <c r="CE262" s="431">
        <f>'Fiche info Avenant 2'!$BK$8</f>
        <v>0</v>
      </c>
      <c r="CF262" s="431">
        <f>'Fiche info Avenant 2'!$BL$8</f>
        <v>0</v>
      </c>
      <c r="ED262" s="16" t="str">
        <f t="shared" si="68"/>
        <v>Fiche info Avenant 2F</v>
      </c>
      <c r="EE262" s="16" t="str">
        <f t="shared" si="70"/>
        <v>Fiche info Avenant 2</v>
      </c>
      <c r="EF262" s="16" t="str">
        <f t="shared" si="71"/>
        <v>F</v>
      </c>
      <c r="EG262" s="16">
        <f t="shared" si="72"/>
        <v>2</v>
      </c>
      <c r="EH262" s="16" t="str">
        <f t="shared" si="73"/>
        <v>Mardi</v>
      </c>
      <c r="EI262" s="16" t="str">
        <f t="shared" si="74"/>
        <v/>
      </c>
      <c r="FB262" s="16" t="str">
        <f t="shared" si="77"/>
        <v/>
      </c>
      <c r="FC262" s="16" t="str">
        <f t="shared" si="78"/>
        <v/>
      </c>
      <c r="FD262" s="30">
        <f t="shared" si="69"/>
        <v>44378</v>
      </c>
      <c r="FE262" s="30" t="str">
        <f>+IFERROR(VLOOKUP(FD262,BDD,71,FALSE),"")</f>
        <v/>
      </c>
      <c r="FF262" s="30" t="str">
        <f>IFERROR(+VLOOKUP(FD262,BDD,72,FALSE),"")</f>
        <v/>
      </c>
      <c r="FG262" s="30" t="str">
        <f>+IFERROR(VLOOKUP(FD262,BDD,73,FALSE),"")</f>
        <v/>
      </c>
      <c r="FH262" s="30" t="str">
        <f>+IFERROR(VLOOKUP(FD262,BDD,74,FALSE),"")</f>
        <v/>
      </c>
      <c r="FW262" s="16" t="str">
        <f>Septembre!GB31</f>
        <v>372026</v>
      </c>
      <c r="FX262" s="16">
        <f>Septembre!GC31</f>
        <v>0</v>
      </c>
      <c r="HI262" s="85">
        <f>+Septembre!AB32</f>
        <v>46278</v>
      </c>
      <c r="HJ262" s="27" t="str">
        <f>+Septembre!AD32</f>
        <v/>
      </c>
      <c r="HK262" s="16">
        <f t="shared" si="79"/>
        <v>0</v>
      </c>
      <c r="HL262" s="16" t="str">
        <f>IF(AND(HI262&gt;=DATE(Identification!$B$60,5,1),HI262&lt;=DATE(Identification!$B$60,10,31),SUM(HK262:HK276)=12),"OUI","")</f>
        <v/>
      </c>
    </row>
    <row r="263" spans="1:220" x14ac:dyDescent="0.2">
      <c r="A263" s="16" t="str">
        <f t="shared" si="67"/>
        <v>Fiche info Avenant 2F3</v>
      </c>
      <c r="B263" s="16" t="str">
        <f t="shared" si="66"/>
        <v>Fiche info Avenant 2</v>
      </c>
      <c r="C263" s="27" t="s">
        <v>235</v>
      </c>
      <c r="D263" s="27">
        <v>3</v>
      </c>
      <c r="E263" s="16" t="s">
        <v>19</v>
      </c>
      <c r="F263" s="34" t="str">
        <f>+IF('Fiche info Avenant 2'!$BN$9=0,"",'Fiche info Avenant 2'!$BN$9)</f>
        <v/>
      </c>
      <c r="G263" s="16">
        <f t="shared" si="75"/>
        <v>0</v>
      </c>
      <c r="BX263" s="16" t="str">
        <f t="shared" si="76"/>
        <v>Fiche info Avenant 2F3</v>
      </c>
      <c r="BY263" s="431">
        <f>'Fiche info Avenant 2'!$BE$9</f>
        <v>0</v>
      </c>
      <c r="BZ263" s="431">
        <f>'Fiche info Avenant 2'!$BF$9</f>
        <v>0</v>
      </c>
      <c r="CA263" s="431">
        <f>'Fiche info Avenant 2'!$BG$9</f>
        <v>0</v>
      </c>
      <c r="CB263" s="431">
        <f>'Fiche info Avenant 2'!$BH$9</f>
        <v>0</v>
      </c>
      <c r="CC263" s="431">
        <f>'Fiche info Avenant 2'!$BI$9</f>
        <v>0</v>
      </c>
      <c r="CD263" s="431">
        <f>'Fiche info Avenant 2'!$BJ$9</f>
        <v>0</v>
      </c>
      <c r="CE263" s="431">
        <f>'Fiche info Avenant 2'!$BK$9</f>
        <v>0</v>
      </c>
      <c r="CF263" s="431">
        <f>'Fiche info Avenant 2'!$BL$9</f>
        <v>0</v>
      </c>
      <c r="ED263" s="16" t="str">
        <f t="shared" si="68"/>
        <v>Fiche info Avenant 2F</v>
      </c>
      <c r="EE263" s="16" t="str">
        <f t="shared" si="70"/>
        <v>Fiche info Avenant 2</v>
      </c>
      <c r="EF263" s="16" t="str">
        <f t="shared" si="71"/>
        <v>F</v>
      </c>
      <c r="EG263" s="16">
        <f t="shared" si="72"/>
        <v>3</v>
      </c>
      <c r="EH263" s="16" t="str">
        <f t="shared" si="73"/>
        <v>Mercredi</v>
      </c>
      <c r="EI263" s="16" t="str">
        <f t="shared" si="74"/>
        <v/>
      </c>
      <c r="FB263" s="16" t="str">
        <f t="shared" si="77"/>
        <v/>
      </c>
      <c r="FC263" s="16" t="str">
        <f t="shared" si="78"/>
        <v/>
      </c>
      <c r="FD263" s="30">
        <f t="shared" si="69"/>
        <v>44378</v>
      </c>
      <c r="FE263" s="30" t="str">
        <f>+IFERROR(VLOOKUP(FD263,BDD,75,FALSE),"")</f>
        <v/>
      </c>
      <c r="FF263" s="30" t="str">
        <f>+IFERROR(VLOOKUP(FD263,BDD,76,FALSE),"")</f>
        <v/>
      </c>
      <c r="FG263" s="30" t="str">
        <f>IFERROR(+VLOOKUP(FD263,BDD,77,FALSE),"")</f>
        <v/>
      </c>
      <c r="FH263" s="30" t="str">
        <f>+IFERROR(VLOOKUP(FD263,BDD,78,FALSE),"")</f>
        <v/>
      </c>
      <c r="FW263" s="16" t="str">
        <f>Septembre!GB32</f>
        <v>372026</v>
      </c>
      <c r="FX263" s="16">
        <f>Septembre!GC32</f>
        <v>0</v>
      </c>
      <c r="HI263" s="85">
        <f>+Septembre!AB33</f>
        <v>46279</v>
      </c>
      <c r="HJ263" s="27" t="str">
        <f>+Septembre!AD33</f>
        <v/>
      </c>
      <c r="HK263" s="16">
        <f t="shared" si="79"/>
        <v>0</v>
      </c>
      <c r="HL263" s="16" t="str">
        <f>IF(AND(HI263&gt;=DATE(Identification!$B$60,5,1),HI263&lt;=DATE(Identification!$B$60,10,31),SUM(HK263:HK277)=12),"OUI","")</f>
        <v/>
      </c>
    </row>
    <row r="264" spans="1:220" x14ac:dyDescent="0.2">
      <c r="A264" s="16" t="str">
        <f t="shared" si="67"/>
        <v>Fiche info Avenant 2F4</v>
      </c>
      <c r="B264" s="16" t="str">
        <f t="shared" si="66"/>
        <v>Fiche info Avenant 2</v>
      </c>
      <c r="C264" s="27" t="s">
        <v>235</v>
      </c>
      <c r="D264" s="27">
        <v>4</v>
      </c>
      <c r="E264" s="16" t="s">
        <v>20</v>
      </c>
      <c r="F264" s="34" t="str">
        <f>+IF('Fiche info Avenant 2'!$BN$10=0,"",'Fiche info Avenant 2'!$BN$10)</f>
        <v/>
      </c>
      <c r="G264" s="16">
        <f t="shared" si="75"/>
        <v>0</v>
      </c>
      <c r="BX264" s="16" t="str">
        <f t="shared" si="76"/>
        <v>Fiche info Avenant 2F4</v>
      </c>
      <c r="BY264" s="431">
        <f>'Fiche info Avenant 2'!$BE$10</f>
        <v>0</v>
      </c>
      <c r="BZ264" s="431">
        <f>'Fiche info Avenant 2'!$BF$10</f>
        <v>0</v>
      </c>
      <c r="CA264" s="431">
        <f>'Fiche info Avenant 2'!$BG$10</f>
        <v>0</v>
      </c>
      <c r="CB264" s="431">
        <f>'Fiche info Avenant 2'!$BH$10</f>
        <v>0</v>
      </c>
      <c r="CC264" s="431">
        <f>'Fiche info Avenant 2'!$BI$10</f>
        <v>0</v>
      </c>
      <c r="CD264" s="431">
        <f>'Fiche info Avenant 2'!$BJ$10</f>
        <v>0</v>
      </c>
      <c r="CE264" s="431">
        <f>'Fiche info Avenant 2'!$BK$10</f>
        <v>0</v>
      </c>
      <c r="CF264" s="431">
        <f>'Fiche info Avenant 2'!$BL$10</f>
        <v>0</v>
      </c>
      <c r="ED264" s="16" t="str">
        <f t="shared" si="68"/>
        <v>Fiche info Avenant 2F</v>
      </c>
      <c r="EE264" s="16" t="str">
        <f t="shared" si="70"/>
        <v>Fiche info Avenant 2</v>
      </c>
      <c r="EF264" s="16" t="str">
        <f t="shared" si="71"/>
        <v>F</v>
      </c>
      <c r="EG264" s="16">
        <f t="shared" si="72"/>
        <v>4</v>
      </c>
      <c r="EH264" s="16" t="str">
        <f t="shared" si="73"/>
        <v>Jeudi</v>
      </c>
      <c r="EI264" s="16" t="str">
        <f t="shared" si="74"/>
        <v/>
      </c>
      <c r="FB264" s="16" t="str">
        <f t="shared" si="77"/>
        <v/>
      </c>
      <c r="FC264" s="16" t="str">
        <f t="shared" si="78"/>
        <v/>
      </c>
      <c r="FD264" s="30">
        <f t="shared" si="69"/>
        <v>44378</v>
      </c>
      <c r="FE264" s="30" t="str">
        <f>+IFERROR(VLOOKUP(FD264,BDD,79,FALSE),"")</f>
        <v/>
      </c>
      <c r="FF264" s="30" t="str">
        <f>IFERROR(+VLOOKUP(FD264,BDD,80,FALSE),"")</f>
        <v/>
      </c>
      <c r="FG264" s="30" t="str">
        <f>+IFERROR(VLOOKUP(FD264,BDD,81,FALSE),"")</f>
        <v/>
      </c>
      <c r="FH264" s="30" t="str">
        <f>+IFERROR(VLOOKUP(FD264,BDD,82,FALSE),"")</f>
        <v/>
      </c>
      <c r="FW264" s="16" t="str">
        <f>Septembre!GB33</f>
        <v>382026</v>
      </c>
      <c r="FX264" s="16">
        <f>Septembre!GC33</f>
        <v>0</v>
      </c>
      <c r="HI264" s="85">
        <f>+Septembre!AB34</f>
        <v>46280</v>
      </c>
      <c r="HJ264" s="27" t="str">
        <f>+Septembre!AD34</f>
        <v/>
      </c>
      <c r="HK264" s="16">
        <f t="shared" si="79"/>
        <v>0</v>
      </c>
      <c r="HL264" s="16" t="str">
        <f>IF(AND(HI264&gt;=DATE(Identification!$B$60,5,1),HI264&lt;=DATE(Identification!$B$60,10,31),SUM(HK264:HK278)=12),"OUI","")</f>
        <v/>
      </c>
    </row>
    <row r="265" spans="1:220" x14ac:dyDescent="0.2">
      <c r="A265" s="16" t="str">
        <f t="shared" si="67"/>
        <v>Fiche info Avenant 2F5</v>
      </c>
      <c r="B265" s="16" t="str">
        <f t="shared" si="66"/>
        <v>Fiche info Avenant 2</v>
      </c>
      <c r="C265" s="27" t="s">
        <v>235</v>
      </c>
      <c r="D265" s="27">
        <v>5</v>
      </c>
      <c r="E265" s="16" t="s">
        <v>21</v>
      </c>
      <c r="F265" s="34" t="str">
        <f>+IF('Fiche info Avenant 2'!$BN$11=0,"",'Fiche info Avenant 2'!$BN$11)</f>
        <v/>
      </c>
      <c r="G265" s="16">
        <f t="shared" si="75"/>
        <v>0</v>
      </c>
      <c r="BX265" s="16" t="str">
        <f t="shared" si="76"/>
        <v>Fiche info Avenant 2F5</v>
      </c>
      <c r="BY265" s="431">
        <f>'Fiche info Avenant 2'!$BE$11</f>
        <v>0</v>
      </c>
      <c r="BZ265" s="431">
        <f>'Fiche info Avenant 2'!$BF$11</f>
        <v>0</v>
      </c>
      <c r="CA265" s="431">
        <f>'Fiche info Avenant 2'!$BG$11</f>
        <v>0</v>
      </c>
      <c r="CB265" s="431">
        <f>'Fiche info Avenant 2'!$BH$11</f>
        <v>0</v>
      </c>
      <c r="CC265" s="431">
        <f>'Fiche info Avenant 2'!$BI$11</f>
        <v>0</v>
      </c>
      <c r="CD265" s="431">
        <f>'Fiche info Avenant 2'!$BJ$11</f>
        <v>0</v>
      </c>
      <c r="CE265" s="431">
        <f>'Fiche info Avenant 2'!$BK$11</f>
        <v>0</v>
      </c>
      <c r="CF265" s="431">
        <f>'Fiche info Avenant 2'!$BL$11</f>
        <v>0</v>
      </c>
      <c r="ED265" s="16" t="str">
        <f t="shared" si="68"/>
        <v>Fiche info Avenant 2F</v>
      </c>
      <c r="EE265" s="16" t="str">
        <f t="shared" si="70"/>
        <v>Fiche info Avenant 2</v>
      </c>
      <c r="EF265" s="16" t="str">
        <f t="shared" si="71"/>
        <v>F</v>
      </c>
      <c r="EG265" s="16">
        <f t="shared" si="72"/>
        <v>5</v>
      </c>
      <c r="EH265" s="16" t="str">
        <f t="shared" si="73"/>
        <v>Vendredi</v>
      </c>
      <c r="EI265" s="16" t="str">
        <f t="shared" si="74"/>
        <v/>
      </c>
      <c r="FB265" s="16" t="str">
        <f t="shared" si="77"/>
        <v/>
      </c>
      <c r="FC265" s="16" t="str">
        <f t="shared" si="78"/>
        <v/>
      </c>
      <c r="FD265" s="30">
        <f t="shared" si="69"/>
        <v>44378</v>
      </c>
      <c r="FE265" s="30" t="str">
        <f>+IFERROR(VLOOKUP(FD265,BDD,83,FALSE),"")</f>
        <v/>
      </c>
      <c r="FF265" s="30" t="str">
        <f>+IFERROR(VLOOKUP(FD265,BDD,84,FALSE),"")</f>
        <v/>
      </c>
      <c r="FG265" s="30" t="str">
        <f>+IFERROR(VLOOKUP(FD265,BDD,85,FALSE),"")</f>
        <v/>
      </c>
      <c r="FH265" s="30" t="str">
        <f>+IFERROR(VLOOKUP(FD265,BDD,86,FALSE),"")</f>
        <v/>
      </c>
      <c r="FW265" s="16" t="str">
        <f>Septembre!GB34</f>
        <v>382026</v>
      </c>
      <c r="FX265" s="16">
        <f>Septembre!GC34</f>
        <v>0</v>
      </c>
      <c r="HI265" s="85">
        <f>+Septembre!AB35</f>
        <v>46281</v>
      </c>
      <c r="HJ265" s="27" t="str">
        <f>+Septembre!AD35</f>
        <v/>
      </c>
      <c r="HK265" s="16">
        <f t="shared" si="79"/>
        <v>0</v>
      </c>
      <c r="HL265" s="16" t="str">
        <f>IF(AND(HI265&gt;=DATE(Identification!$B$60,5,1),HI265&lt;=DATE(Identification!$B$60,10,31),SUM(HK265:HK279)=12),"OUI","")</f>
        <v/>
      </c>
    </row>
    <row r="266" spans="1:220" x14ac:dyDescent="0.2">
      <c r="A266" s="16" t="str">
        <f t="shared" si="67"/>
        <v>Fiche info Avenant 2F6</v>
      </c>
      <c r="B266" s="16" t="str">
        <f t="shared" si="66"/>
        <v>Fiche info Avenant 2</v>
      </c>
      <c r="C266" s="27" t="s">
        <v>235</v>
      </c>
      <c r="D266" s="27">
        <v>6</v>
      </c>
      <c r="E266" s="16" t="s">
        <v>184</v>
      </c>
      <c r="F266" s="34" t="str">
        <f>+IF('Fiche info Avenant 2'!$BN$12=0,"",'Fiche info Avenant 2'!$BN$12)</f>
        <v/>
      </c>
      <c r="G266" s="16">
        <f t="shared" si="75"/>
        <v>0</v>
      </c>
      <c r="BX266" s="16" t="str">
        <f t="shared" si="76"/>
        <v>Fiche info Avenant 2F6</v>
      </c>
      <c r="BY266" s="431">
        <f>'Fiche info Avenant 2'!$BE$12</f>
        <v>0</v>
      </c>
      <c r="BZ266" s="431">
        <f>'Fiche info Avenant 2'!$BF$12</f>
        <v>0</v>
      </c>
      <c r="CA266" s="431">
        <f>'Fiche info Avenant 2'!$BG$12</f>
        <v>0</v>
      </c>
      <c r="CB266" s="431">
        <f>'Fiche info Avenant 2'!$BH$12</f>
        <v>0</v>
      </c>
      <c r="CC266" s="431">
        <f>'Fiche info Avenant 2'!$BI$12</f>
        <v>0</v>
      </c>
      <c r="CD266" s="431">
        <f>'Fiche info Avenant 2'!$BJ$12</f>
        <v>0</v>
      </c>
      <c r="CE266" s="431">
        <f>'Fiche info Avenant 2'!$BK$12</f>
        <v>0</v>
      </c>
      <c r="CF266" s="431">
        <f>'Fiche info Avenant 2'!$BL$12</f>
        <v>0</v>
      </c>
      <c r="ED266" s="16" t="str">
        <f t="shared" si="68"/>
        <v>Fiche info Avenant 2F</v>
      </c>
      <c r="EE266" s="16" t="str">
        <f t="shared" si="70"/>
        <v>Fiche info Avenant 2</v>
      </c>
      <c r="EF266" s="16" t="str">
        <f t="shared" si="71"/>
        <v>F</v>
      </c>
      <c r="EG266" s="16">
        <f t="shared" si="72"/>
        <v>6</v>
      </c>
      <c r="EH266" s="16" t="str">
        <f t="shared" si="73"/>
        <v>Samedi</v>
      </c>
      <c r="EI266" s="16" t="str">
        <f t="shared" si="74"/>
        <v/>
      </c>
      <c r="FB266" s="16" t="str">
        <f t="shared" si="77"/>
        <v/>
      </c>
      <c r="FC266" s="16" t="str">
        <f t="shared" si="78"/>
        <v/>
      </c>
      <c r="FD266" s="30">
        <f t="shared" si="69"/>
        <v>44348</v>
      </c>
      <c r="FE266" s="30" t="str">
        <f>+IFERROR(VLOOKUP(FD266,BDD,71,FALSE),"")</f>
        <v/>
      </c>
      <c r="FF266" s="30" t="str">
        <f>IFERROR(+VLOOKUP(FD266,BDD,72,FALSE),"")</f>
        <v/>
      </c>
      <c r="FG266" s="30" t="str">
        <f>+IFERROR(VLOOKUP(FD266,BDD,73,FALSE),"")</f>
        <v/>
      </c>
      <c r="FH266" s="30" t="str">
        <f>+IFERROR(VLOOKUP(FD266,BDD,74,FALSE),"")</f>
        <v/>
      </c>
      <c r="FW266" s="16" t="str">
        <f>Septembre!GB35</f>
        <v>382026</v>
      </c>
      <c r="FX266" s="16">
        <f>Septembre!GC35</f>
        <v>0</v>
      </c>
      <c r="HI266" s="85">
        <f>+Septembre!AB36</f>
        <v>46282</v>
      </c>
      <c r="HJ266" s="27" t="str">
        <f>+Septembre!AD36</f>
        <v/>
      </c>
      <c r="HK266" s="16">
        <f t="shared" si="79"/>
        <v>0</v>
      </c>
      <c r="HL266" s="16" t="str">
        <f>IF(AND(HI266&gt;=DATE(Identification!$B$60,5,1),HI266&lt;=DATE(Identification!$B$60,10,31),SUM(HK266:HK280)=12),"OUI","")</f>
        <v/>
      </c>
    </row>
    <row r="267" spans="1:220" x14ac:dyDescent="0.2">
      <c r="A267" s="16" t="str">
        <f t="shared" si="67"/>
        <v>Fiche info Avenant 2F7</v>
      </c>
      <c r="B267" s="16" t="str">
        <f t="shared" si="66"/>
        <v>Fiche info Avenant 2</v>
      </c>
      <c r="C267" s="27" t="s">
        <v>235</v>
      </c>
      <c r="D267" s="27">
        <v>7</v>
      </c>
      <c r="E267" s="16" t="s">
        <v>185</v>
      </c>
      <c r="F267" s="34" t="str">
        <f>+IF('Fiche info Avenant 2'!$BN$13=0,"",'Fiche info Avenant 2'!$BN$13)</f>
        <v/>
      </c>
      <c r="G267" s="16">
        <f t="shared" si="75"/>
        <v>0</v>
      </c>
      <c r="BX267" s="16" t="str">
        <f t="shared" si="76"/>
        <v>Fiche info Avenant 2F7</v>
      </c>
      <c r="BY267" s="431">
        <f>'Fiche info Avenant 2'!$BE$13</f>
        <v>0</v>
      </c>
      <c r="BZ267" s="431">
        <f>'Fiche info Avenant 2'!$BF$13</f>
        <v>0</v>
      </c>
      <c r="CA267" s="431">
        <f>'Fiche info Avenant 2'!$BG$13</f>
        <v>0</v>
      </c>
      <c r="CB267" s="431">
        <f>'Fiche info Avenant 2'!$BH$13</f>
        <v>0</v>
      </c>
      <c r="CC267" s="431">
        <f>'Fiche info Avenant 2'!$BI$13</f>
        <v>0</v>
      </c>
      <c r="CD267" s="431">
        <f>'Fiche info Avenant 2'!$BJ$13</f>
        <v>0</v>
      </c>
      <c r="CE267" s="431">
        <f>'Fiche info Avenant 2'!$BK$13</f>
        <v>0</v>
      </c>
      <c r="CF267" s="431">
        <f>'Fiche info Avenant 2'!$BL$13</f>
        <v>0</v>
      </c>
      <c r="ED267" s="16" t="str">
        <f t="shared" si="68"/>
        <v>Fiche info Avenant 2F</v>
      </c>
      <c r="EE267" s="16" t="str">
        <f t="shared" si="70"/>
        <v>Fiche info Avenant 2</v>
      </c>
      <c r="EF267" s="16" t="str">
        <f t="shared" si="71"/>
        <v>F</v>
      </c>
      <c r="EG267" s="16">
        <f t="shared" si="72"/>
        <v>7</v>
      </c>
      <c r="EH267" s="16" t="str">
        <f t="shared" si="73"/>
        <v>Dimanche</v>
      </c>
      <c r="EI267" s="16" t="str">
        <f t="shared" si="74"/>
        <v/>
      </c>
      <c r="FB267" s="16" t="str">
        <f t="shared" si="77"/>
        <v/>
      </c>
      <c r="FC267" s="16" t="str">
        <f t="shared" si="78"/>
        <v/>
      </c>
      <c r="FD267" s="30">
        <f t="shared" si="69"/>
        <v>44348</v>
      </c>
      <c r="FE267" s="30" t="str">
        <f>+IFERROR(VLOOKUP(FD267,BDD,75,FALSE),"")</f>
        <v/>
      </c>
      <c r="FF267" s="30" t="str">
        <f>+IFERROR(VLOOKUP(FD267,BDD,76,FALSE),"")</f>
        <v/>
      </c>
      <c r="FG267" s="30" t="str">
        <f>IFERROR(+VLOOKUP(FD267,BDD,77,FALSE),"")</f>
        <v/>
      </c>
      <c r="FH267" s="30" t="str">
        <f>+IFERROR(VLOOKUP(FD267,BDD,78,FALSE),"")</f>
        <v/>
      </c>
      <c r="FW267" s="16" t="str">
        <f>Septembre!GB36</f>
        <v>382026</v>
      </c>
      <c r="FX267" s="16">
        <f>Septembre!GC36</f>
        <v>0</v>
      </c>
      <c r="HI267" s="85">
        <f>+Septembre!AB37</f>
        <v>46283</v>
      </c>
      <c r="HJ267" s="27" t="str">
        <f>+Septembre!AD37</f>
        <v/>
      </c>
      <c r="HK267" s="16">
        <f t="shared" si="79"/>
        <v>0</v>
      </c>
      <c r="HL267" s="16" t="str">
        <f>IF(AND(HI267&gt;=DATE(Identification!$B$60,5,1),HI267&lt;=DATE(Identification!$B$60,10,31),SUM(HK267:HK281)=12),"OUI","")</f>
        <v/>
      </c>
    </row>
    <row r="268" spans="1:220" x14ac:dyDescent="0.2">
      <c r="A268" s="16" t="str">
        <f t="shared" si="67"/>
        <v>Fiche info Avenant 2G1</v>
      </c>
      <c r="B268" s="16" t="str">
        <f t="shared" si="66"/>
        <v>Fiche info Avenant 2</v>
      </c>
      <c r="C268" s="27" t="s">
        <v>236</v>
      </c>
      <c r="D268" s="27">
        <v>1</v>
      </c>
      <c r="E268" s="16" t="s">
        <v>17</v>
      </c>
      <c r="F268" s="34" t="str">
        <f>+IF('Fiche info Avenant 2'!$BY$7=0,"",'Fiche info Avenant 2'!$BY$7)</f>
        <v/>
      </c>
      <c r="G268" s="16">
        <f t="shared" si="75"/>
        <v>0</v>
      </c>
      <c r="BX268" s="16" t="str">
        <f t="shared" si="76"/>
        <v>Fiche info Avenant 2G1</v>
      </c>
      <c r="BY268" s="431">
        <f>'Fiche info Avenant 2'!$BP$7</f>
        <v>0</v>
      </c>
      <c r="BZ268" s="431">
        <f>'Fiche info Avenant 2'!$BQ$7</f>
        <v>0</v>
      </c>
      <c r="CA268" s="431">
        <f>'Fiche info Avenant 2'!$BR$7</f>
        <v>0</v>
      </c>
      <c r="CB268" s="431">
        <f>'Fiche info Avenant 2'!$BS$7</f>
        <v>0</v>
      </c>
      <c r="CC268" s="431">
        <f>'Fiche info Avenant 2'!$BT$7</f>
        <v>0</v>
      </c>
      <c r="CD268" s="431">
        <f>'Fiche info Avenant 2'!$BU$7</f>
        <v>0</v>
      </c>
      <c r="CE268" s="431">
        <f>'Fiche info Avenant 2'!$BV$7</f>
        <v>0</v>
      </c>
      <c r="CF268" s="431">
        <f>'Fiche info Avenant 2'!$BW$7</f>
        <v>0</v>
      </c>
      <c r="ED268" s="16" t="str">
        <f t="shared" si="68"/>
        <v>Fiche info Avenant 2G</v>
      </c>
      <c r="EE268" s="16" t="str">
        <f t="shared" si="70"/>
        <v>Fiche info Avenant 2</v>
      </c>
      <c r="EF268" s="16" t="str">
        <f t="shared" si="71"/>
        <v>G</v>
      </c>
      <c r="EG268" s="16">
        <f t="shared" si="72"/>
        <v>1</v>
      </c>
      <c r="EH268" s="16" t="str">
        <f t="shared" si="73"/>
        <v>Lundi</v>
      </c>
      <c r="EI268" s="16" t="str">
        <f t="shared" si="74"/>
        <v/>
      </c>
      <c r="FB268" s="16" t="str">
        <f t="shared" si="77"/>
        <v/>
      </c>
      <c r="FC268" s="16" t="str">
        <f t="shared" si="78"/>
        <v/>
      </c>
      <c r="FD268" s="30">
        <f t="shared" si="69"/>
        <v>44348</v>
      </c>
      <c r="FE268" s="30" t="str">
        <f>+IFERROR(VLOOKUP(FD268,BDD,79,FALSE),"")</f>
        <v/>
      </c>
      <c r="FF268" s="30" t="str">
        <f>IFERROR(+VLOOKUP(FD268,BDD,80,FALSE),"")</f>
        <v/>
      </c>
      <c r="FG268" s="30" t="str">
        <f>+IFERROR(VLOOKUP(FD268,BDD,81,FALSE),"")</f>
        <v/>
      </c>
      <c r="FH268" s="30" t="str">
        <f>+IFERROR(VLOOKUP(FD268,BDD,82,FALSE),"")</f>
        <v/>
      </c>
      <c r="FW268" s="16" t="str">
        <f>Septembre!GB37</f>
        <v>382026</v>
      </c>
      <c r="FX268" s="16">
        <f>Septembre!GC37</f>
        <v>0</v>
      </c>
      <c r="HI268" s="85">
        <f>+Septembre!AB38</f>
        <v>46284</v>
      </c>
      <c r="HJ268" s="27" t="str">
        <f>+Septembre!AD38</f>
        <v/>
      </c>
      <c r="HK268" s="16">
        <f t="shared" si="79"/>
        <v>0</v>
      </c>
      <c r="HL268" s="16" t="str">
        <f>IF(AND(HI268&gt;=DATE(Identification!$B$60,5,1),HI268&lt;=DATE(Identification!$B$60,10,31),SUM(HK268:HK282)=12),"OUI","")</f>
        <v/>
      </c>
    </row>
    <row r="269" spans="1:220" x14ac:dyDescent="0.2">
      <c r="A269" s="16" t="str">
        <f t="shared" si="67"/>
        <v>Fiche info Avenant 2G2</v>
      </c>
      <c r="B269" s="16" t="str">
        <f t="shared" si="66"/>
        <v>Fiche info Avenant 2</v>
      </c>
      <c r="C269" s="27" t="s">
        <v>236</v>
      </c>
      <c r="D269" s="27">
        <v>2</v>
      </c>
      <c r="E269" s="16" t="s">
        <v>18</v>
      </c>
      <c r="F269" s="34" t="str">
        <f>+IF('Fiche info Avenant 2'!$BY$8=0,"",'Fiche info Avenant 2'!$BY$8)</f>
        <v/>
      </c>
      <c r="G269" s="16">
        <f t="shared" si="75"/>
        <v>0</v>
      </c>
      <c r="BX269" s="16" t="str">
        <f t="shared" si="76"/>
        <v>Fiche info Avenant 2G2</v>
      </c>
      <c r="BY269" s="431">
        <f>'Fiche info Avenant 2'!$BP$8</f>
        <v>0</v>
      </c>
      <c r="BZ269" s="431">
        <f>'Fiche info Avenant 2'!$BQ$8</f>
        <v>0</v>
      </c>
      <c r="CA269" s="431">
        <f>'Fiche info Avenant 2'!$BR$8</f>
        <v>0</v>
      </c>
      <c r="CB269" s="431">
        <f>'Fiche info Avenant 2'!$BS$8</f>
        <v>0</v>
      </c>
      <c r="CC269" s="431">
        <f>'Fiche info Avenant 2'!$BT$8</f>
        <v>0</v>
      </c>
      <c r="CD269" s="431">
        <f>'Fiche info Avenant 2'!$BU$8</f>
        <v>0</v>
      </c>
      <c r="CE269" s="431">
        <f>'Fiche info Avenant 2'!$BV$8</f>
        <v>0</v>
      </c>
      <c r="CF269" s="431">
        <f>'Fiche info Avenant 2'!$BW$8</f>
        <v>0</v>
      </c>
      <c r="ED269" s="16" t="str">
        <f t="shared" si="68"/>
        <v>Fiche info Avenant 2G</v>
      </c>
      <c r="EE269" s="16" t="str">
        <f t="shared" si="70"/>
        <v>Fiche info Avenant 2</v>
      </c>
      <c r="EF269" s="16" t="str">
        <f t="shared" si="71"/>
        <v>G</v>
      </c>
      <c r="EG269" s="16">
        <f t="shared" si="72"/>
        <v>2</v>
      </c>
      <c r="EH269" s="16" t="str">
        <f t="shared" si="73"/>
        <v>Mardi</v>
      </c>
      <c r="EI269" s="16" t="str">
        <f t="shared" si="74"/>
        <v/>
      </c>
      <c r="FB269" s="16" t="str">
        <f t="shared" si="77"/>
        <v/>
      </c>
      <c r="FC269" s="16" t="str">
        <f t="shared" si="78"/>
        <v/>
      </c>
      <c r="FD269" s="30">
        <f t="shared" si="69"/>
        <v>44348</v>
      </c>
      <c r="FE269" s="30" t="str">
        <f>+IFERROR(VLOOKUP(FD269,BDD,83,FALSE),"")</f>
        <v/>
      </c>
      <c r="FF269" s="30" t="str">
        <f>+IFERROR(VLOOKUP(FD269,BDD,84,FALSE),"")</f>
        <v/>
      </c>
      <c r="FG269" s="30" t="str">
        <f>+IFERROR(VLOOKUP(FD269,BDD,85,FALSE),"")</f>
        <v/>
      </c>
      <c r="FH269" s="30" t="str">
        <f>+IFERROR(VLOOKUP(FD269,BDD,86,FALSE),"")</f>
        <v/>
      </c>
      <c r="FW269" s="16" t="str">
        <f>Septembre!GB38</f>
        <v>382026</v>
      </c>
      <c r="FX269" s="16">
        <f>Septembre!GC38</f>
        <v>0</v>
      </c>
      <c r="HI269" s="85">
        <f>+Septembre!AB39</f>
        <v>46285</v>
      </c>
      <c r="HJ269" s="27" t="str">
        <f>+Septembre!AD39</f>
        <v/>
      </c>
      <c r="HK269" s="16">
        <f t="shared" si="79"/>
        <v>0</v>
      </c>
      <c r="HL269" s="16" t="str">
        <f>IF(AND(HI269&gt;=DATE(Identification!$B$60,5,1),HI269&lt;=DATE(Identification!$B$60,10,31),SUM(HK269:HK283)=12),"OUI","")</f>
        <v/>
      </c>
    </row>
    <row r="270" spans="1:220" x14ac:dyDescent="0.2">
      <c r="A270" s="16" t="str">
        <f t="shared" si="67"/>
        <v>Fiche info Avenant 2G3</v>
      </c>
      <c r="B270" s="16" t="str">
        <f t="shared" si="66"/>
        <v>Fiche info Avenant 2</v>
      </c>
      <c r="C270" s="27" t="s">
        <v>236</v>
      </c>
      <c r="D270" s="27">
        <v>3</v>
      </c>
      <c r="E270" s="16" t="s">
        <v>19</v>
      </c>
      <c r="F270" s="34" t="str">
        <f>+IF('Fiche info Avenant 2'!$BY$9=0,"",'Fiche info Avenant 2'!$BY$9)</f>
        <v/>
      </c>
      <c r="G270" s="16">
        <f t="shared" si="75"/>
        <v>0</v>
      </c>
      <c r="BX270" s="16" t="str">
        <f t="shared" si="76"/>
        <v>Fiche info Avenant 2G3</v>
      </c>
      <c r="BY270" s="431">
        <f>'Fiche info Avenant 2'!$BP$9</f>
        <v>0</v>
      </c>
      <c r="BZ270" s="431">
        <f>'Fiche info Avenant 2'!$BQ$9</f>
        <v>0</v>
      </c>
      <c r="CA270" s="431">
        <f>'Fiche info Avenant 2'!$BR$9</f>
        <v>0</v>
      </c>
      <c r="CB270" s="431">
        <f>'Fiche info Avenant 2'!$BS$9</f>
        <v>0</v>
      </c>
      <c r="CC270" s="431">
        <f>'Fiche info Avenant 2'!$BT$9</f>
        <v>0</v>
      </c>
      <c r="CD270" s="431">
        <f>'Fiche info Avenant 2'!$BU$9</f>
        <v>0</v>
      </c>
      <c r="CE270" s="431">
        <f>'Fiche info Avenant 2'!$BV$9</f>
        <v>0</v>
      </c>
      <c r="CF270" s="431">
        <f>'Fiche info Avenant 2'!$BW$9</f>
        <v>0</v>
      </c>
      <c r="ED270" s="16" t="str">
        <f t="shared" si="68"/>
        <v>Fiche info Avenant 2G</v>
      </c>
      <c r="EE270" s="16" t="str">
        <f t="shared" si="70"/>
        <v>Fiche info Avenant 2</v>
      </c>
      <c r="EF270" s="16" t="str">
        <f t="shared" si="71"/>
        <v>G</v>
      </c>
      <c r="EG270" s="16">
        <f t="shared" si="72"/>
        <v>3</v>
      </c>
      <c r="EH270" s="16" t="str">
        <f t="shared" si="73"/>
        <v>Mercredi</v>
      </c>
      <c r="EI270" s="16" t="str">
        <f t="shared" si="74"/>
        <v/>
      </c>
      <c r="FB270" s="16" t="str">
        <f t="shared" si="77"/>
        <v/>
      </c>
      <c r="FC270" s="16" t="str">
        <f t="shared" si="78"/>
        <v/>
      </c>
      <c r="FD270" s="30">
        <f t="shared" si="69"/>
        <v>44317</v>
      </c>
      <c r="FE270" s="30" t="str">
        <f>+IFERROR(VLOOKUP(FD270,BDD,71,FALSE),"")</f>
        <v/>
      </c>
      <c r="FF270" s="30" t="str">
        <f>IFERROR(+VLOOKUP(FD270,BDD,72,FALSE),"")</f>
        <v/>
      </c>
      <c r="FG270" s="30" t="str">
        <f>+IFERROR(VLOOKUP(FD270,BDD,73,FALSE),"")</f>
        <v/>
      </c>
      <c r="FH270" s="30" t="str">
        <f>+IFERROR(VLOOKUP(FD270,BDD,74,FALSE),"")</f>
        <v/>
      </c>
      <c r="FW270" s="16" t="str">
        <f>Septembre!GB39</f>
        <v>382026</v>
      </c>
      <c r="FX270" s="16">
        <f>Septembre!GC39</f>
        <v>0</v>
      </c>
      <c r="HI270" s="85">
        <f>+Septembre!AB40</f>
        <v>46286</v>
      </c>
      <c r="HJ270" s="27" t="str">
        <f>+Septembre!AD40</f>
        <v/>
      </c>
      <c r="HK270" s="16">
        <f t="shared" si="79"/>
        <v>0</v>
      </c>
      <c r="HL270" s="16" t="str">
        <f>IF(AND(HI270&gt;=DATE(Identification!$B$60,5,1),HI270&lt;=DATE(Identification!$B$60,10,31),SUM(HK270:HK284)=12),"OUI","")</f>
        <v/>
      </c>
    </row>
    <row r="271" spans="1:220" x14ac:dyDescent="0.2">
      <c r="A271" s="16" t="str">
        <f t="shared" si="67"/>
        <v>Fiche info Avenant 2G4</v>
      </c>
      <c r="B271" s="16" t="str">
        <f t="shared" si="66"/>
        <v>Fiche info Avenant 2</v>
      </c>
      <c r="C271" s="27" t="s">
        <v>236</v>
      </c>
      <c r="D271" s="27">
        <v>4</v>
      </c>
      <c r="E271" s="16" t="s">
        <v>20</v>
      </c>
      <c r="F271" s="34" t="str">
        <f>+IF('Fiche info Avenant 2'!$BY$10=0,"",'Fiche info Avenant 2'!$BY$10)</f>
        <v/>
      </c>
      <c r="G271" s="16">
        <f t="shared" si="75"/>
        <v>0</v>
      </c>
      <c r="BX271" s="16" t="str">
        <f t="shared" si="76"/>
        <v>Fiche info Avenant 2G4</v>
      </c>
      <c r="BY271" s="431">
        <f>'Fiche info Avenant 2'!$BP$10</f>
        <v>0</v>
      </c>
      <c r="BZ271" s="431">
        <f>'Fiche info Avenant 2'!$BQ$10</f>
        <v>0</v>
      </c>
      <c r="CA271" s="431">
        <f>'Fiche info Avenant 2'!$BR$10</f>
        <v>0</v>
      </c>
      <c r="CB271" s="431">
        <f>'Fiche info Avenant 2'!$BS$10</f>
        <v>0</v>
      </c>
      <c r="CC271" s="431">
        <f>'Fiche info Avenant 2'!$BT$10</f>
        <v>0</v>
      </c>
      <c r="CD271" s="431">
        <f>'Fiche info Avenant 2'!$BU$10</f>
        <v>0</v>
      </c>
      <c r="CE271" s="431">
        <f>'Fiche info Avenant 2'!$BV$10</f>
        <v>0</v>
      </c>
      <c r="CF271" s="431">
        <f>'Fiche info Avenant 2'!$BW$10</f>
        <v>0</v>
      </c>
      <c r="ED271" s="16" t="str">
        <f t="shared" si="68"/>
        <v>Fiche info Avenant 2G</v>
      </c>
      <c r="EE271" s="16" t="str">
        <f t="shared" si="70"/>
        <v>Fiche info Avenant 2</v>
      </c>
      <c r="EF271" s="16" t="str">
        <f t="shared" si="71"/>
        <v>G</v>
      </c>
      <c r="EG271" s="16">
        <f t="shared" si="72"/>
        <v>4</v>
      </c>
      <c r="EH271" s="16" t="str">
        <f t="shared" si="73"/>
        <v>Jeudi</v>
      </c>
      <c r="EI271" s="16" t="str">
        <f t="shared" si="74"/>
        <v/>
      </c>
      <c r="FB271" s="16" t="str">
        <f t="shared" si="77"/>
        <v/>
      </c>
      <c r="FC271" s="16" t="str">
        <f t="shared" si="78"/>
        <v/>
      </c>
      <c r="FD271" s="30">
        <f t="shared" si="69"/>
        <v>44317</v>
      </c>
      <c r="FE271" s="30" t="str">
        <f>+IFERROR(VLOOKUP(FD271,BDD,75,FALSE),"")</f>
        <v/>
      </c>
      <c r="FF271" s="30" t="str">
        <f>+IFERROR(VLOOKUP(FD271,BDD,76,FALSE),"")</f>
        <v/>
      </c>
      <c r="FG271" s="30" t="str">
        <f>IFERROR(+VLOOKUP(FD271,BDD,77,FALSE),"")</f>
        <v/>
      </c>
      <c r="FH271" s="30" t="str">
        <f>+IFERROR(VLOOKUP(FD271,BDD,78,FALSE),"")</f>
        <v/>
      </c>
      <c r="FW271" s="16" t="str">
        <f>Septembre!GB40</f>
        <v>392026</v>
      </c>
      <c r="FX271" s="16">
        <f>Septembre!GC40</f>
        <v>0</v>
      </c>
      <c r="HI271" s="85">
        <f>+Septembre!AB41</f>
        <v>46287</v>
      </c>
      <c r="HJ271" s="27" t="str">
        <f>+Septembre!AD41</f>
        <v/>
      </c>
      <c r="HK271" s="16">
        <f t="shared" si="79"/>
        <v>0</v>
      </c>
      <c r="HL271" s="16" t="str">
        <f>IF(AND(HI271&gt;=DATE(Identification!$B$60,5,1),HI271&lt;=DATE(Identification!$B$60,10,31),SUM(HK271:HK285)=12),"OUI","")</f>
        <v/>
      </c>
    </row>
    <row r="272" spans="1:220" x14ac:dyDescent="0.2">
      <c r="A272" s="16" t="str">
        <f t="shared" si="67"/>
        <v>Fiche info Avenant 2G5</v>
      </c>
      <c r="B272" s="16" t="str">
        <f t="shared" si="66"/>
        <v>Fiche info Avenant 2</v>
      </c>
      <c r="C272" s="27" t="s">
        <v>236</v>
      </c>
      <c r="D272" s="27">
        <v>5</v>
      </c>
      <c r="E272" s="16" t="s">
        <v>21</v>
      </c>
      <c r="F272" s="34" t="str">
        <f>+IF('Fiche info Avenant 2'!$BY$11=0,"",'Fiche info Avenant 2'!$BY$11)</f>
        <v/>
      </c>
      <c r="G272" s="16">
        <f t="shared" si="75"/>
        <v>0</v>
      </c>
      <c r="BX272" s="16" t="str">
        <f t="shared" si="76"/>
        <v>Fiche info Avenant 2G5</v>
      </c>
      <c r="BY272" s="431">
        <f>'Fiche info Avenant 2'!$BP$11</f>
        <v>0</v>
      </c>
      <c r="BZ272" s="431">
        <f>'Fiche info Avenant 2'!$BQ$11</f>
        <v>0</v>
      </c>
      <c r="CA272" s="431">
        <f>'Fiche info Avenant 2'!$BR$11</f>
        <v>0</v>
      </c>
      <c r="CB272" s="431">
        <f>'Fiche info Avenant 2'!$BS$11</f>
        <v>0</v>
      </c>
      <c r="CC272" s="431">
        <f>'Fiche info Avenant 2'!$BT$11</f>
        <v>0</v>
      </c>
      <c r="CD272" s="431">
        <f>'Fiche info Avenant 2'!$BU$11</f>
        <v>0</v>
      </c>
      <c r="CE272" s="431">
        <f>'Fiche info Avenant 2'!$BV$11</f>
        <v>0</v>
      </c>
      <c r="CF272" s="431">
        <f>'Fiche info Avenant 2'!$BW$11</f>
        <v>0</v>
      </c>
      <c r="ED272" s="16" t="str">
        <f t="shared" si="68"/>
        <v>Fiche info Avenant 2G</v>
      </c>
      <c r="EE272" s="16" t="str">
        <f t="shared" si="70"/>
        <v>Fiche info Avenant 2</v>
      </c>
      <c r="EF272" s="16" t="str">
        <f t="shared" si="71"/>
        <v>G</v>
      </c>
      <c r="EG272" s="16">
        <f t="shared" si="72"/>
        <v>5</v>
      </c>
      <c r="EH272" s="16" t="str">
        <f t="shared" si="73"/>
        <v>Vendredi</v>
      </c>
      <c r="EI272" s="16" t="str">
        <f t="shared" si="74"/>
        <v/>
      </c>
      <c r="FB272" s="16" t="str">
        <f t="shared" si="77"/>
        <v/>
      </c>
      <c r="FC272" s="16" t="str">
        <f t="shared" si="78"/>
        <v/>
      </c>
      <c r="FD272" s="30">
        <f t="shared" si="69"/>
        <v>44317</v>
      </c>
      <c r="FE272" s="30" t="str">
        <f>+IFERROR(VLOOKUP(FD272,BDD,79,FALSE),"")</f>
        <v/>
      </c>
      <c r="FF272" s="30" t="str">
        <f>IFERROR(+VLOOKUP(FD272,BDD,80,FALSE),"")</f>
        <v/>
      </c>
      <c r="FG272" s="30" t="str">
        <f>+IFERROR(VLOOKUP(FD272,BDD,81,FALSE),"")</f>
        <v/>
      </c>
      <c r="FH272" s="30" t="str">
        <f>+IFERROR(VLOOKUP(FD272,BDD,82,FALSE),"")</f>
        <v/>
      </c>
      <c r="FW272" s="16" t="str">
        <f>Septembre!GB41</f>
        <v>392026</v>
      </c>
      <c r="FX272" s="16">
        <f>Septembre!GC41</f>
        <v>0</v>
      </c>
      <c r="HI272" s="85">
        <f>+Septembre!AB42</f>
        <v>46288</v>
      </c>
      <c r="HJ272" s="27" t="str">
        <f>+Septembre!AD42</f>
        <v/>
      </c>
      <c r="HK272" s="16">
        <f t="shared" si="79"/>
        <v>0</v>
      </c>
      <c r="HL272" s="16" t="str">
        <f>IF(AND(HI272&gt;=DATE(Identification!$B$60,5,1),HI272&lt;=DATE(Identification!$B$60,10,31),SUM(HK272:HK286)=12),"OUI","")</f>
        <v/>
      </c>
    </row>
    <row r="273" spans="1:220" x14ac:dyDescent="0.2">
      <c r="A273" s="16" t="str">
        <f t="shared" si="67"/>
        <v>Fiche info Avenant 2G6</v>
      </c>
      <c r="B273" s="16" t="str">
        <f t="shared" si="66"/>
        <v>Fiche info Avenant 2</v>
      </c>
      <c r="C273" s="27" t="s">
        <v>236</v>
      </c>
      <c r="D273" s="27">
        <v>6</v>
      </c>
      <c r="E273" s="16" t="s">
        <v>184</v>
      </c>
      <c r="F273" s="34" t="str">
        <f>+IF('Fiche info Avenant 2'!$BY$12=0,"",'Fiche info Avenant 2'!$BY$12)</f>
        <v/>
      </c>
      <c r="G273" s="16">
        <f t="shared" si="75"/>
        <v>0</v>
      </c>
      <c r="BX273" s="16" t="str">
        <f t="shared" si="76"/>
        <v>Fiche info Avenant 2G6</v>
      </c>
      <c r="BY273" s="431">
        <f>'Fiche info Avenant 2'!$BP$12</f>
        <v>0</v>
      </c>
      <c r="BZ273" s="431">
        <f>'Fiche info Avenant 2'!$BQ$12</f>
        <v>0</v>
      </c>
      <c r="CA273" s="431">
        <f>'Fiche info Avenant 2'!$BR$12</f>
        <v>0</v>
      </c>
      <c r="CB273" s="431">
        <f>'Fiche info Avenant 2'!$BS$12</f>
        <v>0</v>
      </c>
      <c r="CC273" s="431">
        <f>'Fiche info Avenant 2'!$BT$12</f>
        <v>0</v>
      </c>
      <c r="CD273" s="431">
        <f>'Fiche info Avenant 2'!$BU$12</f>
        <v>0</v>
      </c>
      <c r="CE273" s="431">
        <f>'Fiche info Avenant 2'!$BV$12</f>
        <v>0</v>
      </c>
      <c r="CF273" s="431">
        <f>'Fiche info Avenant 2'!$BW$12</f>
        <v>0</v>
      </c>
      <c r="ED273" s="16" t="str">
        <f t="shared" si="68"/>
        <v>Fiche info Avenant 2G</v>
      </c>
      <c r="EE273" s="16" t="str">
        <f t="shared" si="70"/>
        <v>Fiche info Avenant 2</v>
      </c>
      <c r="EF273" s="16" t="str">
        <f t="shared" si="71"/>
        <v>G</v>
      </c>
      <c r="EG273" s="16">
        <f t="shared" si="72"/>
        <v>6</v>
      </c>
      <c r="EH273" s="16" t="str">
        <f t="shared" si="73"/>
        <v>Samedi</v>
      </c>
      <c r="EI273" s="16" t="str">
        <f t="shared" si="74"/>
        <v/>
      </c>
      <c r="FB273" s="16" t="str">
        <f t="shared" si="77"/>
        <v/>
      </c>
      <c r="FC273" s="16" t="str">
        <f t="shared" si="78"/>
        <v/>
      </c>
      <c r="FD273" s="30">
        <f t="shared" si="69"/>
        <v>44317</v>
      </c>
      <c r="FE273" s="30" t="str">
        <f>+IFERROR(VLOOKUP(FD273,BDD,83,FALSE),"")</f>
        <v/>
      </c>
      <c r="FF273" s="30" t="str">
        <f>+IFERROR(VLOOKUP(FD273,BDD,84,FALSE),"")</f>
        <v/>
      </c>
      <c r="FG273" s="30" t="str">
        <f>+IFERROR(VLOOKUP(FD273,BDD,85,FALSE),"")</f>
        <v/>
      </c>
      <c r="FH273" s="30" t="str">
        <f>+IFERROR(VLOOKUP(FD273,BDD,86,FALSE),"")</f>
        <v/>
      </c>
      <c r="FW273" s="16" t="str">
        <f>Septembre!GB42</f>
        <v>392026</v>
      </c>
      <c r="FX273" s="16">
        <f>Septembre!GC42</f>
        <v>0</v>
      </c>
      <c r="HI273" s="85">
        <f>+Septembre!AB43</f>
        <v>46289</v>
      </c>
      <c r="HJ273" s="27" t="str">
        <f>+Septembre!AD43</f>
        <v/>
      </c>
      <c r="HK273" s="16">
        <f t="shared" si="79"/>
        <v>0</v>
      </c>
      <c r="HL273" s="16" t="str">
        <f>IF(AND(HI273&gt;=DATE(Identification!$B$60,5,1),HI273&lt;=DATE(Identification!$B$60,10,31),SUM(HK273:HK287)=12),"OUI","")</f>
        <v/>
      </c>
    </row>
    <row r="274" spans="1:220" x14ac:dyDescent="0.2">
      <c r="A274" s="16" t="str">
        <f t="shared" si="67"/>
        <v>Fiche info Avenant 2G7</v>
      </c>
      <c r="B274" s="16" t="str">
        <f t="shared" si="66"/>
        <v>Fiche info Avenant 2</v>
      </c>
      <c r="C274" s="27" t="s">
        <v>236</v>
      </c>
      <c r="D274" s="27">
        <v>7</v>
      </c>
      <c r="E274" s="16" t="s">
        <v>185</v>
      </c>
      <c r="F274" s="34" t="str">
        <f>+IF('Fiche info Avenant 2'!$BY$13=0,"",'Fiche info Avenant 2'!$BY$13)</f>
        <v/>
      </c>
      <c r="G274" s="16">
        <f t="shared" si="75"/>
        <v>0</v>
      </c>
      <c r="BX274" s="16" t="str">
        <f t="shared" si="76"/>
        <v>Fiche info Avenant 2G7</v>
      </c>
      <c r="BY274" s="431">
        <f>'Fiche info Avenant 2'!$BP$13</f>
        <v>0</v>
      </c>
      <c r="BZ274" s="431">
        <f>'Fiche info Avenant 2'!$BQ$13</f>
        <v>0</v>
      </c>
      <c r="CA274" s="431">
        <f>'Fiche info Avenant 2'!$BR$13</f>
        <v>0</v>
      </c>
      <c r="CB274" s="431">
        <f>'Fiche info Avenant 2'!$BS$13</f>
        <v>0</v>
      </c>
      <c r="CC274" s="431">
        <f>'Fiche info Avenant 2'!$BT$13</f>
        <v>0</v>
      </c>
      <c r="CD274" s="431">
        <f>'Fiche info Avenant 2'!$BU$13</f>
        <v>0</v>
      </c>
      <c r="CE274" s="431">
        <f>'Fiche info Avenant 2'!$BV$13</f>
        <v>0</v>
      </c>
      <c r="CF274" s="431">
        <f>'Fiche info Avenant 2'!$BW$13</f>
        <v>0</v>
      </c>
      <c r="ED274" s="16" t="str">
        <f t="shared" si="68"/>
        <v>Fiche info Avenant 2G</v>
      </c>
      <c r="EE274" s="16" t="str">
        <f t="shared" si="70"/>
        <v>Fiche info Avenant 2</v>
      </c>
      <c r="EF274" s="16" t="str">
        <f t="shared" si="71"/>
        <v>G</v>
      </c>
      <c r="EG274" s="16">
        <f t="shared" si="72"/>
        <v>7</v>
      </c>
      <c r="EH274" s="16" t="str">
        <f t="shared" si="73"/>
        <v>Dimanche</v>
      </c>
      <c r="EI274" s="16" t="str">
        <f t="shared" si="74"/>
        <v/>
      </c>
      <c r="FB274" s="16" t="str">
        <f t="shared" si="77"/>
        <v/>
      </c>
      <c r="FC274" s="16" t="str">
        <f t="shared" si="78"/>
        <v/>
      </c>
      <c r="FD274" s="30">
        <f t="shared" si="69"/>
        <v>44287</v>
      </c>
      <c r="FE274" s="30" t="str">
        <f>+IFERROR(VLOOKUP(FD274,BDD,71,FALSE),"")</f>
        <v/>
      </c>
      <c r="FF274" s="30" t="str">
        <f>IFERROR(+VLOOKUP(FD274,BDD,72,FALSE),"")</f>
        <v/>
      </c>
      <c r="FG274" s="30" t="str">
        <f>+IFERROR(VLOOKUP(FD274,BDD,73,FALSE),"")</f>
        <v/>
      </c>
      <c r="FH274" s="30" t="str">
        <f>+IFERROR(VLOOKUP(FD274,BDD,74,FALSE),"")</f>
        <v/>
      </c>
      <c r="FW274" s="16" t="str">
        <f>Septembre!GB43</f>
        <v>392026</v>
      </c>
      <c r="FX274" s="16">
        <f>Septembre!GC43</f>
        <v>0</v>
      </c>
      <c r="HI274" s="85">
        <f>+Septembre!AB44</f>
        <v>46290</v>
      </c>
      <c r="HJ274" s="27" t="str">
        <f>+Septembre!AD44</f>
        <v/>
      </c>
      <c r="HK274" s="16">
        <f t="shared" si="79"/>
        <v>0</v>
      </c>
      <c r="HL274" s="16" t="str">
        <f>IF(AND(HI274&gt;=DATE(Identification!$B$60,5,1),HI274&lt;=DATE(Identification!$B$60,10,31),SUM(HK274:HK288)=12),"OUI","")</f>
        <v/>
      </c>
    </row>
    <row r="275" spans="1:220" x14ac:dyDescent="0.2">
      <c r="A275" s="16" t="str">
        <f t="shared" si="67"/>
        <v>Fiche info Avenant 2H1</v>
      </c>
      <c r="B275" s="16" t="str">
        <f t="shared" si="66"/>
        <v>Fiche info Avenant 2</v>
      </c>
      <c r="C275" s="27" t="s">
        <v>237</v>
      </c>
      <c r="D275" s="27">
        <v>1</v>
      </c>
      <c r="E275" s="16" t="s">
        <v>17</v>
      </c>
      <c r="F275" s="34" t="str">
        <f>+IF('Fiche info Avenant 2'!$CJ$7=0,"",'Fiche info Avenant 2'!$CJ$7)</f>
        <v/>
      </c>
      <c r="G275" s="16">
        <f t="shared" si="75"/>
        <v>0</v>
      </c>
      <c r="BX275" s="16" t="str">
        <f t="shared" si="76"/>
        <v>Fiche info Avenant 2H1</v>
      </c>
      <c r="BY275" s="431">
        <f>'Fiche info Avenant 2'!$CA$7</f>
        <v>0</v>
      </c>
      <c r="BZ275" s="431">
        <f>'Fiche info Avenant 2'!$CB$7</f>
        <v>0</v>
      </c>
      <c r="CA275" s="431">
        <f>'Fiche info Avenant 2'!$CC$7</f>
        <v>0</v>
      </c>
      <c r="CB275" s="431">
        <f>'Fiche info Avenant 2'!$CD$7</f>
        <v>0</v>
      </c>
      <c r="CC275" s="431">
        <f>'Fiche info Avenant 2'!$CE$7</f>
        <v>0</v>
      </c>
      <c r="CD275" s="431">
        <f>'Fiche info Avenant 2'!$CF$7</f>
        <v>0</v>
      </c>
      <c r="CE275" s="431">
        <f>'Fiche info Avenant 2'!$CG$7</f>
        <v>0</v>
      </c>
      <c r="CF275" s="431">
        <f>'Fiche info Avenant 2'!$CH$7</f>
        <v>0</v>
      </c>
      <c r="ED275" s="16" t="str">
        <f t="shared" si="68"/>
        <v>Fiche info Avenant 2H</v>
      </c>
      <c r="EE275" s="16" t="str">
        <f t="shared" si="70"/>
        <v>Fiche info Avenant 2</v>
      </c>
      <c r="EF275" s="16" t="str">
        <f t="shared" si="71"/>
        <v>H</v>
      </c>
      <c r="EG275" s="16">
        <f t="shared" si="72"/>
        <v>1</v>
      </c>
      <c r="EH275" s="16" t="str">
        <f t="shared" si="73"/>
        <v>Lundi</v>
      </c>
      <c r="EI275" s="16" t="str">
        <f t="shared" si="74"/>
        <v/>
      </c>
      <c r="FB275" s="16" t="str">
        <f t="shared" si="77"/>
        <v/>
      </c>
      <c r="FC275" s="16" t="str">
        <f t="shared" si="78"/>
        <v/>
      </c>
      <c r="FD275" s="30">
        <f t="shared" si="69"/>
        <v>44287</v>
      </c>
      <c r="FE275" s="30" t="str">
        <f>+IFERROR(VLOOKUP(FD275,BDD,75,FALSE),"")</f>
        <v/>
      </c>
      <c r="FF275" s="30" t="str">
        <f>+IFERROR(VLOOKUP(FD275,BDD,76,FALSE),"")</f>
        <v/>
      </c>
      <c r="FG275" s="30" t="str">
        <f>IFERROR(+VLOOKUP(FD275,BDD,77,FALSE),"")</f>
        <v/>
      </c>
      <c r="FH275" s="30" t="str">
        <f>+IFERROR(VLOOKUP(FD275,BDD,78,FALSE),"")</f>
        <v/>
      </c>
      <c r="FW275" s="16" t="str">
        <f>Septembre!GB44</f>
        <v>392026</v>
      </c>
      <c r="FX275" s="16">
        <f>Septembre!GC44</f>
        <v>0</v>
      </c>
      <c r="HI275" s="85">
        <f>+Septembre!AB45</f>
        <v>46291</v>
      </c>
      <c r="HJ275" s="27" t="str">
        <f>+Septembre!AD45</f>
        <v/>
      </c>
      <c r="HK275" s="16">
        <f t="shared" si="79"/>
        <v>0</v>
      </c>
      <c r="HL275" s="16" t="str">
        <f>IF(AND(HI275&gt;=DATE(Identification!$B$60,5,1),HI275&lt;=DATE(Identification!$B$60,10,31),SUM(HK275:HK289)=12),"OUI","")</f>
        <v/>
      </c>
    </row>
    <row r="276" spans="1:220" x14ac:dyDescent="0.2">
      <c r="A276" s="16" t="str">
        <f t="shared" si="67"/>
        <v>Fiche info Avenant 2H2</v>
      </c>
      <c r="B276" s="16" t="str">
        <f t="shared" si="66"/>
        <v>Fiche info Avenant 2</v>
      </c>
      <c r="C276" s="27" t="s">
        <v>237</v>
      </c>
      <c r="D276" s="27">
        <v>2</v>
      </c>
      <c r="E276" s="16" t="s">
        <v>18</v>
      </c>
      <c r="F276" s="34" t="str">
        <f>+IF('Fiche info Avenant 2'!$CJ$8=0,"",'Fiche info Avenant 2'!$CJ$8)</f>
        <v/>
      </c>
      <c r="G276" s="16">
        <f t="shared" si="75"/>
        <v>0</v>
      </c>
      <c r="BX276" s="16" t="str">
        <f t="shared" si="76"/>
        <v>Fiche info Avenant 2H2</v>
      </c>
      <c r="BY276" s="431">
        <f>'Fiche info Avenant 2'!$CA$8</f>
        <v>0</v>
      </c>
      <c r="BZ276" s="431">
        <f>'Fiche info Avenant 2'!$CB$8</f>
        <v>0</v>
      </c>
      <c r="CA276" s="431">
        <f>'Fiche info Avenant 2'!$CC$8</f>
        <v>0</v>
      </c>
      <c r="CB276" s="431">
        <f>'Fiche info Avenant 2'!$CD$8</f>
        <v>0</v>
      </c>
      <c r="CC276" s="431">
        <f>'Fiche info Avenant 2'!$CE$8</f>
        <v>0</v>
      </c>
      <c r="CD276" s="431">
        <f>'Fiche info Avenant 2'!$CF$8</f>
        <v>0</v>
      </c>
      <c r="CE276" s="431">
        <f>'Fiche info Avenant 2'!$CG$8</f>
        <v>0</v>
      </c>
      <c r="CF276" s="431">
        <f>'Fiche info Avenant 2'!$CH$8</f>
        <v>0</v>
      </c>
      <c r="ED276" s="16" t="str">
        <f t="shared" si="68"/>
        <v>Fiche info Avenant 2H</v>
      </c>
      <c r="EE276" s="16" t="str">
        <f t="shared" si="70"/>
        <v>Fiche info Avenant 2</v>
      </c>
      <c r="EF276" s="16" t="str">
        <f t="shared" si="71"/>
        <v>H</v>
      </c>
      <c r="EG276" s="16">
        <f t="shared" si="72"/>
        <v>2</v>
      </c>
      <c r="EH276" s="16" t="str">
        <f t="shared" si="73"/>
        <v>Mardi</v>
      </c>
      <c r="EI276" s="16" t="str">
        <f t="shared" si="74"/>
        <v/>
      </c>
      <c r="FB276" s="16" t="str">
        <f t="shared" si="77"/>
        <v/>
      </c>
      <c r="FC276" s="16" t="str">
        <f t="shared" si="78"/>
        <v/>
      </c>
      <c r="FD276" s="30">
        <f t="shared" si="69"/>
        <v>44287</v>
      </c>
      <c r="FE276" s="30" t="str">
        <f>+IFERROR(VLOOKUP(FD276,BDD,79,FALSE),"")</f>
        <v/>
      </c>
      <c r="FF276" s="30" t="str">
        <f>IFERROR(+VLOOKUP(FD276,BDD,80,FALSE),"")</f>
        <v/>
      </c>
      <c r="FG276" s="30" t="str">
        <f>+IFERROR(VLOOKUP(FD276,BDD,81,FALSE),"")</f>
        <v/>
      </c>
      <c r="FH276" s="30" t="str">
        <f>+IFERROR(VLOOKUP(FD276,BDD,82,FALSE),"")</f>
        <v/>
      </c>
      <c r="FW276" s="16" t="str">
        <f>Septembre!GB45</f>
        <v>392026</v>
      </c>
      <c r="FX276" s="16">
        <f>Septembre!GC45</f>
        <v>0</v>
      </c>
      <c r="HI276" s="85">
        <f>+Septembre!AB46</f>
        <v>46292</v>
      </c>
      <c r="HJ276" s="27" t="str">
        <f>+Septembre!AD46</f>
        <v/>
      </c>
      <c r="HK276" s="16">
        <f t="shared" si="79"/>
        <v>0</v>
      </c>
      <c r="HL276" s="16" t="str">
        <f>IF(AND(HI276&gt;=DATE(Identification!$B$60,5,1),HI276&lt;=DATE(Identification!$B$60,10,31),SUM(HK276:HK290)=12),"OUI","")</f>
        <v/>
      </c>
    </row>
    <row r="277" spans="1:220" x14ac:dyDescent="0.2">
      <c r="A277" s="16" t="str">
        <f t="shared" si="67"/>
        <v>Fiche info Avenant 2H3</v>
      </c>
      <c r="B277" s="16" t="str">
        <f t="shared" si="66"/>
        <v>Fiche info Avenant 2</v>
      </c>
      <c r="C277" s="27" t="s">
        <v>237</v>
      </c>
      <c r="D277" s="27">
        <v>3</v>
      </c>
      <c r="E277" s="16" t="s">
        <v>19</v>
      </c>
      <c r="F277" s="34" t="str">
        <f>+IF('Fiche info Avenant 2'!$CJ$9=0,"",'Fiche info Avenant 2'!$CJ$9)</f>
        <v/>
      </c>
      <c r="G277" s="16">
        <f t="shared" si="75"/>
        <v>0</v>
      </c>
      <c r="BX277" s="16" t="str">
        <f t="shared" si="76"/>
        <v>Fiche info Avenant 2H3</v>
      </c>
      <c r="BY277" s="431">
        <f>'Fiche info Avenant 2'!$CA$9</f>
        <v>0</v>
      </c>
      <c r="BZ277" s="431">
        <f>'Fiche info Avenant 2'!$CB$9</f>
        <v>0</v>
      </c>
      <c r="CA277" s="431">
        <f>'Fiche info Avenant 2'!$CC$9</f>
        <v>0</v>
      </c>
      <c r="CB277" s="431">
        <f>'Fiche info Avenant 2'!$CD$9</f>
        <v>0</v>
      </c>
      <c r="CC277" s="431">
        <f>'Fiche info Avenant 2'!$CE$9</f>
        <v>0</v>
      </c>
      <c r="CD277" s="431">
        <f>'Fiche info Avenant 2'!$CF$9</f>
        <v>0</v>
      </c>
      <c r="CE277" s="431">
        <f>'Fiche info Avenant 2'!$CG$9</f>
        <v>0</v>
      </c>
      <c r="CF277" s="431">
        <f>'Fiche info Avenant 2'!$CH$9</f>
        <v>0</v>
      </c>
      <c r="ED277" s="16" t="str">
        <f t="shared" si="68"/>
        <v>Fiche info Avenant 2H</v>
      </c>
      <c r="EE277" s="16" t="str">
        <f t="shared" si="70"/>
        <v>Fiche info Avenant 2</v>
      </c>
      <c r="EF277" s="16" t="str">
        <f t="shared" si="71"/>
        <v>H</v>
      </c>
      <c r="EG277" s="16">
        <f t="shared" si="72"/>
        <v>3</v>
      </c>
      <c r="EH277" s="16" t="str">
        <f t="shared" si="73"/>
        <v>Mercredi</v>
      </c>
      <c r="EI277" s="16" t="str">
        <f t="shared" si="74"/>
        <v/>
      </c>
      <c r="FB277" s="16" t="str">
        <f t="shared" si="77"/>
        <v/>
      </c>
      <c r="FC277" s="16" t="str">
        <f t="shared" si="78"/>
        <v/>
      </c>
      <c r="FD277" s="30">
        <f t="shared" si="69"/>
        <v>44287</v>
      </c>
      <c r="FE277" s="30" t="str">
        <f>+IFERROR(VLOOKUP(FD277,BDD,83,FALSE),"")</f>
        <v/>
      </c>
      <c r="FF277" s="30" t="str">
        <f>+IFERROR(VLOOKUP(FD277,BDD,84,FALSE),"")</f>
        <v/>
      </c>
      <c r="FG277" s="30" t="str">
        <f>+IFERROR(VLOOKUP(FD277,BDD,85,FALSE),"")</f>
        <v/>
      </c>
      <c r="FH277" s="30" t="str">
        <f>+IFERROR(VLOOKUP(FD277,BDD,86,FALSE),"")</f>
        <v/>
      </c>
      <c r="FW277" s="16" t="str">
        <f>Septembre!GB46</f>
        <v>392026</v>
      </c>
      <c r="FX277" s="16">
        <f>Septembre!GC46</f>
        <v>0</v>
      </c>
      <c r="HI277" s="85">
        <f>+Septembre!AB47</f>
        <v>46293</v>
      </c>
      <c r="HJ277" s="27" t="str">
        <f>+Septembre!AD47</f>
        <v/>
      </c>
      <c r="HK277" s="16">
        <f t="shared" si="79"/>
        <v>0</v>
      </c>
      <c r="HL277" s="16" t="str">
        <f>IF(AND(HI277&gt;=DATE(Identification!$B$60,5,1),HI277&lt;=DATE(Identification!$B$60,10,31),SUM(HK277:HK291)=12),"OUI","")</f>
        <v/>
      </c>
    </row>
    <row r="278" spans="1:220" x14ac:dyDescent="0.2">
      <c r="A278" s="16" t="str">
        <f t="shared" si="67"/>
        <v>Fiche info Avenant 2H4</v>
      </c>
      <c r="B278" s="16" t="str">
        <f t="shared" si="66"/>
        <v>Fiche info Avenant 2</v>
      </c>
      <c r="C278" s="27" t="s">
        <v>237</v>
      </c>
      <c r="D278" s="27">
        <v>4</v>
      </c>
      <c r="E278" s="16" t="s">
        <v>20</v>
      </c>
      <c r="F278" s="34" t="str">
        <f>+IF('Fiche info Avenant 2'!$CJ$10=0,"",'Fiche info Avenant 2'!$CJ$10)</f>
        <v/>
      </c>
      <c r="G278" s="16">
        <f t="shared" si="75"/>
        <v>0</v>
      </c>
      <c r="BX278" s="16" t="str">
        <f t="shared" si="76"/>
        <v>Fiche info Avenant 2H4</v>
      </c>
      <c r="BY278" s="431">
        <f>'Fiche info Avenant 2'!$CA$10</f>
        <v>0</v>
      </c>
      <c r="BZ278" s="431">
        <f>'Fiche info Avenant 2'!$CB$10</f>
        <v>0</v>
      </c>
      <c r="CA278" s="431">
        <f>'Fiche info Avenant 2'!$CC$10</f>
        <v>0</v>
      </c>
      <c r="CB278" s="431">
        <f>'Fiche info Avenant 2'!$CD$10</f>
        <v>0</v>
      </c>
      <c r="CC278" s="431">
        <f>'Fiche info Avenant 2'!$CE$10</f>
        <v>0</v>
      </c>
      <c r="CD278" s="431">
        <f>'Fiche info Avenant 2'!$CF$10</f>
        <v>0</v>
      </c>
      <c r="CE278" s="431">
        <f>'Fiche info Avenant 2'!$CG$10</f>
        <v>0</v>
      </c>
      <c r="CF278" s="431">
        <f>'Fiche info Avenant 2'!$CH$10</f>
        <v>0</v>
      </c>
      <c r="ED278" s="16" t="str">
        <f t="shared" si="68"/>
        <v>Fiche info Avenant 2H</v>
      </c>
      <c r="EE278" s="16" t="str">
        <f t="shared" si="70"/>
        <v>Fiche info Avenant 2</v>
      </c>
      <c r="EF278" s="16" t="str">
        <f t="shared" si="71"/>
        <v>H</v>
      </c>
      <c r="EG278" s="16">
        <f t="shared" si="72"/>
        <v>4</v>
      </c>
      <c r="EH278" s="16" t="str">
        <f t="shared" si="73"/>
        <v>Jeudi</v>
      </c>
      <c r="EI278" s="16" t="str">
        <f t="shared" si="74"/>
        <v/>
      </c>
      <c r="FB278" s="16" t="str">
        <f t="shared" si="77"/>
        <v/>
      </c>
      <c r="FC278" s="16" t="str">
        <f t="shared" si="78"/>
        <v/>
      </c>
      <c r="FD278" s="30">
        <f t="shared" si="69"/>
        <v>44256</v>
      </c>
      <c r="FE278" s="30" t="str">
        <f>+IFERROR(VLOOKUP(FD278,BDD,71,FALSE),"")</f>
        <v/>
      </c>
      <c r="FF278" s="30" t="str">
        <f>IFERROR(+VLOOKUP(FD278,BDD,72,FALSE),"")</f>
        <v/>
      </c>
      <c r="FG278" s="30" t="str">
        <f>+IFERROR(VLOOKUP(FD278,BDD,73,FALSE),"")</f>
        <v/>
      </c>
      <c r="FH278" s="30" t="str">
        <f>+IFERROR(VLOOKUP(FD278,BDD,74,FALSE),"")</f>
        <v/>
      </c>
      <c r="FW278" s="16" t="str">
        <f>Septembre!GB47</f>
        <v>402026</v>
      </c>
      <c r="FX278" s="16">
        <f>Septembre!GC47</f>
        <v>0</v>
      </c>
      <c r="HI278" s="85">
        <f>+Septembre!AB48</f>
        <v>46294</v>
      </c>
      <c r="HJ278" s="27" t="str">
        <f>+Septembre!AD48</f>
        <v/>
      </c>
      <c r="HK278" s="16">
        <f t="shared" si="79"/>
        <v>0</v>
      </c>
      <c r="HL278" s="16" t="str">
        <f>IF(AND(HI278&gt;=DATE(Identification!$B$60,5,1),HI278&lt;=DATE(Identification!$B$60,10,31),SUM(HK278:HK292)=12),"OUI","")</f>
        <v/>
      </c>
    </row>
    <row r="279" spans="1:220" x14ac:dyDescent="0.2">
      <c r="A279" s="16" t="str">
        <f t="shared" si="67"/>
        <v>Fiche info Avenant 2H5</v>
      </c>
      <c r="B279" s="16" t="str">
        <f t="shared" si="66"/>
        <v>Fiche info Avenant 2</v>
      </c>
      <c r="C279" s="27" t="s">
        <v>237</v>
      </c>
      <c r="D279" s="27">
        <v>5</v>
      </c>
      <c r="E279" s="16" t="s">
        <v>21</v>
      </c>
      <c r="F279" s="34" t="str">
        <f>+IF('Fiche info Avenant 2'!$CJ$11=0,"",'Fiche info Avenant 2'!$CJ$11)</f>
        <v/>
      </c>
      <c r="G279" s="16">
        <f t="shared" si="75"/>
        <v>0</v>
      </c>
      <c r="BX279" s="16" t="str">
        <f t="shared" si="76"/>
        <v>Fiche info Avenant 2H5</v>
      </c>
      <c r="BY279" s="431">
        <f>'Fiche info Avenant 2'!$CA$11</f>
        <v>0</v>
      </c>
      <c r="BZ279" s="431">
        <f>'Fiche info Avenant 2'!$CB$11</f>
        <v>0</v>
      </c>
      <c r="CA279" s="431">
        <f>'Fiche info Avenant 2'!$CC$11</f>
        <v>0</v>
      </c>
      <c r="CB279" s="431">
        <f>'Fiche info Avenant 2'!$CD$11</f>
        <v>0</v>
      </c>
      <c r="CC279" s="431">
        <f>'Fiche info Avenant 2'!$CE$11</f>
        <v>0</v>
      </c>
      <c r="CD279" s="431">
        <f>'Fiche info Avenant 2'!$CF$11</f>
        <v>0</v>
      </c>
      <c r="CE279" s="431">
        <f>'Fiche info Avenant 2'!$CG$11</f>
        <v>0</v>
      </c>
      <c r="CF279" s="431">
        <f>'Fiche info Avenant 2'!$CH$11</f>
        <v>0</v>
      </c>
      <c r="ED279" s="16" t="str">
        <f t="shared" si="68"/>
        <v>Fiche info Avenant 2H</v>
      </c>
      <c r="EE279" s="16" t="str">
        <f t="shared" si="70"/>
        <v>Fiche info Avenant 2</v>
      </c>
      <c r="EF279" s="16" t="str">
        <f t="shared" si="71"/>
        <v>H</v>
      </c>
      <c r="EG279" s="16">
        <f t="shared" si="72"/>
        <v>5</v>
      </c>
      <c r="EH279" s="16" t="str">
        <f t="shared" si="73"/>
        <v>Vendredi</v>
      </c>
      <c r="EI279" s="16" t="str">
        <f t="shared" si="74"/>
        <v/>
      </c>
      <c r="FB279" s="16" t="str">
        <f t="shared" si="77"/>
        <v/>
      </c>
      <c r="FC279" s="16" t="str">
        <f t="shared" si="78"/>
        <v/>
      </c>
      <c r="FD279" s="30">
        <f t="shared" si="69"/>
        <v>44256</v>
      </c>
      <c r="FE279" s="30" t="str">
        <f>+IFERROR(VLOOKUP(FD279,BDD,75,FALSE),"")</f>
        <v/>
      </c>
      <c r="FF279" s="30" t="str">
        <f>+IFERROR(VLOOKUP(FD279,BDD,76,FALSE),"")</f>
        <v/>
      </c>
      <c r="FG279" s="30" t="str">
        <f>IFERROR(+VLOOKUP(FD279,BDD,77,FALSE),"")</f>
        <v/>
      </c>
      <c r="FH279" s="30" t="str">
        <f>+IFERROR(VLOOKUP(FD279,BDD,78,FALSE),"")</f>
        <v/>
      </c>
      <c r="FW279" s="16" t="str">
        <f>Septembre!GB48</f>
        <v>402026</v>
      </c>
      <c r="FX279" s="16">
        <f>Septembre!GC48</f>
        <v>0</v>
      </c>
      <c r="HI279" s="85">
        <f>+Septembre!AB49</f>
        <v>46295</v>
      </c>
      <c r="HJ279" s="27" t="str">
        <f>+Septembre!AD49</f>
        <v/>
      </c>
      <c r="HK279" s="16">
        <f t="shared" si="79"/>
        <v>0</v>
      </c>
      <c r="HL279" s="16" t="str">
        <f>IF(AND(HI279&gt;=DATE(Identification!$B$60,5,1),HI279&lt;=DATE(Identification!$B$60,10,31),SUM(HK279:HK293)=12),"OUI","")</f>
        <v/>
      </c>
    </row>
    <row r="280" spans="1:220" x14ac:dyDescent="0.2">
      <c r="A280" s="16" t="str">
        <f t="shared" si="67"/>
        <v>Fiche info Avenant 2H6</v>
      </c>
      <c r="B280" s="16" t="str">
        <f t="shared" si="66"/>
        <v>Fiche info Avenant 2</v>
      </c>
      <c r="C280" s="27" t="s">
        <v>237</v>
      </c>
      <c r="D280" s="27">
        <v>6</v>
      </c>
      <c r="E280" s="16" t="s">
        <v>184</v>
      </c>
      <c r="F280" s="34" t="str">
        <f>+IF('Fiche info Avenant 2'!$CJ$12=0,"",'Fiche info Avenant 2'!$CJ$12)</f>
        <v/>
      </c>
      <c r="G280" s="16">
        <f t="shared" si="75"/>
        <v>0</v>
      </c>
      <c r="BX280" s="16" t="str">
        <f t="shared" si="76"/>
        <v>Fiche info Avenant 2H6</v>
      </c>
      <c r="BY280" s="431">
        <f>'Fiche info Avenant 2'!$CA$12</f>
        <v>0</v>
      </c>
      <c r="BZ280" s="431">
        <f>'Fiche info Avenant 2'!$CB$12</f>
        <v>0</v>
      </c>
      <c r="CA280" s="431">
        <f>'Fiche info Avenant 2'!$CC$12</f>
        <v>0</v>
      </c>
      <c r="CB280" s="431">
        <f>'Fiche info Avenant 2'!$CD$12</f>
        <v>0</v>
      </c>
      <c r="CC280" s="431">
        <f>'Fiche info Avenant 2'!$CE$12</f>
        <v>0</v>
      </c>
      <c r="CD280" s="431">
        <f>'Fiche info Avenant 2'!$CF$12</f>
        <v>0</v>
      </c>
      <c r="CE280" s="431">
        <f>'Fiche info Avenant 2'!$CG$12</f>
        <v>0</v>
      </c>
      <c r="CF280" s="431">
        <f>'Fiche info Avenant 2'!$CH$12</f>
        <v>0</v>
      </c>
      <c r="ED280" s="16" t="str">
        <f t="shared" si="68"/>
        <v>Fiche info Avenant 2H</v>
      </c>
      <c r="EE280" s="16" t="str">
        <f t="shared" si="70"/>
        <v>Fiche info Avenant 2</v>
      </c>
      <c r="EF280" s="16" t="str">
        <f t="shared" si="71"/>
        <v>H</v>
      </c>
      <c r="EG280" s="16">
        <f t="shared" si="72"/>
        <v>6</v>
      </c>
      <c r="EH280" s="16" t="str">
        <f t="shared" si="73"/>
        <v>Samedi</v>
      </c>
      <c r="EI280" s="16" t="str">
        <f t="shared" si="74"/>
        <v/>
      </c>
      <c r="FB280" s="16" t="str">
        <f t="shared" si="77"/>
        <v/>
      </c>
      <c r="FC280" s="16" t="str">
        <f t="shared" si="78"/>
        <v/>
      </c>
      <c r="FD280" s="30">
        <f t="shared" si="69"/>
        <v>44256</v>
      </c>
      <c r="FE280" s="30" t="str">
        <f>+IFERROR(VLOOKUP(FD280,BDD,79,FALSE),"")</f>
        <v/>
      </c>
      <c r="FF280" s="30" t="str">
        <f>IFERROR(+VLOOKUP(FD280,BDD,80,FALSE),"")</f>
        <v/>
      </c>
      <c r="FG280" s="30" t="str">
        <f>+IFERROR(VLOOKUP(FD280,BDD,81,FALSE),"")</f>
        <v/>
      </c>
      <c r="FH280" s="30" t="str">
        <f>+IFERROR(VLOOKUP(FD280,BDD,82,FALSE),"")</f>
        <v/>
      </c>
      <c r="FW280" s="16" t="str">
        <f>Septembre!GB49</f>
        <v>402026</v>
      </c>
      <c r="FX280" s="16">
        <f>Septembre!GC49</f>
        <v>0</v>
      </c>
      <c r="HI280" s="85" t="str">
        <f>+Septembre!AB50</f>
        <v/>
      </c>
      <c r="HJ280" s="27" t="str">
        <f>+Septembre!AD50</f>
        <v/>
      </c>
      <c r="HK280" s="16">
        <f t="shared" si="79"/>
        <v>0</v>
      </c>
      <c r="HL280" s="16" t="str">
        <f>IF(AND(HI280&gt;=DATE(Identification!$B$60,5,1),HI280&lt;=DATE(Identification!$B$60,10,31),SUM(HK280:HK294)=12),"OUI","")</f>
        <v/>
      </c>
    </row>
    <row r="281" spans="1:220" x14ac:dyDescent="0.2">
      <c r="A281" s="16" t="str">
        <f t="shared" si="67"/>
        <v>Fiche info Avenant 2H7</v>
      </c>
      <c r="B281" s="16" t="str">
        <f t="shared" si="66"/>
        <v>Fiche info Avenant 2</v>
      </c>
      <c r="C281" s="27" t="s">
        <v>237</v>
      </c>
      <c r="D281" s="27">
        <v>7</v>
      </c>
      <c r="E281" s="16" t="s">
        <v>185</v>
      </c>
      <c r="F281" s="34" t="str">
        <f>+IF('Fiche info'!$CJ$13=0,"",'Fiche info'!$CJ$13)</f>
        <v/>
      </c>
      <c r="G281" s="16">
        <f t="shared" si="75"/>
        <v>0</v>
      </c>
      <c r="BX281" s="16" t="str">
        <f t="shared" si="76"/>
        <v>Fiche info Avenant 2H7</v>
      </c>
      <c r="BY281" s="431">
        <f>'Fiche info Avenant 2'!$CA$13</f>
        <v>0</v>
      </c>
      <c r="BZ281" s="431">
        <f>'Fiche info Avenant 2'!$CB$13</f>
        <v>0</v>
      </c>
      <c r="CA281" s="431">
        <f>'Fiche info Avenant 2'!$CC$13</f>
        <v>0</v>
      </c>
      <c r="CB281" s="431">
        <f>'Fiche info Avenant 2'!$CD$13</f>
        <v>0</v>
      </c>
      <c r="CC281" s="431">
        <f>'Fiche info Avenant 2'!$CE$13</f>
        <v>0</v>
      </c>
      <c r="CD281" s="431">
        <f>'Fiche info Avenant 2'!$CF$13</f>
        <v>0</v>
      </c>
      <c r="CE281" s="431">
        <f>'Fiche info Avenant 2'!$CG$13</f>
        <v>0</v>
      </c>
      <c r="CF281" s="431">
        <f>'Fiche info Avenant 2'!$CH$13</f>
        <v>0</v>
      </c>
      <c r="ED281" s="16" t="str">
        <f t="shared" si="68"/>
        <v>Fiche info Avenant 2H</v>
      </c>
      <c r="EE281" s="16" t="str">
        <f t="shared" si="70"/>
        <v>Fiche info Avenant 2</v>
      </c>
      <c r="EF281" s="16" t="str">
        <f t="shared" si="71"/>
        <v>H</v>
      </c>
      <c r="EG281" s="16">
        <f t="shared" si="72"/>
        <v>7</v>
      </c>
      <c r="EH281" s="16" t="str">
        <f t="shared" si="73"/>
        <v>Dimanche</v>
      </c>
      <c r="EI281" s="16" t="str">
        <f t="shared" si="74"/>
        <v/>
      </c>
      <c r="FB281" s="16" t="str">
        <f t="shared" si="77"/>
        <v/>
      </c>
      <c r="FC281" s="16" t="str">
        <f t="shared" si="78"/>
        <v/>
      </c>
      <c r="FD281" s="30">
        <f t="shared" si="69"/>
        <v>44256</v>
      </c>
      <c r="FE281" s="30" t="str">
        <f>+IFERROR(VLOOKUP(FD281,BDD,83,FALSE),"")</f>
        <v/>
      </c>
      <c r="FF281" s="30" t="str">
        <f>+IFERROR(VLOOKUP(FD281,BDD,84,FALSE),"")</f>
        <v/>
      </c>
      <c r="FG281" s="30" t="str">
        <f>+IFERROR(VLOOKUP(FD281,BDD,85,FALSE),"")</f>
        <v/>
      </c>
      <c r="FH281" s="30" t="str">
        <f>+IFERROR(VLOOKUP(FD281,BDD,86,FALSE),"")</f>
        <v/>
      </c>
      <c r="FW281" s="16" t="str">
        <f>Septembre!GB50</f>
        <v>2026</v>
      </c>
      <c r="FX281" s="16">
        <f>Septembre!GC50</f>
        <v>0</v>
      </c>
      <c r="HI281" s="85">
        <f>+Octobre!AB20</f>
        <v>46296</v>
      </c>
      <c r="HJ281" s="27" t="str">
        <f>+Octobre!AD20</f>
        <v/>
      </c>
      <c r="HK281" s="16">
        <f t="shared" si="79"/>
        <v>0</v>
      </c>
      <c r="HL281" s="16" t="str">
        <f>IF(AND(HI281&gt;=DATE(Identification!$B$60,5,1),HI281&lt;=DATE(Identification!$B$60,10,31),SUM(HK281:HK295)=12),"OUI","")</f>
        <v/>
      </c>
    </row>
    <row r="282" spans="1:220" x14ac:dyDescent="0.2">
      <c r="A282" s="16" t="str">
        <f t="shared" si="67"/>
        <v>Fiche info Avenant 3A1</v>
      </c>
      <c r="B282" s="16" t="str">
        <f>+$P$7</f>
        <v>Fiche info Avenant 3</v>
      </c>
      <c r="C282" s="27" t="s">
        <v>226</v>
      </c>
      <c r="D282" s="27">
        <v>1</v>
      </c>
      <c r="E282" s="16" t="s">
        <v>17</v>
      </c>
      <c r="F282" s="34" t="str">
        <f>IF('Fiche info Avenant 3'!$K$7=0,"",'Fiche info Avenant 3'!$K$7)</f>
        <v/>
      </c>
      <c r="G282" s="16">
        <f t="shared" si="75"/>
        <v>0</v>
      </c>
      <c r="BX282" s="16" t="str">
        <f t="shared" si="76"/>
        <v>Fiche info Avenant 3A1</v>
      </c>
      <c r="BY282" s="431">
        <f>'Fiche info Avenant 3'!$B$7</f>
        <v>0</v>
      </c>
      <c r="BZ282" s="431">
        <f>'Fiche info Avenant 3'!$C$7</f>
        <v>0</v>
      </c>
      <c r="CA282" s="431">
        <f>'Fiche info Avenant 3'!$D$7</f>
        <v>0</v>
      </c>
      <c r="CB282" s="431">
        <f>'Fiche info Avenant 3'!$E$7</f>
        <v>0</v>
      </c>
      <c r="CC282" s="431">
        <f>'Fiche info Avenant 3'!$F$7</f>
        <v>0</v>
      </c>
      <c r="CD282" s="431">
        <f>'Fiche info Avenant 3'!$G$7</f>
        <v>0</v>
      </c>
      <c r="CE282" s="431">
        <f>'Fiche info Avenant 3'!$H$7</f>
        <v>0</v>
      </c>
      <c r="CF282" s="431">
        <f>'Fiche info Avenant 3'!$I$7</f>
        <v>0</v>
      </c>
      <c r="ED282" s="16" t="str">
        <f t="shared" si="68"/>
        <v>Fiche info Avenant 3A</v>
      </c>
      <c r="EE282" s="16" t="str">
        <f t="shared" si="70"/>
        <v>Fiche info Avenant 3</v>
      </c>
      <c r="EF282" s="16" t="str">
        <f t="shared" si="71"/>
        <v>A</v>
      </c>
      <c r="EG282" s="16">
        <f t="shared" si="72"/>
        <v>1</v>
      </c>
      <c r="EH282" s="16" t="str">
        <f t="shared" si="73"/>
        <v>Lundi</v>
      </c>
      <c r="EI282" s="16" t="str">
        <f t="shared" si="74"/>
        <v/>
      </c>
      <c r="FB282" s="16" t="str">
        <f t="shared" si="77"/>
        <v/>
      </c>
      <c r="FC282" s="16" t="str">
        <f t="shared" si="78"/>
        <v/>
      </c>
      <c r="FD282" s="30">
        <f t="shared" si="69"/>
        <v>44228</v>
      </c>
      <c r="FE282" s="30" t="str">
        <f>+IFERROR(VLOOKUP(FD282,BDD,71,FALSE),"")</f>
        <v/>
      </c>
      <c r="FF282" s="30" t="str">
        <f>IFERROR(+VLOOKUP(FD282,BDD,72,FALSE),"")</f>
        <v/>
      </c>
      <c r="FG282" s="30" t="str">
        <f>+IFERROR(VLOOKUP(FD282,BDD,73,FALSE),"")</f>
        <v/>
      </c>
      <c r="FH282" s="30" t="str">
        <f>+IFERROR(VLOOKUP(FD282,BDD,74,FALSE),"")</f>
        <v/>
      </c>
      <c r="FW282" s="16" t="str">
        <f>Octobre!GB20</f>
        <v>402026</v>
      </c>
      <c r="FX282" s="16">
        <f>Octobre!GC20</f>
        <v>0</v>
      </c>
      <c r="HI282" s="85">
        <f>+Octobre!AB21</f>
        <v>46297</v>
      </c>
      <c r="HJ282" s="27" t="str">
        <f>+Octobre!AD21</f>
        <v/>
      </c>
      <c r="HK282" s="16">
        <f t="shared" si="79"/>
        <v>0</v>
      </c>
      <c r="HL282" s="16" t="str">
        <f>IF(AND(HI282&gt;=DATE(Identification!$B$60,5,1),HI282&lt;=DATE(Identification!$B$60,10,31),SUM(HK282:HK296)=12),"OUI","")</f>
        <v/>
      </c>
    </row>
    <row r="283" spans="1:220" x14ac:dyDescent="0.2">
      <c r="A283" s="16" t="str">
        <f t="shared" si="67"/>
        <v>Fiche info Avenant 3A2</v>
      </c>
      <c r="B283" s="16" t="str">
        <f t="shared" ref="B283:B337" si="80">+$P$7</f>
        <v>Fiche info Avenant 3</v>
      </c>
      <c r="C283" s="27" t="s">
        <v>226</v>
      </c>
      <c r="D283" s="27">
        <v>2</v>
      </c>
      <c r="E283" s="16" t="s">
        <v>18</v>
      </c>
      <c r="F283" s="34" t="str">
        <f>IF('Fiche info Avenant 3'!$K$8=0,"",'Fiche info Avenant 3'!$K$8)</f>
        <v/>
      </c>
      <c r="G283" s="16">
        <f t="shared" si="75"/>
        <v>0</v>
      </c>
      <c r="BX283" s="16" t="str">
        <f t="shared" si="76"/>
        <v>Fiche info Avenant 3A2</v>
      </c>
      <c r="BY283" s="431">
        <f>'Fiche info Avenant 3'!$B$8</f>
        <v>0</v>
      </c>
      <c r="BZ283" s="431">
        <f>'Fiche info Avenant 3'!$C$8</f>
        <v>0</v>
      </c>
      <c r="CA283" s="431">
        <f>'Fiche info Avenant 3'!$D$8</f>
        <v>0</v>
      </c>
      <c r="CB283" s="431">
        <f>'Fiche info Avenant 3'!$E$8</f>
        <v>0</v>
      </c>
      <c r="CC283" s="431">
        <f>'Fiche info Avenant 3'!$F$8</f>
        <v>0</v>
      </c>
      <c r="CD283" s="431">
        <f>'Fiche info Avenant 3'!$G$8</f>
        <v>0</v>
      </c>
      <c r="CE283" s="431">
        <f>'Fiche info Avenant 3'!$H$8</f>
        <v>0</v>
      </c>
      <c r="CF283" s="431">
        <f>'Fiche info Avenant 3'!$I$8</f>
        <v>0</v>
      </c>
      <c r="ED283" s="16" t="str">
        <f t="shared" si="68"/>
        <v>Fiche info Avenant 3A</v>
      </c>
      <c r="EE283" s="16" t="str">
        <f t="shared" si="70"/>
        <v>Fiche info Avenant 3</v>
      </c>
      <c r="EF283" s="16" t="str">
        <f t="shared" si="71"/>
        <v>A</v>
      </c>
      <c r="EG283" s="16">
        <f t="shared" si="72"/>
        <v>2</v>
      </c>
      <c r="EH283" s="16" t="str">
        <f t="shared" si="73"/>
        <v>Mardi</v>
      </c>
      <c r="EI283" s="16" t="str">
        <f t="shared" si="74"/>
        <v/>
      </c>
      <c r="FB283" s="16" t="str">
        <f t="shared" si="77"/>
        <v/>
      </c>
      <c r="FC283" s="16" t="str">
        <f t="shared" si="78"/>
        <v/>
      </c>
      <c r="FD283" s="30">
        <f t="shared" si="69"/>
        <v>44228</v>
      </c>
      <c r="FE283" s="30" t="str">
        <f>+IFERROR(VLOOKUP(FD283,BDD,75,FALSE),"")</f>
        <v/>
      </c>
      <c r="FF283" s="30" t="str">
        <f>+IFERROR(VLOOKUP(FD283,BDD,76,FALSE),"")</f>
        <v/>
      </c>
      <c r="FG283" s="30" t="str">
        <f>IFERROR(+VLOOKUP(FD283,BDD,77,FALSE),"")</f>
        <v/>
      </c>
      <c r="FH283" s="30" t="str">
        <f>+IFERROR(VLOOKUP(FD283,BDD,78,FALSE),"")</f>
        <v/>
      </c>
      <c r="FW283" s="16" t="str">
        <f>Octobre!GB21</f>
        <v>402026</v>
      </c>
      <c r="FX283" s="16">
        <f>Octobre!GC21</f>
        <v>0</v>
      </c>
      <c r="HI283" s="85">
        <f>+Octobre!AB22</f>
        <v>46298</v>
      </c>
      <c r="HJ283" s="27" t="str">
        <f>+Octobre!AD22</f>
        <v/>
      </c>
      <c r="HK283" s="16">
        <f t="shared" si="79"/>
        <v>0</v>
      </c>
      <c r="HL283" s="16" t="str">
        <f>IF(AND(HI283&gt;=DATE(Identification!$B$60,5,1),HI283&lt;=DATE(Identification!$B$60,10,31),SUM(HK283:HK297)=12),"OUI","")</f>
        <v/>
      </c>
    </row>
    <row r="284" spans="1:220" x14ac:dyDescent="0.2">
      <c r="A284" s="16" t="str">
        <f t="shared" si="67"/>
        <v>Fiche info Avenant 3A3</v>
      </c>
      <c r="B284" s="16" t="str">
        <f t="shared" si="80"/>
        <v>Fiche info Avenant 3</v>
      </c>
      <c r="C284" s="27" t="s">
        <v>226</v>
      </c>
      <c r="D284" s="27">
        <v>3</v>
      </c>
      <c r="E284" s="16" t="s">
        <v>19</v>
      </c>
      <c r="F284" s="34" t="str">
        <f>IF('Fiche info Avenant 3'!$K$9=0,"",'Fiche info Avenant 3'!$K$9)</f>
        <v/>
      </c>
      <c r="G284" s="16">
        <f t="shared" si="75"/>
        <v>0</v>
      </c>
      <c r="BX284" s="16" t="str">
        <f t="shared" si="76"/>
        <v>Fiche info Avenant 3A3</v>
      </c>
      <c r="BY284" s="431">
        <f>'Fiche info Avenant 3'!$B$9</f>
        <v>0</v>
      </c>
      <c r="BZ284" s="431">
        <f>'Fiche info Avenant 3'!$C$9</f>
        <v>0</v>
      </c>
      <c r="CA284" s="431">
        <f>'Fiche info Avenant 3'!$D$9</f>
        <v>0</v>
      </c>
      <c r="CB284" s="431">
        <f>'Fiche info Avenant 3'!$E$9</f>
        <v>0</v>
      </c>
      <c r="CC284" s="431">
        <f>'Fiche info Avenant 3'!$F$9</f>
        <v>0</v>
      </c>
      <c r="CD284" s="431">
        <f>'Fiche info Avenant 3'!$G$9</f>
        <v>0</v>
      </c>
      <c r="CE284" s="431">
        <f>'Fiche info Avenant 3'!$H$9</f>
        <v>0</v>
      </c>
      <c r="CF284" s="431">
        <f>'Fiche info Avenant 3'!$I$9</f>
        <v>0</v>
      </c>
      <c r="ED284" s="16" t="str">
        <f t="shared" si="68"/>
        <v>Fiche info Avenant 3A</v>
      </c>
      <c r="EE284" s="16" t="str">
        <f t="shared" si="70"/>
        <v>Fiche info Avenant 3</v>
      </c>
      <c r="EF284" s="16" t="str">
        <f t="shared" si="71"/>
        <v>A</v>
      </c>
      <c r="EG284" s="16">
        <f t="shared" si="72"/>
        <v>3</v>
      </c>
      <c r="EH284" s="16" t="str">
        <f t="shared" si="73"/>
        <v>Mercredi</v>
      </c>
      <c r="EI284" s="16" t="str">
        <f t="shared" si="74"/>
        <v/>
      </c>
      <c r="FB284" s="16" t="str">
        <f t="shared" si="77"/>
        <v/>
      </c>
      <c r="FC284" s="16" t="str">
        <f t="shared" si="78"/>
        <v/>
      </c>
      <c r="FD284" s="30">
        <f t="shared" si="69"/>
        <v>44228</v>
      </c>
      <c r="FE284" s="30" t="str">
        <f>+IFERROR(VLOOKUP(FD284,BDD,79,FALSE),"")</f>
        <v/>
      </c>
      <c r="FF284" s="30" t="str">
        <f>IFERROR(+VLOOKUP(FD284,BDD,80,FALSE),"")</f>
        <v/>
      </c>
      <c r="FG284" s="30" t="str">
        <f>+IFERROR(VLOOKUP(FD284,BDD,81,FALSE),"")</f>
        <v/>
      </c>
      <c r="FH284" s="30" t="str">
        <f>+IFERROR(VLOOKUP(FD284,BDD,82,FALSE),"")</f>
        <v/>
      </c>
      <c r="FW284" s="16" t="str">
        <f>Octobre!GB22</f>
        <v>402026</v>
      </c>
      <c r="FX284" s="16">
        <f>Octobre!GC22</f>
        <v>0</v>
      </c>
      <c r="HI284" s="85">
        <f>+Octobre!AB23</f>
        <v>46299</v>
      </c>
      <c r="HJ284" s="27" t="str">
        <f>+Octobre!AD23</f>
        <v/>
      </c>
      <c r="HK284" s="16">
        <f t="shared" si="79"/>
        <v>0</v>
      </c>
      <c r="HL284" s="16" t="str">
        <f>IF(AND(HI284&gt;=DATE(Identification!$B$60,5,1),HI284&lt;=DATE(Identification!$B$60,10,31),SUM(HK284:HK298)=12),"OUI","")</f>
        <v/>
      </c>
    </row>
    <row r="285" spans="1:220" x14ac:dyDescent="0.2">
      <c r="A285" s="16" t="str">
        <f t="shared" si="67"/>
        <v>Fiche info Avenant 3A4</v>
      </c>
      <c r="B285" s="16" t="str">
        <f t="shared" si="80"/>
        <v>Fiche info Avenant 3</v>
      </c>
      <c r="C285" s="27" t="s">
        <v>226</v>
      </c>
      <c r="D285" s="27">
        <v>4</v>
      </c>
      <c r="E285" s="16" t="s">
        <v>20</v>
      </c>
      <c r="F285" s="34" t="str">
        <f>IF('Fiche info Avenant 3'!$K$10=0,"",'Fiche info Avenant 3'!$K$10)</f>
        <v/>
      </c>
      <c r="G285" s="16">
        <f t="shared" si="75"/>
        <v>0</v>
      </c>
      <c r="BX285" s="16" t="str">
        <f t="shared" si="76"/>
        <v>Fiche info Avenant 3A4</v>
      </c>
      <c r="BY285" s="431">
        <f>'Fiche info Avenant 3'!$B$10</f>
        <v>0</v>
      </c>
      <c r="BZ285" s="431">
        <f>'Fiche info Avenant 3'!$C$10</f>
        <v>0</v>
      </c>
      <c r="CA285" s="431">
        <f>'Fiche info Avenant 3'!$D$10</f>
        <v>0</v>
      </c>
      <c r="CB285" s="431">
        <f>'Fiche info Avenant 3'!$E$10</f>
        <v>0</v>
      </c>
      <c r="CC285" s="431">
        <f>'Fiche info Avenant 3'!$F$10</f>
        <v>0</v>
      </c>
      <c r="CD285" s="431">
        <f>'Fiche info Avenant 3'!$G$10</f>
        <v>0</v>
      </c>
      <c r="CE285" s="431">
        <f>'Fiche info Avenant 3'!$H$10</f>
        <v>0</v>
      </c>
      <c r="CF285" s="431">
        <f>'Fiche info Avenant 3'!$I$10</f>
        <v>0</v>
      </c>
      <c r="ED285" s="16" t="str">
        <f t="shared" si="68"/>
        <v>Fiche info Avenant 3A</v>
      </c>
      <c r="EE285" s="16" t="str">
        <f t="shared" si="70"/>
        <v>Fiche info Avenant 3</v>
      </c>
      <c r="EF285" s="16" t="str">
        <f t="shared" si="71"/>
        <v>A</v>
      </c>
      <c r="EG285" s="16">
        <f t="shared" si="72"/>
        <v>4</v>
      </c>
      <c r="EH285" s="16" t="str">
        <f t="shared" si="73"/>
        <v>Jeudi</v>
      </c>
      <c r="EI285" s="16" t="str">
        <f t="shared" si="74"/>
        <v/>
      </c>
      <c r="FB285" s="16" t="str">
        <f t="shared" si="77"/>
        <v/>
      </c>
      <c r="FC285" s="16" t="str">
        <f t="shared" si="78"/>
        <v/>
      </c>
      <c r="FD285" s="30">
        <f t="shared" si="69"/>
        <v>44228</v>
      </c>
      <c r="FE285" s="30" t="str">
        <f>+IFERROR(VLOOKUP(FD285,BDD,83,FALSE),"")</f>
        <v/>
      </c>
      <c r="FF285" s="30" t="str">
        <f>+IFERROR(VLOOKUP(FD285,BDD,84,FALSE),"")</f>
        <v/>
      </c>
      <c r="FG285" s="30" t="str">
        <f>+IFERROR(VLOOKUP(FD285,BDD,85,FALSE),"")</f>
        <v/>
      </c>
      <c r="FH285" s="30" t="str">
        <f>+IFERROR(VLOOKUP(FD285,BDD,86,FALSE),"")</f>
        <v/>
      </c>
      <c r="FW285" s="16" t="str">
        <f>Octobre!GB23</f>
        <v>402026</v>
      </c>
      <c r="FX285" s="16">
        <f>Octobre!GC23</f>
        <v>0</v>
      </c>
      <c r="HI285" s="85">
        <f>+Octobre!AB24</f>
        <v>46300</v>
      </c>
      <c r="HJ285" s="27" t="str">
        <f>+Octobre!AD24</f>
        <v/>
      </c>
      <c r="HK285" s="16">
        <f t="shared" si="79"/>
        <v>0</v>
      </c>
      <c r="HL285" s="16" t="str">
        <f>IF(AND(HI285&gt;=DATE(Identification!$B$60,5,1),HI285&lt;=DATE(Identification!$B$60,10,31),SUM(HK285:HK299)=12),"OUI","")</f>
        <v/>
      </c>
    </row>
    <row r="286" spans="1:220" x14ac:dyDescent="0.2">
      <c r="A286" s="16" t="str">
        <f t="shared" si="67"/>
        <v>Fiche info Avenant 3A5</v>
      </c>
      <c r="B286" s="16" t="str">
        <f t="shared" si="80"/>
        <v>Fiche info Avenant 3</v>
      </c>
      <c r="C286" s="27" t="s">
        <v>226</v>
      </c>
      <c r="D286" s="27">
        <v>5</v>
      </c>
      <c r="E286" s="16" t="s">
        <v>21</v>
      </c>
      <c r="F286" s="34" t="str">
        <f>IF('Fiche info Avenant 3'!$K$11=0,"",'Fiche info Avenant 3'!$K$11)</f>
        <v/>
      </c>
      <c r="G286" s="16">
        <f t="shared" si="75"/>
        <v>0</v>
      </c>
      <c r="BX286" s="16" t="str">
        <f t="shared" si="76"/>
        <v>Fiche info Avenant 3A5</v>
      </c>
      <c r="BY286" s="431">
        <f>'Fiche info Avenant 3'!$B$11</f>
        <v>0</v>
      </c>
      <c r="BZ286" s="431">
        <f>'Fiche info Avenant 3'!$C$11</f>
        <v>0</v>
      </c>
      <c r="CA286" s="431">
        <f>'Fiche info Avenant 3'!$D$11</f>
        <v>0</v>
      </c>
      <c r="CB286" s="431">
        <f>'Fiche info Avenant 3'!$E$11</f>
        <v>0</v>
      </c>
      <c r="CC286" s="431">
        <f>'Fiche info Avenant 3'!$F$11</f>
        <v>0</v>
      </c>
      <c r="CD286" s="431">
        <f>'Fiche info Avenant 3'!$G$11</f>
        <v>0</v>
      </c>
      <c r="CE286" s="431">
        <f>'Fiche info Avenant 3'!$H$11</f>
        <v>0</v>
      </c>
      <c r="CF286" s="431">
        <f>'Fiche info Avenant 3'!$I$11</f>
        <v>0</v>
      </c>
      <c r="ED286" s="16" t="str">
        <f t="shared" si="68"/>
        <v>Fiche info Avenant 3A</v>
      </c>
      <c r="EE286" s="16" t="str">
        <f t="shared" si="70"/>
        <v>Fiche info Avenant 3</v>
      </c>
      <c r="EF286" s="16" t="str">
        <f t="shared" si="71"/>
        <v>A</v>
      </c>
      <c r="EG286" s="16">
        <f t="shared" si="72"/>
        <v>5</v>
      </c>
      <c r="EH286" s="16" t="str">
        <f t="shared" si="73"/>
        <v>Vendredi</v>
      </c>
      <c r="EI286" s="16" t="str">
        <f t="shared" si="74"/>
        <v/>
      </c>
      <c r="FB286" s="16" t="str">
        <f t="shared" si="77"/>
        <v/>
      </c>
      <c r="FC286" s="16" t="str">
        <f t="shared" si="78"/>
        <v/>
      </c>
      <c r="FD286" s="30">
        <f t="shared" si="69"/>
        <v>44197</v>
      </c>
      <c r="FE286" s="30" t="str">
        <f>+IFERROR(VLOOKUP(FD286,BDD,71,FALSE),"")</f>
        <v/>
      </c>
      <c r="FF286" s="30" t="str">
        <f>IFERROR(+VLOOKUP(FD286,BDD,72,FALSE),"")</f>
        <v/>
      </c>
      <c r="FG286" s="30" t="str">
        <f>+IFERROR(VLOOKUP(FD286,BDD,73,FALSE),"")</f>
        <v/>
      </c>
      <c r="FH286" s="30" t="str">
        <f>+IFERROR(VLOOKUP(FD286,BDD,74,FALSE),"")</f>
        <v/>
      </c>
      <c r="FW286" s="16" t="str">
        <f>Octobre!GB24</f>
        <v>412026</v>
      </c>
      <c r="FX286" s="16">
        <f>Octobre!GC24</f>
        <v>0</v>
      </c>
      <c r="HI286" s="85">
        <f>+Octobre!AB25</f>
        <v>46301</v>
      </c>
      <c r="HJ286" s="27" t="str">
        <f>+Octobre!AD25</f>
        <v/>
      </c>
      <c r="HK286" s="16">
        <f t="shared" si="79"/>
        <v>0</v>
      </c>
      <c r="HL286" s="16" t="str">
        <f>IF(AND(HI286&gt;=DATE(Identification!$B$60,5,1),HI286&lt;=DATE(Identification!$B$60,10,31),SUM(HK286:HK300)=12),"OUI","")</f>
        <v/>
      </c>
    </row>
    <row r="287" spans="1:220" x14ac:dyDescent="0.2">
      <c r="A287" s="16" t="str">
        <f t="shared" si="67"/>
        <v>Fiche info Avenant 3A6</v>
      </c>
      <c r="B287" s="16" t="str">
        <f t="shared" si="80"/>
        <v>Fiche info Avenant 3</v>
      </c>
      <c r="C287" s="27" t="s">
        <v>226</v>
      </c>
      <c r="D287" s="27">
        <v>6</v>
      </c>
      <c r="E287" s="16" t="s">
        <v>184</v>
      </c>
      <c r="F287" s="34" t="str">
        <f>IF('Fiche info Avenant 3'!$K$12=0,"",'Fiche info Avenant 3'!$K$12)</f>
        <v/>
      </c>
      <c r="G287" s="16">
        <f t="shared" si="75"/>
        <v>0</v>
      </c>
      <c r="BX287" s="16" t="str">
        <f t="shared" si="76"/>
        <v>Fiche info Avenant 3A6</v>
      </c>
      <c r="BY287" s="431">
        <f>'Fiche info Avenant 3'!$B$12</f>
        <v>0</v>
      </c>
      <c r="BZ287" s="431">
        <f>'Fiche info Avenant 3'!$C$12</f>
        <v>0</v>
      </c>
      <c r="CA287" s="431">
        <f>'Fiche info Avenant 3'!$D$12</f>
        <v>0</v>
      </c>
      <c r="CB287" s="431">
        <f>'Fiche info Avenant 3'!$E$12</f>
        <v>0</v>
      </c>
      <c r="CC287" s="431">
        <f>'Fiche info Avenant 3'!$F$12</f>
        <v>0</v>
      </c>
      <c r="CD287" s="431">
        <f>'Fiche info Avenant 3'!$G$12</f>
        <v>0</v>
      </c>
      <c r="CE287" s="431">
        <f>'Fiche info Avenant 3'!$H$12</f>
        <v>0</v>
      </c>
      <c r="CF287" s="431">
        <f>'Fiche info Avenant 3'!$I$12</f>
        <v>0</v>
      </c>
      <c r="ED287" s="16" t="str">
        <f t="shared" si="68"/>
        <v>Fiche info Avenant 3A</v>
      </c>
      <c r="EE287" s="16" t="str">
        <f t="shared" si="70"/>
        <v>Fiche info Avenant 3</v>
      </c>
      <c r="EF287" s="16" t="str">
        <f t="shared" si="71"/>
        <v>A</v>
      </c>
      <c r="EG287" s="16">
        <f t="shared" si="72"/>
        <v>6</v>
      </c>
      <c r="EH287" s="16" t="str">
        <f t="shared" si="73"/>
        <v>Samedi</v>
      </c>
      <c r="EI287" s="16" t="str">
        <f t="shared" si="74"/>
        <v/>
      </c>
      <c r="FB287" s="16" t="str">
        <f t="shared" si="77"/>
        <v/>
      </c>
      <c r="FC287" s="16" t="str">
        <f t="shared" si="78"/>
        <v/>
      </c>
      <c r="FD287" s="30">
        <f t="shared" si="69"/>
        <v>44197</v>
      </c>
      <c r="FE287" s="30" t="str">
        <f>+IFERROR(VLOOKUP(FD287,BDD,75,FALSE),"")</f>
        <v/>
      </c>
      <c r="FF287" s="30" t="str">
        <f>+IFERROR(VLOOKUP(FD287,BDD,76,FALSE),"")</f>
        <v/>
      </c>
      <c r="FG287" s="30" t="str">
        <f>IFERROR(+VLOOKUP(FD287,BDD,77,FALSE),"")</f>
        <v/>
      </c>
      <c r="FH287" s="30" t="str">
        <f>+IFERROR(VLOOKUP(FD287,BDD,78,FALSE),"")</f>
        <v/>
      </c>
      <c r="FW287" s="16" t="str">
        <f>Octobre!GB25</f>
        <v>412026</v>
      </c>
      <c r="FX287" s="16">
        <f>Octobre!GC25</f>
        <v>0</v>
      </c>
      <c r="HI287" s="85">
        <f>+Octobre!AB26</f>
        <v>46302</v>
      </c>
      <c r="HJ287" s="27" t="str">
        <f>+Octobre!AD26</f>
        <v/>
      </c>
      <c r="HK287" s="16">
        <f t="shared" si="79"/>
        <v>0</v>
      </c>
      <c r="HL287" s="16" t="str">
        <f>IF(AND(HI287&gt;=DATE(Identification!$B$60,5,1),HI287&lt;=DATE(Identification!$B$60,10,31),SUM(HK287:HK301)=12),"OUI","")</f>
        <v/>
      </c>
    </row>
    <row r="288" spans="1:220" x14ac:dyDescent="0.2">
      <c r="A288" s="16" t="str">
        <f t="shared" si="67"/>
        <v>Fiche info Avenant 3A7</v>
      </c>
      <c r="B288" s="16" t="str">
        <f t="shared" si="80"/>
        <v>Fiche info Avenant 3</v>
      </c>
      <c r="C288" s="27" t="s">
        <v>226</v>
      </c>
      <c r="D288" s="27">
        <v>7</v>
      </c>
      <c r="E288" s="16" t="s">
        <v>185</v>
      </c>
      <c r="F288" s="34" t="str">
        <f>IF('Fiche info Avenant 3'!$K$13=0,"",'Fiche info Avenant 3'!$K$13)</f>
        <v/>
      </c>
      <c r="G288" s="16">
        <f t="shared" si="75"/>
        <v>0</v>
      </c>
      <c r="BX288" s="16" t="str">
        <f t="shared" si="76"/>
        <v>Fiche info Avenant 3A7</v>
      </c>
      <c r="BY288" s="431">
        <f>'Fiche info Avenant 3'!$B$13</f>
        <v>0</v>
      </c>
      <c r="BZ288" s="431">
        <f>'Fiche info Avenant 3'!$C$13</f>
        <v>0</v>
      </c>
      <c r="CA288" s="431">
        <f>'Fiche info Avenant 3'!$D$13</f>
        <v>0</v>
      </c>
      <c r="CB288" s="431">
        <f>'Fiche info Avenant 3'!$E$13</f>
        <v>0</v>
      </c>
      <c r="CC288" s="431">
        <f>'Fiche info Avenant 3'!$F$13</f>
        <v>0</v>
      </c>
      <c r="CD288" s="431">
        <f>'Fiche info Avenant 3'!$G$13</f>
        <v>0</v>
      </c>
      <c r="CE288" s="431">
        <f>'Fiche info Avenant 3'!$H$13</f>
        <v>0</v>
      </c>
      <c r="CF288" s="431">
        <f>'Fiche info Avenant 3'!$I$13</f>
        <v>0</v>
      </c>
      <c r="ED288" s="16" t="str">
        <f t="shared" si="68"/>
        <v>Fiche info Avenant 3A</v>
      </c>
      <c r="EE288" s="16" t="str">
        <f t="shared" si="70"/>
        <v>Fiche info Avenant 3</v>
      </c>
      <c r="EF288" s="16" t="str">
        <f t="shared" si="71"/>
        <v>A</v>
      </c>
      <c r="EG288" s="16">
        <f t="shared" si="72"/>
        <v>7</v>
      </c>
      <c r="EH288" s="16" t="str">
        <f t="shared" si="73"/>
        <v>Dimanche</v>
      </c>
      <c r="EI288" s="16" t="str">
        <f t="shared" si="74"/>
        <v/>
      </c>
      <c r="FB288" s="16" t="str">
        <f t="shared" si="77"/>
        <v/>
      </c>
      <c r="FC288" s="16" t="str">
        <f t="shared" si="78"/>
        <v/>
      </c>
      <c r="FD288" s="30">
        <f t="shared" si="69"/>
        <v>44197</v>
      </c>
      <c r="FE288" s="30" t="str">
        <f>+IFERROR(VLOOKUP(FD288,BDD,79,FALSE),"")</f>
        <v/>
      </c>
      <c r="FF288" s="30" t="str">
        <f>IFERROR(+VLOOKUP(FD288,BDD,80,FALSE),"")</f>
        <v/>
      </c>
      <c r="FG288" s="30" t="str">
        <f>+IFERROR(VLOOKUP(FD288,BDD,81,FALSE),"")</f>
        <v/>
      </c>
      <c r="FH288" s="30" t="str">
        <f>+IFERROR(VLOOKUP(FD288,BDD,82,FALSE),"")</f>
        <v/>
      </c>
      <c r="FW288" s="16" t="str">
        <f>Octobre!GB26</f>
        <v>412026</v>
      </c>
      <c r="FX288" s="16">
        <f>Octobre!GC26</f>
        <v>0</v>
      </c>
      <c r="HI288" s="85">
        <f>+Octobre!AB27</f>
        <v>46303</v>
      </c>
      <c r="HJ288" s="27" t="str">
        <f>+Octobre!AD27</f>
        <v/>
      </c>
      <c r="HK288" s="16">
        <f t="shared" si="79"/>
        <v>0</v>
      </c>
      <c r="HL288" s="16" t="str">
        <f>IF(AND(HI288&gt;=DATE(Identification!$B$60,5,1),HI288&lt;=DATE(Identification!$B$60,10,31),SUM(HK288:HK302)=12),"OUI","")</f>
        <v/>
      </c>
    </row>
    <row r="289" spans="1:220" x14ac:dyDescent="0.2">
      <c r="A289" s="16" t="str">
        <f t="shared" si="67"/>
        <v>Fiche info Avenant 3B1</v>
      </c>
      <c r="B289" s="16" t="str">
        <f t="shared" si="80"/>
        <v>Fiche info Avenant 3</v>
      </c>
      <c r="C289" s="27" t="s">
        <v>227</v>
      </c>
      <c r="D289" s="27">
        <v>1</v>
      </c>
      <c r="E289" s="16" t="s">
        <v>17</v>
      </c>
      <c r="F289" s="34" t="str">
        <f>+IF('Fiche info Avenant 3'!$V$7=0,"",'Fiche info Avenant 3'!$V$7)</f>
        <v/>
      </c>
      <c r="G289" s="16">
        <f t="shared" si="75"/>
        <v>0</v>
      </c>
      <c r="BX289" s="16" t="str">
        <f t="shared" si="76"/>
        <v>Fiche info Avenant 3B1</v>
      </c>
      <c r="BY289" s="431">
        <f>'Fiche info Avenant 3'!$M$7</f>
        <v>0</v>
      </c>
      <c r="BZ289" s="431">
        <f>'Fiche info Avenant 3'!$N$7</f>
        <v>0</v>
      </c>
      <c r="CA289" s="431">
        <f>'Fiche info Avenant 3'!$O$7</f>
        <v>0</v>
      </c>
      <c r="CB289" s="431">
        <f>'Fiche info Avenant 3'!$P$7</f>
        <v>0</v>
      </c>
      <c r="CC289" s="431">
        <f>'Fiche info Avenant 3'!$Q$7</f>
        <v>0</v>
      </c>
      <c r="CD289" s="431">
        <f>'Fiche info Avenant 3'!$R$7</f>
        <v>0</v>
      </c>
      <c r="CE289" s="431">
        <f>'Fiche info Avenant 3'!$S$7</f>
        <v>0</v>
      </c>
      <c r="CF289" s="431">
        <f>'Fiche info Avenant 3'!$T$7</f>
        <v>0</v>
      </c>
      <c r="ED289" s="16" t="str">
        <f t="shared" si="68"/>
        <v>Fiche info Avenant 3B</v>
      </c>
      <c r="EE289" s="16" t="str">
        <f t="shared" si="70"/>
        <v>Fiche info Avenant 3</v>
      </c>
      <c r="EF289" s="16" t="str">
        <f t="shared" si="71"/>
        <v>B</v>
      </c>
      <c r="EG289" s="16">
        <f t="shared" si="72"/>
        <v>1</v>
      </c>
      <c r="EH289" s="16" t="str">
        <f t="shared" si="73"/>
        <v>Lundi</v>
      </c>
      <c r="EI289" s="16" t="str">
        <f t="shared" si="74"/>
        <v/>
      </c>
      <c r="FB289" s="16" t="str">
        <f t="shared" si="77"/>
        <v/>
      </c>
      <c r="FC289" s="16" t="str">
        <f t="shared" si="78"/>
        <v/>
      </c>
      <c r="FD289" s="30">
        <f t="shared" si="69"/>
        <v>44197</v>
      </c>
      <c r="FE289" s="30" t="str">
        <f>+IFERROR(VLOOKUP(FD289,BDD,83,FALSE),"")</f>
        <v/>
      </c>
      <c r="FF289" s="30" t="str">
        <f>+IFERROR(VLOOKUP(FD289,BDD,84,FALSE),"")</f>
        <v/>
      </c>
      <c r="FG289" s="30" t="str">
        <f>+IFERROR(VLOOKUP(FD289,BDD,85,FALSE),"")</f>
        <v/>
      </c>
      <c r="FH289" s="30" t="str">
        <f>+IFERROR(VLOOKUP(FD289,BDD,86,FALSE),"")</f>
        <v/>
      </c>
      <c r="FW289" s="16" t="str">
        <f>Octobre!GB27</f>
        <v>412026</v>
      </c>
      <c r="FX289" s="16">
        <f>Octobre!GC27</f>
        <v>0</v>
      </c>
      <c r="HI289" s="85">
        <f>+Octobre!AB28</f>
        <v>46304</v>
      </c>
      <c r="HJ289" s="27" t="str">
        <f>+Octobre!AD28</f>
        <v/>
      </c>
      <c r="HK289" s="16">
        <f t="shared" si="79"/>
        <v>0</v>
      </c>
      <c r="HL289" s="16" t="str">
        <f>IF(AND(HI289&gt;=DATE(Identification!$B$60,5,1),HI289&lt;=DATE(Identification!$B$60,10,31),SUM(HK289:HK303)=12),"OUI","")</f>
        <v/>
      </c>
    </row>
    <row r="290" spans="1:220" x14ac:dyDescent="0.2">
      <c r="A290" s="16" t="str">
        <f t="shared" si="67"/>
        <v>Fiche info Avenant 3B2</v>
      </c>
      <c r="B290" s="16" t="str">
        <f t="shared" si="80"/>
        <v>Fiche info Avenant 3</v>
      </c>
      <c r="C290" s="27" t="s">
        <v>227</v>
      </c>
      <c r="D290" s="27">
        <v>2</v>
      </c>
      <c r="E290" s="16" t="s">
        <v>18</v>
      </c>
      <c r="F290" s="34" t="str">
        <f>+IF('Fiche info Avenant 3'!$V$8=0,"",'Fiche info Avenant 3'!$V$8)</f>
        <v/>
      </c>
      <c r="G290" s="16">
        <f t="shared" si="75"/>
        <v>0</v>
      </c>
      <c r="BX290" s="16" t="str">
        <f t="shared" si="76"/>
        <v>Fiche info Avenant 3B2</v>
      </c>
      <c r="BY290" s="431">
        <f>'Fiche info Avenant 3'!$M$8</f>
        <v>0</v>
      </c>
      <c r="BZ290" s="431">
        <f>'Fiche info Avenant 3'!$N$8</f>
        <v>0</v>
      </c>
      <c r="CA290" s="431">
        <f>'Fiche info Avenant 3'!$O$8</f>
        <v>0</v>
      </c>
      <c r="CB290" s="431">
        <f>'Fiche info Avenant 3'!$P$8</f>
        <v>0</v>
      </c>
      <c r="CC290" s="431">
        <f>'Fiche info Avenant 3'!$Q$8</f>
        <v>0</v>
      </c>
      <c r="CD290" s="431">
        <f>'Fiche info Avenant 3'!$R$8</f>
        <v>0</v>
      </c>
      <c r="CE290" s="431">
        <f>'Fiche info Avenant 3'!$S$8</f>
        <v>0</v>
      </c>
      <c r="CF290" s="431">
        <f>'Fiche info Avenant 3'!$T$8</f>
        <v>0</v>
      </c>
      <c r="ED290" s="16" t="str">
        <f t="shared" si="68"/>
        <v>Fiche info Avenant 3B</v>
      </c>
      <c r="EE290" s="16" t="str">
        <f t="shared" si="70"/>
        <v>Fiche info Avenant 3</v>
      </c>
      <c r="EF290" s="16" t="str">
        <f t="shared" si="71"/>
        <v>B</v>
      </c>
      <c r="EG290" s="16">
        <f t="shared" si="72"/>
        <v>2</v>
      </c>
      <c r="EH290" s="16" t="str">
        <f t="shared" si="73"/>
        <v>Mardi</v>
      </c>
      <c r="EI290" s="16" t="str">
        <f t="shared" si="74"/>
        <v/>
      </c>
      <c r="FB290" s="16" t="str">
        <f t="shared" si="77"/>
        <v/>
      </c>
      <c r="FC290" s="16" t="str">
        <f t="shared" si="78"/>
        <v/>
      </c>
      <c r="FD290" s="30">
        <f t="shared" si="69"/>
        <v>44166</v>
      </c>
      <c r="FE290" s="30" t="str">
        <f>+IFERROR(VLOOKUP(FD290,BDD,71,FALSE),"")</f>
        <v/>
      </c>
      <c r="FF290" s="30" t="str">
        <f>IFERROR(+VLOOKUP(FD290,BDD,72,FALSE),"")</f>
        <v/>
      </c>
      <c r="FG290" s="30" t="str">
        <f>+IFERROR(VLOOKUP(FD290,BDD,73,FALSE),"")</f>
        <v/>
      </c>
      <c r="FH290" s="30" t="str">
        <f>+IFERROR(VLOOKUP(FD290,BDD,74,FALSE),"")</f>
        <v/>
      </c>
      <c r="FW290" s="16" t="str">
        <f>Octobre!GB28</f>
        <v>412026</v>
      </c>
      <c r="FX290" s="16">
        <f>Octobre!GC28</f>
        <v>0</v>
      </c>
      <c r="HI290" s="85">
        <f>+Octobre!AB29</f>
        <v>46305</v>
      </c>
      <c r="HJ290" s="27" t="str">
        <f>+Octobre!AD29</f>
        <v/>
      </c>
      <c r="HK290" s="16">
        <f t="shared" si="79"/>
        <v>0</v>
      </c>
      <c r="HL290" s="16" t="str">
        <f>IF(AND(HI290&gt;=DATE(Identification!$B$60,5,1),HI290&lt;=DATE(Identification!$B$60,10,31),SUM(HK290:HK304)=12),"OUI","")</f>
        <v/>
      </c>
    </row>
    <row r="291" spans="1:220" x14ac:dyDescent="0.2">
      <c r="A291" s="16" t="str">
        <f t="shared" si="67"/>
        <v>Fiche info Avenant 3B3</v>
      </c>
      <c r="B291" s="16" t="str">
        <f t="shared" si="80"/>
        <v>Fiche info Avenant 3</v>
      </c>
      <c r="C291" s="27" t="s">
        <v>227</v>
      </c>
      <c r="D291" s="27">
        <v>3</v>
      </c>
      <c r="E291" s="16" t="s">
        <v>19</v>
      </c>
      <c r="F291" s="34" t="str">
        <f>+IF('Fiche info Avenant 3'!$V$9=0,"",'Fiche info Avenant 3'!$V$9)</f>
        <v/>
      </c>
      <c r="G291" s="16">
        <f t="shared" si="75"/>
        <v>0</v>
      </c>
      <c r="BX291" s="16" t="str">
        <f t="shared" si="76"/>
        <v>Fiche info Avenant 3B3</v>
      </c>
      <c r="BY291" s="431">
        <f>'Fiche info Avenant 3'!$M$9</f>
        <v>0</v>
      </c>
      <c r="BZ291" s="431">
        <f>'Fiche info Avenant 3'!$N$9</f>
        <v>0</v>
      </c>
      <c r="CA291" s="431">
        <f>'Fiche info Avenant 3'!$O$9</f>
        <v>0</v>
      </c>
      <c r="CB291" s="431">
        <f>'Fiche info Avenant 3'!$P$9</f>
        <v>0</v>
      </c>
      <c r="CC291" s="431">
        <f>'Fiche info Avenant 3'!$Q$9</f>
        <v>0</v>
      </c>
      <c r="CD291" s="431">
        <f>'Fiche info Avenant 3'!$R$9</f>
        <v>0</v>
      </c>
      <c r="CE291" s="431">
        <f>'Fiche info Avenant 3'!$S$9</f>
        <v>0</v>
      </c>
      <c r="CF291" s="431">
        <f>'Fiche info Avenant 3'!$T$9</f>
        <v>0</v>
      </c>
      <c r="ED291" s="16" t="str">
        <f t="shared" si="68"/>
        <v>Fiche info Avenant 3B</v>
      </c>
      <c r="EE291" s="16" t="str">
        <f t="shared" si="70"/>
        <v>Fiche info Avenant 3</v>
      </c>
      <c r="EF291" s="16" t="str">
        <f t="shared" si="71"/>
        <v>B</v>
      </c>
      <c r="EG291" s="16">
        <f t="shared" si="72"/>
        <v>3</v>
      </c>
      <c r="EH291" s="16" t="str">
        <f t="shared" si="73"/>
        <v>Mercredi</v>
      </c>
      <c r="EI291" s="16" t="str">
        <f t="shared" si="74"/>
        <v/>
      </c>
      <c r="FB291" s="16" t="str">
        <f t="shared" si="77"/>
        <v/>
      </c>
      <c r="FC291" s="16" t="str">
        <f t="shared" si="78"/>
        <v/>
      </c>
      <c r="FD291" s="30">
        <f t="shared" si="69"/>
        <v>44166</v>
      </c>
      <c r="FE291" s="30" t="str">
        <f>+IFERROR(VLOOKUP(FD291,BDD,75,FALSE),"")</f>
        <v/>
      </c>
      <c r="FF291" s="30" t="str">
        <f>+IFERROR(VLOOKUP(FD291,BDD,76,FALSE),"")</f>
        <v/>
      </c>
      <c r="FG291" s="30" t="str">
        <f>IFERROR(+VLOOKUP(FD291,BDD,77,FALSE),"")</f>
        <v/>
      </c>
      <c r="FH291" s="30" t="str">
        <f>+IFERROR(VLOOKUP(FD291,BDD,78,FALSE),"")</f>
        <v/>
      </c>
      <c r="FW291" s="16" t="str">
        <f>Octobre!GB29</f>
        <v>412026</v>
      </c>
      <c r="FX291" s="16">
        <f>Octobre!GC29</f>
        <v>0</v>
      </c>
      <c r="HI291" s="85">
        <f>+Octobre!AB30</f>
        <v>46306</v>
      </c>
      <c r="HJ291" s="27" t="str">
        <f>+Octobre!AD30</f>
        <v/>
      </c>
      <c r="HK291" s="16">
        <f t="shared" si="79"/>
        <v>0</v>
      </c>
      <c r="HL291" s="16" t="str">
        <f>IF(AND(HI291&gt;=DATE(Identification!$B$60,5,1),HI291&lt;=DATE(Identification!$B$60,10,31),SUM(HK291:HK305)=12),"OUI","")</f>
        <v/>
      </c>
    </row>
    <row r="292" spans="1:220" x14ac:dyDescent="0.2">
      <c r="A292" s="16" t="str">
        <f t="shared" si="67"/>
        <v>Fiche info Avenant 3B4</v>
      </c>
      <c r="B292" s="16" t="str">
        <f t="shared" si="80"/>
        <v>Fiche info Avenant 3</v>
      </c>
      <c r="C292" s="27" t="s">
        <v>227</v>
      </c>
      <c r="D292" s="27">
        <v>4</v>
      </c>
      <c r="E292" s="16" t="s">
        <v>20</v>
      </c>
      <c r="F292" s="34" t="str">
        <f>+IF('Fiche info Avenant 3'!$V$10=0,"",'Fiche info Avenant 3'!$V$10)</f>
        <v/>
      </c>
      <c r="G292" s="16">
        <f t="shared" si="75"/>
        <v>0</v>
      </c>
      <c r="BX292" s="16" t="str">
        <f t="shared" si="76"/>
        <v>Fiche info Avenant 3B4</v>
      </c>
      <c r="BY292" s="431">
        <f>'Fiche info Avenant 3'!$M$10</f>
        <v>0</v>
      </c>
      <c r="BZ292" s="431">
        <f>'Fiche info Avenant 3'!$N$10</f>
        <v>0</v>
      </c>
      <c r="CA292" s="431">
        <f>'Fiche info Avenant 3'!$O$10</f>
        <v>0</v>
      </c>
      <c r="CB292" s="431">
        <f>'Fiche info Avenant 3'!$P$10</f>
        <v>0</v>
      </c>
      <c r="CC292" s="431">
        <f>'Fiche info Avenant 3'!$Q$10</f>
        <v>0</v>
      </c>
      <c r="CD292" s="431">
        <f>'Fiche info Avenant 3'!$R$10</f>
        <v>0</v>
      </c>
      <c r="CE292" s="431">
        <f>'Fiche info Avenant 3'!$S$10</f>
        <v>0</v>
      </c>
      <c r="CF292" s="431">
        <f>'Fiche info Avenant 3'!$T$10</f>
        <v>0</v>
      </c>
      <c r="ED292" s="16" t="str">
        <f t="shared" si="68"/>
        <v>Fiche info Avenant 3B</v>
      </c>
      <c r="EE292" s="16" t="str">
        <f t="shared" si="70"/>
        <v>Fiche info Avenant 3</v>
      </c>
      <c r="EF292" s="16" t="str">
        <f t="shared" si="71"/>
        <v>B</v>
      </c>
      <c r="EG292" s="16">
        <f t="shared" si="72"/>
        <v>4</v>
      </c>
      <c r="EH292" s="16" t="str">
        <f t="shared" si="73"/>
        <v>Jeudi</v>
      </c>
      <c r="EI292" s="16" t="str">
        <f t="shared" si="74"/>
        <v/>
      </c>
      <c r="FB292" s="16" t="str">
        <f t="shared" si="77"/>
        <v/>
      </c>
      <c r="FC292" s="16" t="str">
        <f t="shared" si="78"/>
        <v/>
      </c>
      <c r="FD292" s="30">
        <f t="shared" si="69"/>
        <v>44166</v>
      </c>
      <c r="FE292" s="30" t="str">
        <f>+IFERROR(VLOOKUP(FD292,BDD,79,FALSE),"")</f>
        <v/>
      </c>
      <c r="FF292" s="30" t="str">
        <f>IFERROR(+VLOOKUP(FD292,BDD,80,FALSE),"")</f>
        <v/>
      </c>
      <c r="FG292" s="30" t="str">
        <f>+IFERROR(VLOOKUP(FD292,BDD,81,FALSE),"")</f>
        <v/>
      </c>
      <c r="FH292" s="30" t="str">
        <f>+IFERROR(VLOOKUP(FD292,BDD,82,FALSE),"")</f>
        <v/>
      </c>
      <c r="FW292" s="16" t="str">
        <f>Octobre!GB30</f>
        <v>412026</v>
      </c>
      <c r="FX292" s="16">
        <f>Octobre!GC30</f>
        <v>0</v>
      </c>
      <c r="HI292" s="85">
        <f>+Octobre!AB31</f>
        <v>46307</v>
      </c>
      <c r="HJ292" s="27" t="str">
        <f>+Octobre!AD31</f>
        <v/>
      </c>
      <c r="HK292" s="16">
        <f t="shared" si="79"/>
        <v>0</v>
      </c>
      <c r="HL292" s="16" t="str">
        <f>IF(AND(HI292&gt;=DATE(Identification!$B$60,5,1),HI292&lt;=DATE(Identification!$B$60,10,31),SUM(HK292:HK306)=12),"OUI","")</f>
        <v/>
      </c>
    </row>
    <row r="293" spans="1:220" x14ac:dyDescent="0.2">
      <c r="A293" s="16" t="str">
        <f t="shared" si="67"/>
        <v>Fiche info Avenant 3B5</v>
      </c>
      <c r="B293" s="16" t="str">
        <f t="shared" si="80"/>
        <v>Fiche info Avenant 3</v>
      </c>
      <c r="C293" s="27" t="s">
        <v>227</v>
      </c>
      <c r="D293" s="27">
        <v>5</v>
      </c>
      <c r="E293" s="16" t="s">
        <v>21</v>
      </c>
      <c r="F293" s="34" t="str">
        <f>+IF('Fiche info Avenant 3'!$V$11=0,"",'Fiche info Avenant 3'!$V$11)</f>
        <v/>
      </c>
      <c r="G293" s="16">
        <f t="shared" si="75"/>
        <v>0</v>
      </c>
      <c r="BX293" s="16" t="str">
        <f t="shared" si="76"/>
        <v>Fiche info Avenant 3B5</v>
      </c>
      <c r="BY293" s="431">
        <f>'Fiche info Avenant 3'!$M$11</f>
        <v>0</v>
      </c>
      <c r="BZ293" s="431">
        <f>'Fiche info Avenant 3'!$N$11</f>
        <v>0</v>
      </c>
      <c r="CA293" s="431">
        <f>'Fiche info Avenant 3'!$O$11</f>
        <v>0</v>
      </c>
      <c r="CB293" s="431">
        <f>'Fiche info Avenant 3'!$P$11</f>
        <v>0</v>
      </c>
      <c r="CC293" s="431">
        <f>'Fiche info Avenant 3'!$Q$11</f>
        <v>0</v>
      </c>
      <c r="CD293" s="431">
        <f>'Fiche info Avenant 3'!$R$11</f>
        <v>0</v>
      </c>
      <c r="CE293" s="431">
        <f>'Fiche info Avenant 3'!$S$11</f>
        <v>0</v>
      </c>
      <c r="CF293" s="431">
        <f>'Fiche info Avenant 3'!$T$11</f>
        <v>0</v>
      </c>
      <c r="ED293" s="16" t="str">
        <f t="shared" si="68"/>
        <v>Fiche info Avenant 3B</v>
      </c>
      <c r="EE293" s="16" t="str">
        <f t="shared" si="70"/>
        <v>Fiche info Avenant 3</v>
      </c>
      <c r="EF293" s="16" t="str">
        <f t="shared" si="71"/>
        <v>B</v>
      </c>
      <c r="EG293" s="16">
        <f t="shared" si="72"/>
        <v>5</v>
      </c>
      <c r="EH293" s="16" t="str">
        <f t="shared" si="73"/>
        <v>Vendredi</v>
      </c>
      <c r="EI293" s="16" t="str">
        <f t="shared" si="74"/>
        <v/>
      </c>
      <c r="FB293" s="16" t="str">
        <f t="shared" si="77"/>
        <v/>
      </c>
      <c r="FC293" s="16" t="str">
        <f t="shared" si="78"/>
        <v/>
      </c>
      <c r="FD293" s="30">
        <f t="shared" si="69"/>
        <v>44166</v>
      </c>
      <c r="FE293" s="30" t="str">
        <f>+IFERROR(VLOOKUP(FD293,BDD,83,FALSE),"")</f>
        <v/>
      </c>
      <c r="FF293" s="30" t="str">
        <f>+IFERROR(VLOOKUP(FD293,BDD,84,FALSE),"")</f>
        <v/>
      </c>
      <c r="FG293" s="30" t="str">
        <f>+IFERROR(VLOOKUP(FD293,BDD,85,FALSE),"")</f>
        <v/>
      </c>
      <c r="FH293" s="30" t="str">
        <f>+IFERROR(VLOOKUP(FD293,BDD,86,FALSE),"")</f>
        <v/>
      </c>
      <c r="FW293" s="16" t="str">
        <f>Octobre!GB31</f>
        <v>422026</v>
      </c>
      <c r="FX293" s="16">
        <f>Octobre!GC31</f>
        <v>0</v>
      </c>
      <c r="HI293" s="85">
        <f>+Octobre!AB32</f>
        <v>46308</v>
      </c>
      <c r="HJ293" s="27" t="str">
        <f>+Octobre!AD32</f>
        <v/>
      </c>
      <c r="HK293" s="16">
        <f t="shared" si="79"/>
        <v>0</v>
      </c>
      <c r="HL293" s="16" t="str">
        <f>IF(AND(HI293&gt;=DATE(Identification!$B$60,5,1),HI293&lt;=DATE(Identification!$B$60,10,31),SUM(HK293:HK307)=12),"OUI","")</f>
        <v/>
      </c>
    </row>
    <row r="294" spans="1:220" x14ac:dyDescent="0.2">
      <c r="A294" s="16" t="str">
        <f t="shared" si="67"/>
        <v>Fiche info Avenant 3B6</v>
      </c>
      <c r="B294" s="16" t="str">
        <f t="shared" si="80"/>
        <v>Fiche info Avenant 3</v>
      </c>
      <c r="C294" s="27" t="s">
        <v>227</v>
      </c>
      <c r="D294" s="27">
        <v>6</v>
      </c>
      <c r="E294" s="16" t="s">
        <v>184</v>
      </c>
      <c r="F294" s="34" t="str">
        <f>+IF('Fiche info Avenant 3'!$V$12=0,"",'Fiche info Avenant 3'!$V$12)</f>
        <v/>
      </c>
      <c r="G294" s="16">
        <f t="shared" si="75"/>
        <v>0</v>
      </c>
      <c r="BX294" s="16" t="str">
        <f t="shared" si="76"/>
        <v>Fiche info Avenant 3B6</v>
      </c>
      <c r="BY294" s="431">
        <f>'Fiche info Avenant 3'!$M$12</f>
        <v>0</v>
      </c>
      <c r="BZ294" s="431">
        <f>'Fiche info Avenant 3'!$N$12</f>
        <v>0</v>
      </c>
      <c r="CA294" s="431">
        <f>'Fiche info Avenant 3'!$O$12</f>
        <v>0</v>
      </c>
      <c r="CB294" s="431">
        <f>'Fiche info Avenant 3'!$P$12</f>
        <v>0</v>
      </c>
      <c r="CC294" s="431">
        <f>'Fiche info Avenant 3'!$Q$12</f>
        <v>0</v>
      </c>
      <c r="CD294" s="431">
        <f>'Fiche info Avenant 3'!$R$12</f>
        <v>0</v>
      </c>
      <c r="CE294" s="431">
        <f>'Fiche info Avenant 3'!$S$12</f>
        <v>0</v>
      </c>
      <c r="CF294" s="431">
        <f>'Fiche info Avenant 3'!$T$12</f>
        <v>0</v>
      </c>
      <c r="ED294" s="16" t="str">
        <f t="shared" si="68"/>
        <v>Fiche info Avenant 3B</v>
      </c>
      <c r="EE294" s="16" t="str">
        <f t="shared" si="70"/>
        <v>Fiche info Avenant 3</v>
      </c>
      <c r="EF294" s="16" t="str">
        <f t="shared" si="71"/>
        <v>B</v>
      </c>
      <c r="EG294" s="16">
        <f t="shared" si="72"/>
        <v>6</v>
      </c>
      <c r="EH294" s="16" t="str">
        <f t="shared" si="73"/>
        <v>Samedi</v>
      </c>
      <c r="EI294" s="16" t="str">
        <f t="shared" si="74"/>
        <v/>
      </c>
      <c r="FB294" s="16" t="str">
        <f t="shared" si="77"/>
        <v/>
      </c>
      <c r="FC294" s="16" t="str">
        <f t="shared" si="78"/>
        <v/>
      </c>
      <c r="FD294" s="30">
        <f t="shared" si="69"/>
        <v>44136</v>
      </c>
      <c r="FE294" s="30" t="str">
        <f>+IFERROR(VLOOKUP(FD294,BDD,71,FALSE),"")</f>
        <v/>
      </c>
      <c r="FF294" s="30" t="str">
        <f>IFERROR(+VLOOKUP(FD294,BDD,72,FALSE),"")</f>
        <v/>
      </c>
      <c r="FG294" s="30" t="str">
        <f>+IFERROR(VLOOKUP(FD294,BDD,73,FALSE),"")</f>
        <v/>
      </c>
      <c r="FH294" s="30" t="str">
        <f>+IFERROR(VLOOKUP(FD294,BDD,74,FALSE),"")</f>
        <v/>
      </c>
      <c r="FW294" s="16" t="str">
        <f>Octobre!GB32</f>
        <v>422026</v>
      </c>
      <c r="FX294" s="16">
        <f>Octobre!GC32</f>
        <v>0</v>
      </c>
      <c r="HI294" s="85">
        <f>+Octobre!AB33</f>
        <v>46309</v>
      </c>
      <c r="HJ294" s="27" t="str">
        <f>+Octobre!AD33</f>
        <v/>
      </c>
      <c r="HK294" s="16">
        <f t="shared" si="79"/>
        <v>0</v>
      </c>
      <c r="HL294" s="16" t="str">
        <f>IF(AND(HI294&gt;=DATE(Identification!$B$60,5,1),HI294&lt;=DATE(Identification!$B$60,10,31),SUM(HK294:HK308)=12),"OUI","")</f>
        <v/>
      </c>
    </row>
    <row r="295" spans="1:220" x14ac:dyDescent="0.2">
      <c r="A295" s="16" t="str">
        <f t="shared" si="67"/>
        <v>Fiche info Avenant 3B7</v>
      </c>
      <c r="B295" s="16" t="str">
        <f t="shared" si="80"/>
        <v>Fiche info Avenant 3</v>
      </c>
      <c r="C295" s="27" t="s">
        <v>227</v>
      </c>
      <c r="D295" s="27">
        <v>7</v>
      </c>
      <c r="E295" s="16" t="s">
        <v>185</v>
      </c>
      <c r="F295" s="34" t="str">
        <f>+IF('Fiche info Avenant 3'!$V$13=0,"",'Fiche info Avenant 3'!$V$13)</f>
        <v/>
      </c>
      <c r="G295" s="16">
        <f t="shared" si="75"/>
        <v>0</v>
      </c>
      <c r="BX295" s="16" t="str">
        <f t="shared" si="76"/>
        <v>Fiche info Avenant 3B7</v>
      </c>
      <c r="BY295" s="431">
        <f>'Fiche info Avenant 3'!$M$13</f>
        <v>0</v>
      </c>
      <c r="BZ295" s="431">
        <f>'Fiche info Avenant 3'!$N$13</f>
        <v>0</v>
      </c>
      <c r="CA295" s="431">
        <f>'Fiche info Avenant 3'!$O$13</f>
        <v>0</v>
      </c>
      <c r="CB295" s="431">
        <f>'Fiche info Avenant 3'!$P$13</f>
        <v>0</v>
      </c>
      <c r="CC295" s="431">
        <f>'Fiche info Avenant 3'!$Q$13</f>
        <v>0</v>
      </c>
      <c r="CD295" s="431">
        <f>'Fiche info Avenant 3'!$R$13</f>
        <v>0</v>
      </c>
      <c r="CE295" s="431">
        <f>'Fiche info Avenant 3'!$S$13</f>
        <v>0</v>
      </c>
      <c r="CF295" s="431">
        <f>'Fiche info Avenant 3'!$T$13</f>
        <v>0</v>
      </c>
      <c r="ED295" s="16" t="str">
        <f t="shared" si="68"/>
        <v>Fiche info Avenant 3B</v>
      </c>
      <c r="EE295" s="16" t="str">
        <f t="shared" si="70"/>
        <v>Fiche info Avenant 3</v>
      </c>
      <c r="EF295" s="16" t="str">
        <f t="shared" si="71"/>
        <v>B</v>
      </c>
      <c r="EG295" s="16">
        <f t="shared" si="72"/>
        <v>7</v>
      </c>
      <c r="EH295" s="16" t="str">
        <f t="shared" si="73"/>
        <v>Dimanche</v>
      </c>
      <c r="EI295" s="16" t="str">
        <f t="shared" si="74"/>
        <v/>
      </c>
      <c r="FB295" s="16" t="str">
        <f t="shared" si="77"/>
        <v/>
      </c>
      <c r="FC295" s="16" t="str">
        <f t="shared" si="78"/>
        <v/>
      </c>
      <c r="FD295" s="30">
        <f t="shared" si="69"/>
        <v>44136</v>
      </c>
      <c r="FE295" s="30" t="str">
        <f>+IFERROR(VLOOKUP(FD295,BDD,75,FALSE),"")</f>
        <v/>
      </c>
      <c r="FF295" s="30" t="str">
        <f>+IFERROR(VLOOKUP(FD295,BDD,76,FALSE),"")</f>
        <v/>
      </c>
      <c r="FG295" s="30" t="str">
        <f>IFERROR(+VLOOKUP(FD295,BDD,77,FALSE),"")</f>
        <v/>
      </c>
      <c r="FH295" s="30" t="str">
        <f>+IFERROR(VLOOKUP(FD295,BDD,78,FALSE),"")</f>
        <v/>
      </c>
      <c r="FW295" s="16" t="str">
        <f>Octobre!GB33</f>
        <v>422026</v>
      </c>
      <c r="FX295" s="16">
        <f>Octobre!GC33</f>
        <v>0</v>
      </c>
      <c r="HI295" s="85">
        <f>+Octobre!AB34</f>
        <v>46310</v>
      </c>
      <c r="HJ295" s="27" t="str">
        <f>+Octobre!AD34</f>
        <v/>
      </c>
      <c r="HK295" s="16">
        <f t="shared" si="79"/>
        <v>0</v>
      </c>
      <c r="HL295" s="16" t="str">
        <f>IF(AND(HI295&gt;=DATE(Identification!$B$60,5,1),HI295&lt;=DATE(Identification!$B$60,10,31),SUM(HK295:HK309)=12),"OUI","")</f>
        <v/>
      </c>
    </row>
    <row r="296" spans="1:220" x14ac:dyDescent="0.2">
      <c r="A296" s="16" t="str">
        <f t="shared" si="67"/>
        <v>Fiche info Avenant 3C1</v>
      </c>
      <c r="B296" s="16" t="str">
        <f t="shared" si="80"/>
        <v>Fiche info Avenant 3</v>
      </c>
      <c r="C296" s="27" t="s">
        <v>232</v>
      </c>
      <c r="D296" s="27">
        <v>1</v>
      </c>
      <c r="E296" s="16" t="s">
        <v>17</v>
      </c>
      <c r="F296" s="34" t="str">
        <f>+IF('Fiche info Avenant 3'!$AG$7=0,"",'Fiche info Avenant 3'!$AG$7)</f>
        <v/>
      </c>
      <c r="G296" s="16">
        <f t="shared" si="75"/>
        <v>0</v>
      </c>
      <c r="BX296" s="16" t="str">
        <f t="shared" si="76"/>
        <v>Fiche info Avenant 3C1</v>
      </c>
      <c r="BY296" s="431">
        <f>'Fiche info Avenant 3'!$X$7</f>
        <v>0</v>
      </c>
      <c r="BZ296" s="431">
        <f>'Fiche info Avenant 3'!$Y$7</f>
        <v>0</v>
      </c>
      <c r="CA296" s="431">
        <f>'Fiche info Avenant 3'!$Z$7</f>
        <v>0</v>
      </c>
      <c r="CB296" s="431">
        <f>'Fiche info Avenant 3'!$AA$7</f>
        <v>0</v>
      </c>
      <c r="CC296" s="431">
        <f>'Fiche info Avenant 3'!$AB$7</f>
        <v>0</v>
      </c>
      <c r="CD296" s="431">
        <f>'Fiche info Avenant 3'!$AC$7</f>
        <v>0</v>
      </c>
      <c r="CE296" s="431">
        <f>'Fiche info Avenant 3'!$AD$7</f>
        <v>0</v>
      </c>
      <c r="CF296" s="431">
        <f>'Fiche info Avenant 3'!$AE$7</f>
        <v>0</v>
      </c>
      <c r="ED296" s="16" t="str">
        <f t="shared" si="68"/>
        <v>Fiche info Avenant 3C</v>
      </c>
      <c r="EE296" s="16" t="str">
        <f t="shared" si="70"/>
        <v>Fiche info Avenant 3</v>
      </c>
      <c r="EF296" s="16" t="str">
        <f t="shared" si="71"/>
        <v>C</v>
      </c>
      <c r="EG296" s="16">
        <f t="shared" si="72"/>
        <v>1</v>
      </c>
      <c r="EH296" s="16" t="str">
        <f t="shared" si="73"/>
        <v>Lundi</v>
      </c>
      <c r="EI296" s="16" t="str">
        <f t="shared" si="74"/>
        <v/>
      </c>
      <c r="FB296" s="16" t="str">
        <f t="shared" si="77"/>
        <v/>
      </c>
      <c r="FC296" s="16" t="str">
        <f t="shared" si="78"/>
        <v/>
      </c>
      <c r="FD296" s="30">
        <f t="shared" si="69"/>
        <v>44136</v>
      </c>
      <c r="FE296" s="30" t="str">
        <f>+IFERROR(VLOOKUP(FD296,BDD,79,FALSE),"")</f>
        <v/>
      </c>
      <c r="FF296" s="30" t="str">
        <f>IFERROR(+VLOOKUP(FD296,BDD,80,FALSE),"")</f>
        <v/>
      </c>
      <c r="FG296" s="30" t="str">
        <f>+IFERROR(VLOOKUP(FD296,BDD,81,FALSE),"")</f>
        <v/>
      </c>
      <c r="FH296" s="30" t="str">
        <f>+IFERROR(VLOOKUP(FD296,BDD,82,FALSE),"")</f>
        <v/>
      </c>
      <c r="FW296" s="16" t="str">
        <f>Octobre!GB34</f>
        <v>422026</v>
      </c>
      <c r="FX296" s="16">
        <f>Octobre!GC34</f>
        <v>0</v>
      </c>
      <c r="HI296" s="85">
        <f>+Octobre!AB35</f>
        <v>46311</v>
      </c>
      <c r="HJ296" s="27" t="str">
        <f>+Octobre!AD35</f>
        <v/>
      </c>
      <c r="HK296" s="16">
        <f t="shared" si="79"/>
        <v>0</v>
      </c>
      <c r="HL296" s="16" t="str">
        <f>IF(AND(HI296&gt;=DATE(Identification!$B$60,5,1),HI296&lt;=DATE(Identification!$B$60,10,31),SUM(HK296:HK310)=12),"OUI","")</f>
        <v/>
      </c>
    </row>
    <row r="297" spans="1:220" x14ac:dyDescent="0.2">
      <c r="A297" s="16" t="str">
        <f t="shared" si="67"/>
        <v>Fiche info Avenant 3C2</v>
      </c>
      <c r="B297" s="16" t="str">
        <f t="shared" si="80"/>
        <v>Fiche info Avenant 3</v>
      </c>
      <c r="C297" s="27" t="s">
        <v>232</v>
      </c>
      <c r="D297" s="27">
        <v>2</v>
      </c>
      <c r="E297" s="16" t="s">
        <v>18</v>
      </c>
      <c r="F297" s="34" t="str">
        <f>+IF('Fiche info Avenant 3'!$AG$8=0,"",'Fiche info Avenant 3'!$AG$8)</f>
        <v/>
      </c>
      <c r="G297" s="16">
        <f t="shared" si="75"/>
        <v>0</v>
      </c>
      <c r="BX297" s="16" t="str">
        <f t="shared" si="76"/>
        <v>Fiche info Avenant 3C2</v>
      </c>
      <c r="BY297" s="431">
        <f>'Fiche info Avenant 3'!$X$8</f>
        <v>0</v>
      </c>
      <c r="BZ297" s="431">
        <f>'Fiche info Avenant 3'!$Y$8</f>
        <v>0</v>
      </c>
      <c r="CA297" s="431">
        <f>'Fiche info Avenant 3'!$Z$8</f>
        <v>0</v>
      </c>
      <c r="CB297" s="431">
        <f>'Fiche info Avenant 3'!$AA$8</f>
        <v>0</v>
      </c>
      <c r="CC297" s="431">
        <f>'Fiche info Avenant 3'!$AB$8</f>
        <v>0</v>
      </c>
      <c r="CD297" s="431">
        <f>'Fiche info Avenant 3'!$AC$8</f>
        <v>0</v>
      </c>
      <c r="CE297" s="431">
        <f>'Fiche info Avenant 3'!$AD$8</f>
        <v>0</v>
      </c>
      <c r="CF297" s="431">
        <f>'Fiche info Avenant 3'!$AE$8</f>
        <v>0</v>
      </c>
      <c r="ED297" s="16" t="str">
        <f t="shared" si="68"/>
        <v>Fiche info Avenant 3C</v>
      </c>
      <c r="EE297" s="16" t="str">
        <f t="shared" si="70"/>
        <v>Fiche info Avenant 3</v>
      </c>
      <c r="EF297" s="16" t="str">
        <f t="shared" si="71"/>
        <v>C</v>
      </c>
      <c r="EG297" s="16">
        <f t="shared" si="72"/>
        <v>2</v>
      </c>
      <c r="EH297" s="16" t="str">
        <f t="shared" si="73"/>
        <v>Mardi</v>
      </c>
      <c r="EI297" s="16" t="str">
        <f t="shared" si="74"/>
        <v/>
      </c>
      <c r="FB297" s="16" t="str">
        <f t="shared" si="77"/>
        <v/>
      </c>
      <c r="FC297" s="16" t="str">
        <f t="shared" si="78"/>
        <v/>
      </c>
      <c r="FD297" s="30">
        <f t="shared" si="69"/>
        <v>44136</v>
      </c>
      <c r="FE297" s="30" t="str">
        <f>+IFERROR(VLOOKUP(FD297,BDD,83,FALSE),"")</f>
        <v/>
      </c>
      <c r="FF297" s="30" t="str">
        <f>+IFERROR(VLOOKUP(FD297,BDD,84,FALSE),"")</f>
        <v/>
      </c>
      <c r="FG297" s="30" t="str">
        <f>+IFERROR(VLOOKUP(FD297,BDD,85,FALSE),"")</f>
        <v/>
      </c>
      <c r="FH297" s="30" t="str">
        <f>+IFERROR(VLOOKUP(FD297,BDD,86,FALSE),"")</f>
        <v/>
      </c>
      <c r="FW297" s="16" t="str">
        <f>Octobre!GB35</f>
        <v>422026</v>
      </c>
      <c r="FX297" s="16">
        <f>Octobre!GC35</f>
        <v>0</v>
      </c>
      <c r="HI297" s="85">
        <f>+Octobre!AB36</f>
        <v>46312</v>
      </c>
      <c r="HJ297" s="27" t="str">
        <f>+Octobre!AD36</f>
        <v/>
      </c>
      <c r="HK297" s="16">
        <f t="shared" si="79"/>
        <v>0</v>
      </c>
      <c r="HL297" s="16" t="str">
        <f>IF(AND(HI297&gt;=DATE(Identification!$B$60,5,1),HI297&lt;=DATE(Identification!$B$60,10,31),SUM(HK297:HK311)=12),"OUI","")</f>
        <v/>
      </c>
    </row>
    <row r="298" spans="1:220" x14ac:dyDescent="0.2">
      <c r="A298" s="16" t="str">
        <f t="shared" si="67"/>
        <v>Fiche info Avenant 3C3</v>
      </c>
      <c r="B298" s="16" t="str">
        <f t="shared" si="80"/>
        <v>Fiche info Avenant 3</v>
      </c>
      <c r="C298" s="27" t="s">
        <v>232</v>
      </c>
      <c r="D298" s="27">
        <v>3</v>
      </c>
      <c r="E298" s="16" t="s">
        <v>19</v>
      </c>
      <c r="F298" s="34" t="str">
        <f>+IF('Fiche info Avenant 3'!$AG$9=0,"",'Fiche info Avenant 3'!$AG$9)</f>
        <v/>
      </c>
      <c r="G298" s="16">
        <f t="shared" si="75"/>
        <v>0</v>
      </c>
      <c r="BX298" s="16" t="str">
        <f t="shared" si="76"/>
        <v>Fiche info Avenant 3C3</v>
      </c>
      <c r="BY298" s="431">
        <f>'Fiche info Avenant 3'!$X$9</f>
        <v>0</v>
      </c>
      <c r="BZ298" s="431">
        <f>'Fiche info Avenant 3'!$Y$9</f>
        <v>0</v>
      </c>
      <c r="CA298" s="431">
        <f>'Fiche info Avenant 3'!$Z$9</f>
        <v>0</v>
      </c>
      <c r="CB298" s="431">
        <f>'Fiche info Avenant 3'!$AA$9</f>
        <v>0</v>
      </c>
      <c r="CC298" s="431">
        <f>'Fiche info Avenant 3'!$AB$9</f>
        <v>0</v>
      </c>
      <c r="CD298" s="431">
        <f>'Fiche info Avenant 3'!$AC$9</f>
        <v>0</v>
      </c>
      <c r="CE298" s="431">
        <f>'Fiche info Avenant 3'!$AD$9</f>
        <v>0</v>
      </c>
      <c r="CF298" s="431">
        <f>'Fiche info Avenant 3'!$AE$9</f>
        <v>0</v>
      </c>
      <c r="ED298" s="16" t="str">
        <f t="shared" si="68"/>
        <v>Fiche info Avenant 3C</v>
      </c>
      <c r="EE298" s="16" t="str">
        <f t="shared" si="70"/>
        <v>Fiche info Avenant 3</v>
      </c>
      <c r="EF298" s="16" t="str">
        <f t="shared" si="71"/>
        <v>C</v>
      </c>
      <c r="EG298" s="16">
        <f t="shared" si="72"/>
        <v>3</v>
      </c>
      <c r="EH298" s="16" t="str">
        <f t="shared" si="73"/>
        <v>Mercredi</v>
      </c>
      <c r="EI298" s="16" t="str">
        <f t="shared" si="74"/>
        <v/>
      </c>
      <c r="FB298" s="16" t="str">
        <f t="shared" si="77"/>
        <v/>
      </c>
      <c r="FC298" s="16" t="str">
        <f t="shared" si="78"/>
        <v/>
      </c>
      <c r="FD298" s="30">
        <f t="shared" si="69"/>
        <v>44105</v>
      </c>
      <c r="FE298" s="30" t="str">
        <f>+IFERROR(VLOOKUP(FD298,BDD,71,FALSE),"")</f>
        <v/>
      </c>
      <c r="FF298" s="30" t="str">
        <f>IFERROR(+VLOOKUP(FD298,BDD,72,FALSE),"")</f>
        <v/>
      </c>
      <c r="FG298" s="30" t="str">
        <f>+IFERROR(VLOOKUP(FD298,BDD,73,FALSE),"")</f>
        <v/>
      </c>
      <c r="FH298" s="30" t="str">
        <f>+IFERROR(VLOOKUP(FD298,BDD,74,FALSE),"")</f>
        <v/>
      </c>
      <c r="FW298" s="16" t="str">
        <f>Octobre!GB36</f>
        <v>422026</v>
      </c>
      <c r="FX298" s="16">
        <f>Octobre!GC36</f>
        <v>0</v>
      </c>
      <c r="HI298" s="85">
        <f>+Octobre!AB37</f>
        <v>46313</v>
      </c>
      <c r="HJ298" s="27" t="str">
        <f>+Octobre!AD37</f>
        <v/>
      </c>
      <c r="HK298" s="16">
        <f t="shared" si="79"/>
        <v>0</v>
      </c>
      <c r="HL298" s="16" t="str">
        <f>IF(AND(HI298&gt;=DATE(Identification!$B$60,5,1),HI298&lt;=DATE(Identification!$B$60,10,31),SUM(HK298:HK312)=12),"OUI","")</f>
        <v/>
      </c>
    </row>
    <row r="299" spans="1:220" x14ac:dyDescent="0.2">
      <c r="A299" s="16" t="str">
        <f t="shared" ref="A299:A362" si="81">+B299&amp;C299&amp;D299</f>
        <v>Fiche info Avenant 3C4</v>
      </c>
      <c r="B299" s="16" t="str">
        <f t="shared" si="80"/>
        <v>Fiche info Avenant 3</v>
      </c>
      <c r="C299" s="27" t="s">
        <v>232</v>
      </c>
      <c r="D299" s="27">
        <v>4</v>
      </c>
      <c r="E299" s="16" t="s">
        <v>20</v>
      </c>
      <c r="F299" s="34" t="str">
        <f>+IF('Fiche info Avenant 3'!$AG$10=0,"",'Fiche info Avenant 3'!$AG$10)</f>
        <v/>
      </c>
      <c r="G299" s="16">
        <f t="shared" si="75"/>
        <v>0</v>
      </c>
      <c r="BX299" s="16" t="str">
        <f t="shared" si="76"/>
        <v>Fiche info Avenant 3C4</v>
      </c>
      <c r="BY299" s="431">
        <f>'Fiche info Avenant 3'!$X$10</f>
        <v>0</v>
      </c>
      <c r="BZ299" s="431">
        <f>'Fiche info Avenant 3'!$Y$10</f>
        <v>0</v>
      </c>
      <c r="CA299" s="431">
        <f>'Fiche info Avenant 3'!$Z$10</f>
        <v>0</v>
      </c>
      <c r="CB299" s="431">
        <f>'Fiche info Avenant 3'!$AA$10</f>
        <v>0</v>
      </c>
      <c r="CC299" s="431">
        <f>'Fiche info Avenant 3'!$AB$10</f>
        <v>0</v>
      </c>
      <c r="CD299" s="431">
        <f>'Fiche info Avenant 3'!$AC$10</f>
        <v>0</v>
      </c>
      <c r="CE299" s="431">
        <f>'Fiche info Avenant 3'!$AD$10</f>
        <v>0</v>
      </c>
      <c r="CF299" s="431">
        <f>'Fiche info Avenant 3'!$AE$10</f>
        <v>0</v>
      </c>
      <c r="ED299" s="16" t="str">
        <f t="shared" si="68"/>
        <v>Fiche info Avenant 3C</v>
      </c>
      <c r="EE299" s="16" t="str">
        <f t="shared" si="70"/>
        <v>Fiche info Avenant 3</v>
      </c>
      <c r="EF299" s="16" t="str">
        <f t="shared" si="71"/>
        <v>C</v>
      </c>
      <c r="EG299" s="16">
        <f t="shared" si="72"/>
        <v>4</v>
      </c>
      <c r="EH299" s="16" t="str">
        <f t="shared" si="73"/>
        <v>Jeudi</v>
      </c>
      <c r="EI299" s="16" t="str">
        <f t="shared" si="74"/>
        <v/>
      </c>
      <c r="FB299" s="16" t="str">
        <f t="shared" si="77"/>
        <v/>
      </c>
      <c r="FC299" s="16" t="str">
        <f t="shared" si="78"/>
        <v/>
      </c>
      <c r="FD299" s="30">
        <f t="shared" si="69"/>
        <v>44105</v>
      </c>
      <c r="FE299" s="30" t="str">
        <f>+IFERROR(VLOOKUP(FD299,BDD,75,FALSE),"")</f>
        <v/>
      </c>
      <c r="FF299" s="30" t="str">
        <f>+IFERROR(VLOOKUP(FD299,BDD,76,FALSE),"")</f>
        <v/>
      </c>
      <c r="FG299" s="30" t="str">
        <f>IFERROR(+VLOOKUP(FD299,BDD,77,FALSE),"")</f>
        <v/>
      </c>
      <c r="FH299" s="30" t="str">
        <f>+IFERROR(VLOOKUP(FD299,BDD,78,FALSE),"")</f>
        <v/>
      </c>
      <c r="FW299" s="16" t="str">
        <f>Octobre!GB37</f>
        <v>422026</v>
      </c>
      <c r="FX299" s="16">
        <f>Octobre!GC37</f>
        <v>0</v>
      </c>
      <c r="HI299" s="85">
        <f>+Octobre!AB38</f>
        <v>46314</v>
      </c>
      <c r="HJ299" s="27" t="str">
        <f>+Octobre!AD38</f>
        <v/>
      </c>
      <c r="HK299" s="16">
        <f t="shared" si="79"/>
        <v>0</v>
      </c>
      <c r="HL299" s="16" t="str">
        <f>IF(AND(HI299&gt;=DATE(Identification!$B$60,5,1),HI299&lt;=DATE(Identification!$B$60,10,31),SUM(HK299:HK313)=12),"OUI","")</f>
        <v/>
      </c>
    </row>
    <row r="300" spans="1:220" x14ac:dyDescent="0.2">
      <c r="A300" s="16" t="str">
        <f t="shared" si="81"/>
        <v>Fiche info Avenant 3C5</v>
      </c>
      <c r="B300" s="16" t="str">
        <f t="shared" si="80"/>
        <v>Fiche info Avenant 3</v>
      </c>
      <c r="C300" s="27" t="s">
        <v>232</v>
      </c>
      <c r="D300" s="27">
        <v>5</v>
      </c>
      <c r="E300" s="16" t="s">
        <v>21</v>
      </c>
      <c r="F300" s="34" t="str">
        <f>+IF('Fiche info Avenant 3'!$AG$11=0,"",'Fiche info Avenant 3'!$AG$11)</f>
        <v/>
      </c>
      <c r="G300" s="16">
        <f t="shared" si="75"/>
        <v>0</v>
      </c>
      <c r="BX300" s="16" t="str">
        <f t="shared" si="76"/>
        <v>Fiche info Avenant 3C5</v>
      </c>
      <c r="BY300" s="431">
        <f>'Fiche info Avenant 3'!$X$11</f>
        <v>0</v>
      </c>
      <c r="BZ300" s="431">
        <f>'Fiche info Avenant 3'!$Y$11</f>
        <v>0</v>
      </c>
      <c r="CA300" s="431">
        <f>'Fiche info Avenant 3'!$Z$11</f>
        <v>0</v>
      </c>
      <c r="CB300" s="431">
        <f>'Fiche info Avenant 3'!$AA$11</f>
        <v>0</v>
      </c>
      <c r="CC300" s="431">
        <f>'Fiche info Avenant 3'!$AB$11</f>
        <v>0</v>
      </c>
      <c r="CD300" s="431">
        <f>'Fiche info Avenant 3'!$AC$11</f>
        <v>0</v>
      </c>
      <c r="CE300" s="431">
        <f>'Fiche info Avenant 3'!$AD$11</f>
        <v>0</v>
      </c>
      <c r="CF300" s="431">
        <f>'Fiche info Avenant 3'!$AE$11</f>
        <v>0</v>
      </c>
      <c r="ED300" s="16" t="str">
        <f t="shared" si="68"/>
        <v>Fiche info Avenant 3C</v>
      </c>
      <c r="EE300" s="16" t="str">
        <f t="shared" si="70"/>
        <v>Fiche info Avenant 3</v>
      </c>
      <c r="EF300" s="16" t="str">
        <f t="shared" si="71"/>
        <v>C</v>
      </c>
      <c r="EG300" s="16">
        <f t="shared" si="72"/>
        <v>5</v>
      </c>
      <c r="EH300" s="16" t="str">
        <f t="shared" si="73"/>
        <v>Vendredi</v>
      </c>
      <c r="EI300" s="16" t="str">
        <f t="shared" si="74"/>
        <v/>
      </c>
      <c r="FB300" s="16" t="str">
        <f t="shared" si="77"/>
        <v/>
      </c>
      <c r="FC300" s="16" t="str">
        <f t="shared" si="78"/>
        <v/>
      </c>
      <c r="FD300" s="30">
        <f t="shared" si="69"/>
        <v>44105</v>
      </c>
      <c r="FE300" s="30" t="str">
        <f>+IFERROR(VLOOKUP(FD300,BDD,79,FALSE),"")</f>
        <v/>
      </c>
      <c r="FF300" s="30" t="str">
        <f>IFERROR(+VLOOKUP(FD300,BDD,80,FALSE),"")</f>
        <v/>
      </c>
      <c r="FG300" s="30" t="str">
        <f>+IFERROR(VLOOKUP(FD300,BDD,81,FALSE),"")</f>
        <v/>
      </c>
      <c r="FH300" s="30" t="str">
        <f>+IFERROR(VLOOKUP(FD300,BDD,82,FALSE),"")</f>
        <v/>
      </c>
      <c r="FW300" s="16" t="str">
        <f>Octobre!GB38</f>
        <v>432026</v>
      </c>
      <c r="FX300" s="16">
        <f>Octobre!GC38</f>
        <v>0</v>
      </c>
      <c r="HI300" s="85">
        <f>+Octobre!AB39</f>
        <v>46315</v>
      </c>
      <c r="HJ300" s="27" t="str">
        <f>+Octobre!AD39</f>
        <v/>
      </c>
      <c r="HK300" s="16">
        <f t="shared" si="79"/>
        <v>0</v>
      </c>
      <c r="HL300" s="16" t="str">
        <f>IF(AND(HI300&gt;=DATE(Identification!$B$60,5,1),HI300&lt;=DATE(Identification!$B$60,10,31),SUM(HK300:HK314)=12),"OUI","")</f>
        <v/>
      </c>
    </row>
    <row r="301" spans="1:220" x14ac:dyDescent="0.2">
      <c r="A301" s="16" t="str">
        <f t="shared" si="81"/>
        <v>Fiche info Avenant 3C6</v>
      </c>
      <c r="B301" s="16" t="str">
        <f t="shared" si="80"/>
        <v>Fiche info Avenant 3</v>
      </c>
      <c r="C301" s="27" t="s">
        <v>232</v>
      </c>
      <c r="D301" s="27">
        <v>6</v>
      </c>
      <c r="E301" s="16" t="s">
        <v>184</v>
      </c>
      <c r="F301" s="34" t="str">
        <f>+IF('Fiche info Avenant 3'!$AG$12=0,"",'Fiche info Avenant 3'!$AG$12)</f>
        <v/>
      </c>
      <c r="G301" s="16">
        <f t="shared" si="75"/>
        <v>0</v>
      </c>
      <c r="BX301" s="16" t="str">
        <f t="shared" si="76"/>
        <v>Fiche info Avenant 3C6</v>
      </c>
      <c r="BY301" s="431">
        <f>'Fiche info Avenant 3'!$X$12</f>
        <v>0</v>
      </c>
      <c r="BZ301" s="431">
        <f>'Fiche info Avenant 3'!$Y$12</f>
        <v>0</v>
      </c>
      <c r="CA301" s="431">
        <f>'Fiche info Avenant 3'!$Z$12</f>
        <v>0</v>
      </c>
      <c r="CB301" s="431">
        <f>'Fiche info Avenant 3'!$AA$12</f>
        <v>0</v>
      </c>
      <c r="CC301" s="431">
        <f>'Fiche info Avenant 3'!$AB$12</f>
        <v>0</v>
      </c>
      <c r="CD301" s="431">
        <f>'Fiche info Avenant 3'!$AC$12</f>
        <v>0</v>
      </c>
      <c r="CE301" s="431">
        <f>'Fiche info Avenant 3'!$AD$12</f>
        <v>0</v>
      </c>
      <c r="CF301" s="431">
        <f>'Fiche info Avenant 3'!$AE$12</f>
        <v>0</v>
      </c>
      <c r="ED301" s="16" t="str">
        <f t="shared" si="68"/>
        <v>Fiche info Avenant 3C</v>
      </c>
      <c r="EE301" s="16" t="str">
        <f t="shared" si="70"/>
        <v>Fiche info Avenant 3</v>
      </c>
      <c r="EF301" s="16" t="str">
        <f t="shared" si="71"/>
        <v>C</v>
      </c>
      <c r="EG301" s="16">
        <f t="shared" si="72"/>
        <v>6</v>
      </c>
      <c r="EH301" s="16" t="str">
        <f t="shared" si="73"/>
        <v>Samedi</v>
      </c>
      <c r="EI301" s="16" t="str">
        <f t="shared" si="74"/>
        <v/>
      </c>
      <c r="FB301" s="16" t="str">
        <f t="shared" si="77"/>
        <v/>
      </c>
      <c r="FC301" s="16" t="str">
        <f t="shared" si="78"/>
        <v/>
      </c>
      <c r="FD301" s="30">
        <f t="shared" si="69"/>
        <v>44105</v>
      </c>
      <c r="FE301" s="30" t="str">
        <f>+IFERROR(VLOOKUP(FD301,BDD,83,FALSE),"")</f>
        <v/>
      </c>
      <c r="FF301" s="30" t="str">
        <f>+IFERROR(VLOOKUP(FD301,BDD,84,FALSE),"")</f>
        <v/>
      </c>
      <c r="FG301" s="30" t="str">
        <f>+IFERROR(VLOOKUP(FD301,BDD,85,FALSE),"")</f>
        <v/>
      </c>
      <c r="FH301" s="30" t="str">
        <f>+IFERROR(VLOOKUP(FD301,BDD,86,FALSE),"")</f>
        <v/>
      </c>
      <c r="FW301" s="16" t="str">
        <f>Octobre!GB39</f>
        <v>432026</v>
      </c>
      <c r="FX301" s="16">
        <f>Octobre!GC39</f>
        <v>0</v>
      </c>
      <c r="HI301" s="85">
        <f>+Octobre!AB40</f>
        <v>46316</v>
      </c>
      <c r="HJ301" s="27" t="str">
        <f>+Octobre!AD40</f>
        <v/>
      </c>
      <c r="HK301" s="16">
        <f t="shared" si="79"/>
        <v>0</v>
      </c>
      <c r="HL301" s="16" t="str">
        <f>IF(AND(HI301&gt;=DATE(Identification!$B$60,5,1),HI301&lt;=DATE(Identification!$B$60,10,31),SUM(HK301:HK315)=12),"OUI","")</f>
        <v/>
      </c>
    </row>
    <row r="302" spans="1:220" x14ac:dyDescent="0.2">
      <c r="A302" s="16" t="str">
        <f t="shared" si="81"/>
        <v>Fiche info Avenant 3C7</v>
      </c>
      <c r="B302" s="16" t="str">
        <f t="shared" si="80"/>
        <v>Fiche info Avenant 3</v>
      </c>
      <c r="C302" s="27" t="s">
        <v>232</v>
      </c>
      <c r="D302" s="27">
        <v>7</v>
      </c>
      <c r="E302" s="16" t="s">
        <v>185</v>
      </c>
      <c r="F302" s="34" t="str">
        <f>+IF('Fiche info Avenant 3'!$AG$13=0,"",'Fiche info Avenant 3'!$AG$13)</f>
        <v/>
      </c>
      <c r="G302" s="16">
        <f t="shared" si="75"/>
        <v>0</v>
      </c>
      <c r="BX302" s="16" t="str">
        <f t="shared" si="76"/>
        <v>Fiche info Avenant 3C7</v>
      </c>
      <c r="BY302" s="431">
        <f>'Fiche info Avenant 3'!$X$13</f>
        <v>0</v>
      </c>
      <c r="BZ302" s="431">
        <f>'Fiche info Avenant 3'!$Y$13</f>
        <v>0</v>
      </c>
      <c r="CA302" s="431">
        <f>'Fiche info Avenant 3'!$Z$13</f>
        <v>0</v>
      </c>
      <c r="CB302" s="431">
        <f>'Fiche info Avenant 3'!$AA$13</f>
        <v>0</v>
      </c>
      <c r="CC302" s="431">
        <f>'Fiche info Avenant 3'!$AB$13</f>
        <v>0</v>
      </c>
      <c r="CD302" s="431">
        <f>'Fiche info Avenant 3'!$AC$13</f>
        <v>0</v>
      </c>
      <c r="CE302" s="431">
        <f>'Fiche info Avenant 3'!$AD$13</f>
        <v>0</v>
      </c>
      <c r="CF302" s="431">
        <f>'Fiche info Avenant 3'!$AE$13</f>
        <v>0</v>
      </c>
      <c r="ED302" s="16" t="str">
        <f t="shared" si="68"/>
        <v>Fiche info Avenant 3C</v>
      </c>
      <c r="EE302" s="16" t="str">
        <f t="shared" si="70"/>
        <v>Fiche info Avenant 3</v>
      </c>
      <c r="EF302" s="16" t="str">
        <f t="shared" si="71"/>
        <v>C</v>
      </c>
      <c r="EG302" s="16">
        <f t="shared" si="72"/>
        <v>7</v>
      </c>
      <c r="EH302" s="16" t="str">
        <f t="shared" si="73"/>
        <v>Dimanche</v>
      </c>
      <c r="EI302" s="16" t="str">
        <f t="shared" si="74"/>
        <v/>
      </c>
      <c r="FB302" s="16" t="str">
        <f t="shared" si="77"/>
        <v/>
      </c>
      <c r="FC302" s="16" t="str">
        <f t="shared" si="78"/>
        <v/>
      </c>
      <c r="FD302" s="30">
        <f t="shared" si="69"/>
        <v>44075</v>
      </c>
      <c r="FE302" s="30" t="str">
        <f>+IFERROR(VLOOKUP(FD302,BDD,71,FALSE),"")</f>
        <v/>
      </c>
      <c r="FF302" s="30" t="str">
        <f>IFERROR(+VLOOKUP(FD302,BDD,72,FALSE),"")</f>
        <v/>
      </c>
      <c r="FG302" s="30" t="str">
        <f>+IFERROR(VLOOKUP(FD302,BDD,73,FALSE),"")</f>
        <v/>
      </c>
      <c r="FH302" s="30" t="str">
        <f>+IFERROR(VLOOKUP(FD302,BDD,74,FALSE),"")</f>
        <v/>
      </c>
      <c r="FW302" s="16" t="str">
        <f>Octobre!GB40</f>
        <v>432026</v>
      </c>
      <c r="FX302" s="16">
        <f>Octobre!GC40</f>
        <v>0</v>
      </c>
      <c r="HI302" s="85">
        <f>+Octobre!AB41</f>
        <v>46317</v>
      </c>
      <c r="HJ302" s="27" t="str">
        <f>+Octobre!AD41</f>
        <v/>
      </c>
      <c r="HK302" s="16">
        <f t="shared" si="79"/>
        <v>0</v>
      </c>
      <c r="HL302" s="16" t="str">
        <f>IF(AND(HI302&gt;=DATE(Identification!$B$60,5,1),HI302&lt;=DATE(Identification!$B$60,10,31),SUM(HK302:HK316)=12),"OUI","")</f>
        <v/>
      </c>
    </row>
    <row r="303" spans="1:220" x14ac:dyDescent="0.2">
      <c r="A303" s="16" t="str">
        <f t="shared" si="81"/>
        <v>Fiche info Avenant 3D1</v>
      </c>
      <c r="B303" s="16" t="str">
        <f t="shared" si="80"/>
        <v>Fiche info Avenant 3</v>
      </c>
      <c r="C303" s="27" t="s">
        <v>233</v>
      </c>
      <c r="D303" s="27">
        <v>1</v>
      </c>
      <c r="E303" s="16" t="s">
        <v>17</v>
      </c>
      <c r="F303" s="34" t="str">
        <f>+IF('Fiche info Avenant 3'!$AR$7=0,"",'Fiche info Avenant 3'!$AR$7)</f>
        <v/>
      </c>
      <c r="G303" s="16">
        <f t="shared" si="75"/>
        <v>0</v>
      </c>
      <c r="BX303" s="16" t="str">
        <f t="shared" si="76"/>
        <v>Fiche info Avenant 3D1</v>
      </c>
      <c r="BY303" s="431">
        <f>'Fiche info Avenant 3'!$AI$7</f>
        <v>0</v>
      </c>
      <c r="BZ303" s="431">
        <f>'Fiche info Avenant 3'!$AJ$7</f>
        <v>0</v>
      </c>
      <c r="CA303" s="431">
        <f>'Fiche info Avenant 3'!$AK$7</f>
        <v>0</v>
      </c>
      <c r="CB303" s="431">
        <f>'Fiche info Avenant 3'!$AL$7</f>
        <v>0</v>
      </c>
      <c r="CC303" s="431">
        <f>'Fiche info Avenant 3'!$AM$7</f>
        <v>0</v>
      </c>
      <c r="CD303" s="431">
        <f>'Fiche info Avenant 3'!$AN$7</f>
        <v>0</v>
      </c>
      <c r="CE303" s="431">
        <f>'Fiche info Avenant 3'!$AO$7</f>
        <v>0</v>
      </c>
      <c r="CF303" s="431">
        <f>'Fiche info Avenant 3'!$AP$7</f>
        <v>0</v>
      </c>
      <c r="ED303" s="16" t="str">
        <f t="shared" si="68"/>
        <v>Fiche info Avenant 3D</v>
      </c>
      <c r="EE303" s="16" t="str">
        <f t="shared" si="70"/>
        <v>Fiche info Avenant 3</v>
      </c>
      <c r="EF303" s="16" t="str">
        <f t="shared" si="71"/>
        <v>D</v>
      </c>
      <c r="EG303" s="16">
        <f t="shared" si="72"/>
        <v>1</v>
      </c>
      <c r="EH303" s="16" t="str">
        <f t="shared" si="73"/>
        <v>Lundi</v>
      </c>
      <c r="EI303" s="16" t="str">
        <f t="shared" si="74"/>
        <v/>
      </c>
      <c r="FB303" s="16" t="str">
        <f t="shared" si="77"/>
        <v/>
      </c>
      <c r="FC303" s="16" t="str">
        <f t="shared" si="78"/>
        <v/>
      </c>
      <c r="FD303" s="30">
        <f t="shared" si="69"/>
        <v>44075</v>
      </c>
      <c r="FE303" s="30" t="str">
        <f>+IFERROR(VLOOKUP(FD303,BDD,75,FALSE),"")</f>
        <v/>
      </c>
      <c r="FF303" s="30" t="str">
        <f>+IFERROR(VLOOKUP(FD303,BDD,76,FALSE),"")</f>
        <v/>
      </c>
      <c r="FG303" s="30" t="str">
        <f>IFERROR(+VLOOKUP(FD303,BDD,77,FALSE),"")</f>
        <v/>
      </c>
      <c r="FH303" s="30" t="str">
        <f>+IFERROR(VLOOKUP(FD303,BDD,78,FALSE),"")</f>
        <v/>
      </c>
      <c r="FW303" s="16" t="str">
        <f>Octobre!GB41</f>
        <v>432026</v>
      </c>
      <c r="FX303" s="16">
        <f>Octobre!GC41</f>
        <v>0</v>
      </c>
      <c r="HI303" s="85">
        <f>+Octobre!AB42</f>
        <v>46318</v>
      </c>
      <c r="HJ303" s="27" t="str">
        <f>+Octobre!AD42</f>
        <v/>
      </c>
      <c r="HK303" s="16">
        <f t="shared" si="79"/>
        <v>0</v>
      </c>
      <c r="HL303" s="16" t="str">
        <f>IF(AND(HI303&gt;=DATE(Identification!$B$60,5,1),HI303&lt;=DATE(Identification!$B$60,10,31),SUM(HK303:HK317)=12),"OUI","")</f>
        <v/>
      </c>
    </row>
    <row r="304" spans="1:220" x14ac:dyDescent="0.2">
      <c r="A304" s="16" t="str">
        <f t="shared" si="81"/>
        <v>Fiche info Avenant 3D2</v>
      </c>
      <c r="B304" s="16" t="str">
        <f t="shared" si="80"/>
        <v>Fiche info Avenant 3</v>
      </c>
      <c r="C304" s="27" t="s">
        <v>233</v>
      </c>
      <c r="D304" s="27">
        <v>2</v>
      </c>
      <c r="E304" s="16" t="s">
        <v>18</v>
      </c>
      <c r="F304" s="34" t="str">
        <f>IF(+'Fiche info Avenant 3'!$AR$8=0,"",'Fiche info Avenant 3'!$AR$8)</f>
        <v/>
      </c>
      <c r="G304" s="16">
        <f t="shared" si="75"/>
        <v>0</v>
      </c>
      <c r="BX304" s="16" t="str">
        <f t="shared" si="76"/>
        <v>Fiche info Avenant 3D2</v>
      </c>
      <c r="BY304" s="431">
        <f>'Fiche info Avenant 3'!$AI$8</f>
        <v>0</v>
      </c>
      <c r="BZ304" s="431">
        <f>'Fiche info Avenant 3'!$AJ$8</f>
        <v>0</v>
      </c>
      <c r="CA304" s="431">
        <f>'Fiche info Avenant 3'!$AK$8</f>
        <v>0</v>
      </c>
      <c r="CB304" s="431">
        <f>'Fiche info Avenant 3'!$AL$8</f>
        <v>0</v>
      </c>
      <c r="CC304" s="431">
        <f>'Fiche info Avenant 3'!$AM$8</f>
        <v>0</v>
      </c>
      <c r="CD304" s="431">
        <f>'Fiche info Avenant 3'!$AN$8</f>
        <v>0</v>
      </c>
      <c r="CE304" s="431">
        <f>'Fiche info Avenant 3'!$AO$8</f>
        <v>0</v>
      </c>
      <c r="CF304" s="431">
        <f>'Fiche info Avenant 3'!$AP$8</f>
        <v>0</v>
      </c>
      <c r="ED304" s="16" t="str">
        <f t="shared" si="68"/>
        <v>Fiche info Avenant 3D</v>
      </c>
      <c r="EE304" s="16" t="str">
        <f t="shared" si="70"/>
        <v>Fiche info Avenant 3</v>
      </c>
      <c r="EF304" s="16" t="str">
        <f t="shared" si="71"/>
        <v>D</v>
      </c>
      <c r="EG304" s="16">
        <f t="shared" si="72"/>
        <v>2</v>
      </c>
      <c r="EH304" s="16" t="str">
        <f t="shared" si="73"/>
        <v>Mardi</v>
      </c>
      <c r="EI304" s="16" t="str">
        <f t="shared" si="74"/>
        <v/>
      </c>
      <c r="FB304" s="16" t="str">
        <f t="shared" si="77"/>
        <v/>
      </c>
      <c r="FC304" s="16" t="str">
        <f t="shared" si="78"/>
        <v/>
      </c>
      <c r="FD304" s="30">
        <f t="shared" si="69"/>
        <v>44075</v>
      </c>
      <c r="FE304" s="30" t="str">
        <f>+IFERROR(VLOOKUP(FD304,BDD,79,FALSE),"")</f>
        <v/>
      </c>
      <c r="FF304" s="30" t="str">
        <f>IFERROR(+VLOOKUP(FD304,BDD,80,FALSE),"")</f>
        <v/>
      </c>
      <c r="FG304" s="30" t="str">
        <f>+IFERROR(VLOOKUP(FD304,BDD,81,FALSE),"")</f>
        <v/>
      </c>
      <c r="FH304" s="30" t="str">
        <f>+IFERROR(VLOOKUP(FD304,BDD,82,FALSE),"")</f>
        <v/>
      </c>
      <c r="FW304" s="16" t="str">
        <f>Octobre!GB42</f>
        <v>432026</v>
      </c>
      <c r="FX304" s="16">
        <f>Octobre!GC42</f>
        <v>0</v>
      </c>
      <c r="HI304" s="85">
        <f>+Octobre!AB43</f>
        <v>46319</v>
      </c>
      <c r="HJ304" s="27" t="str">
        <f>+Octobre!AD43</f>
        <v/>
      </c>
      <c r="HK304" s="16">
        <f t="shared" si="79"/>
        <v>0</v>
      </c>
      <c r="HL304" s="16" t="str">
        <f>IF(AND(HI304&gt;=DATE(Identification!$B$60,5,1),HI304&lt;=DATE(Identification!$B$60,10,31),SUM(HK304:HK318)=12),"OUI","")</f>
        <v/>
      </c>
    </row>
    <row r="305" spans="1:220" x14ac:dyDescent="0.2">
      <c r="A305" s="16" t="str">
        <f t="shared" si="81"/>
        <v>Fiche info Avenant 3D3</v>
      </c>
      <c r="B305" s="16" t="str">
        <f t="shared" si="80"/>
        <v>Fiche info Avenant 3</v>
      </c>
      <c r="C305" s="27" t="s">
        <v>233</v>
      </c>
      <c r="D305" s="27">
        <v>3</v>
      </c>
      <c r="E305" s="16" t="s">
        <v>19</v>
      </c>
      <c r="F305" s="34" t="str">
        <f>IF(+'Fiche info Avenant 3'!$AR$9=0,"",'Fiche info Avenant 3'!$AR$9)</f>
        <v/>
      </c>
      <c r="G305" s="16">
        <f t="shared" si="75"/>
        <v>0</v>
      </c>
      <c r="BX305" s="16" t="str">
        <f t="shared" si="76"/>
        <v>Fiche info Avenant 3D3</v>
      </c>
      <c r="BY305" s="431">
        <f>'Fiche info Avenant 3'!$AI$9</f>
        <v>0</v>
      </c>
      <c r="BZ305" s="431">
        <f>'Fiche info Avenant 3'!$AJ$9</f>
        <v>0</v>
      </c>
      <c r="CA305" s="431">
        <f>'Fiche info Avenant 3'!$AK$9</f>
        <v>0</v>
      </c>
      <c r="CB305" s="431">
        <f>'Fiche info Avenant 3'!$AL$9</f>
        <v>0</v>
      </c>
      <c r="CC305" s="431">
        <f>'Fiche info Avenant 3'!$AM$9</f>
        <v>0</v>
      </c>
      <c r="CD305" s="431">
        <f>'Fiche info Avenant 3'!$AN$9</f>
        <v>0</v>
      </c>
      <c r="CE305" s="431">
        <f>'Fiche info Avenant 3'!$AO$9</f>
        <v>0</v>
      </c>
      <c r="CF305" s="431">
        <f>'Fiche info Avenant 3'!$AP$9</f>
        <v>0</v>
      </c>
      <c r="ED305" s="16" t="str">
        <f t="shared" si="68"/>
        <v>Fiche info Avenant 3D</v>
      </c>
      <c r="EE305" s="16" t="str">
        <f t="shared" si="70"/>
        <v>Fiche info Avenant 3</v>
      </c>
      <c r="EF305" s="16" t="str">
        <f t="shared" si="71"/>
        <v>D</v>
      </c>
      <c r="EG305" s="16">
        <f t="shared" si="72"/>
        <v>3</v>
      </c>
      <c r="EH305" s="16" t="str">
        <f t="shared" si="73"/>
        <v>Mercredi</v>
      </c>
      <c r="EI305" s="16" t="str">
        <f t="shared" si="74"/>
        <v/>
      </c>
      <c r="FB305" s="16" t="str">
        <f t="shared" si="77"/>
        <v/>
      </c>
      <c r="FC305" s="16" t="str">
        <f t="shared" si="78"/>
        <v/>
      </c>
      <c r="FD305" s="30">
        <f t="shared" si="69"/>
        <v>44075</v>
      </c>
      <c r="FE305" s="30" t="str">
        <f>+IFERROR(VLOOKUP(FD305,BDD,83,FALSE),"")</f>
        <v/>
      </c>
      <c r="FF305" s="30" t="str">
        <f>+IFERROR(VLOOKUP(FD305,BDD,84,FALSE),"")</f>
        <v/>
      </c>
      <c r="FG305" s="30" t="str">
        <f>+IFERROR(VLOOKUP(FD305,BDD,85,FALSE),"")</f>
        <v/>
      </c>
      <c r="FH305" s="30" t="str">
        <f>+IFERROR(VLOOKUP(FD305,BDD,86,FALSE),"")</f>
        <v/>
      </c>
      <c r="FW305" s="16" t="str">
        <f>Octobre!GB43</f>
        <v>432026</v>
      </c>
      <c r="FX305" s="16">
        <f>Octobre!GC43</f>
        <v>0</v>
      </c>
      <c r="HI305" s="85">
        <f>+Octobre!AB44</f>
        <v>46320</v>
      </c>
      <c r="HJ305" s="27" t="str">
        <f>+Octobre!AD44</f>
        <v/>
      </c>
      <c r="HK305" s="16">
        <f t="shared" si="79"/>
        <v>0</v>
      </c>
      <c r="HL305" s="16" t="str">
        <f>IF(AND(HI305&gt;=DATE(Identification!$B$60,5,1),HI305&lt;=DATE(Identification!$B$60,10,31),SUM(HK305:HK319)=12),"OUI","")</f>
        <v/>
      </c>
    </row>
    <row r="306" spans="1:220" x14ac:dyDescent="0.2">
      <c r="A306" s="16" t="str">
        <f t="shared" si="81"/>
        <v>Fiche info Avenant 3D4</v>
      </c>
      <c r="B306" s="16" t="str">
        <f t="shared" si="80"/>
        <v>Fiche info Avenant 3</v>
      </c>
      <c r="C306" s="27" t="s">
        <v>233</v>
      </c>
      <c r="D306" s="27">
        <v>4</v>
      </c>
      <c r="E306" s="16" t="s">
        <v>20</v>
      </c>
      <c r="F306" s="34" t="str">
        <f>IF(+'Fiche info Avenant 3'!$AR$10=0,"",'Fiche info Avenant 3'!$AR$10)</f>
        <v/>
      </c>
      <c r="G306" s="16">
        <f t="shared" si="75"/>
        <v>0</v>
      </c>
      <c r="BX306" s="16" t="str">
        <f t="shared" si="76"/>
        <v>Fiche info Avenant 3D4</v>
      </c>
      <c r="BY306" s="431">
        <f>'Fiche info Avenant 3'!$AI$10</f>
        <v>0</v>
      </c>
      <c r="BZ306" s="431">
        <f>'Fiche info Avenant 3'!$AJ$10</f>
        <v>0</v>
      </c>
      <c r="CA306" s="431">
        <f>'Fiche info Avenant 3'!$AK$10</f>
        <v>0</v>
      </c>
      <c r="CB306" s="431">
        <f>'Fiche info Avenant 3'!$AL$10</f>
        <v>0</v>
      </c>
      <c r="CC306" s="431">
        <f>'Fiche info Avenant 3'!$AM$10</f>
        <v>0</v>
      </c>
      <c r="CD306" s="431">
        <f>'Fiche info Avenant 3'!$AN$10</f>
        <v>0</v>
      </c>
      <c r="CE306" s="431">
        <f>'Fiche info Avenant 3'!$AO$10</f>
        <v>0</v>
      </c>
      <c r="CF306" s="431">
        <f>'Fiche info Avenant 3'!$AP$10</f>
        <v>0</v>
      </c>
      <c r="ED306" s="16" t="str">
        <f t="shared" si="68"/>
        <v>Fiche info Avenant 3D</v>
      </c>
      <c r="EE306" s="16" t="str">
        <f t="shared" si="70"/>
        <v>Fiche info Avenant 3</v>
      </c>
      <c r="EF306" s="16" t="str">
        <f t="shared" si="71"/>
        <v>D</v>
      </c>
      <c r="EG306" s="16">
        <f t="shared" si="72"/>
        <v>4</v>
      </c>
      <c r="EH306" s="16" t="str">
        <f t="shared" si="73"/>
        <v>Jeudi</v>
      </c>
      <c r="EI306" s="16" t="str">
        <f t="shared" si="74"/>
        <v/>
      </c>
      <c r="FB306" s="16" t="str">
        <f t="shared" si="77"/>
        <v/>
      </c>
      <c r="FC306" s="16" t="str">
        <f t="shared" si="78"/>
        <v/>
      </c>
      <c r="FD306" s="30">
        <f t="shared" si="69"/>
        <v>44044</v>
      </c>
      <c r="FE306" s="30" t="str">
        <f>+IFERROR(VLOOKUP(FD306,BDD,71,FALSE),"")</f>
        <v/>
      </c>
      <c r="FF306" s="30" t="str">
        <f>IFERROR(+VLOOKUP(FD306,BDD,72,FALSE),"")</f>
        <v/>
      </c>
      <c r="FG306" s="30" t="str">
        <f>+IFERROR(VLOOKUP(FD306,BDD,73,FALSE),"")</f>
        <v/>
      </c>
      <c r="FH306" s="30" t="str">
        <f>+IFERROR(VLOOKUP(FD306,BDD,74,FALSE),"")</f>
        <v/>
      </c>
      <c r="FW306" s="16" t="str">
        <f>Octobre!GB44</f>
        <v>432026</v>
      </c>
      <c r="FX306" s="16">
        <f>Octobre!GC44</f>
        <v>0</v>
      </c>
      <c r="HI306" s="85">
        <f>+Octobre!AB45</f>
        <v>46321</v>
      </c>
      <c r="HJ306" s="27" t="str">
        <f>+Octobre!AD45</f>
        <v/>
      </c>
      <c r="HK306" s="16">
        <f t="shared" si="79"/>
        <v>0</v>
      </c>
      <c r="HL306" s="16" t="str">
        <f>IF(AND(HI306&gt;=DATE(Identification!$B$60,5,1),HI306&lt;=DATE(Identification!$B$60,10,31),SUM(HK306:HK320)=12),"OUI","")</f>
        <v/>
      </c>
    </row>
    <row r="307" spans="1:220" x14ac:dyDescent="0.2">
      <c r="A307" s="16" t="str">
        <f t="shared" si="81"/>
        <v>Fiche info Avenant 3D5</v>
      </c>
      <c r="B307" s="16" t="str">
        <f t="shared" si="80"/>
        <v>Fiche info Avenant 3</v>
      </c>
      <c r="C307" s="27" t="s">
        <v>233</v>
      </c>
      <c r="D307" s="27">
        <v>5</v>
      </c>
      <c r="E307" s="16" t="s">
        <v>21</v>
      </c>
      <c r="F307" s="34" t="str">
        <f>IF(+'Fiche info Avenant 3'!$AR$11=0,"",'Fiche info Avenant 3'!$AR$11)</f>
        <v/>
      </c>
      <c r="G307" s="16">
        <f t="shared" si="75"/>
        <v>0</v>
      </c>
      <c r="BX307" s="16" t="str">
        <f t="shared" si="76"/>
        <v>Fiche info Avenant 3D5</v>
      </c>
      <c r="BY307" s="431">
        <f>'Fiche info Avenant 3'!$AI$11</f>
        <v>0</v>
      </c>
      <c r="BZ307" s="431">
        <f>'Fiche info Avenant 3'!$AJ$11</f>
        <v>0</v>
      </c>
      <c r="CA307" s="431">
        <f>'Fiche info Avenant 3'!$AK$11</f>
        <v>0</v>
      </c>
      <c r="CB307" s="431">
        <f>'Fiche info Avenant 3'!$AL$11</f>
        <v>0</v>
      </c>
      <c r="CC307" s="431">
        <f>'Fiche info Avenant 3'!$AM$11</f>
        <v>0</v>
      </c>
      <c r="CD307" s="431">
        <f>'Fiche info Avenant 3'!$AN$11</f>
        <v>0</v>
      </c>
      <c r="CE307" s="431">
        <f>'Fiche info Avenant 3'!$AO$11</f>
        <v>0</v>
      </c>
      <c r="CF307" s="431">
        <f>'Fiche info Avenant 3'!$AP$11</f>
        <v>0</v>
      </c>
      <c r="ED307" s="16" t="str">
        <f t="shared" ref="ED307:ED370" si="82">+EE307&amp;EF307</f>
        <v>Fiche info Avenant 3D</v>
      </c>
      <c r="EE307" s="16" t="str">
        <f t="shared" si="70"/>
        <v>Fiche info Avenant 3</v>
      </c>
      <c r="EF307" s="16" t="str">
        <f t="shared" si="71"/>
        <v>D</v>
      </c>
      <c r="EG307" s="16">
        <f t="shared" si="72"/>
        <v>5</v>
      </c>
      <c r="EH307" s="16" t="str">
        <f t="shared" si="73"/>
        <v>Vendredi</v>
      </c>
      <c r="EI307" s="16" t="str">
        <f t="shared" si="74"/>
        <v/>
      </c>
      <c r="FB307" s="16" t="str">
        <f t="shared" si="77"/>
        <v/>
      </c>
      <c r="FC307" s="16" t="str">
        <f t="shared" si="78"/>
        <v/>
      </c>
      <c r="FD307" s="30">
        <f t="shared" si="69"/>
        <v>44044</v>
      </c>
      <c r="FE307" s="30" t="str">
        <f>+IFERROR(VLOOKUP(FD307,BDD,75,FALSE),"")</f>
        <v/>
      </c>
      <c r="FF307" s="30" t="str">
        <f>+IFERROR(VLOOKUP(FD307,BDD,76,FALSE),"")</f>
        <v/>
      </c>
      <c r="FG307" s="30" t="str">
        <f>IFERROR(+VLOOKUP(FD307,BDD,77,FALSE),"")</f>
        <v/>
      </c>
      <c r="FH307" s="30" t="str">
        <f>+IFERROR(VLOOKUP(FD307,BDD,78,FALSE),"")</f>
        <v/>
      </c>
      <c r="FW307" s="16" t="str">
        <f>Octobre!GB45</f>
        <v>442026</v>
      </c>
      <c r="FX307" s="16">
        <f>Octobre!GC45</f>
        <v>0</v>
      </c>
      <c r="HI307" s="85">
        <f>+Octobre!AB46</f>
        <v>46322</v>
      </c>
      <c r="HJ307" s="27" t="str">
        <f>+Octobre!AD46</f>
        <v/>
      </c>
      <c r="HK307" s="16">
        <f t="shared" si="79"/>
        <v>0</v>
      </c>
      <c r="HL307" s="16" t="str">
        <f>IF(AND(HI307&gt;=DATE(Identification!$B$60,5,1),HI307&lt;=DATE(Identification!$B$60,10,31),SUM(HK307:HK321)=12),"OUI","")</f>
        <v/>
      </c>
    </row>
    <row r="308" spans="1:220" x14ac:dyDescent="0.2">
      <c r="A308" s="16" t="str">
        <f t="shared" si="81"/>
        <v>Fiche info Avenant 3D6</v>
      </c>
      <c r="B308" s="16" t="str">
        <f t="shared" si="80"/>
        <v>Fiche info Avenant 3</v>
      </c>
      <c r="C308" s="27" t="s">
        <v>233</v>
      </c>
      <c r="D308" s="27">
        <v>6</v>
      </c>
      <c r="E308" s="16" t="s">
        <v>184</v>
      </c>
      <c r="F308" s="34" t="str">
        <f>IF(+'Fiche info Avenant 3'!$AR$12=0,"",'Fiche info Avenant 3'!$AR$12)</f>
        <v/>
      </c>
      <c r="G308" s="16">
        <f t="shared" si="75"/>
        <v>0</v>
      </c>
      <c r="BX308" s="16" t="str">
        <f t="shared" si="76"/>
        <v>Fiche info Avenant 3D6</v>
      </c>
      <c r="BY308" s="431">
        <f>'Fiche info Avenant 3'!$AI$12</f>
        <v>0</v>
      </c>
      <c r="BZ308" s="431">
        <f>'Fiche info Avenant 3'!$AJ$12</f>
        <v>0</v>
      </c>
      <c r="CA308" s="431">
        <f>'Fiche info Avenant 3'!$AK$12</f>
        <v>0</v>
      </c>
      <c r="CB308" s="431">
        <f>'Fiche info Avenant 3'!$AL$12</f>
        <v>0</v>
      </c>
      <c r="CC308" s="431">
        <f>'Fiche info Avenant 3'!$AM$12</f>
        <v>0</v>
      </c>
      <c r="CD308" s="431">
        <f>'Fiche info Avenant 3'!$AN$12</f>
        <v>0</v>
      </c>
      <c r="CE308" s="431">
        <f>'Fiche info Avenant 3'!$AO$12</f>
        <v>0</v>
      </c>
      <c r="CF308" s="431">
        <f>'Fiche info Avenant 3'!$AP$12</f>
        <v>0</v>
      </c>
      <c r="ED308" s="16" t="str">
        <f t="shared" si="82"/>
        <v>Fiche info Avenant 3D</v>
      </c>
      <c r="EE308" s="16" t="str">
        <f t="shared" si="70"/>
        <v>Fiche info Avenant 3</v>
      </c>
      <c r="EF308" s="16" t="str">
        <f t="shared" si="71"/>
        <v>D</v>
      </c>
      <c r="EG308" s="16">
        <f t="shared" si="72"/>
        <v>6</v>
      </c>
      <c r="EH308" s="16" t="str">
        <f t="shared" si="73"/>
        <v>Samedi</v>
      </c>
      <c r="EI308" s="16" t="str">
        <f t="shared" si="74"/>
        <v/>
      </c>
      <c r="FB308" s="16" t="str">
        <f t="shared" si="77"/>
        <v/>
      </c>
      <c r="FC308" s="16" t="str">
        <f t="shared" si="78"/>
        <v/>
      </c>
      <c r="FD308" s="30">
        <f t="shared" si="69"/>
        <v>44044</v>
      </c>
      <c r="FE308" s="30" t="str">
        <f>+IFERROR(VLOOKUP(FD308,BDD,79,FALSE),"")</f>
        <v/>
      </c>
      <c r="FF308" s="30" t="str">
        <f>IFERROR(+VLOOKUP(FD308,BDD,80,FALSE),"")</f>
        <v/>
      </c>
      <c r="FG308" s="30" t="str">
        <f>+IFERROR(VLOOKUP(FD308,BDD,81,FALSE),"")</f>
        <v/>
      </c>
      <c r="FH308" s="30" t="str">
        <f>+IFERROR(VLOOKUP(FD308,BDD,82,FALSE),"")</f>
        <v/>
      </c>
      <c r="FW308" s="16" t="str">
        <f>Octobre!GB46</f>
        <v>442026</v>
      </c>
      <c r="FX308" s="16">
        <f>Octobre!GC46</f>
        <v>0</v>
      </c>
      <c r="HI308" s="85">
        <f>+Octobre!AB47</f>
        <v>46323</v>
      </c>
      <c r="HJ308" s="27" t="str">
        <f>+Octobre!AD47</f>
        <v/>
      </c>
      <c r="HK308" s="16">
        <f t="shared" si="79"/>
        <v>0</v>
      </c>
      <c r="HL308" s="16" t="str">
        <f>IF(AND(HI308&gt;=DATE(Identification!$B$60,5,1),HI308&lt;=DATE(Identification!$B$60,10,31),SUM(HK308:HK322)=12),"OUI","")</f>
        <v/>
      </c>
    </row>
    <row r="309" spans="1:220" x14ac:dyDescent="0.2">
      <c r="A309" s="16" t="str">
        <f t="shared" si="81"/>
        <v>Fiche info Avenant 3D7</v>
      </c>
      <c r="B309" s="16" t="str">
        <f t="shared" si="80"/>
        <v>Fiche info Avenant 3</v>
      </c>
      <c r="C309" s="27" t="s">
        <v>233</v>
      </c>
      <c r="D309" s="27">
        <v>7</v>
      </c>
      <c r="E309" s="16" t="s">
        <v>185</v>
      </c>
      <c r="F309" s="34" t="str">
        <f>IF(+'Fiche info Avenant 3'!$AR$13=0,"",'Fiche info Avenant 3'!$AR$13)</f>
        <v/>
      </c>
      <c r="G309" s="16">
        <f t="shared" si="75"/>
        <v>0</v>
      </c>
      <c r="BX309" s="16" t="str">
        <f t="shared" si="76"/>
        <v>Fiche info Avenant 3D7</v>
      </c>
      <c r="BY309" s="431">
        <f>'Fiche info Avenant 3'!$AI$13</f>
        <v>0</v>
      </c>
      <c r="BZ309" s="431">
        <f>'Fiche info Avenant 3'!$AJ$13</f>
        <v>0</v>
      </c>
      <c r="CA309" s="431">
        <f>'Fiche info Avenant 3'!$AK$13</f>
        <v>0</v>
      </c>
      <c r="CB309" s="431">
        <f>'Fiche info Avenant 3'!$AL$13</f>
        <v>0</v>
      </c>
      <c r="CC309" s="431">
        <f>'Fiche info Avenant 3'!$AM$13</f>
        <v>0</v>
      </c>
      <c r="CD309" s="431">
        <f>'Fiche info Avenant 3'!$AN$13</f>
        <v>0</v>
      </c>
      <c r="CE309" s="431">
        <f>'Fiche info Avenant 3'!$AO$13</f>
        <v>0</v>
      </c>
      <c r="CF309" s="431">
        <f>'Fiche info Avenant 3'!$AP$13</f>
        <v>0</v>
      </c>
      <c r="ED309" s="16" t="str">
        <f t="shared" si="82"/>
        <v>Fiche info Avenant 3D</v>
      </c>
      <c r="EE309" s="16" t="str">
        <f t="shared" si="70"/>
        <v>Fiche info Avenant 3</v>
      </c>
      <c r="EF309" s="16" t="str">
        <f t="shared" si="71"/>
        <v>D</v>
      </c>
      <c r="EG309" s="16">
        <f t="shared" si="72"/>
        <v>7</v>
      </c>
      <c r="EH309" s="16" t="str">
        <f t="shared" si="73"/>
        <v>Dimanche</v>
      </c>
      <c r="EI309" s="16" t="str">
        <f t="shared" si="74"/>
        <v/>
      </c>
      <c r="FB309" s="16" t="str">
        <f t="shared" si="77"/>
        <v/>
      </c>
      <c r="FC309" s="16" t="str">
        <f t="shared" si="78"/>
        <v/>
      </c>
      <c r="FD309" s="30">
        <f t="shared" si="69"/>
        <v>44044</v>
      </c>
      <c r="FE309" s="30" t="str">
        <f>+IFERROR(VLOOKUP(FD309,BDD,83,FALSE),"")</f>
        <v/>
      </c>
      <c r="FF309" s="30" t="str">
        <f>+IFERROR(VLOOKUP(FD309,BDD,84,FALSE),"")</f>
        <v/>
      </c>
      <c r="FG309" s="30" t="str">
        <f>+IFERROR(VLOOKUP(FD309,BDD,85,FALSE),"")</f>
        <v/>
      </c>
      <c r="FH309" s="30" t="str">
        <f>+IFERROR(VLOOKUP(FD309,BDD,86,FALSE),"")</f>
        <v/>
      </c>
      <c r="FW309" s="16" t="str">
        <f>Octobre!GB47</f>
        <v>442026</v>
      </c>
      <c r="FX309" s="16">
        <f>Octobre!GC47</f>
        <v>0</v>
      </c>
      <c r="HI309" s="85">
        <f>+Octobre!AB48</f>
        <v>46324</v>
      </c>
      <c r="HJ309" s="27" t="str">
        <f>+Octobre!AD48</f>
        <v/>
      </c>
      <c r="HK309" s="16">
        <f t="shared" si="79"/>
        <v>0</v>
      </c>
      <c r="HL309" s="16" t="str">
        <f>IF(AND(HI309&gt;=DATE(Identification!$B$60,5,1),HI309&lt;=DATE(Identification!$B$60,10,31),SUM(HK309:HK323)=12),"OUI","")</f>
        <v/>
      </c>
    </row>
    <row r="310" spans="1:220" x14ac:dyDescent="0.2">
      <c r="A310" s="16" t="str">
        <f t="shared" si="81"/>
        <v>Fiche info Avenant 3E1</v>
      </c>
      <c r="B310" s="16" t="str">
        <f t="shared" si="80"/>
        <v>Fiche info Avenant 3</v>
      </c>
      <c r="C310" s="27" t="s">
        <v>234</v>
      </c>
      <c r="D310" s="27">
        <v>1</v>
      </c>
      <c r="E310" s="16" t="s">
        <v>17</v>
      </c>
      <c r="F310" s="34" t="str">
        <f>IF(+'Fiche info Avenant 3'!$BC$7=0,"",'Fiche info Avenant 3'!$BC$7)</f>
        <v/>
      </c>
      <c r="G310" s="16">
        <f t="shared" si="75"/>
        <v>0</v>
      </c>
      <c r="BX310" s="16" t="str">
        <f t="shared" si="76"/>
        <v>Fiche info Avenant 3E1</v>
      </c>
      <c r="BY310" s="431">
        <f>'Fiche info Avenant 3'!$AT$7</f>
        <v>0</v>
      </c>
      <c r="BZ310" s="431">
        <f>'Fiche info Avenant 3'!$AU$7</f>
        <v>0</v>
      </c>
      <c r="CA310" s="431">
        <f>'Fiche info Avenant 3'!$AV$7</f>
        <v>0</v>
      </c>
      <c r="CB310" s="431">
        <f>'Fiche info Avenant 3'!$AW$7</f>
        <v>0</v>
      </c>
      <c r="CC310" s="431">
        <f>'Fiche info Avenant 3'!$AX$7</f>
        <v>0</v>
      </c>
      <c r="CD310" s="431">
        <f>'Fiche info Avenant 3'!$AY$7</f>
        <v>0</v>
      </c>
      <c r="CE310" s="431">
        <f>'Fiche info Avenant 3'!$AZ$7</f>
        <v>0</v>
      </c>
      <c r="CF310" s="431">
        <f>'Fiche info Avenant 3'!$BA$7</f>
        <v>0</v>
      </c>
      <c r="ED310" s="16" t="str">
        <f t="shared" si="82"/>
        <v>Fiche info Avenant 3E</v>
      </c>
      <c r="EE310" s="16" t="str">
        <f t="shared" si="70"/>
        <v>Fiche info Avenant 3</v>
      </c>
      <c r="EF310" s="16" t="str">
        <f t="shared" si="71"/>
        <v>E</v>
      </c>
      <c r="EG310" s="16">
        <f t="shared" si="72"/>
        <v>1</v>
      </c>
      <c r="EH310" s="16" t="str">
        <f t="shared" si="73"/>
        <v>Lundi</v>
      </c>
      <c r="EI310" s="16" t="str">
        <f t="shared" si="74"/>
        <v/>
      </c>
      <c r="FB310" s="16" t="str">
        <f t="shared" si="77"/>
        <v/>
      </c>
      <c r="FC310" s="16" t="str">
        <f t="shared" si="78"/>
        <v/>
      </c>
      <c r="FD310" s="30">
        <f t="shared" si="69"/>
        <v>44013</v>
      </c>
      <c r="FE310" s="30" t="str">
        <f>+IFERROR(VLOOKUP(FD310,BDD,71,FALSE),"")</f>
        <v/>
      </c>
      <c r="FF310" s="30" t="str">
        <f>IFERROR(+VLOOKUP(FD310,BDD,72,FALSE),"")</f>
        <v/>
      </c>
      <c r="FG310" s="30" t="str">
        <f>+IFERROR(VLOOKUP(FD310,BDD,73,FALSE),"")</f>
        <v/>
      </c>
      <c r="FH310" s="30" t="str">
        <f>+IFERROR(VLOOKUP(FD310,BDD,74,FALSE),"")</f>
        <v/>
      </c>
      <c r="FW310" s="16" t="str">
        <f>Octobre!GB48</f>
        <v>442026</v>
      </c>
      <c r="FX310" s="16">
        <f>Octobre!GC48</f>
        <v>0</v>
      </c>
      <c r="HI310" s="85">
        <f>+Octobre!AB49</f>
        <v>46325</v>
      </c>
      <c r="HJ310" s="27" t="str">
        <f>+Octobre!AD49</f>
        <v/>
      </c>
      <c r="HK310" s="16">
        <f t="shared" si="79"/>
        <v>0</v>
      </c>
      <c r="HL310" s="16" t="str">
        <f>IF(AND(HI310&gt;=DATE(Identification!$B$60,5,1),HI310&lt;=DATE(Identification!$B$60,10,31),SUM(HK310:HK324)=12),"OUI","")</f>
        <v/>
      </c>
    </row>
    <row r="311" spans="1:220" x14ac:dyDescent="0.2">
      <c r="A311" s="16" t="str">
        <f t="shared" si="81"/>
        <v>Fiche info Avenant 3E2</v>
      </c>
      <c r="B311" s="16" t="str">
        <f t="shared" si="80"/>
        <v>Fiche info Avenant 3</v>
      </c>
      <c r="C311" s="27" t="s">
        <v>234</v>
      </c>
      <c r="D311" s="27">
        <v>2</v>
      </c>
      <c r="E311" s="16" t="s">
        <v>18</v>
      </c>
      <c r="F311" s="34" t="str">
        <f>IF(+'Fiche info Avenant 3'!$BC$8=0,"",'Fiche info Avenant 3'!$BC$8)</f>
        <v/>
      </c>
      <c r="G311" s="16">
        <f t="shared" si="75"/>
        <v>0</v>
      </c>
      <c r="BX311" s="16" t="str">
        <f t="shared" si="76"/>
        <v>Fiche info Avenant 3E2</v>
      </c>
      <c r="BY311" s="431">
        <f>'Fiche info Avenant 3'!$AT$8</f>
        <v>0</v>
      </c>
      <c r="BZ311" s="431">
        <f>'Fiche info Avenant 3'!$AU$8</f>
        <v>0</v>
      </c>
      <c r="CA311" s="431">
        <f>'Fiche info Avenant 3'!$AV$8</f>
        <v>0</v>
      </c>
      <c r="CB311" s="431">
        <f>'Fiche info Avenant 3'!$AW$8</f>
        <v>0</v>
      </c>
      <c r="CC311" s="431">
        <f>'Fiche info Avenant 3'!$AX$8</f>
        <v>0</v>
      </c>
      <c r="CD311" s="431">
        <f>'Fiche info Avenant 3'!$AY$8</f>
        <v>0</v>
      </c>
      <c r="CE311" s="431">
        <f>'Fiche info Avenant 3'!$AZ$8</f>
        <v>0</v>
      </c>
      <c r="CF311" s="431">
        <f>'Fiche info Avenant 3'!$BA$8</f>
        <v>0</v>
      </c>
      <c r="ED311" s="16" t="str">
        <f t="shared" si="82"/>
        <v>Fiche info Avenant 3E</v>
      </c>
      <c r="EE311" s="16" t="str">
        <f t="shared" si="70"/>
        <v>Fiche info Avenant 3</v>
      </c>
      <c r="EF311" s="16" t="str">
        <f t="shared" si="71"/>
        <v>E</v>
      </c>
      <c r="EG311" s="16">
        <f t="shared" si="72"/>
        <v>2</v>
      </c>
      <c r="EH311" s="16" t="str">
        <f t="shared" si="73"/>
        <v>Mardi</v>
      </c>
      <c r="EI311" s="16" t="str">
        <f t="shared" si="74"/>
        <v/>
      </c>
      <c r="FB311" s="16" t="str">
        <f t="shared" si="77"/>
        <v/>
      </c>
      <c r="FC311" s="16" t="str">
        <f t="shared" si="78"/>
        <v/>
      </c>
      <c r="FD311" s="30">
        <f t="shared" si="69"/>
        <v>44013</v>
      </c>
      <c r="FE311" s="30" t="str">
        <f>+IFERROR(VLOOKUP(FD311,BDD,75,FALSE),"")</f>
        <v/>
      </c>
      <c r="FF311" s="30" t="str">
        <f>+IFERROR(VLOOKUP(FD311,BDD,76,FALSE),"")</f>
        <v/>
      </c>
      <c r="FG311" s="30" t="str">
        <f>IFERROR(+VLOOKUP(FD311,BDD,77,FALSE),"")</f>
        <v/>
      </c>
      <c r="FH311" s="30" t="str">
        <f>+IFERROR(VLOOKUP(FD311,BDD,78,FALSE),"")</f>
        <v/>
      </c>
      <c r="FW311" s="16" t="str">
        <f>Octobre!GB49</f>
        <v>442026</v>
      </c>
      <c r="FX311" s="16">
        <f>Octobre!GC49</f>
        <v>0</v>
      </c>
      <c r="HI311" s="85">
        <f>+Octobre!AB50</f>
        <v>46326</v>
      </c>
      <c r="HJ311" s="27" t="str">
        <f>+Octobre!AD50</f>
        <v/>
      </c>
      <c r="HK311" s="16">
        <f t="shared" si="79"/>
        <v>0</v>
      </c>
      <c r="HL311" s="16" t="str">
        <f>IF(AND(HI311&gt;=DATE(Identification!$B$60,5,1),HI311&lt;=DATE(Identification!$B$60,10,31),SUM(HK311:HK325)=12),"OUI","")</f>
        <v/>
      </c>
    </row>
    <row r="312" spans="1:220" x14ac:dyDescent="0.2">
      <c r="A312" s="16" t="str">
        <f t="shared" si="81"/>
        <v>Fiche info Avenant 3E3</v>
      </c>
      <c r="B312" s="16" t="str">
        <f t="shared" si="80"/>
        <v>Fiche info Avenant 3</v>
      </c>
      <c r="C312" s="27" t="s">
        <v>234</v>
      </c>
      <c r="D312" s="27">
        <v>3</v>
      </c>
      <c r="E312" s="16" t="s">
        <v>19</v>
      </c>
      <c r="F312" s="34" t="str">
        <f>IF(+'Fiche info Avenant 3'!$BC$9=0,"",'Fiche info Avenant 3'!$BC$9)</f>
        <v/>
      </c>
      <c r="G312" s="16">
        <f t="shared" si="75"/>
        <v>0</v>
      </c>
      <c r="BX312" s="16" t="str">
        <f t="shared" si="76"/>
        <v>Fiche info Avenant 3E3</v>
      </c>
      <c r="BY312" s="431">
        <f>'Fiche info Avenant 3'!$AT$9</f>
        <v>0</v>
      </c>
      <c r="BZ312" s="431">
        <f>'Fiche info Avenant 3'!$AU$9</f>
        <v>0</v>
      </c>
      <c r="CA312" s="431">
        <f>'Fiche info Avenant 3'!$AV$9</f>
        <v>0</v>
      </c>
      <c r="CB312" s="431">
        <f>'Fiche info Avenant 3'!$AW$9</f>
        <v>0</v>
      </c>
      <c r="CC312" s="431">
        <f>'Fiche info Avenant 3'!$AX$9</f>
        <v>0</v>
      </c>
      <c r="CD312" s="431">
        <f>'Fiche info Avenant 3'!$AY$9</f>
        <v>0</v>
      </c>
      <c r="CE312" s="431">
        <f>'Fiche info Avenant 3'!$AZ$9</f>
        <v>0</v>
      </c>
      <c r="CF312" s="431">
        <f>'Fiche info Avenant 3'!$BA$9</f>
        <v>0</v>
      </c>
      <c r="ED312" s="16" t="str">
        <f t="shared" si="82"/>
        <v>Fiche info Avenant 3E</v>
      </c>
      <c r="EE312" s="16" t="str">
        <f t="shared" si="70"/>
        <v>Fiche info Avenant 3</v>
      </c>
      <c r="EF312" s="16" t="str">
        <f t="shared" si="71"/>
        <v>E</v>
      </c>
      <c r="EG312" s="16">
        <f t="shared" si="72"/>
        <v>3</v>
      </c>
      <c r="EH312" s="16" t="str">
        <f t="shared" si="73"/>
        <v>Mercredi</v>
      </c>
      <c r="EI312" s="16" t="str">
        <f t="shared" si="74"/>
        <v/>
      </c>
      <c r="FB312" s="16" t="str">
        <f t="shared" si="77"/>
        <v/>
      </c>
      <c r="FC312" s="16" t="str">
        <f t="shared" si="78"/>
        <v/>
      </c>
      <c r="FD312" s="30">
        <f t="shared" si="69"/>
        <v>44013</v>
      </c>
      <c r="FE312" s="30" t="str">
        <f>+IFERROR(VLOOKUP(FD312,BDD,79,FALSE),"")</f>
        <v/>
      </c>
      <c r="FF312" s="30" t="str">
        <f>IFERROR(+VLOOKUP(FD312,BDD,80,FALSE),"")</f>
        <v/>
      </c>
      <c r="FG312" s="30" t="str">
        <f>+IFERROR(VLOOKUP(FD312,BDD,81,FALSE),"")</f>
        <v/>
      </c>
      <c r="FH312" s="30" t="str">
        <f>+IFERROR(VLOOKUP(FD312,BDD,82,FALSE),"")</f>
        <v/>
      </c>
      <c r="FW312" s="16" t="str">
        <f>Octobre!GB50</f>
        <v>442026</v>
      </c>
      <c r="FX312" s="16">
        <f>Octobre!GC50</f>
        <v>0</v>
      </c>
      <c r="HI312" s="85">
        <f>+Novembre!AB20</f>
        <v>46327</v>
      </c>
      <c r="HJ312" s="27" t="str">
        <f>+Novembre!AD20</f>
        <v/>
      </c>
      <c r="HK312" s="16">
        <f t="shared" si="79"/>
        <v>0</v>
      </c>
      <c r="HL312" s="16" t="str">
        <f>IF(AND(HI312&gt;=DATE(Identification!$B$60,5,1),HI312&lt;=DATE(Identification!$B$60,10,31),SUM(HK312:HK326)=12),"OUI","")</f>
        <v/>
      </c>
    </row>
    <row r="313" spans="1:220" x14ac:dyDescent="0.2">
      <c r="A313" s="16" t="str">
        <f t="shared" si="81"/>
        <v>Fiche info Avenant 3E4</v>
      </c>
      <c r="B313" s="16" t="str">
        <f t="shared" si="80"/>
        <v>Fiche info Avenant 3</v>
      </c>
      <c r="C313" s="27" t="s">
        <v>234</v>
      </c>
      <c r="D313" s="27">
        <v>4</v>
      </c>
      <c r="E313" s="16" t="s">
        <v>20</v>
      </c>
      <c r="F313" s="34" t="str">
        <f>IF(+'Fiche info Avenant 3'!$BC$10=0,"",'Fiche info Avenant 3'!$BC$10)</f>
        <v/>
      </c>
      <c r="G313" s="16">
        <f t="shared" si="75"/>
        <v>0</v>
      </c>
      <c r="BX313" s="16" t="str">
        <f t="shared" si="76"/>
        <v>Fiche info Avenant 3E4</v>
      </c>
      <c r="BY313" s="431">
        <f>'Fiche info Avenant 3'!$AT$10</f>
        <v>0</v>
      </c>
      <c r="BZ313" s="431">
        <f>'Fiche info Avenant 3'!$AU$10</f>
        <v>0</v>
      </c>
      <c r="CA313" s="431">
        <f>'Fiche info Avenant 3'!$AV$10</f>
        <v>0</v>
      </c>
      <c r="CB313" s="431">
        <f>'Fiche info Avenant 3'!$AW$10</f>
        <v>0</v>
      </c>
      <c r="CC313" s="431">
        <f>'Fiche info Avenant 3'!$AX$10</f>
        <v>0</v>
      </c>
      <c r="CD313" s="431">
        <f>'Fiche info Avenant 3'!$AY$10</f>
        <v>0</v>
      </c>
      <c r="CE313" s="431">
        <f>'Fiche info Avenant 3'!$AZ$10</f>
        <v>0</v>
      </c>
      <c r="CF313" s="431">
        <f>'Fiche info Avenant 3'!$BA$10</f>
        <v>0</v>
      </c>
      <c r="ED313" s="16" t="str">
        <f t="shared" si="82"/>
        <v>Fiche info Avenant 3E</v>
      </c>
      <c r="EE313" s="16" t="str">
        <f t="shared" si="70"/>
        <v>Fiche info Avenant 3</v>
      </c>
      <c r="EF313" s="16" t="str">
        <f t="shared" si="71"/>
        <v>E</v>
      </c>
      <c r="EG313" s="16">
        <f t="shared" si="72"/>
        <v>4</v>
      </c>
      <c r="EH313" s="16" t="str">
        <f t="shared" si="73"/>
        <v>Jeudi</v>
      </c>
      <c r="EI313" s="16" t="str">
        <f t="shared" si="74"/>
        <v/>
      </c>
      <c r="FB313" s="16" t="str">
        <f t="shared" si="77"/>
        <v/>
      </c>
      <c r="FC313" s="16" t="str">
        <f t="shared" si="78"/>
        <v/>
      </c>
      <c r="FD313" s="30">
        <f t="shared" si="69"/>
        <v>44013</v>
      </c>
      <c r="FE313" s="30" t="str">
        <f>+IFERROR(VLOOKUP(FD313,BDD,83,FALSE),"")</f>
        <v/>
      </c>
      <c r="FF313" s="30" t="str">
        <f>+IFERROR(VLOOKUP(FD313,BDD,84,FALSE),"")</f>
        <v/>
      </c>
      <c r="FG313" s="30" t="str">
        <f>+IFERROR(VLOOKUP(FD313,BDD,85,FALSE),"")</f>
        <v/>
      </c>
      <c r="FH313" s="30" t="str">
        <f>+IFERROR(VLOOKUP(FD313,BDD,86,FALSE),"")</f>
        <v/>
      </c>
      <c r="FW313" s="16" t="str">
        <f>Novembre!GB20</f>
        <v>442026</v>
      </c>
      <c r="FX313" s="16">
        <f>Novembre!GC20</f>
        <v>0</v>
      </c>
      <c r="HI313" s="85">
        <f>+Novembre!AB21</f>
        <v>46328</v>
      </c>
      <c r="HJ313" s="27" t="str">
        <f>+Novembre!AD21</f>
        <v/>
      </c>
      <c r="HK313" s="16">
        <f t="shared" si="79"/>
        <v>0</v>
      </c>
      <c r="HL313" s="16" t="str">
        <f>IF(AND(HI313&gt;=DATE(Identification!$B$60,5,1),HI313&lt;=DATE(Identification!$B$60,10,31),SUM(HK313:HK327)=12),"OUI","")</f>
        <v/>
      </c>
    </row>
    <row r="314" spans="1:220" x14ac:dyDescent="0.2">
      <c r="A314" s="16" t="str">
        <f t="shared" si="81"/>
        <v>Fiche info Avenant 3E5</v>
      </c>
      <c r="B314" s="16" t="str">
        <f t="shared" si="80"/>
        <v>Fiche info Avenant 3</v>
      </c>
      <c r="C314" s="27" t="s">
        <v>234</v>
      </c>
      <c r="D314" s="27">
        <v>5</v>
      </c>
      <c r="E314" s="16" t="s">
        <v>21</v>
      </c>
      <c r="F314" s="34" t="str">
        <f>IF(+'Fiche info Avenant 3'!$BC$11=0,"",'Fiche info Avenant 3'!$BC$11)</f>
        <v/>
      </c>
      <c r="G314" s="16">
        <f t="shared" si="75"/>
        <v>0</v>
      </c>
      <c r="BX314" s="16" t="str">
        <f t="shared" si="76"/>
        <v>Fiche info Avenant 3E5</v>
      </c>
      <c r="BY314" s="431">
        <f>'Fiche info Avenant 3'!$AT$11</f>
        <v>0</v>
      </c>
      <c r="BZ314" s="431">
        <f>'Fiche info Avenant 3'!$AU$11</f>
        <v>0</v>
      </c>
      <c r="CA314" s="431">
        <f>'Fiche info Avenant 3'!$AV$11</f>
        <v>0</v>
      </c>
      <c r="CB314" s="431">
        <f>'Fiche info Avenant 3'!$AW$11</f>
        <v>0</v>
      </c>
      <c r="CC314" s="431">
        <f>'Fiche info Avenant 3'!$AX$11</f>
        <v>0</v>
      </c>
      <c r="CD314" s="431">
        <f>'Fiche info Avenant 3'!$AY$11</f>
        <v>0</v>
      </c>
      <c r="CE314" s="431">
        <f>'Fiche info Avenant 3'!$AZ$11</f>
        <v>0</v>
      </c>
      <c r="CF314" s="431">
        <f>'Fiche info Avenant 3'!$BA$11</f>
        <v>0</v>
      </c>
      <c r="ED314" s="16" t="str">
        <f t="shared" si="82"/>
        <v>Fiche info Avenant 3E</v>
      </c>
      <c r="EE314" s="16" t="str">
        <f t="shared" si="70"/>
        <v>Fiche info Avenant 3</v>
      </c>
      <c r="EF314" s="16" t="str">
        <f t="shared" si="71"/>
        <v>E</v>
      </c>
      <c r="EG314" s="16">
        <f t="shared" si="72"/>
        <v>5</v>
      </c>
      <c r="EH314" s="16" t="str">
        <f t="shared" si="73"/>
        <v>Vendredi</v>
      </c>
      <c r="EI314" s="16" t="str">
        <f t="shared" si="74"/>
        <v/>
      </c>
      <c r="FB314" s="16" t="str">
        <f t="shared" si="77"/>
        <v/>
      </c>
      <c r="FC314" s="16" t="str">
        <f t="shared" si="78"/>
        <v/>
      </c>
      <c r="FD314" s="30">
        <f t="shared" si="69"/>
        <v>43983</v>
      </c>
      <c r="FE314" s="30" t="str">
        <f>+IFERROR(VLOOKUP(FD314,BDD,71,FALSE),"")</f>
        <v/>
      </c>
      <c r="FF314" s="30" t="str">
        <f>IFERROR(+VLOOKUP(FD314,BDD,72,FALSE),"")</f>
        <v/>
      </c>
      <c r="FG314" s="30" t="str">
        <f>+IFERROR(VLOOKUP(FD314,BDD,73,FALSE),"")</f>
        <v/>
      </c>
      <c r="FH314" s="30" t="str">
        <f>+IFERROR(VLOOKUP(FD314,BDD,74,FALSE),"")</f>
        <v/>
      </c>
      <c r="FW314" s="16" t="str">
        <f>Novembre!GB21</f>
        <v>452026</v>
      </c>
      <c r="FX314" s="16">
        <f>Novembre!GC21</f>
        <v>0</v>
      </c>
      <c r="HI314" s="85">
        <f>+Novembre!AB22</f>
        <v>46329</v>
      </c>
      <c r="HJ314" s="27" t="str">
        <f>+Novembre!AD22</f>
        <v/>
      </c>
      <c r="HK314" s="16">
        <f t="shared" si="79"/>
        <v>0</v>
      </c>
      <c r="HL314" s="16" t="str">
        <f>IF(AND(HI314&gt;=DATE(Identification!$B$60,5,1),HI314&lt;=DATE(Identification!$B$60,10,31),SUM(HK314:HK328)=12),"OUI","")</f>
        <v/>
      </c>
    </row>
    <row r="315" spans="1:220" x14ac:dyDescent="0.2">
      <c r="A315" s="16" t="str">
        <f t="shared" si="81"/>
        <v>Fiche info Avenant 3E6</v>
      </c>
      <c r="B315" s="16" t="str">
        <f t="shared" si="80"/>
        <v>Fiche info Avenant 3</v>
      </c>
      <c r="C315" s="27" t="s">
        <v>234</v>
      </c>
      <c r="D315" s="27">
        <v>6</v>
      </c>
      <c r="E315" s="16" t="s">
        <v>184</v>
      </c>
      <c r="F315" s="34" t="str">
        <f>IF(+'Fiche info Avenant 3'!$BC$12=0,"",'Fiche info Avenant 3'!$BC$12)</f>
        <v/>
      </c>
      <c r="G315" s="16">
        <f t="shared" si="75"/>
        <v>0</v>
      </c>
      <c r="BX315" s="16" t="str">
        <f t="shared" si="76"/>
        <v>Fiche info Avenant 3E6</v>
      </c>
      <c r="BY315" s="431">
        <f>'Fiche info Avenant 3'!$AT$12</f>
        <v>0</v>
      </c>
      <c r="BZ315" s="431">
        <f>'Fiche info Avenant 3'!$AU$12</f>
        <v>0</v>
      </c>
      <c r="CA315" s="431">
        <f>'Fiche info Avenant 3'!$AV$12</f>
        <v>0</v>
      </c>
      <c r="CB315" s="431">
        <f>'Fiche info Avenant 3'!$AW$12</f>
        <v>0</v>
      </c>
      <c r="CC315" s="431">
        <f>'Fiche info Avenant 3'!$AX$12</f>
        <v>0</v>
      </c>
      <c r="CD315" s="431">
        <f>'Fiche info Avenant 3'!$AY$12</f>
        <v>0</v>
      </c>
      <c r="CE315" s="431">
        <f>'Fiche info Avenant 3'!$AZ$12</f>
        <v>0</v>
      </c>
      <c r="CF315" s="431">
        <f>'Fiche info Avenant 3'!$BA$12</f>
        <v>0</v>
      </c>
      <c r="ED315" s="16" t="str">
        <f t="shared" si="82"/>
        <v>Fiche info Avenant 3E</v>
      </c>
      <c r="EE315" s="16" t="str">
        <f t="shared" si="70"/>
        <v>Fiche info Avenant 3</v>
      </c>
      <c r="EF315" s="16" t="str">
        <f t="shared" si="71"/>
        <v>E</v>
      </c>
      <c r="EG315" s="16">
        <f t="shared" si="72"/>
        <v>6</v>
      </c>
      <c r="EH315" s="16" t="str">
        <f t="shared" si="73"/>
        <v>Samedi</v>
      </c>
      <c r="EI315" s="16" t="str">
        <f t="shared" si="74"/>
        <v/>
      </c>
      <c r="FB315" s="16" t="str">
        <f t="shared" si="77"/>
        <v/>
      </c>
      <c r="FC315" s="16" t="str">
        <f t="shared" si="78"/>
        <v/>
      </c>
      <c r="FD315" s="30">
        <f t="shared" ref="FD315:FD378" si="83">+DATE(YEAR(FD311),MONTH(FD311)-1,DAY(FD311))</f>
        <v>43983</v>
      </c>
      <c r="FE315" s="30" t="str">
        <f>+IFERROR(VLOOKUP(FD315,BDD,75,FALSE),"")</f>
        <v/>
      </c>
      <c r="FF315" s="30" t="str">
        <f>+IFERROR(VLOOKUP(FD315,BDD,76,FALSE),"")</f>
        <v/>
      </c>
      <c r="FG315" s="30" t="str">
        <f>IFERROR(+VLOOKUP(FD315,BDD,77,FALSE),"")</f>
        <v/>
      </c>
      <c r="FH315" s="30" t="str">
        <f>+IFERROR(VLOOKUP(FD315,BDD,78,FALSE),"")</f>
        <v/>
      </c>
      <c r="FW315" s="16" t="str">
        <f>Novembre!GB22</f>
        <v>452026</v>
      </c>
      <c r="FX315" s="16">
        <f>Novembre!GC22</f>
        <v>0</v>
      </c>
      <c r="HI315" s="85">
        <f>+Novembre!AB23</f>
        <v>46330</v>
      </c>
      <c r="HJ315" s="27" t="str">
        <f>+Novembre!AD23</f>
        <v/>
      </c>
      <c r="HK315" s="16">
        <f t="shared" si="79"/>
        <v>0</v>
      </c>
      <c r="HL315" s="16" t="str">
        <f>IF(AND(HI315&gt;=DATE(Identification!$B$60,5,1),HI315&lt;=DATE(Identification!$B$60,10,31),SUM(HK315:HK329)=12),"OUI","")</f>
        <v/>
      </c>
    </row>
    <row r="316" spans="1:220" x14ac:dyDescent="0.2">
      <c r="A316" s="16" t="str">
        <f t="shared" si="81"/>
        <v>Fiche info Avenant 3E7</v>
      </c>
      <c r="B316" s="16" t="str">
        <f t="shared" si="80"/>
        <v>Fiche info Avenant 3</v>
      </c>
      <c r="C316" s="27" t="s">
        <v>234</v>
      </c>
      <c r="D316" s="27">
        <v>7</v>
      </c>
      <c r="E316" s="16" t="s">
        <v>185</v>
      </c>
      <c r="F316" s="34" t="str">
        <f>IF(+'Fiche info Avenant 3'!$BC$13=0,"",'Fiche info Avenant 3'!$BC$13)</f>
        <v/>
      </c>
      <c r="G316" s="16">
        <f t="shared" si="75"/>
        <v>0</v>
      </c>
      <c r="BX316" s="16" t="str">
        <f t="shared" si="76"/>
        <v>Fiche info Avenant 3E7</v>
      </c>
      <c r="BY316" s="431">
        <f>'Fiche info Avenant 3'!$AT$13</f>
        <v>0</v>
      </c>
      <c r="BZ316" s="431">
        <f>'Fiche info Avenant 3'!$AU$13</f>
        <v>0</v>
      </c>
      <c r="CA316" s="431">
        <f>'Fiche info Avenant 3'!$AV$13</f>
        <v>0</v>
      </c>
      <c r="CB316" s="431">
        <f>'Fiche info Avenant 3'!$AW$13</f>
        <v>0</v>
      </c>
      <c r="CC316" s="431">
        <f>'Fiche info Avenant 3'!$AX$13</f>
        <v>0</v>
      </c>
      <c r="CD316" s="431">
        <f>'Fiche info Avenant 3'!$AY$13</f>
        <v>0</v>
      </c>
      <c r="CE316" s="431">
        <f>'Fiche info Avenant 3'!$AZ$13</f>
        <v>0</v>
      </c>
      <c r="CF316" s="431">
        <f>'Fiche info Avenant 3'!$BA$13</f>
        <v>0</v>
      </c>
      <c r="ED316" s="16" t="str">
        <f t="shared" si="82"/>
        <v>Fiche info Avenant 3E</v>
      </c>
      <c r="EE316" s="16" t="str">
        <f t="shared" si="70"/>
        <v>Fiche info Avenant 3</v>
      </c>
      <c r="EF316" s="16" t="str">
        <f t="shared" si="71"/>
        <v>E</v>
      </c>
      <c r="EG316" s="16">
        <f t="shared" si="72"/>
        <v>7</v>
      </c>
      <c r="EH316" s="16" t="str">
        <f t="shared" si="73"/>
        <v>Dimanche</v>
      </c>
      <c r="EI316" s="16" t="str">
        <f t="shared" si="74"/>
        <v/>
      </c>
      <c r="FB316" s="16" t="str">
        <f t="shared" si="77"/>
        <v/>
      </c>
      <c r="FC316" s="16" t="str">
        <f t="shared" si="78"/>
        <v/>
      </c>
      <c r="FD316" s="30">
        <f t="shared" si="83"/>
        <v>43983</v>
      </c>
      <c r="FE316" s="30" t="str">
        <f>+IFERROR(VLOOKUP(FD316,BDD,79,FALSE),"")</f>
        <v/>
      </c>
      <c r="FF316" s="30" t="str">
        <f>IFERROR(+VLOOKUP(FD316,BDD,80,FALSE),"")</f>
        <v/>
      </c>
      <c r="FG316" s="30" t="str">
        <f>+IFERROR(VLOOKUP(FD316,BDD,81,FALSE),"")</f>
        <v/>
      </c>
      <c r="FH316" s="30" t="str">
        <f>+IFERROR(VLOOKUP(FD316,BDD,82,FALSE),"")</f>
        <v/>
      </c>
      <c r="FW316" s="16" t="str">
        <f>Novembre!GB23</f>
        <v>452026</v>
      </c>
      <c r="FX316" s="16">
        <f>Novembre!GC23</f>
        <v>0</v>
      </c>
      <c r="HI316" s="85">
        <f>+Novembre!AB24</f>
        <v>46331</v>
      </c>
      <c r="HJ316" s="27" t="str">
        <f>+Novembre!AD24</f>
        <v/>
      </c>
      <c r="HK316" s="16">
        <f t="shared" si="79"/>
        <v>0</v>
      </c>
      <c r="HL316" s="16" t="str">
        <f>IF(AND(HI316&gt;=DATE(Identification!$B$60,5,1),HI316&lt;=DATE(Identification!$B$60,10,31),SUM(HK316:HK330)=12),"OUI","")</f>
        <v/>
      </c>
    </row>
    <row r="317" spans="1:220" x14ac:dyDescent="0.2">
      <c r="A317" s="16" t="str">
        <f t="shared" si="81"/>
        <v>Fiche info Avenant 3F1</v>
      </c>
      <c r="B317" s="16" t="str">
        <f t="shared" si="80"/>
        <v>Fiche info Avenant 3</v>
      </c>
      <c r="C317" s="27" t="s">
        <v>235</v>
      </c>
      <c r="D317" s="27">
        <v>1</v>
      </c>
      <c r="E317" s="16" t="s">
        <v>17</v>
      </c>
      <c r="F317" s="34" t="str">
        <f>+IF('Fiche info Avenant 3'!$BN$7=0,"",'Fiche info Avenant 3'!$BN$7)</f>
        <v/>
      </c>
      <c r="G317" s="16">
        <f t="shared" si="75"/>
        <v>0</v>
      </c>
      <c r="BX317" s="16" t="str">
        <f t="shared" si="76"/>
        <v>Fiche info Avenant 3F1</v>
      </c>
      <c r="BY317" s="431">
        <f>'Fiche info Avenant 3'!$BE$7</f>
        <v>0</v>
      </c>
      <c r="BZ317" s="431">
        <f>'Fiche info Avenant 3'!$BF$7</f>
        <v>0</v>
      </c>
      <c r="CA317" s="431">
        <f>'Fiche info Avenant 3'!$BG$7</f>
        <v>0</v>
      </c>
      <c r="CB317" s="431">
        <f>'Fiche info Avenant 3'!$BH$7</f>
        <v>0</v>
      </c>
      <c r="CC317" s="431">
        <f>'Fiche info Avenant 3'!$BI$7</f>
        <v>0</v>
      </c>
      <c r="CD317" s="431">
        <f>'Fiche info Avenant 3'!$BJ$7</f>
        <v>0</v>
      </c>
      <c r="CE317" s="431">
        <f>'Fiche info Avenant 3'!$BK$7</f>
        <v>0</v>
      </c>
      <c r="CF317" s="431">
        <f>'Fiche info Avenant 3'!$BL$7</f>
        <v>0</v>
      </c>
      <c r="ED317" s="16" t="str">
        <f t="shared" si="82"/>
        <v>Fiche info Avenant 3F</v>
      </c>
      <c r="EE317" s="16" t="str">
        <f t="shared" si="70"/>
        <v>Fiche info Avenant 3</v>
      </c>
      <c r="EF317" s="16" t="str">
        <f t="shared" si="71"/>
        <v>F</v>
      </c>
      <c r="EG317" s="16">
        <f t="shared" si="72"/>
        <v>1</v>
      </c>
      <c r="EH317" s="16" t="str">
        <f t="shared" si="73"/>
        <v>Lundi</v>
      </c>
      <c r="EI317" s="16" t="str">
        <f t="shared" si="74"/>
        <v/>
      </c>
      <c r="FB317" s="16" t="str">
        <f t="shared" si="77"/>
        <v/>
      </c>
      <c r="FC317" s="16" t="str">
        <f t="shared" si="78"/>
        <v/>
      </c>
      <c r="FD317" s="30">
        <f t="shared" si="83"/>
        <v>43983</v>
      </c>
      <c r="FE317" s="30" t="str">
        <f>+IFERROR(VLOOKUP(FD317,BDD,83,FALSE),"")</f>
        <v/>
      </c>
      <c r="FF317" s="30" t="str">
        <f>+IFERROR(VLOOKUP(FD317,BDD,84,FALSE),"")</f>
        <v/>
      </c>
      <c r="FG317" s="30" t="str">
        <f>+IFERROR(VLOOKUP(FD317,BDD,85,FALSE),"")</f>
        <v/>
      </c>
      <c r="FH317" s="30" t="str">
        <f>+IFERROR(VLOOKUP(FD317,BDD,86,FALSE),"")</f>
        <v/>
      </c>
      <c r="FW317" s="16" t="str">
        <f>Novembre!GB24</f>
        <v>452026</v>
      </c>
      <c r="FX317" s="16">
        <f>Novembre!GC24</f>
        <v>0</v>
      </c>
      <c r="HI317" s="85">
        <f>+Novembre!AB25</f>
        <v>46332</v>
      </c>
      <c r="HJ317" s="27" t="str">
        <f>+Novembre!AD25</f>
        <v/>
      </c>
      <c r="HK317" s="16">
        <f t="shared" si="79"/>
        <v>0</v>
      </c>
      <c r="HL317" s="16" t="str">
        <f>IF(AND(HI317&gt;=DATE(Identification!$B$60,5,1),HI317&lt;=DATE(Identification!$B$60,10,31),SUM(HK317:HK331)=12),"OUI","")</f>
        <v/>
      </c>
    </row>
    <row r="318" spans="1:220" x14ac:dyDescent="0.2">
      <c r="A318" s="16" t="str">
        <f t="shared" si="81"/>
        <v>Fiche info Avenant 3F2</v>
      </c>
      <c r="B318" s="16" t="str">
        <f t="shared" si="80"/>
        <v>Fiche info Avenant 3</v>
      </c>
      <c r="C318" s="27" t="s">
        <v>235</v>
      </c>
      <c r="D318" s="27">
        <v>2</v>
      </c>
      <c r="E318" s="16" t="s">
        <v>18</v>
      </c>
      <c r="F318" s="34" t="str">
        <f>+IF('Fiche info Avenant 3'!$BN$8=0,"",'Fiche info Avenant 3'!$BN$8)</f>
        <v/>
      </c>
      <c r="G318" s="16">
        <f t="shared" si="75"/>
        <v>0</v>
      </c>
      <c r="BX318" s="16" t="str">
        <f t="shared" si="76"/>
        <v>Fiche info Avenant 3F2</v>
      </c>
      <c r="BY318" s="431">
        <f>'Fiche info Avenant 3'!$BE$8</f>
        <v>0</v>
      </c>
      <c r="BZ318" s="431">
        <f>'Fiche info Avenant 3'!$BF$8</f>
        <v>0</v>
      </c>
      <c r="CA318" s="431">
        <f>'Fiche info Avenant 3'!$BG$8</f>
        <v>0</v>
      </c>
      <c r="CB318" s="431">
        <f>'Fiche info Avenant 3'!$BH$8</f>
        <v>0</v>
      </c>
      <c r="CC318" s="431">
        <f>'Fiche info Avenant 3'!$BI$8</f>
        <v>0</v>
      </c>
      <c r="CD318" s="431">
        <f>'Fiche info Avenant 3'!$BJ$8</f>
        <v>0</v>
      </c>
      <c r="CE318" s="431">
        <f>'Fiche info Avenant 3'!$BK$8</f>
        <v>0</v>
      </c>
      <c r="CF318" s="431">
        <f>'Fiche info Avenant 3'!$BL$8</f>
        <v>0</v>
      </c>
      <c r="ED318" s="16" t="str">
        <f t="shared" si="82"/>
        <v>Fiche info Avenant 3F</v>
      </c>
      <c r="EE318" s="16" t="str">
        <f t="shared" si="70"/>
        <v>Fiche info Avenant 3</v>
      </c>
      <c r="EF318" s="16" t="str">
        <f t="shared" si="71"/>
        <v>F</v>
      </c>
      <c r="EG318" s="16">
        <f t="shared" si="72"/>
        <v>2</v>
      </c>
      <c r="EH318" s="16" t="str">
        <f t="shared" si="73"/>
        <v>Mardi</v>
      </c>
      <c r="EI318" s="16" t="str">
        <f t="shared" si="74"/>
        <v/>
      </c>
      <c r="FB318" s="16" t="str">
        <f t="shared" si="77"/>
        <v/>
      </c>
      <c r="FC318" s="16" t="str">
        <f t="shared" si="78"/>
        <v/>
      </c>
      <c r="FD318" s="30">
        <f t="shared" si="83"/>
        <v>43952</v>
      </c>
      <c r="FE318" s="30" t="str">
        <f>+IFERROR(VLOOKUP(FD318,BDD,71,FALSE),"")</f>
        <v/>
      </c>
      <c r="FF318" s="30" t="str">
        <f>IFERROR(+VLOOKUP(FD318,BDD,72,FALSE),"")</f>
        <v/>
      </c>
      <c r="FG318" s="30" t="str">
        <f>+IFERROR(VLOOKUP(FD318,BDD,73,FALSE),"")</f>
        <v/>
      </c>
      <c r="FH318" s="30" t="str">
        <f>+IFERROR(VLOOKUP(FD318,BDD,74,FALSE),"")</f>
        <v/>
      </c>
      <c r="FW318" s="16" t="str">
        <f>Novembre!GB25</f>
        <v>452026</v>
      </c>
      <c r="FX318" s="16">
        <f>Novembre!GC25</f>
        <v>0</v>
      </c>
      <c r="HI318" s="85">
        <f>+Novembre!AB26</f>
        <v>46333</v>
      </c>
      <c r="HJ318" s="27" t="str">
        <f>+Novembre!AD26</f>
        <v/>
      </c>
      <c r="HK318" s="16">
        <f t="shared" si="79"/>
        <v>0</v>
      </c>
      <c r="HL318" s="16" t="str">
        <f>IF(AND(HI318&gt;=DATE(Identification!$B$60,5,1),HI318&lt;=DATE(Identification!$B$60,10,31),SUM(HK318:HK332)=12),"OUI","")</f>
        <v/>
      </c>
    </row>
    <row r="319" spans="1:220" x14ac:dyDescent="0.2">
      <c r="A319" s="16" t="str">
        <f t="shared" si="81"/>
        <v>Fiche info Avenant 3F3</v>
      </c>
      <c r="B319" s="16" t="str">
        <f t="shared" si="80"/>
        <v>Fiche info Avenant 3</v>
      </c>
      <c r="C319" s="27" t="s">
        <v>235</v>
      </c>
      <c r="D319" s="27">
        <v>3</v>
      </c>
      <c r="E319" s="16" t="s">
        <v>19</v>
      </c>
      <c r="F319" s="34" t="str">
        <f>+IF('Fiche info Avenant 3'!$BN$9=0,"",'Fiche info Avenant 3'!$BN$9)</f>
        <v/>
      </c>
      <c r="G319" s="16">
        <f t="shared" si="75"/>
        <v>0</v>
      </c>
      <c r="BX319" s="16" t="str">
        <f t="shared" si="76"/>
        <v>Fiche info Avenant 3F3</v>
      </c>
      <c r="BY319" s="431">
        <f>'Fiche info Avenant 3'!$BE$9</f>
        <v>0</v>
      </c>
      <c r="BZ319" s="431">
        <f>'Fiche info Avenant 3'!$BF$9</f>
        <v>0</v>
      </c>
      <c r="CA319" s="431">
        <f>'Fiche info Avenant 3'!$BG$9</f>
        <v>0</v>
      </c>
      <c r="CB319" s="431">
        <f>'Fiche info Avenant 3'!$BH$9</f>
        <v>0</v>
      </c>
      <c r="CC319" s="431">
        <f>'Fiche info Avenant 3'!$BI$9</f>
        <v>0</v>
      </c>
      <c r="CD319" s="431">
        <f>'Fiche info Avenant 3'!$BJ$9</f>
        <v>0</v>
      </c>
      <c r="CE319" s="431">
        <f>'Fiche info Avenant 3'!$BK$9</f>
        <v>0</v>
      </c>
      <c r="CF319" s="431">
        <f>'Fiche info Avenant 3'!$BL$9</f>
        <v>0</v>
      </c>
      <c r="ED319" s="16" t="str">
        <f t="shared" si="82"/>
        <v>Fiche info Avenant 3F</v>
      </c>
      <c r="EE319" s="16" t="str">
        <f t="shared" si="70"/>
        <v>Fiche info Avenant 3</v>
      </c>
      <c r="EF319" s="16" t="str">
        <f t="shared" si="71"/>
        <v>F</v>
      </c>
      <c r="EG319" s="16">
        <f t="shared" si="72"/>
        <v>3</v>
      </c>
      <c r="EH319" s="16" t="str">
        <f t="shared" si="73"/>
        <v>Mercredi</v>
      </c>
      <c r="EI319" s="16" t="str">
        <f t="shared" si="74"/>
        <v/>
      </c>
      <c r="FB319" s="16" t="str">
        <f t="shared" si="77"/>
        <v/>
      </c>
      <c r="FC319" s="16" t="str">
        <f t="shared" si="78"/>
        <v/>
      </c>
      <c r="FD319" s="30">
        <f t="shared" si="83"/>
        <v>43952</v>
      </c>
      <c r="FE319" s="30" t="str">
        <f>+IFERROR(VLOOKUP(FD319,BDD,75,FALSE),"")</f>
        <v/>
      </c>
      <c r="FF319" s="30" t="str">
        <f>+IFERROR(VLOOKUP(FD319,BDD,76,FALSE),"")</f>
        <v/>
      </c>
      <c r="FG319" s="30" t="str">
        <f>IFERROR(+VLOOKUP(FD319,BDD,77,FALSE),"")</f>
        <v/>
      </c>
      <c r="FH319" s="30" t="str">
        <f>+IFERROR(VLOOKUP(FD319,BDD,78,FALSE),"")</f>
        <v/>
      </c>
      <c r="FW319" s="16" t="str">
        <f>Novembre!GB26</f>
        <v>452026</v>
      </c>
      <c r="FX319" s="16">
        <f>Novembre!GC26</f>
        <v>0</v>
      </c>
      <c r="HI319" s="85">
        <f>+Novembre!AB27</f>
        <v>46334</v>
      </c>
      <c r="HJ319" s="27" t="str">
        <f>+Novembre!AD27</f>
        <v/>
      </c>
      <c r="HK319" s="16">
        <f t="shared" si="79"/>
        <v>0</v>
      </c>
      <c r="HL319" s="16" t="str">
        <f>IF(AND(HI319&gt;=DATE(Identification!$B$60,5,1),HI319&lt;=DATE(Identification!$B$60,10,31),SUM(HK319:HK333)=12),"OUI","")</f>
        <v/>
      </c>
    </row>
    <row r="320" spans="1:220" x14ac:dyDescent="0.2">
      <c r="A320" s="16" t="str">
        <f t="shared" si="81"/>
        <v>Fiche info Avenant 3F4</v>
      </c>
      <c r="B320" s="16" t="str">
        <f t="shared" si="80"/>
        <v>Fiche info Avenant 3</v>
      </c>
      <c r="C320" s="27" t="s">
        <v>235</v>
      </c>
      <c r="D320" s="27">
        <v>4</v>
      </c>
      <c r="E320" s="16" t="s">
        <v>20</v>
      </c>
      <c r="F320" s="34" t="str">
        <f>+IF('Fiche info Avenant 3'!$BN$10=0,"",'Fiche info Avenant 3'!$BN$10)</f>
        <v/>
      </c>
      <c r="G320" s="16">
        <f t="shared" si="75"/>
        <v>0</v>
      </c>
      <c r="BX320" s="16" t="str">
        <f t="shared" si="76"/>
        <v>Fiche info Avenant 3F4</v>
      </c>
      <c r="BY320" s="431">
        <f>'Fiche info Avenant 3'!$BE$10</f>
        <v>0</v>
      </c>
      <c r="BZ320" s="431">
        <f>'Fiche info Avenant 3'!$BF$10</f>
        <v>0</v>
      </c>
      <c r="CA320" s="431">
        <f>'Fiche info Avenant 3'!$BG$10</f>
        <v>0</v>
      </c>
      <c r="CB320" s="431">
        <f>'Fiche info Avenant 3'!$BH$10</f>
        <v>0</v>
      </c>
      <c r="CC320" s="431">
        <f>'Fiche info Avenant 3'!$BI$10</f>
        <v>0</v>
      </c>
      <c r="CD320" s="431">
        <f>'Fiche info Avenant 3'!$BJ$10</f>
        <v>0</v>
      </c>
      <c r="CE320" s="431">
        <f>'Fiche info Avenant 3'!$BK$10</f>
        <v>0</v>
      </c>
      <c r="CF320" s="431">
        <f>'Fiche info Avenant 3'!$BL$10</f>
        <v>0</v>
      </c>
      <c r="ED320" s="16" t="str">
        <f t="shared" si="82"/>
        <v>Fiche info Avenant 3F</v>
      </c>
      <c r="EE320" s="16" t="str">
        <f t="shared" si="70"/>
        <v>Fiche info Avenant 3</v>
      </c>
      <c r="EF320" s="16" t="str">
        <f t="shared" si="71"/>
        <v>F</v>
      </c>
      <c r="EG320" s="16">
        <f t="shared" si="72"/>
        <v>4</v>
      </c>
      <c r="EH320" s="16" t="str">
        <f t="shared" si="73"/>
        <v>Jeudi</v>
      </c>
      <c r="EI320" s="16" t="str">
        <f t="shared" si="74"/>
        <v/>
      </c>
      <c r="FB320" s="16" t="str">
        <f t="shared" si="77"/>
        <v/>
      </c>
      <c r="FC320" s="16" t="str">
        <f t="shared" si="78"/>
        <v/>
      </c>
      <c r="FD320" s="30">
        <f t="shared" si="83"/>
        <v>43952</v>
      </c>
      <c r="FE320" s="30" t="str">
        <f>+IFERROR(VLOOKUP(FD320,BDD,79,FALSE),"")</f>
        <v/>
      </c>
      <c r="FF320" s="30" t="str">
        <f>IFERROR(+VLOOKUP(FD320,BDD,80,FALSE),"")</f>
        <v/>
      </c>
      <c r="FG320" s="30" t="str">
        <f>+IFERROR(VLOOKUP(FD320,BDD,81,FALSE),"")</f>
        <v/>
      </c>
      <c r="FH320" s="30" t="str">
        <f>+IFERROR(VLOOKUP(FD320,BDD,82,FALSE),"")</f>
        <v/>
      </c>
      <c r="FW320" s="16" t="str">
        <f>Novembre!GB27</f>
        <v>452026</v>
      </c>
      <c r="FX320" s="16">
        <f>Novembre!GC27</f>
        <v>0</v>
      </c>
      <c r="HI320" s="85">
        <f>+Novembre!AB28</f>
        <v>46335</v>
      </c>
      <c r="HJ320" s="27" t="str">
        <f>+Novembre!AD28</f>
        <v/>
      </c>
      <c r="HK320" s="16">
        <f t="shared" si="79"/>
        <v>0</v>
      </c>
      <c r="HL320" s="16" t="str">
        <f>IF(AND(HI320&gt;=DATE(Identification!$B$60,5,1),HI320&lt;=DATE(Identification!$B$60,10,31),SUM(HK320:HK334)=12),"OUI","")</f>
        <v/>
      </c>
    </row>
    <row r="321" spans="1:220" x14ac:dyDescent="0.2">
      <c r="A321" s="16" t="str">
        <f t="shared" si="81"/>
        <v>Fiche info Avenant 3F5</v>
      </c>
      <c r="B321" s="16" t="str">
        <f t="shared" si="80"/>
        <v>Fiche info Avenant 3</v>
      </c>
      <c r="C321" s="27" t="s">
        <v>235</v>
      </c>
      <c r="D321" s="27">
        <v>5</v>
      </c>
      <c r="E321" s="16" t="s">
        <v>21</v>
      </c>
      <c r="F321" s="34" t="str">
        <f>+IF('Fiche info Avenant 3'!$BN$11=0,"",'Fiche info Avenant 3'!$BN$11)</f>
        <v/>
      </c>
      <c r="G321" s="16">
        <f t="shared" si="75"/>
        <v>0</v>
      </c>
      <c r="BX321" s="16" t="str">
        <f t="shared" si="76"/>
        <v>Fiche info Avenant 3F5</v>
      </c>
      <c r="BY321" s="431">
        <f>'Fiche info Avenant 3'!$BE$11</f>
        <v>0</v>
      </c>
      <c r="BZ321" s="431">
        <f>'Fiche info Avenant 3'!$BF$11</f>
        <v>0</v>
      </c>
      <c r="CA321" s="431">
        <f>'Fiche info Avenant 3'!$BG$11</f>
        <v>0</v>
      </c>
      <c r="CB321" s="431">
        <f>'Fiche info Avenant 3'!$BH$11</f>
        <v>0</v>
      </c>
      <c r="CC321" s="431">
        <f>'Fiche info Avenant 3'!$BI$11</f>
        <v>0</v>
      </c>
      <c r="CD321" s="431">
        <f>'Fiche info Avenant 3'!$BJ$11</f>
        <v>0</v>
      </c>
      <c r="CE321" s="431">
        <f>'Fiche info Avenant 3'!$BK$11</f>
        <v>0</v>
      </c>
      <c r="CF321" s="431">
        <f>'Fiche info Avenant 3'!$BL$11</f>
        <v>0</v>
      </c>
      <c r="ED321" s="16" t="str">
        <f t="shared" si="82"/>
        <v>Fiche info Avenant 3F</v>
      </c>
      <c r="EE321" s="16" t="str">
        <f t="shared" ref="EE321:EE384" si="84">B321</f>
        <v>Fiche info Avenant 3</v>
      </c>
      <c r="EF321" s="16" t="str">
        <f t="shared" ref="EF321:EF384" si="85">C321</f>
        <v>F</v>
      </c>
      <c r="EG321" s="16">
        <f t="shared" ref="EG321:EG384" si="86">D321</f>
        <v>5</v>
      </c>
      <c r="EH321" s="16" t="str">
        <f t="shared" ref="EH321:EH384" si="87">E321</f>
        <v>Vendredi</v>
      </c>
      <c r="EI321" s="16" t="str">
        <f t="shared" ref="EI321:EI384" si="88">F321</f>
        <v/>
      </c>
      <c r="FB321" s="16" t="str">
        <f t="shared" si="77"/>
        <v/>
      </c>
      <c r="FC321" s="16" t="str">
        <f t="shared" si="78"/>
        <v/>
      </c>
      <c r="FD321" s="30">
        <f t="shared" si="83"/>
        <v>43952</v>
      </c>
      <c r="FE321" s="30" t="str">
        <f>+IFERROR(VLOOKUP(FD321,BDD,83,FALSE),"")</f>
        <v/>
      </c>
      <c r="FF321" s="30" t="str">
        <f>+IFERROR(VLOOKUP(FD321,BDD,84,FALSE),"")</f>
        <v/>
      </c>
      <c r="FG321" s="30" t="str">
        <f>+IFERROR(VLOOKUP(FD321,BDD,85,FALSE),"")</f>
        <v/>
      </c>
      <c r="FH321" s="30" t="str">
        <f>+IFERROR(VLOOKUP(FD321,BDD,86,FALSE),"")</f>
        <v/>
      </c>
      <c r="FW321" s="16" t="str">
        <f>Novembre!GB28</f>
        <v>462026</v>
      </c>
      <c r="FX321" s="16">
        <f>Novembre!GC28</f>
        <v>0</v>
      </c>
      <c r="HI321" s="85">
        <f>+Novembre!AB29</f>
        <v>46336</v>
      </c>
      <c r="HJ321" s="27" t="str">
        <f>+Novembre!AD29</f>
        <v/>
      </c>
      <c r="HK321" s="16">
        <f t="shared" si="79"/>
        <v>0</v>
      </c>
      <c r="HL321" s="16" t="str">
        <f>IF(AND(HI321&gt;=DATE(Identification!$B$60,5,1),HI321&lt;=DATE(Identification!$B$60,10,31),SUM(HK321:HK335)=12),"OUI","")</f>
        <v/>
      </c>
    </row>
    <row r="322" spans="1:220" x14ac:dyDescent="0.2">
      <c r="A322" s="16" t="str">
        <f t="shared" si="81"/>
        <v>Fiche info Avenant 3F6</v>
      </c>
      <c r="B322" s="16" t="str">
        <f t="shared" si="80"/>
        <v>Fiche info Avenant 3</v>
      </c>
      <c r="C322" s="27" t="s">
        <v>235</v>
      </c>
      <c r="D322" s="27">
        <v>6</v>
      </c>
      <c r="E322" s="16" t="s">
        <v>184</v>
      </c>
      <c r="F322" s="34" t="str">
        <f>+IF('Fiche info Avenant 3'!$BN$12=0,"",'Fiche info Avenant 3'!$BN$12)</f>
        <v/>
      </c>
      <c r="G322" s="16">
        <f t="shared" ref="G322:G385" si="89">+IF(OR(F322=0,F322=""),0,1)</f>
        <v>0</v>
      </c>
      <c r="BX322" s="16" t="str">
        <f t="shared" ref="BX322:BX385" si="90">A322</f>
        <v>Fiche info Avenant 3F6</v>
      </c>
      <c r="BY322" s="431">
        <f>'Fiche info Avenant 3'!$BE$12</f>
        <v>0</v>
      </c>
      <c r="BZ322" s="431">
        <f>'Fiche info Avenant 3'!$BF$12</f>
        <v>0</v>
      </c>
      <c r="CA322" s="431">
        <f>'Fiche info Avenant 3'!$BG$12</f>
        <v>0</v>
      </c>
      <c r="CB322" s="431">
        <f>'Fiche info Avenant 3'!$BH$12</f>
        <v>0</v>
      </c>
      <c r="CC322" s="431">
        <f>'Fiche info Avenant 3'!$BI$12</f>
        <v>0</v>
      </c>
      <c r="CD322" s="431">
        <f>'Fiche info Avenant 3'!$BJ$12</f>
        <v>0</v>
      </c>
      <c r="CE322" s="431">
        <f>'Fiche info Avenant 3'!$BK$12</f>
        <v>0</v>
      </c>
      <c r="CF322" s="431">
        <f>'Fiche info Avenant 3'!$BL$12</f>
        <v>0</v>
      </c>
      <c r="ED322" s="16" t="str">
        <f t="shared" si="82"/>
        <v>Fiche info Avenant 3F</v>
      </c>
      <c r="EE322" s="16" t="str">
        <f t="shared" si="84"/>
        <v>Fiche info Avenant 3</v>
      </c>
      <c r="EF322" s="16" t="str">
        <f t="shared" si="85"/>
        <v>F</v>
      </c>
      <c r="EG322" s="16">
        <f t="shared" si="86"/>
        <v>6</v>
      </c>
      <c r="EH322" s="16" t="str">
        <f t="shared" si="87"/>
        <v>Samedi</v>
      </c>
      <c r="EI322" s="16" t="str">
        <f t="shared" si="88"/>
        <v/>
      </c>
      <c r="FB322" s="16" t="str">
        <f t="shared" si="77"/>
        <v/>
      </c>
      <c r="FC322" s="16" t="str">
        <f t="shared" si="78"/>
        <v/>
      </c>
      <c r="FD322" s="30">
        <f t="shared" si="83"/>
        <v>43922</v>
      </c>
      <c r="FE322" s="30" t="str">
        <f>+IFERROR(VLOOKUP(FD322,BDD,71,FALSE),"")</f>
        <v/>
      </c>
      <c r="FF322" s="30" t="str">
        <f>IFERROR(+VLOOKUP(FD322,BDD,72,FALSE),"")</f>
        <v/>
      </c>
      <c r="FG322" s="30" t="str">
        <f>+IFERROR(VLOOKUP(FD322,BDD,73,FALSE),"")</f>
        <v/>
      </c>
      <c r="FH322" s="30" t="str">
        <f>+IFERROR(VLOOKUP(FD322,BDD,74,FALSE),"")</f>
        <v/>
      </c>
      <c r="FW322" s="16" t="str">
        <f>Novembre!GB29</f>
        <v>462026</v>
      </c>
      <c r="FX322" s="16">
        <f>Novembre!GC29</f>
        <v>0</v>
      </c>
      <c r="HI322" s="85">
        <f>+Novembre!AB30</f>
        <v>46337</v>
      </c>
      <c r="HJ322" s="27" t="str">
        <f>+Novembre!AD30</f>
        <v/>
      </c>
      <c r="HK322" s="16">
        <f t="shared" si="79"/>
        <v>0</v>
      </c>
      <c r="HL322" s="16" t="str">
        <f>IF(AND(HI322&gt;=DATE(Identification!$B$60,5,1),HI322&lt;=DATE(Identification!$B$60,10,31),SUM(HK322:HK336)=12),"OUI","")</f>
        <v/>
      </c>
    </row>
    <row r="323" spans="1:220" x14ac:dyDescent="0.2">
      <c r="A323" s="16" t="str">
        <f t="shared" si="81"/>
        <v>Fiche info Avenant 3F7</v>
      </c>
      <c r="B323" s="16" t="str">
        <f t="shared" si="80"/>
        <v>Fiche info Avenant 3</v>
      </c>
      <c r="C323" s="27" t="s">
        <v>235</v>
      </c>
      <c r="D323" s="27">
        <v>7</v>
      </c>
      <c r="E323" s="16" t="s">
        <v>185</v>
      </c>
      <c r="F323" s="34" t="str">
        <f>+IF('Fiche info Avenant 3'!$BN$13=0,"",'Fiche info Avenant 3'!$BN$13)</f>
        <v/>
      </c>
      <c r="G323" s="16">
        <f t="shared" si="89"/>
        <v>0</v>
      </c>
      <c r="BX323" s="16" t="str">
        <f t="shared" si="90"/>
        <v>Fiche info Avenant 3F7</v>
      </c>
      <c r="BY323" s="431">
        <f>'Fiche info Avenant 3'!$BE$13</f>
        <v>0</v>
      </c>
      <c r="BZ323" s="431">
        <f>'Fiche info Avenant 3'!$BF$13</f>
        <v>0</v>
      </c>
      <c r="CA323" s="431">
        <f>'Fiche info Avenant 3'!$BG$13</f>
        <v>0</v>
      </c>
      <c r="CB323" s="431">
        <f>'Fiche info Avenant 3'!$BH$13</f>
        <v>0</v>
      </c>
      <c r="CC323" s="431">
        <f>'Fiche info Avenant 3'!$BI$13</f>
        <v>0</v>
      </c>
      <c r="CD323" s="431">
        <f>'Fiche info Avenant 3'!$BJ$13</f>
        <v>0</v>
      </c>
      <c r="CE323" s="431">
        <f>'Fiche info Avenant 3'!$BK$13</f>
        <v>0</v>
      </c>
      <c r="CF323" s="431">
        <f>'Fiche info Avenant 3'!$BL$13</f>
        <v>0</v>
      </c>
      <c r="ED323" s="16" t="str">
        <f t="shared" si="82"/>
        <v>Fiche info Avenant 3F</v>
      </c>
      <c r="EE323" s="16" t="str">
        <f t="shared" si="84"/>
        <v>Fiche info Avenant 3</v>
      </c>
      <c r="EF323" s="16" t="str">
        <f t="shared" si="85"/>
        <v>F</v>
      </c>
      <c r="EG323" s="16">
        <f t="shared" si="86"/>
        <v>7</v>
      </c>
      <c r="EH323" s="16" t="str">
        <f t="shared" si="87"/>
        <v>Dimanche</v>
      </c>
      <c r="EI323" s="16" t="str">
        <f t="shared" si="88"/>
        <v/>
      </c>
      <c r="FB323" s="16" t="str">
        <f t="shared" ref="FB323:FB385" si="91">+IF(FE323=$EX$2,FE323&amp;FF323&amp;FG323,"")</f>
        <v/>
      </c>
      <c r="FC323" s="16" t="str">
        <f t="shared" ref="FC323:FC385" si="92">+IF(FE323=$EX$3,FE323&amp;FF323&amp;FG323,"")</f>
        <v/>
      </c>
      <c r="FD323" s="30">
        <f t="shared" si="83"/>
        <v>43922</v>
      </c>
      <c r="FE323" s="30" t="str">
        <f>+IFERROR(VLOOKUP(FD323,BDD,75,FALSE),"")</f>
        <v/>
      </c>
      <c r="FF323" s="30" t="str">
        <f>+IFERROR(VLOOKUP(FD323,BDD,76,FALSE),"")</f>
        <v/>
      </c>
      <c r="FG323" s="30" t="str">
        <f>IFERROR(+VLOOKUP(FD323,BDD,77,FALSE),"")</f>
        <v/>
      </c>
      <c r="FH323" s="30" t="str">
        <f>+IFERROR(VLOOKUP(FD323,BDD,78,FALSE),"")</f>
        <v/>
      </c>
      <c r="FW323" s="16" t="str">
        <f>Novembre!GB30</f>
        <v>462026</v>
      </c>
      <c r="FX323" s="16">
        <f>Novembre!GC30</f>
        <v>0</v>
      </c>
      <c r="HI323" s="85">
        <f>+Novembre!AB31</f>
        <v>46338</v>
      </c>
      <c r="HJ323" s="27" t="str">
        <f>+Novembre!AD31</f>
        <v/>
      </c>
      <c r="HK323" s="16">
        <f t="shared" ref="HK323:HK373" si="93">IF(HI323="",0,IF(AND(OR(HJ323=$BJ$3,HJ323=$BJ$4),WEEKDAY(HI323,2)&lt;7),1,0))</f>
        <v>0</v>
      </c>
      <c r="HL323" s="16" t="str">
        <f>IF(AND(HI323&gt;=DATE(Identification!$B$60,5,1),HI323&lt;=DATE(Identification!$B$60,10,31),SUM(HK323:HK337)=12),"OUI","")</f>
        <v/>
      </c>
    </row>
    <row r="324" spans="1:220" x14ac:dyDescent="0.2">
      <c r="A324" s="16" t="str">
        <f t="shared" si="81"/>
        <v>Fiche info Avenant 3G1</v>
      </c>
      <c r="B324" s="16" t="str">
        <f t="shared" si="80"/>
        <v>Fiche info Avenant 3</v>
      </c>
      <c r="C324" s="27" t="s">
        <v>236</v>
      </c>
      <c r="D324" s="27">
        <v>1</v>
      </c>
      <c r="E324" s="16" t="s">
        <v>17</v>
      </c>
      <c r="F324" s="34" t="str">
        <f>+IF('Fiche info Avenant 3'!$BY$7=0,"",'Fiche info Avenant 3'!$BY$7)</f>
        <v/>
      </c>
      <c r="G324" s="16">
        <f t="shared" si="89"/>
        <v>0</v>
      </c>
      <c r="BX324" s="16" t="str">
        <f t="shared" si="90"/>
        <v>Fiche info Avenant 3G1</v>
      </c>
      <c r="BY324" s="431">
        <f>'Fiche info Avenant 3'!$BP$7</f>
        <v>0</v>
      </c>
      <c r="BZ324" s="431">
        <f>'Fiche info Avenant 3'!$BQ$7</f>
        <v>0</v>
      </c>
      <c r="CA324" s="431">
        <f>'Fiche info Avenant 3'!$BR$7</f>
        <v>0</v>
      </c>
      <c r="CB324" s="431">
        <f>'Fiche info Avenant 3'!$BS$7</f>
        <v>0</v>
      </c>
      <c r="CC324" s="431">
        <f>'Fiche info Avenant 3'!$BT$7</f>
        <v>0</v>
      </c>
      <c r="CD324" s="431">
        <f>'Fiche info Avenant 3'!$BU$7</f>
        <v>0</v>
      </c>
      <c r="CE324" s="431">
        <f>'Fiche info Avenant 3'!$BV$7</f>
        <v>0</v>
      </c>
      <c r="CF324" s="431">
        <f>'Fiche info Avenant 3'!$BW$7</f>
        <v>0</v>
      </c>
      <c r="ED324" s="16" t="str">
        <f t="shared" si="82"/>
        <v>Fiche info Avenant 3G</v>
      </c>
      <c r="EE324" s="16" t="str">
        <f t="shared" si="84"/>
        <v>Fiche info Avenant 3</v>
      </c>
      <c r="EF324" s="16" t="str">
        <f t="shared" si="85"/>
        <v>G</v>
      </c>
      <c r="EG324" s="16">
        <f t="shared" si="86"/>
        <v>1</v>
      </c>
      <c r="EH324" s="16" t="str">
        <f t="shared" si="87"/>
        <v>Lundi</v>
      </c>
      <c r="EI324" s="16" t="str">
        <f t="shared" si="88"/>
        <v/>
      </c>
      <c r="FB324" s="16" t="str">
        <f t="shared" si="91"/>
        <v/>
      </c>
      <c r="FC324" s="16" t="str">
        <f t="shared" si="92"/>
        <v/>
      </c>
      <c r="FD324" s="30">
        <f t="shared" si="83"/>
        <v>43922</v>
      </c>
      <c r="FE324" s="30" t="str">
        <f>+IFERROR(VLOOKUP(FD324,BDD,79,FALSE),"")</f>
        <v/>
      </c>
      <c r="FF324" s="30" t="str">
        <f>IFERROR(+VLOOKUP(FD324,BDD,80,FALSE),"")</f>
        <v/>
      </c>
      <c r="FG324" s="30" t="str">
        <f>+IFERROR(VLOOKUP(FD324,BDD,81,FALSE),"")</f>
        <v/>
      </c>
      <c r="FH324" s="30" t="str">
        <f>+IFERROR(VLOOKUP(FD324,BDD,82,FALSE),"")</f>
        <v/>
      </c>
      <c r="FW324" s="16" t="str">
        <f>Novembre!GB31</f>
        <v>462026</v>
      </c>
      <c r="FX324" s="16">
        <f>Novembre!GC31</f>
        <v>0</v>
      </c>
      <c r="HI324" s="85">
        <f>+Novembre!AB32</f>
        <v>46339</v>
      </c>
      <c r="HJ324" s="27" t="str">
        <f>+Novembre!AD32</f>
        <v/>
      </c>
      <c r="HK324" s="16">
        <f t="shared" si="93"/>
        <v>0</v>
      </c>
      <c r="HL324" s="16" t="str">
        <f>IF(AND(HI324&gt;=DATE(Identification!$B$60,5,1),HI324&lt;=DATE(Identification!$B$60,10,31),SUM(HK324:HK338)=12),"OUI","")</f>
        <v/>
      </c>
    </row>
    <row r="325" spans="1:220" x14ac:dyDescent="0.2">
      <c r="A325" s="16" t="str">
        <f t="shared" si="81"/>
        <v>Fiche info Avenant 3G2</v>
      </c>
      <c r="B325" s="16" t="str">
        <f t="shared" si="80"/>
        <v>Fiche info Avenant 3</v>
      </c>
      <c r="C325" s="27" t="s">
        <v>236</v>
      </c>
      <c r="D325" s="27">
        <v>2</v>
      </c>
      <c r="E325" s="16" t="s">
        <v>18</v>
      </c>
      <c r="F325" s="34" t="str">
        <f>+IF('Fiche info Avenant 3'!$BY$8=0,"",'Fiche info Avenant 3'!$BY$8)</f>
        <v/>
      </c>
      <c r="G325" s="16">
        <f t="shared" si="89"/>
        <v>0</v>
      </c>
      <c r="BX325" s="16" t="str">
        <f t="shared" si="90"/>
        <v>Fiche info Avenant 3G2</v>
      </c>
      <c r="BY325" s="431">
        <f>'Fiche info Avenant 3'!$BP$8</f>
        <v>0</v>
      </c>
      <c r="BZ325" s="431">
        <f>'Fiche info Avenant 3'!$BQ$8</f>
        <v>0</v>
      </c>
      <c r="CA325" s="431">
        <f>'Fiche info Avenant 3'!$BR$8</f>
        <v>0</v>
      </c>
      <c r="CB325" s="431">
        <f>'Fiche info Avenant 3'!$BS$8</f>
        <v>0</v>
      </c>
      <c r="CC325" s="431">
        <f>'Fiche info Avenant 3'!$BT$8</f>
        <v>0</v>
      </c>
      <c r="CD325" s="431">
        <f>'Fiche info Avenant 3'!$BU$8</f>
        <v>0</v>
      </c>
      <c r="CE325" s="431">
        <f>'Fiche info Avenant 3'!$BV$8</f>
        <v>0</v>
      </c>
      <c r="CF325" s="431">
        <f>'Fiche info Avenant 3'!$BW$8</f>
        <v>0</v>
      </c>
      <c r="ED325" s="16" t="str">
        <f t="shared" si="82"/>
        <v>Fiche info Avenant 3G</v>
      </c>
      <c r="EE325" s="16" t="str">
        <f t="shared" si="84"/>
        <v>Fiche info Avenant 3</v>
      </c>
      <c r="EF325" s="16" t="str">
        <f t="shared" si="85"/>
        <v>G</v>
      </c>
      <c r="EG325" s="16">
        <f t="shared" si="86"/>
        <v>2</v>
      </c>
      <c r="EH325" s="16" t="str">
        <f t="shared" si="87"/>
        <v>Mardi</v>
      </c>
      <c r="EI325" s="16" t="str">
        <f t="shared" si="88"/>
        <v/>
      </c>
      <c r="FB325" s="16" t="str">
        <f t="shared" si="91"/>
        <v/>
      </c>
      <c r="FC325" s="16" t="str">
        <f t="shared" si="92"/>
        <v/>
      </c>
      <c r="FD325" s="30">
        <f t="shared" si="83"/>
        <v>43922</v>
      </c>
      <c r="FE325" s="30" t="str">
        <f>+IFERROR(VLOOKUP(FD325,BDD,83,FALSE),"")</f>
        <v/>
      </c>
      <c r="FF325" s="30" t="str">
        <f>+IFERROR(VLOOKUP(FD325,BDD,84,FALSE),"")</f>
        <v/>
      </c>
      <c r="FG325" s="30" t="str">
        <f>+IFERROR(VLOOKUP(FD325,BDD,85,FALSE),"")</f>
        <v/>
      </c>
      <c r="FH325" s="30" t="str">
        <f>+IFERROR(VLOOKUP(FD325,BDD,86,FALSE),"")</f>
        <v/>
      </c>
      <c r="FW325" s="16" t="str">
        <f>Novembre!GB32</f>
        <v>462026</v>
      </c>
      <c r="FX325" s="16">
        <f>Novembre!GC32</f>
        <v>0</v>
      </c>
      <c r="HI325" s="85">
        <f>+Novembre!AB33</f>
        <v>46340</v>
      </c>
      <c r="HJ325" s="27" t="str">
        <f>+Novembre!AD33</f>
        <v/>
      </c>
      <c r="HK325" s="16">
        <f t="shared" si="93"/>
        <v>0</v>
      </c>
      <c r="HL325" s="16" t="str">
        <f>IF(AND(HI325&gt;=DATE(Identification!$B$60,5,1),HI325&lt;=DATE(Identification!$B$60,10,31),SUM(HK325:HK339)=12),"OUI","")</f>
        <v/>
      </c>
    </row>
    <row r="326" spans="1:220" x14ac:dyDescent="0.2">
      <c r="A326" s="16" t="str">
        <f t="shared" si="81"/>
        <v>Fiche info Avenant 3G3</v>
      </c>
      <c r="B326" s="16" t="str">
        <f t="shared" si="80"/>
        <v>Fiche info Avenant 3</v>
      </c>
      <c r="C326" s="27" t="s">
        <v>236</v>
      </c>
      <c r="D326" s="27">
        <v>3</v>
      </c>
      <c r="E326" s="16" t="s">
        <v>19</v>
      </c>
      <c r="F326" s="34" t="str">
        <f>+IF('Fiche info Avenant 3'!$BY$9=0,"",'Fiche info Avenant 3'!$BY$9)</f>
        <v/>
      </c>
      <c r="G326" s="16">
        <f t="shared" si="89"/>
        <v>0</v>
      </c>
      <c r="BX326" s="16" t="str">
        <f t="shared" si="90"/>
        <v>Fiche info Avenant 3G3</v>
      </c>
      <c r="BY326" s="431">
        <f>'Fiche info Avenant 3'!$BP$9</f>
        <v>0</v>
      </c>
      <c r="BZ326" s="431">
        <f>'Fiche info Avenant 3'!$BQ$9</f>
        <v>0</v>
      </c>
      <c r="CA326" s="431">
        <f>'Fiche info Avenant 3'!$BR$9</f>
        <v>0</v>
      </c>
      <c r="CB326" s="431">
        <f>'Fiche info Avenant 3'!$BS$9</f>
        <v>0</v>
      </c>
      <c r="CC326" s="431">
        <f>'Fiche info Avenant 3'!$BT$9</f>
        <v>0</v>
      </c>
      <c r="CD326" s="431">
        <f>'Fiche info Avenant 3'!$BU$9</f>
        <v>0</v>
      </c>
      <c r="CE326" s="431">
        <f>'Fiche info Avenant 3'!$BV$9</f>
        <v>0</v>
      </c>
      <c r="CF326" s="431">
        <f>'Fiche info Avenant 3'!$BW$9</f>
        <v>0</v>
      </c>
      <c r="ED326" s="16" t="str">
        <f t="shared" si="82"/>
        <v>Fiche info Avenant 3G</v>
      </c>
      <c r="EE326" s="16" t="str">
        <f t="shared" si="84"/>
        <v>Fiche info Avenant 3</v>
      </c>
      <c r="EF326" s="16" t="str">
        <f t="shared" si="85"/>
        <v>G</v>
      </c>
      <c r="EG326" s="16">
        <f t="shared" si="86"/>
        <v>3</v>
      </c>
      <c r="EH326" s="16" t="str">
        <f t="shared" si="87"/>
        <v>Mercredi</v>
      </c>
      <c r="EI326" s="16" t="str">
        <f t="shared" si="88"/>
        <v/>
      </c>
      <c r="FB326" s="16" t="str">
        <f t="shared" si="91"/>
        <v/>
      </c>
      <c r="FC326" s="16" t="str">
        <f t="shared" si="92"/>
        <v/>
      </c>
      <c r="FD326" s="30">
        <f t="shared" si="83"/>
        <v>43891</v>
      </c>
      <c r="FE326" s="30" t="str">
        <f>+IFERROR(VLOOKUP(FD326,BDD,71,FALSE),"")</f>
        <v/>
      </c>
      <c r="FF326" s="30" t="str">
        <f>IFERROR(+VLOOKUP(FD326,BDD,72,FALSE),"")</f>
        <v/>
      </c>
      <c r="FG326" s="30" t="str">
        <f>+IFERROR(VLOOKUP(FD326,BDD,73,FALSE),"")</f>
        <v/>
      </c>
      <c r="FH326" s="30" t="str">
        <f>+IFERROR(VLOOKUP(FD326,BDD,74,FALSE),"")</f>
        <v/>
      </c>
      <c r="FW326" s="16" t="str">
        <f>Novembre!GB33</f>
        <v>462026</v>
      </c>
      <c r="FX326" s="16">
        <f>Novembre!GC33</f>
        <v>0</v>
      </c>
      <c r="HI326" s="85">
        <f>+Novembre!AB34</f>
        <v>46341</v>
      </c>
      <c r="HJ326" s="27" t="str">
        <f>+Novembre!AD34</f>
        <v/>
      </c>
      <c r="HK326" s="16">
        <f t="shared" si="93"/>
        <v>0</v>
      </c>
      <c r="HL326" s="16" t="str">
        <f>IF(AND(HI326&gt;=DATE(Identification!$B$60,5,1),HI326&lt;=DATE(Identification!$B$60,10,31),SUM(HK326:HK340)=12),"OUI","")</f>
        <v/>
      </c>
    </row>
    <row r="327" spans="1:220" x14ac:dyDescent="0.2">
      <c r="A327" s="16" t="str">
        <f t="shared" si="81"/>
        <v>Fiche info Avenant 3G4</v>
      </c>
      <c r="B327" s="16" t="str">
        <f t="shared" si="80"/>
        <v>Fiche info Avenant 3</v>
      </c>
      <c r="C327" s="27" t="s">
        <v>236</v>
      </c>
      <c r="D327" s="27">
        <v>4</v>
      </c>
      <c r="E327" s="16" t="s">
        <v>20</v>
      </c>
      <c r="F327" s="34" t="str">
        <f>+IF('Fiche info Avenant 3'!$BY$10=0,"",'Fiche info Avenant 3'!$BY$10)</f>
        <v/>
      </c>
      <c r="G327" s="16">
        <f t="shared" si="89"/>
        <v>0</v>
      </c>
      <c r="BX327" s="16" t="str">
        <f t="shared" si="90"/>
        <v>Fiche info Avenant 3G4</v>
      </c>
      <c r="BY327" s="431">
        <f>'Fiche info Avenant 3'!$BP$10</f>
        <v>0</v>
      </c>
      <c r="BZ327" s="431">
        <f>'Fiche info Avenant 3'!$BQ$10</f>
        <v>0</v>
      </c>
      <c r="CA327" s="431">
        <f>'Fiche info Avenant 3'!$BR$10</f>
        <v>0</v>
      </c>
      <c r="CB327" s="431">
        <f>'Fiche info Avenant 3'!$BS$10</f>
        <v>0</v>
      </c>
      <c r="CC327" s="431">
        <f>'Fiche info Avenant 3'!$BT$10</f>
        <v>0</v>
      </c>
      <c r="CD327" s="431">
        <f>'Fiche info Avenant 3'!$BU$10</f>
        <v>0</v>
      </c>
      <c r="CE327" s="431">
        <f>'Fiche info Avenant 3'!$BV$10</f>
        <v>0</v>
      </c>
      <c r="CF327" s="431">
        <f>'Fiche info Avenant 3'!$BW$10</f>
        <v>0</v>
      </c>
      <c r="ED327" s="16" t="str">
        <f t="shared" si="82"/>
        <v>Fiche info Avenant 3G</v>
      </c>
      <c r="EE327" s="16" t="str">
        <f t="shared" si="84"/>
        <v>Fiche info Avenant 3</v>
      </c>
      <c r="EF327" s="16" t="str">
        <f t="shared" si="85"/>
        <v>G</v>
      </c>
      <c r="EG327" s="16">
        <f t="shared" si="86"/>
        <v>4</v>
      </c>
      <c r="EH327" s="16" t="str">
        <f t="shared" si="87"/>
        <v>Jeudi</v>
      </c>
      <c r="EI327" s="16" t="str">
        <f t="shared" si="88"/>
        <v/>
      </c>
      <c r="FB327" s="16" t="str">
        <f t="shared" si="91"/>
        <v/>
      </c>
      <c r="FC327" s="16" t="str">
        <f t="shared" si="92"/>
        <v/>
      </c>
      <c r="FD327" s="30">
        <f t="shared" si="83"/>
        <v>43891</v>
      </c>
      <c r="FE327" s="30" t="str">
        <f>+IFERROR(VLOOKUP(FD327,BDD,75,FALSE),"")</f>
        <v/>
      </c>
      <c r="FF327" s="30" t="str">
        <f>+IFERROR(VLOOKUP(FD327,BDD,76,FALSE),"")</f>
        <v/>
      </c>
      <c r="FG327" s="30" t="str">
        <f>IFERROR(+VLOOKUP(FD327,BDD,77,FALSE),"")</f>
        <v/>
      </c>
      <c r="FH327" s="30" t="str">
        <f>+IFERROR(VLOOKUP(FD327,BDD,78,FALSE),"")</f>
        <v/>
      </c>
      <c r="FW327" s="16" t="str">
        <f>Novembre!GB34</f>
        <v>462026</v>
      </c>
      <c r="FX327" s="16">
        <f>Novembre!GC34</f>
        <v>0</v>
      </c>
      <c r="HI327" s="85">
        <f>+Novembre!AB35</f>
        <v>46342</v>
      </c>
      <c r="HJ327" s="27" t="str">
        <f>+Novembre!AD35</f>
        <v/>
      </c>
      <c r="HK327" s="16">
        <f t="shared" si="93"/>
        <v>0</v>
      </c>
      <c r="HL327" s="16" t="str">
        <f>IF(AND(HI327&gt;=DATE(Identification!$B$60,5,1),HI327&lt;=DATE(Identification!$B$60,10,31),SUM(HK327:HK341)=12),"OUI","")</f>
        <v/>
      </c>
    </row>
    <row r="328" spans="1:220" x14ac:dyDescent="0.2">
      <c r="A328" s="16" t="str">
        <f t="shared" si="81"/>
        <v>Fiche info Avenant 3G5</v>
      </c>
      <c r="B328" s="16" t="str">
        <f t="shared" si="80"/>
        <v>Fiche info Avenant 3</v>
      </c>
      <c r="C328" s="27" t="s">
        <v>236</v>
      </c>
      <c r="D328" s="27">
        <v>5</v>
      </c>
      <c r="E328" s="16" t="s">
        <v>21</v>
      </c>
      <c r="F328" s="34" t="str">
        <f>+IF('Fiche info Avenant 3'!$BY$11=0,"",'Fiche info Avenant 3'!$BY$11)</f>
        <v/>
      </c>
      <c r="G328" s="16">
        <f t="shared" si="89"/>
        <v>0</v>
      </c>
      <c r="BX328" s="16" t="str">
        <f t="shared" si="90"/>
        <v>Fiche info Avenant 3G5</v>
      </c>
      <c r="BY328" s="431">
        <f>'Fiche info Avenant 3'!$BP$11</f>
        <v>0</v>
      </c>
      <c r="BZ328" s="431">
        <f>'Fiche info Avenant 3'!$BQ$11</f>
        <v>0</v>
      </c>
      <c r="CA328" s="431">
        <f>'Fiche info Avenant 3'!$BR$11</f>
        <v>0</v>
      </c>
      <c r="CB328" s="431">
        <f>'Fiche info Avenant 3'!$BS$11</f>
        <v>0</v>
      </c>
      <c r="CC328" s="431">
        <f>'Fiche info Avenant 3'!$BT$11</f>
        <v>0</v>
      </c>
      <c r="CD328" s="431">
        <f>'Fiche info Avenant 3'!$BU$11</f>
        <v>0</v>
      </c>
      <c r="CE328" s="431">
        <f>'Fiche info Avenant 3'!$BV$11</f>
        <v>0</v>
      </c>
      <c r="CF328" s="431">
        <f>'Fiche info Avenant 3'!$BW$11</f>
        <v>0</v>
      </c>
      <c r="ED328" s="16" t="str">
        <f t="shared" si="82"/>
        <v>Fiche info Avenant 3G</v>
      </c>
      <c r="EE328" s="16" t="str">
        <f t="shared" si="84"/>
        <v>Fiche info Avenant 3</v>
      </c>
      <c r="EF328" s="16" t="str">
        <f t="shared" si="85"/>
        <v>G</v>
      </c>
      <c r="EG328" s="16">
        <f t="shared" si="86"/>
        <v>5</v>
      </c>
      <c r="EH328" s="16" t="str">
        <f t="shared" si="87"/>
        <v>Vendredi</v>
      </c>
      <c r="EI328" s="16" t="str">
        <f t="shared" si="88"/>
        <v/>
      </c>
      <c r="FB328" s="16" t="str">
        <f t="shared" si="91"/>
        <v/>
      </c>
      <c r="FC328" s="16" t="str">
        <f t="shared" si="92"/>
        <v/>
      </c>
      <c r="FD328" s="30">
        <f t="shared" si="83"/>
        <v>43891</v>
      </c>
      <c r="FE328" s="30" t="str">
        <f>+IFERROR(VLOOKUP(FD328,BDD,79,FALSE),"")</f>
        <v/>
      </c>
      <c r="FF328" s="30" t="str">
        <f>IFERROR(+VLOOKUP(FD328,BDD,80,FALSE),"")</f>
        <v/>
      </c>
      <c r="FG328" s="30" t="str">
        <f>+IFERROR(VLOOKUP(FD328,BDD,81,FALSE),"")</f>
        <v/>
      </c>
      <c r="FH328" s="30" t="str">
        <f>+IFERROR(VLOOKUP(FD328,BDD,82,FALSE),"")</f>
        <v/>
      </c>
      <c r="FW328" s="16" t="str">
        <f>Novembre!GB35</f>
        <v>472026</v>
      </c>
      <c r="FX328" s="16">
        <f>Novembre!GC35</f>
        <v>0</v>
      </c>
      <c r="HI328" s="85">
        <f>+Novembre!AB36</f>
        <v>46343</v>
      </c>
      <c r="HJ328" s="27" t="str">
        <f>+Novembre!AD36</f>
        <v/>
      </c>
      <c r="HK328" s="16">
        <f t="shared" si="93"/>
        <v>0</v>
      </c>
      <c r="HL328" s="16" t="str">
        <f>IF(AND(HI328&gt;=DATE(Identification!$B$60,5,1),HI328&lt;=DATE(Identification!$B$60,10,31),SUM(HK328:HK342)=12),"OUI","")</f>
        <v/>
      </c>
    </row>
    <row r="329" spans="1:220" x14ac:dyDescent="0.2">
      <c r="A329" s="16" t="str">
        <f t="shared" si="81"/>
        <v>Fiche info Avenant 3G6</v>
      </c>
      <c r="B329" s="16" t="str">
        <f t="shared" si="80"/>
        <v>Fiche info Avenant 3</v>
      </c>
      <c r="C329" s="27" t="s">
        <v>236</v>
      </c>
      <c r="D329" s="27">
        <v>6</v>
      </c>
      <c r="E329" s="16" t="s">
        <v>184</v>
      </c>
      <c r="F329" s="34" t="str">
        <f>+IF('Fiche info Avenant 3'!$BY$12=0,"",'Fiche info Avenant 3'!$BY$12)</f>
        <v/>
      </c>
      <c r="G329" s="16">
        <f t="shared" si="89"/>
        <v>0</v>
      </c>
      <c r="BX329" s="16" t="str">
        <f t="shared" si="90"/>
        <v>Fiche info Avenant 3G6</v>
      </c>
      <c r="BY329" s="431">
        <f>'Fiche info Avenant 3'!$BP$12</f>
        <v>0</v>
      </c>
      <c r="BZ329" s="431">
        <f>'Fiche info Avenant 3'!$BQ$12</f>
        <v>0</v>
      </c>
      <c r="CA329" s="431">
        <f>'Fiche info Avenant 3'!$BR$12</f>
        <v>0</v>
      </c>
      <c r="CB329" s="431">
        <f>'Fiche info Avenant 3'!$BS$12</f>
        <v>0</v>
      </c>
      <c r="CC329" s="431">
        <f>'Fiche info Avenant 3'!$BT$12</f>
        <v>0</v>
      </c>
      <c r="CD329" s="431">
        <f>'Fiche info Avenant 3'!$BU$12</f>
        <v>0</v>
      </c>
      <c r="CE329" s="431">
        <f>'Fiche info Avenant 3'!$BV$12</f>
        <v>0</v>
      </c>
      <c r="CF329" s="431">
        <f>'Fiche info Avenant 3'!$BW$12</f>
        <v>0</v>
      </c>
      <c r="ED329" s="16" t="str">
        <f t="shared" si="82"/>
        <v>Fiche info Avenant 3G</v>
      </c>
      <c r="EE329" s="16" t="str">
        <f t="shared" si="84"/>
        <v>Fiche info Avenant 3</v>
      </c>
      <c r="EF329" s="16" t="str">
        <f t="shared" si="85"/>
        <v>G</v>
      </c>
      <c r="EG329" s="16">
        <f t="shared" si="86"/>
        <v>6</v>
      </c>
      <c r="EH329" s="16" t="str">
        <f t="shared" si="87"/>
        <v>Samedi</v>
      </c>
      <c r="EI329" s="16" t="str">
        <f t="shared" si="88"/>
        <v/>
      </c>
      <c r="FB329" s="16" t="str">
        <f t="shared" si="91"/>
        <v/>
      </c>
      <c r="FC329" s="16" t="str">
        <f t="shared" si="92"/>
        <v/>
      </c>
      <c r="FD329" s="30">
        <f t="shared" si="83"/>
        <v>43891</v>
      </c>
      <c r="FE329" s="30" t="str">
        <f>+IFERROR(VLOOKUP(FD329,BDD,83,FALSE),"")</f>
        <v/>
      </c>
      <c r="FF329" s="30" t="str">
        <f>+IFERROR(VLOOKUP(FD329,BDD,84,FALSE),"")</f>
        <v/>
      </c>
      <c r="FG329" s="30" t="str">
        <f>+IFERROR(VLOOKUP(FD329,BDD,85,FALSE),"")</f>
        <v/>
      </c>
      <c r="FH329" s="30" t="str">
        <f>+IFERROR(VLOOKUP(FD329,BDD,86,FALSE),"")</f>
        <v/>
      </c>
      <c r="FW329" s="16" t="str">
        <f>Novembre!GB36</f>
        <v>472026</v>
      </c>
      <c r="FX329" s="16">
        <f>Novembre!GC36</f>
        <v>0</v>
      </c>
      <c r="HI329" s="85">
        <f>+Novembre!AB37</f>
        <v>46344</v>
      </c>
      <c r="HJ329" s="27" t="str">
        <f>+Novembre!AD37</f>
        <v/>
      </c>
      <c r="HK329" s="16">
        <f t="shared" si="93"/>
        <v>0</v>
      </c>
      <c r="HL329" s="16" t="str">
        <f>IF(AND(HI329&gt;=DATE(Identification!$B$60,5,1),HI329&lt;=DATE(Identification!$B$60,10,31),SUM(HK329:HK343)=12),"OUI","")</f>
        <v/>
      </c>
    </row>
    <row r="330" spans="1:220" x14ac:dyDescent="0.2">
      <c r="A330" s="16" t="str">
        <f t="shared" si="81"/>
        <v>Fiche info Avenant 3G7</v>
      </c>
      <c r="B330" s="16" t="str">
        <f t="shared" si="80"/>
        <v>Fiche info Avenant 3</v>
      </c>
      <c r="C330" s="27" t="s">
        <v>236</v>
      </c>
      <c r="D330" s="27">
        <v>7</v>
      </c>
      <c r="E330" s="16" t="s">
        <v>185</v>
      </c>
      <c r="F330" s="34" t="str">
        <f>+IF('Fiche info Avenant 3'!$BY$13=0,"",'Fiche info Avenant 3'!$BY$13)</f>
        <v/>
      </c>
      <c r="G330" s="16">
        <f t="shared" si="89"/>
        <v>0</v>
      </c>
      <c r="BX330" s="16" t="str">
        <f t="shared" si="90"/>
        <v>Fiche info Avenant 3G7</v>
      </c>
      <c r="BY330" s="431">
        <f>'Fiche info Avenant 3'!$BP$13</f>
        <v>0</v>
      </c>
      <c r="BZ330" s="431">
        <f>'Fiche info Avenant 3'!$BQ$13</f>
        <v>0</v>
      </c>
      <c r="CA330" s="431">
        <f>'Fiche info Avenant 3'!$BR$13</f>
        <v>0</v>
      </c>
      <c r="CB330" s="431">
        <f>'Fiche info Avenant 3'!$BS$13</f>
        <v>0</v>
      </c>
      <c r="CC330" s="431">
        <f>'Fiche info Avenant 3'!$BT$13</f>
        <v>0</v>
      </c>
      <c r="CD330" s="431">
        <f>'Fiche info Avenant 3'!$BU$13</f>
        <v>0</v>
      </c>
      <c r="CE330" s="431">
        <f>'Fiche info Avenant 3'!$BV$13</f>
        <v>0</v>
      </c>
      <c r="CF330" s="431">
        <f>'Fiche info Avenant 3'!$BW$13</f>
        <v>0</v>
      </c>
      <c r="ED330" s="16" t="str">
        <f t="shared" si="82"/>
        <v>Fiche info Avenant 3G</v>
      </c>
      <c r="EE330" s="16" t="str">
        <f t="shared" si="84"/>
        <v>Fiche info Avenant 3</v>
      </c>
      <c r="EF330" s="16" t="str">
        <f t="shared" si="85"/>
        <v>G</v>
      </c>
      <c r="EG330" s="16">
        <f t="shared" si="86"/>
        <v>7</v>
      </c>
      <c r="EH330" s="16" t="str">
        <f t="shared" si="87"/>
        <v>Dimanche</v>
      </c>
      <c r="EI330" s="16" t="str">
        <f t="shared" si="88"/>
        <v/>
      </c>
      <c r="FB330" s="16" t="str">
        <f t="shared" si="91"/>
        <v/>
      </c>
      <c r="FC330" s="16" t="str">
        <f t="shared" si="92"/>
        <v/>
      </c>
      <c r="FD330" s="30">
        <f t="shared" si="83"/>
        <v>43862</v>
      </c>
      <c r="FE330" s="30" t="str">
        <f>+IFERROR(VLOOKUP(FD330,BDD,71,FALSE),"")</f>
        <v/>
      </c>
      <c r="FF330" s="30" t="str">
        <f>IFERROR(+VLOOKUP(FD330,BDD,72,FALSE),"")</f>
        <v/>
      </c>
      <c r="FG330" s="30" t="str">
        <f>+IFERROR(VLOOKUP(FD330,BDD,73,FALSE),"")</f>
        <v/>
      </c>
      <c r="FH330" s="30" t="str">
        <f>+IFERROR(VLOOKUP(FD330,BDD,74,FALSE),"")</f>
        <v/>
      </c>
      <c r="FW330" s="16" t="str">
        <f>Novembre!GB37</f>
        <v>472026</v>
      </c>
      <c r="FX330" s="16">
        <f>Novembre!GC37</f>
        <v>0</v>
      </c>
      <c r="HI330" s="85">
        <f>+Novembre!AB38</f>
        <v>46345</v>
      </c>
      <c r="HJ330" s="27" t="str">
        <f>+Novembre!AD38</f>
        <v/>
      </c>
      <c r="HK330" s="16">
        <f t="shared" si="93"/>
        <v>0</v>
      </c>
      <c r="HL330" s="16" t="str">
        <f>IF(AND(HI330&gt;=DATE(Identification!$B$60,5,1),HI330&lt;=DATE(Identification!$B$60,10,31),SUM(HK330:HK344)=12),"OUI","")</f>
        <v/>
      </c>
    </row>
    <row r="331" spans="1:220" x14ac:dyDescent="0.2">
      <c r="A331" s="16" t="str">
        <f t="shared" si="81"/>
        <v>Fiche info Avenant 3H1</v>
      </c>
      <c r="B331" s="16" t="str">
        <f t="shared" si="80"/>
        <v>Fiche info Avenant 3</v>
      </c>
      <c r="C331" s="27" t="s">
        <v>237</v>
      </c>
      <c r="D331" s="27">
        <v>1</v>
      </c>
      <c r="E331" s="16" t="s">
        <v>17</v>
      </c>
      <c r="F331" s="34" t="str">
        <f>+IF('Fiche info Avenant 3'!$CJ$7=0,"",'Fiche info Avenant 3'!$CJ$7)</f>
        <v/>
      </c>
      <c r="G331" s="16">
        <f t="shared" si="89"/>
        <v>0</v>
      </c>
      <c r="BX331" s="16" t="str">
        <f t="shared" si="90"/>
        <v>Fiche info Avenant 3H1</v>
      </c>
      <c r="BY331" s="431">
        <f>'Fiche info Avenant 3'!$CA$7</f>
        <v>0</v>
      </c>
      <c r="BZ331" s="431">
        <f>'Fiche info Avenant 3'!$CB$7</f>
        <v>0</v>
      </c>
      <c r="CA331" s="431">
        <f>'Fiche info Avenant 3'!$CC$7</f>
        <v>0</v>
      </c>
      <c r="CB331" s="431">
        <f>'Fiche info Avenant 3'!$CD$7</f>
        <v>0</v>
      </c>
      <c r="CC331" s="431">
        <f>'Fiche info Avenant 3'!$CE$7</f>
        <v>0</v>
      </c>
      <c r="CD331" s="431">
        <f>'Fiche info Avenant 3'!$CF$7</f>
        <v>0</v>
      </c>
      <c r="CE331" s="431">
        <f>'Fiche info Avenant 3'!$CG$7</f>
        <v>0</v>
      </c>
      <c r="CF331" s="431">
        <f>'Fiche info Avenant 3'!$CH$7</f>
        <v>0</v>
      </c>
      <c r="ED331" s="16" t="str">
        <f t="shared" si="82"/>
        <v>Fiche info Avenant 3H</v>
      </c>
      <c r="EE331" s="16" t="str">
        <f t="shared" si="84"/>
        <v>Fiche info Avenant 3</v>
      </c>
      <c r="EF331" s="16" t="str">
        <f t="shared" si="85"/>
        <v>H</v>
      </c>
      <c r="EG331" s="16">
        <f t="shared" si="86"/>
        <v>1</v>
      </c>
      <c r="EH331" s="16" t="str">
        <f t="shared" si="87"/>
        <v>Lundi</v>
      </c>
      <c r="EI331" s="16" t="str">
        <f t="shared" si="88"/>
        <v/>
      </c>
      <c r="FB331" s="16" t="str">
        <f t="shared" si="91"/>
        <v/>
      </c>
      <c r="FC331" s="16" t="str">
        <f t="shared" si="92"/>
        <v/>
      </c>
      <c r="FD331" s="30">
        <f t="shared" si="83"/>
        <v>43862</v>
      </c>
      <c r="FE331" s="30" t="str">
        <f>+IFERROR(VLOOKUP(FD331,BDD,75,FALSE),"")</f>
        <v/>
      </c>
      <c r="FF331" s="30" t="str">
        <f>+IFERROR(VLOOKUP(FD331,BDD,76,FALSE),"")</f>
        <v/>
      </c>
      <c r="FG331" s="30" t="str">
        <f>IFERROR(+VLOOKUP(FD331,BDD,77,FALSE),"")</f>
        <v/>
      </c>
      <c r="FH331" s="30" t="str">
        <f>+IFERROR(VLOOKUP(FD331,BDD,78,FALSE),"")</f>
        <v/>
      </c>
      <c r="FW331" s="16" t="str">
        <f>Novembre!GB38</f>
        <v>472026</v>
      </c>
      <c r="FX331" s="16">
        <f>Novembre!GC38</f>
        <v>0</v>
      </c>
      <c r="HI331" s="85">
        <f>+Novembre!AB39</f>
        <v>46346</v>
      </c>
      <c r="HJ331" s="27" t="str">
        <f>+Novembre!AD39</f>
        <v/>
      </c>
      <c r="HK331" s="16">
        <f t="shared" si="93"/>
        <v>0</v>
      </c>
      <c r="HL331" s="16" t="str">
        <f>IF(AND(HI331&gt;=DATE(Identification!$B$60,5,1),HI331&lt;=DATE(Identification!$B$60,10,31),SUM(HK331:HK345)=12),"OUI","")</f>
        <v/>
      </c>
    </row>
    <row r="332" spans="1:220" x14ac:dyDescent="0.2">
      <c r="A332" s="16" t="str">
        <f t="shared" si="81"/>
        <v>Fiche info Avenant 3H2</v>
      </c>
      <c r="B332" s="16" t="str">
        <f t="shared" si="80"/>
        <v>Fiche info Avenant 3</v>
      </c>
      <c r="C332" s="27" t="s">
        <v>237</v>
      </c>
      <c r="D332" s="27">
        <v>2</v>
      </c>
      <c r="E332" s="16" t="s">
        <v>18</v>
      </c>
      <c r="F332" s="34" t="str">
        <f>+IF('Fiche info Avenant 3'!$CJ$8=0,"",'Fiche info Avenant 3'!$CJ$8)</f>
        <v/>
      </c>
      <c r="G332" s="16">
        <f t="shared" si="89"/>
        <v>0</v>
      </c>
      <c r="BX332" s="16" t="str">
        <f t="shared" si="90"/>
        <v>Fiche info Avenant 3H2</v>
      </c>
      <c r="BY332" s="431">
        <f>'Fiche info Avenant 3'!$CA$8</f>
        <v>0</v>
      </c>
      <c r="BZ332" s="431">
        <f>'Fiche info Avenant 3'!$CB$8</f>
        <v>0</v>
      </c>
      <c r="CA332" s="431">
        <f>'Fiche info Avenant 3'!$CC$8</f>
        <v>0</v>
      </c>
      <c r="CB332" s="431">
        <f>'Fiche info Avenant 3'!$CD$8</f>
        <v>0</v>
      </c>
      <c r="CC332" s="431">
        <f>'Fiche info Avenant 3'!$CE$8</f>
        <v>0</v>
      </c>
      <c r="CD332" s="431">
        <f>'Fiche info Avenant 3'!$CF$8</f>
        <v>0</v>
      </c>
      <c r="CE332" s="431">
        <f>'Fiche info Avenant 3'!$CG$8</f>
        <v>0</v>
      </c>
      <c r="CF332" s="431">
        <f>'Fiche info Avenant 3'!$CH$8</f>
        <v>0</v>
      </c>
      <c r="ED332" s="16" t="str">
        <f t="shared" si="82"/>
        <v>Fiche info Avenant 3H</v>
      </c>
      <c r="EE332" s="16" t="str">
        <f t="shared" si="84"/>
        <v>Fiche info Avenant 3</v>
      </c>
      <c r="EF332" s="16" t="str">
        <f t="shared" si="85"/>
        <v>H</v>
      </c>
      <c r="EG332" s="16">
        <f t="shared" si="86"/>
        <v>2</v>
      </c>
      <c r="EH332" s="16" t="str">
        <f t="shared" si="87"/>
        <v>Mardi</v>
      </c>
      <c r="EI332" s="16" t="str">
        <f t="shared" si="88"/>
        <v/>
      </c>
      <c r="FB332" s="16" t="str">
        <f t="shared" si="91"/>
        <v/>
      </c>
      <c r="FC332" s="16" t="str">
        <f t="shared" si="92"/>
        <v/>
      </c>
      <c r="FD332" s="30">
        <f t="shared" si="83"/>
        <v>43862</v>
      </c>
      <c r="FE332" s="30" t="str">
        <f>+IFERROR(VLOOKUP(FD332,BDD,79,FALSE),"")</f>
        <v/>
      </c>
      <c r="FF332" s="30" t="str">
        <f>IFERROR(+VLOOKUP(FD332,BDD,80,FALSE),"")</f>
        <v/>
      </c>
      <c r="FG332" s="30" t="str">
        <f>+IFERROR(VLOOKUP(FD332,BDD,81,FALSE),"")</f>
        <v/>
      </c>
      <c r="FH332" s="30" t="str">
        <f>+IFERROR(VLOOKUP(FD332,BDD,82,FALSE),"")</f>
        <v/>
      </c>
      <c r="FW332" s="16" t="str">
        <f>Novembre!GB39</f>
        <v>472026</v>
      </c>
      <c r="FX332" s="16">
        <f>Novembre!GC39</f>
        <v>0</v>
      </c>
      <c r="HI332" s="85">
        <f>+Novembre!AB40</f>
        <v>46347</v>
      </c>
      <c r="HJ332" s="27" t="str">
        <f>+Novembre!AD40</f>
        <v/>
      </c>
      <c r="HK332" s="16">
        <f t="shared" si="93"/>
        <v>0</v>
      </c>
      <c r="HL332" s="16" t="str">
        <f>IF(AND(HI332&gt;=DATE(Identification!$B$60,5,1),HI332&lt;=DATE(Identification!$B$60,10,31),SUM(HK332:HK346)=12),"OUI","")</f>
        <v/>
      </c>
    </row>
    <row r="333" spans="1:220" x14ac:dyDescent="0.2">
      <c r="A333" s="16" t="str">
        <f t="shared" si="81"/>
        <v>Fiche info Avenant 3H3</v>
      </c>
      <c r="B333" s="16" t="str">
        <f t="shared" si="80"/>
        <v>Fiche info Avenant 3</v>
      </c>
      <c r="C333" s="27" t="s">
        <v>237</v>
      </c>
      <c r="D333" s="27">
        <v>3</v>
      </c>
      <c r="E333" s="16" t="s">
        <v>19</v>
      </c>
      <c r="F333" s="34" t="str">
        <f>+IF('Fiche info Avenant 3'!$CJ$9=0,"",'Fiche info Avenant 3'!$CJ$9)</f>
        <v/>
      </c>
      <c r="G333" s="16">
        <f t="shared" si="89"/>
        <v>0</v>
      </c>
      <c r="BX333" s="16" t="str">
        <f t="shared" si="90"/>
        <v>Fiche info Avenant 3H3</v>
      </c>
      <c r="BY333" s="431">
        <f>'Fiche info Avenant 3'!$CA$9</f>
        <v>0</v>
      </c>
      <c r="BZ333" s="431">
        <f>'Fiche info Avenant 3'!$CB$9</f>
        <v>0</v>
      </c>
      <c r="CA333" s="431">
        <f>'Fiche info Avenant 3'!$CC$9</f>
        <v>0</v>
      </c>
      <c r="CB333" s="431">
        <f>'Fiche info Avenant 3'!$CD$9</f>
        <v>0</v>
      </c>
      <c r="CC333" s="431">
        <f>'Fiche info Avenant 3'!$CE$9</f>
        <v>0</v>
      </c>
      <c r="CD333" s="431">
        <f>'Fiche info Avenant 3'!$CF$9</f>
        <v>0</v>
      </c>
      <c r="CE333" s="431">
        <f>'Fiche info Avenant 3'!$CG$9</f>
        <v>0</v>
      </c>
      <c r="CF333" s="431">
        <f>'Fiche info Avenant 3'!$CH$9</f>
        <v>0</v>
      </c>
      <c r="ED333" s="16" t="str">
        <f t="shared" si="82"/>
        <v>Fiche info Avenant 3H</v>
      </c>
      <c r="EE333" s="16" t="str">
        <f t="shared" si="84"/>
        <v>Fiche info Avenant 3</v>
      </c>
      <c r="EF333" s="16" t="str">
        <f t="shared" si="85"/>
        <v>H</v>
      </c>
      <c r="EG333" s="16">
        <f t="shared" si="86"/>
        <v>3</v>
      </c>
      <c r="EH333" s="16" t="str">
        <f t="shared" si="87"/>
        <v>Mercredi</v>
      </c>
      <c r="EI333" s="16" t="str">
        <f t="shared" si="88"/>
        <v/>
      </c>
      <c r="FB333" s="16" t="str">
        <f t="shared" si="91"/>
        <v/>
      </c>
      <c r="FC333" s="16" t="str">
        <f t="shared" si="92"/>
        <v/>
      </c>
      <c r="FD333" s="30">
        <f t="shared" si="83"/>
        <v>43862</v>
      </c>
      <c r="FE333" s="30" t="str">
        <f>+IFERROR(VLOOKUP(FD333,BDD,83,FALSE),"")</f>
        <v/>
      </c>
      <c r="FF333" s="30" t="str">
        <f>+IFERROR(VLOOKUP(FD333,BDD,84,FALSE),"")</f>
        <v/>
      </c>
      <c r="FG333" s="30" t="str">
        <f>+IFERROR(VLOOKUP(FD333,BDD,85,FALSE),"")</f>
        <v/>
      </c>
      <c r="FH333" s="30" t="str">
        <f>+IFERROR(VLOOKUP(FD333,BDD,86,FALSE),"")</f>
        <v/>
      </c>
      <c r="FW333" s="16" t="str">
        <f>Novembre!GB40</f>
        <v>472026</v>
      </c>
      <c r="FX333" s="16">
        <f>Novembre!GC40</f>
        <v>0</v>
      </c>
      <c r="HI333" s="85">
        <f>+Novembre!AB41</f>
        <v>46348</v>
      </c>
      <c r="HJ333" s="27" t="str">
        <f>+Novembre!AD41</f>
        <v/>
      </c>
      <c r="HK333" s="16">
        <f t="shared" si="93"/>
        <v>0</v>
      </c>
      <c r="HL333" s="16" t="str">
        <f>IF(AND(HI333&gt;=DATE(Identification!$B$60,5,1),HI333&lt;=DATE(Identification!$B$60,10,31),SUM(HK333:HK347)=12),"OUI","")</f>
        <v/>
      </c>
    </row>
    <row r="334" spans="1:220" x14ac:dyDescent="0.2">
      <c r="A334" s="16" t="str">
        <f t="shared" si="81"/>
        <v>Fiche info Avenant 3H4</v>
      </c>
      <c r="B334" s="16" t="str">
        <f t="shared" si="80"/>
        <v>Fiche info Avenant 3</v>
      </c>
      <c r="C334" s="27" t="s">
        <v>237</v>
      </c>
      <c r="D334" s="27">
        <v>4</v>
      </c>
      <c r="E334" s="16" t="s">
        <v>20</v>
      </c>
      <c r="F334" s="34" t="str">
        <f>+IF('Fiche info Avenant 3'!$CJ$10=0,"",'Fiche info Avenant 3'!$CJ$10)</f>
        <v/>
      </c>
      <c r="G334" s="16">
        <f t="shared" si="89"/>
        <v>0</v>
      </c>
      <c r="BX334" s="16" t="str">
        <f t="shared" si="90"/>
        <v>Fiche info Avenant 3H4</v>
      </c>
      <c r="BY334" s="431">
        <f>'Fiche info Avenant 3'!$CA$10</f>
        <v>0</v>
      </c>
      <c r="BZ334" s="431">
        <f>'Fiche info Avenant 3'!$CB$10</f>
        <v>0</v>
      </c>
      <c r="CA334" s="431">
        <f>'Fiche info Avenant 3'!$CC$10</f>
        <v>0</v>
      </c>
      <c r="CB334" s="431">
        <f>'Fiche info Avenant 3'!$CD$10</f>
        <v>0</v>
      </c>
      <c r="CC334" s="431">
        <f>'Fiche info Avenant 3'!$CE$10</f>
        <v>0</v>
      </c>
      <c r="CD334" s="431">
        <f>'Fiche info Avenant 3'!$CF$10</f>
        <v>0</v>
      </c>
      <c r="CE334" s="431">
        <f>'Fiche info Avenant 3'!$CG$10</f>
        <v>0</v>
      </c>
      <c r="CF334" s="431">
        <f>'Fiche info Avenant 3'!$CH$10</f>
        <v>0</v>
      </c>
      <c r="ED334" s="16" t="str">
        <f t="shared" si="82"/>
        <v>Fiche info Avenant 3H</v>
      </c>
      <c r="EE334" s="16" t="str">
        <f t="shared" si="84"/>
        <v>Fiche info Avenant 3</v>
      </c>
      <c r="EF334" s="16" t="str">
        <f t="shared" si="85"/>
        <v>H</v>
      </c>
      <c r="EG334" s="16">
        <f t="shared" si="86"/>
        <v>4</v>
      </c>
      <c r="EH334" s="16" t="str">
        <f t="shared" si="87"/>
        <v>Jeudi</v>
      </c>
      <c r="EI334" s="16" t="str">
        <f t="shared" si="88"/>
        <v/>
      </c>
      <c r="FB334" s="16" t="str">
        <f t="shared" si="91"/>
        <v/>
      </c>
      <c r="FC334" s="16" t="str">
        <f t="shared" si="92"/>
        <v/>
      </c>
      <c r="FD334" s="30">
        <f t="shared" si="83"/>
        <v>43831</v>
      </c>
      <c r="FE334" s="30" t="str">
        <f>+IFERROR(VLOOKUP(FD334,BDD,71,FALSE),"")</f>
        <v/>
      </c>
      <c r="FF334" s="30" t="str">
        <f>IFERROR(+VLOOKUP(FD334,BDD,72,FALSE),"")</f>
        <v/>
      </c>
      <c r="FG334" s="30" t="str">
        <f>+IFERROR(VLOOKUP(FD334,BDD,73,FALSE),"")</f>
        <v/>
      </c>
      <c r="FH334" s="30" t="str">
        <f>+IFERROR(VLOOKUP(FD334,BDD,74,FALSE),"")</f>
        <v/>
      </c>
      <c r="FW334" s="16" t="str">
        <f>Novembre!GB41</f>
        <v>472026</v>
      </c>
      <c r="FX334" s="16">
        <f>Novembre!GC41</f>
        <v>0</v>
      </c>
      <c r="HI334" s="85">
        <f>+Novembre!AB42</f>
        <v>46349</v>
      </c>
      <c r="HJ334" s="27" t="str">
        <f>+Novembre!AD42</f>
        <v/>
      </c>
      <c r="HK334" s="16">
        <f t="shared" si="93"/>
        <v>0</v>
      </c>
      <c r="HL334" s="16" t="str">
        <f>IF(AND(HI334&gt;=DATE(Identification!$B$60,5,1),HI334&lt;=DATE(Identification!$B$60,10,31),SUM(HK334:HK348)=12),"OUI","")</f>
        <v/>
      </c>
    </row>
    <row r="335" spans="1:220" x14ac:dyDescent="0.2">
      <c r="A335" s="16" t="str">
        <f t="shared" si="81"/>
        <v>Fiche info Avenant 3H5</v>
      </c>
      <c r="B335" s="16" t="str">
        <f t="shared" si="80"/>
        <v>Fiche info Avenant 3</v>
      </c>
      <c r="C335" s="27" t="s">
        <v>237</v>
      </c>
      <c r="D335" s="27">
        <v>5</v>
      </c>
      <c r="E335" s="16" t="s">
        <v>21</v>
      </c>
      <c r="F335" s="34" t="str">
        <f>+IF('Fiche info Avenant 3'!$CJ$11=0,"",'Fiche info Avenant 3'!$CJ$11)</f>
        <v/>
      </c>
      <c r="G335" s="16">
        <f t="shared" si="89"/>
        <v>0</v>
      </c>
      <c r="BX335" s="16" t="str">
        <f t="shared" si="90"/>
        <v>Fiche info Avenant 3H5</v>
      </c>
      <c r="BY335" s="431">
        <f>'Fiche info Avenant 3'!$CA$11</f>
        <v>0</v>
      </c>
      <c r="BZ335" s="431">
        <f>'Fiche info Avenant 3'!$CB$11</f>
        <v>0</v>
      </c>
      <c r="CA335" s="431">
        <f>'Fiche info Avenant 3'!$CC$11</f>
        <v>0</v>
      </c>
      <c r="CB335" s="431">
        <f>'Fiche info Avenant 3'!$CD$11</f>
        <v>0</v>
      </c>
      <c r="CC335" s="431">
        <f>'Fiche info Avenant 3'!$CE$11</f>
        <v>0</v>
      </c>
      <c r="CD335" s="431">
        <f>'Fiche info Avenant 3'!$CF$11</f>
        <v>0</v>
      </c>
      <c r="CE335" s="431">
        <f>'Fiche info Avenant 3'!$CG$11</f>
        <v>0</v>
      </c>
      <c r="CF335" s="431">
        <f>'Fiche info Avenant 3'!$CH$11</f>
        <v>0</v>
      </c>
      <c r="ED335" s="16" t="str">
        <f t="shared" si="82"/>
        <v>Fiche info Avenant 3H</v>
      </c>
      <c r="EE335" s="16" t="str">
        <f t="shared" si="84"/>
        <v>Fiche info Avenant 3</v>
      </c>
      <c r="EF335" s="16" t="str">
        <f t="shared" si="85"/>
        <v>H</v>
      </c>
      <c r="EG335" s="16">
        <f t="shared" si="86"/>
        <v>5</v>
      </c>
      <c r="EH335" s="16" t="str">
        <f t="shared" si="87"/>
        <v>Vendredi</v>
      </c>
      <c r="EI335" s="16" t="str">
        <f t="shared" si="88"/>
        <v/>
      </c>
      <c r="FB335" s="16" t="str">
        <f t="shared" si="91"/>
        <v/>
      </c>
      <c r="FC335" s="16" t="str">
        <f t="shared" si="92"/>
        <v/>
      </c>
      <c r="FD335" s="30">
        <f t="shared" si="83"/>
        <v>43831</v>
      </c>
      <c r="FE335" s="30" t="str">
        <f>+IFERROR(VLOOKUP(FD335,BDD,75,FALSE),"")</f>
        <v/>
      </c>
      <c r="FF335" s="30" t="str">
        <f>+IFERROR(VLOOKUP(FD335,BDD,76,FALSE),"")</f>
        <v/>
      </c>
      <c r="FG335" s="30" t="str">
        <f>IFERROR(+VLOOKUP(FD335,BDD,77,FALSE),"")</f>
        <v/>
      </c>
      <c r="FH335" s="30" t="str">
        <f>+IFERROR(VLOOKUP(FD335,BDD,78,FALSE),"")</f>
        <v/>
      </c>
      <c r="FW335" s="16" t="str">
        <f>Novembre!GB42</f>
        <v>482026</v>
      </c>
      <c r="FX335" s="16">
        <f>Novembre!GC42</f>
        <v>0</v>
      </c>
      <c r="HI335" s="85">
        <f>+Novembre!AB43</f>
        <v>46350</v>
      </c>
      <c r="HJ335" s="27" t="str">
        <f>+Novembre!AD43</f>
        <v/>
      </c>
      <c r="HK335" s="16">
        <f t="shared" si="93"/>
        <v>0</v>
      </c>
      <c r="HL335" s="16" t="str">
        <f>IF(AND(HI335&gt;=DATE(Identification!$B$60,5,1),HI335&lt;=DATE(Identification!$B$60,10,31),SUM(HK335:HK349)=12),"OUI","")</f>
        <v/>
      </c>
    </row>
    <row r="336" spans="1:220" x14ac:dyDescent="0.2">
      <c r="A336" s="16" t="str">
        <f t="shared" si="81"/>
        <v>Fiche info Avenant 3H6</v>
      </c>
      <c r="B336" s="16" t="str">
        <f t="shared" si="80"/>
        <v>Fiche info Avenant 3</v>
      </c>
      <c r="C336" s="27" t="s">
        <v>237</v>
      </c>
      <c r="D336" s="27">
        <v>6</v>
      </c>
      <c r="E336" s="16" t="s">
        <v>184</v>
      </c>
      <c r="F336" s="34" t="str">
        <f>+IF('Fiche info Avenant 3'!$CJ$12=0,"",'Fiche info Avenant 3'!$CJ$12)</f>
        <v/>
      </c>
      <c r="G336" s="16">
        <f t="shared" si="89"/>
        <v>0</v>
      </c>
      <c r="BX336" s="16" t="str">
        <f t="shared" si="90"/>
        <v>Fiche info Avenant 3H6</v>
      </c>
      <c r="BY336" s="431">
        <f>'Fiche info Avenant 3'!$CA$12</f>
        <v>0</v>
      </c>
      <c r="BZ336" s="431">
        <f>'Fiche info Avenant 3'!$CB$12</f>
        <v>0</v>
      </c>
      <c r="CA336" s="431">
        <f>'Fiche info Avenant 3'!$CC$12</f>
        <v>0</v>
      </c>
      <c r="CB336" s="431">
        <f>'Fiche info Avenant 3'!$CD$12</f>
        <v>0</v>
      </c>
      <c r="CC336" s="431">
        <f>'Fiche info Avenant 3'!$CE$12</f>
        <v>0</v>
      </c>
      <c r="CD336" s="431">
        <f>'Fiche info Avenant 3'!$CF$12</f>
        <v>0</v>
      </c>
      <c r="CE336" s="431">
        <f>'Fiche info Avenant 3'!$CG$12</f>
        <v>0</v>
      </c>
      <c r="CF336" s="431">
        <f>'Fiche info Avenant 3'!$CH$12</f>
        <v>0</v>
      </c>
      <c r="ED336" s="16" t="str">
        <f t="shared" si="82"/>
        <v>Fiche info Avenant 3H</v>
      </c>
      <c r="EE336" s="16" t="str">
        <f t="shared" si="84"/>
        <v>Fiche info Avenant 3</v>
      </c>
      <c r="EF336" s="16" t="str">
        <f t="shared" si="85"/>
        <v>H</v>
      </c>
      <c r="EG336" s="16">
        <f t="shared" si="86"/>
        <v>6</v>
      </c>
      <c r="EH336" s="16" t="str">
        <f t="shared" si="87"/>
        <v>Samedi</v>
      </c>
      <c r="EI336" s="16" t="str">
        <f t="shared" si="88"/>
        <v/>
      </c>
      <c r="FB336" s="16" t="str">
        <f t="shared" si="91"/>
        <v/>
      </c>
      <c r="FC336" s="16" t="str">
        <f t="shared" si="92"/>
        <v/>
      </c>
      <c r="FD336" s="30">
        <f t="shared" si="83"/>
        <v>43831</v>
      </c>
      <c r="FE336" s="30" t="str">
        <f>+IFERROR(VLOOKUP(FD336,BDD,79,FALSE),"")</f>
        <v/>
      </c>
      <c r="FF336" s="30" t="str">
        <f>IFERROR(+VLOOKUP(FD336,BDD,80,FALSE),"")</f>
        <v/>
      </c>
      <c r="FG336" s="30" t="str">
        <f>+IFERROR(VLOOKUP(FD336,BDD,81,FALSE),"")</f>
        <v/>
      </c>
      <c r="FH336" s="30" t="str">
        <f>+IFERROR(VLOOKUP(FD336,BDD,82,FALSE),"")</f>
        <v/>
      </c>
      <c r="FW336" s="16" t="str">
        <f>Novembre!GB43</f>
        <v>482026</v>
      </c>
      <c r="FX336" s="16">
        <f>Novembre!GC43</f>
        <v>0</v>
      </c>
      <c r="HI336" s="85">
        <f>+Novembre!AB44</f>
        <v>46351</v>
      </c>
      <c r="HJ336" s="27" t="str">
        <f>+Novembre!AD44</f>
        <v/>
      </c>
      <c r="HK336" s="16">
        <f t="shared" si="93"/>
        <v>0</v>
      </c>
      <c r="HL336" s="16" t="str">
        <f>IF(AND(HI336&gt;=DATE(Identification!$B$60,5,1),HI336&lt;=DATE(Identification!$B$60,10,31),SUM(HK336:HK350)=12),"OUI","")</f>
        <v/>
      </c>
    </row>
    <row r="337" spans="1:220" x14ac:dyDescent="0.2">
      <c r="A337" s="16" t="str">
        <f t="shared" si="81"/>
        <v>Fiche info Avenant 3H7</v>
      </c>
      <c r="B337" s="16" t="str">
        <f t="shared" si="80"/>
        <v>Fiche info Avenant 3</v>
      </c>
      <c r="C337" s="27" t="s">
        <v>237</v>
      </c>
      <c r="D337" s="27">
        <v>7</v>
      </c>
      <c r="E337" s="16" t="s">
        <v>185</v>
      </c>
      <c r="F337" s="34" t="str">
        <f>+IF('Fiche info'!$CJ$13=0,"",'Fiche info'!$CJ$13)</f>
        <v/>
      </c>
      <c r="G337" s="16">
        <f t="shared" si="89"/>
        <v>0</v>
      </c>
      <c r="BX337" s="16" t="str">
        <f t="shared" si="90"/>
        <v>Fiche info Avenant 3H7</v>
      </c>
      <c r="BY337" s="431">
        <f>'Fiche info Avenant 3'!$CA$13</f>
        <v>0</v>
      </c>
      <c r="BZ337" s="431">
        <f>'Fiche info Avenant 3'!$CB$13</f>
        <v>0</v>
      </c>
      <c r="CA337" s="431">
        <f>'Fiche info Avenant 3'!$CC$13</f>
        <v>0</v>
      </c>
      <c r="CB337" s="431">
        <f>'Fiche info Avenant 3'!$CD$13</f>
        <v>0</v>
      </c>
      <c r="CC337" s="431">
        <f>'Fiche info Avenant 3'!$CE$13</f>
        <v>0</v>
      </c>
      <c r="CD337" s="431">
        <f>'Fiche info Avenant 3'!$CF$13</f>
        <v>0</v>
      </c>
      <c r="CE337" s="431">
        <f>'Fiche info Avenant 3'!$CG$13</f>
        <v>0</v>
      </c>
      <c r="CF337" s="431">
        <f>'Fiche info Avenant 3'!$CH$13</f>
        <v>0</v>
      </c>
      <c r="ED337" s="16" t="str">
        <f t="shared" si="82"/>
        <v>Fiche info Avenant 3H</v>
      </c>
      <c r="EE337" s="16" t="str">
        <f t="shared" si="84"/>
        <v>Fiche info Avenant 3</v>
      </c>
      <c r="EF337" s="16" t="str">
        <f t="shared" si="85"/>
        <v>H</v>
      </c>
      <c r="EG337" s="16">
        <f t="shared" si="86"/>
        <v>7</v>
      </c>
      <c r="EH337" s="16" t="str">
        <f t="shared" si="87"/>
        <v>Dimanche</v>
      </c>
      <c r="EI337" s="16" t="str">
        <f t="shared" si="88"/>
        <v/>
      </c>
      <c r="FB337" s="16" t="str">
        <f t="shared" si="91"/>
        <v/>
      </c>
      <c r="FC337" s="16" t="str">
        <f t="shared" si="92"/>
        <v/>
      </c>
      <c r="FD337" s="30">
        <f t="shared" si="83"/>
        <v>43831</v>
      </c>
      <c r="FE337" s="30" t="str">
        <f>+IFERROR(VLOOKUP(FD337,BDD,83,FALSE),"")</f>
        <v/>
      </c>
      <c r="FF337" s="30" t="str">
        <f>+IFERROR(VLOOKUP(FD337,BDD,84,FALSE),"")</f>
        <v/>
      </c>
      <c r="FG337" s="30" t="str">
        <f>+IFERROR(VLOOKUP(FD337,BDD,85,FALSE),"")</f>
        <v/>
      </c>
      <c r="FH337" s="30" t="str">
        <f>+IFERROR(VLOOKUP(FD337,BDD,86,FALSE),"")</f>
        <v/>
      </c>
      <c r="FW337" s="16" t="str">
        <f>Novembre!GB44</f>
        <v>482026</v>
      </c>
      <c r="FX337" s="16">
        <f>Novembre!GC44</f>
        <v>0</v>
      </c>
      <c r="HI337" s="85">
        <f>+Novembre!AB45</f>
        <v>46352</v>
      </c>
      <c r="HJ337" s="27" t="str">
        <f>+Novembre!AD45</f>
        <v/>
      </c>
      <c r="HK337" s="16">
        <f t="shared" si="93"/>
        <v>0</v>
      </c>
      <c r="HL337" s="16" t="str">
        <f>IF(AND(HI337&gt;=DATE(Identification!$B$60,5,1),HI337&lt;=DATE(Identification!$B$60,10,31),SUM(HK337:HK351)=12),"OUI","")</f>
        <v/>
      </c>
    </row>
    <row r="338" spans="1:220" x14ac:dyDescent="0.2">
      <c r="A338" s="16" t="str">
        <f t="shared" si="81"/>
        <v>Fiche info Avenant 4A1</v>
      </c>
      <c r="B338" s="16" t="str">
        <f>+$P$8</f>
        <v>Fiche info Avenant 4</v>
      </c>
      <c r="C338" s="27" t="s">
        <v>226</v>
      </c>
      <c r="D338" s="27">
        <v>1</v>
      </c>
      <c r="E338" s="16" t="s">
        <v>17</v>
      </c>
      <c r="F338" s="34" t="str">
        <f>IF('Fiche info Avenant 4'!$K$7=0,"",'Fiche info Avenant 4'!$K$7)</f>
        <v/>
      </c>
      <c r="G338" s="16">
        <f t="shared" si="89"/>
        <v>0</v>
      </c>
      <c r="BX338" s="16" t="str">
        <f t="shared" si="90"/>
        <v>Fiche info Avenant 4A1</v>
      </c>
      <c r="BY338" s="431">
        <f>'Fiche info Avenant 4'!$B$7</f>
        <v>0</v>
      </c>
      <c r="BZ338" s="431">
        <f>'Fiche info Avenant 4'!$C$7</f>
        <v>0</v>
      </c>
      <c r="CA338" s="431">
        <f>'Fiche info Avenant 4'!$D$7</f>
        <v>0</v>
      </c>
      <c r="CB338" s="431">
        <f>'Fiche info Avenant 4'!$E$7</f>
        <v>0</v>
      </c>
      <c r="CC338" s="431">
        <f>'Fiche info Avenant 4'!$F$7</f>
        <v>0</v>
      </c>
      <c r="CD338" s="431">
        <f>'Fiche info Avenant 4'!$G$7</f>
        <v>0</v>
      </c>
      <c r="CE338" s="431">
        <f>'Fiche info Avenant 4'!$H$7</f>
        <v>0</v>
      </c>
      <c r="CF338" s="431">
        <f>'Fiche info Avenant 4'!$I$7</f>
        <v>0</v>
      </c>
      <c r="ED338" s="16" t="str">
        <f t="shared" si="82"/>
        <v>Fiche info Avenant 4A</v>
      </c>
      <c r="EE338" s="16" t="str">
        <f t="shared" si="84"/>
        <v>Fiche info Avenant 4</v>
      </c>
      <c r="EF338" s="16" t="str">
        <f t="shared" si="85"/>
        <v>A</v>
      </c>
      <c r="EG338" s="16">
        <f t="shared" si="86"/>
        <v>1</v>
      </c>
      <c r="EH338" s="16" t="str">
        <f t="shared" si="87"/>
        <v>Lundi</v>
      </c>
      <c r="EI338" s="16" t="str">
        <f t="shared" si="88"/>
        <v/>
      </c>
      <c r="FB338" s="16" t="str">
        <f t="shared" si="91"/>
        <v/>
      </c>
      <c r="FC338" s="16" t="str">
        <f t="shared" si="92"/>
        <v/>
      </c>
      <c r="FD338" s="30">
        <f t="shared" si="83"/>
        <v>43800</v>
      </c>
      <c r="FE338" s="30" t="str">
        <f>+IFERROR(VLOOKUP(FD338,BDD,71,FALSE),"")</f>
        <v/>
      </c>
      <c r="FF338" s="30" t="str">
        <f>IFERROR(+VLOOKUP(FD338,BDD,72,FALSE),"")</f>
        <v/>
      </c>
      <c r="FG338" s="30" t="str">
        <f>+IFERROR(VLOOKUP(FD338,BDD,73,FALSE),"")</f>
        <v/>
      </c>
      <c r="FH338" s="30" t="str">
        <f>+IFERROR(VLOOKUP(FD338,BDD,74,FALSE),"")</f>
        <v/>
      </c>
      <c r="FW338" s="16" t="str">
        <f>Novembre!GB45</f>
        <v>482026</v>
      </c>
      <c r="FX338" s="16">
        <f>Novembre!GC45</f>
        <v>0</v>
      </c>
      <c r="HI338" s="85">
        <f>+Novembre!AB46</f>
        <v>46353</v>
      </c>
      <c r="HJ338" s="27" t="str">
        <f>+Novembre!AD46</f>
        <v/>
      </c>
      <c r="HK338" s="16">
        <f t="shared" si="93"/>
        <v>0</v>
      </c>
      <c r="HL338" s="16" t="str">
        <f>IF(AND(HI338&gt;=DATE(Identification!$B$60,5,1),HI338&lt;=DATE(Identification!$B$60,10,31),SUM(HK338:HK352)=12),"OUI","")</f>
        <v/>
      </c>
    </row>
    <row r="339" spans="1:220" x14ac:dyDescent="0.2">
      <c r="A339" s="16" t="str">
        <f t="shared" si="81"/>
        <v>Fiche info Avenant 4A2</v>
      </c>
      <c r="B339" s="16" t="str">
        <f t="shared" ref="B339:B393" si="94">+$P$8</f>
        <v>Fiche info Avenant 4</v>
      </c>
      <c r="C339" s="27" t="s">
        <v>226</v>
      </c>
      <c r="D339" s="27">
        <v>2</v>
      </c>
      <c r="E339" s="16" t="s">
        <v>18</v>
      </c>
      <c r="F339" s="34" t="str">
        <f>IF('Fiche info Avenant 4'!$K$8=0,"",'Fiche info Avenant 4'!$K$8)</f>
        <v/>
      </c>
      <c r="G339" s="16">
        <f t="shared" si="89"/>
        <v>0</v>
      </c>
      <c r="BX339" s="16" t="str">
        <f t="shared" si="90"/>
        <v>Fiche info Avenant 4A2</v>
      </c>
      <c r="BY339" s="431">
        <f>'Fiche info Avenant 4'!$B$8</f>
        <v>0</v>
      </c>
      <c r="BZ339" s="431">
        <f>'Fiche info Avenant 4'!$C$8</f>
        <v>0</v>
      </c>
      <c r="CA339" s="431">
        <f>'Fiche info Avenant 4'!$D$8</f>
        <v>0</v>
      </c>
      <c r="CB339" s="431">
        <f>'Fiche info Avenant 4'!$E$8</f>
        <v>0</v>
      </c>
      <c r="CC339" s="431">
        <f>'Fiche info Avenant 4'!$F$8</f>
        <v>0</v>
      </c>
      <c r="CD339" s="431">
        <f>'Fiche info Avenant 4'!$G$8</f>
        <v>0</v>
      </c>
      <c r="CE339" s="431">
        <f>'Fiche info Avenant 4'!$H$8</f>
        <v>0</v>
      </c>
      <c r="CF339" s="431">
        <f>'Fiche info Avenant 4'!$I$8</f>
        <v>0</v>
      </c>
      <c r="ED339" s="16" t="str">
        <f t="shared" si="82"/>
        <v>Fiche info Avenant 4A</v>
      </c>
      <c r="EE339" s="16" t="str">
        <f t="shared" si="84"/>
        <v>Fiche info Avenant 4</v>
      </c>
      <c r="EF339" s="16" t="str">
        <f t="shared" si="85"/>
        <v>A</v>
      </c>
      <c r="EG339" s="16">
        <f t="shared" si="86"/>
        <v>2</v>
      </c>
      <c r="EH339" s="16" t="str">
        <f t="shared" si="87"/>
        <v>Mardi</v>
      </c>
      <c r="EI339" s="16" t="str">
        <f t="shared" si="88"/>
        <v/>
      </c>
      <c r="FB339" s="16" t="str">
        <f t="shared" si="91"/>
        <v/>
      </c>
      <c r="FC339" s="16" t="str">
        <f t="shared" si="92"/>
        <v/>
      </c>
      <c r="FD339" s="30">
        <f t="shared" si="83"/>
        <v>43800</v>
      </c>
      <c r="FE339" s="30" t="str">
        <f>+IFERROR(VLOOKUP(FD339,BDD,75,FALSE),"")</f>
        <v/>
      </c>
      <c r="FF339" s="30" t="str">
        <f>+IFERROR(VLOOKUP(FD339,BDD,76,FALSE),"")</f>
        <v/>
      </c>
      <c r="FG339" s="30" t="str">
        <f>IFERROR(+VLOOKUP(FD339,BDD,77,FALSE),"")</f>
        <v/>
      </c>
      <c r="FH339" s="30" t="str">
        <f>+IFERROR(VLOOKUP(FD339,BDD,78,FALSE),"")</f>
        <v/>
      </c>
      <c r="FW339" s="16" t="str">
        <f>Novembre!GB46</f>
        <v>482026</v>
      </c>
      <c r="FX339" s="16">
        <f>Novembre!GC46</f>
        <v>0</v>
      </c>
      <c r="HI339" s="85">
        <f>+Novembre!AB47</f>
        <v>46354</v>
      </c>
      <c r="HJ339" s="27" t="str">
        <f>+Novembre!AD47</f>
        <v/>
      </c>
      <c r="HK339" s="16">
        <f t="shared" si="93"/>
        <v>0</v>
      </c>
      <c r="HL339" s="16" t="str">
        <f>IF(AND(HI339&gt;=DATE(Identification!$B$60,5,1),HI339&lt;=DATE(Identification!$B$60,10,31),SUM(HK339:HK353)=12),"OUI","")</f>
        <v/>
      </c>
    </row>
    <row r="340" spans="1:220" x14ac:dyDescent="0.2">
      <c r="A340" s="16" t="str">
        <f t="shared" si="81"/>
        <v>Fiche info Avenant 4A3</v>
      </c>
      <c r="B340" s="16" t="str">
        <f t="shared" si="94"/>
        <v>Fiche info Avenant 4</v>
      </c>
      <c r="C340" s="27" t="s">
        <v>226</v>
      </c>
      <c r="D340" s="27">
        <v>3</v>
      </c>
      <c r="E340" s="16" t="s">
        <v>19</v>
      </c>
      <c r="F340" s="34" t="str">
        <f>IF('Fiche info Avenant 4'!$K$9=0,"",'Fiche info Avenant 4'!$K$9)</f>
        <v/>
      </c>
      <c r="G340" s="16">
        <f t="shared" si="89"/>
        <v>0</v>
      </c>
      <c r="BX340" s="16" t="str">
        <f t="shared" si="90"/>
        <v>Fiche info Avenant 4A3</v>
      </c>
      <c r="BY340" s="431">
        <f>'Fiche info Avenant 4'!$B$9</f>
        <v>0</v>
      </c>
      <c r="BZ340" s="431">
        <f>'Fiche info Avenant 4'!$C$9</f>
        <v>0</v>
      </c>
      <c r="CA340" s="431">
        <f>'Fiche info Avenant 4'!$D$9</f>
        <v>0</v>
      </c>
      <c r="CB340" s="431">
        <f>'Fiche info Avenant 4'!$E$9</f>
        <v>0</v>
      </c>
      <c r="CC340" s="431">
        <f>'Fiche info Avenant 4'!$F$9</f>
        <v>0</v>
      </c>
      <c r="CD340" s="431">
        <f>'Fiche info Avenant 4'!$G$9</f>
        <v>0</v>
      </c>
      <c r="CE340" s="431">
        <f>'Fiche info Avenant 4'!$H$9</f>
        <v>0</v>
      </c>
      <c r="CF340" s="431">
        <f>'Fiche info Avenant 4'!$I$9</f>
        <v>0</v>
      </c>
      <c r="ED340" s="16" t="str">
        <f t="shared" si="82"/>
        <v>Fiche info Avenant 4A</v>
      </c>
      <c r="EE340" s="16" t="str">
        <f t="shared" si="84"/>
        <v>Fiche info Avenant 4</v>
      </c>
      <c r="EF340" s="16" t="str">
        <f t="shared" si="85"/>
        <v>A</v>
      </c>
      <c r="EG340" s="16">
        <f t="shared" si="86"/>
        <v>3</v>
      </c>
      <c r="EH340" s="16" t="str">
        <f t="shared" si="87"/>
        <v>Mercredi</v>
      </c>
      <c r="EI340" s="16" t="str">
        <f t="shared" si="88"/>
        <v/>
      </c>
      <c r="FB340" s="16" t="str">
        <f t="shared" si="91"/>
        <v/>
      </c>
      <c r="FC340" s="16" t="str">
        <f t="shared" si="92"/>
        <v/>
      </c>
      <c r="FD340" s="30">
        <f t="shared" si="83"/>
        <v>43800</v>
      </c>
      <c r="FE340" s="30" t="str">
        <f>+IFERROR(VLOOKUP(FD340,BDD,79,FALSE),"")</f>
        <v/>
      </c>
      <c r="FF340" s="30" t="str">
        <f>IFERROR(+VLOOKUP(FD340,BDD,80,FALSE),"")</f>
        <v/>
      </c>
      <c r="FG340" s="30" t="str">
        <f>+IFERROR(VLOOKUP(FD340,BDD,81,FALSE),"")</f>
        <v/>
      </c>
      <c r="FH340" s="30" t="str">
        <f>+IFERROR(VLOOKUP(FD340,BDD,82,FALSE),"")</f>
        <v/>
      </c>
      <c r="FW340" s="16" t="str">
        <f>Novembre!GB47</f>
        <v>482026</v>
      </c>
      <c r="FX340" s="16">
        <f>Novembre!GC47</f>
        <v>0</v>
      </c>
      <c r="HI340" s="85">
        <f>+Novembre!AB48</f>
        <v>46355</v>
      </c>
      <c r="HJ340" s="27" t="str">
        <f>+Novembre!AD48</f>
        <v/>
      </c>
      <c r="HK340" s="16">
        <f t="shared" si="93"/>
        <v>0</v>
      </c>
      <c r="HL340" s="16" t="str">
        <f>IF(AND(HI340&gt;=DATE(Identification!$B$60,5,1),HI340&lt;=DATE(Identification!$B$60,10,31),SUM(HK340:HK354)=12),"OUI","")</f>
        <v/>
      </c>
    </row>
    <row r="341" spans="1:220" x14ac:dyDescent="0.2">
      <c r="A341" s="16" t="str">
        <f t="shared" si="81"/>
        <v>Fiche info Avenant 4A4</v>
      </c>
      <c r="B341" s="16" t="str">
        <f t="shared" si="94"/>
        <v>Fiche info Avenant 4</v>
      </c>
      <c r="C341" s="27" t="s">
        <v>226</v>
      </c>
      <c r="D341" s="27">
        <v>4</v>
      </c>
      <c r="E341" s="16" t="s">
        <v>20</v>
      </c>
      <c r="F341" s="34" t="str">
        <f>IF('Fiche info Avenant 4'!$K$10=0,"",'Fiche info Avenant 4'!$K$10)</f>
        <v/>
      </c>
      <c r="G341" s="16">
        <f t="shared" si="89"/>
        <v>0</v>
      </c>
      <c r="BX341" s="16" t="str">
        <f t="shared" si="90"/>
        <v>Fiche info Avenant 4A4</v>
      </c>
      <c r="BY341" s="431">
        <f>'Fiche info Avenant 4'!$B$10</f>
        <v>0</v>
      </c>
      <c r="BZ341" s="431">
        <f>'Fiche info Avenant 4'!$C$10</f>
        <v>0</v>
      </c>
      <c r="CA341" s="431">
        <f>'Fiche info Avenant 4'!$D$10</f>
        <v>0</v>
      </c>
      <c r="CB341" s="431">
        <f>'Fiche info Avenant 4'!$E$10</f>
        <v>0</v>
      </c>
      <c r="CC341" s="431">
        <f>'Fiche info Avenant 4'!$F$10</f>
        <v>0</v>
      </c>
      <c r="CD341" s="431">
        <f>'Fiche info Avenant 4'!$G$10</f>
        <v>0</v>
      </c>
      <c r="CE341" s="431">
        <f>'Fiche info Avenant 4'!$H$10</f>
        <v>0</v>
      </c>
      <c r="CF341" s="431">
        <f>'Fiche info Avenant 4'!$I$10</f>
        <v>0</v>
      </c>
      <c r="ED341" s="16" t="str">
        <f t="shared" si="82"/>
        <v>Fiche info Avenant 4A</v>
      </c>
      <c r="EE341" s="16" t="str">
        <f t="shared" si="84"/>
        <v>Fiche info Avenant 4</v>
      </c>
      <c r="EF341" s="16" t="str">
        <f t="shared" si="85"/>
        <v>A</v>
      </c>
      <c r="EG341" s="16">
        <f t="shared" si="86"/>
        <v>4</v>
      </c>
      <c r="EH341" s="16" t="str">
        <f t="shared" si="87"/>
        <v>Jeudi</v>
      </c>
      <c r="EI341" s="16" t="str">
        <f t="shared" si="88"/>
        <v/>
      </c>
      <c r="FB341" s="16" t="str">
        <f t="shared" si="91"/>
        <v/>
      </c>
      <c r="FC341" s="16" t="str">
        <f t="shared" si="92"/>
        <v/>
      </c>
      <c r="FD341" s="30">
        <f t="shared" si="83"/>
        <v>43800</v>
      </c>
      <c r="FE341" s="30" t="str">
        <f>+IFERROR(VLOOKUP(FD341,BDD,83,FALSE),"")</f>
        <v/>
      </c>
      <c r="FF341" s="30" t="str">
        <f>+IFERROR(VLOOKUP(FD341,BDD,84,FALSE),"")</f>
        <v/>
      </c>
      <c r="FG341" s="30" t="str">
        <f>+IFERROR(VLOOKUP(FD341,BDD,85,FALSE),"")</f>
        <v/>
      </c>
      <c r="FH341" s="30" t="str">
        <f>+IFERROR(VLOOKUP(FD341,BDD,86,FALSE),"")</f>
        <v/>
      </c>
      <c r="FW341" s="16" t="str">
        <f>Novembre!GB48</f>
        <v>482026</v>
      </c>
      <c r="FX341" s="16">
        <f>Novembre!GC48</f>
        <v>0</v>
      </c>
      <c r="HI341" s="85">
        <f>+Novembre!AB49</f>
        <v>46356</v>
      </c>
      <c r="HJ341" s="27" t="str">
        <f>+Novembre!AD49</f>
        <v/>
      </c>
      <c r="HK341" s="16">
        <f t="shared" si="93"/>
        <v>0</v>
      </c>
      <c r="HL341" s="16" t="str">
        <f>IF(AND(HI341&gt;=DATE(Identification!$B$60,5,1),HI341&lt;=DATE(Identification!$B$60,10,31),SUM(HK341:HK355)=12),"OUI","")</f>
        <v/>
      </c>
    </row>
    <row r="342" spans="1:220" x14ac:dyDescent="0.2">
      <c r="A342" s="16" t="str">
        <f t="shared" si="81"/>
        <v>Fiche info Avenant 4A5</v>
      </c>
      <c r="B342" s="16" t="str">
        <f t="shared" si="94"/>
        <v>Fiche info Avenant 4</v>
      </c>
      <c r="C342" s="27" t="s">
        <v>226</v>
      </c>
      <c r="D342" s="27">
        <v>5</v>
      </c>
      <c r="E342" s="16" t="s">
        <v>21</v>
      </c>
      <c r="F342" s="34" t="str">
        <f>IF('Fiche info Avenant 4'!$K$11=0,"",'Fiche info Avenant 4'!$K$11)</f>
        <v/>
      </c>
      <c r="G342" s="16">
        <f t="shared" si="89"/>
        <v>0</v>
      </c>
      <c r="BX342" s="16" t="str">
        <f t="shared" si="90"/>
        <v>Fiche info Avenant 4A5</v>
      </c>
      <c r="BY342" s="431">
        <f>'Fiche info Avenant 4'!$B$11</f>
        <v>0</v>
      </c>
      <c r="BZ342" s="431">
        <f>'Fiche info Avenant 4'!$C$11</f>
        <v>0</v>
      </c>
      <c r="CA342" s="431">
        <f>'Fiche info Avenant 4'!$D$11</f>
        <v>0</v>
      </c>
      <c r="CB342" s="431">
        <f>'Fiche info Avenant 4'!$E$11</f>
        <v>0</v>
      </c>
      <c r="CC342" s="431">
        <f>'Fiche info Avenant 4'!$F$11</f>
        <v>0</v>
      </c>
      <c r="CD342" s="431">
        <f>'Fiche info Avenant 4'!$G$11</f>
        <v>0</v>
      </c>
      <c r="CE342" s="431">
        <f>'Fiche info Avenant 4'!$H$11</f>
        <v>0</v>
      </c>
      <c r="CF342" s="431">
        <f>'Fiche info Avenant 4'!$I$11</f>
        <v>0</v>
      </c>
      <c r="ED342" s="16" t="str">
        <f t="shared" si="82"/>
        <v>Fiche info Avenant 4A</v>
      </c>
      <c r="EE342" s="16" t="str">
        <f t="shared" si="84"/>
        <v>Fiche info Avenant 4</v>
      </c>
      <c r="EF342" s="16" t="str">
        <f t="shared" si="85"/>
        <v>A</v>
      </c>
      <c r="EG342" s="16">
        <f t="shared" si="86"/>
        <v>5</v>
      </c>
      <c r="EH342" s="16" t="str">
        <f t="shared" si="87"/>
        <v>Vendredi</v>
      </c>
      <c r="EI342" s="16" t="str">
        <f t="shared" si="88"/>
        <v/>
      </c>
      <c r="FB342" s="16" t="str">
        <f t="shared" si="91"/>
        <v/>
      </c>
      <c r="FC342" s="16" t="str">
        <f t="shared" si="92"/>
        <v/>
      </c>
      <c r="FD342" s="30">
        <f t="shared" si="83"/>
        <v>43770</v>
      </c>
      <c r="FE342" s="30" t="str">
        <f>+IFERROR(VLOOKUP(FD342,BDD,71,FALSE),"")</f>
        <v/>
      </c>
      <c r="FF342" s="30" t="str">
        <f>IFERROR(+VLOOKUP(FD342,BDD,72,FALSE),"")</f>
        <v/>
      </c>
      <c r="FG342" s="30" t="str">
        <f>+IFERROR(VLOOKUP(FD342,BDD,73,FALSE),"")</f>
        <v/>
      </c>
      <c r="FH342" s="30" t="str">
        <f>+IFERROR(VLOOKUP(FD342,BDD,74,FALSE),"")</f>
        <v/>
      </c>
      <c r="FW342" s="16" t="str">
        <f>Novembre!GB49</f>
        <v>492026</v>
      </c>
      <c r="FX342" s="16">
        <f>Novembre!GC49</f>
        <v>0</v>
      </c>
      <c r="HI342" s="85" t="str">
        <f>+Novembre!AB50</f>
        <v/>
      </c>
      <c r="HJ342" s="27" t="str">
        <f>+Novembre!AD50</f>
        <v/>
      </c>
      <c r="HK342" s="16">
        <f t="shared" si="93"/>
        <v>0</v>
      </c>
      <c r="HL342" s="16" t="str">
        <f>IF(AND(HI342&gt;=DATE(Identification!$B$60,5,1),HI342&lt;=DATE(Identification!$B$60,10,31),SUM(HK342:HK356)=12),"OUI","")</f>
        <v/>
      </c>
    </row>
    <row r="343" spans="1:220" x14ac:dyDescent="0.2">
      <c r="A343" s="16" t="str">
        <f t="shared" si="81"/>
        <v>Fiche info Avenant 4A6</v>
      </c>
      <c r="B343" s="16" t="str">
        <f t="shared" si="94"/>
        <v>Fiche info Avenant 4</v>
      </c>
      <c r="C343" s="27" t="s">
        <v>226</v>
      </c>
      <c r="D343" s="27">
        <v>6</v>
      </c>
      <c r="E343" s="16" t="s">
        <v>184</v>
      </c>
      <c r="F343" s="34" t="str">
        <f>IF('Fiche info Avenant 4'!$K$12=0,"",'Fiche info Avenant 4'!$K$12)</f>
        <v/>
      </c>
      <c r="G343" s="16">
        <f t="shared" si="89"/>
        <v>0</v>
      </c>
      <c r="BX343" s="16" t="str">
        <f t="shared" si="90"/>
        <v>Fiche info Avenant 4A6</v>
      </c>
      <c r="BY343" s="431">
        <f>'Fiche info Avenant 4'!$B$12</f>
        <v>0</v>
      </c>
      <c r="BZ343" s="431">
        <f>'Fiche info Avenant 4'!$C$12</f>
        <v>0</v>
      </c>
      <c r="CA343" s="431">
        <f>'Fiche info Avenant 4'!$D$12</f>
        <v>0</v>
      </c>
      <c r="CB343" s="431">
        <f>'Fiche info Avenant 4'!$E$12</f>
        <v>0</v>
      </c>
      <c r="CC343" s="431">
        <f>'Fiche info Avenant 4'!$F$12</f>
        <v>0</v>
      </c>
      <c r="CD343" s="431">
        <f>'Fiche info Avenant 4'!$G$12</f>
        <v>0</v>
      </c>
      <c r="CE343" s="431">
        <f>'Fiche info Avenant 4'!$H$12</f>
        <v>0</v>
      </c>
      <c r="CF343" s="431">
        <f>'Fiche info Avenant 4'!$I$12</f>
        <v>0</v>
      </c>
      <c r="ED343" s="16" t="str">
        <f t="shared" si="82"/>
        <v>Fiche info Avenant 4A</v>
      </c>
      <c r="EE343" s="16" t="str">
        <f t="shared" si="84"/>
        <v>Fiche info Avenant 4</v>
      </c>
      <c r="EF343" s="16" t="str">
        <f t="shared" si="85"/>
        <v>A</v>
      </c>
      <c r="EG343" s="16">
        <f t="shared" si="86"/>
        <v>6</v>
      </c>
      <c r="EH343" s="16" t="str">
        <f t="shared" si="87"/>
        <v>Samedi</v>
      </c>
      <c r="EI343" s="16" t="str">
        <f t="shared" si="88"/>
        <v/>
      </c>
      <c r="FB343" s="16" t="str">
        <f t="shared" si="91"/>
        <v/>
      </c>
      <c r="FC343" s="16" t="str">
        <f t="shared" si="92"/>
        <v/>
      </c>
      <c r="FD343" s="30">
        <f t="shared" si="83"/>
        <v>43770</v>
      </c>
      <c r="FE343" s="30" t="str">
        <f>+IFERROR(VLOOKUP(FD343,BDD,75,FALSE),"")</f>
        <v/>
      </c>
      <c r="FF343" s="30" t="str">
        <f>+IFERROR(VLOOKUP(FD343,BDD,76,FALSE),"")</f>
        <v/>
      </c>
      <c r="FG343" s="30" t="str">
        <f>IFERROR(+VLOOKUP(FD343,BDD,77,FALSE),"")</f>
        <v/>
      </c>
      <c r="FH343" s="30" t="str">
        <f>+IFERROR(VLOOKUP(FD343,BDD,78,FALSE),"")</f>
        <v/>
      </c>
      <c r="FW343" s="16" t="str">
        <f>Novembre!GB50</f>
        <v>2026</v>
      </c>
      <c r="FX343" s="16">
        <f>Novembre!GC50</f>
        <v>0</v>
      </c>
      <c r="HI343" s="85">
        <f>+Décembre!AB20</f>
        <v>46357</v>
      </c>
      <c r="HJ343" s="27" t="str">
        <f>+Décembre!AD20</f>
        <v/>
      </c>
      <c r="HK343" s="16">
        <f t="shared" si="93"/>
        <v>0</v>
      </c>
      <c r="HL343" s="16" t="str">
        <f>IF(AND(HI343&gt;=DATE(Identification!$B$60,5,1),HI343&lt;=DATE(Identification!$B$60,10,31),SUM(HK343:HK357)=12),"OUI","")</f>
        <v/>
      </c>
    </row>
    <row r="344" spans="1:220" x14ac:dyDescent="0.2">
      <c r="A344" s="16" t="str">
        <f t="shared" si="81"/>
        <v>Fiche info Avenant 4A7</v>
      </c>
      <c r="B344" s="16" t="str">
        <f t="shared" si="94"/>
        <v>Fiche info Avenant 4</v>
      </c>
      <c r="C344" s="27" t="s">
        <v>226</v>
      </c>
      <c r="D344" s="27">
        <v>7</v>
      </c>
      <c r="E344" s="16" t="s">
        <v>185</v>
      </c>
      <c r="F344" s="34" t="str">
        <f>IF('Fiche info Avenant 4'!$K$13=0,"",'Fiche info Avenant 4'!$K$13)</f>
        <v/>
      </c>
      <c r="G344" s="16">
        <f t="shared" si="89"/>
        <v>0</v>
      </c>
      <c r="BX344" s="16" t="str">
        <f t="shared" si="90"/>
        <v>Fiche info Avenant 4A7</v>
      </c>
      <c r="BY344" s="431">
        <f>'Fiche info Avenant 4'!$B$13</f>
        <v>0</v>
      </c>
      <c r="BZ344" s="431">
        <f>'Fiche info Avenant 4'!$C$13</f>
        <v>0</v>
      </c>
      <c r="CA344" s="431">
        <f>'Fiche info Avenant 4'!$D$13</f>
        <v>0</v>
      </c>
      <c r="CB344" s="431">
        <f>'Fiche info Avenant 4'!$E$13</f>
        <v>0</v>
      </c>
      <c r="CC344" s="431">
        <f>'Fiche info Avenant 4'!$F$13</f>
        <v>0</v>
      </c>
      <c r="CD344" s="431">
        <f>'Fiche info Avenant 4'!$G$13</f>
        <v>0</v>
      </c>
      <c r="CE344" s="431">
        <f>'Fiche info Avenant 4'!$H$13</f>
        <v>0</v>
      </c>
      <c r="CF344" s="431">
        <f>'Fiche info Avenant 4'!$I$13</f>
        <v>0</v>
      </c>
      <c r="ED344" s="16" t="str">
        <f t="shared" si="82"/>
        <v>Fiche info Avenant 4A</v>
      </c>
      <c r="EE344" s="16" t="str">
        <f t="shared" si="84"/>
        <v>Fiche info Avenant 4</v>
      </c>
      <c r="EF344" s="16" t="str">
        <f t="shared" si="85"/>
        <v>A</v>
      </c>
      <c r="EG344" s="16">
        <f t="shared" si="86"/>
        <v>7</v>
      </c>
      <c r="EH344" s="16" t="str">
        <f t="shared" si="87"/>
        <v>Dimanche</v>
      </c>
      <c r="EI344" s="16" t="str">
        <f t="shared" si="88"/>
        <v/>
      </c>
      <c r="FB344" s="16" t="str">
        <f t="shared" si="91"/>
        <v/>
      </c>
      <c r="FC344" s="16" t="str">
        <f t="shared" si="92"/>
        <v/>
      </c>
      <c r="FD344" s="30">
        <f t="shared" si="83"/>
        <v>43770</v>
      </c>
      <c r="FE344" s="30" t="str">
        <f>+IFERROR(VLOOKUP(FD344,BDD,79,FALSE),"")</f>
        <v/>
      </c>
      <c r="FF344" s="30" t="str">
        <f>IFERROR(+VLOOKUP(FD344,BDD,80,FALSE),"")</f>
        <v/>
      </c>
      <c r="FG344" s="30" t="str">
        <f>+IFERROR(VLOOKUP(FD344,BDD,81,FALSE),"")</f>
        <v/>
      </c>
      <c r="FH344" s="30" t="str">
        <f>+IFERROR(VLOOKUP(FD344,BDD,82,FALSE),"")</f>
        <v/>
      </c>
      <c r="FW344" s="16" t="str">
        <f>Décembre!GB20</f>
        <v>492026</v>
      </c>
      <c r="FX344" s="16">
        <f>Décembre!GC20</f>
        <v>0</v>
      </c>
      <c r="HI344" s="85">
        <f>+Décembre!AB21</f>
        <v>46358</v>
      </c>
      <c r="HJ344" s="27" t="str">
        <f>+Décembre!AD21</f>
        <v/>
      </c>
      <c r="HK344" s="16">
        <f t="shared" si="93"/>
        <v>0</v>
      </c>
      <c r="HL344" s="16" t="str">
        <f>IF(AND(HI344&gt;=DATE(Identification!$B$60,5,1),HI344&lt;=DATE(Identification!$B$60,10,31),SUM(HK344:HK358)=12),"OUI","")</f>
        <v/>
      </c>
    </row>
    <row r="345" spans="1:220" x14ac:dyDescent="0.2">
      <c r="A345" s="16" t="str">
        <f t="shared" si="81"/>
        <v>Fiche info Avenant 4B1</v>
      </c>
      <c r="B345" s="16" t="str">
        <f t="shared" si="94"/>
        <v>Fiche info Avenant 4</v>
      </c>
      <c r="C345" s="27" t="s">
        <v>227</v>
      </c>
      <c r="D345" s="27">
        <v>1</v>
      </c>
      <c r="E345" s="16" t="s">
        <v>17</v>
      </c>
      <c r="F345" s="34" t="str">
        <f>+IF('Fiche info Avenant 4'!$V$7=0,"",'Fiche info Avenant 4'!$V$7)</f>
        <v/>
      </c>
      <c r="G345" s="16">
        <f t="shared" si="89"/>
        <v>0</v>
      </c>
      <c r="BX345" s="16" t="str">
        <f t="shared" si="90"/>
        <v>Fiche info Avenant 4B1</v>
      </c>
      <c r="BY345" s="431">
        <f>'Fiche info Avenant 4'!$M$7</f>
        <v>0</v>
      </c>
      <c r="BZ345" s="431">
        <f>'Fiche info Avenant 4'!$N$7</f>
        <v>0</v>
      </c>
      <c r="CA345" s="431">
        <f>'Fiche info Avenant 4'!$O$7</f>
        <v>0</v>
      </c>
      <c r="CB345" s="431">
        <f>'Fiche info Avenant 4'!$P$7</f>
        <v>0</v>
      </c>
      <c r="CC345" s="431">
        <f>'Fiche info Avenant 4'!$Q$7</f>
        <v>0</v>
      </c>
      <c r="CD345" s="431">
        <f>'Fiche info Avenant 4'!$R$7</f>
        <v>0</v>
      </c>
      <c r="CE345" s="431">
        <f>'Fiche info Avenant 4'!$S$7</f>
        <v>0</v>
      </c>
      <c r="CF345" s="431">
        <f>'Fiche info Avenant 4'!$T$7</f>
        <v>0</v>
      </c>
      <c r="ED345" s="16" t="str">
        <f t="shared" si="82"/>
        <v>Fiche info Avenant 4B</v>
      </c>
      <c r="EE345" s="16" t="str">
        <f t="shared" si="84"/>
        <v>Fiche info Avenant 4</v>
      </c>
      <c r="EF345" s="16" t="str">
        <f t="shared" si="85"/>
        <v>B</v>
      </c>
      <c r="EG345" s="16">
        <f t="shared" si="86"/>
        <v>1</v>
      </c>
      <c r="EH345" s="16" t="str">
        <f t="shared" si="87"/>
        <v>Lundi</v>
      </c>
      <c r="EI345" s="16" t="str">
        <f t="shared" si="88"/>
        <v/>
      </c>
      <c r="FB345" s="16" t="str">
        <f t="shared" si="91"/>
        <v/>
      </c>
      <c r="FC345" s="16" t="str">
        <f t="shared" si="92"/>
        <v/>
      </c>
      <c r="FD345" s="30">
        <f t="shared" si="83"/>
        <v>43770</v>
      </c>
      <c r="FE345" s="30" t="str">
        <f>+IFERROR(VLOOKUP(FD345,BDD,83,FALSE),"")</f>
        <v/>
      </c>
      <c r="FF345" s="30" t="str">
        <f>+IFERROR(VLOOKUP(FD345,BDD,84,FALSE),"")</f>
        <v/>
      </c>
      <c r="FG345" s="30" t="str">
        <f>+IFERROR(VLOOKUP(FD345,BDD,85,FALSE),"")</f>
        <v/>
      </c>
      <c r="FH345" s="30" t="str">
        <f>+IFERROR(VLOOKUP(FD345,BDD,86,FALSE),"")</f>
        <v/>
      </c>
      <c r="FW345" s="16" t="str">
        <f>Décembre!GB21</f>
        <v>492026</v>
      </c>
      <c r="FX345" s="16">
        <f>Décembre!GC21</f>
        <v>0</v>
      </c>
      <c r="HI345" s="85">
        <f>+Décembre!AB22</f>
        <v>46359</v>
      </c>
      <c r="HJ345" s="27" t="str">
        <f>+Décembre!AD22</f>
        <v/>
      </c>
      <c r="HK345" s="16">
        <f t="shared" si="93"/>
        <v>0</v>
      </c>
      <c r="HL345" s="16" t="str">
        <f>IF(AND(HI345&gt;=DATE(Identification!$B$60,5,1),HI345&lt;=DATE(Identification!$B$60,10,31),SUM(HK345:HK359)=12),"OUI","")</f>
        <v/>
      </c>
    </row>
    <row r="346" spans="1:220" x14ac:dyDescent="0.2">
      <c r="A346" s="16" t="str">
        <f t="shared" si="81"/>
        <v>Fiche info Avenant 4B2</v>
      </c>
      <c r="B346" s="16" t="str">
        <f t="shared" si="94"/>
        <v>Fiche info Avenant 4</v>
      </c>
      <c r="C346" s="27" t="s">
        <v>227</v>
      </c>
      <c r="D346" s="27">
        <v>2</v>
      </c>
      <c r="E346" s="16" t="s">
        <v>18</v>
      </c>
      <c r="F346" s="34" t="str">
        <f>+IF('Fiche info Avenant 4'!$V$8=0,"",'Fiche info Avenant 4'!$V$8)</f>
        <v/>
      </c>
      <c r="G346" s="16">
        <f t="shared" si="89"/>
        <v>0</v>
      </c>
      <c r="BX346" s="16" t="str">
        <f t="shared" si="90"/>
        <v>Fiche info Avenant 4B2</v>
      </c>
      <c r="BY346" s="431">
        <f>'Fiche info Avenant 4'!$M$8</f>
        <v>0</v>
      </c>
      <c r="BZ346" s="431">
        <f>'Fiche info Avenant 4'!$N$8</f>
        <v>0</v>
      </c>
      <c r="CA346" s="431">
        <f>'Fiche info Avenant 4'!$O$8</f>
        <v>0</v>
      </c>
      <c r="CB346" s="431">
        <f>'Fiche info Avenant 4'!$P$8</f>
        <v>0</v>
      </c>
      <c r="CC346" s="431">
        <f>'Fiche info Avenant 4'!$Q$8</f>
        <v>0</v>
      </c>
      <c r="CD346" s="431">
        <f>'Fiche info Avenant 4'!$R$8</f>
        <v>0</v>
      </c>
      <c r="CE346" s="431">
        <f>'Fiche info Avenant 4'!$S$8</f>
        <v>0</v>
      </c>
      <c r="CF346" s="431">
        <f>'Fiche info Avenant 4'!$T$8</f>
        <v>0</v>
      </c>
      <c r="ED346" s="16" t="str">
        <f t="shared" si="82"/>
        <v>Fiche info Avenant 4B</v>
      </c>
      <c r="EE346" s="16" t="str">
        <f t="shared" si="84"/>
        <v>Fiche info Avenant 4</v>
      </c>
      <c r="EF346" s="16" t="str">
        <f t="shared" si="85"/>
        <v>B</v>
      </c>
      <c r="EG346" s="16">
        <f t="shared" si="86"/>
        <v>2</v>
      </c>
      <c r="EH346" s="16" t="str">
        <f t="shared" si="87"/>
        <v>Mardi</v>
      </c>
      <c r="EI346" s="16" t="str">
        <f t="shared" si="88"/>
        <v/>
      </c>
      <c r="FB346" s="16" t="str">
        <f t="shared" si="91"/>
        <v/>
      </c>
      <c r="FC346" s="16" t="str">
        <f t="shared" si="92"/>
        <v/>
      </c>
      <c r="FD346" s="30">
        <f t="shared" si="83"/>
        <v>43739</v>
      </c>
      <c r="FE346" s="30" t="str">
        <f>+IFERROR(VLOOKUP(FD346,BDD,71,FALSE),"")</f>
        <v/>
      </c>
      <c r="FF346" s="30" t="str">
        <f>IFERROR(+VLOOKUP(FD346,BDD,72,FALSE),"")</f>
        <v/>
      </c>
      <c r="FG346" s="30" t="str">
        <f>+IFERROR(VLOOKUP(FD346,BDD,73,FALSE),"")</f>
        <v/>
      </c>
      <c r="FH346" s="30" t="str">
        <f>+IFERROR(VLOOKUP(FD346,BDD,74,FALSE),"")</f>
        <v/>
      </c>
      <c r="FW346" s="16" t="str">
        <f>Décembre!GB22</f>
        <v>492026</v>
      </c>
      <c r="FX346" s="16">
        <f>Décembre!GC22</f>
        <v>0</v>
      </c>
      <c r="HI346" s="85">
        <f>+Décembre!AB23</f>
        <v>46360</v>
      </c>
      <c r="HJ346" s="27" t="str">
        <f>+Décembre!AD23</f>
        <v/>
      </c>
      <c r="HK346" s="16">
        <f t="shared" si="93"/>
        <v>0</v>
      </c>
      <c r="HL346" s="16" t="str">
        <f>IF(AND(HI346&gt;=DATE(Identification!$B$60,5,1),HI346&lt;=DATE(Identification!$B$60,10,31),SUM(HK346:HK360)=12),"OUI","")</f>
        <v/>
      </c>
    </row>
    <row r="347" spans="1:220" x14ac:dyDescent="0.2">
      <c r="A347" s="16" t="str">
        <f t="shared" si="81"/>
        <v>Fiche info Avenant 4B3</v>
      </c>
      <c r="B347" s="16" t="str">
        <f t="shared" si="94"/>
        <v>Fiche info Avenant 4</v>
      </c>
      <c r="C347" s="27" t="s">
        <v>227</v>
      </c>
      <c r="D347" s="27">
        <v>3</v>
      </c>
      <c r="E347" s="16" t="s">
        <v>19</v>
      </c>
      <c r="F347" s="34" t="str">
        <f>+IF('Fiche info Avenant 4'!$V$9=0,"",'Fiche info Avenant 4'!$V$9)</f>
        <v/>
      </c>
      <c r="G347" s="16">
        <f t="shared" si="89"/>
        <v>0</v>
      </c>
      <c r="BX347" s="16" t="str">
        <f t="shared" si="90"/>
        <v>Fiche info Avenant 4B3</v>
      </c>
      <c r="BY347" s="431">
        <f>'Fiche info Avenant 4'!$M$9</f>
        <v>0</v>
      </c>
      <c r="BZ347" s="431">
        <f>'Fiche info Avenant 4'!$N$9</f>
        <v>0</v>
      </c>
      <c r="CA347" s="431">
        <f>'Fiche info Avenant 4'!$O$9</f>
        <v>0</v>
      </c>
      <c r="CB347" s="431">
        <f>'Fiche info Avenant 4'!$P$9</f>
        <v>0</v>
      </c>
      <c r="CC347" s="431">
        <f>'Fiche info Avenant 4'!$Q$9</f>
        <v>0</v>
      </c>
      <c r="CD347" s="431">
        <f>'Fiche info Avenant 4'!$R$9</f>
        <v>0</v>
      </c>
      <c r="CE347" s="431">
        <f>'Fiche info Avenant 4'!$S$9</f>
        <v>0</v>
      </c>
      <c r="CF347" s="431">
        <f>'Fiche info Avenant 4'!$T$9</f>
        <v>0</v>
      </c>
      <c r="ED347" s="16" t="str">
        <f t="shared" si="82"/>
        <v>Fiche info Avenant 4B</v>
      </c>
      <c r="EE347" s="16" t="str">
        <f t="shared" si="84"/>
        <v>Fiche info Avenant 4</v>
      </c>
      <c r="EF347" s="16" t="str">
        <f t="shared" si="85"/>
        <v>B</v>
      </c>
      <c r="EG347" s="16">
        <f t="shared" si="86"/>
        <v>3</v>
      </c>
      <c r="EH347" s="16" t="str">
        <f t="shared" si="87"/>
        <v>Mercredi</v>
      </c>
      <c r="EI347" s="16" t="str">
        <f t="shared" si="88"/>
        <v/>
      </c>
      <c r="FB347" s="16" t="str">
        <f t="shared" si="91"/>
        <v/>
      </c>
      <c r="FC347" s="16" t="str">
        <f t="shared" si="92"/>
        <v/>
      </c>
      <c r="FD347" s="30">
        <f t="shared" si="83"/>
        <v>43739</v>
      </c>
      <c r="FE347" s="30" t="str">
        <f>+IFERROR(VLOOKUP(FD347,BDD,75,FALSE),"")</f>
        <v/>
      </c>
      <c r="FF347" s="30" t="str">
        <f>+IFERROR(VLOOKUP(FD347,BDD,76,FALSE),"")</f>
        <v/>
      </c>
      <c r="FG347" s="30" t="str">
        <f>IFERROR(+VLOOKUP(FD347,BDD,77,FALSE),"")</f>
        <v/>
      </c>
      <c r="FH347" s="30" t="str">
        <f>+IFERROR(VLOOKUP(FD347,BDD,78,FALSE),"")</f>
        <v/>
      </c>
      <c r="FW347" s="16" t="str">
        <f>Décembre!GB23</f>
        <v>492026</v>
      </c>
      <c r="FX347" s="16">
        <f>Décembre!GC23</f>
        <v>0</v>
      </c>
      <c r="HI347" s="85">
        <f>+Décembre!AB24</f>
        <v>46361</v>
      </c>
      <c r="HJ347" s="27" t="str">
        <f>+Décembre!AD24</f>
        <v/>
      </c>
      <c r="HK347" s="16">
        <f t="shared" si="93"/>
        <v>0</v>
      </c>
      <c r="HL347" s="16" t="str">
        <f>IF(AND(HI347&gt;=DATE(Identification!$B$60,5,1),HI347&lt;=DATE(Identification!$B$60,10,31),SUM(HK347:HK361)=12),"OUI","")</f>
        <v/>
      </c>
    </row>
    <row r="348" spans="1:220" x14ac:dyDescent="0.2">
      <c r="A348" s="16" t="str">
        <f t="shared" si="81"/>
        <v>Fiche info Avenant 4B4</v>
      </c>
      <c r="B348" s="16" t="str">
        <f t="shared" si="94"/>
        <v>Fiche info Avenant 4</v>
      </c>
      <c r="C348" s="27" t="s">
        <v>227</v>
      </c>
      <c r="D348" s="27">
        <v>4</v>
      </c>
      <c r="E348" s="16" t="s">
        <v>20</v>
      </c>
      <c r="F348" s="34" t="str">
        <f>+IF('Fiche info Avenant 4'!$V$10=0,"",'Fiche info Avenant 4'!$V$10)</f>
        <v/>
      </c>
      <c r="G348" s="16">
        <f t="shared" si="89"/>
        <v>0</v>
      </c>
      <c r="BX348" s="16" t="str">
        <f t="shared" si="90"/>
        <v>Fiche info Avenant 4B4</v>
      </c>
      <c r="BY348" s="431">
        <f>'Fiche info Avenant 4'!$M$10</f>
        <v>0</v>
      </c>
      <c r="BZ348" s="431">
        <f>'Fiche info Avenant 4'!$N$10</f>
        <v>0</v>
      </c>
      <c r="CA348" s="431">
        <f>'Fiche info Avenant 4'!$O$10</f>
        <v>0</v>
      </c>
      <c r="CB348" s="431">
        <f>'Fiche info Avenant 4'!$P$10</f>
        <v>0</v>
      </c>
      <c r="CC348" s="431">
        <f>'Fiche info Avenant 4'!$Q$10</f>
        <v>0</v>
      </c>
      <c r="CD348" s="431">
        <f>'Fiche info Avenant 4'!$R$10</f>
        <v>0</v>
      </c>
      <c r="CE348" s="431">
        <f>'Fiche info Avenant 4'!$S$10</f>
        <v>0</v>
      </c>
      <c r="CF348" s="431">
        <f>'Fiche info Avenant 4'!$T$10</f>
        <v>0</v>
      </c>
      <c r="ED348" s="16" t="str">
        <f t="shared" si="82"/>
        <v>Fiche info Avenant 4B</v>
      </c>
      <c r="EE348" s="16" t="str">
        <f t="shared" si="84"/>
        <v>Fiche info Avenant 4</v>
      </c>
      <c r="EF348" s="16" t="str">
        <f t="shared" si="85"/>
        <v>B</v>
      </c>
      <c r="EG348" s="16">
        <f t="shared" si="86"/>
        <v>4</v>
      </c>
      <c r="EH348" s="16" t="str">
        <f t="shared" si="87"/>
        <v>Jeudi</v>
      </c>
      <c r="EI348" s="16" t="str">
        <f t="shared" si="88"/>
        <v/>
      </c>
      <c r="FB348" s="16" t="str">
        <f t="shared" si="91"/>
        <v/>
      </c>
      <c r="FC348" s="16" t="str">
        <f t="shared" si="92"/>
        <v/>
      </c>
      <c r="FD348" s="30">
        <f t="shared" si="83"/>
        <v>43739</v>
      </c>
      <c r="FE348" s="30" t="str">
        <f>+IFERROR(VLOOKUP(FD348,BDD,79,FALSE),"")</f>
        <v/>
      </c>
      <c r="FF348" s="30" t="str">
        <f>IFERROR(+VLOOKUP(FD348,BDD,80,FALSE),"")</f>
        <v/>
      </c>
      <c r="FG348" s="30" t="str">
        <f>+IFERROR(VLOOKUP(FD348,BDD,81,FALSE),"")</f>
        <v/>
      </c>
      <c r="FH348" s="30" t="str">
        <f>+IFERROR(VLOOKUP(FD348,BDD,82,FALSE),"")</f>
        <v/>
      </c>
      <c r="FW348" s="16" t="str">
        <f>Décembre!GB24</f>
        <v>492026</v>
      </c>
      <c r="FX348" s="16">
        <f>Décembre!GC24</f>
        <v>0</v>
      </c>
      <c r="HI348" s="85">
        <f>+Décembre!AB25</f>
        <v>46362</v>
      </c>
      <c r="HJ348" s="27" t="str">
        <f>+Décembre!AD25</f>
        <v/>
      </c>
      <c r="HK348" s="16">
        <f t="shared" si="93"/>
        <v>0</v>
      </c>
      <c r="HL348" s="16" t="str">
        <f>IF(AND(HI348&gt;=DATE(Identification!$B$60,5,1),HI348&lt;=DATE(Identification!$B$60,10,31),SUM(HK348:HK362)=12),"OUI","")</f>
        <v/>
      </c>
    </row>
    <row r="349" spans="1:220" x14ac:dyDescent="0.2">
      <c r="A349" s="16" t="str">
        <f t="shared" si="81"/>
        <v>Fiche info Avenant 4B5</v>
      </c>
      <c r="B349" s="16" t="str">
        <f t="shared" si="94"/>
        <v>Fiche info Avenant 4</v>
      </c>
      <c r="C349" s="27" t="s">
        <v>227</v>
      </c>
      <c r="D349" s="27">
        <v>5</v>
      </c>
      <c r="E349" s="16" t="s">
        <v>21</v>
      </c>
      <c r="F349" s="34" t="str">
        <f>+IF('Fiche info Avenant 4'!$V$11=0,"",'Fiche info Avenant 4'!$V$11)</f>
        <v/>
      </c>
      <c r="G349" s="16">
        <f t="shared" si="89"/>
        <v>0</v>
      </c>
      <c r="BX349" s="16" t="str">
        <f t="shared" si="90"/>
        <v>Fiche info Avenant 4B5</v>
      </c>
      <c r="BY349" s="431">
        <f>'Fiche info Avenant 4'!$M$11</f>
        <v>0</v>
      </c>
      <c r="BZ349" s="431">
        <f>'Fiche info Avenant 4'!$N$11</f>
        <v>0</v>
      </c>
      <c r="CA349" s="431">
        <f>'Fiche info Avenant 4'!$O$11</f>
        <v>0</v>
      </c>
      <c r="CB349" s="431">
        <f>'Fiche info Avenant 4'!$P$11</f>
        <v>0</v>
      </c>
      <c r="CC349" s="431">
        <f>'Fiche info Avenant 4'!$Q$11</f>
        <v>0</v>
      </c>
      <c r="CD349" s="431">
        <f>'Fiche info Avenant 4'!$R$11</f>
        <v>0</v>
      </c>
      <c r="CE349" s="431">
        <f>'Fiche info Avenant 4'!$S$11</f>
        <v>0</v>
      </c>
      <c r="CF349" s="431">
        <f>'Fiche info Avenant 4'!$T$11</f>
        <v>0</v>
      </c>
      <c r="ED349" s="16" t="str">
        <f t="shared" si="82"/>
        <v>Fiche info Avenant 4B</v>
      </c>
      <c r="EE349" s="16" t="str">
        <f t="shared" si="84"/>
        <v>Fiche info Avenant 4</v>
      </c>
      <c r="EF349" s="16" t="str">
        <f t="shared" si="85"/>
        <v>B</v>
      </c>
      <c r="EG349" s="16">
        <f t="shared" si="86"/>
        <v>5</v>
      </c>
      <c r="EH349" s="16" t="str">
        <f t="shared" si="87"/>
        <v>Vendredi</v>
      </c>
      <c r="EI349" s="16" t="str">
        <f t="shared" si="88"/>
        <v/>
      </c>
      <c r="FB349" s="16" t="str">
        <f t="shared" si="91"/>
        <v/>
      </c>
      <c r="FC349" s="16" t="str">
        <f t="shared" si="92"/>
        <v/>
      </c>
      <c r="FD349" s="30">
        <f t="shared" si="83"/>
        <v>43739</v>
      </c>
      <c r="FE349" s="30" t="str">
        <f>+IFERROR(VLOOKUP(FD349,BDD,83,FALSE),"")</f>
        <v/>
      </c>
      <c r="FF349" s="30" t="str">
        <f>+IFERROR(VLOOKUP(FD349,BDD,84,FALSE),"")</f>
        <v/>
      </c>
      <c r="FG349" s="30" t="str">
        <f>+IFERROR(VLOOKUP(FD349,BDD,85,FALSE),"")</f>
        <v/>
      </c>
      <c r="FH349" s="30" t="str">
        <f>+IFERROR(VLOOKUP(FD349,BDD,86,FALSE),"")</f>
        <v/>
      </c>
      <c r="FW349" s="16" t="str">
        <f>Décembre!GB25</f>
        <v>492026</v>
      </c>
      <c r="FX349" s="16">
        <f>Décembre!GC25</f>
        <v>0</v>
      </c>
      <c r="HI349" s="85">
        <f>+Décembre!AB26</f>
        <v>46363</v>
      </c>
      <c r="HJ349" s="27" t="str">
        <f>+Décembre!AD26</f>
        <v/>
      </c>
      <c r="HK349" s="16">
        <f t="shared" si="93"/>
        <v>0</v>
      </c>
      <c r="HL349" s="16" t="str">
        <f>IF(AND(HI349&gt;=DATE(Identification!$B$60,5,1),HI349&lt;=DATE(Identification!$B$60,10,31),SUM(HK349:HK363)=12),"OUI","")</f>
        <v/>
      </c>
    </row>
    <row r="350" spans="1:220" x14ac:dyDescent="0.2">
      <c r="A350" s="16" t="str">
        <f t="shared" si="81"/>
        <v>Fiche info Avenant 4B6</v>
      </c>
      <c r="B350" s="16" t="str">
        <f t="shared" si="94"/>
        <v>Fiche info Avenant 4</v>
      </c>
      <c r="C350" s="27" t="s">
        <v>227</v>
      </c>
      <c r="D350" s="27">
        <v>6</v>
      </c>
      <c r="E350" s="16" t="s">
        <v>184</v>
      </c>
      <c r="F350" s="34" t="str">
        <f>+IF('Fiche info Avenant 4'!$V$12=0,"",'Fiche info Avenant 4'!$V$12)</f>
        <v/>
      </c>
      <c r="G350" s="16">
        <f t="shared" si="89"/>
        <v>0</v>
      </c>
      <c r="BX350" s="16" t="str">
        <f t="shared" si="90"/>
        <v>Fiche info Avenant 4B6</v>
      </c>
      <c r="BY350" s="431">
        <f>'Fiche info Avenant 4'!$M$12</f>
        <v>0</v>
      </c>
      <c r="BZ350" s="431">
        <f>'Fiche info Avenant 4'!$N$12</f>
        <v>0</v>
      </c>
      <c r="CA350" s="431">
        <f>'Fiche info Avenant 4'!$O$12</f>
        <v>0</v>
      </c>
      <c r="CB350" s="431">
        <f>'Fiche info Avenant 4'!$P$12</f>
        <v>0</v>
      </c>
      <c r="CC350" s="431">
        <f>'Fiche info Avenant 4'!$Q$12</f>
        <v>0</v>
      </c>
      <c r="CD350" s="431">
        <f>'Fiche info Avenant 4'!$R$12</f>
        <v>0</v>
      </c>
      <c r="CE350" s="431">
        <f>'Fiche info Avenant 4'!$S$12</f>
        <v>0</v>
      </c>
      <c r="CF350" s="431">
        <f>'Fiche info Avenant 4'!$T$12</f>
        <v>0</v>
      </c>
      <c r="ED350" s="16" t="str">
        <f t="shared" si="82"/>
        <v>Fiche info Avenant 4B</v>
      </c>
      <c r="EE350" s="16" t="str">
        <f t="shared" si="84"/>
        <v>Fiche info Avenant 4</v>
      </c>
      <c r="EF350" s="16" t="str">
        <f t="shared" si="85"/>
        <v>B</v>
      </c>
      <c r="EG350" s="16">
        <f t="shared" si="86"/>
        <v>6</v>
      </c>
      <c r="EH350" s="16" t="str">
        <f t="shared" si="87"/>
        <v>Samedi</v>
      </c>
      <c r="EI350" s="16" t="str">
        <f t="shared" si="88"/>
        <v/>
      </c>
      <c r="FB350" s="16" t="str">
        <f t="shared" si="91"/>
        <v/>
      </c>
      <c r="FC350" s="16" t="str">
        <f t="shared" si="92"/>
        <v/>
      </c>
      <c r="FD350" s="30">
        <f t="shared" si="83"/>
        <v>43709</v>
      </c>
      <c r="FE350" s="30" t="str">
        <f>+IFERROR(VLOOKUP(FD350,BDD,71,FALSE),"")</f>
        <v/>
      </c>
      <c r="FF350" s="30" t="str">
        <f>IFERROR(+VLOOKUP(FD350,BDD,72,FALSE),"")</f>
        <v/>
      </c>
      <c r="FG350" s="30" t="str">
        <f>+IFERROR(VLOOKUP(FD350,BDD,73,FALSE),"")</f>
        <v/>
      </c>
      <c r="FH350" s="30" t="str">
        <f>+IFERROR(VLOOKUP(FD350,BDD,74,FALSE),"")</f>
        <v/>
      </c>
      <c r="FW350" s="16" t="str">
        <f>Décembre!GB26</f>
        <v>502026</v>
      </c>
      <c r="FX350" s="16">
        <f>Décembre!GC26</f>
        <v>0</v>
      </c>
      <c r="HI350" s="85">
        <f>+Décembre!AB27</f>
        <v>46364</v>
      </c>
      <c r="HJ350" s="27" t="str">
        <f>+Décembre!AD27</f>
        <v/>
      </c>
      <c r="HK350" s="16">
        <f t="shared" si="93"/>
        <v>0</v>
      </c>
      <c r="HL350" s="16" t="str">
        <f>IF(AND(HI350&gt;=DATE(Identification!$B$60,5,1),HI350&lt;=DATE(Identification!$B$60,10,31),SUM(HK350:HK364)=12),"OUI","")</f>
        <v/>
      </c>
    </row>
    <row r="351" spans="1:220" x14ac:dyDescent="0.2">
      <c r="A351" s="16" t="str">
        <f t="shared" si="81"/>
        <v>Fiche info Avenant 4B7</v>
      </c>
      <c r="B351" s="16" t="str">
        <f t="shared" si="94"/>
        <v>Fiche info Avenant 4</v>
      </c>
      <c r="C351" s="27" t="s">
        <v>227</v>
      </c>
      <c r="D351" s="27">
        <v>7</v>
      </c>
      <c r="E351" s="16" t="s">
        <v>185</v>
      </c>
      <c r="F351" s="34" t="str">
        <f>+IF('Fiche info Avenant 4'!$V$13=0,"",'Fiche info Avenant 4'!$V$13)</f>
        <v/>
      </c>
      <c r="G351" s="16">
        <f t="shared" si="89"/>
        <v>0</v>
      </c>
      <c r="BX351" s="16" t="str">
        <f t="shared" si="90"/>
        <v>Fiche info Avenant 4B7</v>
      </c>
      <c r="BY351" s="431">
        <f>'Fiche info Avenant 4'!$M$13</f>
        <v>0</v>
      </c>
      <c r="BZ351" s="431">
        <f>'Fiche info Avenant 4'!$N$13</f>
        <v>0</v>
      </c>
      <c r="CA351" s="431">
        <f>'Fiche info Avenant 4'!$O$13</f>
        <v>0</v>
      </c>
      <c r="CB351" s="431">
        <f>'Fiche info Avenant 4'!$P$13</f>
        <v>0</v>
      </c>
      <c r="CC351" s="431">
        <f>'Fiche info Avenant 4'!$Q$13</f>
        <v>0</v>
      </c>
      <c r="CD351" s="431">
        <f>'Fiche info Avenant 4'!$R$13</f>
        <v>0</v>
      </c>
      <c r="CE351" s="431">
        <f>'Fiche info Avenant 4'!$S$13</f>
        <v>0</v>
      </c>
      <c r="CF351" s="431">
        <f>'Fiche info Avenant 4'!$T$13</f>
        <v>0</v>
      </c>
      <c r="ED351" s="16" t="str">
        <f t="shared" si="82"/>
        <v>Fiche info Avenant 4B</v>
      </c>
      <c r="EE351" s="16" t="str">
        <f t="shared" si="84"/>
        <v>Fiche info Avenant 4</v>
      </c>
      <c r="EF351" s="16" t="str">
        <f t="shared" si="85"/>
        <v>B</v>
      </c>
      <c r="EG351" s="16">
        <f t="shared" si="86"/>
        <v>7</v>
      </c>
      <c r="EH351" s="16" t="str">
        <f t="shared" si="87"/>
        <v>Dimanche</v>
      </c>
      <c r="EI351" s="16" t="str">
        <f t="shared" si="88"/>
        <v/>
      </c>
      <c r="FB351" s="16" t="str">
        <f t="shared" si="91"/>
        <v/>
      </c>
      <c r="FC351" s="16" t="str">
        <f t="shared" si="92"/>
        <v/>
      </c>
      <c r="FD351" s="30">
        <f t="shared" si="83"/>
        <v>43709</v>
      </c>
      <c r="FE351" s="30" t="str">
        <f>+IFERROR(VLOOKUP(FD351,BDD,75,FALSE),"")</f>
        <v/>
      </c>
      <c r="FF351" s="30" t="str">
        <f>+IFERROR(VLOOKUP(FD351,BDD,76,FALSE),"")</f>
        <v/>
      </c>
      <c r="FG351" s="30" t="str">
        <f>IFERROR(+VLOOKUP(FD351,BDD,77,FALSE),"")</f>
        <v/>
      </c>
      <c r="FH351" s="30" t="str">
        <f>+IFERROR(VLOOKUP(FD351,BDD,78,FALSE),"")</f>
        <v/>
      </c>
      <c r="FW351" s="16" t="str">
        <f>Décembre!GB27</f>
        <v>502026</v>
      </c>
      <c r="FX351" s="16">
        <f>Décembre!GC27</f>
        <v>0</v>
      </c>
      <c r="HI351" s="85">
        <f>+Décembre!AB28</f>
        <v>46365</v>
      </c>
      <c r="HJ351" s="27" t="str">
        <f>+Décembre!AD28</f>
        <v/>
      </c>
      <c r="HK351" s="16">
        <f t="shared" si="93"/>
        <v>0</v>
      </c>
      <c r="HL351" s="16" t="str">
        <f>IF(AND(HI351&gt;=DATE(Identification!$B$60,5,1),HI351&lt;=DATE(Identification!$B$60,10,31),SUM(HK351:HK365)=12),"OUI","")</f>
        <v/>
      </c>
    </row>
    <row r="352" spans="1:220" x14ac:dyDescent="0.2">
      <c r="A352" s="16" t="str">
        <f t="shared" si="81"/>
        <v>Fiche info Avenant 4C1</v>
      </c>
      <c r="B352" s="16" t="str">
        <f t="shared" si="94"/>
        <v>Fiche info Avenant 4</v>
      </c>
      <c r="C352" s="27" t="s">
        <v>232</v>
      </c>
      <c r="D352" s="27">
        <v>1</v>
      </c>
      <c r="E352" s="16" t="s">
        <v>17</v>
      </c>
      <c r="F352" s="34" t="str">
        <f>+IF('Fiche info Avenant 4'!$AG$7=0,"",'Fiche info Avenant 4'!$AG$7)</f>
        <v/>
      </c>
      <c r="G352" s="16">
        <f t="shared" si="89"/>
        <v>0</v>
      </c>
      <c r="BX352" s="16" t="str">
        <f t="shared" si="90"/>
        <v>Fiche info Avenant 4C1</v>
      </c>
      <c r="BY352" s="431">
        <f>'Fiche info Avenant 4'!$X$7</f>
        <v>0</v>
      </c>
      <c r="BZ352" s="431">
        <f>'Fiche info Avenant 4'!$Y$7</f>
        <v>0</v>
      </c>
      <c r="CA352" s="431">
        <f>'Fiche info Avenant 4'!$Z$7</f>
        <v>0</v>
      </c>
      <c r="CB352" s="431">
        <f>'Fiche info Avenant 4'!$AA$7</f>
        <v>0</v>
      </c>
      <c r="CC352" s="431">
        <f>'Fiche info Avenant 4'!$AB$7</f>
        <v>0</v>
      </c>
      <c r="CD352" s="431">
        <f>'Fiche info Avenant 4'!$AC$7</f>
        <v>0</v>
      </c>
      <c r="CE352" s="431">
        <f>'Fiche info Avenant 4'!$AD$7</f>
        <v>0</v>
      </c>
      <c r="CF352" s="431">
        <f>'Fiche info Avenant 4'!$AE$7</f>
        <v>0</v>
      </c>
      <c r="ED352" s="16" t="str">
        <f t="shared" si="82"/>
        <v>Fiche info Avenant 4C</v>
      </c>
      <c r="EE352" s="16" t="str">
        <f t="shared" si="84"/>
        <v>Fiche info Avenant 4</v>
      </c>
      <c r="EF352" s="16" t="str">
        <f t="shared" si="85"/>
        <v>C</v>
      </c>
      <c r="EG352" s="16">
        <f t="shared" si="86"/>
        <v>1</v>
      </c>
      <c r="EH352" s="16" t="str">
        <f t="shared" si="87"/>
        <v>Lundi</v>
      </c>
      <c r="EI352" s="16" t="str">
        <f t="shared" si="88"/>
        <v/>
      </c>
      <c r="FB352" s="16" t="str">
        <f t="shared" si="91"/>
        <v/>
      </c>
      <c r="FC352" s="16" t="str">
        <f t="shared" si="92"/>
        <v/>
      </c>
      <c r="FD352" s="30">
        <f t="shared" si="83"/>
        <v>43709</v>
      </c>
      <c r="FE352" s="30" t="str">
        <f>+IFERROR(VLOOKUP(FD352,BDD,79,FALSE),"")</f>
        <v/>
      </c>
      <c r="FF352" s="30" t="str">
        <f>IFERROR(+VLOOKUP(FD352,BDD,80,FALSE),"")</f>
        <v/>
      </c>
      <c r="FG352" s="30" t="str">
        <f>+IFERROR(VLOOKUP(FD352,BDD,81,FALSE),"")</f>
        <v/>
      </c>
      <c r="FH352" s="30" t="str">
        <f>+IFERROR(VLOOKUP(FD352,BDD,82,FALSE),"")</f>
        <v/>
      </c>
      <c r="FW352" s="16" t="str">
        <f>Décembre!GB28</f>
        <v>502026</v>
      </c>
      <c r="FX352" s="16">
        <f>Décembre!GC28</f>
        <v>0</v>
      </c>
      <c r="HI352" s="85">
        <f>+Décembre!AB29</f>
        <v>46366</v>
      </c>
      <c r="HJ352" s="27" t="str">
        <f>+Décembre!AD29</f>
        <v/>
      </c>
      <c r="HK352" s="16">
        <f t="shared" si="93"/>
        <v>0</v>
      </c>
      <c r="HL352" s="16" t="str">
        <f>IF(AND(HI352&gt;=DATE(Identification!$B$60,5,1),HI352&lt;=DATE(Identification!$B$60,10,31),SUM(HK352:HK366)=12),"OUI","")</f>
        <v/>
      </c>
    </row>
    <row r="353" spans="1:220" x14ac:dyDescent="0.2">
      <c r="A353" s="16" t="str">
        <f t="shared" si="81"/>
        <v>Fiche info Avenant 4C2</v>
      </c>
      <c r="B353" s="16" t="str">
        <f t="shared" si="94"/>
        <v>Fiche info Avenant 4</v>
      </c>
      <c r="C353" s="27" t="s">
        <v>232</v>
      </c>
      <c r="D353" s="27">
        <v>2</v>
      </c>
      <c r="E353" s="16" t="s">
        <v>18</v>
      </c>
      <c r="F353" s="34" t="str">
        <f>+IF('Fiche info Avenant 4'!$AG$8=0,"",'Fiche info Avenant 4'!$AG$8)</f>
        <v/>
      </c>
      <c r="G353" s="16">
        <f t="shared" si="89"/>
        <v>0</v>
      </c>
      <c r="BX353" s="16" t="str">
        <f t="shared" si="90"/>
        <v>Fiche info Avenant 4C2</v>
      </c>
      <c r="BY353" s="431">
        <f>'Fiche info Avenant 4'!$X$8</f>
        <v>0</v>
      </c>
      <c r="BZ353" s="431">
        <f>'Fiche info Avenant 4'!$Y$8</f>
        <v>0</v>
      </c>
      <c r="CA353" s="431">
        <f>'Fiche info Avenant 4'!$Z$8</f>
        <v>0</v>
      </c>
      <c r="CB353" s="431">
        <f>'Fiche info Avenant 4'!$AA$8</f>
        <v>0</v>
      </c>
      <c r="CC353" s="431">
        <f>'Fiche info Avenant 4'!$AB$8</f>
        <v>0</v>
      </c>
      <c r="CD353" s="431">
        <f>'Fiche info Avenant 4'!$AC$8</f>
        <v>0</v>
      </c>
      <c r="CE353" s="431">
        <f>'Fiche info Avenant 4'!$AD$8</f>
        <v>0</v>
      </c>
      <c r="CF353" s="431">
        <f>'Fiche info Avenant 4'!$AE$8</f>
        <v>0</v>
      </c>
      <c r="ED353" s="16" t="str">
        <f t="shared" si="82"/>
        <v>Fiche info Avenant 4C</v>
      </c>
      <c r="EE353" s="16" t="str">
        <f t="shared" si="84"/>
        <v>Fiche info Avenant 4</v>
      </c>
      <c r="EF353" s="16" t="str">
        <f t="shared" si="85"/>
        <v>C</v>
      </c>
      <c r="EG353" s="16">
        <f t="shared" si="86"/>
        <v>2</v>
      </c>
      <c r="EH353" s="16" t="str">
        <f t="shared" si="87"/>
        <v>Mardi</v>
      </c>
      <c r="EI353" s="16" t="str">
        <f t="shared" si="88"/>
        <v/>
      </c>
      <c r="FB353" s="16" t="str">
        <f t="shared" si="91"/>
        <v/>
      </c>
      <c r="FC353" s="16" t="str">
        <f t="shared" si="92"/>
        <v/>
      </c>
      <c r="FD353" s="30">
        <f t="shared" si="83"/>
        <v>43709</v>
      </c>
      <c r="FE353" s="30" t="str">
        <f>+IFERROR(VLOOKUP(FD353,BDD,83,FALSE),"")</f>
        <v/>
      </c>
      <c r="FF353" s="30" t="str">
        <f>+IFERROR(VLOOKUP(FD353,BDD,84,FALSE),"")</f>
        <v/>
      </c>
      <c r="FG353" s="30" t="str">
        <f>+IFERROR(VLOOKUP(FD353,BDD,85,FALSE),"")</f>
        <v/>
      </c>
      <c r="FH353" s="30" t="str">
        <f>+IFERROR(VLOOKUP(FD353,BDD,86,FALSE),"")</f>
        <v/>
      </c>
      <c r="FW353" s="16" t="str">
        <f>Décembre!GB29</f>
        <v>502026</v>
      </c>
      <c r="FX353" s="16">
        <f>Décembre!GC29</f>
        <v>0</v>
      </c>
      <c r="HI353" s="85">
        <f>+Décembre!AB30</f>
        <v>46367</v>
      </c>
      <c r="HJ353" s="27" t="str">
        <f>+Décembre!AD30</f>
        <v/>
      </c>
      <c r="HK353" s="16">
        <f t="shared" si="93"/>
        <v>0</v>
      </c>
      <c r="HL353" s="16" t="str">
        <f>IF(AND(HI353&gt;=DATE(Identification!$B$60,5,1),HI353&lt;=DATE(Identification!$B$60,10,31),SUM(HK353:HK367)=12),"OUI","")</f>
        <v/>
      </c>
    </row>
    <row r="354" spans="1:220" x14ac:dyDescent="0.2">
      <c r="A354" s="16" t="str">
        <f t="shared" si="81"/>
        <v>Fiche info Avenant 4C3</v>
      </c>
      <c r="B354" s="16" t="str">
        <f t="shared" si="94"/>
        <v>Fiche info Avenant 4</v>
      </c>
      <c r="C354" s="27" t="s">
        <v>232</v>
      </c>
      <c r="D354" s="27">
        <v>3</v>
      </c>
      <c r="E354" s="16" t="s">
        <v>19</v>
      </c>
      <c r="F354" s="34" t="str">
        <f>+IF('Fiche info Avenant 4'!$AG$9=0,"",'Fiche info Avenant 4'!$AG$9)</f>
        <v/>
      </c>
      <c r="G354" s="16">
        <f t="shared" si="89"/>
        <v>0</v>
      </c>
      <c r="BX354" s="16" t="str">
        <f t="shared" si="90"/>
        <v>Fiche info Avenant 4C3</v>
      </c>
      <c r="BY354" s="431">
        <f>'Fiche info Avenant 4'!$X$9</f>
        <v>0</v>
      </c>
      <c r="BZ354" s="431">
        <f>'Fiche info Avenant 4'!$Y$9</f>
        <v>0</v>
      </c>
      <c r="CA354" s="431">
        <f>'Fiche info Avenant 4'!$Z$9</f>
        <v>0</v>
      </c>
      <c r="CB354" s="431">
        <f>'Fiche info Avenant 4'!$AA$9</f>
        <v>0</v>
      </c>
      <c r="CC354" s="431">
        <f>'Fiche info Avenant 4'!$AB$9</f>
        <v>0</v>
      </c>
      <c r="CD354" s="431">
        <f>'Fiche info Avenant 4'!$AC$9</f>
        <v>0</v>
      </c>
      <c r="CE354" s="431">
        <f>'Fiche info Avenant 4'!$AD$9</f>
        <v>0</v>
      </c>
      <c r="CF354" s="431">
        <f>'Fiche info Avenant 4'!$AE$9</f>
        <v>0</v>
      </c>
      <c r="ED354" s="16" t="str">
        <f t="shared" si="82"/>
        <v>Fiche info Avenant 4C</v>
      </c>
      <c r="EE354" s="16" t="str">
        <f t="shared" si="84"/>
        <v>Fiche info Avenant 4</v>
      </c>
      <c r="EF354" s="16" t="str">
        <f t="shared" si="85"/>
        <v>C</v>
      </c>
      <c r="EG354" s="16">
        <f t="shared" si="86"/>
        <v>3</v>
      </c>
      <c r="EH354" s="16" t="str">
        <f t="shared" si="87"/>
        <v>Mercredi</v>
      </c>
      <c r="EI354" s="16" t="str">
        <f t="shared" si="88"/>
        <v/>
      </c>
      <c r="FB354" s="16" t="str">
        <f t="shared" si="91"/>
        <v/>
      </c>
      <c r="FC354" s="16" t="str">
        <f t="shared" si="92"/>
        <v/>
      </c>
      <c r="FD354" s="30">
        <f t="shared" si="83"/>
        <v>43678</v>
      </c>
      <c r="FE354" s="30" t="str">
        <f>+IFERROR(VLOOKUP(FD354,BDD,71,FALSE),"")</f>
        <v/>
      </c>
      <c r="FF354" s="30" t="str">
        <f>IFERROR(+VLOOKUP(FD354,BDD,72,FALSE),"")</f>
        <v/>
      </c>
      <c r="FG354" s="30" t="str">
        <f>+IFERROR(VLOOKUP(FD354,BDD,73,FALSE),"")</f>
        <v/>
      </c>
      <c r="FH354" s="30" t="str">
        <f>+IFERROR(VLOOKUP(FD354,BDD,74,FALSE),"")</f>
        <v/>
      </c>
      <c r="FW354" s="16" t="str">
        <f>Décembre!GB30</f>
        <v>502026</v>
      </c>
      <c r="FX354" s="16">
        <f>Décembre!GC30</f>
        <v>0</v>
      </c>
      <c r="HI354" s="85">
        <f>+Décembre!AB31</f>
        <v>46368</v>
      </c>
      <c r="HJ354" s="27" t="str">
        <f>+Décembre!AD31</f>
        <v/>
      </c>
      <c r="HK354" s="16">
        <f t="shared" si="93"/>
        <v>0</v>
      </c>
      <c r="HL354" s="16" t="str">
        <f>IF(AND(HI354&gt;=DATE(Identification!$B$60,5,1),HI354&lt;=DATE(Identification!$B$60,10,31),SUM(HK354:HK368)=12),"OUI","")</f>
        <v/>
      </c>
    </row>
    <row r="355" spans="1:220" x14ac:dyDescent="0.2">
      <c r="A355" s="16" t="str">
        <f t="shared" si="81"/>
        <v>Fiche info Avenant 4C4</v>
      </c>
      <c r="B355" s="16" t="str">
        <f t="shared" si="94"/>
        <v>Fiche info Avenant 4</v>
      </c>
      <c r="C355" s="27" t="s">
        <v>232</v>
      </c>
      <c r="D355" s="27">
        <v>4</v>
      </c>
      <c r="E355" s="16" t="s">
        <v>20</v>
      </c>
      <c r="F355" s="34" t="str">
        <f>+IF('Fiche info Avenant 4'!$AG$10=0,"",'Fiche info Avenant 4'!$AG$10)</f>
        <v/>
      </c>
      <c r="G355" s="16">
        <f t="shared" si="89"/>
        <v>0</v>
      </c>
      <c r="BX355" s="16" t="str">
        <f t="shared" si="90"/>
        <v>Fiche info Avenant 4C4</v>
      </c>
      <c r="BY355" s="431">
        <f>'Fiche info Avenant 4'!$X$10</f>
        <v>0</v>
      </c>
      <c r="BZ355" s="431">
        <f>'Fiche info Avenant 4'!$Y$10</f>
        <v>0</v>
      </c>
      <c r="CA355" s="431">
        <f>'Fiche info Avenant 4'!$Z$10</f>
        <v>0</v>
      </c>
      <c r="CB355" s="431">
        <f>'Fiche info Avenant 4'!$AA$10</f>
        <v>0</v>
      </c>
      <c r="CC355" s="431">
        <f>'Fiche info Avenant 4'!$AB$10</f>
        <v>0</v>
      </c>
      <c r="CD355" s="431">
        <f>'Fiche info Avenant 4'!$AC$10</f>
        <v>0</v>
      </c>
      <c r="CE355" s="431">
        <f>'Fiche info Avenant 4'!$AD$10</f>
        <v>0</v>
      </c>
      <c r="CF355" s="431">
        <f>'Fiche info Avenant 4'!$AE$10</f>
        <v>0</v>
      </c>
      <c r="ED355" s="16" t="str">
        <f t="shared" si="82"/>
        <v>Fiche info Avenant 4C</v>
      </c>
      <c r="EE355" s="16" t="str">
        <f t="shared" si="84"/>
        <v>Fiche info Avenant 4</v>
      </c>
      <c r="EF355" s="16" t="str">
        <f t="shared" si="85"/>
        <v>C</v>
      </c>
      <c r="EG355" s="16">
        <f t="shared" si="86"/>
        <v>4</v>
      </c>
      <c r="EH355" s="16" t="str">
        <f t="shared" si="87"/>
        <v>Jeudi</v>
      </c>
      <c r="EI355" s="16" t="str">
        <f t="shared" si="88"/>
        <v/>
      </c>
      <c r="FB355" s="16" t="str">
        <f t="shared" si="91"/>
        <v/>
      </c>
      <c r="FC355" s="16" t="str">
        <f t="shared" si="92"/>
        <v/>
      </c>
      <c r="FD355" s="30">
        <f t="shared" si="83"/>
        <v>43678</v>
      </c>
      <c r="FE355" s="30" t="str">
        <f>+IFERROR(VLOOKUP(FD355,BDD,75,FALSE),"")</f>
        <v/>
      </c>
      <c r="FF355" s="30" t="str">
        <f>+IFERROR(VLOOKUP(FD355,BDD,76,FALSE),"")</f>
        <v/>
      </c>
      <c r="FG355" s="30" t="str">
        <f>IFERROR(+VLOOKUP(FD355,BDD,77,FALSE),"")</f>
        <v/>
      </c>
      <c r="FH355" s="30" t="str">
        <f>+IFERROR(VLOOKUP(FD355,BDD,78,FALSE),"")</f>
        <v/>
      </c>
      <c r="FW355" s="16" t="str">
        <f>Décembre!GB31</f>
        <v>502026</v>
      </c>
      <c r="FX355" s="16">
        <f>Décembre!GC31</f>
        <v>0</v>
      </c>
      <c r="HI355" s="85">
        <f>+Décembre!AB32</f>
        <v>46369</v>
      </c>
      <c r="HJ355" s="27" t="str">
        <f>+Décembre!AD32</f>
        <v/>
      </c>
      <c r="HK355" s="16">
        <f t="shared" si="93"/>
        <v>0</v>
      </c>
      <c r="HL355" s="16" t="str">
        <f>IF(AND(HI355&gt;=DATE(Identification!$B$60,5,1),HI355&lt;=DATE(Identification!$B$60,10,31),SUM(HK355:HK369)=12),"OUI","")</f>
        <v/>
      </c>
    </row>
    <row r="356" spans="1:220" x14ac:dyDescent="0.2">
      <c r="A356" s="16" t="str">
        <f t="shared" si="81"/>
        <v>Fiche info Avenant 4C5</v>
      </c>
      <c r="B356" s="16" t="str">
        <f t="shared" si="94"/>
        <v>Fiche info Avenant 4</v>
      </c>
      <c r="C356" s="27" t="s">
        <v>232</v>
      </c>
      <c r="D356" s="27">
        <v>5</v>
      </c>
      <c r="E356" s="16" t="s">
        <v>21</v>
      </c>
      <c r="F356" s="34" t="str">
        <f>+IF('Fiche info Avenant 4'!$AG$11=0,"",'Fiche info Avenant 4'!$AG$11)</f>
        <v/>
      </c>
      <c r="G356" s="16">
        <f t="shared" si="89"/>
        <v>0</v>
      </c>
      <c r="BX356" s="16" t="str">
        <f t="shared" si="90"/>
        <v>Fiche info Avenant 4C5</v>
      </c>
      <c r="BY356" s="431">
        <f>'Fiche info Avenant 4'!$X$11</f>
        <v>0</v>
      </c>
      <c r="BZ356" s="431">
        <f>'Fiche info Avenant 4'!$Y$11</f>
        <v>0</v>
      </c>
      <c r="CA356" s="431">
        <f>'Fiche info Avenant 4'!$Z$11</f>
        <v>0</v>
      </c>
      <c r="CB356" s="431">
        <f>'Fiche info Avenant 4'!$AA$11</f>
        <v>0</v>
      </c>
      <c r="CC356" s="431">
        <f>'Fiche info Avenant 4'!$AB$11</f>
        <v>0</v>
      </c>
      <c r="CD356" s="431">
        <f>'Fiche info Avenant 4'!$AC$11</f>
        <v>0</v>
      </c>
      <c r="CE356" s="431">
        <f>'Fiche info Avenant 4'!$AD$11</f>
        <v>0</v>
      </c>
      <c r="CF356" s="431">
        <f>'Fiche info Avenant 4'!$AE$11</f>
        <v>0</v>
      </c>
      <c r="ED356" s="16" t="str">
        <f t="shared" si="82"/>
        <v>Fiche info Avenant 4C</v>
      </c>
      <c r="EE356" s="16" t="str">
        <f t="shared" si="84"/>
        <v>Fiche info Avenant 4</v>
      </c>
      <c r="EF356" s="16" t="str">
        <f t="shared" si="85"/>
        <v>C</v>
      </c>
      <c r="EG356" s="16">
        <f t="shared" si="86"/>
        <v>5</v>
      </c>
      <c r="EH356" s="16" t="str">
        <f t="shared" si="87"/>
        <v>Vendredi</v>
      </c>
      <c r="EI356" s="16" t="str">
        <f t="shared" si="88"/>
        <v/>
      </c>
      <c r="FB356" s="16" t="str">
        <f t="shared" si="91"/>
        <v/>
      </c>
      <c r="FC356" s="16" t="str">
        <f t="shared" si="92"/>
        <v/>
      </c>
      <c r="FD356" s="30">
        <f t="shared" si="83"/>
        <v>43678</v>
      </c>
      <c r="FE356" s="30" t="str">
        <f>+IFERROR(VLOOKUP(FD356,BDD,79,FALSE),"")</f>
        <v/>
      </c>
      <c r="FF356" s="30" t="str">
        <f>IFERROR(+VLOOKUP(FD356,BDD,80,FALSE),"")</f>
        <v/>
      </c>
      <c r="FG356" s="30" t="str">
        <f>+IFERROR(VLOOKUP(FD356,BDD,81,FALSE),"")</f>
        <v/>
      </c>
      <c r="FH356" s="30" t="str">
        <f>+IFERROR(VLOOKUP(FD356,BDD,82,FALSE),"")</f>
        <v/>
      </c>
      <c r="FW356" s="16" t="str">
        <f>Décembre!GB32</f>
        <v>502026</v>
      </c>
      <c r="FX356" s="16">
        <f>Décembre!GC32</f>
        <v>0</v>
      </c>
      <c r="HI356" s="85">
        <f>+Décembre!AB33</f>
        <v>46370</v>
      </c>
      <c r="HJ356" s="27" t="str">
        <f>+Décembre!AD33</f>
        <v/>
      </c>
      <c r="HK356" s="16">
        <f t="shared" si="93"/>
        <v>0</v>
      </c>
      <c r="HL356" s="16" t="str">
        <f>IF(AND(HI356&gt;=DATE(Identification!$B$60,5,1),HI356&lt;=DATE(Identification!$B$60,10,31),SUM(HK356:HK370)=12),"OUI","")</f>
        <v/>
      </c>
    </row>
    <row r="357" spans="1:220" x14ac:dyDescent="0.2">
      <c r="A357" s="16" t="str">
        <f t="shared" si="81"/>
        <v>Fiche info Avenant 4C6</v>
      </c>
      <c r="B357" s="16" t="str">
        <f t="shared" si="94"/>
        <v>Fiche info Avenant 4</v>
      </c>
      <c r="C357" s="27" t="s">
        <v>232</v>
      </c>
      <c r="D357" s="27">
        <v>6</v>
      </c>
      <c r="E357" s="16" t="s">
        <v>184</v>
      </c>
      <c r="F357" s="34" t="str">
        <f>+IF('Fiche info Avenant 4'!$AG$12=0,"",'Fiche info Avenant 4'!$AG$12)</f>
        <v/>
      </c>
      <c r="G357" s="16">
        <f t="shared" si="89"/>
        <v>0</v>
      </c>
      <c r="BX357" s="16" t="str">
        <f t="shared" si="90"/>
        <v>Fiche info Avenant 4C6</v>
      </c>
      <c r="BY357" s="431">
        <f>'Fiche info Avenant 4'!$X$12</f>
        <v>0</v>
      </c>
      <c r="BZ357" s="431">
        <f>'Fiche info Avenant 4'!$Y$12</f>
        <v>0</v>
      </c>
      <c r="CA357" s="431">
        <f>'Fiche info Avenant 4'!$Z$12</f>
        <v>0</v>
      </c>
      <c r="CB357" s="431">
        <f>'Fiche info Avenant 4'!$AA$12</f>
        <v>0</v>
      </c>
      <c r="CC357" s="431">
        <f>'Fiche info Avenant 4'!$AB$12</f>
        <v>0</v>
      </c>
      <c r="CD357" s="431">
        <f>'Fiche info Avenant 4'!$AC$12</f>
        <v>0</v>
      </c>
      <c r="CE357" s="431">
        <f>'Fiche info Avenant 4'!$AD$12</f>
        <v>0</v>
      </c>
      <c r="CF357" s="431">
        <f>'Fiche info Avenant 4'!$AE$12</f>
        <v>0</v>
      </c>
      <c r="ED357" s="16" t="str">
        <f t="shared" si="82"/>
        <v>Fiche info Avenant 4C</v>
      </c>
      <c r="EE357" s="16" t="str">
        <f t="shared" si="84"/>
        <v>Fiche info Avenant 4</v>
      </c>
      <c r="EF357" s="16" t="str">
        <f t="shared" si="85"/>
        <v>C</v>
      </c>
      <c r="EG357" s="16">
        <f t="shared" si="86"/>
        <v>6</v>
      </c>
      <c r="EH357" s="16" t="str">
        <f t="shared" si="87"/>
        <v>Samedi</v>
      </c>
      <c r="EI357" s="16" t="str">
        <f t="shared" si="88"/>
        <v/>
      </c>
      <c r="FB357" s="16" t="str">
        <f t="shared" si="91"/>
        <v/>
      </c>
      <c r="FC357" s="16" t="str">
        <f t="shared" si="92"/>
        <v/>
      </c>
      <c r="FD357" s="30">
        <f t="shared" si="83"/>
        <v>43678</v>
      </c>
      <c r="FE357" s="30" t="str">
        <f>+IFERROR(VLOOKUP(FD357,BDD,83,FALSE),"")</f>
        <v/>
      </c>
      <c r="FF357" s="30" t="str">
        <f>+IFERROR(VLOOKUP(FD357,BDD,84,FALSE),"")</f>
        <v/>
      </c>
      <c r="FG357" s="30" t="str">
        <f>+IFERROR(VLOOKUP(FD357,BDD,85,FALSE),"")</f>
        <v/>
      </c>
      <c r="FH357" s="30" t="str">
        <f>+IFERROR(VLOOKUP(FD357,BDD,86,FALSE),"")</f>
        <v/>
      </c>
      <c r="FW357" s="16" t="str">
        <f>Décembre!GB33</f>
        <v>512026</v>
      </c>
      <c r="FX357" s="16">
        <f>Décembre!GC33</f>
        <v>0</v>
      </c>
      <c r="HI357" s="85">
        <f>+Décembre!AB34</f>
        <v>46371</v>
      </c>
      <c r="HJ357" s="27" t="str">
        <f>+Décembre!AD34</f>
        <v/>
      </c>
      <c r="HK357" s="16">
        <f t="shared" si="93"/>
        <v>0</v>
      </c>
      <c r="HL357" s="16" t="str">
        <f>IF(AND(HI357&gt;=DATE(Identification!$B$60,5,1),HI357&lt;=DATE(Identification!$B$60,10,31),SUM(HK357:HK371)=12),"OUI","")</f>
        <v/>
      </c>
    </row>
    <row r="358" spans="1:220" x14ac:dyDescent="0.2">
      <c r="A358" s="16" t="str">
        <f t="shared" si="81"/>
        <v>Fiche info Avenant 4C7</v>
      </c>
      <c r="B358" s="16" t="str">
        <f t="shared" si="94"/>
        <v>Fiche info Avenant 4</v>
      </c>
      <c r="C358" s="27" t="s">
        <v>232</v>
      </c>
      <c r="D358" s="27">
        <v>7</v>
      </c>
      <c r="E358" s="16" t="s">
        <v>185</v>
      </c>
      <c r="F358" s="34" t="str">
        <f>+IF('Fiche info Avenant 4'!$AG$13=0,"",'Fiche info Avenant 4'!$AG$13)</f>
        <v/>
      </c>
      <c r="G358" s="16">
        <f t="shared" si="89"/>
        <v>0</v>
      </c>
      <c r="BX358" s="16" t="str">
        <f t="shared" si="90"/>
        <v>Fiche info Avenant 4C7</v>
      </c>
      <c r="BY358" s="431">
        <f>'Fiche info Avenant 4'!$X$13</f>
        <v>0</v>
      </c>
      <c r="BZ358" s="431">
        <f>'Fiche info Avenant 4'!$Y$13</f>
        <v>0</v>
      </c>
      <c r="CA358" s="431">
        <f>'Fiche info Avenant 4'!$Z$13</f>
        <v>0</v>
      </c>
      <c r="CB358" s="431">
        <f>'Fiche info Avenant 4'!$AA$13</f>
        <v>0</v>
      </c>
      <c r="CC358" s="431">
        <f>'Fiche info Avenant 4'!$AB$13</f>
        <v>0</v>
      </c>
      <c r="CD358" s="431">
        <f>'Fiche info Avenant 4'!$AC$13</f>
        <v>0</v>
      </c>
      <c r="CE358" s="431">
        <f>'Fiche info Avenant 4'!$AD$13</f>
        <v>0</v>
      </c>
      <c r="CF358" s="431">
        <f>'Fiche info Avenant 4'!$AE$13</f>
        <v>0</v>
      </c>
      <c r="ED358" s="16" t="str">
        <f t="shared" si="82"/>
        <v>Fiche info Avenant 4C</v>
      </c>
      <c r="EE358" s="16" t="str">
        <f t="shared" si="84"/>
        <v>Fiche info Avenant 4</v>
      </c>
      <c r="EF358" s="16" t="str">
        <f t="shared" si="85"/>
        <v>C</v>
      </c>
      <c r="EG358" s="16">
        <f t="shared" si="86"/>
        <v>7</v>
      </c>
      <c r="EH358" s="16" t="str">
        <f t="shared" si="87"/>
        <v>Dimanche</v>
      </c>
      <c r="EI358" s="16" t="str">
        <f t="shared" si="88"/>
        <v/>
      </c>
      <c r="FB358" s="16" t="str">
        <f t="shared" si="91"/>
        <v/>
      </c>
      <c r="FC358" s="16" t="str">
        <f t="shared" si="92"/>
        <v/>
      </c>
      <c r="FD358" s="30">
        <f t="shared" si="83"/>
        <v>43647</v>
      </c>
      <c r="FE358" s="30" t="str">
        <f>+IFERROR(VLOOKUP(FD358,BDD,71,FALSE),"")</f>
        <v/>
      </c>
      <c r="FF358" s="30" t="str">
        <f>IFERROR(+VLOOKUP(FD358,BDD,72,FALSE),"")</f>
        <v/>
      </c>
      <c r="FG358" s="30" t="str">
        <f>+IFERROR(VLOOKUP(FD358,BDD,73,FALSE),"")</f>
        <v/>
      </c>
      <c r="FH358" s="30" t="str">
        <f>+IFERROR(VLOOKUP(FD358,BDD,74,FALSE),"")</f>
        <v/>
      </c>
      <c r="FW358" s="16" t="str">
        <f>Décembre!GB34</f>
        <v>512026</v>
      </c>
      <c r="FX358" s="16">
        <f>Décembre!GC34</f>
        <v>0</v>
      </c>
      <c r="HI358" s="85">
        <f>+Décembre!AB35</f>
        <v>46372</v>
      </c>
      <c r="HJ358" s="27" t="str">
        <f>+Décembre!AD35</f>
        <v/>
      </c>
      <c r="HK358" s="16">
        <f t="shared" si="93"/>
        <v>0</v>
      </c>
      <c r="HL358" s="16" t="str">
        <f>IF(AND(HI358&gt;=DATE(Identification!$B$60,5,1),HI358&lt;=DATE(Identification!$B$60,10,31),SUM(HK358:HK372)=12),"OUI","")</f>
        <v/>
      </c>
    </row>
    <row r="359" spans="1:220" x14ac:dyDescent="0.2">
      <c r="A359" s="16" t="str">
        <f t="shared" si="81"/>
        <v>Fiche info Avenant 4D1</v>
      </c>
      <c r="B359" s="16" t="str">
        <f t="shared" si="94"/>
        <v>Fiche info Avenant 4</v>
      </c>
      <c r="C359" s="27" t="s">
        <v>233</v>
      </c>
      <c r="D359" s="27">
        <v>1</v>
      </c>
      <c r="E359" s="16" t="s">
        <v>17</v>
      </c>
      <c r="F359" s="34" t="str">
        <f>+IF('Fiche info Avenant 4'!$AR$7=0,"",'Fiche info Avenant 4'!$AR$7)</f>
        <v/>
      </c>
      <c r="G359" s="16">
        <f t="shared" si="89"/>
        <v>0</v>
      </c>
      <c r="BX359" s="16" t="str">
        <f t="shared" si="90"/>
        <v>Fiche info Avenant 4D1</v>
      </c>
      <c r="BY359" s="431">
        <f>'Fiche info Avenant 4'!$AI$7</f>
        <v>0</v>
      </c>
      <c r="BZ359" s="431">
        <f>'Fiche info Avenant 4'!$AJ$7</f>
        <v>0</v>
      </c>
      <c r="CA359" s="431">
        <f>'Fiche info Avenant 4'!$AK$7</f>
        <v>0</v>
      </c>
      <c r="CB359" s="431">
        <f>'Fiche info Avenant 4'!$AL$7</f>
        <v>0</v>
      </c>
      <c r="CC359" s="431">
        <f>'Fiche info Avenant 4'!$AM$7</f>
        <v>0</v>
      </c>
      <c r="CD359" s="431">
        <f>'Fiche info Avenant 4'!$AN$7</f>
        <v>0</v>
      </c>
      <c r="CE359" s="431">
        <f>'Fiche info Avenant 4'!$AO$7</f>
        <v>0</v>
      </c>
      <c r="CF359" s="431">
        <f>'Fiche info Avenant 4'!$AP$7</f>
        <v>0</v>
      </c>
      <c r="ED359" s="16" t="str">
        <f t="shared" si="82"/>
        <v>Fiche info Avenant 4D</v>
      </c>
      <c r="EE359" s="16" t="str">
        <f t="shared" si="84"/>
        <v>Fiche info Avenant 4</v>
      </c>
      <c r="EF359" s="16" t="str">
        <f t="shared" si="85"/>
        <v>D</v>
      </c>
      <c r="EG359" s="16">
        <f t="shared" si="86"/>
        <v>1</v>
      </c>
      <c r="EH359" s="16" t="str">
        <f t="shared" si="87"/>
        <v>Lundi</v>
      </c>
      <c r="EI359" s="16" t="str">
        <f t="shared" si="88"/>
        <v/>
      </c>
      <c r="FB359" s="16" t="str">
        <f t="shared" si="91"/>
        <v/>
      </c>
      <c r="FC359" s="16" t="str">
        <f t="shared" si="92"/>
        <v/>
      </c>
      <c r="FD359" s="30">
        <f t="shared" si="83"/>
        <v>43647</v>
      </c>
      <c r="FE359" s="30" t="str">
        <f>+IFERROR(VLOOKUP(FD359,BDD,75,FALSE),"")</f>
        <v/>
      </c>
      <c r="FF359" s="30" t="str">
        <f>+IFERROR(VLOOKUP(FD359,BDD,76,FALSE),"")</f>
        <v/>
      </c>
      <c r="FG359" s="30" t="str">
        <f>IFERROR(+VLOOKUP(FD359,BDD,77,FALSE),"")</f>
        <v/>
      </c>
      <c r="FH359" s="30" t="str">
        <f>+IFERROR(VLOOKUP(FD359,BDD,78,FALSE),"")</f>
        <v/>
      </c>
      <c r="FW359" s="16" t="str">
        <f>Décembre!GB35</f>
        <v>512026</v>
      </c>
      <c r="FX359" s="16">
        <f>Décembre!GC35</f>
        <v>0</v>
      </c>
      <c r="HI359" s="85">
        <f>+Décembre!AB36</f>
        <v>46373</v>
      </c>
      <c r="HJ359" s="27" t="str">
        <f>+Décembre!AD36</f>
        <v/>
      </c>
      <c r="HK359" s="16">
        <f t="shared" si="93"/>
        <v>0</v>
      </c>
      <c r="HL359" s="16" t="str">
        <f>IF(AND(HI359&gt;=DATE(Identification!$B$60,5,1),HI359&lt;=DATE(Identification!$B$60,10,31),SUM(HK359:HK373)=12),"OUI","")</f>
        <v/>
      </c>
    </row>
    <row r="360" spans="1:220" x14ac:dyDescent="0.2">
      <c r="A360" s="16" t="str">
        <f t="shared" si="81"/>
        <v>Fiche info Avenant 4D2</v>
      </c>
      <c r="B360" s="16" t="str">
        <f t="shared" si="94"/>
        <v>Fiche info Avenant 4</v>
      </c>
      <c r="C360" s="27" t="s">
        <v>233</v>
      </c>
      <c r="D360" s="27">
        <v>2</v>
      </c>
      <c r="E360" s="16" t="s">
        <v>18</v>
      </c>
      <c r="F360" s="34" t="str">
        <f>IF(+'Fiche info Avenant 4'!$AR$8=0,"",'Fiche info Avenant 4'!$AR$8)</f>
        <v/>
      </c>
      <c r="G360" s="16">
        <f t="shared" si="89"/>
        <v>0</v>
      </c>
      <c r="BX360" s="16" t="str">
        <f t="shared" si="90"/>
        <v>Fiche info Avenant 4D2</v>
      </c>
      <c r="BY360" s="431">
        <f>'Fiche info Avenant 4'!$AI$8</f>
        <v>0</v>
      </c>
      <c r="BZ360" s="431">
        <f>'Fiche info Avenant 4'!$AJ$8</f>
        <v>0</v>
      </c>
      <c r="CA360" s="431">
        <f>'Fiche info Avenant 4'!$AK$8</f>
        <v>0</v>
      </c>
      <c r="CB360" s="431">
        <f>'Fiche info Avenant 4'!$AL$8</f>
        <v>0</v>
      </c>
      <c r="CC360" s="431">
        <f>'Fiche info Avenant 4'!$AM$8</f>
        <v>0</v>
      </c>
      <c r="CD360" s="431">
        <f>'Fiche info Avenant 4'!$AN$8</f>
        <v>0</v>
      </c>
      <c r="CE360" s="431">
        <f>'Fiche info Avenant 4'!$AO$8</f>
        <v>0</v>
      </c>
      <c r="CF360" s="431">
        <f>'Fiche info Avenant 4'!$AP$8</f>
        <v>0</v>
      </c>
      <c r="ED360" s="16" t="str">
        <f t="shared" si="82"/>
        <v>Fiche info Avenant 4D</v>
      </c>
      <c r="EE360" s="16" t="str">
        <f t="shared" si="84"/>
        <v>Fiche info Avenant 4</v>
      </c>
      <c r="EF360" s="16" t="str">
        <f t="shared" si="85"/>
        <v>D</v>
      </c>
      <c r="EG360" s="16">
        <f t="shared" si="86"/>
        <v>2</v>
      </c>
      <c r="EH360" s="16" t="str">
        <f t="shared" si="87"/>
        <v>Mardi</v>
      </c>
      <c r="EI360" s="16" t="str">
        <f t="shared" si="88"/>
        <v/>
      </c>
      <c r="FB360" s="16" t="str">
        <f t="shared" si="91"/>
        <v/>
      </c>
      <c r="FC360" s="16" t="str">
        <f t="shared" si="92"/>
        <v/>
      </c>
      <c r="FD360" s="30">
        <f t="shared" si="83"/>
        <v>43647</v>
      </c>
      <c r="FE360" s="30" t="str">
        <f>+IFERROR(VLOOKUP(FD360,BDD,79,FALSE),"")</f>
        <v/>
      </c>
      <c r="FF360" s="30" t="str">
        <f>IFERROR(+VLOOKUP(FD360,BDD,80,FALSE),"")</f>
        <v/>
      </c>
      <c r="FG360" s="30" t="str">
        <f>+IFERROR(VLOOKUP(FD360,BDD,81,FALSE),"")</f>
        <v/>
      </c>
      <c r="FH360" s="30" t="str">
        <f>+IFERROR(VLOOKUP(FD360,BDD,82,FALSE),"")</f>
        <v/>
      </c>
      <c r="FW360" s="16" t="str">
        <f>Décembre!GB36</f>
        <v>512026</v>
      </c>
      <c r="FX360" s="16">
        <f>Décembre!GC36</f>
        <v>0</v>
      </c>
      <c r="HI360" s="85">
        <f>+Décembre!AB37</f>
        <v>46374</v>
      </c>
      <c r="HJ360" s="27" t="str">
        <f>+Décembre!AD37</f>
        <v/>
      </c>
      <c r="HK360" s="16">
        <f t="shared" si="93"/>
        <v>0</v>
      </c>
      <c r="HL360" s="16" t="str">
        <f>IF(AND(HI360&gt;=DATE(Identification!$B$60,5,1),HI360&lt;=DATE(Identification!$B$60,10,31),SUM(HK360:HK374)=12),"OUI","")</f>
        <v/>
      </c>
    </row>
    <row r="361" spans="1:220" x14ac:dyDescent="0.2">
      <c r="A361" s="16" t="str">
        <f t="shared" si="81"/>
        <v>Fiche info Avenant 4D3</v>
      </c>
      <c r="B361" s="16" t="str">
        <f t="shared" si="94"/>
        <v>Fiche info Avenant 4</v>
      </c>
      <c r="C361" s="27" t="s">
        <v>233</v>
      </c>
      <c r="D361" s="27">
        <v>3</v>
      </c>
      <c r="E361" s="16" t="s">
        <v>19</v>
      </c>
      <c r="F361" s="34" t="str">
        <f>IF(+'Fiche info Avenant 4'!$AR$9=0,"",'Fiche info Avenant 4'!$AR$9)</f>
        <v/>
      </c>
      <c r="G361" s="16">
        <f t="shared" si="89"/>
        <v>0</v>
      </c>
      <c r="BX361" s="16" t="str">
        <f t="shared" si="90"/>
        <v>Fiche info Avenant 4D3</v>
      </c>
      <c r="BY361" s="431">
        <f>'Fiche info Avenant 4'!$AI$9</f>
        <v>0</v>
      </c>
      <c r="BZ361" s="431">
        <f>'Fiche info Avenant 4'!$AJ$9</f>
        <v>0</v>
      </c>
      <c r="CA361" s="431">
        <f>'Fiche info Avenant 4'!$AK$9</f>
        <v>0</v>
      </c>
      <c r="CB361" s="431">
        <f>'Fiche info Avenant 4'!$AL$9</f>
        <v>0</v>
      </c>
      <c r="CC361" s="431">
        <f>'Fiche info Avenant 4'!$AM$9</f>
        <v>0</v>
      </c>
      <c r="CD361" s="431">
        <f>'Fiche info Avenant 4'!$AN$9</f>
        <v>0</v>
      </c>
      <c r="CE361" s="431">
        <f>'Fiche info Avenant 4'!$AO$9</f>
        <v>0</v>
      </c>
      <c r="CF361" s="431">
        <f>'Fiche info Avenant 4'!$AP$9</f>
        <v>0</v>
      </c>
      <c r="ED361" s="16" t="str">
        <f t="shared" si="82"/>
        <v>Fiche info Avenant 4D</v>
      </c>
      <c r="EE361" s="16" t="str">
        <f t="shared" si="84"/>
        <v>Fiche info Avenant 4</v>
      </c>
      <c r="EF361" s="16" t="str">
        <f t="shared" si="85"/>
        <v>D</v>
      </c>
      <c r="EG361" s="16">
        <f t="shared" si="86"/>
        <v>3</v>
      </c>
      <c r="EH361" s="16" t="str">
        <f t="shared" si="87"/>
        <v>Mercredi</v>
      </c>
      <c r="EI361" s="16" t="str">
        <f t="shared" si="88"/>
        <v/>
      </c>
      <c r="FB361" s="16" t="str">
        <f t="shared" si="91"/>
        <v/>
      </c>
      <c r="FC361" s="16" t="str">
        <f t="shared" si="92"/>
        <v/>
      </c>
      <c r="FD361" s="30">
        <f t="shared" si="83"/>
        <v>43647</v>
      </c>
      <c r="FE361" s="30" t="str">
        <f>+IFERROR(VLOOKUP(FD361,BDD,83,FALSE),"")</f>
        <v/>
      </c>
      <c r="FF361" s="30" t="str">
        <f>+IFERROR(VLOOKUP(FD361,BDD,84,FALSE),"")</f>
        <v/>
      </c>
      <c r="FG361" s="30" t="str">
        <f>+IFERROR(VLOOKUP(FD361,BDD,85,FALSE),"")</f>
        <v/>
      </c>
      <c r="FH361" s="30" t="str">
        <f>+IFERROR(VLOOKUP(FD361,BDD,86,FALSE),"")</f>
        <v/>
      </c>
      <c r="FW361" s="16" t="str">
        <f>Décembre!GB37</f>
        <v>512026</v>
      </c>
      <c r="FX361" s="16">
        <f>Décembre!GC37</f>
        <v>0</v>
      </c>
      <c r="HI361" s="85">
        <f>+Décembre!AB38</f>
        <v>46375</v>
      </c>
      <c r="HJ361" s="27" t="str">
        <f>+Décembre!AD38</f>
        <v/>
      </c>
      <c r="HK361" s="16">
        <f t="shared" si="93"/>
        <v>0</v>
      </c>
      <c r="HL361" s="16" t="str">
        <f>IF(AND(HI361&gt;=DATE(Identification!$B$60,5,1),HI361&lt;=DATE(Identification!$B$60,10,31),SUM(HK361:HK375)=12),"OUI","")</f>
        <v/>
      </c>
    </row>
    <row r="362" spans="1:220" x14ac:dyDescent="0.2">
      <c r="A362" s="16" t="str">
        <f t="shared" si="81"/>
        <v>Fiche info Avenant 4D4</v>
      </c>
      <c r="B362" s="16" t="str">
        <f t="shared" si="94"/>
        <v>Fiche info Avenant 4</v>
      </c>
      <c r="C362" s="27" t="s">
        <v>233</v>
      </c>
      <c r="D362" s="27">
        <v>4</v>
      </c>
      <c r="E362" s="16" t="s">
        <v>20</v>
      </c>
      <c r="F362" s="34" t="str">
        <f>IF(+'Fiche info Avenant 4'!$AR$10=0,"",'Fiche info Avenant 4'!$AR$10)</f>
        <v/>
      </c>
      <c r="G362" s="16">
        <f t="shared" si="89"/>
        <v>0</v>
      </c>
      <c r="BX362" s="16" t="str">
        <f t="shared" si="90"/>
        <v>Fiche info Avenant 4D4</v>
      </c>
      <c r="BY362" s="431">
        <f>'Fiche info Avenant 4'!$AI$10</f>
        <v>0</v>
      </c>
      <c r="BZ362" s="431">
        <f>'Fiche info Avenant 4'!$AJ$10</f>
        <v>0</v>
      </c>
      <c r="CA362" s="431">
        <f>'Fiche info Avenant 4'!$AK$10</f>
        <v>0</v>
      </c>
      <c r="CB362" s="431">
        <f>'Fiche info Avenant 4'!$AL$10</f>
        <v>0</v>
      </c>
      <c r="CC362" s="431">
        <f>'Fiche info Avenant 4'!$AM$10</f>
        <v>0</v>
      </c>
      <c r="CD362" s="431">
        <f>'Fiche info Avenant 4'!$AN$10</f>
        <v>0</v>
      </c>
      <c r="CE362" s="431">
        <f>'Fiche info Avenant 4'!$AO$10</f>
        <v>0</v>
      </c>
      <c r="CF362" s="431">
        <f>'Fiche info Avenant 4'!$AP$10</f>
        <v>0</v>
      </c>
      <c r="ED362" s="16" t="str">
        <f t="shared" si="82"/>
        <v>Fiche info Avenant 4D</v>
      </c>
      <c r="EE362" s="16" t="str">
        <f t="shared" si="84"/>
        <v>Fiche info Avenant 4</v>
      </c>
      <c r="EF362" s="16" t="str">
        <f t="shared" si="85"/>
        <v>D</v>
      </c>
      <c r="EG362" s="16">
        <f t="shared" si="86"/>
        <v>4</v>
      </c>
      <c r="EH362" s="16" t="str">
        <f t="shared" si="87"/>
        <v>Jeudi</v>
      </c>
      <c r="EI362" s="16" t="str">
        <f t="shared" si="88"/>
        <v/>
      </c>
      <c r="FB362" s="16" t="str">
        <f t="shared" si="91"/>
        <v/>
      </c>
      <c r="FC362" s="16" t="str">
        <f t="shared" si="92"/>
        <v/>
      </c>
      <c r="FD362" s="30">
        <f t="shared" si="83"/>
        <v>43617</v>
      </c>
      <c r="FE362" s="30" t="str">
        <f>+IFERROR(VLOOKUP(FD362,BDD,71,FALSE),"")</f>
        <v/>
      </c>
      <c r="FF362" s="30" t="str">
        <f>IFERROR(+VLOOKUP(FD362,BDD,72,FALSE),"")</f>
        <v/>
      </c>
      <c r="FG362" s="30" t="str">
        <f>+IFERROR(VLOOKUP(FD362,BDD,73,FALSE),"")</f>
        <v/>
      </c>
      <c r="FH362" s="30" t="str">
        <f>+IFERROR(VLOOKUP(FD362,BDD,74,FALSE),"")</f>
        <v/>
      </c>
      <c r="FW362" s="16" t="str">
        <f>Décembre!GB38</f>
        <v>512026</v>
      </c>
      <c r="FX362" s="16">
        <f>Décembre!GC38</f>
        <v>0</v>
      </c>
      <c r="HI362" s="85">
        <f>+Décembre!AB39</f>
        <v>46376</v>
      </c>
      <c r="HJ362" s="27" t="str">
        <f>+Décembre!AD39</f>
        <v/>
      </c>
      <c r="HK362" s="16">
        <f t="shared" si="93"/>
        <v>0</v>
      </c>
      <c r="HL362" s="16" t="str">
        <f>IF(AND(HI362&gt;=DATE(Identification!$B$60,5,1),HI362&lt;=DATE(Identification!$B$60,10,31),SUM(HK362:HK376)=12),"OUI","")</f>
        <v/>
      </c>
    </row>
    <row r="363" spans="1:220" x14ac:dyDescent="0.2">
      <c r="A363" s="16" t="str">
        <f t="shared" ref="A363:A426" si="95">+B363&amp;C363&amp;D363</f>
        <v>Fiche info Avenant 4D5</v>
      </c>
      <c r="B363" s="16" t="str">
        <f t="shared" si="94"/>
        <v>Fiche info Avenant 4</v>
      </c>
      <c r="C363" s="27" t="s">
        <v>233</v>
      </c>
      <c r="D363" s="27">
        <v>5</v>
      </c>
      <c r="E363" s="16" t="s">
        <v>21</v>
      </c>
      <c r="F363" s="34" t="str">
        <f>IF(+'Fiche info Avenant 4'!$AR$11=0,"",'Fiche info Avenant 4'!$AR$11)</f>
        <v/>
      </c>
      <c r="G363" s="16">
        <f t="shared" si="89"/>
        <v>0</v>
      </c>
      <c r="BX363" s="16" t="str">
        <f t="shared" si="90"/>
        <v>Fiche info Avenant 4D5</v>
      </c>
      <c r="BY363" s="431">
        <f>'Fiche info Avenant 4'!$AI$11</f>
        <v>0</v>
      </c>
      <c r="BZ363" s="431">
        <f>'Fiche info Avenant 4'!$AJ$11</f>
        <v>0</v>
      </c>
      <c r="CA363" s="431">
        <f>'Fiche info Avenant 4'!$AK$11</f>
        <v>0</v>
      </c>
      <c r="CB363" s="431">
        <f>'Fiche info Avenant 4'!$AL$11</f>
        <v>0</v>
      </c>
      <c r="CC363" s="431">
        <f>'Fiche info Avenant 4'!$AM$11</f>
        <v>0</v>
      </c>
      <c r="CD363" s="431">
        <f>'Fiche info Avenant 4'!$AN$11</f>
        <v>0</v>
      </c>
      <c r="CE363" s="431">
        <f>'Fiche info Avenant 4'!$AO$11</f>
        <v>0</v>
      </c>
      <c r="CF363" s="431">
        <f>'Fiche info Avenant 4'!$AP$11</f>
        <v>0</v>
      </c>
      <c r="ED363" s="16" t="str">
        <f t="shared" si="82"/>
        <v>Fiche info Avenant 4D</v>
      </c>
      <c r="EE363" s="16" t="str">
        <f t="shared" si="84"/>
        <v>Fiche info Avenant 4</v>
      </c>
      <c r="EF363" s="16" t="str">
        <f t="shared" si="85"/>
        <v>D</v>
      </c>
      <c r="EG363" s="16">
        <f t="shared" si="86"/>
        <v>5</v>
      </c>
      <c r="EH363" s="16" t="str">
        <f t="shared" si="87"/>
        <v>Vendredi</v>
      </c>
      <c r="EI363" s="16" t="str">
        <f t="shared" si="88"/>
        <v/>
      </c>
      <c r="FB363" s="16" t="str">
        <f t="shared" si="91"/>
        <v/>
      </c>
      <c r="FC363" s="16" t="str">
        <f t="shared" si="92"/>
        <v/>
      </c>
      <c r="FD363" s="30">
        <f t="shared" si="83"/>
        <v>43617</v>
      </c>
      <c r="FE363" s="30" t="str">
        <f>+IFERROR(VLOOKUP(FD363,BDD,75,FALSE),"")</f>
        <v/>
      </c>
      <c r="FF363" s="30" t="str">
        <f>+IFERROR(VLOOKUP(FD363,BDD,76,FALSE),"")</f>
        <v/>
      </c>
      <c r="FG363" s="30" t="str">
        <f>IFERROR(+VLOOKUP(FD363,BDD,77,FALSE),"")</f>
        <v/>
      </c>
      <c r="FH363" s="30" t="str">
        <f>+IFERROR(VLOOKUP(FD363,BDD,78,FALSE),"")</f>
        <v/>
      </c>
      <c r="FW363" s="16" t="str">
        <f>Décembre!GB39</f>
        <v>512026</v>
      </c>
      <c r="FX363" s="16">
        <f>Décembre!GC39</f>
        <v>0</v>
      </c>
      <c r="HI363" s="85">
        <f>+Décembre!AB40</f>
        <v>46377</v>
      </c>
      <c r="HJ363" s="27" t="str">
        <f>+Décembre!AD40</f>
        <v/>
      </c>
      <c r="HK363" s="16">
        <f t="shared" si="93"/>
        <v>0</v>
      </c>
      <c r="HL363" s="16" t="str">
        <f>IF(AND(HI363&gt;=DATE(Identification!$B$60,5,1),HI363&lt;=DATE(Identification!$B$60,10,31),SUM(HK363:HK377)=12),"OUI","")</f>
        <v/>
      </c>
    </row>
    <row r="364" spans="1:220" x14ac:dyDescent="0.2">
      <c r="A364" s="16" t="str">
        <f t="shared" si="95"/>
        <v>Fiche info Avenant 4D6</v>
      </c>
      <c r="B364" s="16" t="str">
        <f t="shared" si="94"/>
        <v>Fiche info Avenant 4</v>
      </c>
      <c r="C364" s="27" t="s">
        <v>233</v>
      </c>
      <c r="D364" s="27">
        <v>6</v>
      </c>
      <c r="E364" s="16" t="s">
        <v>184</v>
      </c>
      <c r="F364" s="34" t="str">
        <f>IF(+'Fiche info Avenant 4'!$AR$12=0,"",'Fiche info Avenant 4'!$AR$12)</f>
        <v/>
      </c>
      <c r="G364" s="16">
        <f t="shared" si="89"/>
        <v>0</v>
      </c>
      <c r="BX364" s="16" t="str">
        <f t="shared" si="90"/>
        <v>Fiche info Avenant 4D6</v>
      </c>
      <c r="BY364" s="431">
        <f>'Fiche info Avenant 4'!$AI$12</f>
        <v>0</v>
      </c>
      <c r="BZ364" s="431">
        <f>'Fiche info Avenant 4'!$AJ$12</f>
        <v>0</v>
      </c>
      <c r="CA364" s="431">
        <f>'Fiche info Avenant 4'!$AK$12</f>
        <v>0</v>
      </c>
      <c r="CB364" s="431">
        <f>'Fiche info Avenant 4'!$AL$12</f>
        <v>0</v>
      </c>
      <c r="CC364" s="431">
        <f>'Fiche info Avenant 4'!$AM$12</f>
        <v>0</v>
      </c>
      <c r="CD364" s="431">
        <f>'Fiche info Avenant 4'!$AN$12</f>
        <v>0</v>
      </c>
      <c r="CE364" s="431">
        <f>'Fiche info Avenant 4'!$AO$12</f>
        <v>0</v>
      </c>
      <c r="CF364" s="431">
        <f>'Fiche info Avenant 4'!$AP$12</f>
        <v>0</v>
      </c>
      <c r="ED364" s="16" t="str">
        <f t="shared" si="82"/>
        <v>Fiche info Avenant 4D</v>
      </c>
      <c r="EE364" s="16" t="str">
        <f t="shared" si="84"/>
        <v>Fiche info Avenant 4</v>
      </c>
      <c r="EF364" s="16" t="str">
        <f t="shared" si="85"/>
        <v>D</v>
      </c>
      <c r="EG364" s="16">
        <f t="shared" si="86"/>
        <v>6</v>
      </c>
      <c r="EH364" s="16" t="str">
        <f t="shared" si="87"/>
        <v>Samedi</v>
      </c>
      <c r="EI364" s="16" t="str">
        <f t="shared" si="88"/>
        <v/>
      </c>
      <c r="FB364" s="16" t="str">
        <f t="shared" si="91"/>
        <v/>
      </c>
      <c r="FC364" s="16" t="str">
        <f t="shared" si="92"/>
        <v/>
      </c>
      <c r="FD364" s="30">
        <f t="shared" si="83"/>
        <v>43617</v>
      </c>
      <c r="FE364" s="30" t="str">
        <f>+IFERROR(VLOOKUP(FD364,BDD,79,FALSE),"")</f>
        <v/>
      </c>
      <c r="FF364" s="30" t="str">
        <f>IFERROR(+VLOOKUP(FD364,BDD,80,FALSE),"")</f>
        <v/>
      </c>
      <c r="FG364" s="30" t="str">
        <f>+IFERROR(VLOOKUP(FD364,BDD,81,FALSE),"")</f>
        <v/>
      </c>
      <c r="FH364" s="30" t="str">
        <f>+IFERROR(VLOOKUP(FD364,BDD,82,FALSE),"")</f>
        <v/>
      </c>
      <c r="FW364" s="16" t="str">
        <f>Décembre!GB40</f>
        <v>522026</v>
      </c>
      <c r="FX364" s="16">
        <f>Décembre!GC40</f>
        <v>0</v>
      </c>
      <c r="HI364" s="85">
        <f>+Décembre!AB41</f>
        <v>46378</v>
      </c>
      <c r="HJ364" s="27" t="str">
        <f>+Décembre!AD41</f>
        <v/>
      </c>
      <c r="HK364" s="16">
        <f t="shared" si="93"/>
        <v>0</v>
      </c>
      <c r="HL364" s="16" t="str">
        <f>IF(AND(HI364&gt;=DATE(Identification!$B$60,5,1),HI364&lt;=DATE(Identification!$B$60,10,31),SUM(HK364:HK378)=12),"OUI","")</f>
        <v/>
      </c>
    </row>
    <row r="365" spans="1:220" x14ac:dyDescent="0.2">
      <c r="A365" s="16" t="str">
        <f t="shared" si="95"/>
        <v>Fiche info Avenant 4D7</v>
      </c>
      <c r="B365" s="16" t="str">
        <f t="shared" si="94"/>
        <v>Fiche info Avenant 4</v>
      </c>
      <c r="C365" s="27" t="s">
        <v>233</v>
      </c>
      <c r="D365" s="27">
        <v>7</v>
      </c>
      <c r="E365" s="16" t="s">
        <v>185</v>
      </c>
      <c r="F365" s="34" t="str">
        <f>IF(+'Fiche info Avenant 4'!$AR$13=0,"",'Fiche info Avenant 4'!$AR$13)</f>
        <v/>
      </c>
      <c r="G365" s="16">
        <f t="shared" si="89"/>
        <v>0</v>
      </c>
      <c r="BX365" s="16" t="str">
        <f t="shared" si="90"/>
        <v>Fiche info Avenant 4D7</v>
      </c>
      <c r="BY365" s="431">
        <f>'Fiche info Avenant 4'!$AI$13</f>
        <v>0</v>
      </c>
      <c r="BZ365" s="431">
        <f>'Fiche info Avenant 4'!$AJ$13</f>
        <v>0</v>
      </c>
      <c r="CA365" s="431">
        <f>'Fiche info Avenant 4'!$AK$13</f>
        <v>0</v>
      </c>
      <c r="CB365" s="431">
        <f>'Fiche info Avenant 4'!$AL$13</f>
        <v>0</v>
      </c>
      <c r="CC365" s="431">
        <f>'Fiche info Avenant 4'!$AM$13</f>
        <v>0</v>
      </c>
      <c r="CD365" s="431">
        <f>'Fiche info Avenant 4'!$AN$13</f>
        <v>0</v>
      </c>
      <c r="CE365" s="431">
        <f>'Fiche info Avenant 4'!$AO$13</f>
        <v>0</v>
      </c>
      <c r="CF365" s="431">
        <f>'Fiche info Avenant 4'!$AP$13</f>
        <v>0</v>
      </c>
      <c r="ED365" s="16" t="str">
        <f t="shared" si="82"/>
        <v>Fiche info Avenant 4D</v>
      </c>
      <c r="EE365" s="16" t="str">
        <f t="shared" si="84"/>
        <v>Fiche info Avenant 4</v>
      </c>
      <c r="EF365" s="16" t="str">
        <f t="shared" si="85"/>
        <v>D</v>
      </c>
      <c r="EG365" s="16">
        <f t="shared" si="86"/>
        <v>7</v>
      </c>
      <c r="EH365" s="16" t="str">
        <f t="shared" si="87"/>
        <v>Dimanche</v>
      </c>
      <c r="EI365" s="16" t="str">
        <f t="shared" si="88"/>
        <v/>
      </c>
      <c r="FB365" s="16" t="str">
        <f t="shared" si="91"/>
        <v/>
      </c>
      <c r="FC365" s="16" t="str">
        <f t="shared" si="92"/>
        <v/>
      </c>
      <c r="FD365" s="30">
        <f t="shared" si="83"/>
        <v>43617</v>
      </c>
      <c r="FE365" s="30" t="str">
        <f>+IFERROR(VLOOKUP(FD365,BDD,83,FALSE),"")</f>
        <v/>
      </c>
      <c r="FF365" s="30" t="str">
        <f>+IFERROR(VLOOKUP(FD365,BDD,84,FALSE),"")</f>
        <v/>
      </c>
      <c r="FG365" s="30" t="str">
        <f>+IFERROR(VLOOKUP(FD365,BDD,85,FALSE),"")</f>
        <v/>
      </c>
      <c r="FH365" s="30" t="str">
        <f>+IFERROR(VLOOKUP(FD365,BDD,86,FALSE),"")</f>
        <v/>
      </c>
      <c r="FW365" s="16" t="str">
        <f>Décembre!GB41</f>
        <v>522026</v>
      </c>
      <c r="FX365" s="16">
        <f>Décembre!GC41</f>
        <v>0</v>
      </c>
      <c r="HI365" s="85">
        <f>+Décembre!AB42</f>
        <v>46379</v>
      </c>
      <c r="HJ365" s="27" t="str">
        <f>+Décembre!AD42</f>
        <v/>
      </c>
      <c r="HK365" s="16">
        <f t="shared" si="93"/>
        <v>0</v>
      </c>
      <c r="HL365" s="16" t="str">
        <f>IF(AND(HI365&gt;=DATE(Identification!$B$60,5,1),HI365&lt;=DATE(Identification!$B$60,10,31),SUM(HK365:HK379)=12),"OUI","")</f>
        <v/>
      </c>
    </row>
    <row r="366" spans="1:220" x14ac:dyDescent="0.2">
      <c r="A366" s="16" t="str">
        <f t="shared" si="95"/>
        <v>Fiche info Avenant 4E1</v>
      </c>
      <c r="B366" s="16" t="str">
        <f t="shared" si="94"/>
        <v>Fiche info Avenant 4</v>
      </c>
      <c r="C366" s="27" t="s">
        <v>234</v>
      </c>
      <c r="D366" s="27">
        <v>1</v>
      </c>
      <c r="E366" s="16" t="s">
        <v>17</v>
      </c>
      <c r="F366" s="34" t="str">
        <f>IF(+'Fiche info Avenant 4'!$BC$7=0,"",'Fiche info Avenant 4'!$BC$7)</f>
        <v/>
      </c>
      <c r="G366" s="16">
        <f t="shared" si="89"/>
        <v>0</v>
      </c>
      <c r="BX366" s="16" t="str">
        <f t="shared" si="90"/>
        <v>Fiche info Avenant 4E1</v>
      </c>
      <c r="BY366" s="431">
        <f>'Fiche info Avenant 4'!$AT$7</f>
        <v>0</v>
      </c>
      <c r="BZ366" s="431">
        <f>'Fiche info Avenant 4'!$AU$7</f>
        <v>0</v>
      </c>
      <c r="CA366" s="431">
        <f>'Fiche info Avenant 4'!$AV$7</f>
        <v>0</v>
      </c>
      <c r="CB366" s="431">
        <f>'Fiche info Avenant 4'!$AW$7</f>
        <v>0</v>
      </c>
      <c r="CC366" s="431">
        <f>'Fiche info Avenant 4'!$AX$7</f>
        <v>0</v>
      </c>
      <c r="CD366" s="431">
        <f>'Fiche info Avenant 4'!$AY$7</f>
        <v>0</v>
      </c>
      <c r="CE366" s="431">
        <f>'Fiche info Avenant 4'!$AZ$7</f>
        <v>0</v>
      </c>
      <c r="CF366" s="431">
        <f>'Fiche info Avenant 4'!$BA$7</f>
        <v>0</v>
      </c>
      <c r="ED366" s="16" t="str">
        <f t="shared" si="82"/>
        <v>Fiche info Avenant 4E</v>
      </c>
      <c r="EE366" s="16" t="str">
        <f t="shared" si="84"/>
        <v>Fiche info Avenant 4</v>
      </c>
      <c r="EF366" s="16" t="str">
        <f t="shared" si="85"/>
        <v>E</v>
      </c>
      <c r="EG366" s="16">
        <f t="shared" si="86"/>
        <v>1</v>
      </c>
      <c r="EH366" s="16" t="str">
        <f t="shared" si="87"/>
        <v>Lundi</v>
      </c>
      <c r="EI366" s="16" t="str">
        <f t="shared" si="88"/>
        <v/>
      </c>
      <c r="FB366" s="16" t="str">
        <f t="shared" si="91"/>
        <v/>
      </c>
      <c r="FC366" s="16" t="str">
        <f t="shared" si="92"/>
        <v/>
      </c>
      <c r="FD366" s="30">
        <f t="shared" si="83"/>
        <v>43586</v>
      </c>
      <c r="FE366" s="30" t="str">
        <f>+IFERROR(VLOOKUP(FD366,BDD,71,FALSE),"")</f>
        <v/>
      </c>
      <c r="FF366" s="30" t="str">
        <f>IFERROR(+VLOOKUP(FD366,BDD,72,FALSE),"")</f>
        <v/>
      </c>
      <c r="FG366" s="30" t="str">
        <f>+IFERROR(VLOOKUP(FD366,BDD,73,FALSE),"")</f>
        <v/>
      </c>
      <c r="FH366" s="30" t="str">
        <f>+IFERROR(VLOOKUP(FD366,BDD,74,FALSE),"")</f>
        <v/>
      </c>
      <c r="FW366" s="16" t="str">
        <f>Décembre!GB42</f>
        <v>522026</v>
      </c>
      <c r="FX366" s="16">
        <f>Décembre!GC42</f>
        <v>0</v>
      </c>
      <c r="HI366" s="85">
        <f>+Décembre!AB43</f>
        <v>46380</v>
      </c>
      <c r="HJ366" s="27" t="str">
        <f>+Décembre!AD43</f>
        <v/>
      </c>
      <c r="HK366" s="16">
        <f t="shared" si="93"/>
        <v>0</v>
      </c>
      <c r="HL366" s="16" t="str">
        <f>IF(AND(HI366&gt;=DATE(Identification!$B$60,5,1),HI366&lt;=DATE(Identification!$B$60,10,31),SUM(HK366:HK380)=12),"OUI","")</f>
        <v/>
      </c>
    </row>
    <row r="367" spans="1:220" x14ac:dyDescent="0.2">
      <c r="A367" s="16" t="str">
        <f t="shared" si="95"/>
        <v>Fiche info Avenant 4E2</v>
      </c>
      <c r="B367" s="16" t="str">
        <f t="shared" si="94"/>
        <v>Fiche info Avenant 4</v>
      </c>
      <c r="C367" s="27" t="s">
        <v>234</v>
      </c>
      <c r="D367" s="27">
        <v>2</v>
      </c>
      <c r="E367" s="16" t="s">
        <v>18</v>
      </c>
      <c r="F367" s="34" t="str">
        <f>IF(+'Fiche info Avenant 4'!$BC$8=0,"",'Fiche info Avenant 4'!$BC$8)</f>
        <v/>
      </c>
      <c r="G367" s="16">
        <f t="shared" si="89"/>
        <v>0</v>
      </c>
      <c r="BX367" s="16" t="str">
        <f t="shared" si="90"/>
        <v>Fiche info Avenant 4E2</v>
      </c>
      <c r="BY367" s="431">
        <f>'Fiche info Avenant 4'!$AT$8</f>
        <v>0</v>
      </c>
      <c r="BZ367" s="431">
        <f>'Fiche info Avenant 4'!$AU$8</f>
        <v>0</v>
      </c>
      <c r="CA367" s="431">
        <f>'Fiche info Avenant 4'!$AV$8</f>
        <v>0</v>
      </c>
      <c r="CB367" s="431">
        <f>'Fiche info Avenant 4'!$AW$8</f>
        <v>0</v>
      </c>
      <c r="CC367" s="431">
        <f>'Fiche info Avenant 4'!$AX$8</f>
        <v>0</v>
      </c>
      <c r="CD367" s="431">
        <f>'Fiche info Avenant 4'!$AY$8</f>
        <v>0</v>
      </c>
      <c r="CE367" s="431">
        <f>'Fiche info Avenant 4'!$AZ$8</f>
        <v>0</v>
      </c>
      <c r="CF367" s="431">
        <f>'Fiche info Avenant 4'!$BA$8</f>
        <v>0</v>
      </c>
      <c r="ED367" s="16" t="str">
        <f t="shared" si="82"/>
        <v>Fiche info Avenant 4E</v>
      </c>
      <c r="EE367" s="16" t="str">
        <f t="shared" si="84"/>
        <v>Fiche info Avenant 4</v>
      </c>
      <c r="EF367" s="16" t="str">
        <f t="shared" si="85"/>
        <v>E</v>
      </c>
      <c r="EG367" s="16">
        <f t="shared" si="86"/>
        <v>2</v>
      </c>
      <c r="EH367" s="16" t="str">
        <f t="shared" si="87"/>
        <v>Mardi</v>
      </c>
      <c r="EI367" s="16" t="str">
        <f t="shared" si="88"/>
        <v/>
      </c>
      <c r="FB367" s="16" t="str">
        <f t="shared" si="91"/>
        <v/>
      </c>
      <c r="FC367" s="16" t="str">
        <f t="shared" si="92"/>
        <v/>
      </c>
      <c r="FD367" s="30">
        <f t="shared" si="83"/>
        <v>43586</v>
      </c>
      <c r="FE367" s="30" t="str">
        <f>+IFERROR(VLOOKUP(FD367,BDD,75,FALSE),"")</f>
        <v/>
      </c>
      <c r="FF367" s="30" t="str">
        <f>+IFERROR(VLOOKUP(FD367,BDD,76,FALSE),"")</f>
        <v/>
      </c>
      <c r="FG367" s="30" t="str">
        <f>IFERROR(+VLOOKUP(FD367,BDD,77,FALSE),"")</f>
        <v/>
      </c>
      <c r="FH367" s="30" t="str">
        <f>+IFERROR(VLOOKUP(FD367,BDD,78,FALSE),"")</f>
        <v/>
      </c>
      <c r="FW367" s="16" t="str">
        <f>Décembre!GB43</f>
        <v>522026</v>
      </c>
      <c r="FX367" s="16">
        <f>Décembre!GC43</f>
        <v>0</v>
      </c>
      <c r="HI367" s="85">
        <f>+Décembre!AB44</f>
        <v>46381</v>
      </c>
      <c r="HJ367" s="27" t="str">
        <f>+Décembre!AD44</f>
        <v/>
      </c>
      <c r="HK367" s="16">
        <f t="shared" si="93"/>
        <v>0</v>
      </c>
      <c r="HL367" s="16" t="str">
        <f>IF(AND(HI367&gt;=DATE(Identification!$B$60,5,1),HI367&lt;=DATE(Identification!$B$60,10,31),SUM(HK367:HK381)=12),"OUI","")</f>
        <v/>
      </c>
    </row>
    <row r="368" spans="1:220" x14ac:dyDescent="0.2">
      <c r="A368" s="16" t="str">
        <f t="shared" si="95"/>
        <v>Fiche info Avenant 4E3</v>
      </c>
      <c r="B368" s="16" t="str">
        <f t="shared" si="94"/>
        <v>Fiche info Avenant 4</v>
      </c>
      <c r="C368" s="27" t="s">
        <v>234</v>
      </c>
      <c r="D368" s="27">
        <v>3</v>
      </c>
      <c r="E368" s="16" t="s">
        <v>19</v>
      </c>
      <c r="F368" s="34" t="str">
        <f>IF(+'Fiche info Avenant 4'!$BC$9=0,"",'Fiche info Avenant 4'!$BC$9)</f>
        <v/>
      </c>
      <c r="G368" s="16">
        <f t="shared" si="89"/>
        <v>0</v>
      </c>
      <c r="BX368" s="16" t="str">
        <f t="shared" si="90"/>
        <v>Fiche info Avenant 4E3</v>
      </c>
      <c r="BY368" s="431">
        <f>'Fiche info Avenant 4'!$AT$9</f>
        <v>0</v>
      </c>
      <c r="BZ368" s="431">
        <f>'Fiche info Avenant 4'!$AU$9</f>
        <v>0</v>
      </c>
      <c r="CA368" s="431">
        <f>'Fiche info Avenant 4'!$AV$9</f>
        <v>0</v>
      </c>
      <c r="CB368" s="431">
        <f>'Fiche info Avenant 4'!$AW$9</f>
        <v>0</v>
      </c>
      <c r="CC368" s="431">
        <f>'Fiche info Avenant 4'!$AX$9</f>
        <v>0</v>
      </c>
      <c r="CD368" s="431">
        <f>'Fiche info Avenant 4'!$AY$9</f>
        <v>0</v>
      </c>
      <c r="CE368" s="431">
        <f>'Fiche info Avenant 4'!$AZ$9</f>
        <v>0</v>
      </c>
      <c r="CF368" s="431">
        <f>'Fiche info Avenant 4'!$BA$9</f>
        <v>0</v>
      </c>
      <c r="ED368" s="16" t="str">
        <f t="shared" si="82"/>
        <v>Fiche info Avenant 4E</v>
      </c>
      <c r="EE368" s="16" t="str">
        <f t="shared" si="84"/>
        <v>Fiche info Avenant 4</v>
      </c>
      <c r="EF368" s="16" t="str">
        <f t="shared" si="85"/>
        <v>E</v>
      </c>
      <c r="EG368" s="16">
        <f t="shared" si="86"/>
        <v>3</v>
      </c>
      <c r="EH368" s="16" t="str">
        <f t="shared" si="87"/>
        <v>Mercredi</v>
      </c>
      <c r="EI368" s="16" t="str">
        <f t="shared" si="88"/>
        <v/>
      </c>
      <c r="FB368" s="16" t="str">
        <f t="shared" si="91"/>
        <v/>
      </c>
      <c r="FC368" s="16" t="str">
        <f t="shared" si="92"/>
        <v/>
      </c>
      <c r="FD368" s="30">
        <f t="shared" si="83"/>
        <v>43586</v>
      </c>
      <c r="FE368" s="30" t="str">
        <f>+IFERROR(VLOOKUP(FD368,BDD,79,FALSE),"")</f>
        <v/>
      </c>
      <c r="FF368" s="30" t="str">
        <f>IFERROR(+VLOOKUP(FD368,BDD,80,FALSE),"")</f>
        <v/>
      </c>
      <c r="FG368" s="30" t="str">
        <f>+IFERROR(VLOOKUP(FD368,BDD,81,FALSE),"")</f>
        <v/>
      </c>
      <c r="FH368" s="30" t="str">
        <f>+IFERROR(VLOOKUP(FD368,BDD,82,FALSE),"")</f>
        <v/>
      </c>
      <c r="FW368" s="16" t="str">
        <f>Décembre!GB44</f>
        <v>522026</v>
      </c>
      <c r="FX368" s="16">
        <f>Décembre!GC44</f>
        <v>0</v>
      </c>
      <c r="HI368" s="85">
        <f>+Décembre!AB45</f>
        <v>46382</v>
      </c>
      <c r="HJ368" s="27" t="str">
        <f>+Décembre!AD45</f>
        <v/>
      </c>
      <c r="HK368" s="16">
        <f t="shared" si="93"/>
        <v>0</v>
      </c>
      <c r="HL368" s="16" t="str">
        <f>IF(AND(HI368&gt;=DATE(Identification!$B$60,5,1),HI368&lt;=DATE(Identification!$B$60,10,31),SUM(HK368:HK382)=12),"OUI","")</f>
        <v/>
      </c>
    </row>
    <row r="369" spans="1:220" x14ac:dyDescent="0.2">
      <c r="A369" s="16" t="str">
        <f t="shared" si="95"/>
        <v>Fiche info Avenant 4E4</v>
      </c>
      <c r="B369" s="16" t="str">
        <f t="shared" si="94"/>
        <v>Fiche info Avenant 4</v>
      </c>
      <c r="C369" s="27" t="s">
        <v>234</v>
      </c>
      <c r="D369" s="27">
        <v>4</v>
      </c>
      <c r="E369" s="16" t="s">
        <v>20</v>
      </c>
      <c r="F369" s="34" t="str">
        <f>IF(+'Fiche info Avenant 4'!$BC$10=0,"",'Fiche info Avenant 4'!$BC$10)</f>
        <v/>
      </c>
      <c r="G369" s="16">
        <f t="shared" si="89"/>
        <v>0</v>
      </c>
      <c r="BX369" s="16" t="str">
        <f t="shared" si="90"/>
        <v>Fiche info Avenant 4E4</v>
      </c>
      <c r="BY369" s="431">
        <f>'Fiche info Avenant 4'!$AT$10</f>
        <v>0</v>
      </c>
      <c r="BZ369" s="431">
        <f>'Fiche info Avenant 4'!$AU$10</f>
        <v>0</v>
      </c>
      <c r="CA369" s="431">
        <f>'Fiche info Avenant 4'!$AV$10</f>
        <v>0</v>
      </c>
      <c r="CB369" s="431">
        <f>'Fiche info Avenant 4'!$AW$10</f>
        <v>0</v>
      </c>
      <c r="CC369" s="431">
        <f>'Fiche info Avenant 4'!$AX$10</f>
        <v>0</v>
      </c>
      <c r="CD369" s="431">
        <f>'Fiche info Avenant 4'!$AY$10</f>
        <v>0</v>
      </c>
      <c r="CE369" s="431">
        <f>'Fiche info Avenant 4'!$AZ$10</f>
        <v>0</v>
      </c>
      <c r="CF369" s="431">
        <f>'Fiche info Avenant 4'!$BA$10</f>
        <v>0</v>
      </c>
      <c r="ED369" s="16" t="str">
        <f t="shared" si="82"/>
        <v>Fiche info Avenant 4E</v>
      </c>
      <c r="EE369" s="16" t="str">
        <f t="shared" si="84"/>
        <v>Fiche info Avenant 4</v>
      </c>
      <c r="EF369" s="16" t="str">
        <f t="shared" si="85"/>
        <v>E</v>
      </c>
      <c r="EG369" s="16">
        <f t="shared" si="86"/>
        <v>4</v>
      </c>
      <c r="EH369" s="16" t="str">
        <f t="shared" si="87"/>
        <v>Jeudi</v>
      </c>
      <c r="EI369" s="16" t="str">
        <f t="shared" si="88"/>
        <v/>
      </c>
      <c r="FB369" s="16" t="str">
        <f t="shared" si="91"/>
        <v/>
      </c>
      <c r="FC369" s="16" t="str">
        <f t="shared" si="92"/>
        <v/>
      </c>
      <c r="FD369" s="30">
        <f t="shared" si="83"/>
        <v>43586</v>
      </c>
      <c r="FE369" s="30" t="str">
        <f>+IFERROR(VLOOKUP(FD369,BDD,83,FALSE),"")</f>
        <v/>
      </c>
      <c r="FF369" s="30" t="str">
        <f>+IFERROR(VLOOKUP(FD369,BDD,84,FALSE),"")</f>
        <v/>
      </c>
      <c r="FG369" s="30" t="str">
        <f>+IFERROR(VLOOKUP(FD369,BDD,85,FALSE),"")</f>
        <v/>
      </c>
      <c r="FH369" s="30" t="str">
        <f>+IFERROR(VLOOKUP(FD369,BDD,86,FALSE),"")</f>
        <v/>
      </c>
      <c r="FW369" s="16" t="str">
        <f>Décembre!GB45</f>
        <v>522026</v>
      </c>
      <c r="FX369" s="16">
        <f>Décembre!GC45</f>
        <v>0</v>
      </c>
      <c r="HI369" s="85">
        <f>+Décembre!AB46</f>
        <v>46383</v>
      </c>
      <c r="HJ369" s="27" t="str">
        <f>+Décembre!AD46</f>
        <v/>
      </c>
      <c r="HK369" s="16">
        <f t="shared" si="93"/>
        <v>0</v>
      </c>
      <c r="HL369" s="16" t="str">
        <f>IF(AND(HI369&gt;=DATE(Identification!$B$60,5,1),HI369&lt;=DATE(Identification!$B$60,10,31),SUM(HK369:HK383)=12),"OUI","")</f>
        <v/>
      </c>
    </row>
    <row r="370" spans="1:220" x14ac:dyDescent="0.2">
      <c r="A370" s="16" t="str">
        <f t="shared" si="95"/>
        <v>Fiche info Avenant 4E5</v>
      </c>
      <c r="B370" s="16" t="str">
        <f t="shared" si="94"/>
        <v>Fiche info Avenant 4</v>
      </c>
      <c r="C370" s="27" t="s">
        <v>234</v>
      </c>
      <c r="D370" s="27">
        <v>5</v>
      </c>
      <c r="E370" s="16" t="s">
        <v>21</v>
      </c>
      <c r="F370" s="34" t="str">
        <f>IF(+'Fiche info Avenant 4'!$BC$11=0,"",'Fiche info Avenant 4'!$BC$11)</f>
        <v/>
      </c>
      <c r="G370" s="16">
        <f t="shared" si="89"/>
        <v>0</v>
      </c>
      <c r="BX370" s="16" t="str">
        <f t="shared" si="90"/>
        <v>Fiche info Avenant 4E5</v>
      </c>
      <c r="BY370" s="431">
        <f>'Fiche info Avenant 4'!$AT$11</f>
        <v>0</v>
      </c>
      <c r="BZ370" s="431">
        <f>'Fiche info Avenant 4'!$AU$11</f>
        <v>0</v>
      </c>
      <c r="CA370" s="431">
        <f>'Fiche info Avenant 4'!$AV$11</f>
        <v>0</v>
      </c>
      <c r="CB370" s="431">
        <f>'Fiche info Avenant 4'!$AW$11</f>
        <v>0</v>
      </c>
      <c r="CC370" s="431">
        <f>'Fiche info Avenant 4'!$AX$11</f>
        <v>0</v>
      </c>
      <c r="CD370" s="431">
        <f>'Fiche info Avenant 4'!$AY$11</f>
        <v>0</v>
      </c>
      <c r="CE370" s="431">
        <f>'Fiche info Avenant 4'!$AZ$11</f>
        <v>0</v>
      </c>
      <c r="CF370" s="431">
        <f>'Fiche info Avenant 4'!$BA$11</f>
        <v>0</v>
      </c>
      <c r="ED370" s="16" t="str">
        <f t="shared" si="82"/>
        <v>Fiche info Avenant 4E</v>
      </c>
      <c r="EE370" s="16" t="str">
        <f t="shared" si="84"/>
        <v>Fiche info Avenant 4</v>
      </c>
      <c r="EF370" s="16" t="str">
        <f t="shared" si="85"/>
        <v>E</v>
      </c>
      <c r="EG370" s="16">
        <f t="shared" si="86"/>
        <v>5</v>
      </c>
      <c r="EH370" s="16" t="str">
        <f t="shared" si="87"/>
        <v>Vendredi</v>
      </c>
      <c r="EI370" s="16" t="str">
        <f t="shared" si="88"/>
        <v/>
      </c>
      <c r="FB370" s="16" t="str">
        <f t="shared" si="91"/>
        <v/>
      </c>
      <c r="FC370" s="16" t="str">
        <f t="shared" si="92"/>
        <v/>
      </c>
      <c r="FD370" s="30">
        <f t="shared" si="83"/>
        <v>43556</v>
      </c>
      <c r="FE370" s="30" t="str">
        <f>+IFERROR(VLOOKUP(FD370,BDD,71,FALSE),"")</f>
        <v/>
      </c>
      <c r="FF370" s="30" t="str">
        <f>IFERROR(+VLOOKUP(FD370,BDD,72,FALSE),"")</f>
        <v/>
      </c>
      <c r="FG370" s="30" t="str">
        <f>+IFERROR(VLOOKUP(FD370,BDD,73,FALSE),"")</f>
        <v/>
      </c>
      <c r="FH370" s="30" t="str">
        <f>+IFERROR(VLOOKUP(FD370,BDD,74,FALSE),"")</f>
        <v/>
      </c>
      <c r="FW370" s="16" t="str">
        <f>Décembre!GB46</f>
        <v>522026</v>
      </c>
      <c r="FX370" s="16">
        <f>Décembre!GC46</f>
        <v>0</v>
      </c>
      <c r="HI370" s="85">
        <f>+Décembre!AB47</f>
        <v>46384</v>
      </c>
      <c r="HJ370" s="27" t="str">
        <f>+Décembre!AD47</f>
        <v/>
      </c>
      <c r="HK370" s="16">
        <f t="shared" si="93"/>
        <v>0</v>
      </c>
      <c r="HL370" s="16" t="str">
        <f>IF(AND(HI370&gt;=DATE(Identification!$B$60,5,1),HI370&lt;=DATE(Identification!$B$60,10,31),SUM(HK370:HK384)=12),"OUI","")</f>
        <v/>
      </c>
    </row>
    <row r="371" spans="1:220" x14ac:dyDescent="0.2">
      <c r="A371" s="16" t="str">
        <f t="shared" si="95"/>
        <v>Fiche info Avenant 4E6</v>
      </c>
      <c r="B371" s="16" t="str">
        <f t="shared" si="94"/>
        <v>Fiche info Avenant 4</v>
      </c>
      <c r="C371" s="27" t="s">
        <v>234</v>
      </c>
      <c r="D371" s="27">
        <v>6</v>
      </c>
      <c r="E371" s="16" t="s">
        <v>184</v>
      </c>
      <c r="F371" s="34" t="str">
        <f>IF(+'Fiche info Avenant 4'!$BC$12=0,"",'Fiche info Avenant 4'!$BC$12)</f>
        <v/>
      </c>
      <c r="G371" s="16">
        <f t="shared" si="89"/>
        <v>0</v>
      </c>
      <c r="BX371" s="16" t="str">
        <f t="shared" si="90"/>
        <v>Fiche info Avenant 4E6</v>
      </c>
      <c r="BY371" s="431">
        <f>'Fiche info Avenant 4'!$AT$12</f>
        <v>0</v>
      </c>
      <c r="BZ371" s="431">
        <f>'Fiche info Avenant 4'!$AU$12</f>
        <v>0</v>
      </c>
      <c r="CA371" s="431">
        <f>'Fiche info Avenant 4'!$AV$12</f>
        <v>0</v>
      </c>
      <c r="CB371" s="431">
        <f>'Fiche info Avenant 4'!$AW$12</f>
        <v>0</v>
      </c>
      <c r="CC371" s="431">
        <f>'Fiche info Avenant 4'!$AX$12</f>
        <v>0</v>
      </c>
      <c r="CD371" s="431">
        <f>'Fiche info Avenant 4'!$AY$12</f>
        <v>0</v>
      </c>
      <c r="CE371" s="431">
        <f>'Fiche info Avenant 4'!$AZ$12</f>
        <v>0</v>
      </c>
      <c r="CF371" s="431">
        <f>'Fiche info Avenant 4'!$BA$12</f>
        <v>0</v>
      </c>
      <c r="ED371" s="16" t="str">
        <f t="shared" ref="ED371:ED434" si="96">+EE371&amp;EF371</f>
        <v>Fiche info Avenant 4E</v>
      </c>
      <c r="EE371" s="16" t="str">
        <f t="shared" si="84"/>
        <v>Fiche info Avenant 4</v>
      </c>
      <c r="EF371" s="16" t="str">
        <f t="shared" si="85"/>
        <v>E</v>
      </c>
      <c r="EG371" s="16">
        <f t="shared" si="86"/>
        <v>6</v>
      </c>
      <c r="EH371" s="16" t="str">
        <f t="shared" si="87"/>
        <v>Samedi</v>
      </c>
      <c r="EI371" s="16" t="str">
        <f t="shared" si="88"/>
        <v/>
      </c>
      <c r="FB371" s="16" t="str">
        <f t="shared" si="91"/>
        <v/>
      </c>
      <c r="FC371" s="16" t="str">
        <f t="shared" si="92"/>
        <v/>
      </c>
      <c r="FD371" s="30">
        <f t="shared" si="83"/>
        <v>43556</v>
      </c>
      <c r="FE371" s="30" t="str">
        <f>+IFERROR(VLOOKUP(FD371,BDD,75,FALSE),"")</f>
        <v/>
      </c>
      <c r="FF371" s="30" t="str">
        <f>+IFERROR(VLOOKUP(FD371,BDD,76,FALSE),"")</f>
        <v/>
      </c>
      <c r="FG371" s="30" t="str">
        <f>IFERROR(+VLOOKUP(FD371,BDD,77,FALSE),"")</f>
        <v/>
      </c>
      <c r="FH371" s="30" t="str">
        <f>+IFERROR(VLOOKUP(FD371,BDD,78,FALSE),"")</f>
        <v/>
      </c>
      <c r="FW371" s="16" t="str">
        <f>Décembre!GB47</f>
        <v>532026</v>
      </c>
      <c r="FX371" s="16">
        <f>Décembre!GC47</f>
        <v>0</v>
      </c>
      <c r="HI371" s="85">
        <f>+Décembre!AB48</f>
        <v>46385</v>
      </c>
      <c r="HJ371" s="27" t="str">
        <f>+Décembre!AD48</f>
        <v/>
      </c>
      <c r="HK371" s="16">
        <f t="shared" si="93"/>
        <v>0</v>
      </c>
      <c r="HL371" s="16" t="str">
        <f>IF(AND(HI371&gt;=DATE(Identification!$B$60,5,1),HI371&lt;=DATE(Identification!$B$60,10,31),SUM(HK371:HK385)=12),"OUI","")</f>
        <v/>
      </c>
    </row>
    <row r="372" spans="1:220" x14ac:dyDescent="0.2">
      <c r="A372" s="16" t="str">
        <f t="shared" si="95"/>
        <v>Fiche info Avenant 4E7</v>
      </c>
      <c r="B372" s="16" t="str">
        <f t="shared" si="94"/>
        <v>Fiche info Avenant 4</v>
      </c>
      <c r="C372" s="27" t="s">
        <v>234</v>
      </c>
      <c r="D372" s="27">
        <v>7</v>
      </c>
      <c r="E372" s="16" t="s">
        <v>185</v>
      </c>
      <c r="F372" s="34" t="str">
        <f>IF(+'Fiche info Avenant 4'!$BC$13=0,"",'Fiche info Avenant 4'!$BC$13)</f>
        <v/>
      </c>
      <c r="G372" s="16">
        <f t="shared" si="89"/>
        <v>0</v>
      </c>
      <c r="BX372" s="16" t="str">
        <f t="shared" si="90"/>
        <v>Fiche info Avenant 4E7</v>
      </c>
      <c r="BY372" s="431">
        <f>'Fiche info Avenant 4'!$AT$13</f>
        <v>0</v>
      </c>
      <c r="BZ372" s="431">
        <f>'Fiche info Avenant 4'!$AU$13</f>
        <v>0</v>
      </c>
      <c r="CA372" s="431">
        <f>'Fiche info Avenant 4'!$AV$13</f>
        <v>0</v>
      </c>
      <c r="CB372" s="431">
        <f>'Fiche info Avenant 4'!$AW$13</f>
        <v>0</v>
      </c>
      <c r="CC372" s="431">
        <f>'Fiche info Avenant 4'!$AX$13</f>
        <v>0</v>
      </c>
      <c r="CD372" s="431">
        <f>'Fiche info Avenant 4'!$AY$13</f>
        <v>0</v>
      </c>
      <c r="CE372" s="431">
        <f>'Fiche info Avenant 4'!$AZ$13</f>
        <v>0</v>
      </c>
      <c r="CF372" s="431">
        <f>'Fiche info Avenant 4'!$BA$13</f>
        <v>0</v>
      </c>
      <c r="ED372" s="16" t="str">
        <f t="shared" si="96"/>
        <v>Fiche info Avenant 4E</v>
      </c>
      <c r="EE372" s="16" t="str">
        <f t="shared" si="84"/>
        <v>Fiche info Avenant 4</v>
      </c>
      <c r="EF372" s="16" t="str">
        <f t="shared" si="85"/>
        <v>E</v>
      </c>
      <c r="EG372" s="16">
        <f t="shared" si="86"/>
        <v>7</v>
      </c>
      <c r="EH372" s="16" t="str">
        <f t="shared" si="87"/>
        <v>Dimanche</v>
      </c>
      <c r="EI372" s="16" t="str">
        <f t="shared" si="88"/>
        <v/>
      </c>
      <c r="FB372" s="16" t="str">
        <f t="shared" si="91"/>
        <v/>
      </c>
      <c r="FC372" s="16" t="str">
        <f t="shared" si="92"/>
        <v/>
      </c>
      <c r="FD372" s="30">
        <f t="shared" si="83"/>
        <v>43556</v>
      </c>
      <c r="FE372" s="30" t="str">
        <f>+IFERROR(VLOOKUP(FD372,BDD,79,FALSE),"")</f>
        <v/>
      </c>
      <c r="FF372" s="30" t="str">
        <f>IFERROR(+VLOOKUP(FD372,BDD,80,FALSE),"")</f>
        <v/>
      </c>
      <c r="FG372" s="30" t="str">
        <f>+IFERROR(VLOOKUP(FD372,BDD,81,FALSE),"")</f>
        <v/>
      </c>
      <c r="FH372" s="30" t="str">
        <f>+IFERROR(VLOOKUP(FD372,BDD,82,FALSE),"")</f>
        <v/>
      </c>
      <c r="FW372" s="16" t="str">
        <f>Décembre!GB48</f>
        <v>532026</v>
      </c>
      <c r="FX372" s="16">
        <f>Décembre!GC48</f>
        <v>0</v>
      </c>
      <c r="HI372" s="85">
        <f>+Décembre!AB49</f>
        <v>46386</v>
      </c>
      <c r="HJ372" s="27" t="str">
        <f>+Décembre!AD49</f>
        <v/>
      </c>
      <c r="HK372" s="16">
        <f t="shared" si="93"/>
        <v>0</v>
      </c>
      <c r="HL372" s="16" t="str">
        <f>IF(AND(HI372&gt;=DATE(Identification!$B$60,5,1),HI372&lt;=DATE(Identification!$B$60,10,31),SUM(HK372:HK386)=12),"OUI","")</f>
        <v/>
      </c>
    </row>
    <row r="373" spans="1:220" x14ac:dyDescent="0.2">
      <c r="A373" s="16" t="str">
        <f t="shared" si="95"/>
        <v>Fiche info Avenant 4F1</v>
      </c>
      <c r="B373" s="16" t="str">
        <f t="shared" si="94"/>
        <v>Fiche info Avenant 4</v>
      </c>
      <c r="C373" s="27" t="s">
        <v>235</v>
      </c>
      <c r="D373" s="27">
        <v>1</v>
      </c>
      <c r="E373" s="16" t="s">
        <v>17</v>
      </c>
      <c r="F373" s="34" t="str">
        <f>+IF('Fiche info Avenant 4'!$BN$7=0,"",'Fiche info Avenant 4'!$BN$7)</f>
        <v/>
      </c>
      <c r="G373" s="16">
        <f t="shared" si="89"/>
        <v>0</v>
      </c>
      <c r="BX373" s="16" t="str">
        <f t="shared" si="90"/>
        <v>Fiche info Avenant 4F1</v>
      </c>
      <c r="BY373" s="431">
        <f>'Fiche info Avenant 4'!$BE$7</f>
        <v>0</v>
      </c>
      <c r="BZ373" s="431">
        <f>'Fiche info Avenant 4'!$BF$7</f>
        <v>0</v>
      </c>
      <c r="CA373" s="431">
        <f>'Fiche info Avenant 4'!$BG$7</f>
        <v>0</v>
      </c>
      <c r="CB373" s="431">
        <f>'Fiche info Avenant 4'!$BH$7</f>
        <v>0</v>
      </c>
      <c r="CC373" s="431">
        <f>'Fiche info Avenant 4'!$BI$7</f>
        <v>0</v>
      </c>
      <c r="CD373" s="431">
        <f>'Fiche info Avenant 4'!$BJ$7</f>
        <v>0</v>
      </c>
      <c r="CE373" s="431">
        <f>'Fiche info Avenant 4'!$BK$7</f>
        <v>0</v>
      </c>
      <c r="CF373" s="431">
        <f>'Fiche info Avenant 4'!$BL$7</f>
        <v>0</v>
      </c>
      <c r="ED373" s="16" t="str">
        <f t="shared" si="96"/>
        <v>Fiche info Avenant 4F</v>
      </c>
      <c r="EE373" s="16" t="str">
        <f t="shared" si="84"/>
        <v>Fiche info Avenant 4</v>
      </c>
      <c r="EF373" s="16" t="str">
        <f t="shared" si="85"/>
        <v>F</v>
      </c>
      <c r="EG373" s="16">
        <f t="shared" si="86"/>
        <v>1</v>
      </c>
      <c r="EH373" s="16" t="str">
        <f t="shared" si="87"/>
        <v>Lundi</v>
      </c>
      <c r="EI373" s="16" t="str">
        <f t="shared" si="88"/>
        <v/>
      </c>
      <c r="FB373" s="16" t="str">
        <f t="shared" si="91"/>
        <v/>
      </c>
      <c r="FC373" s="16" t="str">
        <f t="shared" si="92"/>
        <v/>
      </c>
      <c r="FD373" s="30">
        <f t="shared" si="83"/>
        <v>43556</v>
      </c>
      <c r="FE373" s="30" t="str">
        <f>+IFERROR(VLOOKUP(FD373,BDD,83,FALSE),"")</f>
        <v/>
      </c>
      <c r="FF373" s="30" t="str">
        <f>+IFERROR(VLOOKUP(FD373,BDD,84,FALSE),"")</f>
        <v/>
      </c>
      <c r="FG373" s="30" t="str">
        <f>+IFERROR(VLOOKUP(FD373,BDD,85,FALSE),"")</f>
        <v/>
      </c>
      <c r="FH373" s="30" t="str">
        <f>+IFERROR(VLOOKUP(FD373,BDD,86,FALSE),"")</f>
        <v/>
      </c>
      <c r="FW373" s="16" t="str">
        <f>Décembre!GB49</f>
        <v>532026</v>
      </c>
      <c r="FX373" s="16">
        <f>Décembre!GC49</f>
        <v>0</v>
      </c>
      <c r="HI373" s="85">
        <f>+Décembre!AB50</f>
        <v>46387</v>
      </c>
      <c r="HJ373" s="27" t="str">
        <f>+Décembre!AD50</f>
        <v/>
      </c>
      <c r="HK373" s="16">
        <f t="shared" si="93"/>
        <v>0</v>
      </c>
      <c r="HL373" s="16" t="str">
        <f>IF(AND(HI373&gt;=DATE(Identification!$B$60,5,1),HI373&lt;=DATE(Identification!$B$60,10,31),SUM(HK373:HK387)=12),"OUI","")</f>
        <v/>
      </c>
    </row>
    <row r="374" spans="1:220" x14ac:dyDescent="0.2">
      <c r="A374" s="16" t="str">
        <f t="shared" si="95"/>
        <v>Fiche info Avenant 4F2</v>
      </c>
      <c r="B374" s="16" t="str">
        <f t="shared" si="94"/>
        <v>Fiche info Avenant 4</v>
      </c>
      <c r="C374" s="27" t="s">
        <v>235</v>
      </c>
      <c r="D374" s="27">
        <v>2</v>
      </c>
      <c r="E374" s="16" t="s">
        <v>18</v>
      </c>
      <c r="F374" s="34" t="str">
        <f>+IF('Fiche info Avenant 4'!$BN$8=0,"",'Fiche info Avenant 4'!$BN$8)</f>
        <v/>
      </c>
      <c r="G374" s="16">
        <f t="shared" si="89"/>
        <v>0</v>
      </c>
      <c r="BX374" s="16" t="str">
        <f t="shared" si="90"/>
        <v>Fiche info Avenant 4F2</v>
      </c>
      <c r="BY374" s="431">
        <f>'Fiche info Avenant 4'!$BE$8</f>
        <v>0</v>
      </c>
      <c r="BZ374" s="431">
        <f>'Fiche info Avenant 4'!$BF$8</f>
        <v>0</v>
      </c>
      <c r="CA374" s="431">
        <f>'Fiche info Avenant 4'!$BG$8</f>
        <v>0</v>
      </c>
      <c r="CB374" s="431">
        <f>'Fiche info Avenant 4'!$BH$8</f>
        <v>0</v>
      </c>
      <c r="CC374" s="431">
        <f>'Fiche info Avenant 4'!$BI$8</f>
        <v>0</v>
      </c>
      <c r="CD374" s="431">
        <f>'Fiche info Avenant 4'!$BJ$8</f>
        <v>0</v>
      </c>
      <c r="CE374" s="431">
        <f>'Fiche info Avenant 4'!$BK$8</f>
        <v>0</v>
      </c>
      <c r="CF374" s="431">
        <f>'Fiche info Avenant 4'!$BL$8</f>
        <v>0</v>
      </c>
      <c r="ED374" s="16" t="str">
        <f t="shared" si="96"/>
        <v>Fiche info Avenant 4F</v>
      </c>
      <c r="EE374" s="16" t="str">
        <f t="shared" si="84"/>
        <v>Fiche info Avenant 4</v>
      </c>
      <c r="EF374" s="16" t="str">
        <f t="shared" si="85"/>
        <v>F</v>
      </c>
      <c r="EG374" s="16">
        <f t="shared" si="86"/>
        <v>2</v>
      </c>
      <c r="EH374" s="16" t="str">
        <f t="shared" si="87"/>
        <v>Mardi</v>
      </c>
      <c r="EI374" s="16" t="str">
        <f t="shared" si="88"/>
        <v/>
      </c>
      <c r="FB374" s="16" t="str">
        <f t="shared" si="91"/>
        <v/>
      </c>
      <c r="FC374" s="16" t="str">
        <f t="shared" si="92"/>
        <v/>
      </c>
      <c r="FD374" s="30">
        <f t="shared" si="83"/>
        <v>43525</v>
      </c>
      <c r="FE374" s="30" t="str">
        <f>+IFERROR(VLOOKUP(FD374,BDD,71,FALSE),"")</f>
        <v/>
      </c>
      <c r="FF374" s="30" t="str">
        <f>IFERROR(+VLOOKUP(FD374,BDD,72,FALSE),"")</f>
        <v/>
      </c>
      <c r="FG374" s="30" t="str">
        <f>+IFERROR(VLOOKUP(FD374,BDD,73,FALSE),"")</f>
        <v/>
      </c>
      <c r="FH374" s="30" t="str">
        <f>+IFERROR(VLOOKUP(FD374,BDD,74,FALSE),"")</f>
        <v/>
      </c>
      <c r="FW374" s="16" t="str">
        <f>Décembre!GB50</f>
        <v>532026</v>
      </c>
      <c r="FX374" s="16">
        <f>Décembre!GC50</f>
        <v>0</v>
      </c>
    </row>
    <row r="375" spans="1:220" x14ac:dyDescent="0.2">
      <c r="A375" s="16" t="str">
        <f t="shared" si="95"/>
        <v>Fiche info Avenant 4F3</v>
      </c>
      <c r="B375" s="16" t="str">
        <f t="shared" si="94"/>
        <v>Fiche info Avenant 4</v>
      </c>
      <c r="C375" s="27" t="s">
        <v>235</v>
      </c>
      <c r="D375" s="27">
        <v>3</v>
      </c>
      <c r="E375" s="16" t="s">
        <v>19</v>
      </c>
      <c r="F375" s="34" t="str">
        <f>+IF('Fiche info Avenant 4'!$BN$9=0,"",'Fiche info Avenant 4'!$BN$9)</f>
        <v/>
      </c>
      <c r="G375" s="16">
        <f t="shared" si="89"/>
        <v>0</v>
      </c>
      <c r="BX375" s="16" t="str">
        <f t="shared" si="90"/>
        <v>Fiche info Avenant 4F3</v>
      </c>
      <c r="BY375" s="431">
        <f>'Fiche info Avenant 4'!$BE$9</f>
        <v>0</v>
      </c>
      <c r="BZ375" s="431">
        <f>'Fiche info Avenant 4'!$BF$9</f>
        <v>0</v>
      </c>
      <c r="CA375" s="431">
        <f>'Fiche info Avenant 4'!$BG$9</f>
        <v>0</v>
      </c>
      <c r="CB375" s="431">
        <f>'Fiche info Avenant 4'!$BH$9</f>
        <v>0</v>
      </c>
      <c r="CC375" s="431">
        <f>'Fiche info Avenant 4'!$BI$9</f>
        <v>0</v>
      </c>
      <c r="CD375" s="431">
        <f>'Fiche info Avenant 4'!$BJ$9</f>
        <v>0</v>
      </c>
      <c r="CE375" s="431">
        <f>'Fiche info Avenant 4'!$BK$9</f>
        <v>0</v>
      </c>
      <c r="CF375" s="431">
        <f>'Fiche info Avenant 4'!$BL$9</f>
        <v>0</v>
      </c>
      <c r="ED375" s="16" t="str">
        <f t="shared" si="96"/>
        <v>Fiche info Avenant 4F</v>
      </c>
      <c r="EE375" s="16" t="str">
        <f t="shared" si="84"/>
        <v>Fiche info Avenant 4</v>
      </c>
      <c r="EF375" s="16" t="str">
        <f t="shared" si="85"/>
        <v>F</v>
      </c>
      <c r="EG375" s="16">
        <f t="shared" si="86"/>
        <v>3</v>
      </c>
      <c r="EH375" s="16" t="str">
        <f t="shared" si="87"/>
        <v>Mercredi</v>
      </c>
      <c r="EI375" s="16" t="str">
        <f t="shared" si="88"/>
        <v/>
      </c>
      <c r="FB375" s="16" t="str">
        <f t="shared" si="91"/>
        <v/>
      </c>
      <c r="FC375" s="16" t="str">
        <f t="shared" si="92"/>
        <v/>
      </c>
      <c r="FD375" s="30">
        <f t="shared" si="83"/>
        <v>43525</v>
      </c>
      <c r="FE375" s="30" t="str">
        <f>+IFERROR(VLOOKUP(FD375,BDD,75,FALSE),"")</f>
        <v/>
      </c>
      <c r="FF375" s="30" t="str">
        <f>+IFERROR(VLOOKUP(FD375,BDD,76,FALSE),"")</f>
        <v/>
      </c>
      <c r="FG375" s="30" t="str">
        <f>IFERROR(+VLOOKUP(FD375,BDD,77,FALSE),"")</f>
        <v/>
      </c>
      <c r="FH375" s="30" t="str">
        <f>+IFERROR(VLOOKUP(FD375,BDD,78,FALSE),"")</f>
        <v/>
      </c>
    </row>
    <row r="376" spans="1:220" x14ac:dyDescent="0.2">
      <c r="A376" s="16" t="str">
        <f t="shared" si="95"/>
        <v>Fiche info Avenant 4F4</v>
      </c>
      <c r="B376" s="16" t="str">
        <f t="shared" si="94"/>
        <v>Fiche info Avenant 4</v>
      </c>
      <c r="C376" s="27" t="s">
        <v>235</v>
      </c>
      <c r="D376" s="27">
        <v>4</v>
      </c>
      <c r="E376" s="16" t="s">
        <v>20</v>
      </c>
      <c r="F376" s="34" t="str">
        <f>+IF('Fiche info Avenant 4'!$BN$10=0,"",'Fiche info Avenant 4'!$BN$10)</f>
        <v/>
      </c>
      <c r="G376" s="16">
        <f t="shared" si="89"/>
        <v>0</v>
      </c>
      <c r="BX376" s="16" t="str">
        <f t="shared" si="90"/>
        <v>Fiche info Avenant 4F4</v>
      </c>
      <c r="BY376" s="431">
        <f>'Fiche info Avenant 4'!$BE$10</f>
        <v>0</v>
      </c>
      <c r="BZ376" s="431">
        <f>'Fiche info Avenant 4'!$BF$10</f>
        <v>0</v>
      </c>
      <c r="CA376" s="431">
        <f>'Fiche info Avenant 4'!$BG$10</f>
        <v>0</v>
      </c>
      <c r="CB376" s="431">
        <f>'Fiche info Avenant 4'!$BH$10</f>
        <v>0</v>
      </c>
      <c r="CC376" s="431">
        <f>'Fiche info Avenant 4'!$BI$10</f>
        <v>0</v>
      </c>
      <c r="CD376" s="431">
        <f>'Fiche info Avenant 4'!$BJ$10</f>
        <v>0</v>
      </c>
      <c r="CE376" s="431">
        <f>'Fiche info Avenant 4'!$BK$10</f>
        <v>0</v>
      </c>
      <c r="CF376" s="431">
        <f>'Fiche info Avenant 4'!$BL$10</f>
        <v>0</v>
      </c>
      <c r="ED376" s="16" t="str">
        <f t="shared" si="96"/>
        <v>Fiche info Avenant 4F</v>
      </c>
      <c r="EE376" s="16" t="str">
        <f t="shared" si="84"/>
        <v>Fiche info Avenant 4</v>
      </c>
      <c r="EF376" s="16" t="str">
        <f t="shared" si="85"/>
        <v>F</v>
      </c>
      <c r="EG376" s="16">
        <f t="shared" si="86"/>
        <v>4</v>
      </c>
      <c r="EH376" s="16" t="str">
        <f t="shared" si="87"/>
        <v>Jeudi</v>
      </c>
      <c r="EI376" s="16" t="str">
        <f t="shared" si="88"/>
        <v/>
      </c>
      <c r="FB376" s="16" t="str">
        <f t="shared" si="91"/>
        <v/>
      </c>
      <c r="FC376" s="16" t="str">
        <f t="shared" si="92"/>
        <v/>
      </c>
      <c r="FD376" s="30">
        <f t="shared" si="83"/>
        <v>43525</v>
      </c>
      <c r="FE376" s="30" t="str">
        <f>+IFERROR(VLOOKUP(FD376,BDD,79,FALSE),"")</f>
        <v/>
      </c>
      <c r="FF376" s="30" t="str">
        <f>IFERROR(+VLOOKUP(FD376,BDD,80,FALSE),"")</f>
        <v/>
      </c>
      <c r="FG376" s="30" t="str">
        <f>+IFERROR(VLOOKUP(FD376,BDD,81,FALSE),"")</f>
        <v/>
      </c>
      <c r="FH376" s="30" t="str">
        <f>+IFERROR(VLOOKUP(FD376,BDD,82,FALSE),"")</f>
        <v/>
      </c>
    </row>
    <row r="377" spans="1:220" x14ac:dyDescent="0.2">
      <c r="A377" s="16" t="str">
        <f t="shared" si="95"/>
        <v>Fiche info Avenant 4F5</v>
      </c>
      <c r="B377" s="16" t="str">
        <f t="shared" si="94"/>
        <v>Fiche info Avenant 4</v>
      </c>
      <c r="C377" s="27" t="s">
        <v>235</v>
      </c>
      <c r="D377" s="27">
        <v>5</v>
      </c>
      <c r="E377" s="16" t="s">
        <v>21</v>
      </c>
      <c r="F377" s="34" t="str">
        <f>+IF('Fiche info Avenant 4'!$BN$11=0,"",'Fiche info Avenant 4'!$BN$11)</f>
        <v/>
      </c>
      <c r="G377" s="16">
        <f t="shared" si="89"/>
        <v>0</v>
      </c>
      <c r="BX377" s="16" t="str">
        <f t="shared" si="90"/>
        <v>Fiche info Avenant 4F5</v>
      </c>
      <c r="BY377" s="431">
        <f>'Fiche info Avenant 4'!$BE$11</f>
        <v>0</v>
      </c>
      <c r="BZ377" s="431">
        <f>'Fiche info Avenant 4'!$BF$11</f>
        <v>0</v>
      </c>
      <c r="CA377" s="431">
        <f>'Fiche info Avenant 4'!$BG$11</f>
        <v>0</v>
      </c>
      <c r="CB377" s="431">
        <f>'Fiche info Avenant 4'!$BH$11</f>
        <v>0</v>
      </c>
      <c r="CC377" s="431">
        <f>'Fiche info Avenant 4'!$BI$11</f>
        <v>0</v>
      </c>
      <c r="CD377" s="431">
        <f>'Fiche info Avenant 4'!$BJ$11</f>
        <v>0</v>
      </c>
      <c r="CE377" s="431">
        <f>'Fiche info Avenant 4'!$BK$11</f>
        <v>0</v>
      </c>
      <c r="CF377" s="431">
        <f>'Fiche info Avenant 4'!$BL$11</f>
        <v>0</v>
      </c>
      <c r="ED377" s="16" t="str">
        <f t="shared" si="96"/>
        <v>Fiche info Avenant 4F</v>
      </c>
      <c r="EE377" s="16" t="str">
        <f t="shared" si="84"/>
        <v>Fiche info Avenant 4</v>
      </c>
      <c r="EF377" s="16" t="str">
        <f t="shared" si="85"/>
        <v>F</v>
      </c>
      <c r="EG377" s="16">
        <f t="shared" si="86"/>
        <v>5</v>
      </c>
      <c r="EH377" s="16" t="str">
        <f t="shared" si="87"/>
        <v>Vendredi</v>
      </c>
      <c r="EI377" s="16" t="str">
        <f t="shared" si="88"/>
        <v/>
      </c>
      <c r="FB377" s="16" t="str">
        <f t="shared" si="91"/>
        <v/>
      </c>
      <c r="FC377" s="16" t="str">
        <f t="shared" si="92"/>
        <v/>
      </c>
      <c r="FD377" s="30">
        <f t="shared" si="83"/>
        <v>43525</v>
      </c>
      <c r="FE377" s="30" t="str">
        <f>+IFERROR(VLOOKUP(FD377,BDD,83,FALSE),"")</f>
        <v/>
      </c>
      <c r="FF377" s="30" t="str">
        <f>+IFERROR(VLOOKUP(FD377,BDD,84,FALSE),"")</f>
        <v/>
      </c>
      <c r="FG377" s="30" t="str">
        <f>+IFERROR(VLOOKUP(FD377,BDD,85,FALSE),"")</f>
        <v/>
      </c>
      <c r="FH377" s="30" t="str">
        <f>+IFERROR(VLOOKUP(FD377,BDD,86,FALSE),"")</f>
        <v/>
      </c>
    </row>
    <row r="378" spans="1:220" x14ac:dyDescent="0.2">
      <c r="A378" s="16" t="str">
        <f t="shared" si="95"/>
        <v>Fiche info Avenant 4F6</v>
      </c>
      <c r="B378" s="16" t="str">
        <f t="shared" si="94"/>
        <v>Fiche info Avenant 4</v>
      </c>
      <c r="C378" s="27" t="s">
        <v>235</v>
      </c>
      <c r="D378" s="27">
        <v>6</v>
      </c>
      <c r="E378" s="16" t="s">
        <v>184</v>
      </c>
      <c r="F378" s="34" t="str">
        <f>+IF('Fiche info Avenant 4'!$BN$12=0,"",'Fiche info Avenant 4'!$BN$12)</f>
        <v/>
      </c>
      <c r="G378" s="16">
        <f t="shared" si="89"/>
        <v>0</v>
      </c>
      <c r="BX378" s="16" t="str">
        <f t="shared" si="90"/>
        <v>Fiche info Avenant 4F6</v>
      </c>
      <c r="BY378" s="431">
        <f>'Fiche info Avenant 4'!$BE$12</f>
        <v>0</v>
      </c>
      <c r="BZ378" s="431">
        <f>'Fiche info Avenant 4'!$BF$12</f>
        <v>0</v>
      </c>
      <c r="CA378" s="431">
        <f>'Fiche info Avenant 4'!$BG$12</f>
        <v>0</v>
      </c>
      <c r="CB378" s="431">
        <f>'Fiche info Avenant 4'!$BH$12</f>
        <v>0</v>
      </c>
      <c r="CC378" s="431">
        <f>'Fiche info Avenant 4'!$BI$12</f>
        <v>0</v>
      </c>
      <c r="CD378" s="431">
        <f>'Fiche info Avenant 4'!$BJ$12</f>
        <v>0</v>
      </c>
      <c r="CE378" s="431">
        <f>'Fiche info Avenant 4'!$BK$12</f>
        <v>0</v>
      </c>
      <c r="CF378" s="431">
        <f>'Fiche info Avenant 4'!$BL$12</f>
        <v>0</v>
      </c>
      <c r="ED378" s="16" t="str">
        <f t="shared" si="96"/>
        <v>Fiche info Avenant 4F</v>
      </c>
      <c r="EE378" s="16" t="str">
        <f t="shared" si="84"/>
        <v>Fiche info Avenant 4</v>
      </c>
      <c r="EF378" s="16" t="str">
        <f t="shared" si="85"/>
        <v>F</v>
      </c>
      <c r="EG378" s="16">
        <f t="shared" si="86"/>
        <v>6</v>
      </c>
      <c r="EH378" s="16" t="str">
        <f t="shared" si="87"/>
        <v>Samedi</v>
      </c>
      <c r="EI378" s="16" t="str">
        <f t="shared" si="88"/>
        <v/>
      </c>
      <c r="FB378" s="16" t="str">
        <f t="shared" si="91"/>
        <v/>
      </c>
      <c r="FC378" s="16" t="str">
        <f t="shared" si="92"/>
        <v/>
      </c>
      <c r="FD378" s="30">
        <f t="shared" si="83"/>
        <v>43497</v>
      </c>
      <c r="FE378" s="30" t="str">
        <f>+IFERROR(VLOOKUP(FD378,BDD,71,FALSE),"")</f>
        <v/>
      </c>
      <c r="FF378" s="30" t="str">
        <f>IFERROR(+VLOOKUP(FD378,BDD,72,FALSE),"")</f>
        <v/>
      </c>
      <c r="FG378" s="30" t="str">
        <f>+IFERROR(VLOOKUP(FD378,BDD,73,FALSE),"")</f>
        <v/>
      </c>
      <c r="FH378" s="30" t="str">
        <f>+IFERROR(VLOOKUP(FD378,BDD,74,FALSE),"")</f>
        <v/>
      </c>
    </row>
    <row r="379" spans="1:220" x14ac:dyDescent="0.2">
      <c r="A379" s="16" t="str">
        <f t="shared" si="95"/>
        <v>Fiche info Avenant 4F7</v>
      </c>
      <c r="B379" s="16" t="str">
        <f t="shared" si="94"/>
        <v>Fiche info Avenant 4</v>
      </c>
      <c r="C379" s="27" t="s">
        <v>235</v>
      </c>
      <c r="D379" s="27">
        <v>7</v>
      </c>
      <c r="E379" s="16" t="s">
        <v>185</v>
      </c>
      <c r="F379" s="34" t="str">
        <f>+IF('Fiche info Avenant 4'!$BN$13=0,"",'Fiche info Avenant 4'!$BN$13)</f>
        <v/>
      </c>
      <c r="G379" s="16">
        <f t="shared" si="89"/>
        <v>0</v>
      </c>
      <c r="BX379" s="16" t="str">
        <f t="shared" si="90"/>
        <v>Fiche info Avenant 4F7</v>
      </c>
      <c r="BY379" s="431">
        <f>'Fiche info Avenant 4'!$BE$13</f>
        <v>0</v>
      </c>
      <c r="BZ379" s="431">
        <f>'Fiche info Avenant 4'!$BF$13</f>
        <v>0</v>
      </c>
      <c r="CA379" s="431">
        <f>'Fiche info Avenant 4'!$BG$13</f>
        <v>0</v>
      </c>
      <c r="CB379" s="431">
        <f>'Fiche info Avenant 4'!$BH$13</f>
        <v>0</v>
      </c>
      <c r="CC379" s="431">
        <f>'Fiche info Avenant 4'!$BI$13</f>
        <v>0</v>
      </c>
      <c r="CD379" s="431">
        <f>'Fiche info Avenant 4'!$BJ$13</f>
        <v>0</v>
      </c>
      <c r="CE379" s="431">
        <f>'Fiche info Avenant 4'!$BK$13</f>
        <v>0</v>
      </c>
      <c r="CF379" s="431">
        <f>'Fiche info Avenant 4'!$BL$13</f>
        <v>0</v>
      </c>
      <c r="ED379" s="16" t="str">
        <f t="shared" si="96"/>
        <v>Fiche info Avenant 4F</v>
      </c>
      <c r="EE379" s="16" t="str">
        <f t="shared" si="84"/>
        <v>Fiche info Avenant 4</v>
      </c>
      <c r="EF379" s="16" t="str">
        <f t="shared" si="85"/>
        <v>F</v>
      </c>
      <c r="EG379" s="16">
        <f t="shared" si="86"/>
        <v>7</v>
      </c>
      <c r="EH379" s="16" t="str">
        <f t="shared" si="87"/>
        <v>Dimanche</v>
      </c>
      <c r="EI379" s="16" t="str">
        <f t="shared" si="88"/>
        <v/>
      </c>
      <c r="FB379" s="16" t="str">
        <f t="shared" si="91"/>
        <v/>
      </c>
      <c r="FC379" s="16" t="str">
        <f t="shared" si="92"/>
        <v/>
      </c>
      <c r="FD379" s="30">
        <f t="shared" ref="FD379:FD385" si="97">+DATE(YEAR(FD375),MONTH(FD375)-1,DAY(FD375))</f>
        <v>43497</v>
      </c>
      <c r="FE379" s="30" t="str">
        <f>+IFERROR(VLOOKUP(FD379,BDD,75,FALSE),"")</f>
        <v/>
      </c>
      <c r="FF379" s="30" t="str">
        <f>+IFERROR(VLOOKUP(FD379,BDD,76,FALSE),"")</f>
        <v/>
      </c>
      <c r="FG379" s="30" t="str">
        <f>IFERROR(+VLOOKUP(FD379,BDD,77,FALSE),"")</f>
        <v/>
      </c>
      <c r="FH379" s="30" t="str">
        <f>+IFERROR(VLOOKUP(FD379,BDD,78,FALSE),"")</f>
        <v/>
      </c>
    </row>
    <row r="380" spans="1:220" x14ac:dyDescent="0.2">
      <c r="A380" s="16" t="str">
        <f t="shared" si="95"/>
        <v>Fiche info Avenant 4G1</v>
      </c>
      <c r="B380" s="16" t="str">
        <f t="shared" si="94"/>
        <v>Fiche info Avenant 4</v>
      </c>
      <c r="C380" s="27" t="s">
        <v>236</v>
      </c>
      <c r="D380" s="27">
        <v>1</v>
      </c>
      <c r="E380" s="16" t="s">
        <v>17</v>
      </c>
      <c r="F380" s="34" t="str">
        <f>+IF('Fiche info Avenant 4'!$BY$7=0,"",'Fiche info Avenant 4'!$BY$7)</f>
        <v/>
      </c>
      <c r="G380" s="16">
        <f t="shared" si="89"/>
        <v>0</v>
      </c>
      <c r="BX380" s="16" t="str">
        <f t="shared" si="90"/>
        <v>Fiche info Avenant 4G1</v>
      </c>
      <c r="BY380" s="431">
        <f>'Fiche info Avenant 4'!$BP$7</f>
        <v>0</v>
      </c>
      <c r="BZ380" s="431">
        <f>'Fiche info Avenant 4'!$BQ$7</f>
        <v>0</v>
      </c>
      <c r="CA380" s="431">
        <f>'Fiche info Avenant 4'!$BR$7</f>
        <v>0</v>
      </c>
      <c r="CB380" s="431">
        <f>'Fiche info Avenant 4'!$BS$7</f>
        <v>0</v>
      </c>
      <c r="CC380" s="431">
        <f>'Fiche info Avenant 4'!$BT$7</f>
        <v>0</v>
      </c>
      <c r="CD380" s="431">
        <f>'Fiche info Avenant 4'!$BU$7</f>
        <v>0</v>
      </c>
      <c r="CE380" s="431">
        <f>'Fiche info Avenant 4'!$BV$7</f>
        <v>0</v>
      </c>
      <c r="CF380" s="431">
        <f>'Fiche info Avenant 4'!$BW$7</f>
        <v>0</v>
      </c>
      <c r="ED380" s="16" t="str">
        <f t="shared" si="96"/>
        <v>Fiche info Avenant 4G</v>
      </c>
      <c r="EE380" s="16" t="str">
        <f t="shared" si="84"/>
        <v>Fiche info Avenant 4</v>
      </c>
      <c r="EF380" s="16" t="str">
        <f t="shared" si="85"/>
        <v>G</v>
      </c>
      <c r="EG380" s="16">
        <f t="shared" si="86"/>
        <v>1</v>
      </c>
      <c r="EH380" s="16" t="str">
        <f t="shared" si="87"/>
        <v>Lundi</v>
      </c>
      <c r="EI380" s="16" t="str">
        <f t="shared" si="88"/>
        <v/>
      </c>
      <c r="FB380" s="16" t="str">
        <f t="shared" si="91"/>
        <v/>
      </c>
      <c r="FC380" s="16" t="str">
        <f t="shared" si="92"/>
        <v/>
      </c>
      <c r="FD380" s="30">
        <f t="shared" si="97"/>
        <v>43497</v>
      </c>
      <c r="FE380" s="30" t="str">
        <f>+IFERROR(VLOOKUP(FD380,BDD,79,FALSE),"")</f>
        <v/>
      </c>
      <c r="FF380" s="30" t="str">
        <f>IFERROR(+VLOOKUP(FD380,BDD,80,FALSE),"")</f>
        <v/>
      </c>
      <c r="FG380" s="30" t="str">
        <f>+IFERROR(VLOOKUP(FD380,BDD,81,FALSE),"")</f>
        <v/>
      </c>
      <c r="FH380" s="30" t="str">
        <f>+IFERROR(VLOOKUP(FD380,BDD,82,FALSE),"")</f>
        <v/>
      </c>
    </row>
    <row r="381" spans="1:220" x14ac:dyDescent="0.2">
      <c r="A381" s="16" t="str">
        <f t="shared" si="95"/>
        <v>Fiche info Avenant 4G2</v>
      </c>
      <c r="B381" s="16" t="str">
        <f t="shared" si="94"/>
        <v>Fiche info Avenant 4</v>
      </c>
      <c r="C381" s="27" t="s">
        <v>236</v>
      </c>
      <c r="D381" s="27">
        <v>2</v>
      </c>
      <c r="E381" s="16" t="s">
        <v>18</v>
      </c>
      <c r="F381" s="34" t="str">
        <f>+IF('Fiche info Avenant 4'!$BY$8=0,"",'Fiche info Avenant 4'!$BY$8)</f>
        <v/>
      </c>
      <c r="G381" s="16">
        <f t="shared" si="89"/>
        <v>0</v>
      </c>
      <c r="BX381" s="16" t="str">
        <f t="shared" si="90"/>
        <v>Fiche info Avenant 4G2</v>
      </c>
      <c r="BY381" s="431">
        <f>'Fiche info Avenant 4'!$BP$8</f>
        <v>0</v>
      </c>
      <c r="BZ381" s="431">
        <f>'Fiche info Avenant 4'!$BQ$8</f>
        <v>0</v>
      </c>
      <c r="CA381" s="431">
        <f>'Fiche info Avenant 4'!$BR$8</f>
        <v>0</v>
      </c>
      <c r="CB381" s="431">
        <f>'Fiche info Avenant 4'!$BS$8</f>
        <v>0</v>
      </c>
      <c r="CC381" s="431">
        <f>'Fiche info Avenant 4'!$BT$8</f>
        <v>0</v>
      </c>
      <c r="CD381" s="431">
        <f>'Fiche info Avenant 4'!$BU$8</f>
        <v>0</v>
      </c>
      <c r="CE381" s="431">
        <f>'Fiche info Avenant 4'!$BV$8</f>
        <v>0</v>
      </c>
      <c r="CF381" s="431">
        <f>'Fiche info Avenant 4'!$BW$8</f>
        <v>0</v>
      </c>
      <c r="ED381" s="16" t="str">
        <f t="shared" si="96"/>
        <v>Fiche info Avenant 4G</v>
      </c>
      <c r="EE381" s="16" t="str">
        <f t="shared" si="84"/>
        <v>Fiche info Avenant 4</v>
      </c>
      <c r="EF381" s="16" t="str">
        <f t="shared" si="85"/>
        <v>G</v>
      </c>
      <c r="EG381" s="16">
        <f t="shared" si="86"/>
        <v>2</v>
      </c>
      <c r="EH381" s="16" t="str">
        <f t="shared" si="87"/>
        <v>Mardi</v>
      </c>
      <c r="EI381" s="16" t="str">
        <f t="shared" si="88"/>
        <v/>
      </c>
      <c r="FB381" s="16" t="str">
        <f t="shared" si="91"/>
        <v/>
      </c>
      <c r="FC381" s="16" t="str">
        <f t="shared" si="92"/>
        <v/>
      </c>
      <c r="FD381" s="30">
        <f t="shared" si="97"/>
        <v>43497</v>
      </c>
      <c r="FE381" s="30" t="str">
        <f>+IFERROR(VLOOKUP(FD381,BDD,83,FALSE),"")</f>
        <v/>
      </c>
      <c r="FF381" s="30" t="str">
        <f>+IFERROR(VLOOKUP(FD381,BDD,84,FALSE),"")</f>
        <v/>
      </c>
      <c r="FG381" s="30" t="str">
        <f>+IFERROR(VLOOKUP(FD381,BDD,85,FALSE),"")</f>
        <v/>
      </c>
      <c r="FH381" s="30" t="str">
        <f>+IFERROR(VLOOKUP(FD381,BDD,86,FALSE),"")</f>
        <v/>
      </c>
    </row>
    <row r="382" spans="1:220" x14ac:dyDescent="0.2">
      <c r="A382" s="16" t="str">
        <f t="shared" si="95"/>
        <v>Fiche info Avenant 4G3</v>
      </c>
      <c r="B382" s="16" t="str">
        <f t="shared" si="94"/>
        <v>Fiche info Avenant 4</v>
      </c>
      <c r="C382" s="27" t="s">
        <v>236</v>
      </c>
      <c r="D382" s="27">
        <v>3</v>
      </c>
      <c r="E382" s="16" t="s">
        <v>19</v>
      </c>
      <c r="F382" s="34" t="str">
        <f>+IF('Fiche info Avenant 4'!$BY$9=0,"",'Fiche info Avenant 4'!$BY$9)</f>
        <v/>
      </c>
      <c r="G382" s="16">
        <f t="shared" si="89"/>
        <v>0</v>
      </c>
      <c r="BX382" s="16" t="str">
        <f t="shared" si="90"/>
        <v>Fiche info Avenant 4G3</v>
      </c>
      <c r="BY382" s="431">
        <f>'Fiche info Avenant 4'!$BP$9</f>
        <v>0</v>
      </c>
      <c r="BZ382" s="431">
        <f>'Fiche info Avenant 4'!$BQ$9</f>
        <v>0</v>
      </c>
      <c r="CA382" s="431">
        <f>'Fiche info Avenant 4'!$BR$9</f>
        <v>0</v>
      </c>
      <c r="CB382" s="431">
        <f>'Fiche info Avenant 4'!$BS$9</f>
        <v>0</v>
      </c>
      <c r="CC382" s="431">
        <f>'Fiche info Avenant 4'!$BT$9</f>
        <v>0</v>
      </c>
      <c r="CD382" s="431">
        <f>'Fiche info Avenant 4'!$BU$9</f>
        <v>0</v>
      </c>
      <c r="CE382" s="431">
        <f>'Fiche info Avenant 4'!$BV$9</f>
        <v>0</v>
      </c>
      <c r="CF382" s="431">
        <f>'Fiche info Avenant 4'!$BW$9</f>
        <v>0</v>
      </c>
      <c r="ED382" s="16" t="str">
        <f t="shared" si="96"/>
        <v>Fiche info Avenant 4G</v>
      </c>
      <c r="EE382" s="16" t="str">
        <f t="shared" si="84"/>
        <v>Fiche info Avenant 4</v>
      </c>
      <c r="EF382" s="16" t="str">
        <f t="shared" si="85"/>
        <v>G</v>
      </c>
      <c r="EG382" s="16">
        <f t="shared" si="86"/>
        <v>3</v>
      </c>
      <c r="EH382" s="16" t="str">
        <f t="shared" si="87"/>
        <v>Mercredi</v>
      </c>
      <c r="EI382" s="16" t="str">
        <f t="shared" si="88"/>
        <v/>
      </c>
      <c r="FB382" s="16" t="str">
        <f t="shared" si="91"/>
        <v/>
      </c>
      <c r="FC382" s="16" t="str">
        <f t="shared" si="92"/>
        <v/>
      </c>
      <c r="FD382" s="30">
        <f t="shared" si="97"/>
        <v>43466</v>
      </c>
      <c r="FE382" s="30" t="str">
        <f>+IFERROR(VLOOKUP(FD382,BDD,71,FALSE),"")</f>
        <v/>
      </c>
      <c r="FF382" s="30" t="str">
        <f>IFERROR(+VLOOKUP(FD382,BDD,72,FALSE),"")</f>
        <v/>
      </c>
      <c r="FG382" s="30" t="str">
        <f>+IFERROR(VLOOKUP(FD382,BDD,73,FALSE),"")</f>
        <v/>
      </c>
      <c r="FH382" s="30" t="str">
        <f>+IFERROR(VLOOKUP(FD382,BDD,74,FALSE),"")</f>
        <v/>
      </c>
    </row>
    <row r="383" spans="1:220" x14ac:dyDescent="0.2">
      <c r="A383" s="16" t="str">
        <f t="shared" si="95"/>
        <v>Fiche info Avenant 4G4</v>
      </c>
      <c r="B383" s="16" t="str">
        <f t="shared" si="94"/>
        <v>Fiche info Avenant 4</v>
      </c>
      <c r="C383" s="27" t="s">
        <v>236</v>
      </c>
      <c r="D383" s="27">
        <v>4</v>
      </c>
      <c r="E383" s="16" t="s">
        <v>20</v>
      </c>
      <c r="F383" s="34" t="str">
        <f>+IF('Fiche info Avenant 4'!$BY$10=0,"",'Fiche info Avenant 4'!$BY$10)</f>
        <v/>
      </c>
      <c r="G383" s="16">
        <f t="shared" si="89"/>
        <v>0</v>
      </c>
      <c r="BX383" s="16" t="str">
        <f t="shared" si="90"/>
        <v>Fiche info Avenant 4G4</v>
      </c>
      <c r="BY383" s="431">
        <f>'Fiche info Avenant 4'!$BP$10</f>
        <v>0</v>
      </c>
      <c r="BZ383" s="431">
        <f>'Fiche info Avenant 4'!$BQ$10</f>
        <v>0</v>
      </c>
      <c r="CA383" s="431">
        <f>'Fiche info Avenant 4'!$BR$10</f>
        <v>0</v>
      </c>
      <c r="CB383" s="431">
        <f>'Fiche info Avenant 4'!$BS$10</f>
        <v>0</v>
      </c>
      <c r="CC383" s="431">
        <f>'Fiche info Avenant 4'!$BT$10</f>
        <v>0</v>
      </c>
      <c r="CD383" s="431">
        <f>'Fiche info Avenant 4'!$BU$10</f>
        <v>0</v>
      </c>
      <c r="CE383" s="431">
        <f>'Fiche info Avenant 4'!$BV$10</f>
        <v>0</v>
      </c>
      <c r="CF383" s="431">
        <f>'Fiche info Avenant 4'!$BW$10</f>
        <v>0</v>
      </c>
      <c r="ED383" s="16" t="str">
        <f t="shared" si="96"/>
        <v>Fiche info Avenant 4G</v>
      </c>
      <c r="EE383" s="16" t="str">
        <f t="shared" si="84"/>
        <v>Fiche info Avenant 4</v>
      </c>
      <c r="EF383" s="16" t="str">
        <f t="shared" si="85"/>
        <v>G</v>
      </c>
      <c r="EG383" s="16">
        <f t="shared" si="86"/>
        <v>4</v>
      </c>
      <c r="EH383" s="16" t="str">
        <f t="shared" si="87"/>
        <v>Jeudi</v>
      </c>
      <c r="EI383" s="16" t="str">
        <f t="shared" si="88"/>
        <v/>
      </c>
      <c r="FB383" s="16" t="str">
        <f t="shared" si="91"/>
        <v/>
      </c>
      <c r="FC383" s="16" t="str">
        <f t="shared" si="92"/>
        <v/>
      </c>
      <c r="FD383" s="30">
        <f t="shared" si="97"/>
        <v>43466</v>
      </c>
      <c r="FE383" s="30" t="str">
        <f>+IFERROR(VLOOKUP(FD383,BDD,75,FALSE),"")</f>
        <v/>
      </c>
      <c r="FF383" s="30" t="str">
        <f>+IFERROR(VLOOKUP(FD383,BDD,76,FALSE),"")</f>
        <v/>
      </c>
      <c r="FG383" s="30" t="str">
        <f>IFERROR(+VLOOKUP(FD383,BDD,77,FALSE),"")</f>
        <v/>
      </c>
      <c r="FH383" s="30" t="str">
        <f>+IFERROR(VLOOKUP(FD383,BDD,78,FALSE),"")</f>
        <v/>
      </c>
    </row>
    <row r="384" spans="1:220" x14ac:dyDescent="0.2">
      <c r="A384" s="16" t="str">
        <f t="shared" si="95"/>
        <v>Fiche info Avenant 4G5</v>
      </c>
      <c r="B384" s="16" t="str">
        <f t="shared" si="94"/>
        <v>Fiche info Avenant 4</v>
      </c>
      <c r="C384" s="27" t="s">
        <v>236</v>
      </c>
      <c r="D384" s="27">
        <v>5</v>
      </c>
      <c r="E384" s="16" t="s">
        <v>21</v>
      </c>
      <c r="F384" s="34" t="str">
        <f>+IF('Fiche info Avenant 4'!$BY$11=0,"",'Fiche info Avenant 4'!$BY$11)</f>
        <v/>
      </c>
      <c r="G384" s="16">
        <f t="shared" si="89"/>
        <v>0</v>
      </c>
      <c r="BX384" s="16" t="str">
        <f t="shared" si="90"/>
        <v>Fiche info Avenant 4G5</v>
      </c>
      <c r="BY384" s="431">
        <f>'Fiche info Avenant 4'!$BP$11</f>
        <v>0</v>
      </c>
      <c r="BZ384" s="431">
        <f>'Fiche info Avenant 4'!$BQ$11</f>
        <v>0</v>
      </c>
      <c r="CA384" s="431">
        <f>'Fiche info Avenant 4'!$BR$11</f>
        <v>0</v>
      </c>
      <c r="CB384" s="431">
        <f>'Fiche info Avenant 4'!$BS$11</f>
        <v>0</v>
      </c>
      <c r="CC384" s="431">
        <f>'Fiche info Avenant 4'!$BT$11</f>
        <v>0</v>
      </c>
      <c r="CD384" s="431">
        <f>'Fiche info Avenant 4'!$BU$11</f>
        <v>0</v>
      </c>
      <c r="CE384" s="431">
        <f>'Fiche info Avenant 4'!$BV$11</f>
        <v>0</v>
      </c>
      <c r="CF384" s="431">
        <f>'Fiche info Avenant 4'!$BW$11</f>
        <v>0</v>
      </c>
      <c r="ED384" s="16" t="str">
        <f t="shared" si="96"/>
        <v>Fiche info Avenant 4G</v>
      </c>
      <c r="EE384" s="16" t="str">
        <f t="shared" si="84"/>
        <v>Fiche info Avenant 4</v>
      </c>
      <c r="EF384" s="16" t="str">
        <f t="shared" si="85"/>
        <v>G</v>
      </c>
      <c r="EG384" s="16">
        <f t="shared" si="86"/>
        <v>5</v>
      </c>
      <c r="EH384" s="16" t="str">
        <f t="shared" si="87"/>
        <v>Vendredi</v>
      </c>
      <c r="EI384" s="16" t="str">
        <f t="shared" si="88"/>
        <v/>
      </c>
      <c r="FB384" s="16" t="str">
        <f t="shared" si="91"/>
        <v/>
      </c>
      <c r="FC384" s="16" t="str">
        <f t="shared" si="92"/>
        <v/>
      </c>
      <c r="FD384" s="30">
        <f t="shared" si="97"/>
        <v>43466</v>
      </c>
      <c r="FE384" s="30" t="str">
        <f>+IFERROR(VLOOKUP(FD384,BDD,79,FALSE),"")</f>
        <v/>
      </c>
      <c r="FF384" s="30" t="str">
        <f>IFERROR(+VLOOKUP(FD384,BDD,80,FALSE),"")</f>
        <v/>
      </c>
      <c r="FG384" s="30" t="str">
        <f>+IFERROR(VLOOKUP(FD384,BDD,81,FALSE),"")</f>
        <v/>
      </c>
      <c r="FH384" s="30" t="str">
        <f>+IFERROR(VLOOKUP(FD384,BDD,82,FALSE),"")</f>
        <v/>
      </c>
    </row>
    <row r="385" spans="1:164" x14ac:dyDescent="0.2">
      <c r="A385" s="16" t="str">
        <f t="shared" si="95"/>
        <v>Fiche info Avenant 4G6</v>
      </c>
      <c r="B385" s="16" t="str">
        <f t="shared" si="94"/>
        <v>Fiche info Avenant 4</v>
      </c>
      <c r="C385" s="27" t="s">
        <v>236</v>
      </c>
      <c r="D385" s="27">
        <v>6</v>
      </c>
      <c r="E385" s="16" t="s">
        <v>184</v>
      </c>
      <c r="F385" s="34" t="str">
        <f>+IF('Fiche info Avenant 4'!$BY$12=0,"",'Fiche info Avenant 4'!$BY$12)</f>
        <v/>
      </c>
      <c r="G385" s="16">
        <f t="shared" si="89"/>
        <v>0</v>
      </c>
      <c r="BX385" s="16" t="str">
        <f t="shared" si="90"/>
        <v>Fiche info Avenant 4G6</v>
      </c>
      <c r="BY385" s="431">
        <f>'Fiche info Avenant 4'!$BP$12</f>
        <v>0</v>
      </c>
      <c r="BZ385" s="431">
        <f>'Fiche info Avenant 4'!$BQ$12</f>
        <v>0</v>
      </c>
      <c r="CA385" s="431">
        <f>'Fiche info Avenant 4'!$BR$12</f>
        <v>0</v>
      </c>
      <c r="CB385" s="431">
        <f>'Fiche info Avenant 4'!$BS$12</f>
        <v>0</v>
      </c>
      <c r="CC385" s="431">
        <f>'Fiche info Avenant 4'!$BT$12</f>
        <v>0</v>
      </c>
      <c r="CD385" s="431">
        <f>'Fiche info Avenant 4'!$BU$12</f>
        <v>0</v>
      </c>
      <c r="CE385" s="431">
        <f>'Fiche info Avenant 4'!$BV$12</f>
        <v>0</v>
      </c>
      <c r="CF385" s="431">
        <f>'Fiche info Avenant 4'!$BW$12</f>
        <v>0</v>
      </c>
      <c r="ED385" s="16" t="str">
        <f t="shared" si="96"/>
        <v>Fiche info Avenant 4G</v>
      </c>
      <c r="EE385" s="16" t="str">
        <f t="shared" ref="EE385:EE448" si="98">B385</f>
        <v>Fiche info Avenant 4</v>
      </c>
      <c r="EF385" s="16" t="str">
        <f t="shared" ref="EF385:EF448" si="99">C385</f>
        <v>G</v>
      </c>
      <c r="EG385" s="16">
        <f t="shared" ref="EG385:EG448" si="100">D385</f>
        <v>6</v>
      </c>
      <c r="EH385" s="16" t="str">
        <f t="shared" ref="EH385:EH448" si="101">E385</f>
        <v>Samedi</v>
      </c>
      <c r="EI385" s="16" t="str">
        <f t="shared" ref="EI385:EI448" si="102">F385</f>
        <v/>
      </c>
      <c r="FB385" s="16" t="str">
        <f t="shared" si="91"/>
        <v/>
      </c>
      <c r="FC385" s="16" t="str">
        <f t="shared" si="92"/>
        <v/>
      </c>
      <c r="FD385" s="30">
        <f t="shared" si="97"/>
        <v>43466</v>
      </c>
      <c r="FE385" s="30" t="str">
        <f>+IFERROR(VLOOKUP(FD385,BDD,83,FALSE),"")</f>
        <v/>
      </c>
      <c r="FF385" s="30" t="str">
        <f>+IFERROR(VLOOKUP(FD385,BDD,84,FALSE),"")</f>
        <v/>
      </c>
      <c r="FG385" s="30" t="str">
        <f>+IFERROR(VLOOKUP(FD385,BDD,85,FALSE),"")</f>
        <v/>
      </c>
      <c r="FH385" s="30" t="str">
        <f>+IFERROR(VLOOKUP(FD385,BDD,86,FALSE),"")</f>
        <v/>
      </c>
    </row>
    <row r="386" spans="1:164" x14ac:dyDescent="0.2">
      <c r="A386" s="16" t="str">
        <f t="shared" si="95"/>
        <v>Fiche info Avenant 4G7</v>
      </c>
      <c r="B386" s="16" t="str">
        <f t="shared" si="94"/>
        <v>Fiche info Avenant 4</v>
      </c>
      <c r="C386" s="27" t="s">
        <v>236</v>
      </c>
      <c r="D386" s="27">
        <v>7</v>
      </c>
      <c r="E386" s="16" t="s">
        <v>185</v>
      </c>
      <c r="F386" s="34" t="str">
        <f>+IF('Fiche info Avenant 4'!$BY$13=0,"",'Fiche info Avenant 4'!$BY$13)</f>
        <v/>
      </c>
      <c r="G386" s="16">
        <f t="shared" ref="G386:G449" si="103">+IF(OR(F386=0,F386=""),0,1)</f>
        <v>0</v>
      </c>
      <c r="BX386" s="16" t="str">
        <f t="shared" ref="BX386:BX449" si="104">A386</f>
        <v>Fiche info Avenant 4G7</v>
      </c>
      <c r="BY386" s="431">
        <f>'Fiche info Avenant 4'!$BP$13</f>
        <v>0</v>
      </c>
      <c r="BZ386" s="431">
        <f>'Fiche info Avenant 4'!$BQ$13</f>
        <v>0</v>
      </c>
      <c r="CA386" s="431">
        <f>'Fiche info Avenant 4'!$BR$13</f>
        <v>0</v>
      </c>
      <c r="CB386" s="431">
        <f>'Fiche info Avenant 4'!$BS$13</f>
        <v>0</v>
      </c>
      <c r="CC386" s="431">
        <f>'Fiche info Avenant 4'!$BT$13</f>
        <v>0</v>
      </c>
      <c r="CD386" s="431">
        <f>'Fiche info Avenant 4'!$BU$13</f>
        <v>0</v>
      </c>
      <c r="CE386" s="431">
        <f>'Fiche info Avenant 4'!$BV$13</f>
        <v>0</v>
      </c>
      <c r="CF386" s="431">
        <f>'Fiche info Avenant 4'!$BW$13</f>
        <v>0</v>
      </c>
      <c r="ED386" s="16" t="str">
        <f t="shared" si="96"/>
        <v>Fiche info Avenant 4G</v>
      </c>
      <c r="EE386" s="16" t="str">
        <f t="shared" si="98"/>
        <v>Fiche info Avenant 4</v>
      </c>
      <c r="EF386" s="16" t="str">
        <f t="shared" si="99"/>
        <v>G</v>
      </c>
      <c r="EG386" s="16">
        <f t="shared" si="100"/>
        <v>7</v>
      </c>
      <c r="EH386" s="16" t="str">
        <f t="shared" si="101"/>
        <v>Dimanche</v>
      </c>
      <c r="EI386" s="16" t="str">
        <f t="shared" si="102"/>
        <v/>
      </c>
      <c r="FD386" s="30"/>
    </row>
    <row r="387" spans="1:164" x14ac:dyDescent="0.2">
      <c r="A387" s="16" t="str">
        <f t="shared" si="95"/>
        <v>Fiche info Avenant 4H1</v>
      </c>
      <c r="B387" s="16" t="str">
        <f t="shared" si="94"/>
        <v>Fiche info Avenant 4</v>
      </c>
      <c r="C387" s="27" t="s">
        <v>237</v>
      </c>
      <c r="D387" s="27">
        <v>1</v>
      </c>
      <c r="E387" s="16" t="s">
        <v>17</v>
      </c>
      <c r="F387" s="34" t="str">
        <f>+IF('Fiche info Avenant 4'!$CJ$7=0,"",'Fiche info Avenant 4'!$CJ$7)</f>
        <v/>
      </c>
      <c r="G387" s="16">
        <f t="shared" si="103"/>
        <v>0</v>
      </c>
      <c r="BX387" s="16" t="str">
        <f t="shared" si="104"/>
        <v>Fiche info Avenant 4H1</v>
      </c>
      <c r="BY387" s="431">
        <f>'Fiche info Avenant 4'!$CA$7</f>
        <v>0</v>
      </c>
      <c r="BZ387" s="431">
        <f>'Fiche info Avenant 4'!$CB$7</f>
        <v>0</v>
      </c>
      <c r="CA387" s="431">
        <f>'Fiche info Avenant 4'!$CC$7</f>
        <v>0</v>
      </c>
      <c r="CB387" s="431">
        <f>'Fiche info Avenant 4'!$CD$7</f>
        <v>0</v>
      </c>
      <c r="CC387" s="431">
        <f>'Fiche info Avenant 4'!$CE$7</f>
        <v>0</v>
      </c>
      <c r="CD387" s="431">
        <f>'Fiche info Avenant 4'!$CF$7</f>
        <v>0</v>
      </c>
      <c r="CE387" s="431">
        <f>'Fiche info Avenant 4'!$CG$7</f>
        <v>0</v>
      </c>
      <c r="CF387" s="431">
        <f>'Fiche info Avenant 4'!$CH$7</f>
        <v>0</v>
      </c>
      <c r="ED387" s="16" t="str">
        <f t="shared" si="96"/>
        <v>Fiche info Avenant 4H</v>
      </c>
      <c r="EE387" s="16" t="str">
        <f t="shared" si="98"/>
        <v>Fiche info Avenant 4</v>
      </c>
      <c r="EF387" s="16" t="str">
        <f t="shared" si="99"/>
        <v>H</v>
      </c>
      <c r="EG387" s="16">
        <f t="shared" si="100"/>
        <v>1</v>
      </c>
      <c r="EH387" s="16" t="str">
        <f t="shared" si="101"/>
        <v>Lundi</v>
      </c>
      <c r="EI387" s="16" t="str">
        <f t="shared" si="102"/>
        <v/>
      </c>
      <c r="FD387" s="30"/>
    </row>
    <row r="388" spans="1:164" x14ac:dyDescent="0.2">
      <c r="A388" s="16" t="str">
        <f t="shared" si="95"/>
        <v>Fiche info Avenant 4H2</v>
      </c>
      <c r="B388" s="16" t="str">
        <f t="shared" si="94"/>
        <v>Fiche info Avenant 4</v>
      </c>
      <c r="C388" s="27" t="s">
        <v>237</v>
      </c>
      <c r="D388" s="27">
        <v>2</v>
      </c>
      <c r="E388" s="16" t="s">
        <v>18</v>
      </c>
      <c r="F388" s="34" t="str">
        <f>+IF('Fiche info Avenant 4'!$CJ$8=0,"",'Fiche info Avenant 4'!$CJ$8)</f>
        <v/>
      </c>
      <c r="G388" s="16">
        <f t="shared" si="103"/>
        <v>0</v>
      </c>
      <c r="BX388" s="16" t="str">
        <f t="shared" si="104"/>
        <v>Fiche info Avenant 4H2</v>
      </c>
      <c r="BY388" s="431">
        <f>'Fiche info Avenant 4'!$CA$8</f>
        <v>0</v>
      </c>
      <c r="BZ388" s="431">
        <f>'Fiche info Avenant 4'!$CB$8</f>
        <v>0</v>
      </c>
      <c r="CA388" s="431">
        <f>'Fiche info Avenant 4'!$CC$8</f>
        <v>0</v>
      </c>
      <c r="CB388" s="431">
        <f>'Fiche info Avenant 4'!$CD$8</f>
        <v>0</v>
      </c>
      <c r="CC388" s="431">
        <f>'Fiche info Avenant 4'!$CE$8</f>
        <v>0</v>
      </c>
      <c r="CD388" s="431">
        <f>'Fiche info Avenant 4'!$CF$8</f>
        <v>0</v>
      </c>
      <c r="CE388" s="431">
        <f>'Fiche info Avenant 4'!$CG$8</f>
        <v>0</v>
      </c>
      <c r="CF388" s="431">
        <f>'Fiche info Avenant 4'!$CH$8</f>
        <v>0</v>
      </c>
      <c r="ED388" s="16" t="str">
        <f t="shared" si="96"/>
        <v>Fiche info Avenant 4H</v>
      </c>
      <c r="EE388" s="16" t="str">
        <f t="shared" si="98"/>
        <v>Fiche info Avenant 4</v>
      </c>
      <c r="EF388" s="16" t="str">
        <f t="shared" si="99"/>
        <v>H</v>
      </c>
      <c r="EG388" s="16">
        <f t="shared" si="100"/>
        <v>2</v>
      </c>
      <c r="EH388" s="16" t="str">
        <f t="shared" si="101"/>
        <v>Mardi</v>
      </c>
      <c r="EI388" s="16" t="str">
        <f t="shared" si="102"/>
        <v/>
      </c>
      <c r="FD388" s="30"/>
    </row>
    <row r="389" spans="1:164" x14ac:dyDescent="0.2">
      <c r="A389" s="16" t="str">
        <f t="shared" si="95"/>
        <v>Fiche info Avenant 4H3</v>
      </c>
      <c r="B389" s="16" t="str">
        <f t="shared" si="94"/>
        <v>Fiche info Avenant 4</v>
      </c>
      <c r="C389" s="27" t="s">
        <v>237</v>
      </c>
      <c r="D389" s="27">
        <v>3</v>
      </c>
      <c r="E389" s="16" t="s">
        <v>19</v>
      </c>
      <c r="F389" s="34" t="str">
        <f>+IF('Fiche info Avenant 4'!$CJ$9=0,"",'Fiche info Avenant 4'!$CJ$9)</f>
        <v/>
      </c>
      <c r="G389" s="16">
        <f t="shared" si="103"/>
        <v>0</v>
      </c>
      <c r="BX389" s="16" t="str">
        <f t="shared" si="104"/>
        <v>Fiche info Avenant 4H3</v>
      </c>
      <c r="BY389" s="431">
        <f>'Fiche info Avenant 4'!$CA$9</f>
        <v>0</v>
      </c>
      <c r="BZ389" s="431">
        <f>'Fiche info Avenant 4'!$CB$9</f>
        <v>0</v>
      </c>
      <c r="CA389" s="431">
        <f>'Fiche info Avenant 4'!$CC$9</f>
        <v>0</v>
      </c>
      <c r="CB389" s="431">
        <f>'Fiche info Avenant 4'!$CD$9</f>
        <v>0</v>
      </c>
      <c r="CC389" s="431">
        <f>'Fiche info Avenant 4'!$CE$9</f>
        <v>0</v>
      </c>
      <c r="CD389" s="431">
        <f>'Fiche info Avenant 4'!$CF$9</f>
        <v>0</v>
      </c>
      <c r="CE389" s="431">
        <f>'Fiche info Avenant 4'!$CG$9</f>
        <v>0</v>
      </c>
      <c r="CF389" s="431">
        <f>'Fiche info Avenant 4'!$CH$9</f>
        <v>0</v>
      </c>
      <c r="ED389" s="16" t="str">
        <f t="shared" si="96"/>
        <v>Fiche info Avenant 4H</v>
      </c>
      <c r="EE389" s="16" t="str">
        <f t="shared" si="98"/>
        <v>Fiche info Avenant 4</v>
      </c>
      <c r="EF389" s="16" t="str">
        <f t="shared" si="99"/>
        <v>H</v>
      </c>
      <c r="EG389" s="16">
        <f t="shared" si="100"/>
        <v>3</v>
      </c>
      <c r="EH389" s="16" t="str">
        <f t="shared" si="101"/>
        <v>Mercredi</v>
      </c>
      <c r="EI389" s="16" t="str">
        <f t="shared" si="102"/>
        <v/>
      </c>
      <c r="FD389" s="30"/>
    </row>
    <row r="390" spans="1:164" x14ac:dyDescent="0.2">
      <c r="A390" s="16" t="str">
        <f t="shared" si="95"/>
        <v>Fiche info Avenant 4H4</v>
      </c>
      <c r="B390" s="16" t="str">
        <f t="shared" si="94"/>
        <v>Fiche info Avenant 4</v>
      </c>
      <c r="C390" s="27" t="s">
        <v>237</v>
      </c>
      <c r="D390" s="27">
        <v>4</v>
      </c>
      <c r="E390" s="16" t="s">
        <v>20</v>
      </c>
      <c r="F390" s="34" t="str">
        <f>+IF('Fiche info Avenant 4'!$CJ$10=0,"",'Fiche info Avenant 4'!$CJ$10)</f>
        <v/>
      </c>
      <c r="G390" s="16">
        <f t="shared" si="103"/>
        <v>0</v>
      </c>
      <c r="BX390" s="16" t="str">
        <f t="shared" si="104"/>
        <v>Fiche info Avenant 4H4</v>
      </c>
      <c r="BY390" s="431">
        <f>'Fiche info Avenant 4'!$CA$10</f>
        <v>0</v>
      </c>
      <c r="BZ390" s="431">
        <f>'Fiche info Avenant 4'!$CB$10</f>
        <v>0</v>
      </c>
      <c r="CA390" s="431">
        <f>'Fiche info Avenant 4'!$CC$10</f>
        <v>0</v>
      </c>
      <c r="CB390" s="431">
        <f>'Fiche info Avenant 4'!$CD$10</f>
        <v>0</v>
      </c>
      <c r="CC390" s="431">
        <f>'Fiche info Avenant 4'!$CE$10</f>
        <v>0</v>
      </c>
      <c r="CD390" s="431">
        <f>'Fiche info Avenant 4'!$CF$10</f>
        <v>0</v>
      </c>
      <c r="CE390" s="431">
        <f>'Fiche info Avenant 4'!$CG$10</f>
        <v>0</v>
      </c>
      <c r="CF390" s="431">
        <f>'Fiche info Avenant 4'!$CH$10</f>
        <v>0</v>
      </c>
      <c r="ED390" s="16" t="str">
        <f t="shared" si="96"/>
        <v>Fiche info Avenant 4H</v>
      </c>
      <c r="EE390" s="16" t="str">
        <f t="shared" si="98"/>
        <v>Fiche info Avenant 4</v>
      </c>
      <c r="EF390" s="16" t="str">
        <f t="shared" si="99"/>
        <v>H</v>
      </c>
      <c r="EG390" s="16">
        <f t="shared" si="100"/>
        <v>4</v>
      </c>
      <c r="EH390" s="16" t="str">
        <f t="shared" si="101"/>
        <v>Jeudi</v>
      </c>
      <c r="EI390" s="16" t="str">
        <f t="shared" si="102"/>
        <v/>
      </c>
      <c r="FD390" s="30"/>
    </row>
    <row r="391" spans="1:164" x14ac:dyDescent="0.2">
      <c r="A391" s="16" t="str">
        <f t="shared" si="95"/>
        <v>Fiche info Avenant 4H5</v>
      </c>
      <c r="B391" s="16" t="str">
        <f t="shared" si="94"/>
        <v>Fiche info Avenant 4</v>
      </c>
      <c r="C391" s="27" t="s">
        <v>237</v>
      </c>
      <c r="D391" s="27">
        <v>5</v>
      </c>
      <c r="E391" s="16" t="s">
        <v>21</v>
      </c>
      <c r="F391" s="34" t="str">
        <f>+IF('Fiche info Avenant 4'!$CJ$11=0,"",'Fiche info Avenant 4'!$CJ$11)</f>
        <v/>
      </c>
      <c r="G391" s="16">
        <f t="shared" si="103"/>
        <v>0</v>
      </c>
      <c r="BX391" s="16" t="str">
        <f t="shared" si="104"/>
        <v>Fiche info Avenant 4H5</v>
      </c>
      <c r="BY391" s="431">
        <f>'Fiche info Avenant 4'!$CA$11</f>
        <v>0</v>
      </c>
      <c r="BZ391" s="431">
        <f>'Fiche info Avenant 4'!$CB$11</f>
        <v>0</v>
      </c>
      <c r="CA391" s="431">
        <f>'Fiche info Avenant 4'!$CC$11</f>
        <v>0</v>
      </c>
      <c r="CB391" s="431">
        <f>'Fiche info Avenant 4'!$CD$11</f>
        <v>0</v>
      </c>
      <c r="CC391" s="431">
        <f>'Fiche info Avenant 4'!$CE$11</f>
        <v>0</v>
      </c>
      <c r="CD391" s="431">
        <f>'Fiche info Avenant 4'!$CF$11</f>
        <v>0</v>
      </c>
      <c r="CE391" s="431">
        <f>'Fiche info Avenant 4'!$CG$11</f>
        <v>0</v>
      </c>
      <c r="CF391" s="431">
        <f>'Fiche info Avenant 4'!$CH$11</f>
        <v>0</v>
      </c>
      <c r="ED391" s="16" t="str">
        <f t="shared" si="96"/>
        <v>Fiche info Avenant 4H</v>
      </c>
      <c r="EE391" s="16" t="str">
        <f t="shared" si="98"/>
        <v>Fiche info Avenant 4</v>
      </c>
      <c r="EF391" s="16" t="str">
        <f t="shared" si="99"/>
        <v>H</v>
      </c>
      <c r="EG391" s="16">
        <f t="shared" si="100"/>
        <v>5</v>
      </c>
      <c r="EH391" s="16" t="str">
        <f t="shared" si="101"/>
        <v>Vendredi</v>
      </c>
      <c r="EI391" s="16" t="str">
        <f t="shared" si="102"/>
        <v/>
      </c>
      <c r="FD391" s="30"/>
    </row>
    <row r="392" spans="1:164" x14ac:dyDescent="0.2">
      <c r="A392" s="16" t="str">
        <f t="shared" si="95"/>
        <v>Fiche info Avenant 4H6</v>
      </c>
      <c r="B392" s="16" t="str">
        <f t="shared" si="94"/>
        <v>Fiche info Avenant 4</v>
      </c>
      <c r="C392" s="27" t="s">
        <v>237</v>
      </c>
      <c r="D392" s="27">
        <v>6</v>
      </c>
      <c r="E392" s="16" t="s">
        <v>184</v>
      </c>
      <c r="F392" s="34" t="str">
        <f>+IF('Fiche info Avenant 4'!$CJ$12=0,"",'Fiche info Avenant 4'!$CJ$12)</f>
        <v/>
      </c>
      <c r="G392" s="16">
        <f t="shared" si="103"/>
        <v>0</v>
      </c>
      <c r="BX392" s="16" t="str">
        <f t="shared" si="104"/>
        <v>Fiche info Avenant 4H6</v>
      </c>
      <c r="BY392" s="431">
        <f>'Fiche info Avenant 4'!$CA$12</f>
        <v>0</v>
      </c>
      <c r="BZ392" s="431">
        <f>'Fiche info Avenant 4'!$CB$12</f>
        <v>0</v>
      </c>
      <c r="CA392" s="431">
        <f>'Fiche info Avenant 4'!$CC$12</f>
        <v>0</v>
      </c>
      <c r="CB392" s="431">
        <f>'Fiche info Avenant 4'!$CD$12</f>
        <v>0</v>
      </c>
      <c r="CC392" s="431">
        <f>'Fiche info Avenant 4'!$CE$12</f>
        <v>0</v>
      </c>
      <c r="CD392" s="431">
        <f>'Fiche info Avenant 4'!$CF$12</f>
        <v>0</v>
      </c>
      <c r="CE392" s="431">
        <f>'Fiche info Avenant 4'!$CG$12</f>
        <v>0</v>
      </c>
      <c r="CF392" s="431">
        <f>'Fiche info Avenant 4'!$CH$12</f>
        <v>0</v>
      </c>
      <c r="ED392" s="16" t="str">
        <f t="shared" si="96"/>
        <v>Fiche info Avenant 4H</v>
      </c>
      <c r="EE392" s="16" t="str">
        <f t="shared" si="98"/>
        <v>Fiche info Avenant 4</v>
      </c>
      <c r="EF392" s="16" t="str">
        <f t="shared" si="99"/>
        <v>H</v>
      </c>
      <c r="EG392" s="16">
        <f t="shared" si="100"/>
        <v>6</v>
      </c>
      <c r="EH392" s="16" t="str">
        <f t="shared" si="101"/>
        <v>Samedi</v>
      </c>
      <c r="EI392" s="16" t="str">
        <f t="shared" si="102"/>
        <v/>
      </c>
      <c r="FD392" s="30"/>
    </row>
    <row r="393" spans="1:164" x14ac:dyDescent="0.2">
      <c r="A393" s="16" t="str">
        <f t="shared" si="95"/>
        <v>Fiche info Avenant 4H7</v>
      </c>
      <c r="B393" s="16" t="str">
        <f t="shared" si="94"/>
        <v>Fiche info Avenant 4</v>
      </c>
      <c r="C393" s="27" t="s">
        <v>237</v>
      </c>
      <c r="D393" s="27">
        <v>7</v>
      </c>
      <c r="E393" s="16" t="s">
        <v>185</v>
      </c>
      <c r="F393" s="34" t="str">
        <f>+IF('Fiche info'!$CJ$13=0,"",'Fiche info'!$CJ$13)</f>
        <v/>
      </c>
      <c r="G393" s="16">
        <f t="shared" si="103"/>
        <v>0</v>
      </c>
      <c r="BX393" s="16" t="str">
        <f t="shared" si="104"/>
        <v>Fiche info Avenant 4H7</v>
      </c>
      <c r="BY393" s="431">
        <f>'Fiche info Avenant 4'!$CA$13</f>
        <v>0</v>
      </c>
      <c r="BZ393" s="431">
        <f>'Fiche info Avenant 4'!$CB$13</f>
        <v>0</v>
      </c>
      <c r="CA393" s="431">
        <f>'Fiche info Avenant 4'!$CC$13</f>
        <v>0</v>
      </c>
      <c r="CB393" s="431">
        <f>'Fiche info Avenant 4'!$CD$13</f>
        <v>0</v>
      </c>
      <c r="CC393" s="431">
        <f>'Fiche info Avenant 4'!$CE$13</f>
        <v>0</v>
      </c>
      <c r="CD393" s="431">
        <f>'Fiche info Avenant 4'!$CF$13</f>
        <v>0</v>
      </c>
      <c r="CE393" s="431">
        <f>'Fiche info Avenant 4'!$CG$13</f>
        <v>0</v>
      </c>
      <c r="CF393" s="431">
        <f>'Fiche info Avenant 4'!$CH$13</f>
        <v>0</v>
      </c>
      <c r="ED393" s="16" t="str">
        <f t="shared" si="96"/>
        <v>Fiche info Avenant 4H</v>
      </c>
      <c r="EE393" s="16" t="str">
        <f t="shared" si="98"/>
        <v>Fiche info Avenant 4</v>
      </c>
      <c r="EF393" s="16" t="str">
        <f t="shared" si="99"/>
        <v>H</v>
      </c>
      <c r="EG393" s="16">
        <f t="shared" si="100"/>
        <v>7</v>
      </c>
      <c r="EH393" s="16" t="str">
        <f t="shared" si="101"/>
        <v>Dimanche</v>
      </c>
      <c r="EI393" s="16" t="str">
        <f t="shared" si="102"/>
        <v/>
      </c>
      <c r="FD393" s="30"/>
    </row>
    <row r="394" spans="1:164" x14ac:dyDescent="0.2">
      <c r="A394" s="16" t="str">
        <f t="shared" si="95"/>
        <v>Fiche info Avenant 5A1</v>
      </c>
      <c r="B394" s="16" t="str">
        <f>+$P$9</f>
        <v>Fiche info Avenant 5</v>
      </c>
      <c r="C394" s="27" t="s">
        <v>226</v>
      </c>
      <c r="D394" s="27">
        <v>1</v>
      </c>
      <c r="E394" s="16" t="s">
        <v>17</v>
      </c>
      <c r="F394" s="34" t="str">
        <f>IF('Fiche info Avenant 5'!$K$7=0,"",'Fiche info Avenant 5'!$K$7)</f>
        <v/>
      </c>
      <c r="G394" s="16">
        <f t="shared" si="103"/>
        <v>0</v>
      </c>
      <c r="BX394" s="16" t="str">
        <f t="shared" si="104"/>
        <v>Fiche info Avenant 5A1</v>
      </c>
      <c r="BY394" s="431">
        <f>'Fiche info Avenant 5'!$B$7</f>
        <v>0</v>
      </c>
      <c r="BZ394" s="431">
        <f>'Fiche info Avenant 5'!$C$7</f>
        <v>0</v>
      </c>
      <c r="CA394" s="431">
        <f>'Fiche info Avenant 5'!$D$7</f>
        <v>0</v>
      </c>
      <c r="CB394" s="431">
        <f>'Fiche info Avenant 5'!$E$7</f>
        <v>0</v>
      </c>
      <c r="CC394" s="431">
        <f>'Fiche info Avenant 5'!$F$7</f>
        <v>0</v>
      </c>
      <c r="CD394" s="431">
        <f>'Fiche info Avenant 5'!$G$7</f>
        <v>0</v>
      </c>
      <c r="CE394" s="431">
        <f>'Fiche info Avenant 5'!$H$7</f>
        <v>0</v>
      </c>
      <c r="CF394" s="431">
        <f>'Fiche info Avenant 5'!$I$7</f>
        <v>0</v>
      </c>
      <c r="ED394" s="16" t="str">
        <f t="shared" si="96"/>
        <v>Fiche info Avenant 5A</v>
      </c>
      <c r="EE394" s="16" t="str">
        <f t="shared" si="98"/>
        <v>Fiche info Avenant 5</v>
      </c>
      <c r="EF394" s="16" t="str">
        <f t="shared" si="99"/>
        <v>A</v>
      </c>
      <c r="EG394" s="16">
        <f t="shared" si="100"/>
        <v>1</v>
      </c>
      <c r="EH394" s="16" t="str">
        <f t="shared" si="101"/>
        <v>Lundi</v>
      </c>
      <c r="EI394" s="16" t="str">
        <f t="shared" si="102"/>
        <v/>
      </c>
      <c r="FD394" s="30"/>
    </row>
    <row r="395" spans="1:164" x14ac:dyDescent="0.2">
      <c r="A395" s="16" t="str">
        <f t="shared" si="95"/>
        <v>Fiche info Avenant 5A2</v>
      </c>
      <c r="B395" s="16" t="str">
        <f t="shared" ref="B395:B449" si="105">+$P$9</f>
        <v>Fiche info Avenant 5</v>
      </c>
      <c r="C395" s="27" t="s">
        <v>226</v>
      </c>
      <c r="D395" s="27">
        <v>2</v>
      </c>
      <c r="E395" s="16" t="s">
        <v>18</v>
      </c>
      <c r="F395" s="34" t="str">
        <f>IF('Fiche info Avenant 5'!$K$8=0,"",'Fiche info Avenant 5'!$K$8)</f>
        <v/>
      </c>
      <c r="G395" s="16">
        <f t="shared" si="103"/>
        <v>0</v>
      </c>
      <c r="BX395" s="16" t="str">
        <f t="shared" si="104"/>
        <v>Fiche info Avenant 5A2</v>
      </c>
      <c r="BY395" s="431">
        <f>'Fiche info Avenant 5'!$B$8</f>
        <v>0</v>
      </c>
      <c r="BZ395" s="431">
        <f>'Fiche info Avenant 5'!$C$8</f>
        <v>0</v>
      </c>
      <c r="CA395" s="431">
        <f>'Fiche info Avenant 5'!$D$8</f>
        <v>0</v>
      </c>
      <c r="CB395" s="431">
        <f>'Fiche info Avenant 5'!$E$8</f>
        <v>0</v>
      </c>
      <c r="CC395" s="431">
        <f>'Fiche info Avenant 5'!$F$8</f>
        <v>0</v>
      </c>
      <c r="CD395" s="431">
        <f>'Fiche info Avenant 5'!$G$8</f>
        <v>0</v>
      </c>
      <c r="CE395" s="431">
        <f>'Fiche info Avenant 5'!$H$8</f>
        <v>0</v>
      </c>
      <c r="CF395" s="431">
        <f>'Fiche info Avenant 5'!$I$8</f>
        <v>0</v>
      </c>
      <c r="ED395" s="16" t="str">
        <f t="shared" si="96"/>
        <v>Fiche info Avenant 5A</v>
      </c>
      <c r="EE395" s="16" t="str">
        <f t="shared" si="98"/>
        <v>Fiche info Avenant 5</v>
      </c>
      <c r="EF395" s="16" t="str">
        <f t="shared" si="99"/>
        <v>A</v>
      </c>
      <c r="EG395" s="16">
        <f t="shared" si="100"/>
        <v>2</v>
      </c>
      <c r="EH395" s="16" t="str">
        <f t="shared" si="101"/>
        <v>Mardi</v>
      </c>
      <c r="EI395" s="16" t="str">
        <f t="shared" si="102"/>
        <v/>
      </c>
      <c r="FD395" s="30"/>
    </row>
    <row r="396" spans="1:164" x14ac:dyDescent="0.2">
      <c r="A396" s="16" t="str">
        <f t="shared" si="95"/>
        <v>Fiche info Avenant 5A3</v>
      </c>
      <c r="B396" s="16" t="str">
        <f t="shared" si="105"/>
        <v>Fiche info Avenant 5</v>
      </c>
      <c r="C396" s="27" t="s">
        <v>226</v>
      </c>
      <c r="D396" s="27">
        <v>3</v>
      </c>
      <c r="E396" s="16" t="s">
        <v>19</v>
      </c>
      <c r="F396" s="34" t="str">
        <f>IF('Fiche info Avenant 5'!$K$9=0,"",'Fiche info Avenant 5'!$K$9)</f>
        <v/>
      </c>
      <c r="G396" s="16">
        <f t="shared" si="103"/>
        <v>0</v>
      </c>
      <c r="BX396" s="16" t="str">
        <f t="shared" si="104"/>
        <v>Fiche info Avenant 5A3</v>
      </c>
      <c r="BY396" s="431">
        <f>'Fiche info Avenant 5'!$B$9</f>
        <v>0</v>
      </c>
      <c r="BZ396" s="431">
        <f>'Fiche info Avenant 5'!$C$9</f>
        <v>0</v>
      </c>
      <c r="CA396" s="431">
        <f>'Fiche info Avenant 5'!$D$9</f>
        <v>0</v>
      </c>
      <c r="CB396" s="431">
        <f>'Fiche info Avenant 5'!$E$9</f>
        <v>0</v>
      </c>
      <c r="CC396" s="431">
        <f>'Fiche info Avenant 5'!$F$9</f>
        <v>0</v>
      </c>
      <c r="CD396" s="431">
        <f>'Fiche info Avenant 5'!$G$9</f>
        <v>0</v>
      </c>
      <c r="CE396" s="431">
        <f>'Fiche info Avenant 5'!$H$9</f>
        <v>0</v>
      </c>
      <c r="CF396" s="431">
        <f>'Fiche info Avenant 5'!$I$9</f>
        <v>0</v>
      </c>
      <c r="ED396" s="16" t="str">
        <f t="shared" si="96"/>
        <v>Fiche info Avenant 5A</v>
      </c>
      <c r="EE396" s="16" t="str">
        <f t="shared" si="98"/>
        <v>Fiche info Avenant 5</v>
      </c>
      <c r="EF396" s="16" t="str">
        <f t="shared" si="99"/>
        <v>A</v>
      </c>
      <c r="EG396" s="16">
        <f t="shared" si="100"/>
        <v>3</v>
      </c>
      <c r="EH396" s="16" t="str">
        <f t="shared" si="101"/>
        <v>Mercredi</v>
      </c>
      <c r="EI396" s="16" t="str">
        <f t="shared" si="102"/>
        <v/>
      </c>
      <c r="FD396" s="30"/>
    </row>
    <row r="397" spans="1:164" x14ac:dyDescent="0.2">
      <c r="A397" s="16" t="str">
        <f t="shared" si="95"/>
        <v>Fiche info Avenant 5A4</v>
      </c>
      <c r="B397" s="16" t="str">
        <f t="shared" si="105"/>
        <v>Fiche info Avenant 5</v>
      </c>
      <c r="C397" s="27" t="s">
        <v>226</v>
      </c>
      <c r="D397" s="27">
        <v>4</v>
      </c>
      <c r="E397" s="16" t="s">
        <v>20</v>
      </c>
      <c r="F397" s="34" t="str">
        <f>IF('Fiche info Avenant 5'!$K$10=0,"",'Fiche info Avenant 5'!$K$10)</f>
        <v/>
      </c>
      <c r="G397" s="16">
        <f t="shared" si="103"/>
        <v>0</v>
      </c>
      <c r="BX397" s="16" t="str">
        <f t="shared" si="104"/>
        <v>Fiche info Avenant 5A4</v>
      </c>
      <c r="BY397" s="431">
        <f>'Fiche info Avenant 5'!$B$10</f>
        <v>0</v>
      </c>
      <c r="BZ397" s="431">
        <f>'Fiche info Avenant 5'!$C$10</f>
        <v>0</v>
      </c>
      <c r="CA397" s="431">
        <f>'Fiche info Avenant 5'!$D$10</f>
        <v>0</v>
      </c>
      <c r="CB397" s="431">
        <f>'Fiche info Avenant 5'!$E$10</f>
        <v>0</v>
      </c>
      <c r="CC397" s="431">
        <f>'Fiche info Avenant 5'!$F$10</f>
        <v>0</v>
      </c>
      <c r="CD397" s="431">
        <f>'Fiche info Avenant 5'!$G$10</f>
        <v>0</v>
      </c>
      <c r="CE397" s="431">
        <f>'Fiche info Avenant 5'!$H$10</f>
        <v>0</v>
      </c>
      <c r="CF397" s="431">
        <f>'Fiche info Avenant 5'!$I$10</f>
        <v>0</v>
      </c>
      <c r="ED397" s="16" t="str">
        <f t="shared" si="96"/>
        <v>Fiche info Avenant 5A</v>
      </c>
      <c r="EE397" s="16" t="str">
        <f t="shared" si="98"/>
        <v>Fiche info Avenant 5</v>
      </c>
      <c r="EF397" s="16" t="str">
        <f t="shared" si="99"/>
        <v>A</v>
      </c>
      <c r="EG397" s="16">
        <f t="shared" si="100"/>
        <v>4</v>
      </c>
      <c r="EH397" s="16" t="str">
        <f t="shared" si="101"/>
        <v>Jeudi</v>
      </c>
      <c r="EI397" s="16" t="str">
        <f t="shared" si="102"/>
        <v/>
      </c>
    </row>
    <row r="398" spans="1:164" x14ac:dyDescent="0.2">
      <c r="A398" s="16" t="str">
        <f t="shared" si="95"/>
        <v>Fiche info Avenant 5A5</v>
      </c>
      <c r="B398" s="16" t="str">
        <f t="shared" si="105"/>
        <v>Fiche info Avenant 5</v>
      </c>
      <c r="C398" s="27" t="s">
        <v>226</v>
      </c>
      <c r="D398" s="27">
        <v>5</v>
      </c>
      <c r="E398" s="16" t="s">
        <v>21</v>
      </c>
      <c r="F398" s="34" t="str">
        <f>IF('Fiche info Avenant 5'!$K$11=0,"",'Fiche info Avenant 5'!$K$11)</f>
        <v/>
      </c>
      <c r="G398" s="16">
        <f t="shared" si="103"/>
        <v>0</v>
      </c>
      <c r="BX398" s="16" t="str">
        <f t="shared" si="104"/>
        <v>Fiche info Avenant 5A5</v>
      </c>
      <c r="BY398" s="431">
        <f>'Fiche info Avenant 5'!$B$11</f>
        <v>0</v>
      </c>
      <c r="BZ398" s="431">
        <f>'Fiche info Avenant 5'!$C$11</f>
        <v>0</v>
      </c>
      <c r="CA398" s="431">
        <f>'Fiche info Avenant 5'!$D$11</f>
        <v>0</v>
      </c>
      <c r="CB398" s="431">
        <f>'Fiche info Avenant 5'!$E$11</f>
        <v>0</v>
      </c>
      <c r="CC398" s="431">
        <f>'Fiche info Avenant 5'!$F$11</f>
        <v>0</v>
      </c>
      <c r="CD398" s="431">
        <f>'Fiche info Avenant 5'!$G$11</f>
        <v>0</v>
      </c>
      <c r="CE398" s="431">
        <f>'Fiche info Avenant 5'!$H$11</f>
        <v>0</v>
      </c>
      <c r="CF398" s="431">
        <f>'Fiche info Avenant 5'!$I$11</f>
        <v>0</v>
      </c>
      <c r="ED398" s="16" t="str">
        <f t="shared" si="96"/>
        <v>Fiche info Avenant 5A</v>
      </c>
      <c r="EE398" s="16" t="str">
        <f t="shared" si="98"/>
        <v>Fiche info Avenant 5</v>
      </c>
      <c r="EF398" s="16" t="str">
        <f t="shared" si="99"/>
        <v>A</v>
      </c>
      <c r="EG398" s="16">
        <f t="shared" si="100"/>
        <v>5</v>
      </c>
      <c r="EH398" s="16" t="str">
        <f t="shared" si="101"/>
        <v>Vendredi</v>
      </c>
      <c r="EI398" s="16" t="str">
        <f t="shared" si="102"/>
        <v/>
      </c>
    </row>
    <row r="399" spans="1:164" x14ac:dyDescent="0.2">
      <c r="A399" s="16" t="str">
        <f t="shared" si="95"/>
        <v>Fiche info Avenant 5A6</v>
      </c>
      <c r="B399" s="16" t="str">
        <f t="shared" si="105"/>
        <v>Fiche info Avenant 5</v>
      </c>
      <c r="C399" s="27" t="s">
        <v>226</v>
      </c>
      <c r="D399" s="27">
        <v>6</v>
      </c>
      <c r="E399" s="16" t="s">
        <v>184</v>
      </c>
      <c r="F399" s="34" t="str">
        <f>IF('Fiche info Avenant 5'!$K$12=0,"",'Fiche info Avenant 5'!$K$12)</f>
        <v/>
      </c>
      <c r="G399" s="16">
        <f t="shared" si="103"/>
        <v>0</v>
      </c>
      <c r="BX399" s="16" t="str">
        <f t="shared" si="104"/>
        <v>Fiche info Avenant 5A6</v>
      </c>
      <c r="BY399" s="431">
        <f>'Fiche info Avenant 5'!$B$12</f>
        <v>0</v>
      </c>
      <c r="BZ399" s="431">
        <f>'Fiche info Avenant 5'!$C$12</f>
        <v>0</v>
      </c>
      <c r="CA399" s="431">
        <f>'Fiche info Avenant 5'!$D$12</f>
        <v>0</v>
      </c>
      <c r="CB399" s="431">
        <f>'Fiche info Avenant 5'!$E$12</f>
        <v>0</v>
      </c>
      <c r="CC399" s="431">
        <f>'Fiche info Avenant 5'!$F$12</f>
        <v>0</v>
      </c>
      <c r="CD399" s="431">
        <f>'Fiche info Avenant 5'!$G$12</f>
        <v>0</v>
      </c>
      <c r="CE399" s="431">
        <f>'Fiche info Avenant 5'!$H$12</f>
        <v>0</v>
      </c>
      <c r="CF399" s="431">
        <f>'Fiche info Avenant 5'!$I$12</f>
        <v>0</v>
      </c>
      <c r="ED399" s="16" t="str">
        <f t="shared" si="96"/>
        <v>Fiche info Avenant 5A</v>
      </c>
      <c r="EE399" s="16" t="str">
        <f t="shared" si="98"/>
        <v>Fiche info Avenant 5</v>
      </c>
      <c r="EF399" s="16" t="str">
        <f t="shared" si="99"/>
        <v>A</v>
      </c>
      <c r="EG399" s="16">
        <f t="shared" si="100"/>
        <v>6</v>
      </c>
      <c r="EH399" s="16" t="str">
        <f t="shared" si="101"/>
        <v>Samedi</v>
      </c>
      <c r="EI399" s="16" t="str">
        <f t="shared" si="102"/>
        <v/>
      </c>
    </row>
    <row r="400" spans="1:164" x14ac:dyDescent="0.2">
      <c r="A400" s="16" t="str">
        <f t="shared" si="95"/>
        <v>Fiche info Avenant 5A7</v>
      </c>
      <c r="B400" s="16" t="str">
        <f t="shared" si="105"/>
        <v>Fiche info Avenant 5</v>
      </c>
      <c r="C400" s="27" t="s">
        <v>226</v>
      </c>
      <c r="D400" s="27">
        <v>7</v>
      </c>
      <c r="E400" s="16" t="s">
        <v>185</v>
      </c>
      <c r="F400" s="34" t="str">
        <f>IF('Fiche info Avenant 5'!$K$13=0,"",'Fiche info Avenant 5'!$K$13)</f>
        <v/>
      </c>
      <c r="G400" s="16">
        <f t="shared" si="103"/>
        <v>0</v>
      </c>
      <c r="BX400" s="16" t="str">
        <f t="shared" si="104"/>
        <v>Fiche info Avenant 5A7</v>
      </c>
      <c r="BY400" s="431">
        <f>'Fiche info Avenant 5'!$B$13</f>
        <v>0</v>
      </c>
      <c r="BZ400" s="431">
        <f>'Fiche info Avenant 5'!$C$13</f>
        <v>0</v>
      </c>
      <c r="CA400" s="431">
        <f>'Fiche info Avenant 5'!$D$13</f>
        <v>0</v>
      </c>
      <c r="CB400" s="431">
        <f>'Fiche info Avenant 5'!$E$13</f>
        <v>0</v>
      </c>
      <c r="CC400" s="431">
        <f>'Fiche info Avenant 5'!$F$13</f>
        <v>0</v>
      </c>
      <c r="CD400" s="431">
        <f>'Fiche info Avenant 5'!$G$13</f>
        <v>0</v>
      </c>
      <c r="CE400" s="431">
        <f>'Fiche info Avenant 5'!$H$13</f>
        <v>0</v>
      </c>
      <c r="CF400" s="431">
        <f>'Fiche info Avenant 5'!$I$13</f>
        <v>0</v>
      </c>
      <c r="ED400" s="16" t="str">
        <f t="shared" si="96"/>
        <v>Fiche info Avenant 5A</v>
      </c>
      <c r="EE400" s="16" t="str">
        <f t="shared" si="98"/>
        <v>Fiche info Avenant 5</v>
      </c>
      <c r="EF400" s="16" t="str">
        <f t="shared" si="99"/>
        <v>A</v>
      </c>
      <c r="EG400" s="16">
        <f t="shared" si="100"/>
        <v>7</v>
      </c>
      <c r="EH400" s="16" t="str">
        <f t="shared" si="101"/>
        <v>Dimanche</v>
      </c>
      <c r="EI400" s="16" t="str">
        <f t="shared" si="102"/>
        <v/>
      </c>
    </row>
    <row r="401" spans="1:139" x14ac:dyDescent="0.2">
      <c r="A401" s="16" t="str">
        <f t="shared" si="95"/>
        <v>Fiche info Avenant 5B1</v>
      </c>
      <c r="B401" s="16" t="str">
        <f t="shared" si="105"/>
        <v>Fiche info Avenant 5</v>
      </c>
      <c r="C401" s="27" t="s">
        <v>227</v>
      </c>
      <c r="D401" s="27">
        <v>1</v>
      </c>
      <c r="E401" s="16" t="s">
        <v>17</v>
      </c>
      <c r="F401" s="34" t="str">
        <f>+IF('Fiche info Avenant 5'!$V$7=0,"",'Fiche info Avenant 5'!$V$7)</f>
        <v/>
      </c>
      <c r="G401" s="16">
        <f t="shared" si="103"/>
        <v>0</v>
      </c>
      <c r="BX401" s="16" t="str">
        <f t="shared" si="104"/>
        <v>Fiche info Avenant 5B1</v>
      </c>
      <c r="BY401" s="431">
        <f>'Fiche info Avenant 5'!$M$7</f>
        <v>0</v>
      </c>
      <c r="BZ401" s="431">
        <f>'Fiche info Avenant 5'!$N$7</f>
        <v>0</v>
      </c>
      <c r="CA401" s="431">
        <f>'Fiche info Avenant 5'!$O$7</f>
        <v>0</v>
      </c>
      <c r="CB401" s="431">
        <f>'Fiche info Avenant 5'!$P$7</f>
        <v>0</v>
      </c>
      <c r="CC401" s="431">
        <f>'Fiche info Avenant 5'!$Q$7</f>
        <v>0</v>
      </c>
      <c r="CD401" s="431">
        <f>'Fiche info Avenant 5'!$R$7</f>
        <v>0</v>
      </c>
      <c r="CE401" s="431">
        <f>'Fiche info Avenant 5'!$S$7</f>
        <v>0</v>
      </c>
      <c r="CF401" s="431">
        <f>'Fiche info Avenant 5'!$T$7</f>
        <v>0</v>
      </c>
      <c r="ED401" s="16" t="str">
        <f t="shared" si="96"/>
        <v>Fiche info Avenant 5B</v>
      </c>
      <c r="EE401" s="16" t="str">
        <f t="shared" si="98"/>
        <v>Fiche info Avenant 5</v>
      </c>
      <c r="EF401" s="16" t="str">
        <f t="shared" si="99"/>
        <v>B</v>
      </c>
      <c r="EG401" s="16">
        <f t="shared" si="100"/>
        <v>1</v>
      </c>
      <c r="EH401" s="16" t="str">
        <f t="shared" si="101"/>
        <v>Lundi</v>
      </c>
      <c r="EI401" s="16" t="str">
        <f t="shared" si="102"/>
        <v/>
      </c>
    </row>
    <row r="402" spans="1:139" x14ac:dyDescent="0.2">
      <c r="A402" s="16" t="str">
        <f t="shared" si="95"/>
        <v>Fiche info Avenant 5B2</v>
      </c>
      <c r="B402" s="16" t="str">
        <f t="shared" si="105"/>
        <v>Fiche info Avenant 5</v>
      </c>
      <c r="C402" s="27" t="s">
        <v>227</v>
      </c>
      <c r="D402" s="27">
        <v>2</v>
      </c>
      <c r="E402" s="16" t="s">
        <v>18</v>
      </c>
      <c r="F402" s="34" t="str">
        <f>+IF('Fiche info Avenant 5'!$V$8=0,"",'Fiche info Avenant 5'!$V$8)</f>
        <v/>
      </c>
      <c r="G402" s="16">
        <f t="shared" si="103"/>
        <v>0</v>
      </c>
      <c r="BX402" s="16" t="str">
        <f t="shared" si="104"/>
        <v>Fiche info Avenant 5B2</v>
      </c>
      <c r="BY402" s="431">
        <f>'Fiche info Avenant 5'!$M$8</f>
        <v>0</v>
      </c>
      <c r="BZ402" s="431">
        <f>'Fiche info Avenant 5'!$N$8</f>
        <v>0</v>
      </c>
      <c r="CA402" s="431">
        <f>'Fiche info Avenant 5'!$O$8</f>
        <v>0</v>
      </c>
      <c r="CB402" s="431">
        <f>'Fiche info Avenant 5'!$P$8</f>
        <v>0</v>
      </c>
      <c r="CC402" s="431">
        <f>'Fiche info Avenant 5'!$Q$8</f>
        <v>0</v>
      </c>
      <c r="CD402" s="431">
        <f>'Fiche info Avenant 5'!$R$8</f>
        <v>0</v>
      </c>
      <c r="CE402" s="431">
        <f>'Fiche info Avenant 5'!$S$8</f>
        <v>0</v>
      </c>
      <c r="CF402" s="431">
        <f>'Fiche info Avenant 5'!$T$8</f>
        <v>0</v>
      </c>
      <c r="ED402" s="16" t="str">
        <f t="shared" si="96"/>
        <v>Fiche info Avenant 5B</v>
      </c>
      <c r="EE402" s="16" t="str">
        <f t="shared" si="98"/>
        <v>Fiche info Avenant 5</v>
      </c>
      <c r="EF402" s="16" t="str">
        <f t="shared" si="99"/>
        <v>B</v>
      </c>
      <c r="EG402" s="16">
        <f t="shared" si="100"/>
        <v>2</v>
      </c>
      <c r="EH402" s="16" t="str">
        <f t="shared" si="101"/>
        <v>Mardi</v>
      </c>
      <c r="EI402" s="16" t="str">
        <f t="shared" si="102"/>
        <v/>
      </c>
    </row>
    <row r="403" spans="1:139" x14ac:dyDescent="0.2">
      <c r="A403" s="16" t="str">
        <f t="shared" si="95"/>
        <v>Fiche info Avenant 5B3</v>
      </c>
      <c r="B403" s="16" t="str">
        <f t="shared" si="105"/>
        <v>Fiche info Avenant 5</v>
      </c>
      <c r="C403" s="27" t="s">
        <v>227</v>
      </c>
      <c r="D403" s="27">
        <v>3</v>
      </c>
      <c r="E403" s="16" t="s">
        <v>19</v>
      </c>
      <c r="F403" s="34" t="str">
        <f>+IF('Fiche info Avenant 5'!$V$9=0,"",'Fiche info Avenant 5'!$V$9)</f>
        <v/>
      </c>
      <c r="G403" s="16">
        <f t="shared" si="103"/>
        <v>0</v>
      </c>
      <c r="BX403" s="16" t="str">
        <f t="shared" si="104"/>
        <v>Fiche info Avenant 5B3</v>
      </c>
      <c r="BY403" s="431">
        <f>'Fiche info Avenant 5'!$M$9</f>
        <v>0</v>
      </c>
      <c r="BZ403" s="431">
        <f>'Fiche info Avenant 5'!$N$9</f>
        <v>0</v>
      </c>
      <c r="CA403" s="431">
        <f>'Fiche info Avenant 5'!$O$9</f>
        <v>0</v>
      </c>
      <c r="CB403" s="431">
        <f>'Fiche info Avenant 5'!$P$9</f>
        <v>0</v>
      </c>
      <c r="CC403" s="431">
        <f>'Fiche info Avenant 5'!$Q$9</f>
        <v>0</v>
      </c>
      <c r="CD403" s="431">
        <f>'Fiche info Avenant 5'!$R$9</f>
        <v>0</v>
      </c>
      <c r="CE403" s="431">
        <f>'Fiche info Avenant 5'!$S$9</f>
        <v>0</v>
      </c>
      <c r="CF403" s="431">
        <f>'Fiche info Avenant 5'!$T$9</f>
        <v>0</v>
      </c>
      <c r="ED403" s="16" t="str">
        <f t="shared" si="96"/>
        <v>Fiche info Avenant 5B</v>
      </c>
      <c r="EE403" s="16" t="str">
        <f t="shared" si="98"/>
        <v>Fiche info Avenant 5</v>
      </c>
      <c r="EF403" s="16" t="str">
        <f t="shared" si="99"/>
        <v>B</v>
      </c>
      <c r="EG403" s="16">
        <f t="shared" si="100"/>
        <v>3</v>
      </c>
      <c r="EH403" s="16" t="str">
        <f t="shared" si="101"/>
        <v>Mercredi</v>
      </c>
      <c r="EI403" s="16" t="str">
        <f t="shared" si="102"/>
        <v/>
      </c>
    </row>
    <row r="404" spans="1:139" x14ac:dyDescent="0.2">
      <c r="A404" s="16" t="str">
        <f t="shared" si="95"/>
        <v>Fiche info Avenant 5B4</v>
      </c>
      <c r="B404" s="16" t="str">
        <f t="shared" si="105"/>
        <v>Fiche info Avenant 5</v>
      </c>
      <c r="C404" s="27" t="s">
        <v>227</v>
      </c>
      <c r="D404" s="27">
        <v>4</v>
      </c>
      <c r="E404" s="16" t="s">
        <v>20</v>
      </c>
      <c r="F404" s="34" t="str">
        <f>+IF('Fiche info Avenant 5'!$V$10=0,"",'Fiche info Avenant 5'!$V$10)</f>
        <v/>
      </c>
      <c r="G404" s="16">
        <f t="shared" si="103"/>
        <v>0</v>
      </c>
      <c r="BX404" s="16" t="str">
        <f t="shared" si="104"/>
        <v>Fiche info Avenant 5B4</v>
      </c>
      <c r="BY404" s="431">
        <f>'Fiche info Avenant 5'!$M$10</f>
        <v>0</v>
      </c>
      <c r="BZ404" s="431">
        <f>'Fiche info Avenant 5'!$N$10</f>
        <v>0</v>
      </c>
      <c r="CA404" s="431">
        <f>'Fiche info Avenant 5'!$O$10</f>
        <v>0</v>
      </c>
      <c r="CB404" s="431">
        <f>'Fiche info Avenant 5'!$P$10</f>
        <v>0</v>
      </c>
      <c r="CC404" s="431">
        <f>'Fiche info Avenant 5'!$Q$10</f>
        <v>0</v>
      </c>
      <c r="CD404" s="431">
        <f>'Fiche info Avenant 5'!$R$10</f>
        <v>0</v>
      </c>
      <c r="CE404" s="431">
        <f>'Fiche info Avenant 5'!$S$10</f>
        <v>0</v>
      </c>
      <c r="CF404" s="431">
        <f>'Fiche info Avenant 5'!$T$10</f>
        <v>0</v>
      </c>
      <c r="ED404" s="16" t="str">
        <f t="shared" si="96"/>
        <v>Fiche info Avenant 5B</v>
      </c>
      <c r="EE404" s="16" t="str">
        <f t="shared" si="98"/>
        <v>Fiche info Avenant 5</v>
      </c>
      <c r="EF404" s="16" t="str">
        <f t="shared" si="99"/>
        <v>B</v>
      </c>
      <c r="EG404" s="16">
        <f t="shared" si="100"/>
        <v>4</v>
      </c>
      <c r="EH404" s="16" t="str">
        <f t="shared" si="101"/>
        <v>Jeudi</v>
      </c>
      <c r="EI404" s="16" t="str">
        <f t="shared" si="102"/>
        <v/>
      </c>
    </row>
    <row r="405" spans="1:139" x14ac:dyDescent="0.2">
      <c r="A405" s="16" t="str">
        <f t="shared" si="95"/>
        <v>Fiche info Avenant 5B5</v>
      </c>
      <c r="B405" s="16" t="str">
        <f t="shared" si="105"/>
        <v>Fiche info Avenant 5</v>
      </c>
      <c r="C405" s="27" t="s">
        <v>227</v>
      </c>
      <c r="D405" s="27">
        <v>5</v>
      </c>
      <c r="E405" s="16" t="s">
        <v>21</v>
      </c>
      <c r="F405" s="34" t="str">
        <f>+IF('Fiche info Avenant 5'!$V$11=0,"",'Fiche info Avenant 5'!$V$11)</f>
        <v/>
      </c>
      <c r="G405" s="16">
        <f t="shared" si="103"/>
        <v>0</v>
      </c>
      <c r="BX405" s="16" t="str">
        <f t="shared" si="104"/>
        <v>Fiche info Avenant 5B5</v>
      </c>
      <c r="BY405" s="431">
        <f>'Fiche info Avenant 5'!$M$11</f>
        <v>0</v>
      </c>
      <c r="BZ405" s="431">
        <f>'Fiche info Avenant 5'!$N$11</f>
        <v>0</v>
      </c>
      <c r="CA405" s="431">
        <f>'Fiche info Avenant 5'!$O$11</f>
        <v>0</v>
      </c>
      <c r="CB405" s="431">
        <f>'Fiche info Avenant 5'!$P$11</f>
        <v>0</v>
      </c>
      <c r="CC405" s="431">
        <f>'Fiche info Avenant 5'!$Q$11</f>
        <v>0</v>
      </c>
      <c r="CD405" s="431">
        <f>'Fiche info Avenant 5'!$R$11</f>
        <v>0</v>
      </c>
      <c r="CE405" s="431">
        <f>'Fiche info Avenant 5'!$S$11</f>
        <v>0</v>
      </c>
      <c r="CF405" s="431">
        <f>'Fiche info Avenant 5'!$T$11</f>
        <v>0</v>
      </c>
      <c r="ED405" s="16" t="str">
        <f t="shared" si="96"/>
        <v>Fiche info Avenant 5B</v>
      </c>
      <c r="EE405" s="16" t="str">
        <f t="shared" si="98"/>
        <v>Fiche info Avenant 5</v>
      </c>
      <c r="EF405" s="16" t="str">
        <f t="shared" si="99"/>
        <v>B</v>
      </c>
      <c r="EG405" s="16">
        <f t="shared" si="100"/>
        <v>5</v>
      </c>
      <c r="EH405" s="16" t="str">
        <f t="shared" si="101"/>
        <v>Vendredi</v>
      </c>
      <c r="EI405" s="16" t="str">
        <f t="shared" si="102"/>
        <v/>
      </c>
    </row>
    <row r="406" spans="1:139" x14ac:dyDescent="0.2">
      <c r="A406" s="16" t="str">
        <f t="shared" si="95"/>
        <v>Fiche info Avenant 5B6</v>
      </c>
      <c r="B406" s="16" t="str">
        <f t="shared" si="105"/>
        <v>Fiche info Avenant 5</v>
      </c>
      <c r="C406" s="27" t="s">
        <v>227</v>
      </c>
      <c r="D406" s="27">
        <v>6</v>
      </c>
      <c r="E406" s="16" t="s">
        <v>184</v>
      </c>
      <c r="F406" s="34" t="str">
        <f>+IF('Fiche info Avenant 5'!$V$12=0,"",'Fiche info Avenant 5'!$V$12)</f>
        <v/>
      </c>
      <c r="G406" s="16">
        <f t="shared" si="103"/>
        <v>0</v>
      </c>
      <c r="BX406" s="16" t="str">
        <f t="shared" si="104"/>
        <v>Fiche info Avenant 5B6</v>
      </c>
      <c r="BY406" s="431">
        <f>'Fiche info Avenant 5'!$M$12</f>
        <v>0</v>
      </c>
      <c r="BZ406" s="431">
        <f>'Fiche info Avenant 5'!$N$12</f>
        <v>0</v>
      </c>
      <c r="CA406" s="431">
        <f>'Fiche info Avenant 5'!$O$12</f>
        <v>0</v>
      </c>
      <c r="CB406" s="431">
        <f>'Fiche info Avenant 5'!$P$12</f>
        <v>0</v>
      </c>
      <c r="CC406" s="431">
        <f>'Fiche info Avenant 5'!$Q$12</f>
        <v>0</v>
      </c>
      <c r="CD406" s="431">
        <f>'Fiche info Avenant 5'!$R$12</f>
        <v>0</v>
      </c>
      <c r="CE406" s="431">
        <f>'Fiche info Avenant 5'!$S$12</f>
        <v>0</v>
      </c>
      <c r="CF406" s="431">
        <f>'Fiche info Avenant 5'!$T$12</f>
        <v>0</v>
      </c>
      <c r="ED406" s="16" t="str">
        <f t="shared" si="96"/>
        <v>Fiche info Avenant 5B</v>
      </c>
      <c r="EE406" s="16" t="str">
        <f t="shared" si="98"/>
        <v>Fiche info Avenant 5</v>
      </c>
      <c r="EF406" s="16" t="str">
        <f t="shared" si="99"/>
        <v>B</v>
      </c>
      <c r="EG406" s="16">
        <f t="shared" si="100"/>
        <v>6</v>
      </c>
      <c r="EH406" s="16" t="str">
        <f t="shared" si="101"/>
        <v>Samedi</v>
      </c>
      <c r="EI406" s="16" t="str">
        <f t="shared" si="102"/>
        <v/>
      </c>
    </row>
    <row r="407" spans="1:139" x14ac:dyDescent="0.2">
      <c r="A407" s="16" t="str">
        <f t="shared" si="95"/>
        <v>Fiche info Avenant 5B7</v>
      </c>
      <c r="B407" s="16" t="str">
        <f t="shared" si="105"/>
        <v>Fiche info Avenant 5</v>
      </c>
      <c r="C407" s="27" t="s">
        <v>227</v>
      </c>
      <c r="D407" s="27">
        <v>7</v>
      </c>
      <c r="E407" s="16" t="s">
        <v>185</v>
      </c>
      <c r="F407" s="34" t="str">
        <f>+IF('Fiche info Avenant 5'!$V$13=0,"",'Fiche info Avenant 5'!$V$13)</f>
        <v/>
      </c>
      <c r="G407" s="16">
        <f t="shared" si="103"/>
        <v>0</v>
      </c>
      <c r="BX407" s="16" t="str">
        <f t="shared" si="104"/>
        <v>Fiche info Avenant 5B7</v>
      </c>
      <c r="BY407" s="431">
        <f>'Fiche info Avenant 5'!$M$13</f>
        <v>0</v>
      </c>
      <c r="BZ407" s="431">
        <f>'Fiche info Avenant 5'!$N$13</f>
        <v>0</v>
      </c>
      <c r="CA407" s="431">
        <f>'Fiche info Avenant 5'!$O$13</f>
        <v>0</v>
      </c>
      <c r="CB407" s="431">
        <f>'Fiche info Avenant 5'!$P$13</f>
        <v>0</v>
      </c>
      <c r="CC407" s="431">
        <f>'Fiche info Avenant 5'!$Q$13</f>
        <v>0</v>
      </c>
      <c r="CD407" s="431">
        <f>'Fiche info Avenant 5'!$R$13</f>
        <v>0</v>
      </c>
      <c r="CE407" s="431">
        <f>'Fiche info Avenant 5'!$S$13</f>
        <v>0</v>
      </c>
      <c r="CF407" s="431">
        <f>'Fiche info Avenant 5'!$T$13</f>
        <v>0</v>
      </c>
      <c r="ED407" s="16" t="str">
        <f t="shared" si="96"/>
        <v>Fiche info Avenant 5B</v>
      </c>
      <c r="EE407" s="16" t="str">
        <f t="shared" si="98"/>
        <v>Fiche info Avenant 5</v>
      </c>
      <c r="EF407" s="16" t="str">
        <f t="shared" si="99"/>
        <v>B</v>
      </c>
      <c r="EG407" s="16">
        <f t="shared" si="100"/>
        <v>7</v>
      </c>
      <c r="EH407" s="16" t="str">
        <f t="shared" si="101"/>
        <v>Dimanche</v>
      </c>
      <c r="EI407" s="16" t="str">
        <f t="shared" si="102"/>
        <v/>
      </c>
    </row>
    <row r="408" spans="1:139" x14ac:dyDescent="0.2">
      <c r="A408" s="16" t="str">
        <f t="shared" si="95"/>
        <v>Fiche info Avenant 5C1</v>
      </c>
      <c r="B408" s="16" t="str">
        <f t="shared" si="105"/>
        <v>Fiche info Avenant 5</v>
      </c>
      <c r="C408" s="27" t="s">
        <v>232</v>
      </c>
      <c r="D408" s="27">
        <v>1</v>
      </c>
      <c r="E408" s="16" t="s">
        <v>17</v>
      </c>
      <c r="F408" s="34" t="str">
        <f>+IF('Fiche info Avenant 5'!$AG$7=0,"",'Fiche info Avenant 5'!$AG$7)</f>
        <v/>
      </c>
      <c r="G408" s="16">
        <f t="shared" si="103"/>
        <v>0</v>
      </c>
      <c r="BX408" s="16" t="str">
        <f t="shared" si="104"/>
        <v>Fiche info Avenant 5C1</v>
      </c>
      <c r="BY408" s="431">
        <f>'Fiche info Avenant 5'!$X$7</f>
        <v>0</v>
      </c>
      <c r="BZ408" s="431">
        <f>'Fiche info Avenant 5'!$Y$7</f>
        <v>0</v>
      </c>
      <c r="CA408" s="431">
        <f>'Fiche info Avenant 5'!$Z$7</f>
        <v>0</v>
      </c>
      <c r="CB408" s="431">
        <f>'Fiche info Avenant 5'!$AA$7</f>
        <v>0</v>
      </c>
      <c r="CC408" s="431">
        <f>'Fiche info Avenant 5'!$AB$7</f>
        <v>0</v>
      </c>
      <c r="CD408" s="431">
        <f>'Fiche info Avenant 5'!$AC$7</f>
        <v>0</v>
      </c>
      <c r="CE408" s="431">
        <f>'Fiche info Avenant 5'!$AD$7</f>
        <v>0</v>
      </c>
      <c r="CF408" s="431">
        <f>'Fiche info Avenant 5'!$AE$7</f>
        <v>0</v>
      </c>
      <c r="ED408" s="16" t="str">
        <f t="shared" si="96"/>
        <v>Fiche info Avenant 5C</v>
      </c>
      <c r="EE408" s="16" t="str">
        <f t="shared" si="98"/>
        <v>Fiche info Avenant 5</v>
      </c>
      <c r="EF408" s="16" t="str">
        <f t="shared" si="99"/>
        <v>C</v>
      </c>
      <c r="EG408" s="16">
        <f t="shared" si="100"/>
        <v>1</v>
      </c>
      <c r="EH408" s="16" t="str">
        <f t="shared" si="101"/>
        <v>Lundi</v>
      </c>
      <c r="EI408" s="16" t="str">
        <f t="shared" si="102"/>
        <v/>
      </c>
    </row>
    <row r="409" spans="1:139" x14ac:dyDescent="0.2">
      <c r="A409" s="16" t="str">
        <f t="shared" si="95"/>
        <v>Fiche info Avenant 5C2</v>
      </c>
      <c r="B409" s="16" t="str">
        <f t="shared" si="105"/>
        <v>Fiche info Avenant 5</v>
      </c>
      <c r="C409" s="27" t="s">
        <v>232</v>
      </c>
      <c r="D409" s="27">
        <v>2</v>
      </c>
      <c r="E409" s="16" t="s">
        <v>18</v>
      </c>
      <c r="F409" s="34" t="str">
        <f>+IF('Fiche info Avenant 5'!$AG$8=0,"",'Fiche info Avenant 5'!$AG$8)</f>
        <v/>
      </c>
      <c r="G409" s="16">
        <f t="shared" si="103"/>
        <v>0</v>
      </c>
      <c r="BX409" s="16" t="str">
        <f t="shared" si="104"/>
        <v>Fiche info Avenant 5C2</v>
      </c>
      <c r="BY409" s="431">
        <f>'Fiche info Avenant 5'!$X$8</f>
        <v>0</v>
      </c>
      <c r="BZ409" s="431">
        <f>'Fiche info Avenant 5'!$Y$8</f>
        <v>0</v>
      </c>
      <c r="CA409" s="431">
        <f>'Fiche info Avenant 5'!$Z$8</f>
        <v>0</v>
      </c>
      <c r="CB409" s="431">
        <f>'Fiche info Avenant 5'!$AA$8</f>
        <v>0</v>
      </c>
      <c r="CC409" s="431">
        <f>'Fiche info Avenant 5'!$AB$8</f>
        <v>0</v>
      </c>
      <c r="CD409" s="431">
        <f>'Fiche info Avenant 5'!$AC$8</f>
        <v>0</v>
      </c>
      <c r="CE409" s="431">
        <f>'Fiche info Avenant 5'!$AD$8</f>
        <v>0</v>
      </c>
      <c r="CF409" s="431">
        <f>'Fiche info Avenant 5'!$AE$8</f>
        <v>0</v>
      </c>
      <c r="ED409" s="16" t="str">
        <f t="shared" si="96"/>
        <v>Fiche info Avenant 5C</v>
      </c>
      <c r="EE409" s="16" t="str">
        <f t="shared" si="98"/>
        <v>Fiche info Avenant 5</v>
      </c>
      <c r="EF409" s="16" t="str">
        <f t="shared" si="99"/>
        <v>C</v>
      </c>
      <c r="EG409" s="16">
        <f t="shared" si="100"/>
        <v>2</v>
      </c>
      <c r="EH409" s="16" t="str">
        <f t="shared" si="101"/>
        <v>Mardi</v>
      </c>
      <c r="EI409" s="16" t="str">
        <f t="shared" si="102"/>
        <v/>
      </c>
    </row>
    <row r="410" spans="1:139" x14ac:dyDescent="0.2">
      <c r="A410" s="16" t="str">
        <f t="shared" si="95"/>
        <v>Fiche info Avenant 5C3</v>
      </c>
      <c r="B410" s="16" t="str">
        <f t="shared" si="105"/>
        <v>Fiche info Avenant 5</v>
      </c>
      <c r="C410" s="27" t="s">
        <v>232</v>
      </c>
      <c r="D410" s="27">
        <v>3</v>
      </c>
      <c r="E410" s="16" t="s">
        <v>19</v>
      </c>
      <c r="F410" s="34" t="str">
        <f>+IF('Fiche info Avenant 5'!$AG$9=0,"",'Fiche info Avenant 5'!$AG$9)</f>
        <v/>
      </c>
      <c r="G410" s="16">
        <f t="shared" si="103"/>
        <v>0</v>
      </c>
      <c r="BX410" s="16" t="str">
        <f t="shared" si="104"/>
        <v>Fiche info Avenant 5C3</v>
      </c>
      <c r="BY410" s="431">
        <f>'Fiche info Avenant 5'!$X$9</f>
        <v>0</v>
      </c>
      <c r="BZ410" s="431">
        <f>'Fiche info Avenant 5'!$Y$9</f>
        <v>0</v>
      </c>
      <c r="CA410" s="431">
        <f>'Fiche info Avenant 5'!$Z$9</f>
        <v>0</v>
      </c>
      <c r="CB410" s="431">
        <f>'Fiche info Avenant 5'!$AA$9</f>
        <v>0</v>
      </c>
      <c r="CC410" s="431">
        <f>'Fiche info Avenant 5'!$AB$9</f>
        <v>0</v>
      </c>
      <c r="CD410" s="431">
        <f>'Fiche info Avenant 5'!$AC$9</f>
        <v>0</v>
      </c>
      <c r="CE410" s="431">
        <f>'Fiche info Avenant 5'!$AD$9</f>
        <v>0</v>
      </c>
      <c r="CF410" s="431">
        <f>'Fiche info Avenant 5'!$AE$9</f>
        <v>0</v>
      </c>
      <c r="ED410" s="16" t="str">
        <f t="shared" si="96"/>
        <v>Fiche info Avenant 5C</v>
      </c>
      <c r="EE410" s="16" t="str">
        <f t="shared" si="98"/>
        <v>Fiche info Avenant 5</v>
      </c>
      <c r="EF410" s="16" t="str">
        <f t="shared" si="99"/>
        <v>C</v>
      </c>
      <c r="EG410" s="16">
        <f t="shared" si="100"/>
        <v>3</v>
      </c>
      <c r="EH410" s="16" t="str">
        <f t="shared" si="101"/>
        <v>Mercredi</v>
      </c>
      <c r="EI410" s="16" t="str">
        <f t="shared" si="102"/>
        <v/>
      </c>
    </row>
    <row r="411" spans="1:139" x14ac:dyDescent="0.2">
      <c r="A411" s="16" t="str">
        <f t="shared" si="95"/>
        <v>Fiche info Avenant 5C4</v>
      </c>
      <c r="B411" s="16" t="str">
        <f t="shared" si="105"/>
        <v>Fiche info Avenant 5</v>
      </c>
      <c r="C411" s="27" t="s">
        <v>232</v>
      </c>
      <c r="D411" s="27">
        <v>4</v>
      </c>
      <c r="E411" s="16" t="s">
        <v>20</v>
      </c>
      <c r="F411" s="34" t="str">
        <f>+IF('Fiche info Avenant 5'!$AG$10=0,"",'Fiche info Avenant 5'!$AG$10)</f>
        <v/>
      </c>
      <c r="G411" s="16">
        <f t="shared" si="103"/>
        <v>0</v>
      </c>
      <c r="BX411" s="16" t="str">
        <f t="shared" si="104"/>
        <v>Fiche info Avenant 5C4</v>
      </c>
      <c r="BY411" s="431">
        <f>'Fiche info Avenant 5'!$X$10</f>
        <v>0</v>
      </c>
      <c r="BZ411" s="431">
        <f>'Fiche info Avenant 5'!$Y$10</f>
        <v>0</v>
      </c>
      <c r="CA411" s="431">
        <f>'Fiche info Avenant 5'!$Z$10</f>
        <v>0</v>
      </c>
      <c r="CB411" s="431">
        <f>'Fiche info Avenant 5'!$AA$10</f>
        <v>0</v>
      </c>
      <c r="CC411" s="431">
        <f>'Fiche info Avenant 5'!$AB$10</f>
        <v>0</v>
      </c>
      <c r="CD411" s="431">
        <f>'Fiche info Avenant 5'!$AC$10</f>
        <v>0</v>
      </c>
      <c r="CE411" s="431">
        <f>'Fiche info Avenant 5'!$AD$10</f>
        <v>0</v>
      </c>
      <c r="CF411" s="431">
        <f>'Fiche info Avenant 5'!$AE$10</f>
        <v>0</v>
      </c>
      <c r="ED411" s="16" t="str">
        <f t="shared" si="96"/>
        <v>Fiche info Avenant 5C</v>
      </c>
      <c r="EE411" s="16" t="str">
        <f t="shared" si="98"/>
        <v>Fiche info Avenant 5</v>
      </c>
      <c r="EF411" s="16" t="str">
        <f t="shared" si="99"/>
        <v>C</v>
      </c>
      <c r="EG411" s="16">
        <f t="shared" si="100"/>
        <v>4</v>
      </c>
      <c r="EH411" s="16" t="str">
        <f t="shared" si="101"/>
        <v>Jeudi</v>
      </c>
      <c r="EI411" s="16" t="str">
        <f t="shared" si="102"/>
        <v/>
      </c>
    </row>
    <row r="412" spans="1:139" x14ac:dyDescent="0.2">
      <c r="A412" s="16" t="str">
        <f t="shared" si="95"/>
        <v>Fiche info Avenant 5C5</v>
      </c>
      <c r="B412" s="16" t="str">
        <f t="shared" si="105"/>
        <v>Fiche info Avenant 5</v>
      </c>
      <c r="C412" s="27" t="s">
        <v>232</v>
      </c>
      <c r="D412" s="27">
        <v>5</v>
      </c>
      <c r="E412" s="16" t="s">
        <v>21</v>
      </c>
      <c r="F412" s="34" t="str">
        <f>+IF('Fiche info Avenant 5'!$AG$11=0,"",'Fiche info Avenant 5'!$AG$11)</f>
        <v/>
      </c>
      <c r="G412" s="16">
        <f t="shared" si="103"/>
        <v>0</v>
      </c>
      <c r="BX412" s="16" t="str">
        <f t="shared" si="104"/>
        <v>Fiche info Avenant 5C5</v>
      </c>
      <c r="BY412" s="431">
        <f>'Fiche info Avenant 5'!$X$11</f>
        <v>0</v>
      </c>
      <c r="BZ412" s="431">
        <f>'Fiche info Avenant 5'!$Y$11</f>
        <v>0</v>
      </c>
      <c r="CA412" s="431">
        <f>'Fiche info Avenant 5'!$Z$11</f>
        <v>0</v>
      </c>
      <c r="CB412" s="431">
        <f>'Fiche info Avenant 5'!$AA$11</f>
        <v>0</v>
      </c>
      <c r="CC412" s="431">
        <f>'Fiche info Avenant 5'!$AB$11</f>
        <v>0</v>
      </c>
      <c r="CD412" s="431">
        <f>'Fiche info Avenant 5'!$AC$11</f>
        <v>0</v>
      </c>
      <c r="CE412" s="431">
        <f>'Fiche info Avenant 5'!$AD$11</f>
        <v>0</v>
      </c>
      <c r="CF412" s="431">
        <f>'Fiche info Avenant 5'!$AE$11</f>
        <v>0</v>
      </c>
      <c r="ED412" s="16" t="str">
        <f t="shared" si="96"/>
        <v>Fiche info Avenant 5C</v>
      </c>
      <c r="EE412" s="16" t="str">
        <f t="shared" si="98"/>
        <v>Fiche info Avenant 5</v>
      </c>
      <c r="EF412" s="16" t="str">
        <f t="shared" si="99"/>
        <v>C</v>
      </c>
      <c r="EG412" s="16">
        <f t="shared" si="100"/>
        <v>5</v>
      </c>
      <c r="EH412" s="16" t="str">
        <f t="shared" si="101"/>
        <v>Vendredi</v>
      </c>
      <c r="EI412" s="16" t="str">
        <f t="shared" si="102"/>
        <v/>
      </c>
    </row>
    <row r="413" spans="1:139" x14ac:dyDescent="0.2">
      <c r="A413" s="16" t="str">
        <f t="shared" si="95"/>
        <v>Fiche info Avenant 5C6</v>
      </c>
      <c r="B413" s="16" t="str">
        <f t="shared" si="105"/>
        <v>Fiche info Avenant 5</v>
      </c>
      <c r="C413" s="27" t="s">
        <v>232</v>
      </c>
      <c r="D413" s="27">
        <v>6</v>
      </c>
      <c r="E413" s="16" t="s">
        <v>184</v>
      </c>
      <c r="F413" s="34" t="str">
        <f>+IF('Fiche info Avenant 5'!$AG$12=0,"",'Fiche info Avenant 5'!$AG$12)</f>
        <v/>
      </c>
      <c r="G413" s="16">
        <f t="shared" si="103"/>
        <v>0</v>
      </c>
      <c r="BX413" s="16" t="str">
        <f t="shared" si="104"/>
        <v>Fiche info Avenant 5C6</v>
      </c>
      <c r="BY413" s="431">
        <f>'Fiche info Avenant 5'!$X$12</f>
        <v>0</v>
      </c>
      <c r="BZ413" s="431">
        <f>'Fiche info Avenant 5'!$Y$12</f>
        <v>0</v>
      </c>
      <c r="CA413" s="431">
        <f>'Fiche info Avenant 5'!$Z$12</f>
        <v>0</v>
      </c>
      <c r="CB413" s="431">
        <f>'Fiche info Avenant 5'!$AA$12</f>
        <v>0</v>
      </c>
      <c r="CC413" s="431">
        <f>'Fiche info Avenant 5'!$AB$12</f>
        <v>0</v>
      </c>
      <c r="CD413" s="431">
        <f>'Fiche info Avenant 5'!$AC$12</f>
        <v>0</v>
      </c>
      <c r="CE413" s="431">
        <f>'Fiche info Avenant 5'!$AD$12</f>
        <v>0</v>
      </c>
      <c r="CF413" s="431">
        <f>'Fiche info Avenant 5'!$AE$12</f>
        <v>0</v>
      </c>
      <c r="ED413" s="16" t="str">
        <f t="shared" si="96"/>
        <v>Fiche info Avenant 5C</v>
      </c>
      <c r="EE413" s="16" t="str">
        <f t="shared" si="98"/>
        <v>Fiche info Avenant 5</v>
      </c>
      <c r="EF413" s="16" t="str">
        <f t="shared" si="99"/>
        <v>C</v>
      </c>
      <c r="EG413" s="16">
        <f t="shared" si="100"/>
        <v>6</v>
      </c>
      <c r="EH413" s="16" t="str">
        <f t="shared" si="101"/>
        <v>Samedi</v>
      </c>
      <c r="EI413" s="16" t="str">
        <f t="shared" si="102"/>
        <v/>
      </c>
    </row>
    <row r="414" spans="1:139" x14ac:dyDescent="0.2">
      <c r="A414" s="16" t="str">
        <f t="shared" si="95"/>
        <v>Fiche info Avenant 5C7</v>
      </c>
      <c r="B414" s="16" t="str">
        <f t="shared" si="105"/>
        <v>Fiche info Avenant 5</v>
      </c>
      <c r="C414" s="27" t="s">
        <v>232</v>
      </c>
      <c r="D414" s="27">
        <v>7</v>
      </c>
      <c r="E414" s="16" t="s">
        <v>185</v>
      </c>
      <c r="F414" s="34" t="str">
        <f>+IF('Fiche info Avenant 5'!$AG$13=0,"",'Fiche info Avenant 5'!$AG$13)</f>
        <v/>
      </c>
      <c r="G414" s="16">
        <f t="shared" si="103"/>
        <v>0</v>
      </c>
      <c r="BX414" s="16" t="str">
        <f t="shared" si="104"/>
        <v>Fiche info Avenant 5C7</v>
      </c>
      <c r="BY414" s="431">
        <f>'Fiche info Avenant 5'!$X$13</f>
        <v>0</v>
      </c>
      <c r="BZ414" s="431">
        <f>'Fiche info Avenant 5'!$Y$13</f>
        <v>0</v>
      </c>
      <c r="CA414" s="431">
        <f>'Fiche info Avenant 5'!$Z$13</f>
        <v>0</v>
      </c>
      <c r="CB414" s="431">
        <f>'Fiche info Avenant 5'!$AA$13</f>
        <v>0</v>
      </c>
      <c r="CC414" s="431">
        <f>'Fiche info Avenant 5'!$AB$13</f>
        <v>0</v>
      </c>
      <c r="CD414" s="431">
        <f>'Fiche info Avenant 5'!$AC$13</f>
        <v>0</v>
      </c>
      <c r="CE414" s="431">
        <f>'Fiche info Avenant 5'!$AD$13</f>
        <v>0</v>
      </c>
      <c r="CF414" s="431">
        <f>'Fiche info Avenant 5'!$AE$13</f>
        <v>0</v>
      </c>
      <c r="ED414" s="16" t="str">
        <f t="shared" si="96"/>
        <v>Fiche info Avenant 5C</v>
      </c>
      <c r="EE414" s="16" t="str">
        <f t="shared" si="98"/>
        <v>Fiche info Avenant 5</v>
      </c>
      <c r="EF414" s="16" t="str">
        <f t="shared" si="99"/>
        <v>C</v>
      </c>
      <c r="EG414" s="16">
        <f t="shared" si="100"/>
        <v>7</v>
      </c>
      <c r="EH414" s="16" t="str">
        <f t="shared" si="101"/>
        <v>Dimanche</v>
      </c>
      <c r="EI414" s="16" t="str">
        <f t="shared" si="102"/>
        <v/>
      </c>
    </row>
    <row r="415" spans="1:139" x14ac:dyDescent="0.2">
      <c r="A415" s="16" t="str">
        <f t="shared" si="95"/>
        <v>Fiche info Avenant 5D1</v>
      </c>
      <c r="B415" s="16" t="str">
        <f t="shared" si="105"/>
        <v>Fiche info Avenant 5</v>
      </c>
      <c r="C415" s="27" t="s">
        <v>233</v>
      </c>
      <c r="D415" s="27">
        <v>1</v>
      </c>
      <c r="E415" s="16" t="s">
        <v>17</v>
      </c>
      <c r="F415" s="34" t="str">
        <f>+IF('Fiche info Avenant 5'!$AR$7=0,"",'Fiche info Avenant 5'!$AR$7)</f>
        <v/>
      </c>
      <c r="G415" s="16">
        <f t="shared" si="103"/>
        <v>0</v>
      </c>
      <c r="BX415" s="16" t="str">
        <f t="shared" si="104"/>
        <v>Fiche info Avenant 5D1</v>
      </c>
      <c r="BY415" s="431">
        <f>'Fiche info Avenant 5'!$AI$7</f>
        <v>0</v>
      </c>
      <c r="BZ415" s="431">
        <f>'Fiche info Avenant 5'!$AJ$7</f>
        <v>0</v>
      </c>
      <c r="CA415" s="431">
        <f>'Fiche info Avenant 5'!$AK$7</f>
        <v>0</v>
      </c>
      <c r="CB415" s="431">
        <f>'Fiche info Avenant 5'!$AL$7</f>
        <v>0</v>
      </c>
      <c r="CC415" s="431">
        <f>'Fiche info Avenant 5'!$AM$7</f>
        <v>0</v>
      </c>
      <c r="CD415" s="431">
        <f>'Fiche info Avenant 5'!$AN$7</f>
        <v>0</v>
      </c>
      <c r="CE415" s="431">
        <f>'Fiche info Avenant 5'!$AO$7</f>
        <v>0</v>
      </c>
      <c r="CF415" s="431">
        <f>'Fiche info Avenant 5'!$AP$7</f>
        <v>0</v>
      </c>
      <c r="ED415" s="16" t="str">
        <f t="shared" si="96"/>
        <v>Fiche info Avenant 5D</v>
      </c>
      <c r="EE415" s="16" t="str">
        <f t="shared" si="98"/>
        <v>Fiche info Avenant 5</v>
      </c>
      <c r="EF415" s="16" t="str">
        <f t="shared" si="99"/>
        <v>D</v>
      </c>
      <c r="EG415" s="16">
        <f t="shared" si="100"/>
        <v>1</v>
      </c>
      <c r="EH415" s="16" t="str">
        <f t="shared" si="101"/>
        <v>Lundi</v>
      </c>
      <c r="EI415" s="16" t="str">
        <f t="shared" si="102"/>
        <v/>
      </c>
    </row>
    <row r="416" spans="1:139" x14ac:dyDescent="0.2">
      <c r="A416" s="16" t="str">
        <f t="shared" si="95"/>
        <v>Fiche info Avenant 5D2</v>
      </c>
      <c r="B416" s="16" t="str">
        <f t="shared" si="105"/>
        <v>Fiche info Avenant 5</v>
      </c>
      <c r="C416" s="27" t="s">
        <v>233</v>
      </c>
      <c r="D416" s="27">
        <v>2</v>
      </c>
      <c r="E416" s="16" t="s">
        <v>18</v>
      </c>
      <c r="F416" s="34" t="str">
        <f>IF(+'Fiche info Avenant 5'!$AR$8=0,"",'Fiche info Avenant 5'!$AR$8)</f>
        <v/>
      </c>
      <c r="G416" s="16">
        <f t="shared" si="103"/>
        <v>0</v>
      </c>
      <c r="BX416" s="16" t="str">
        <f t="shared" si="104"/>
        <v>Fiche info Avenant 5D2</v>
      </c>
      <c r="BY416" s="431">
        <f>'Fiche info Avenant 5'!$AI$8</f>
        <v>0</v>
      </c>
      <c r="BZ416" s="431">
        <f>'Fiche info Avenant 5'!$AJ$8</f>
        <v>0</v>
      </c>
      <c r="CA416" s="431">
        <f>'Fiche info Avenant 5'!$AK$8</f>
        <v>0</v>
      </c>
      <c r="CB416" s="431">
        <f>'Fiche info Avenant 5'!$AL$8</f>
        <v>0</v>
      </c>
      <c r="CC416" s="431">
        <f>'Fiche info Avenant 5'!$AM$8</f>
        <v>0</v>
      </c>
      <c r="CD416" s="431">
        <f>'Fiche info Avenant 5'!$AN$8</f>
        <v>0</v>
      </c>
      <c r="CE416" s="431">
        <f>'Fiche info Avenant 5'!$AO$8</f>
        <v>0</v>
      </c>
      <c r="CF416" s="431">
        <f>'Fiche info Avenant 5'!$AP$8</f>
        <v>0</v>
      </c>
      <c r="ED416" s="16" t="str">
        <f t="shared" si="96"/>
        <v>Fiche info Avenant 5D</v>
      </c>
      <c r="EE416" s="16" t="str">
        <f t="shared" si="98"/>
        <v>Fiche info Avenant 5</v>
      </c>
      <c r="EF416" s="16" t="str">
        <f t="shared" si="99"/>
        <v>D</v>
      </c>
      <c r="EG416" s="16">
        <f t="shared" si="100"/>
        <v>2</v>
      </c>
      <c r="EH416" s="16" t="str">
        <f t="shared" si="101"/>
        <v>Mardi</v>
      </c>
      <c r="EI416" s="16" t="str">
        <f t="shared" si="102"/>
        <v/>
      </c>
    </row>
    <row r="417" spans="1:139" x14ac:dyDescent="0.2">
      <c r="A417" s="16" t="str">
        <f t="shared" si="95"/>
        <v>Fiche info Avenant 5D3</v>
      </c>
      <c r="B417" s="16" t="str">
        <f t="shared" si="105"/>
        <v>Fiche info Avenant 5</v>
      </c>
      <c r="C417" s="27" t="s">
        <v>233</v>
      </c>
      <c r="D417" s="27">
        <v>3</v>
      </c>
      <c r="E417" s="16" t="s">
        <v>19</v>
      </c>
      <c r="F417" s="34" t="str">
        <f>IF(+'Fiche info Avenant 5'!$AR$9=0,"",'Fiche info Avenant 5'!$AR$9)</f>
        <v/>
      </c>
      <c r="G417" s="16">
        <f t="shared" si="103"/>
        <v>0</v>
      </c>
      <c r="BX417" s="16" t="str">
        <f t="shared" si="104"/>
        <v>Fiche info Avenant 5D3</v>
      </c>
      <c r="BY417" s="431">
        <f>'Fiche info Avenant 5'!$AI$9</f>
        <v>0</v>
      </c>
      <c r="BZ417" s="431">
        <f>'Fiche info Avenant 5'!$AJ$9</f>
        <v>0</v>
      </c>
      <c r="CA417" s="431">
        <f>'Fiche info Avenant 5'!$AK$9</f>
        <v>0</v>
      </c>
      <c r="CB417" s="431">
        <f>'Fiche info Avenant 5'!$AL$9</f>
        <v>0</v>
      </c>
      <c r="CC417" s="431">
        <f>'Fiche info Avenant 5'!$AM$9</f>
        <v>0</v>
      </c>
      <c r="CD417" s="431">
        <f>'Fiche info Avenant 5'!$AN$9</f>
        <v>0</v>
      </c>
      <c r="CE417" s="431">
        <f>'Fiche info Avenant 5'!$AO$9</f>
        <v>0</v>
      </c>
      <c r="CF417" s="431">
        <f>'Fiche info Avenant 5'!$AP$9</f>
        <v>0</v>
      </c>
      <c r="ED417" s="16" t="str">
        <f t="shared" si="96"/>
        <v>Fiche info Avenant 5D</v>
      </c>
      <c r="EE417" s="16" t="str">
        <f t="shared" si="98"/>
        <v>Fiche info Avenant 5</v>
      </c>
      <c r="EF417" s="16" t="str">
        <f t="shared" si="99"/>
        <v>D</v>
      </c>
      <c r="EG417" s="16">
        <f t="shared" si="100"/>
        <v>3</v>
      </c>
      <c r="EH417" s="16" t="str">
        <f t="shared" si="101"/>
        <v>Mercredi</v>
      </c>
      <c r="EI417" s="16" t="str">
        <f t="shared" si="102"/>
        <v/>
      </c>
    </row>
    <row r="418" spans="1:139" x14ac:dyDescent="0.2">
      <c r="A418" s="16" t="str">
        <f t="shared" si="95"/>
        <v>Fiche info Avenant 5D4</v>
      </c>
      <c r="B418" s="16" t="str">
        <f t="shared" si="105"/>
        <v>Fiche info Avenant 5</v>
      </c>
      <c r="C418" s="27" t="s">
        <v>233</v>
      </c>
      <c r="D418" s="27">
        <v>4</v>
      </c>
      <c r="E418" s="16" t="s">
        <v>20</v>
      </c>
      <c r="F418" s="34" t="str">
        <f>IF(+'Fiche info Avenant 5'!$AR$10=0,"",'Fiche info Avenant 5'!$AR$10)</f>
        <v/>
      </c>
      <c r="G418" s="16">
        <f t="shared" si="103"/>
        <v>0</v>
      </c>
      <c r="BX418" s="16" t="str">
        <f t="shared" si="104"/>
        <v>Fiche info Avenant 5D4</v>
      </c>
      <c r="BY418" s="431">
        <f>'Fiche info Avenant 5'!$AI$10</f>
        <v>0</v>
      </c>
      <c r="BZ418" s="431">
        <f>'Fiche info Avenant 5'!$AJ$10</f>
        <v>0</v>
      </c>
      <c r="CA418" s="431">
        <f>'Fiche info Avenant 5'!$AK$10</f>
        <v>0</v>
      </c>
      <c r="CB418" s="431">
        <f>'Fiche info Avenant 5'!$AL$10</f>
        <v>0</v>
      </c>
      <c r="CC418" s="431">
        <f>'Fiche info Avenant 5'!$AM$10</f>
        <v>0</v>
      </c>
      <c r="CD418" s="431">
        <f>'Fiche info Avenant 5'!$AN$10</f>
        <v>0</v>
      </c>
      <c r="CE418" s="431">
        <f>'Fiche info Avenant 5'!$AO$10</f>
        <v>0</v>
      </c>
      <c r="CF418" s="431">
        <f>'Fiche info Avenant 5'!$AP$10</f>
        <v>0</v>
      </c>
      <c r="ED418" s="16" t="str">
        <f t="shared" si="96"/>
        <v>Fiche info Avenant 5D</v>
      </c>
      <c r="EE418" s="16" t="str">
        <f t="shared" si="98"/>
        <v>Fiche info Avenant 5</v>
      </c>
      <c r="EF418" s="16" t="str">
        <f t="shared" si="99"/>
        <v>D</v>
      </c>
      <c r="EG418" s="16">
        <f t="shared" si="100"/>
        <v>4</v>
      </c>
      <c r="EH418" s="16" t="str">
        <f t="shared" si="101"/>
        <v>Jeudi</v>
      </c>
      <c r="EI418" s="16" t="str">
        <f t="shared" si="102"/>
        <v/>
      </c>
    </row>
    <row r="419" spans="1:139" x14ac:dyDescent="0.2">
      <c r="A419" s="16" t="str">
        <f t="shared" si="95"/>
        <v>Fiche info Avenant 5D5</v>
      </c>
      <c r="B419" s="16" t="str">
        <f t="shared" si="105"/>
        <v>Fiche info Avenant 5</v>
      </c>
      <c r="C419" s="27" t="s">
        <v>233</v>
      </c>
      <c r="D419" s="27">
        <v>5</v>
      </c>
      <c r="E419" s="16" t="s">
        <v>21</v>
      </c>
      <c r="F419" s="34" t="str">
        <f>IF(+'Fiche info Avenant 5'!$AR$11=0,"",'Fiche info Avenant 5'!$AR$11)</f>
        <v/>
      </c>
      <c r="G419" s="16">
        <f t="shared" si="103"/>
        <v>0</v>
      </c>
      <c r="BX419" s="16" t="str">
        <f t="shared" si="104"/>
        <v>Fiche info Avenant 5D5</v>
      </c>
      <c r="BY419" s="431">
        <f>'Fiche info Avenant 5'!$AI$11</f>
        <v>0</v>
      </c>
      <c r="BZ419" s="431">
        <f>'Fiche info Avenant 5'!$AJ$11</f>
        <v>0</v>
      </c>
      <c r="CA419" s="431">
        <f>'Fiche info Avenant 5'!$AK$11</f>
        <v>0</v>
      </c>
      <c r="CB419" s="431">
        <f>'Fiche info Avenant 5'!$AL$11</f>
        <v>0</v>
      </c>
      <c r="CC419" s="431">
        <f>'Fiche info Avenant 5'!$AM$11</f>
        <v>0</v>
      </c>
      <c r="CD419" s="431">
        <f>'Fiche info Avenant 5'!$AN$11</f>
        <v>0</v>
      </c>
      <c r="CE419" s="431">
        <f>'Fiche info Avenant 5'!$AO$11</f>
        <v>0</v>
      </c>
      <c r="CF419" s="431">
        <f>'Fiche info Avenant 5'!$AP$11</f>
        <v>0</v>
      </c>
      <c r="ED419" s="16" t="str">
        <f t="shared" si="96"/>
        <v>Fiche info Avenant 5D</v>
      </c>
      <c r="EE419" s="16" t="str">
        <f t="shared" si="98"/>
        <v>Fiche info Avenant 5</v>
      </c>
      <c r="EF419" s="16" t="str">
        <f t="shared" si="99"/>
        <v>D</v>
      </c>
      <c r="EG419" s="16">
        <f t="shared" si="100"/>
        <v>5</v>
      </c>
      <c r="EH419" s="16" t="str">
        <f t="shared" si="101"/>
        <v>Vendredi</v>
      </c>
      <c r="EI419" s="16" t="str">
        <f t="shared" si="102"/>
        <v/>
      </c>
    </row>
    <row r="420" spans="1:139" x14ac:dyDescent="0.2">
      <c r="A420" s="16" t="str">
        <f t="shared" si="95"/>
        <v>Fiche info Avenant 5D6</v>
      </c>
      <c r="B420" s="16" t="str">
        <f t="shared" si="105"/>
        <v>Fiche info Avenant 5</v>
      </c>
      <c r="C420" s="27" t="s">
        <v>233</v>
      </c>
      <c r="D420" s="27">
        <v>6</v>
      </c>
      <c r="E420" s="16" t="s">
        <v>184</v>
      </c>
      <c r="F420" s="34" t="str">
        <f>IF(+'Fiche info Avenant 5'!$AR$12=0,"",'Fiche info Avenant 5'!$AR$12)</f>
        <v/>
      </c>
      <c r="G420" s="16">
        <f t="shared" si="103"/>
        <v>0</v>
      </c>
      <c r="BX420" s="16" t="str">
        <f t="shared" si="104"/>
        <v>Fiche info Avenant 5D6</v>
      </c>
      <c r="BY420" s="431">
        <f>'Fiche info Avenant 5'!$AI$12</f>
        <v>0</v>
      </c>
      <c r="BZ420" s="431">
        <f>'Fiche info Avenant 5'!$AJ$12</f>
        <v>0</v>
      </c>
      <c r="CA420" s="431">
        <f>'Fiche info Avenant 5'!$AK$12</f>
        <v>0</v>
      </c>
      <c r="CB420" s="431">
        <f>'Fiche info Avenant 5'!$AL$12</f>
        <v>0</v>
      </c>
      <c r="CC420" s="431">
        <f>'Fiche info Avenant 5'!$AM$12</f>
        <v>0</v>
      </c>
      <c r="CD420" s="431">
        <f>'Fiche info Avenant 5'!$AN$12</f>
        <v>0</v>
      </c>
      <c r="CE420" s="431">
        <f>'Fiche info Avenant 5'!$AO$12</f>
        <v>0</v>
      </c>
      <c r="CF420" s="431">
        <f>'Fiche info Avenant 5'!$AP$12</f>
        <v>0</v>
      </c>
      <c r="ED420" s="16" t="str">
        <f t="shared" si="96"/>
        <v>Fiche info Avenant 5D</v>
      </c>
      <c r="EE420" s="16" t="str">
        <f t="shared" si="98"/>
        <v>Fiche info Avenant 5</v>
      </c>
      <c r="EF420" s="16" t="str">
        <f t="shared" si="99"/>
        <v>D</v>
      </c>
      <c r="EG420" s="16">
        <f t="shared" si="100"/>
        <v>6</v>
      </c>
      <c r="EH420" s="16" t="str">
        <f t="shared" si="101"/>
        <v>Samedi</v>
      </c>
      <c r="EI420" s="16" t="str">
        <f t="shared" si="102"/>
        <v/>
      </c>
    </row>
    <row r="421" spans="1:139" x14ac:dyDescent="0.2">
      <c r="A421" s="16" t="str">
        <f t="shared" si="95"/>
        <v>Fiche info Avenant 5D7</v>
      </c>
      <c r="B421" s="16" t="str">
        <f t="shared" si="105"/>
        <v>Fiche info Avenant 5</v>
      </c>
      <c r="C421" s="27" t="s">
        <v>233</v>
      </c>
      <c r="D421" s="27">
        <v>7</v>
      </c>
      <c r="E421" s="16" t="s">
        <v>185</v>
      </c>
      <c r="F421" s="34" t="str">
        <f>IF(+'Fiche info Avenant 5'!$AR$13=0,"",'Fiche info Avenant 5'!$AR$13)</f>
        <v/>
      </c>
      <c r="G421" s="16">
        <f t="shared" si="103"/>
        <v>0</v>
      </c>
      <c r="BX421" s="16" t="str">
        <f t="shared" si="104"/>
        <v>Fiche info Avenant 5D7</v>
      </c>
      <c r="BY421" s="431">
        <f>'Fiche info Avenant 5'!$AI$13</f>
        <v>0</v>
      </c>
      <c r="BZ421" s="431">
        <f>'Fiche info Avenant 5'!$AJ$13</f>
        <v>0</v>
      </c>
      <c r="CA421" s="431">
        <f>'Fiche info Avenant 5'!$AK$13</f>
        <v>0</v>
      </c>
      <c r="CB421" s="431">
        <f>'Fiche info Avenant 5'!$AL$13</f>
        <v>0</v>
      </c>
      <c r="CC421" s="431">
        <f>'Fiche info Avenant 5'!$AM$13</f>
        <v>0</v>
      </c>
      <c r="CD421" s="431">
        <f>'Fiche info Avenant 5'!$AN$13</f>
        <v>0</v>
      </c>
      <c r="CE421" s="431">
        <f>'Fiche info Avenant 5'!$AO$13</f>
        <v>0</v>
      </c>
      <c r="CF421" s="431">
        <f>'Fiche info Avenant 5'!$AP$13</f>
        <v>0</v>
      </c>
      <c r="ED421" s="16" t="str">
        <f t="shared" si="96"/>
        <v>Fiche info Avenant 5D</v>
      </c>
      <c r="EE421" s="16" t="str">
        <f t="shared" si="98"/>
        <v>Fiche info Avenant 5</v>
      </c>
      <c r="EF421" s="16" t="str">
        <f t="shared" si="99"/>
        <v>D</v>
      </c>
      <c r="EG421" s="16">
        <f t="shared" si="100"/>
        <v>7</v>
      </c>
      <c r="EH421" s="16" t="str">
        <f t="shared" si="101"/>
        <v>Dimanche</v>
      </c>
      <c r="EI421" s="16" t="str">
        <f t="shared" si="102"/>
        <v/>
      </c>
    </row>
    <row r="422" spans="1:139" x14ac:dyDescent="0.2">
      <c r="A422" s="16" t="str">
        <f t="shared" si="95"/>
        <v>Fiche info Avenant 5E1</v>
      </c>
      <c r="B422" s="16" t="str">
        <f t="shared" si="105"/>
        <v>Fiche info Avenant 5</v>
      </c>
      <c r="C422" s="27" t="s">
        <v>234</v>
      </c>
      <c r="D422" s="27">
        <v>1</v>
      </c>
      <c r="E422" s="16" t="s">
        <v>17</v>
      </c>
      <c r="F422" s="34" t="str">
        <f>IF(+'Fiche info Avenant 5'!$BC$7=0,"",'Fiche info Avenant 5'!$BC$7)</f>
        <v/>
      </c>
      <c r="G422" s="16">
        <f t="shared" si="103"/>
        <v>0</v>
      </c>
      <c r="BX422" s="16" t="str">
        <f t="shared" si="104"/>
        <v>Fiche info Avenant 5E1</v>
      </c>
      <c r="BY422" s="431">
        <f>'Fiche info Avenant 5'!$AT$7</f>
        <v>0</v>
      </c>
      <c r="BZ422" s="431">
        <f>'Fiche info Avenant 5'!$AU$7</f>
        <v>0</v>
      </c>
      <c r="CA422" s="431">
        <f>'Fiche info Avenant 5'!$AV$7</f>
        <v>0</v>
      </c>
      <c r="CB422" s="431">
        <f>'Fiche info Avenant 5'!$AW$7</f>
        <v>0</v>
      </c>
      <c r="CC422" s="431">
        <f>'Fiche info Avenant 5'!$AX$7</f>
        <v>0</v>
      </c>
      <c r="CD422" s="431">
        <f>'Fiche info Avenant 5'!$AY$7</f>
        <v>0</v>
      </c>
      <c r="CE422" s="431">
        <f>'Fiche info Avenant 5'!$AZ$7</f>
        <v>0</v>
      </c>
      <c r="CF422" s="431">
        <f>'Fiche info Avenant 5'!$BA$7</f>
        <v>0</v>
      </c>
      <c r="ED422" s="16" t="str">
        <f t="shared" si="96"/>
        <v>Fiche info Avenant 5E</v>
      </c>
      <c r="EE422" s="16" t="str">
        <f t="shared" si="98"/>
        <v>Fiche info Avenant 5</v>
      </c>
      <c r="EF422" s="16" t="str">
        <f t="shared" si="99"/>
        <v>E</v>
      </c>
      <c r="EG422" s="16">
        <f t="shared" si="100"/>
        <v>1</v>
      </c>
      <c r="EH422" s="16" t="str">
        <f t="shared" si="101"/>
        <v>Lundi</v>
      </c>
      <c r="EI422" s="16" t="str">
        <f t="shared" si="102"/>
        <v/>
      </c>
    </row>
    <row r="423" spans="1:139" x14ac:dyDescent="0.2">
      <c r="A423" s="16" t="str">
        <f t="shared" si="95"/>
        <v>Fiche info Avenant 5E2</v>
      </c>
      <c r="B423" s="16" t="str">
        <f t="shared" si="105"/>
        <v>Fiche info Avenant 5</v>
      </c>
      <c r="C423" s="27" t="s">
        <v>234</v>
      </c>
      <c r="D423" s="27">
        <v>2</v>
      </c>
      <c r="E423" s="16" t="s">
        <v>18</v>
      </c>
      <c r="F423" s="34" t="str">
        <f>IF(+'Fiche info Avenant 5'!$BC$8=0,"",'Fiche info Avenant 5'!$BC$8)</f>
        <v/>
      </c>
      <c r="G423" s="16">
        <f t="shared" si="103"/>
        <v>0</v>
      </c>
      <c r="BX423" s="16" t="str">
        <f t="shared" si="104"/>
        <v>Fiche info Avenant 5E2</v>
      </c>
      <c r="BY423" s="431">
        <f>'Fiche info Avenant 5'!$AT$8</f>
        <v>0</v>
      </c>
      <c r="BZ423" s="431">
        <f>'Fiche info Avenant 5'!$AU$8</f>
        <v>0</v>
      </c>
      <c r="CA423" s="431">
        <f>'Fiche info Avenant 5'!$AV$8</f>
        <v>0</v>
      </c>
      <c r="CB423" s="431">
        <f>'Fiche info Avenant 5'!$AW$8</f>
        <v>0</v>
      </c>
      <c r="CC423" s="431">
        <f>'Fiche info Avenant 5'!$AX$8</f>
        <v>0</v>
      </c>
      <c r="CD423" s="431">
        <f>'Fiche info Avenant 5'!$AY$8</f>
        <v>0</v>
      </c>
      <c r="CE423" s="431">
        <f>'Fiche info Avenant 5'!$AZ$8</f>
        <v>0</v>
      </c>
      <c r="CF423" s="431">
        <f>'Fiche info Avenant 5'!$BA$8</f>
        <v>0</v>
      </c>
      <c r="ED423" s="16" t="str">
        <f t="shared" si="96"/>
        <v>Fiche info Avenant 5E</v>
      </c>
      <c r="EE423" s="16" t="str">
        <f t="shared" si="98"/>
        <v>Fiche info Avenant 5</v>
      </c>
      <c r="EF423" s="16" t="str">
        <f t="shared" si="99"/>
        <v>E</v>
      </c>
      <c r="EG423" s="16">
        <f t="shared" si="100"/>
        <v>2</v>
      </c>
      <c r="EH423" s="16" t="str">
        <f t="shared" si="101"/>
        <v>Mardi</v>
      </c>
      <c r="EI423" s="16" t="str">
        <f t="shared" si="102"/>
        <v/>
      </c>
    </row>
    <row r="424" spans="1:139" x14ac:dyDescent="0.2">
      <c r="A424" s="16" t="str">
        <f t="shared" si="95"/>
        <v>Fiche info Avenant 5E3</v>
      </c>
      <c r="B424" s="16" t="str">
        <f t="shared" si="105"/>
        <v>Fiche info Avenant 5</v>
      </c>
      <c r="C424" s="27" t="s">
        <v>234</v>
      </c>
      <c r="D424" s="27">
        <v>3</v>
      </c>
      <c r="E424" s="16" t="s">
        <v>19</v>
      </c>
      <c r="F424" s="34" t="str">
        <f>IF(+'Fiche info Avenant 5'!$BC$9=0,"",'Fiche info Avenant 5'!$BC$9)</f>
        <v/>
      </c>
      <c r="G424" s="16">
        <f t="shared" si="103"/>
        <v>0</v>
      </c>
      <c r="BX424" s="16" t="str">
        <f t="shared" si="104"/>
        <v>Fiche info Avenant 5E3</v>
      </c>
      <c r="BY424" s="431">
        <f>'Fiche info Avenant 5'!$AT$9</f>
        <v>0</v>
      </c>
      <c r="BZ424" s="431">
        <f>'Fiche info Avenant 5'!$AU$9</f>
        <v>0</v>
      </c>
      <c r="CA424" s="431">
        <f>'Fiche info Avenant 5'!$AV$9</f>
        <v>0</v>
      </c>
      <c r="CB424" s="431">
        <f>'Fiche info Avenant 5'!$AW$9</f>
        <v>0</v>
      </c>
      <c r="CC424" s="431">
        <f>'Fiche info Avenant 5'!$AX$9</f>
        <v>0</v>
      </c>
      <c r="CD424" s="431">
        <f>'Fiche info Avenant 5'!$AY$9</f>
        <v>0</v>
      </c>
      <c r="CE424" s="431">
        <f>'Fiche info Avenant 5'!$AZ$9</f>
        <v>0</v>
      </c>
      <c r="CF424" s="431">
        <f>'Fiche info Avenant 5'!$BA$9</f>
        <v>0</v>
      </c>
      <c r="ED424" s="16" t="str">
        <f t="shared" si="96"/>
        <v>Fiche info Avenant 5E</v>
      </c>
      <c r="EE424" s="16" t="str">
        <f t="shared" si="98"/>
        <v>Fiche info Avenant 5</v>
      </c>
      <c r="EF424" s="16" t="str">
        <f t="shared" si="99"/>
        <v>E</v>
      </c>
      <c r="EG424" s="16">
        <f t="shared" si="100"/>
        <v>3</v>
      </c>
      <c r="EH424" s="16" t="str">
        <f t="shared" si="101"/>
        <v>Mercredi</v>
      </c>
      <c r="EI424" s="16" t="str">
        <f t="shared" si="102"/>
        <v/>
      </c>
    </row>
    <row r="425" spans="1:139" x14ac:dyDescent="0.2">
      <c r="A425" s="16" t="str">
        <f t="shared" si="95"/>
        <v>Fiche info Avenant 5E4</v>
      </c>
      <c r="B425" s="16" t="str">
        <f t="shared" si="105"/>
        <v>Fiche info Avenant 5</v>
      </c>
      <c r="C425" s="27" t="s">
        <v>234</v>
      </c>
      <c r="D425" s="27">
        <v>4</v>
      </c>
      <c r="E425" s="16" t="s">
        <v>20</v>
      </c>
      <c r="F425" s="34" t="str">
        <f>IF(+'Fiche info Avenant 5'!$BC$10=0,"",'Fiche info Avenant 5'!$BC$10)</f>
        <v/>
      </c>
      <c r="G425" s="16">
        <f t="shared" si="103"/>
        <v>0</v>
      </c>
      <c r="BX425" s="16" t="str">
        <f t="shared" si="104"/>
        <v>Fiche info Avenant 5E4</v>
      </c>
      <c r="BY425" s="431">
        <f>'Fiche info Avenant 5'!$AT$10</f>
        <v>0</v>
      </c>
      <c r="BZ425" s="431">
        <f>'Fiche info Avenant 5'!$AU$10</f>
        <v>0</v>
      </c>
      <c r="CA425" s="431">
        <f>'Fiche info Avenant 5'!$AV$10</f>
        <v>0</v>
      </c>
      <c r="CB425" s="431">
        <f>'Fiche info Avenant 5'!$AW$10</f>
        <v>0</v>
      </c>
      <c r="CC425" s="431">
        <f>'Fiche info Avenant 5'!$AX$10</f>
        <v>0</v>
      </c>
      <c r="CD425" s="431">
        <f>'Fiche info Avenant 5'!$AY$10</f>
        <v>0</v>
      </c>
      <c r="CE425" s="431">
        <f>'Fiche info Avenant 5'!$AZ$10</f>
        <v>0</v>
      </c>
      <c r="CF425" s="431">
        <f>'Fiche info Avenant 5'!$BA$10</f>
        <v>0</v>
      </c>
      <c r="ED425" s="16" t="str">
        <f t="shared" si="96"/>
        <v>Fiche info Avenant 5E</v>
      </c>
      <c r="EE425" s="16" t="str">
        <f t="shared" si="98"/>
        <v>Fiche info Avenant 5</v>
      </c>
      <c r="EF425" s="16" t="str">
        <f t="shared" si="99"/>
        <v>E</v>
      </c>
      <c r="EG425" s="16">
        <f t="shared" si="100"/>
        <v>4</v>
      </c>
      <c r="EH425" s="16" t="str">
        <f t="shared" si="101"/>
        <v>Jeudi</v>
      </c>
      <c r="EI425" s="16" t="str">
        <f t="shared" si="102"/>
        <v/>
      </c>
    </row>
    <row r="426" spans="1:139" x14ac:dyDescent="0.2">
      <c r="A426" s="16" t="str">
        <f t="shared" si="95"/>
        <v>Fiche info Avenant 5E5</v>
      </c>
      <c r="B426" s="16" t="str">
        <f t="shared" si="105"/>
        <v>Fiche info Avenant 5</v>
      </c>
      <c r="C426" s="27" t="s">
        <v>234</v>
      </c>
      <c r="D426" s="27">
        <v>5</v>
      </c>
      <c r="E426" s="16" t="s">
        <v>21</v>
      </c>
      <c r="F426" s="34" t="str">
        <f>IF(+'Fiche info Avenant 5'!$BC$11=0,"",'Fiche info Avenant 5'!$BC$11)</f>
        <v/>
      </c>
      <c r="G426" s="16">
        <f t="shared" si="103"/>
        <v>0</v>
      </c>
      <c r="BX426" s="16" t="str">
        <f t="shared" si="104"/>
        <v>Fiche info Avenant 5E5</v>
      </c>
      <c r="BY426" s="431">
        <f>'Fiche info Avenant 5'!$AT$11</f>
        <v>0</v>
      </c>
      <c r="BZ426" s="431">
        <f>'Fiche info Avenant 5'!$AU$11</f>
        <v>0</v>
      </c>
      <c r="CA426" s="431">
        <f>'Fiche info Avenant 5'!$AV$11</f>
        <v>0</v>
      </c>
      <c r="CB426" s="431">
        <f>'Fiche info Avenant 5'!$AW$11</f>
        <v>0</v>
      </c>
      <c r="CC426" s="431">
        <f>'Fiche info Avenant 5'!$AX$11</f>
        <v>0</v>
      </c>
      <c r="CD426" s="431">
        <f>'Fiche info Avenant 5'!$AY$11</f>
        <v>0</v>
      </c>
      <c r="CE426" s="431">
        <f>'Fiche info Avenant 5'!$AZ$11</f>
        <v>0</v>
      </c>
      <c r="CF426" s="431">
        <f>'Fiche info Avenant 5'!$BA$11</f>
        <v>0</v>
      </c>
      <c r="ED426" s="16" t="str">
        <f t="shared" si="96"/>
        <v>Fiche info Avenant 5E</v>
      </c>
      <c r="EE426" s="16" t="str">
        <f t="shared" si="98"/>
        <v>Fiche info Avenant 5</v>
      </c>
      <c r="EF426" s="16" t="str">
        <f t="shared" si="99"/>
        <v>E</v>
      </c>
      <c r="EG426" s="16">
        <f t="shared" si="100"/>
        <v>5</v>
      </c>
      <c r="EH426" s="16" t="str">
        <f t="shared" si="101"/>
        <v>Vendredi</v>
      </c>
      <c r="EI426" s="16" t="str">
        <f t="shared" si="102"/>
        <v/>
      </c>
    </row>
    <row r="427" spans="1:139" x14ac:dyDescent="0.2">
      <c r="A427" s="16" t="str">
        <f t="shared" ref="A427:A490" si="106">+B427&amp;C427&amp;D427</f>
        <v>Fiche info Avenant 5E6</v>
      </c>
      <c r="B427" s="16" t="str">
        <f t="shared" si="105"/>
        <v>Fiche info Avenant 5</v>
      </c>
      <c r="C427" s="27" t="s">
        <v>234</v>
      </c>
      <c r="D427" s="27">
        <v>6</v>
      </c>
      <c r="E427" s="16" t="s">
        <v>184</v>
      </c>
      <c r="F427" s="34" t="str">
        <f>IF(+'Fiche info Avenant 5'!$BC$12=0,"",'Fiche info Avenant 5'!$BC$12)</f>
        <v/>
      </c>
      <c r="G427" s="16">
        <f t="shared" si="103"/>
        <v>0</v>
      </c>
      <c r="BX427" s="16" t="str">
        <f t="shared" si="104"/>
        <v>Fiche info Avenant 5E6</v>
      </c>
      <c r="BY427" s="431">
        <f>'Fiche info Avenant 5'!$AT$12</f>
        <v>0</v>
      </c>
      <c r="BZ427" s="431">
        <f>'Fiche info Avenant 5'!$AU$12</f>
        <v>0</v>
      </c>
      <c r="CA427" s="431">
        <f>'Fiche info Avenant 5'!$AV$12</f>
        <v>0</v>
      </c>
      <c r="CB427" s="431">
        <f>'Fiche info Avenant 5'!$AW$12</f>
        <v>0</v>
      </c>
      <c r="CC427" s="431">
        <f>'Fiche info Avenant 5'!$AX$12</f>
        <v>0</v>
      </c>
      <c r="CD427" s="431">
        <f>'Fiche info Avenant 5'!$AY$12</f>
        <v>0</v>
      </c>
      <c r="CE427" s="431">
        <f>'Fiche info Avenant 5'!$AZ$12</f>
        <v>0</v>
      </c>
      <c r="CF427" s="431">
        <f>'Fiche info Avenant 5'!$BA$12</f>
        <v>0</v>
      </c>
      <c r="ED427" s="16" t="str">
        <f t="shared" si="96"/>
        <v>Fiche info Avenant 5E</v>
      </c>
      <c r="EE427" s="16" t="str">
        <f t="shared" si="98"/>
        <v>Fiche info Avenant 5</v>
      </c>
      <c r="EF427" s="16" t="str">
        <f t="shared" si="99"/>
        <v>E</v>
      </c>
      <c r="EG427" s="16">
        <f t="shared" si="100"/>
        <v>6</v>
      </c>
      <c r="EH427" s="16" t="str">
        <f t="shared" si="101"/>
        <v>Samedi</v>
      </c>
      <c r="EI427" s="16" t="str">
        <f t="shared" si="102"/>
        <v/>
      </c>
    </row>
    <row r="428" spans="1:139" x14ac:dyDescent="0.2">
      <c r="A428" s="16" t="str">
        <f t="shared" si="106"/>
        <v>Fiche info Avenant 5E7</v>
      </c>
      <c r="B428" s="16" t="str">
        <f t="shared" si="105"/>
        <v>Fiche info Avenant 5</v>
      </c>
      <c r="C428" s="27" t="s">
        <v>234</v>
      </c>
      <c r="D428" s="27">
        <v>7</v>
      </c>
      <c r="E428" s="16" t="s">
        <v>185</v>
      </c>
      <c r="F428" s="34" t="str">
        <f>IF(+'Fiche info Avenant 5'!$BC$13=0,"",'Fiche info Avenant 5'!$BC$13)</f>
        <v/>
      </c>
      <c r="G428" s="16">
        <f t="shared" si="103"/>
        <v>0</v>
      </c>
      <c r="BX428" s="16" t="str">
        <f t="shared" si="104"/>
        <v>Fiche info Avenant 5E7</v>
      </c>
      <c r="BY428" s="431">
        <f>'Fiche info Avenant 5'!$AT$13</f>
        <v>0</v>
      </c>
      <c r="BZ428" s="431">
        <f>'Fiche info Avenant 5'!$AU$13</f>
        <v>0</v>
      </c>
      <c r="CA428" s="431">
        <f>'Fiche info Avenant 5'!$AV$13</f>
        <v>0</v>
      </c>
      <c r="CB428" s="431">
        <f>'Fiche info Avenant 5'!$AW$13</f>
        <v>0</v>
      </c>
      <c r="CC428" s="431">
        <f>'Fiche info Avenant 5'!$AX$13</f>
        <v>0</v>
      </c>
      <c r="CD428" s="431">
        <f>'Fiche info Avenant 5'!$AY$13</f>
        <v>0</v>
      </c>
      <c r="CE428" s="431">
        <f>'Fiche info Avenant 5'!$AZ$13</f>
        <v>0</v>
      </c>
      <c r="CF428" s="431">
        <f>'Fiche info Avenant 5'!$BA$13</f>
        <v>0</v>
      </c>
      <c r="ED428" s="16" t="str">
        <f t="shared" si="96"/>
        <v>Fiche info Avenant 5E</v>
      </c>
      <c r="EE428" s="16" t="str">
        <f t="shared" si="98"/>
        <v>Fiche info Avenant 5</v>
      </c>
      <c r="EF428" s="16" t="str">
        <f t="shared" si="99"/>
        <v>E</v>
      </c>
      <c r="EG428" s="16">
        <f t="shared" si="100"/>
        <v>7</v>
      </c>
      <c r="EH428" s="16" t="str">
        <f t="shared" si="101"/>
        <v>Dimanche</v>
      </c>
      <c r="EI428" s="16" t="str">
        <f t="shared" si="102"/>
        <v/>
      </c>
    </row>
    <row r="429" spans="1:139" x14ac:dyDescent="0.2">
      <c r="A429" s="16" t="str">
        <f t="shared" si="106"/>
        <v>Fiche info Avenant 5F1</v>
      </c>
      <c r="B429" s="16" t="str">
        <f t="shared" si="105"/>
        <v>Fiche info Avenant 5</v>
      </c>
      <c r="C429" s="27" t="s">
        <v>235</v>
      </c>
      <c r="D429" s="27">
        <v>1</v>
      </c>
      <c r="E429" s="16" t="s">
        <v>17</v>
      </c>
      <c r="F429" s="34" t="str">
        <f>+IF('Fiche info Avenant 5'!$BN$7=0,"",'Fiche info Avenant 5'!$BN$7)</f>
        <v/>
      </c>
      <c r="G429" s="16">
        <f t="shared" si="103"/>
        <v>0</v>
      </c>
      <c r="BX429" s="16" t="str">
        <f t="shared" si="104"/>
        <v>Fiche info Avenant 5F1</v>
      </c>
      <c r="BY429" s="431">
        <f>'Fiche info Avenant 5'!$BE$7</f>
        <v>0</v>
      </c>
      <c r="BZ429" s="431">
        <f>'Fiche info Avenant 5'!$BF$7</f>
        <v>0</v>
      </c>
      <c r="CA429" s="431">
        <f>'Fiche info Avenant 5'!$BG$7</f>
        <v>0</v>
      </c>
      <c r="CB429" s="431">
        <f>'Fiche info Avenant 5'!$BH$7</f>
        <v>0</v>
      </c>
      <c r="CC429" s="431">
        <f>'Fiche info Avenant 5'!$BI$7</f>
        <v>0</v>
      </c>
      <c r="CD429" s="431">
        <f>'Fiche info Avenant 5'!$BJ$7</f>
        <v>0</v>
      </c>
      <c r="CE429" s="431">
        <f>'Fiche info Avenant 5'!$BK$7</f>
        <v>0</v>
      </c>
      <c r="CF429" s="431">
        <f>'Fiche info Avenant 5'!$BL$7</f>
        <v>0</v>
      </c>
      <c r="ED429" s="16" t="str">
        <f t="shared" si="96"/>
        <v>Fiche info Avenant 5F</v>
      </c>
      <c r="EE429" s="16" t="str">
        <f t="shared" si="98"/>
        <v>Fiche info Avenant 5</v>
      </c>
      <c r="EF429" s="16" t="str">
        <f t="shared" si="99"/>
        <v>F</v>
      </c>
      <c r="EG429" s="16">
        <f t="shared" si="100"/>
        <v>1</v>
      </c>
      <c r="EH429" s="16" t="str">
        <f t="shared" si="101"/>
        <v>Lundi</v>
      </c>
      <c r="EI429" s="16" t="str">
        <f t="shared" si="102"/>
        <v/>
      </c>
    </row>
    <row r="430" spans="1:139" x14ac:dyDescent="0.2">
      <c r="A430" s="16" t="str">
        <f t="shared" si="106"/>
        <v>Fiche info Avenant 5F2</v>
      </c>
      <c r="B430" s="16" t="str">
        <f t="shared" si="105"/>
        <v>Fiche info Avenant 5</v>
      </c>
      <c r="C430" s="27" t="s">
        <v>235</v>
      </c>
      <c r="D430" s="27">
        <v>2</v>
      </c>
      <c r="E430" s="16" t="s">
        <v>18</v>
      </c>
      <c r="F430" s="34" t="str">
        <f>+IF('Fiche info Avenant 5'!$BN$8=0,"",'Fiche info Avenant 5'!$BN$8)</f>
        <v/>
      </c>
      <c r="G430" s="16">
        <f t="shared" si="103"/>
        <v>0</v>
      </c>
      <c r="BX430" s="16" t="str">
        <f t="shared" si="104"/>
        <v>Fiche info Avenant 5F2</v>
      </c>
      <c r="BY430" s="431">
        <f>'Fiche info Avenant 5'!$BE$8</f>
        <v>0</v>
      </c>
      <c r="BZ430" s="431">
        <f>'Fiche info Avenant 5'!$BF$8</f>
        <v>0</v>
      </c>
      <c r="CA430" s="431">
        <f>'Fiche info Avenant 5'!$BG$8</f>
        <v>0</v>
      </c>
      <c r="CB430" s="431">
        <f>'Fiche info Avenant 5'!$BH$8</f>
        <v>0</v>
      </c>
      <c r="CC430" s="431">
        <f>'Fiche info Avenant 5'!$BI$8</f>
        <v>0</v>
      </c>
      <c r="CD430" s="431">
        <f>'Fiche info Avenant 5'!$BJ$8</f>
        <v>0</v>
      </c>
      <c r="CE430" s="431">
        <f>'Fiche info Avenant 5'!$BK$8</f>
        <v>0</v>
      </c>
      <c r="CF430" s="431">
        <f>'Fiche info Avenant 5'!$BL$8</f>
        <v>0</v>
      </c>
      <c r="ED430" s="16" t="str">
        <f t="shared" si="96"/>
        <v>Fiche info Avenant 5F</v>
      </c>
      <c r="EE430" s="16" t="str">
        <f t="shared" si="98"/>
        <v>Fiche info Avenant 5</v>
      </c>
      <c r="EF430" s="16" t="str">
        <f t="shared" si="99"/>
        <v>F</v>
      </c>
      <c r="EG430" s="16">
        <f t="shared" si="100"/>
        <v>2</v>
      </c>
      <c r="EH430" s="16" t="str">
        <f t="shared" si="101"/>
        <v>Mardi</v>
      </c>
      <c r="EI430" s="16" t="str">
        <f t="shared" si="102"/>
        <v/>
      </c>
    </row>
    <row r="431" spans="1:139" x14ac:dyDescent="0.2">
      <c r="A431" s="16" t="str">
        <f t="shared" si="106"/>
        <v>Fiche info Avenant 5F3</v>
      </c>
      <c r="B431" s="16" t="str">
        <f t="shared" si="105"/>
        <v>Fiche info Avenant 5</v>
      </c>
      <c r="C431" s="27" t="s">
        <v>235</v>
      </c>
      <c r="D431" s="27">
        <v>3</v>
      </c>
      <c r="E431" s="16" t="s">
        <v>19</v>
      </c>
      <c r="F431" s="34" t="str">
        <f>+IF('Fiche info Avenant 5'!$BN$9=0,"",'Fiche info Avenant 5'!$BN$9)</f>
        <v/>
      </c>
      <c r="G431" s="16">
        <f t="shared" si="103"/>
        <v>0</v>
      </c>
      <c r="BX431" s="16" t="str">
        <f t="shared" si="104"/>
        <v>Fiche info Avenant 5F3</v>
      </c>
      <c r="BY431" s="431">
        <f>'Fiche info Avenant 5'!$BE$9</f>
        <v>0</v>
      </c>
      <c r="BZ431" s="431">
        <f>'Fiche info Avenant 5'!$BF$9</f>
        <v>0</v>
      </c>
      <c r="CA431" s="431">
        <f>'Fiche info Avenant 5'!$BG$9</f>
        <v>0</v>
      </c>
      <c r="CB431" s="431">
        <f>'Fiche info Avenant 5'!$BH$9</f>
        <v>0</v>
      </c>
      <c r="CC431" s="431">
        <f>'Fiche info Avenant 5'!$BI$9</f>
        <v>0</v>
      </c>
      <c r="CD431" s="431">
        <f>'Fiche info Avenant 5'!$BJ$9</f>
        <v>0</v>
      </c>
      <c r="CE431" s="431">
        <f>'Fiche info Avenant 5'!$BK$9</f>
        <v>0</v>
      </c>
      <c r="CF431" s="431">
        <f>'Fiche info Avenant 5'!$BL$9</f>
        <v>0</v>
      </c>
      <c r="ED431" s="16" t="str">
        <f t="shared" si="96"/>
        <v>Fiche info Avenant 5F</v>
      </c>
      <c r="EE431" s="16" t="str">
        <f t="shared" si="98"/>
        <v>Fiche info Avenant 5</v>
      </c>
      <c r="EF431" s="16" t="str">
        <f t="shared" si="99"/>
        <v>F</v>
      </c>
      <c r="EG431" s="16">
        <f t="shared" si="100"/>
        <v>3</v>
      </c>
      <c r="EH431" s="16" t="str">
        <f t="shared" si="101"/>
        <v>Mercredi</v>
      </c>
      <c r="EI431" s="16" t="str">
        <f t="shared" si="102"/>
        <v/>
      </c>
    </row>
    <row r="432" spans="1:139" x14ac:dyDescent="0.2">
      <c r="A432" s="16" t="str">
        <f t="shared" si="106"/>
        <v>Fiche info Avenant 5F4</v>
      </c>
      <c r="B432" s="16" t="str">
        <f t="shared" si="105"/>
        <v>Fiche info Avenant 5</v>
      </c>
      <c r="C432" s="27" t="s">
        <v>235</v>
      </c>
      <c r="D432" s="27">
        <v>4</v>
      </c>
      <c r="E432" s="16" t="s">
        <v>20</v>
      </c>
      <c r="F432" s="34" t="str">
        <f>+IF('Fiche info Avenant 5'!$BN$10=0,"",'Fiche info Avenant 5'!$BN$10)</f>
        <v/>
      </c>
      <c r="G432" s="16">
        <f t="shared" si="103"/>
        <v>0</v>
      </c>
      <c r="BX432" s="16" t="str">
        <f t="shared" si="104"/>
        <v>Fiche info Avenant 5F4</v>
      </c>
      <c r="BY432" s="431">
        <f>'Fiche info Avenant 5'!$BE$10</f>
        <v>0</v>
      </c>
      <c r="BZ432" s="431">
        <f>'Fiche info Avenant 5'!$BF$10</f>
        <v>0</v>
      </c>
      <c r="CA432" s="431">
        <f>'Fiche info Avenant 5'!$BG$10</f>
        <v>0</v>
      </c>
      <c r="CB432" s="431">
        <f>'Fiche info Avenant 5'!$BH$10</f>
        <v>0</v>
      </c>
      <c r="CC432" s="431">
        <f>'Fiche info Avenant 5'!$BI$10</f>
        <v>0</v>
      </c>
      <c r="CD432" s="431">
        <f>'Fiche info Avenant 5'!$BJ$10</f>
        <v>0</v>
      </c>
      <c r="CE432" s="431">
        <f>'Fiche info Avenant 5'!$BK$10</f>
        <v>0</v>
      </c>
      <c r="CF432" s="431">
        <f>'Fiche info Avenant 5'!$BL$10</f>
        <v>0</v>
      </c>
      <c r="ED432" s="16" t="str">
        <f t="shared" si="96"/>
        <v>Fiche info Avenant 5F</v>
      </c>
      <c r="EE432" s="16" t="str">
        <f t="shared" si="98"/>
        <v>Fiche info Avenant 5</v>
      </c>
      <c r="EF432" s="16" t="str">
        <f t="shared" si="99"/>
        <v>F</v>
      </c>
      <c r="EG432" s="16">
        <f t="shared" si="100"/>
        <v>4</v>
      </c>
      <c r="EH432" s="16" t="str">
        <f t="shared" si="101"/>
        <v>Jeudi</v>
      </c>
      <c r="EI432" s="16" t="str">
        <f t="shared" si="102"/>
        <v/>
      </c>
    </row>
    <row r="433" spans="1:139" x14ac:dyDescent="0.2">
      <c r="A433" s="16" t="str">
        <f t="shared" si="106"/>
        <v>Fiche info Avenant 5F5</v>
      </c>
      <c r="B433" s="16" t="str">
        <f t="shared" si="105"/>
        <v>Fiche info Avenant 5</v>
      </c>
      <c r="C433" s="27" t="s">
        <v>235</v>
      </c>
      <c r="D433" s="27">
        <v>5</v>
      </c>
      <c r="E433" s="16" t="s">
        <v>21</v>
      </c>
      <c r="F433" s="34" t="str">
        <f>+IF('Fiche info Avenant 5'!$BN$11=0,"",'Fiche info Avenant 5'!$BN$11)</f>
        <v/>
      </c>
      <c r="G433" s="16">
        <f t="shared" si="103"/>
        <v>0</v>
      </c>
      <c r="BX433" s="16" t="str">
        <f t="shared" si="104"/>
        <v>Fiche info Avenant 5F5</v>
      </c>
      <c r="BY433" s="431">
        <f>'Fiche info Avenant 5'!$BE$11</f>
        <v>0</v>
      </c>
      <c r="BZ433" s="431">
        <f>'Fiche info Avenant 5'!$BF$11</f>
        <v>0</v>
      </c>
      <c r="CA433" s="431">
        <f>'Fiche info Avenant 5'!$BG$11</f>
        <v>0</v>
      </c>
      <c r="CB433" s="431">
        <f>'Fiche info Avenant 5'!$BH$11</f>
        <v>0</v>
      </c>
      <c r="CC433" s="431">
        <f>'Fiche info Avenant 5'!$BI$11</f>
        <v>0</v>
      </c>
      <c r="CD433" s="431">
        <f>'Fiche info Avenant 5'!$BJ$11</f>
        <v>0</v>
      </c>
      <c r="CE433" s="431">
        <f>'Fiche info Avenant 5'!$BK$11</f>
        <v>0</v>
      </c>
      <c r="CF433" s="431">
        <f>'Fiche info Avenant 5'!$BL$11</f>
        <v>0</v>
      </c>
      <c r="ED433" s="16" t="str">
        <f t="shared" si="96"/>
        <v>Fiche info Avenant 5F</v>
      </c>
      <c r="EE433" s="16" t="str">
        <f t="shared" si="98"/>
        <v>Fiche info Avenant 5</v>
      </c>
      <c r="EF433" s="16" t="str">
        <f t="shared" si="99"/>
        <v>F</v>
      </c>
      <c r="EG433" s="16">
        <f t="shared" si="100"/>
        <v>5</v>
      </c>
      <c r="EH433" s="16" t="str">
        <f t="shared" si="101"/>
        <v>Vendredi</v>
      </c>
      <c r="EI433" s="16" t="str">
        <f t="shared" si="102"/>
        <v/>
      </c>
    </row>
    <row r="434" spans="1:139" x14ac:dyDescent="0.2">
      <c r="A434" s="16" t="str">
        <f t="shared" si="106"/>
        <v>Fiche info Avenant 5F6</v>
      </c>
      <c r="B434" s="16" t="str">
        <f t="shared" si="105"/>
        <v>Fiche info Avenant 5</v>
      </c>
      <c r="C434" s="27" t="s">
        <v>235</v>
      </c>
      <c r="D434" s="27">
        <v>6</v>
      </c>
      <c r="E434" s="16" t="s">
        <v>184</v>
      </c>
      <c r="F434" s="34" t="str">
        <f>+IF('Fiche info Avenant 5'!$BN$12=0,"",'Fiche info Avenant 5'!$BN$12)</f>
        <v/>
      </c>
      <c r="G434" s="16">
        <f t="shared" si="103"/>
        <v>0</v>
      </c>
      <c r="BX434" s="16" t="str">
        <f t="shared" si="104"/>
        <v>Fiche info Avenant 5F6</v>
      </c>
      <c r="BY434" s="431">
        <f>'Fiche info Avenant 5'!$BE$12</f>
        <v>0</v>
      </c>
      <c r="BZ434" s="431">
        <f>'Fiche info Avenant 5'!$BF$12</f>
        <v>0</v>
      </c>
      <c r="CA434" s="431">
        <f>'Fiche info Avenant 5'!$BG$12</f>
        <v>0</v>
      </c>
      <c r="CB434" s="431">
        <f>'Fiche info Avenant 5'!$BH$12</f>
        <v>0</v>
      </c>
      <c r="CC434" s="431">
        <f>'Fiche info Avenant 5'!$BI$12</f>
        <v>0</v>
      </c>
      <c r="CD434" s="431">
        <f>'Fiche info Avenant 5'!$BJ$12</f>
        <v>0</v>
      </c>
      <c r="CE434" s="431">
        <f>'Fiche info Avenant 5'!$BK$12</f>
        <v>0</v>
      </c>
      <c r="CF434" s="431">
        <f>'Fiche info Avenant 5'!$BL$12</f>
        <v>0</v>
      </c>
      <c r="ED434" s="16" t="str">
        <f t="shared" si="96"/>
        <v>Fiche info Avenant 5F</v>
      </c>
      <c r="EE434" s="16" t="str">
        <f t="shared" si="98"/>
        <v>Fiche info Avenant 5</v>
      </c>
      <c r="EF434" s="16" t="str">
        <f t="shared" si="99"/>
        <v>F</v>
      </c>
      <c r="EG434" s="16">
        <f t="shared" si="100"/>
        <v>6</v>
      </c>
      <c r="EH434" s="16" t="str">
        <f t="shared" si="101"/>
        <v>Samedi</v>
      </c>
      <c r="EI434" s="16" t="str">
        <f t="shared" si="102"/>
        <v/>
      </c>
    </row>
    <row r="435" spans="1:139" x14ac:dyDescent="0.2">
      <c r="A435" s="16" t="str">
        <f t="shared" si="106"/>
        <v>Fiche info Avenant 5F7</v>
      </c>
      <c r="B435" s="16" t="str">
        <f t="shared" si="105"/>
        <v>Fiche info Avenant 5</v>
      </c>
      <c r="C435" s="27" t="s">
        <v>235</v>
      </c>
      <c r="D435" s="27">
        <v>7</v>
      </c>
      <c r="E435" s="16" t="s">
        <v>185</v>
      </c>
      <c r="F435" s="34" t="str">
        <f>+IF('Fiche info Avenant 5'!$BN$13=0,"",'Fiche info Avenant 5'!$BN$13)</f>
        <v/>
      </c>
      <c r="G435" s="16">
        <f t="shared" si="103"/>
        <v>0</v>
      </c>
      <c r="BX435" s="16" t="str">
        <f t="shared" si="104"/>
        <v>Fiche info Avenant 5F7</v>
      </c>
      <c r="BY435" s="431">
        <f>'Fiche info Avenant 5'!$BE$13</f>
        <v>0</v>
      </c>
      <c r="BZ435" s="431">
        <f>'Fiche info Avenant 5'!$BF$13</f>
        <v>0</v>
      </c>
      <c r="CA435" s="431">
        <f>'Fiche info Avenant 5'!$BG$13</f>
        <v>0</v>
      </c>
      <c r="CB435" s="431">
        <f>'Fiche info Avenant 5'!$BH$13</f>
        <v>0</v>
      </c>
      <c r="CC435" s="431">
        <f>'Fiche info Avenant 5'!$BI$13</f>
        <v>0</v>
      </c>
      <c r="CD435" s="431">
        <f>'Fiche info Avenant 5'!$BJ$13</f>
        <v>0</v>
      </c>
      <c r="CE435" s="431">
        <f>'Fiche info Avenant 5'!$BK$13</f>
        <v>0</v>
      </c>
      <c r="CF435" s="431">
        <f>'Fiche info Avenant 5'!$BL$13</f>
        <v>0</v>
      </c>
      <c r="ED435" s="16" t="str">
        <f t="shared" ref="ED435:ED498" si="107">+EE435&amp;EF435</f>
        <v>Fiche info Avenant 5F</v>
      </c>
      <c r="EE435" s="16" t="str">
        <f t="shared" si="98"/>
        <v>Fiche info Avenant 5</v>
      </c>
      <c r="EF435" s="16" t="str">
        <f t="shared" si="99"/>
        <v>F</v>
      </c>
      <c r="EG435" s="16">
        <f t="shared" si="100"/>
        <v>7</v>
      </c>
      <c r="EH435" s="16" t="str">
        <f t="shared" si="101"/>
        <v>Dimanche</v>
      </c>
      <c r="EI435" s="16" t="str">
        <f t="shared" si="102"/>
        <v/>
      </c>
    </row>
    <row r="436" spans="1:139" x14ac:dyDescent="0.2">
      <c r="A436" s="16" t="str">
        <f t="shared" si="106"/>
        <v>Fiche info Avenant 5G1</v>
      </c>
      <c r="B436" s="16" t="str">
        <f t="shared" si="105"/>
        <v>Fiche info Avenant 5</v>
      </c>
      <c r="C436" s="27" t="s">
        <v>236</v>
      </c>
      <c r="D436" s="27">
        <v>1</v>
      </c>
      <c r="E436" s="16" t="s">
        <v>17</v>
      </c>
      <c r="F436" s="34" t="str">
        <f>+IF('Fiche info Avenant 5'!$BY$7=0,"",'Fiche info Avenant 5'!$BY$7)</f>
        <v/>
      </c>
      <c r="G436" s="16">
        <f t="shared" si="103"/>
        <v>0</v>
      </c>
      <c r="BX436" s="16" t="str">
        <f t="shared" si="104"/>
        <v>Fiche info Avenant 5G1</v>
      </c>
      <c r="BY436" s="431">
        <f>'Fiche info Avenant 5'!$BP$7</f>
        <v>0</v>
      </c>
      <c r="BZ436" s="431">
        <f>'Fiche info Avenant 5'!$BQ$7</f>
        <v>0</v>
      </c>
      <c r="CA436" s="431">
        <f>'Fiche info Avenant 5'!$BR$7</f>
        <v>0</v>
      </c>
      <c r="CB436" s="431">
        <f>'Fiche info Avenant 5'!$BS$7</f>
        <v>0</v>
      </c>
      <c r="CC436" s="431">
        <f>'Fiche info Avenant 5'!$BT$7</f>
        <v>0</v>
      </c>
      <c r="CD436" s="431">
        <f>'Fiche info Avenant 5'!$BU$7</f>
        <v>0</v>
      </c>
      <c r="CE436" s="431">
        <f>'Fiche info Avenant 5'!$BV$7</f>
        <v>0</v>
      </c>
      <c r="CF436" s="431">
        <f>'Fiche info Avenant 5'!$BW$7</f>
        <v>0</v>
      </c>
      <c r="ED436" s="16" t="str">
        <f t="shared" si="107"/>
        <v>Fiche info Avenant 5G</v>
      </c>
      <c r="EE436" s="16" t="str">
        <f t="shared" si="98"/>
        <v>Fiche info Avenant 5</v>
      </c>
      <c r="EF436" s="16" t="str">
        <f t="shared" si="99"/>
        <v>G</v>
      </c>
      <c r="EG436" s="16">
        <f t="shared" si="100"/>
        <v>1</v>
      </c>
      <c r="EH436" s="16" t="str">
        <f t="shared" si="101"/>
        <v>Lundi</v>
      </c>
      <c r="EI436" s="16" t="str">
        <f t="shared" si="102"/>
        <v/>
      </c>
    </row>
    <row r="437" spans="1:139" x14ac:dyDescent="0.2">
      <c r="A437" s="16" t="str">
        <f t="shared" si="106"/>
        <v>Fiche info Avenant 5G2</v>
      </c>
      <c r="B437" s="16" t="str">
        <f t="shared" si="105"/>
        <v>Fiche info Avenant 5</v>
      </c>
      <c r="C437" s="27" t="s">
        <v>236</v>
      </c>
      <c r="D437" s="27">
        <v>2</v>
      </c>
      <c r="E437" s="16" t="s">
        <v>18</v>
      </c>
      <c r="F437" s="34" t="str">
        <f>+IF('Fiche info Avenant 5'!$BY$8=0,"",'Fiche info Avenant 5'!$BY$8)</f>
        <v/>
      </c>
      <c r="G437" s="16">
        <f t="shared" si="103"/>
        <v>0</v>
      </c>
      <c r="BX437" s="16" t="str">
        <f t="shared" si="104"/>
        <v>Fiche info Avenant 5G2</v>
      </c>
      <c r="BY437" s="431">
        <f>'Fiche info Avenant 5'!$BP$8</f>
        <v>0</v>
      </c>
      <c r="BZ437" s="431">
        <f>'Fiche info Avenant 5'!$BQ$8</f>
        <v>0</v>
      </c>
      <c r="CA437" s="431">
        <f>'Fiche info Avenant 5'!$BR$8</f>
        <v>0</v>
      </c>
      <c r="CB437" s="431">
        <f>'Fiche info Avenant 5'!$BS$8</f>
        <v>0</v>
      </c>
      <c r="CC437" s="431">
        <f>'Fiche info Avenant 5'!$BT$8</f>
        <v>0</v>
      </c>
      <c r="CD437" s="431">
        <f>'Fiche info Avenant 5'!$BU$8</f>
        <v>0</v>
      </c>
      <c r="CE437" s="431">
        <f>'Fiche info Avenant 5'!$BV$8</f>
        <v>0</v>
      </c>
      <c r="CF437" s="431">
        <f>'Fiche info Avenant 5'!$BW$8</f>
        <v>0</v>
      </c>
      <c r="ED437" s="16" t="str">
        <f t="shared" si="107"/>
        <v>Fiche info Avenant 5G</v>
      </c>
      <c r="EE437" s="16" t="str">
        <f t="shared" si="98"/>
        <v>Fiche info Avenant 5</v>
      </c>
      <c r="EF437" s="16" t="str">
        <f t="shared" si="99"/>
        <v>G</v>
      </c>
      <c r="EG437" s="16">
        <f t="shared" si="100"/>
        <v>2</v>
      </c>
      <c r="EH437" s="16" t="str">
        <f t="shared" si="101"/>
        <v>Mardi</v>
      </c>
      <c r="EI437" s="16" t="str">
        <f t="shared" si="102"/>
        <v/>
      </c>
    </row>
    <row r="438" spans="1:139" x14ac:dyDescent="0.2">
      <c r="A438" s="16" t="str">
        <f t="shared" si="106"/>
        <v>Fiche info Avenant 5G3</v>
      </c>
      <c r="B438" s="16" t="str">
        <f t="shared" si="105"/>
        <v>Fiche info Avenant 5</v>
      </c>
      <c r="C438" s="27" t="s">
        <v>236</v>
      </c>
      <c r="D438" s="27">
        <v>3</v>
      </c>
      <c r="E438" s="16" t="s">
        <v>19</v>
      </c>
      <c r="F438" s="34" t="str">
        <f>+IF('Fiche info Avenant 5'!$BY$9=0,"",'Fiche info Avenant 5'!$BY$9)</f>
        <v/>
      </c>
      <c r="G438" s="16">
        <f t="shared" si="103"/>
        <v>0</v>
      </c>
      <c r="BX438" s="16" t="str">
        <f t="shared" si="104"/>
        <v>Fiche info Avenant 5G3</v>
      </c>
      <c r="BY438" s="431">
        <f>'Fiche info Avenant 5'!$BP$9</f>
        <v>0</v>
      </c>
      <c r="BZ438" s="431">
        <f>'Fiche info Avenant 5'!$BQ$9</f>
        <v>0</v>
      </c>
      <c r="CA438" s="431">
        <f>'Fiche info Avenant 5'!$BR$9</f>
        <v>0</v>
      </c>
      <c r="CB438" s="431">
        <f>'Fiche info Avenant 5'!$BS$9</f>
        <v>0</v>
      </c>
      <c r="CC438" s="431">
        <f>'Fiche info Avenant 5'!$BT$9</f>
        <v>0</v>
      </c>
      <c r="CD438" s="431">
        <f>'Fiche info Avenant 5'!$BU$9</f>
        <v>0</v>
      </c>
      <c r="CE438" s="431">
        <f>'Fiche info Avenant 5'!$BV$9</f>
        <v>0</v>
      </c>
      <c r="CF438" s="431">
        <f>'Fiche info Avenant 5'!$BW$9</f>
        <v>0</v>
      </c>
      <c r="ED438" s="16" t="str">
        <f t="shared" si="107"/>
        <v>Fiche info Avenant 5G</v>
      </c>
      <c r="EE438" s="16" t="str">
        <f t="shared" si="98"/>
        <v>Fiche info Avenant 5</v>
      </c>
      <c r="EF438" s="16" t="str">
        <f t="shared" si="99"/>
        <v>G</v>
      </c>
      <c r="EG438" s="16">
        <f t="shared" si="100"/>
        <v>3</v>
      </c>
      <c r="EH438" s="16" t="str">
        <f t="shared" si="101"/>
        <v>Mercredi</v>
      </c>
      <c r="EI438" s="16" t="str">
        <f t="shared" si="102"/>
        <v/>
      </c>
    </row>
    <row r="439" spans="1:139" x14ac:dyDescent="0.2">
      <c r="A439" s="16" t="str">
        <f t="shared" si="106"/>
        <v>Fiche info Avenant 5G4</v>
      </c>
      <c r="B439" s="16" t="str">
        <f t="shared" si="105"/>
        <v>Fiche info Avenant 5</v>
      </c>
      <c r="C439" s="27" t="s">
        <v>236</v>
      </c>
      <c r="D439" s="27">
        <v>4</v>
      </c>
      <c r="E439" s="16" t="s">
        <v>20</v>
      </c>
      <c r="F439" s="34" t="str">
        <f>+IF('Fiche info Avenant 5'!$BY$10=0,"",'Fiche info Avenant 5'!$BY$10)</f>
        <v/>
      </c>
      <c r="G439" s="16">
        <f t="shared" si="103"/>
        <v>0</v>
      </c>
      <c r="BX439" s="16" t="str">
        <f t="shared" si="104"/>
        <v>Fiche info Avenant 5G4</v>
      </c>
      <c r="BY439" s="431">
        <f>'Fiche info Avenant 5'!$BP$10</f>
        <v>0</v>
      </c>
      <c r="BZ439" s="431">
        <f>'Fiche info Avenant 5'!$BQ$10</f>
        <v>0</v>
      </c>
      <c r="CA439" s="431">
        <f>'Fiche info Avenant 5'!$BR$10</f>
        <v>0</v>
      </c>
      <c r="CB439" s="431">
        <f>'Fiche info Avenant 5'!$BS$10</f>
        <v>0</v>
      </c>
      <c r="CC439" s="431">
        <f>'Fiche info Avenant 5'!$BT$10</f>
        <v>0</v>
      </c>
      <c r="CD439" s="431">
        <f>'Fiche info Avenant 5'!$BU$10</f>
        <v>0</v>
      </c>
      <c r="CE439" s="431">
        <f>'Fiche info Avenant 5'!$BV$10</f>
        <v>0</v>
      </c>
      <c r="CF439" s="431">
        <f>'Fiche info Avenant 5'!$BW$10</f>
        <v>0</v>
      </c>
      <c r="ED439" s="16" t="str">
        <f t="shared" si="107"/>
        <v>Fiche info Avenant 5G</v>
      </c>
      <c r="EE439" s="16" t="str">
        <f t="shared" si="98"/>
        <v>Fiche info Avenant 5</v>
      </c>
      <c r="EF439" s="16" t="str">
        <f t="shared" si="99"/>
        <v>G</v>
      </c>
      <c r="EG439" s="16">
        <f t="shared" si="100"/>
        <v>4</v>
      </c>
      <c r="EH439" s="16" t="str">
        <f t="shared" si="101"/>
        <v>Jeudi</v>
      </c>
      <c r="EI439" s="16" t="str">
        <f t="shared" si="102"/>
        <v/>
      </c>
    </row>
    <row r="440" spans="1:139" x14ac:dyDescent="0.2">
      <c r="A440" s="16" t="str">
        <f t="shared" si="106"/>
        <v>Fiche info Avenant 5G5</v>
      </c>
      <c r="B440" s="16" t="str">
        <f t="shared" si="105"/>
        <v>Fiche info Avenant 5</v>
      </c>
      <c r="C440" s="27" t="s">
        <v>236</v>
      </c>
      <c r="D440" s="27">
        <v>5</v>
      </c>
      <c r="E440" s="16" t="s">
        <v>21</v>
      </c>
      <c r="F440" s="34" t="str">
        <f>+IF('Fiche info Avenant 5'!$BY$11=0,"",'Fiche info Avenant 5'!$BY$11)</f>
        <v/>
      </c>
      <c r="G440" s="16">
        <f t="shared" si="103"/>
        <v>0</v>
      </c>
      <c r="BX440" s="16" t="str">
        <f t="shared" si="104"/>
        <v>Fiche info Avenant 5G5</v>
      </c>
      <c r="BY440" s="431">
        <f>'Fiche info Avenant 5'!$BP$11</f>
        <v>0</v>
      </c>
      <c r="BZ440" s="431">
        <f>'Fiche info Avenant 5'!$BQ$11</f>
        <v>0</v>
      </c>
      <c r="CA440" s="431">
        <f>'Fiche info Avenant 5'!$BR$11</f>
        <v>0</v>
      </c>
      <c r="CB440" s="431">
        <f>'Fiche info Avenant 5'!$BS$11</f>
        <v>0</v>
      </c>
      <c r="CC440" s="431">
        <f>'Fiche info Avenant 5'!$BT$11</f>
        <v>0</v>
      </c>
      <c r="CD440" s="431">
        <f>'Fiche info Avenant 5'!$BU$11</f>
        <v>0</v>
      </c>
      <c r="CE440" s="431">
        <f>'Fiche info Avenant 5'!$BV$11</f>
        <v>0</v>
      </c>
      <c r="CF440" s="431">
        <f>'Fiche info Avenant 5'!$BW$11</f>
        <v>0</v>
      </c>
      <c r="ED440" s="16" t="str">
        <f t="shared" si="107"/>
        <v>Fiche info Avenant 5G</v>
      </c>
      <c r="EE440" s="16" t="str">
        <f t="shared" si="98"/>
        <v>Fiche info Avenant 5</v>
      </c>
      <c r="EF440" s="16" t="str">
        <f t="shared" si="99"/>
        <v>G</v>
      </c>
      <c r="EG440" s="16">
        <f t="shared" si="100"/>
        <v>5</v>
      </c>
      <c r="EH440" s="16" t="str">
        <f t="shared" si="101"/>
        <v>Vendredi</v>
      </c>
      <c r="EI440" s="16" t="str">
        <f t="shared" si="102"/>
        <v/>
      </c>
    </row>
    <row r="441" spans="1:139" x14ac:dyDescent="0.2">
      <c r="A441" s="16" t="str">
        <f t="shared" si="106"/>
        <v>Fiche info Avenant 5G6</v>
      </c>
      <c r="B441" s="16" t="str">
        <f t="shared" si="105"/>
        <v>Fiche info Avenant 5</v>
      </c>
      <c r="C441" s="27" t="s">
        <v>236</v>
      </c>
      <c r="D441" s="27">
        <v>6</v>
      </c>
      <c r="E441" s="16" t="s">
        <v>184</v>
      </c>
      <c r="F441" s="34" t="str">
        <f>+IF('Fiche info Avenant 5'!$BY$12=0,"",'Fiche info Avenant 5'!$BY$12)</f>
        <v/>
      </c>
      <c r="G441" s="16">
        <f t="shared" si="103"/>
        <v>0</v>
      </c>
      <c r="BX441" s="16" t="str">
        <f t="shared" si="104"/>
        <v>Fiche info Avenant 5G6</v>
      </c>
      <c r="BY441" s="431">
        <f>'Fiche info Avenant 5'!$BP$12</f>
        <v>0</v>
      </c>
      <c r="BZ441" s="431">
        <f>'Fiche info Avenant 5'!$BQ$12</f>
        <v>0</v>
      </c>
      <c r="CA441" s="431">
        <f>'Fiche info Avenant 5'!$BR$12</f>
        <v>0</v>
      </c>
      <c r="CB441" s="431">
        <f>'Fiche info Avenant 5'!$BS$12</f>
        <v>0</v>
      </c>
      <c r="CC441" s="431">
        <f>'Fiche info Avenant 5'!$BT$12</f>
        <v>0</v>
      </c>
      <c r="CD441" s="431">
        <f>'Fiche info Avenant 5'!$BU$12</f>
        <v>0</v>
      </c>
      <c r="CE441" s="431">
        <f>'Fiche info Avenant 5'!$BV$12</f>
        <v>0</v>
      </c>
      <c r="CF441" s="431">
        <f>'Fiche info Avenant 5'!$BW$12</f>
        <v>0</v>
      </c>
      <c r="ED441" s="16" t="str">
        <f t="shared" si="107"/>
        <v>Fiche info Avenant 5G</v>
      </c>
      <c r="EE441" s="16" t="str">
        <f t="shared" si="98"/>
        <v>Fiche info Avenant 5</v>
      </c>
      <c r="EF441" s="16" t="str">
        <f t="shared" si="99"/>
        <v>G</v>
      </c>
      <c r="EG441" s="16">
        <f t="shared" si="100"/>
        <v>6</v>
      </c>
      <c r="EH441" s="16" t="str">
        <f t="shared" si="101"/>
        <v>Samedi</v>
      </c>
      <c r="EI441" s="16" t="str">
        <f t="shared" si="102"/>
        <v/>
      </c>
    </row>
    <row r="442" spans="1:139" x14ac:dyDescent="0.2">
      <c r="A442" s="16" t="str">
        <f t="shared" si="106"/>
        <v>Fiche info Avenant 5G7</v>
      </c>
      <c r="B442" s="16" t="str">
        <f t="shared" si="105"/>
        <v>Fiche info Avenant 5</v>
      </c>
      <c r="C442" s="27" t="s">
        <v>236</v>
      </c>
      <c r="D442" s="27">
        <v>7</v>
      </c>
      <c r="E442" s="16" t="s">
        <v>185</v>
      </c>
      <c r="F442" s="34" t="str">
        <f>+IF('Fiche info Avenant 5'!$BY$13=0,"",'Fiche info Avenant 5'!$BY$13)</f>
        <v/>
      </c>
      <c r="G442" s="16">
        <f t="shared" si="103"/>
        <v>0</v>
      </c>
      <c r="BX442" s="16" t="str">
        <f t="shared" si="104"/>
        <v>Fiche info Avenant 5G7</v>
      </c>
      <c r="BY442" s="431">
        <f>'Fiche info Avenant 5'!$BP$13</f>
        <v>0</v>
      </c>
      <c r="BZ442" s="431">
        <f>'Fiche info Avenant 5'!$BQ$13</f>
        <v>0</v>
      </c>
      <c r="CA442" s="431">
        <f>'Fiche info Avenant 5'!$BR$13</f>
        <v>0</v>
      </c>
      <c r="CB442" s="431">
        <f>'Fiche info Avenant 5'!$BS$13</f>
        <v>0</v>
      </c>
      <c r="CC442" s="431">
        <f>'Fiche info Avenant 5'!$BT$13</f>
        <v>0</v>
      </c>
      <c r="CD442" s="431">
        <f>'Fiche info Avenant 5'!$BU$13</f>
        <v>0</v>
      </c>
      <c r="CE442" s="431">
        <f>'Fiche info Avenant 5'!$BV$13</f>
        <v>0</v>
      </c>
      <c r="CF442" s="431">
        <f>'Fiche info Avenant 5'!$BW$13</f>
        <v>0</v>
      </c>
      <c r="ED442" s="16" t="str">
        <f t="shared" si="107"/>
        <v>Fiche info Avenant 5G</v>
      </c>
      <c r="EE442" s="16" t="str">
        <f t="shared" si="98"/>
        <v>Fiche info Avenant 5</v>
      </c>
      <c r="EF442" s="16" t="str">
        <f t="shared" si="99"/>
        <v>G</v>
      </c>
      <c r="EG442" s="16">
        <f t="shared" si="100"/>
        <v>7</v>
      </c>
      <c r="EH442" s="16" t="str">
        <f t="shared" si="101"/>
        <v>Dimanche</v>
      </c>
      <c r="EI442" s="16" t="str">
        <f t="shared" si="102"/>
        <v/>
      </c>
    </row>
    <row r="443" spans="1:139" x14ac:dyDescent="0.2">
      <c r="A443" s="16" t="str">
        <f t="shared" si="106"/>
        <v>Fiche info Avenant 5H1</v>
      </c>
      <c r="B443" s="16" t="str">
        <f t="shared" si="105"/>
        <v>Fiche info Avenant 5</v>
      </c>
      <c r="C443" s="27" t="s">
        <v>237</v>
      </c>
      <c r="D443" s="27">
        <v>1</v>
      </c>
      <c r="E443" s="16" t="s">
        <v>17</v>
      </c>
      <c r="F443" s="34" t="str">
        <f>+IF('Fiche info Avenant 5'!$CJ$7=0,"",'Fiche info Avenant 5'!$CJ$7)</f>
        <v/>
      </c>
      <c r="G443" s="16">
        <f t="shared" si="103"/>
        <v>0</v>
      </c>
      <c r="BX443" s="16" t="str">
        <f t="shared" si="104"/>
        <v>Fiche info Avenant 5H1</v>
      </c>
      <c r="BY443" s="431">
        <f>'Fiche info Avenant 5'!$CA$7</f>
        <v>0</v>
      </c>
      <c r="BZ443" s="431">
        <f>'Fiche info Avenant 5'!$CB$7</f>
        <v>0</v>
      </c>
      <c r="CA443" s="431">
        <f>'Fiche info Avenant 5'!$CC$7</f>
        <v>0</v>
      </c>
      <c r="CB443" s="431">
        <f>'Fiche info Avenant 5'!$CD$7</f>
        <v>0</v>
      </c>
      <c r="CC443" s="431">
        <f>'Fiche info Avenant 5'!$CE$7</f>
        <v>0</v>
      </c>
      <c r="CD443" s="431">
        <f>'Fiche info Avenant 5'!$CF$7</f>
        <v>0</v>
      </c>
      <c r="CE443" s="431">
        <f>'Fiche info Avenant 5'!$CG$7</f>
        <v>0</v>
      </c>
      <c r="CF443" s="431">
        <f>'Fiche info Avenant 5'!$CH$7</f>
        <v>0</v>
      </c>
      <c r="ED443" s="16" t="str">
        <f t="shared" si="107"/>
        <v>Fiche info Avenant 5H</v>
      </c>
      <c r="EE443" s="16" t="str">
        <f t="shared" si="98"/>
        <v>Fiche info Avenant 5</v>
      </c>
      <c r="EF443" s="16" t="str">
        <f t="shared" si="99"/>
        <v>H</v>
      </c>
      <c r="EG443" s="16">
        <f t="shared" si="100"/>
        <v>1</v>
      </c>
      <c r="EH443" s="16" t="str">
        <f t="shared" si="101"/>
        <v>Lundi</v>
      </c>
      <c r="EI443" s="16" t="str">
        <f t="shared" si="102"/>
        <v/>
      </c>
    </row>
    <row r="444" spans="1:139" x14ac:dyDescent="0.2">
      <c r="A444" s="16" t="str">
        <f t="shared" si="106"/>
        <v>Fiche info Avenant 5H2</v>
      </c>
      <c r="B444" s="16" t="str">
        <f t="shared" si="105"/>
        <v>Fiche info Avenant 5</v>
      </c>
      <c r="C444" s="27" t="s">
        <v>237</v>
      </c>
      <c r="D444" s="27">
        <v>2</v>
      </c>
      <c r="E444" s="16" t="s">
        <v>18</v>
      </c>
      <c r="F444" s="34" t="str">
        <f>+IF('Fiche info Avenant 5'!$CJ$8=0,"",'Fiche info Avenant 5'!$CJ$8)</f>
        <v/>
      </c>
      <c r="G444" s="16">
        <f t="shared" si="103"/>
        <v>0</v>
      </c>
      <c r="BX444" s="16" t="str">
        <f t="shared" si="104"/>
        <v>Fiche info Avenant 5H2</v>
      </c>
      <c r="BY444" s="431">
        <f>'Fiche info Avenant 5'!$CA$8</f>
        <v>0</v>
      </c>
      <c r="BZ444" s="431">
        <f>'Fiche info Avenant 5'!$CB$8</f>
        <v>0</v>
      </c>
      <c r="CA444" s="431">
        <f>'Fiche info Avenant 5'!$CC$8</f>
        <v>0</v>
      </c>
      <c r="CB444" s="431">
        <f>'Fiche info Avenant 5'!$CD$8</f>
        <v>0</v>
      </c>
      <c r="CC444" s="431">
        <f>'Fiche info Avenant 5'!$CE$8</f>
        <v>0</v>
      </c>
      <c r="CD444" s="431">
        <f>'Fiche info Avenant 5'!$CF$8</f>
        <v>0</v>
      </c>
      <c r="CE444" s="431">
        <f>'Fiche info Avenant 5'!$CG$8</f>
        <v>0</v>
      </c>
      <c r="CF444" s="431">
        <f>'Fiche info Avenant 5'!$CH$8</f>
        <v>0</v>
      </c>
      <c r="ED444" s="16" t="str">
        <f t="shared" si="107"/>
        <v>Fiche info Avenant 5H</v>
      </c>
      <c r="EE444" s="16" t="str">
        <f t="shared" si="98"/>
        <v>Fiche info Avenant 5</v>
      </c>
      <c r="EF444" s="16" t="str">
        <f t="shared" si="99"/>
        <v>H</v>
      </c>
      <c r="EG444" s="16">
        <f t="shared" si="100"/>
        <v>2</v>
      </c>
      <c r="EH444" s="16" t="str">
        <f t="shared" si="101"/>
        <v>Mardi</v>
      </c>
      <c r="EI444" s="16" t="str">
        <f t="shared" si="102"/>
        <v/>
      </c>
    </row>
    <row r="445" spans="1:139" x14ac:dyDescent="0.2">
      <c r="A445" s="16" t="str">
        <f t="shared" si="106"/>
        <v>Fiche info Avenant 5H3</v>
      </c>
      <c r="B445" s="16" t="str">
        <f t="shared" si="105"/>
        <v>Fiche info Avenant 5</v>
      </c>
      <c r="C445" s="27" t="s">
        <v>237</v>
      </c>
      <c r="D445" s="27">
        <v>3</v>
      </c>
      <c r="E445" s="16" t="s">
        <v>19</v>
      </c>
      <c r="F445" s="34" t="str">
        <f>+IF('Fiche info Avenant 5'!$CJ$9=0,"",'Fiche info Avenant 5'!$CJ$9)</f>
        <v/>
      </c>
      <c r="G445" s="16">
        <f t="shared" si="103"/>
        <v>0</v>
      </c>
      <c r="BX445" s="16" t="str">
        <f t="shared" si="104"/>
        <v>Fiche info Avenant 5H3</v>
      </c>
      <c r="BY445" s="431">
        <f>'Fiche info Avenant 5'!$CA$9</f>
        <v>0</v>
      </c>
      <c r="BZ445" s="431">
        <f>'Fiche info Avenant 5'!$CB$9</f>
        <v>0</v>
      </c>
      <c r="CA445" s="431">
        <f>'Fiche info Avenant 5'!$CC$9</f>
        <v>0</v>
      </c>
      <c r="CB445" s="431">
        <f>'Fiche info Avenant 5'!$CD$9</f>
        <v>0</v>
      </c>
      <c r="CC445" s="431">
        <f>'Fiche info Avenant 5'!$CE$9</f>
        <v>0</v>
      </c>
      <c r="CD445" s="431">
        <f>'Fiche info Avenant 5'!$CF$9</f>
        <v>0</v>
      </c>
      <c r="CE445" s="431">
        <f>'Fiche info Avenant 5'!$CG$9</f>
        <v>0</v>
      </c>
      <c r="CF445" s="431">
        <f>'Fiche info Avenant 5'!$CH$9</f>
        <v>0</v>
      </c>
      <c r="ED445" s="16" t="str">
        <f t="shared" si="107"/>
        <v>Fiche info Avenant 5H</v>
      </c>
      <c r="EE445" s="16" t="str">
        <f t="shared" si="98"/>
        <v>Fiche info Avenant 5</v>
      </c>
      <c r="EF445" s="16" t="str">
        <f t="shared" si="99"/>
        <v>H</v>
      </c>
      <c r="EG445" s="16">
        <f t="shared" si="100"/>
        <v>3</v>
      </c>
      <c r="EH445" s="16" t="str">
        <f t="shared" si="101"/>
        <v>Mercredi</v>
      </c>
      <c r="EI445" s="16" t="str">
        <f t="shared" si="102"/>
        <v/>
      </c>
    </row>
    <row r="446" spans="1:139" x14ac:dyDescent="0.2">
      <c r="A446" s="16" t="str">
        <f t="shared" si="106"/>
        <v>Fiche info Avenant 5H4</v>
      </c>
      <c r="B446" s="16" t="str">
        <f t="shared" si="105"/>
        <v>Fiche info Avenant 5</v>
      </c>
      <c r="C446" s="27" t="s">
        <v>237</v>
      </c>
      <c r="D446" s="27">
        <v>4</v>
      </c>
      <c r="E446" s="16" t="s">
        <v>20</v>
      </c>
      <c r="F446" s="34" t="str">
        <f>+IF('Fiche info Avenant 5'!$CJ$10=0,"",'Fiche info Avenant 5'!$CJ$10)</f>
        <v/>
      </c>
      <c r="G446" s="16">
        <f t="shared" si="103"/>
        <v>0</v>
      </c>
      <c r="BX446" s="16" t="str">
        <f t="shared" si="104"/>
        <v>Fiche info Avenant 5H4</v>
      </c>
      <c r="BY446" s="431">
        <f>'Fiche info Avenant 5'!$CA$10</f>
        <v>0</v>
      </c>
      <c r="BZ446" s="431">
        <f>'Fiche info Avenant 5'!$CB$10</f>
        <v>0</v>
      </c>
      <c r="CA446" s="431">
        <f>'Fiche info Avenant 5'!$CC$10</f>
        <v>0</v>
      </c>
      <c r="CB446" s="431">
        <f>'Fiche info Avenant 5'!$CD$10</f>
        <v>0</v>
      </c>
      <c r="CC446" s="431">
        <f>'Fiche info Avenant 5'!$CE$10</f>
        <v>0</v>
      </c>
      <c r="CD446" s="431">
        <f>'Fiche info Avenant 5'!$CF$10</f>
        <v>0</v>
      </c>
      <c r="CE446" s="431">
        <f>'Fiche info Avenant 5'!$CG$10</f>
        <v>0</v>
      </c>
      <c r="CF446" s="431">
        <f>'Fiche info Avenant 5'!$CH$10</f>
        <v>0</v>
      </c>
      <c r="ED446" s="16" t="str">
        <f t="shared" si="107"/>
        <v>Fiche info Avenant 5H</v>
      </c>
      <c r="EE446" s="16" t="str">
        <f t="shared" si="98"/>
        <v>Fiche info Avenant 5</v>
      </c>
      <c r="EF446" s="16" t="str">
        <f t="shared" si="99"/>
        <v>H</v>
      </c>
      <c r="EG446" s="16">
        <f t="shared" si="100"/>
        <v>4</v>
      </c>
      <c r="EH446" s="16" t="str">
        <f t="shared" si="101"/>
        <v>Jeudi</v>
      </c>
      <c r="EI446" s="16" t="str">
        <f t="shared" si="102"/>
        <v/>
      </c>
    </row>
    <row r="447" spans="1:139" x14ac:dyDescent="0.2">
      <c r="A447" s="16" t="str">
        <f t="shared" si="106"/>
        <v>Fiche info Avenant 5H5</v>
      </c>
      <c r="B447" s="16" t="str">
        <f t="shared" si="105"/>
        <v>Fiche info Avenant 5</v>
      </c>
      <c r="C447" s="27" t="s">
        <v>237</v>
      </c>
      <c r="D447" s="27">
        <v>5</v>
      </c>
      <c r="E447" s="16" t="s">
        <v>21</v>
      </c>
      <c r="F447" s="34" t="str">
        <f>+IF('Fiche info Avenant 5'!$CJ$11=0,"",'Fiche info Avenant 5'!$CJ$11)</f>
        <v/>
      </c>
      <c r="G447" s="16">
        <f t="shared" si="103"/>
        <v>0</v>
      </c>
      <c r="BX447" s="16" t="str">
        <f t="shared" si="104"/>
        <v>Fiche info Avenant 5H5</v>
      </c>
      <c r="BY447" s="431">
        <f>'Fiche info Avenant 5'!$CA$11</f>
        <v>0</v>
      </c>
      <c r="BZ447" s="431">
        <f>'Fiche info Avenant 5'!$CB$11</f>
        <v>0</v>
      </c>
      <c r="CA447" s="431">
        <f>'Fiche info Avenant 5'!$CC$11</f>
        <v>0</v>
      </c>
      <c r="CB447" s="431">
        <f>'Fiche info Avenant 5'!$CD$11</f>
        <v>0</v>
      </c>
      <c r="CC447" s="431">
        <f>'Fiche info Avenant 5'!$CE$11</f>
        <v>0</v>
      </c>
      <c r="CD447" s="431">
        <f>'Fiche info Avenant 5'!$CF$11</f>
        <v>0</v>
      </c>
      <c r="CE447" s="431">
        <f>'Fiche info Avenant 5'!$CG$11</f>
        <v>0</v>
      </c>
      <c r="CF447" s="431">
        <f>'Fiche info Avenant 5'!$CH$11</f>
        <v>0</v>
      </c>
      <c r="ED447" s="16" t="str">
        <f t="shared" si="107"/>
        <v>Fiche info Avenant 5H</v>
      </c>
      <c r="EE447" s="16" t="str">
        <f t="shared" si="98"/>
        <v>Fiche info Avenant 5</v>
      </c>
      <c r="EF447" s="16" t="str">
        <f t="shared" si="99"/>
        <v>H</v>
      </c>
      <c r="EG447" s="16">
        <f t="shared" si="100"/>
        <v>5</v>
      </c>
      <c r="EH447" s="16" t="str">
        <f t="shared" si="101"/>
        <v>Vendredi</v>
      </c>
      <c r="EI447" s="16" t="str">
        <f t="shared" si="102"/>
        <v/>
      </c>
    </row>
    <row r="448" spans="1:139" x14ac:dyDescent="0.2">
      <c r="A448" s="16" t="str">
        <f t="shared" si="106"/>
        <v>Fiche info Avenant 5H6</v>
      </c>
      <c r="B448" s="16" t="str">
        <f t="shared" si="105"/>
        <v>Fiche info Avenant 5</v>
      </c>
      <c r="C448" s="27" t="s">
        <v>237</v>
      </c>
      <c r="D448" s="27">
        <v>6</v>
      </c>
      <c r="E448" s="16" t="s">
        <v>184</v>
      </c>
      <c r="F448" s="34" t="str">
        <f>+IF('Fiche info Avenant 5'!$CJ$12=0,"",'Fiche info Avenant 5'!$CJ$12)</f>
        <v/>
      </c>
      <c r="G448" s="16">
        <f t="shared" si="103"/>
        <v>0</v>
      </c>
      <c r="BX448" s="16" t="str">
        <f t="shared" si="104"/>
        <v>Fiche info Avenant 5H6</v>
      </c>
      <c r="BY448" s="431">
        <f>'Fiche info Avenant 5'!$CA$12</f>
        <v>0</v>
      </c>
      <c r="BZ448" s="431">
        <f>'Fiche info Avenant 5'!$CB$12</f>
        <v>0</v>
      </c>
      <c r="CA448" s="431">
        <f>'Fiche info Avenant 5'!$CC$12</f>
        <v>0</v>
      </c>
      <c r="CB448" s="431">
        <f>'Fiche info Avenant 5'!$CD$12</f>
        <v>0</v>
      </c>
      <c r="CC448" s="431">
        <f>'Fiche info Avenant 5'!$CE$12</f>
        <v>0</v>
      </c>
      <c r="CD448" s="431">
        <f>'Fiche info Avenant 5'!$CF$12</f>
        <v>0</v>
      </c>
      <c r="CE448" s="431">
        <f>'Fiche info Avenant 5'!$CG$12</f>
        <v>0</v>
      </c>
      <c r="CF448" s="431">
        <f>'Fiche info Avenant 5'!$CH$12</f>
        <v>0</v>
      </c>
      <c r="ED448" s="16" t="str">
        <f t="shared" si="107"/>
        <v>Fiche info Avenant 5H</v>
      </c>
      <c r="EE448" s="16" t="str">
        <f t="shared" si="98"/>
        <v>Fiche info Avenant 5</v>
      </c>
      <c r="EF448" s="16" t="str">
        <f t="shared" si="99"/>
        <v>H</v>
      </c>
      <c r="EG448" s="16">
        <f t="shared" si="100"/>
        <v>6</v>
      </c>
      <c r="EH448" s="16" t="str">
        <f t="shared" si="101"/>
        <v>Samedi</v>
      </c>
      <c r="EI448" s="16" t="str">
        <f t="shared" si="102"/>
        <v/>
      </c>
    </row>
    <row r="449" spans="1:139" x14ac:dyDescent="0.2">
      <c r="A449" s="16" t="str">
        <f t="shared" si="106"/>
        <v>Fiche info Avenant 5H7</v>
      </c>
      <c r="B449" s="16" t="str">
        <f t="shared" si="105"/>
        <v>Fiche info Avenant 5</v>
      </c>
      <c r="C449" s="27" t="s">
        <v>237</v>
      </c>
      <c r="D449" s="27">
        <v>7</v>
      </c>
      <c r="E449" s="16" t="s">
        <v>185</v>
      </c>
      <c r="F449" s="34" t="str">
        <f>+IF('Fiche info'!$CJ$13=0,"",'Fiche info'!$CJ$13)</f>
        <v/>
      </c>
      <c r="G449" s="16">
        <f t="shared" si="103"/>
        <v>0</v>
      </c>
      <c r="BX449" s="16" t="str">
        <f t="shared" si="104"/>
        <v>Fiche info Avenant 5H7</v>
      </c>
      <c r="BY449" s="431">
        <f>'Fiche info Avenant 5'!$CA$13</f>
        <v>0</v>
      </c>
      <c r="BZ449" s="431">
        <f>'Fiche info Avenant 5'!$CB$13</f>
        <v>0</v>
      </c>
      <c r="CA449" s="431">
        <f>'Fiche info Avenant 5'!$CC$13</f>
        <v>0</v>
      </c>
      <c r="CB449" s="431">
        <f>'Fiche info Avenant 5'!$CD$13</f>
        <v>0</v>
      </c>
      <c r="CC449" s="431">
        <f>'Fiche info Avenant 5'!$CE$13</f>
        <v>0</v>
      </c>
      <c r="CD449" s="431">
        <f>'Fiche info Avenant 5'!$CF$13</f>
        <v>0</v>
      </c>
      <c r="CE449" s="431">
        <f>'Fiche info Avenant 5'!$CG$13</f>
        <v>0</v>
      </c>
      <c r="CF449" s="431">
        <f>'Fiche info Avenant 5'!$CH$13</f>
        <v>0</v>
      </c>
      <c r="ED449" s="16" t="str">
        <f t="shared" si="107"/>
        <v>Fiche info Avenant 5H</v>
      </c>
      <c r="EE449" s="16" t="str">
        <f t="shared" ref="EE449:EE512" si="108">B449</f>
        <v>Fiche info Avenant 5</v>
      </c>
      <c r="EF449" s="16" t="str">
        <f t="shared" ref="EF449:EF512" si="109">C449</f>
        <v>H</v>
      </c>
      <c r="EG449" s="16">
        <f t="shared" ref="EG449:EG512" si="110">D449</f>
        <v>7</v>
      </c>
      <c r="EH449" s="16" t="str">
        <f t="shared" ref="EH449:EH512" si="111">E449</f>
        <v>Dimanche</v>
      </c>
      <c r="EI449" s="16" t="str">
        <f t="shared" ref="EI449:EI512" si="112">F449</f>
        <v/>
      </c>
    </row>
    <row r="450" spans="1:139" x14ac:dyDescent="0.2">
      <c r="A450" s="16" t="str">
        <f t="shared" si="106"/>
        <v>Fiche info CDD C.DuréeA1</v>
      </c>
      <c r="B450" s="16" t="str">
        <f>+$P$10</f>
        <v>Fiche info CDD C.Durée</v>
      </c>
      <c r="C450" s="27" t="s">
        <v>226</v>
      </c>
      <c r="D450" s="27">
        <v>1</v>
      </c>
      <c r="E450" s="16" t="s">
        <v>17</v>
      </c>
      <c r="F450" s="34" t="str">
        <f>IF('Fiche info CDD C.Durée'!$K$7=0,"",'Fiche info CDD C.Durée'!$K$7)</f>
        <v/>
      </c>
      <c r="G450" s="16">
        <f t="shared" ref="G450:G513" si="113">+IF(OR(F450=0,F450=""),0,1)</f>
        <v>0</v>
      </c>
      <c r="BX450" s="16" t="str">
        <f t="shared" ref="BX450:BX513" si="114">A450</f>
        <v>Fiche info CDD C.DuréeA1</v>
      </c>
      <c r="BY450" s="431">
        <f>'Fiche info CDD C.Durée'!$B$7</f>
        <v>0</v>
      </c>
      <c r="BZ450" s="431">
        <f>'Fiche info CDD C.Durée'!$C$7</f>
        <v>0</v>
      </c>
      <c r="CA450" s="431">
        <f>'Fiche info CDD C.Durée'!$D$7</f>
        <v>0</v>
      </c>
      <c r="CB450" s="431">
        <f>'Fiche info CDD C.Durée'!$E$7</f>
        <v>0</v>
      </c>
      <c r="CC450" s="431">
        <f>'Fiche info CDD C.Durée'!$F$7</f>
        <v>0</v>
      </c>
      <c r="CD450" s="431">
        <f>'Fiche info CDD C.Durée'!$G$7</f>
        <v>0</v>
      </c>
      <c r="CE450" s="431">
        <f>'Fiche info CDD C.Durée'!$H$7</f>
        <v>0</v>
      </c>
      <c r="CF450" s="431">
        <f>'Fiche info CDD C.Durée'!$I$7</f>
        <v>0</v>
      </c>
      <c r="ED450" s="16" t="str">
        <f t="shared" si="107"/>
        <v>Fiche info CDD C.DuréeA</v>
      </c>
      <c r="EE450" s="16" t="str">
        <f t="shared" si="108"/>
        <v>Fiche info CDD C.Durée</v>
      </c>
      <c r="EF450" s="16" t="str">
        <f t="shared" si="109"/>
        <v>A</v>
      </c>
      <c r="EG450" s="16">
        <f t="shared" si="110"/>
        <v>1</v>
      </c>
      <c r="EH450" s="16" t="str">
        <f t="shared" si="111"/>
        <v>Lundi</v>
      </c>
      <c r="EI450" s="16" t="str">
        <f t="shared" si="112"/>
        <v/>
      </c>
    </row>
    <row r="451" spans="1:139" x14ac:dyDescent="0.2">
      <c r="A451" s="16" t="str">
        <f t="shared" si="106"/>
        <v>Fiche info CDD C.DuréeA2</v>
      </c>
      <c r="B451" s="16" t="str">
        <f t="shared" ref="B451:B505" si="115">+$P$10</f>
        <v>Fiche info CDD C.Durée</v>
      </c>
      <c r="C451" s="27" t="s">
        <v>226</v>
      </c>
      <c r="D451" s="27">
        <v>2</v>
      </c>
      <c r="E451" s="16" t="s">
        <v>18</v>
      </c>
      <c r="F451" s="34" t="str">
        <f>IF('Fiche info CDD C.Durée'!$K$8=0,"",'Fiche info CDD C.Durée'!$K$8)</f>
        <v/>
      </c>
      <c r="G451" s="16">
        <f t="shared" si="113"/>
        <v>0</v>
      </c>
      <c r="BX451" s="16" t="str">
        <f t="shared" si="114"/>
        <v>Fiche info CDD C.DuréeA2</v>
      </c>
      <c r="BY451" s="431">
        <f>'Fiche info CDD C.Durée'!$B$8</f>
        <v>0</v>
      </c>
      <c r="BZ451" s="431">
        <f>'Fiche info CDD C.Durée'!$C$8</f>
        <v>0</v>
      </c>
      <c r="CA451" s="431">
        <f>'Fiche info CDD C.Durée'!$D$8</f>
        <v>0</v>
      </c>
      <c r="CB451" s="431">
        <f>'Fiche info CDD C.Durée'!$E$8</f>
        <v>0</v>
      </c>
      <c r="CC451" s="431">
        <f>'Fiche info CDD C.Durée'!$F$8</f>
        <v>0</v>
      </c>
      <c r="CD451" s="431">
        <f>'Fiche info CDD C.Durée'!$G$8</f>
        <v>0</v>
      </c>
      <c r="CE451" s="431">
        <f>'Fiche info CDD C.Durée'!$H$8</f>
        <v>0</v>
      </c>
      <c r="CF451" s="431">
        <f>'Fiche info CDD C.Durée'!$I$8</f>
        <v>0</v>
      </c>
      <c r="ED451" s="16" t="str">
        <f t="shared" si="107"/>
        <v>Fiche info CDD C.DuréeA</v>
      </c>
      <c r="EE451" s="16" t="str">
        <f t="shared" si="108"/>
        <v>Fiche info CDD C.Durée</v>
      </c>
      <c r="EF451" s="16" t="str">
        <f t="shared" si="109"/>
        <v>A</v>
      </c>
      <c r="EG451" s="16">
        <f t="shared" si="110"/>
        <v>2</v>
      </c>
      <c r="EH451" s="16" t="str">
        <f t="shared" si="111"/>
        <v>Mardi</v>
      </c>
      <c r="EI451" s="16" t="str">
        <f t="shared" si="112"/>
        <v/>
      </c>
    </row>
    <row r="452" spans="1:139" x14ac:dyDescent="0.2">
      <c r="A452" s="16" t="str">
        <f t="shared" si="106"/>
        <v>Fiche info CDD C.DuréeA3</v>
      </c>
      <c r="B452" s="16" t="str">
        <f t="shared" si="115"/>
        <v>Fiche info CDD C.Durée</v>
      </c>
      <c r="C452" s="27" t="s">
        <v>226</v>
      </c>
      <c r="D452" s="27">
        <v>3</v>
      </c>
      <c r="E452" s="16" t="s">
        <v>19</v>
      </c>
      <c r="F452" s="34" t="str">
        <f>IF('Fiche info CDD C.Durée'!$K$9=0,"",'Fiche info CDD C.Durée'!$K$9)</f>
        <v/>
      </c>
      <c r="G452" s="16">
        <f t="shared" si="113"/>
        <v>0</v>
      </c>
      <c r="BX452" s="16" t="str">
        <f t="shared" si="114"/>
        <v>Fiche info CDD C.DuréeA3</v>
      </c>
      <c r="BY452" s="431">
        <f>'Fiche info CDD C.Durée'!$B$9</f>
        <v>0</v>
      </c>
      <c r="BZ452" s="431">
        <f>'Fiche info CDD C.Durée'!$C$9</f>
        <v>0</v>
      </c>
      <c r="CA452" s="431">
        <f>'Fiche info CDD C.Durée'!$D$9</f>
        <v>0</v>
      </c>
      <c r="CB452" s="431">
        <f>'Fiche info CDD C.Durée'!$E$9</f>
        <v>0</v>
      </c>
      <c r="CC452" s="431">
        <f>'Fiche info CDD C.Durée'!$F$9</f>
        <v>0</v>
      </c>
      <c r="CD452" s="431">
        <f>'Fiche info CDD C.Durée'!$G$9</f>
        <v>0</v>
      </c>
      <c r="CE452" s="431">
        <f>'Fiche info CDD C.Durée'!$H$9</f>
        <v>0</v>
      </c>
      <c r="CF452" s="431">
        <f>'Fiche info CDD C.Durée'!$I$9</f>
        <v>0</v>
      </c>
      <c r="ED452" s="16" t="str">
        <f t="shared" si="107"/>
        <v>Fiche info CDD C.DuréeA</v>
      </c>
      <c r="EE452" s="16" t="str">
        <f t="shared" si="108"/>
        <v>Fiche info CDD C.Durée</v>
      </c>
      <c r="EF452" s="16" t="str">
        <f t="shared" si="109"/>
        <v>A</v>
      </c>
      <c r="EG452" s="16">
        <f t="shared" si="110"/>
        <v>3</v>
      </c>
      <c r="EH452" s="16" t="str">
        <f t="shared" si="111"/>
        <v>Mercredi</v>
      </c>
      <c r="EI452" s="16" t="str">
        <f t="shared" si="112"/>
        <v/>
      </c>
    </row>
    <row r="453" spans="1:139" x14ac:dyDescent="0.2">
      <c r="A453" s="16" t="str">
        <f t="shared" si="106"/>
        <v>Fiche info CDD C.DuréeA4</v>
      </c>
      <c r="B453" s="16" t="str">
        <f t="shared" si="115"/>
        <v>Fiche info CDD C.Durée</v>
      </c>
      <c r="C453" s="27" t="s">
        <v>226</v>
      </c>
      <c r="D453" s="27">
        <v>4</v>
      </c>
      <c r="E453" s="16" t="s">
        <v>20</v>
      </c>
      <c r="F453" s="34" t="str">
        <f>IF('Fiche info CDD C.Durée'!$K$10=0,"",'Fiche info CDD C.Durée'!$K$10)</f>
        <v/>
      </c>
      <c r="G453" s="16">
        <f t="shared" si="113"/>
        <v>0</v>
      </c>
      <c r="BX453" s="16" t="str">
        <f t="shared" si="114"/>
        <v>Fiche info CDD C.DuréeA4</v>
      </c>
      <c r="BY453" s="431">
        <f>'Fiche info CDD C.Durée'!$B$10</f>
        <v>0</v>
      </c>
      <c r="BZ453" s="431">
        <f>'Fiche info CDD C.Durée'!$C$10</f>
        <v>0</v>
      </c>
      <c r="CA453" s="431">
        <f>'Fiche info CDD C.Durée'!$D$10</f>
        <v>0</v>
      </c>
      <c r="CB453" s="431">
        <f>'Fiche info CDD C.Durée'!$E$10</f>
        <v>0</v>
      </c>
      <c r="CC453" s="431">
        <f>'Fiche info CDD C.Durée'!$F$10</f>
        <v>0</v>
      </c>
      <c r="CD453" s="431">
        <f>'Fiche info CDD C.Durée'!$G$10</f>
        <v>0</v>
      </c>
      <c r="CE453" s="431">
        <f>'Fiche info CDD C.Durée'!$H$10</f>
        <v>0</v>
      </c>
      <c r="CF453" s="431">
        <f>'Fiche info CDD C.Durée'!$I$10</f>
        <v>0</v>
      </c>
      <c r="ED453" s="16" t="str">
        <f t="shared" si="107"/>
        <v>Fiche info CDD C.DuréeA</v>
      </c>
      <c r="EE453" s="16" t="str">
        <f t="shared" si="108"/>
        <v>Fiche info CDD C.Durée</v>
      </c>
      <c r="EF453" s="16" t="str">
        <f t="shared" si="109"/>
        <v>A</v>
      </c>
      <c r="EG453" s="16">
        <f t="shared" si="110"/>
        <v>4</v>
      </c>
      <c r="EH453" s="16" t="str">
        <f t="shared" si="111"/>
        <v>Jeudi</v>
      </c>
      <c r="EI453" s="16" t="str">
        <f t="shared" si="112"/>
        <v/>
      </c>
    </row>
    <row r="454" spans="1:139" x14ac:dyDescent="0.2">
      <c r="A454" s="16" t="str">
        <f t="shared" si="106"/>
        <v>Fiche info CDD C.DuréeA5</v>
      </c>
      <c r="B454" s="16" t="str">
        <f t="shared" si="115"/>
        <v>Fiche info CDD C.Durée</v>
      </c>
      <c r="C454" s="27" t="s">
        <v>226</v>
      </c>
      <c r="D454" s="27">
        <v>5</v>
      </c>
      <c r="E454" s="16" t="s">
        <v>21</v>
      </c>
      <c r="F454" s="34" t="str">
        <f>IF('Fiche info CDD C.Durée'!$K$11=0,"",'Fiche info CDD C.Durée'!$K$11)</f>
        <v/>
      </c>
      <c r="G454" s="16">
        <f t="shared" si="113"/>
        <v>0</v>
      </c>
      <c r="BX454" s="16" t="str">
        <f t="shared" si="114"/>
        <v>Fiche info CDD C.DuréeA5</v>
      </c>
      <c r="BY454" s="431">
        <f>'Fiche info CDD C.Durée'!$B$11</f>
        <v>0</v>
      </c>
      <c r="BZ454" s="431">
        <f>'Fiche info CDD C.Durée'!$C$11</f>
        <v>0</v>
      </c>
      <c r="CA454" s="431">
        <f>'Fiche info CDD C.Durée'!$D$11</f>
        <v>0</v>
      </c>
      <c r="CB454" s="431">
        <f>'Fiche info CDD C.Durée'!$E$11</f>
        <v>0</v>
      </c>
      <c r="CC454" s="431">
        <f>'Fiche info CDD C.Durée'!$F$11</f>
        <v>0</v>
      </c>
      <c r="CD454" s="431">
        <f>'Fiche info CDD C.Durée'!$G$11</f>
        <v>0</v>
      </c>
      <c r="CE454" s="431">
        <f>'Fiche info CDD C.Durée'!$H$11</f>
        <v>0</v>
      </c>
      <c r="CF454" s="431">
        <f>'Fiche info CDD C.Durée'!$I$11</f>
        <v>0</v>
      </c>
      <c r="ED454" s="16" t="str">
        <f t="shared" si="107"/>
        <v>Fiche info CDD C.DuréeA</v>
      </c>
      <c r="EE454" s="16" t="str">
        <f t="shared" si="108"/>
        <v>Fiche info CDD C.Durée</v>
      </c>
      <c r="EF454" s="16" t="str">
        <f t="shared" si="109"/>
        <v>A</v>
      </c>
      <c r="EG454" s="16">
        <f t="shared" si="110"/>
        <v>5</v>
      </c>
      <c r="EH454" s="16" t="str">
        <f t="shared" si="111"/>
        <v>Vendredi</v>
      </c>
      <c r="EI454" s="16" t="str">
        <f t="shared" si="112"/>
        <v/>
      </c>
    </row>
    <row r="455" spans="1:139" x14ac:dyDescent="0.2">
      <c r="A455" s="16" t="str">
        <f t="shared" si="106"/>
        <v>Fiche info CDD C.DuréeA6</v>
      </c>
      <c r="B455" s="16" t="str">
        <f t="shared" si="115"/>
        <v>Fiche info CDD C.Durée</v>
      </c>
      <c r="C455" s="27" t="s">
        <v>226</v>
      </c>
      <c r="D455" s="27">
        <v>6</v>
      </c>
      <c r="E455" s="16" t="s">
        <v>184</v>
      </c>
      <c r="F455" s="34" t="str">
        <f>IF('Fiche info CDD C.Durée'!$K$12=0,"",'Fiche info CDD C.Durée'!$K$12)</f>
        <v/>
      </c>
      <c r="G455" s="16">
        <f t="shared" si="113"/>
        <v>0</v>
      </c>
      <c r="BX455" s="16" t="str">
        <f t="shared" si="114"/>
        <v>Fiche info CDD C.DuréeA6</v>
      </c>
      <c r="BY455" s="431">
        <f>'Fiche info CDD C.Durée'!$B$12</f>
        <v>0</v>
      </c>
      <c r="BZ455" s="431">
        <f>'Fiche info CDD C.Durée'!$C$12</f>
        <v>0</v>
      </c>
      <c r="CA455" s="431">
        <f>'Fiche info CDD C.Durée'!$D$12</f>
        <v>0</v>
      </c>
      <c r="CB455" s="431">
        <f>'Fiche info CDD C.Durée'!$E$12</f>
        <v>0</v>
      </c>
      <c r="CC455" s="431">
        <f>'Fiche info CDD C.Durée'!$F$12</f>
        <v>0</v>
      </c>
      <c r="CD455" s="431">
        <f>'Fiche info CDD C.Durée'!$G$12</f>
        <v>0</v>
      </c>
      <c r="CE455" s="431">
        <f>'Fiche info CDD C.Durée'!$H$12</f>
        <v>0</v>
      </c>
      <c r="CF455" s="431">
        <f>'Fiche info CDD C.Durée'!$I$12</f>
        <v>0</v>
      </c>
      <c r="ED455" s="16" t="str">
        <f t="shared" si="107"/>
        <v>Fiche info CDD C.DuréeA</v>
      </c>
      <c r="EE455" s="16" t="str">
        <f t="shared" si="108"/>
        <v>Fiche info CDD C.Durée</v>
      </c>
      <c r="EF455" s="16" t="str">
        <f t="shared" si="109"/>
        <v>A</v>
      </c>
      <c r="EG455" s="16">
        <f t="shared" si="110"/>
        <v>6</v>
      </c>
      <c r="EH455" s="16" t="str">
        <f t="shared" si="111"/>
        <v>Samedi</v>
      </c>
      <c r="EI455" s="16" t="str">
        <f t="shared" si="112"/>
        <v/>
      </c>
    </row>
    <row r="456" spans="1:139" x14ac:dyDescent="0.2">
      <c r="A456" s="16" t="str">
        <f t="shared" si="106"/>
        <v>Fiche info CDD C.DuréeA7</v>
      </c>
      <c r="B456" s="16" t="str">
        <f t="shared" si="115"/>
        <v>Fiche info CDD C.Durée</v>
      </c>
      <c r="C456" s="27" t="s">
        <v>226</v>
      </c>
      <c r="D456" s="27">
        <v>7</v>
      </c>
      <c r="E456" s="16" t="s">
        <v>185</v>
      </c>
      <c r="F456" s="34" t="str">
        <f>IF('Fiche info CDD C.Durée'!$K$13=0,"",'Fiche info CDD C.Durée'!$K$13)</f>
        <v/>
      </c>
      <c r="G456" s="16">
        <f t="shared" si="113"/>
        <v>0</v>
      </c>
      <c r="BX456" s="16" t="str">
        <f t="shared" si="114"/>
        <v>Fiche info CDD C.DuréeA7</v>
      </c>
      <c r="BY456" s="431">
        <f>'Fiche info CDD C.Durée'!$B$13</f>
        <v>0</v>
      </c>
      <c r="BZ456" s="431">
        <f>'Fiche info CDD C.Durée'!$C$13</f>
        <v>0</v>
      </c>
      <c r="CA456" s="431">
        <f>'Fiche info CDD C.Durée'!$D$13</f>
        <v>0</v>
      </c>
      <c r="CB456" s="431">
        <f>'Fiche info CDD C.Durée'!$E$13</f>
        <v>0</v>
      </c>
      <c r="CC456" s="431">
        <f>'Fiche info CDD C.Durée'!$F$13</f>
        <v>0</v>
      </c>
      <c r="CD456" s="431">
        <f>'Fiche info CDD C.Durée'!$G$13</f>
        <v>0</v>
      </c>
      <c r="CE456" s="431">
        <f>'Fiche info CDD C.Durée'!$H$13</f>
        <v>0</v>
      </c>
      <c r="CF456" s="431">
        <f>'Fiche info CDD C.Durée'!$I$13</f>
        <v>0</v>
      </c>
      <c r="ED456" s="16" t="str">
        <f t="shared" si="107"/>
        <v>Fiche info CDD C.DuréeA</v>
      </c>
      <c r="EE456" s="16" t="str">
        <f t="shared" si="108"/>
        <v>Fiche info CDD C.Durée</v>
      </c>
      <c r="EF456" s="16" t="str">
        <f t="shared" si="109"/>
        <v>A</v>
      </c>
      <c r="EG456" s="16">
        <f t="shared" si="110"/>
        <v>7</v>
      </c>
      <c r="EH456" s="16" t="str">
        <f t="shared" si="111"/>
        <v>Dimanche</v>
      </c>
      <c r="EI456" s="16" t="str">
        <f t="shared" si="112"/>
        <v/>
      </c>
    </row>
    <row r="457" spans="1:139" x14ac:dyDescent="0.2">
      <c r="A457" s="16" t="str">
        <f t="shared" si="106"/>
        <v>Fiche info CDD C.DuréeB1</v>
      </c>
      <c r="B457" s="16" t="str">
        <f t="shared" si="115"/>
        <v>Fiche info CDD C.Durée</v>
      </c>
      <c r="C457" s="27" t="s">
        <v>227</v>
      </c>
      <c r="D457" s="27">
        <v>1</v>
      </c>
      <c r="E457" s="16" t="s">
        <v>17</v>
      </c>
      <c r="F457" s="34" t="str">
        <f>+IF('Fiche info CDD C.Durée'!$V$7=0,"",'Fiche info CDD C.Durée'!$V$7)</f>
        <v/>
      </c>
      <c r="G457" s="16">
        <f t="shared" si="113"/>
        <v>0</v>
      </c>
      <c r="BX457" s="16" t="str">
        <f t="shared" si="114"/>
        <v>Fiche info CDD C.DuréeB1</v>
      </c>
      <c r="BY457" s="431">
        <f>'Fiche info CDD C.Durée'!$M$7</f>
        <v>0</v>
      </c>
      <c r="BZ457" s="431">
        <f>'Fiche info CDD C.Durée'!$N$7</f>
        <v>0</v>
      </c>
      <c r="CA457" s="431">
        <f>'Fiche info CDD C.Durée'!$O$7</f>
        <v>0</v>
      </c>
      <c r="CB457" s="431">
        <f>'Fiche info CDD C.Durée'!$P$7</f>
        <v>0</v>
      </c>
      <c r="CC457" s="431">
        <f>'Fiche info CDD C.Durée'!$Q$7</f>
        <v>0</v>
      </c>
      <c r="CD457" s="431">
        <f>'Fiche info CDD C.Durée'!$R$7</f>
        <v>0</v>
      </c>
      <c r="CE457" s="431">
        <f>'Fiche info CDD C.Durée'!$S$7</f>
        <v>0</v>
      </c>
      <c r="CF457" s="431">
        <f>'Fiche info CDD C.Durée'!$T$7</f>
        <v>0</v>
      </c>
      <c r="ED457" s="16" t="str">
        <f t="shared" si="107"/>
        <v>Fiche info CDD C.DuréeB</v>
      </c>
      <c r="EE457" s="16" t="str">
        <f t="shared" si="108"/>
        <v>Fiche info CDD C.Durée</v>
      </c>
      <c r="EF457" s="16" t="str">
        <f t="shared" si="109"/>
        <v>B</v>
      </c>
      <c r="EG457" s="16">
        <f t="shared" si="110"/>
        <v>1</v>
      </c>
      <c r="EH457" s="16" t="str">
        <f t="shared" si="111"/>
        <v>Lundi</v>
      </c>
      <c r="EI457" s="16" t="str">
        <f t="shared" si="112"/>
        <v/>
      </c>
    </row>
    <row r="458" spans="1:139" x14ac:dyDescent="0.2">
      <c r="A458" s="16" t="str">
        <f t="shared" si="106"/>
        <v>Fiche info CDD C.DuréeB2</v>
      </c>
      <c r="B458" s="16" t="str">
        <f t="shared" si="115"/>
        <v>Fiche info CDD C.Durée</v>
      </c>
      <c r="C458" s="27" t="s">
        <v>227</v>
      </c>
      <c r="D458" s="27">
        <v>2</v>
      </c>
      <c r="E458" s="16" t="s">
        <v>18</v>
      </c>
      <c r="F458" s="34" t="str">
        <f>+IF('Fiche info CDD C.Durée'!$V$8=0,"",'Fiche info CDD C.Durée'!$V$8)</f>
        <v/>
      </c>
      <c r="G458" s="16">
        <f t="shared" si="113"/>
        <v>0</v>
      </c>
      <c r="BX458" s="16" t="str">
        <f t="shared" si="114"/>
        <v>Fiche info CDD C.DuréeB2</v>
      </c>
      <c r="BY458" s="431">
        <f>'Fiche info CDD C.Durée'!$M$8</f>
        <v>0</v>
      </c>
      <c r="BZ458" s="431">
        <f>'Fiche info CDD C.Durée'!$N$8</f>
        <v>0</v>
      </c>
      <c r="CA458" s="431">
        <f>'Fiche info CDD C.Durée'!$O$8</f>
        <v>0</v>
      </c>
      <c r="CB458" s="431">
        <f>'Fiche info CDD C.Durée'!$P$8</f>
        <v>0</v>
      </c>
      <c r="CC458" s="431">
        <f>'Fiche info CDD C.Durée'!$Q$8</f>
        <v>0</v>
      </c>
      <c r="CD458" s="431">
        <f>'Fiche info CDD C.Durée'!$R$8</f>
        <v>0</v>
      </c>
      <c r="CE458" s="431">
        <f>'Fiche info CDD C.Durée'!$S$8</f>
        <v>0</v>
      </c>
      <c r="CF458" s="431">
        <f>'Fiche info CDD C.Durée'!$T$8</f>
        <v>0</v>
      </c>
      <c r="ED458" s="16" t="str">
        <f t="shared" si="107"/>
        <v>Fiche info CDD C.DuréeB</v>
      </c>
      <c r="EE458" s="16" t="str">
        <f t="shared" si="108"/>
        <v>Fiche info CDD C.Durée</v>
      </c>
      <c r="EF458" s="16" t="str">
        <f t="shared" si="109"/>
        <v>B</v>
      </c>
      <c r="EG458" s="16">
        <f t="shared" si="110"/>
        <v>2</v>
      </c>
      <c r="EH458" s="16" t="str">
        <f t="shared" si="111"/>
        <v>Mardi</v>
      </c>
      <c r="EI458" s="16" t="str">
        <f t="shared" si="112"/>
        <v/>
      </c>
    </row>
    <row r="459" spans="1:139" x14ac:dyDescent="0.2">
      <c r="A459" s="16" t="str">
        <f t="shared" si="106"/>
        <v>Fiche info CDD C.DuréeB3</v>
      </c>
      <c r="B459" s="16" t="str">
        <f t="shared" si="115"/>
        <v>Fiche info CDD C.Durée</v>
      </c>
      <c r="C459" s="27" t="s">
        <v>227</v>
      </c>
      <c r="D459" s="27">
        <v>3</v>
      </c>
      <c r="E459" s="16" t="s">
        <v>19</v>
      </c>
      <c r="F459" s="34" t="str">
        <f>+IF('Fiche info CDD C.Durée'!$V$9=0,"",'Fiche info CDD C.Durée'!$V$9)</f>
        <v/>
      </c>
      <c r="G459" s="16">
        <f t="shared" si="113"/>
        <v>0</v>
      </c>
      <c r="BX459" s="16" t="str">
        <f t="shared" si="114"/>
        <v>Fiche info CDD C.DuréeB3</v>
      </c>
      <c r="BY459" s="431">
        <f>'Fiche info CDD C.Durée'!$M$9</f>
        <v>0</v>
      </c>
      <c r="BZ459" s="431">
        <f>'Fiche info CDD C.Durée'!$N$9</f>
        <v>0</v>
      </c>
      <c r="CA459" s="431">
        <f>'Fiche info CDD C.Durée'!$O$9</f>
        <v>0</v>
      </c>
      <c r="CB459" s="431">
        <f>'Fiche info CDD C.Durée'!$P$9</f>
        <v>0</v>
      </c>
      <c r="CC459" s="431">
        <f>'Fiche info CDD C.Durée'!$Q$9</f>
        <v>0</v>
      </c>
      <c r="CD459" s="431">
        <f>'Fiche info CDD C.Durée'!$R$9</f>
        <v>0</v>
      </c>
      <c r="CE459" s="431">
        <f>'Fiche info CDD C.Durée'!$S$9</f>
        <v>0</v>
      </c>
      <c r="CF459" s="431">
        <f>'Fiche info CDD C.Durée'!$T$9</f>
        <v>0</v>
      </c>
      <c r="ED459" s="16" t="str">
        <f t="shared" si="107"/>
        <v>Fiche info CDD C.DuréeB</v>
      </c>
      <c r="EE459" s="16" t="str">
        <f t="shared" si="108"/>
        <v>Fiche info CDD C.Durée</v>
      </c>
      <c r="EF459" s="16" t="str">
        <f t="shared" si="109"/>
        <v>B</v>
      </c>
      <c r="EG459" s="16">
        <f t="shared" si="110"/>
        <v>3</v>
      </c>
      <c r="EH459" s="16" t="str">
        <f t="shared" si="111"/>
        <v>Mercredi</v>
      </c>
      <c r="EI459" s="16" t="str">
        <f t="shared" si="112"/>
        <v/>
      </c>
    </row>
    <row r="460" spans="1:139" x14ac:dyDescent="0.2">
      <c r="A460" s="16" t="str">
        <f t="shared" si="106"/>
        <v>Fiche info CDD C.DuréeB4</v>
      </c>
      <c r="B460" s="16" t="str">
        <f t="shared" si="115"/>
        <v>Fiche info CDD C.Durée</v>
      </c>
      <c r="C460" s="27" t="s">
        <v>227</v>
      </c>
      <c r="D460" s="27">
        <v>4</v>
      </c>
      <c r="E460" s="16" t="s">
        <v>20</v>
      </c>
      <c r="F460" s="34" t="str">
        <f>+IF('Fiche info CDD C.Durée'!$V$10=0,"",'Fiche info CDD C.Durée'!$V$10)</f>
        <v/>
      </c>
      <c r="G460" s="16">
        <f t="shared" si="113"/>
        <v>0</v>
      </c>
      <c r="BX460" s="16" t="str">
        <f t="shared" si="114"/>
        <v>Fiche info CDD C.DuréeB4</v>
      </c>
      <c r="BY460" s="431">
        <f>'Fiche info CDD C.Durée'!$M$10</f>
        <v>0</v>
      </c>
      <c r="BZ460" s="431">
        <f>'Fiche info CDD C.Durée'!$N$10</f>
        <v>0</v>
      </c>
      <c r="CA460" s="431">
        <f>'Fiche info CDD C.Durée'!$O$10</f>
        <v>0</v>
      </c>
      <c r="CB460" s="431">
        <f>'Fiche info CDD C.Durée'!$P$10</f>
        <v>0</v>
      </c>
      <c r="CC460" s="431">
        <f>'Fiche info CDD C.Durée'!$Q$10</f>
        <v>0</v>
      </c>
      <c r="CD460" s="431">
        <f>'Fiche info CDD C.Durée'!$R$10</f>
        <v>0</v>
      </c>
      <c r="CE460" s="431">
        <f>'Fiche info CDD C.Durée'!$S$10</f>
        <v>0</v>
      </c>
      <c r="CF460" s="431">
        <f>'Fiche info CDD C.Durée'!$T$10</f>
        <v>0</v>
      </c>
      <c r="ED460" s="16" t="str">
        <f t="shared" si="107"/>
        <v>Fiche info CDD C.DuréeB</v>
      </c>
      <c r="EE460" s="16" t="str">
        <f t="shared" si="108"/>
        <v>Fiche info CDD C.Durée</v>
      </c>
      <c r="EF460" s="16" t="str">
        <f t="shared" si="109"/>
        <v>B</v>
      </c>
      <c r="EG460" s="16">
        <f t="shared" si="110"/>
        <v>4</v>
      </c>
      <c r="EH460" s="16" t="str">
        <f t="shared" si="111"/>
        <v>Jeudi</v>
      </c>
      <c r="EI460" s="16" t="str">
        <f t="shared" si="112"/>
        <v/>
      </c>
    </row>
    <row r="461" spans="1:139" x14ac:dyDescent="0.2">
      <c r="A461" s="16" t="str">
        <f t="shared" si="106"/>
        <v>Fiche info CDD C.DuréeB5</v>
      </c>
      <c r="B461" s="16" t="str">
        <f t="shared" si="115"/>
        <v>Fiche info CDD C.Durée</v>
      </c>
      <c r="C461" s="27" t="s">
        <v>227</v>
      </c>
      <c r="D461" s="27">
        <v>5</v>
      </c>
      <c r="E461" s="16" t="s">
        <v>21</v>
      </c>
      <c r="F461" s="34" t="str">
        <f>+IF('Fiche info CDD C.Durée'!$V$11=0,"",'Fiche info CDD C.Durée'!$V$11)</f>
        <v/>
      </c>
      <c r="G461" s="16">
        <f t="shared" si="113"/>
        <v>0</v>
      </c>
      <c r="BX461" s="16" t="str">
        <f t="shared" si="114"/>
        <v>Fiche info CDD C.DuréeB5</v>
      </c>
      <c r="BY461" s="431">
        <f>'Fiche info CDD C.Durée'!$M$11</f>
        <v>0</v>
      </c>
      <c r="BZ461" s="431">
        <f>'Fiche info CDD C.Durée'!$N$11</f>
        <v>0</v>
      </c>
      <c r="CA461" s="431">
        <f>'Fiche info CDD C.Durée'!$O$11</f>
        <v>0</v>
      </c>
      <c r="CB461" s="431">
        <f>'Fiche info CDD C.Durée'!$P$11</f>
        <v>0</v>
      </c>
      <c r="CC461" s="431">
        <f>'Fiche info CDD C.Durée'!$Q$11</f>
        <v>0</v>
      </c>
      <c r="CD461" s="431">
        <f>'Fiche info CDD C.Durée'!$R$11</f>
        <v>0</v>
      </c>
      <c r="CE461" s="431">
        <f>'Fiche info CDD C.Durée'!$S$11</f>
        <v>0</v>
      </c>
      <c r="CF461" s="431">
        <f>'Fiche info CDD C.Durée'!$T$11</f>
        <v>0</v>
      </c>
      <c r="ED461" s="16" t="str">
        <f t="shared" si="107"/>
        <v>Fiche info CDD C.DuréeB</v>
      </c>
      <c r="EE461" s="16" t="str">
        <f t="shared" si="108"/>
        <v>Fiche info CDD C.Durée</v>
      </c>
      <c r="EF461" s="16" t="str">
        <f t="shared" si="109"/>
        <v>B</v>
      </c>
      <c r="EG461" s="16">
        <f t="shared" si="110"/>
        <v>5</v>
      </c>
      <c r="EH461" s="16" t="str">
        <f t="shared" si="111"/>
        <v>Vendredi</v>
      </c>
      <c r="EI461" s="16" t="str">
        <f t="shared" si="112"/>
        <v/>
      </c>
    </row>
    <row r="462" spans="1:139" x14ac:dyDescent="0.2">
      <c r="A462" s="16" t="str">
        <f t="shared" si="106"/>
        <v>Fiche info CDD C.DuréeB6</v>
      </c>
      <c r="B462" s="16" t="str">
        <f t="shared" si="115"/>
        <v>Fiche info CDD C.Durée</v>
      </c>
      <c r="C462" s="27" t="s">
        <v>227</v>
      </c>
      <c r="D462" s="27">
        <v>6</v>
      </c>
      <c r="E462" s="16" t="s">
        <v>184</v>
      </c>
      <c r="F462" s="34" t="str">
        <f>+IF('Fiche info CDD C.Durée'!$V$12=0,"",'Fiche info CDD C.Durée'!$V$12)</f>
        <v/>
      </c>
      <c r="G462" s="16">
        <f t="shared" si="113"/>
        <v>0</v>
      </c>
      <c r="BX462" s="16" t="str">
        <f t="shared" si="114"/>
        <v>Fiche info CDD C.DuréeB6</v>
      </c>
      <c r="BY462" s="431">
        <f>'Fiche info CDD C.Durée'!$M$12</f>
        <v>0</v>
      </c>
      <c r="BZ462" s="431">
        <f>'Fiche info CDD C.Durée'!$N$12</f>
        <v>0</v>
      </c>
      <c r="CA462" s="431">
        <f>'Fiche info CDD C.Durée'!$O$12</f>
        <v>0</v>
      </c>
      <c r="CB462" s="431">
        <f>'Fiche info CDD C.Durée'!$P$12</f>
        <v>0</v>
      </c>
      <c r="CC462" s="431">
        <f>'Fiche info CDD C.Durée'!$Q$12</f>
        <v>0</v>
      </c>
      <c r="CD462" s="431">
        <f>'Fiche info CDD C.Durée'!$R$12</f>
        <v>0</v>
      </c>
      <c r="CE462" s="431">
        <f>'Fiche info CDD C.Durée'!$S$12</f>
        <v>0</v>
      </c>
      <c r="CF462" s="431">
        <f>'Fiche info CDD C.Durée'!$T$12</f>
        <v>0</v>
      </c>
      <c r="ED462" s="16" t="str">
        <f t="shared" si="107"/>
        <v>Fiche info CDD C.DuréeB</v>
      </c>
      <c r="EE462" s="16" t="str">
        <f t="shared" si="108"/>
        <v>Fiche info CDD C.Durée</v>
      </c>
      <c r="EF462" s="16" t="str">
        <f t="shared" si="109"/>
        <v>B</v>
      </c>
      <c r="EG462" s="16">
        <f t="shared" si="110"/>
        <v>6</v>
      </c>
      <c r="EH462" s="16" t="str">
        <f t="shared" si="111"/>
        <v>Samedi</v>
      </c>
      <c r="EI462" s="16" t="str">
        <f t="shared" si="112"/>
        <v/>
      </c>
    </row>
    <row r="463" spans="1:139" x14ac:dyDescent="0.2">
      <c r="A463" s="16" t="str">
        <f t="shared" si="106"/>
        <v>Fiche info CDD C.DuréeB7</v>
      </c>
      <c r="B463" s="16" t="str">
        <f t="shared" si="115"/>
        <v>Fiche info CDD C.Durée</v>
      </c>
      <c r="C463" s="27" t="s">
        <v>227</v>
      </c>
      <c r="D463" s="27">
        <v>7</v>
      </c>
      <c r="E463" s="16" t="s">
        <v>185</v>
      </c>
      <c r="F463" s="34" t="str">
        <f>+IF('Fiche info CDD C.Durée'!$V$13=0,"",'Fiche info CDD C.Durée'!$V$13)</f>
        <v/>
      </c>
      <c r="G463" s="16">
        <f t="shared" si="113"/>
        <v>0</v>
      </c>
      <c r="BX463" s="16" t="str">
        <f t="shared" si="114"/>
        <v>Fiche info CDD C.DuréeB7</v>
      </c>
      <c r="BY463" s="431">
        <f>'Fiche info CDD C.Durée'!$M$13</f>
        <v>0</v>
      </c>
      <c r="BZ463" s="431">
        <f>'Fiche info CDD C.Durée'!$N$13</f>
        <v>0</v>
      </c>
      <c r="CA463" s="431">
        <f>'Fiche info CDD C.Durée'!$O$13</f>
        <v>0</v>
      </c>
      <c r="CB463" s="431">
        <f>'Fiche info CDD C.Durée'!$P$13</f>
        <v>0</v>
      </c>
      <c r="CC463" s="431">
        <f>'Fiche info CDD C.Durée'!$Q$13</f>
        <v>0</v>
      </c>
      <c r="CD463" s="431">
        <f>'Fiche info CDD C.Durée'!$R$13</f>
        <v>0</v>
      </c>
      <c r="CE463" s="431">
        <f>'Fiche info CDD C.Durée'!$S$13</f>
        <v>0</v>
      </c>
      <c r="CF463" s="431">
        <f>'Fiche info CDD C.Durée'!$T$13</f>
        <v>0</v>
      </c>
      <c r="ED463" s="16" t="str">
        <f t="shared" si="107"/>
        <v>Fiche info CDD C.DuréeB</v>
      </c>
      <c r="EE463" s="16" t="str">
        <f t="shared" si="108"/>
        <v>Fiche info CDD C.Durée</v>
      </c>
      <c r="EF463" s="16" t="str">
        <f t="shared" si="109"/>
        <v>B</v>
      </c>
      <c r="EG463" s="16">
        <f t="shared" si="110"/>
        <v>7</v>
      </c>
      <c r="EH463" s="16" t="str">
        <f t="shared" si="111"/>
        <v>Dimanche</v>
      </c>
      <c r="EI463" s="16" t="str">
        <f t="shared" si="112"/>
        <v/>
      </c>
    </row>
    <row r="464" spans="1:139" x14ac:dyDescent="0.2">
      <c r="A464" s="16" t="str">
        <f t="shared" si="106"/>
        <v>Fiche info CDD C.DuréeC1</v>
      </c>
      <c r="B464" s="16" t="str">
        <f t="shared" si="115"/>
        <v>Fiche info CDD C.Durée</v>
      </c>
      <c r="C464" s="27" t="s">
        <v>232</v>
      </c>
      <c r="D464" s="27">
        <v>1</v>
      </c>
      <c r="E464" s="16" t="s">
        <v>17</v>
      </c>
      <c r="F464" s="34" t="str">
        <f>+IF('Fiche info CDD C.Durée'!$AG$7=0,"",'Fiche info CDD C.Durée'!$AG$7)</f>
        <v/>
      </c>
      <c r="G464" s="16">
        <f t="shared" si="113"/>
        <v>0</v>
      </c>
      <c r="BX464" s="16" t="str">
        <f t="shared" si="114"/>
        <v>Fiche info CDD C.DuréeC1</v>
      </c>
      <c r="BY464" s="431">
        <f>'Fiche info CDD C.Durée'!$X$7</f>
        <v>0</v>
      </c>
      <c r="BZ464" s="431">
        <f>'Fiche info CDD C.Durée'!$Y$7</f>
        <v>0</v>
      </c>
      <c r="CA464" s="431">
        <f>'Fiche info CDD C.Durée'!$Z$7</f>
        <v>0</v>
      </c>
      <c r="CB464" s="431">
        <f>'Fiche info CDD C.Durée'!$AA$7</f>
        <v>0</v>
      </c>
      <c r="CC464" s="431">
        <f>'Fiche info CDD C.Durée'!$AB$7</f>
        <v>0</v>
      </c>
      <c r="CD464" s="431">
        <f>'Fiche info CDD C.Durée'!$AC$7</f>
        <v>0</v>
      </c>
      <c r="CE464" s="431">
        <f>'Fiche info CDD C.Durée'!$AD$7</f>
        <v>0</v>
      </c>
      <c r="CF464" s="431">
        <f>'Fiche info CDD C.Durée'!$AE$7</f>
        <v>0</v>
      </c>
      <c r="ED464" s="16" t="str">
        <f t="shared" si="107"/>
        <v>Fiche info CDD C.DuréeC</v>
      </c>
      <c r="EE464" s="16" t="str">
        <f t="shared" si="108"/>
        <v>Fiche info CDD C.Durée</v>
      </c>
      <c r="EF464" s="16" t="str">
        <f t="shared" si="109"/>
        <v>C</v>
      </c>
      <c r="EG464" s="16">
        <f t="shared" si="110"/>
        <v>1</v>
      </c>
      <c r="EH464" s="16" t="str">
        <f t="shared" si="111"/>
        <v>Lundi</v>
      </c>
      <c r="EI464" s="16" t="str">
        <f t="shared" si="112"/>
        <v/>
      </c>
    </row>
    <row r="465" spans="1:139" x14ac:dyDescent="0.2">
      <c r="A465" s="16" t="str">
        <f t="shared" si="106"/>
        <v>Fiche info CDD C.DuréeC2</v>
      </c>
      <c r="B465" s="16" t="str">
        <f t="shared" si="115"/>
        <v>Fiche info CDD C.Durée</v>
      </c>
      <c r="C465" s="27" t="s">
        <v>232</v>
      </c>
      <c r="D465" s="27">
        <v>2</v>
      </c>
      <c r="E465" s="16" t="s">
        <v>18</v>
      </c>
      <c r="F465" s="34" t="str">
        <f>+IF('Fiche info CDD C.Durée'!$AG$8=0,"",'Fiche info CDD C.Durée'!$AG$8)</f>
        <v/>
      </c>
      <c r="G465" s="16">
        <f t="shared" si="113"/>
        <v>0</v>
      </c>
      <c r="BX465" s="16" t="str">
        <f t="shared" si="114"/>
        <v>Fiche info CDD C.DuréeC2</v>
      </c>
      <c r="BY465" s="431">
        <f>'Fiche info CDD C.Durée'!$X$8</f>
        <v>0</v>
      </c>
      <c r="BZ465" s="431">
        <f>'Fiche info CDD C.Durée'!$Y$8</f>
        <v>0</v>
      </c>
      <c r="CA465" s="431">
        <f>'Fiche info CDD C.Durée'!$Z$8</f>
        <v>0</v>
      </c>
      <c r="CB465" s="431">
        <f>'Fiche info CDD C.Durée'!$AA$8</f>
        <v>0</v>
      </c>
      <c r="CC465" s="431">
        <f>'Fiche info CDD C.Durée'!$AB$8</f>
        <v>0</v>
      </c>
      <c r="CD465" s="431">
        <f>'Fiche info CDD C.Durée'!$AC$8</f>
        <v>0</v>
      </c>
      <c r="CE465" s="431">
        <f>'Fiche info CDD C.Durée'!$AD$8</f>
        <v>0</v>
      </c>
      <c r="CF465" s="431">
        <f>'Fiche info CDD C.Durée'!$AE$8</f>
        <v>0</v>
      </c>
      <c r="ED465" s="16" t="str">
        <f t="shared" si="107"/>
        <v>Fiche info CDD C.DuréeC</v>
      </c>
      <c r="EE465" s="16" t="str">
        <f t="shared" si="108"/>
        <v>Fiche info CDD C.Durée</v>
      </c>
      <c r="EF465" s="16" t="str">
        <f t="shared" si="109"/>
        <v>C</v>
      </c>
      <c r="EG465" s="16">
        <f t="shared" si="110"/>
        <v>2</v>
      </c>
      <c r="EH465" s="16" t="str">
        <f t="shared" si="111"/>
        <v>Mardi</v>
      </c>
      <c r="EI465" s="16" t="str">
        <f t="shared" si="112"/>
        <v/>
      </c>
    </row>
    <row r="466" spans="1:139" x14ac:dyDescent="0.2">
      <c r="A466" s="16" t="str">
        <f t="shared" si="106"/>
        <v>Fiche info CDD C.DuréeC3</v>
      </c>
      <c r="B466" s="16" t="str">
        <f t="shared" si="115"/>
        <v>Fiche info CDD C.Durée</v>
      </c>
      <c r="C466" s="27" t="s">
        <v>232</v>
      </c>
      <c r="D466" s="27">
        <v>3</v>
      </c>
      <c r="E466" s="16" t="s">
        <v>19</v>
      </c>
      <c r="F466" s="34" t="str">
        <f>+IF('Fiche info CDD C.Durée'!$AG$9=0,"",'Fiche info CDD C.Durée'!$AG$9)</f>
        <v/>
      </c>
      <c r="G466" s="16">
        <f t="shared" si="113"/>
        <v>0</v>
      </c>
      <c r="BX466" s="16" t="str">
        <f t="shared" si="114"/>
        <v>Fiche info CDD C.DuréeC3</v>
      </c>
      <c r="BY466" s="431">
        <f>'Fiche info CDD C.Durée'!$X$9</f>
        <v>0</v>
      </c>
      <c r="BZ466" s="431">
        <f>'Fiche info CDD C.Durée'!$Y$9</f>
        <v>0</v>
      </c>
      <c r="CA466" s="431">
        <f>'Fiche info CDD C.Durée'!$Z$9</f>
        <v>0</v>
      </c>
      <c r="CB466" s="431">
        <f>'Fiche info CDD C.Durée'!$AA$9</f>
        <v>0</v>
      </c>
      <c r="CC466" s="431">
        <f>'Fiche info CDD C.Durée'!$AB$9</f>
        <v>0</v>
      </c>
      <c r="CD466" s="431">
        <f>'Fiche info CDD C.Durée'!$AC$9</f>
        <v>0</v>
      </c>
      <c r="CE466" s="431">
        <f>'Fiche info CDD C.Durée'!$AD$9</f>
        <v>0</v>
      </c>
      <c r="CF466" s="431">
        <f>'Fiche info CDD C.Durée'!$AE$9</f>
        <v>0</v>
      </c>
      <c r="ED466" s="16" t="str">
        <f t="shared" si="107"/>
        <v>Fiche info CDD C.DuréeC</v>
      </c>
      <c r="EE466" s="16" t="str">
        <f t="shared" si="108"/>
        <v>Fiche info CDD C.Durée</v>
      </c>
      <c r="EF466" s="16" t="str">
        <f t="shared" si="109"/>
        <v>C</v>
      </c>
      <c r="EG466" s="16">
        <f t="shared" si="110"/>
        <v>3</v>
      </c>
      <c r="EH466" s="16" t="str">
        <f t="shared" si="111"/>
        <v>Mercredi</v>
      </c>
      <c r="EI466" s="16" t="str">
        <f t="shared" si="112"/>
        <v/>
      </c>
    </row>
    <row r="467" spans="1:139" x14ac:dyDescent="0.2">
      <c r="A467" s="16" t="str">
        <f t="shared" si="106"/>
        <v>Fiche info CDD C.DuréeC4</v>
      </c>
      <c r="B467" s="16" t="str">
        <f t="shared" si="115"/>
        <v>Fiche info CDD C.Durée</v>
      </c>
      <c r="C467" s="27" t="s">
        <v>232</v>
      </c>
      <c r="D467" s="27">
        <v>4</v>
      </c>
      <c r="E467" s="16" t="s">
        <v>20</v>
      </c>
      <c r="F467" s="34" t="str">
        <f>+IF('Fiche info CDD C.Durée'!$AG$10=0,"",'Fiche info CDD C.Durée'!$AG$10)</f>
        <v/>
      </c>
      <c r="G467" s="16">
        <f t="shared" si="113"/>
        <v>0</v>
      </c>
      <c r="BX467" s="16" t="str">
        <f t="shared" si="114"/>
        <v>Fiche info CDD C.DuréeC4</v>
      </c>
      <c r="BY467" s="431">
        <f>'Fiche info CDD C.Durée'!$X$10</f>
        <v>0</v>
      </c>
      <c r="BZ467" s="431">
        <f>'Fiche info CDD C.Durée'!$Y$10</f>
        <v>0</v>
      </c>
      <c r="CA467" s="431">
        <f>'Fiche info CDD C.Durée'!$Z$10</f>
        <v>0</v>
      </c>
      <c r="CB467" s="431">
        <f>'Fiche info CDD C.Durée'!$AA$10</f>
        <v>0</v>
      </c>
      <c r="CC467" s="431">
        <f>'Fiche info CDD C.Durée'!$AB$10</f>
        <v>0</v>
      </c>
      <c r="CD467" s="431">
        <f>'Fiche info CDD C.Durée'!$AC$10</f>
        <v>0</v>
      </c>
      <c r="CE467" s="431">
        <f>'Fiche info CDD C.Durée'!$AD$10</f>
        <v>0</v>
      </c>
      <c r="CF467" s="431">
        <f>'Fiche info CDD C.Durée'!$AE$10</f>
        <v>0</v>
      </c>
      <c r="ED467" s="16" t="str">
        <f t="shared" si="107"/>
        <v>Fiche info CDD C.DuréeC</v>
      </c>
      <c r="EE467" s="16" t="str">
        <f t="shared" si="108"/>
        <v>Fiche info CDD C.Durée</v>
      </c>
      <c r="EF467" s="16" t="str">
        <f t="shared" si="109"/>
        <v>C</v>
      </c>
      <c r="EG467" s="16">
        <f t="shared" si="110"/>
        <v>4</v>
      </c>
      <c r="EH467" s="16" t="str">
        <f t="shared" si="111"/>
        <v>Jeudi</v>
      </c>
      <c r="EI467" s="16" t="str">
        <f t="shared" si="112"/>
        <v/>
      </c>
    </row>
    <row r="468" spans="1:139" x14ac:dyDescent="0.2">
      <c r="A468" s="16" t="str">
        <f t="shared" si="106"/>
        <v>Fiche info CDD C.DuréeC5</v>
      </c>
      <c r="B468" s="16" t="str">
        <f t="shared" si="115"/>
        <v>Fiche info CDD C.Durée</v>
      </c>
      <c r="C468" s="27" t="s">
        <v>232</v>
      </c>
      <c r="D468" s="27">
        <v>5</v>
      </c>
      <c r="E468" s="16" t="s">
        <v>21</v>
      </c>
      <c r="F468" s="34" t="str">
        <f>+IF('Fiche info CDD C.Durée'!$AG$11=0,"",'Fiche info CDD C.Durée'!$AG$11)</f>
        <v/>
      </c>
      <c r="G468" s="16">
        <f t="shared" si="113"/>
        <v>0</v>
      </c>
      <c r="BX468" s="16" t="str">
        <f t="shared" si="114"/>
        <v>Fiche info CDD C.DuréeC5</v>
      </c>
      <c r="BY468" s="431">
        <f>'Fiche info CDD C.Durée'!$X$11</f>
        <v>0</v>
      </c>
      <c r="BZ468" s="431">
        <f>'Fiche info CDD C.Durée'!$Y$11</f>
        <v>0</v>
      </c>
      <c r="CA468" s="431">
        <f>'Fiche info CDD C.Durée'!$Z$11</f>
        <v>0</v>
      </c>
      <c r="CB468" s="431">
        <f>'Fiche info CDD C.Durée'!$AA$11</f>
        <v>0</v>
      </c>
      <c r="CC468" s="431">
        <f>'Fiche info CDD C.Durée'!$AB$11</f>
        <v>0</v>
      </c>
      <c r="CD468" s="431">
        <f>'Fiche info CDD C.Durée'!$AC$11</f>
        <v>0</v>
      </c>
      <c r="CE468" s="431">
        <f>'Fiche info CDD C.Durée'!$AD$11</f>
        <v>0</v>
      </c>
      <c r="CF468" s="431">
        <f>'Fiche info CDD C.Durée'!$AE$11</f>
        <v>0</v>
      </c>
      <c r="ED468" s="16" t="str">
        <f t="shared" si="107"/>
        <v>Fiche info CDD C.DuréeC</v>
      </c>
      <c r="EE468" s="16" t="str">
        <f t="shared" si="108"/>
        <v>Fiche info CDD C.Durée</v>
      </c>
      <c r="EF468" s="16" t="str">
        <f t="shared" si="109"/>
        <v>C</v>
      </c>
      <c r="EG468" s="16">
        <f t="shared" si="110"/>
        <v>5</v>
      </c>
      <c r="EH468" s="16" t="str">
        <f t="shared" si="111"/>
        <v>Vendredi</v>
      </c>
      <c r="EI468" s="16" t="str">
        <f t="shared" si="112"/>
        <v/>
      </c>
    </row>
    <row r="469" spans="1:139" x14ac:dyDescent="0.2">
      <c r="A469" s="16" t="str">
        <f t="shared" si="106"/>
        <v>Fiche info CDD C.DuréeC6</v>
      </c>
      <c r="B469" s="16" t="str">
        <f t="shared" si="115"/>
        <v>Fiche info CDD C.Durée</v>
      </c>
      <c r="C469" s="27" t="s">
        <v>232</v>
      </c>
      <c r="D469" s="27">
        <v>6</v>
      </c>
      <c r="E469" s="16" t="s">
        <v>184</v>
      </c>
      <c r="F469" s="34" t="str">
        <f>+IF('Fiche info CDD C.Durée'!$AG$12=0,"",'Fiche info CDD C.Durée'!$AG$12)</f>
        <v/>
      </c>
      <c r="G469" s="16">
        <f t="shared" si="113"/>
        <v>0</v>
      </c>
      <c r="BX469" s="16" t="str">
        <f t="shared" si="114"/>
        <v>Fiche info CDD C.DuréeC6</v>
      </c>
      <c r="BY469" s="431">
        <f>'Fiche info CDD C.Durée'!$X$12</f>
        <v>0</v>
      </c>
      <c r="BZ469" s="431">
        <f>'Fiche info CDD C.Durée'!$Y$12</f>
        <v>0</v>
      </c>
      <c r="CA469" s="431">
        <f>'Fiche info CDD C.Durée'!$Z$12</f>
        <v>0</v>
      </c>
      <c r="CB469" s="431">
        <f>'Fiche info CDD C.Durée'!$AA$12</f>
        <v>0</v>
      </c>
      <c r="CC469" s="431">
        <f>'Fiche info CDD C.Durée'!$AB$12</f>
        <v>0</v>
      </c>
      <c r="CD469" s="431">
        <f>'Fiche info CDD C.Durée'!$AC$12</f>
        <v>0</v>
      </c>
      <c r="CE469" s="431">
        <f>'Fiche info CDD C.Durée'!$AD$12</f>
        <v>0</v>
      </c>
      <c r="CF469" s="431">
        <f>'Fiche info CDD C.Durée'!$AE$12</f>
        <v>0</v>
      </c>
      <c r="ED469" s="16" t="str">
        <f t="shared" si="107"/>
        <v>Fiche info CDD C.DuréeC</v>
      </c>
      <c r="EE469" s="16" t="str">
        <f t="shared" si="108"/>
        <v>Fiche info CDD C.Durée</v>
      </c>
      <c r="EF469" s="16" t="str">
        <f t="shared" si="109"/>
        <v>C</v>
      </c>
      <c r="EG469" s="16">
        <f t="shared" si="110"/>
        <v>6</v>
      </c>
      <c r="EH469" s="16" t="str">
        <f t="shared" si="111"/>
        <v>Samedi</v>
      </c>
      <c r="EI469" s="16" t="str">
        <f t="shared" si="112"/>
        <v/>
      </c>
    </row>
    <row r="470" spans="1:139" x14ac:dyDescent="0.2">
      <c r="A470" s="16" t="str">
        <f t="shared" si="106"/>
        <v>Fiche info CDD C.DuréeC7</v>
      </c>
      <c r="B470" s="16" t="str">
        <f t="shared" si="115"/>
        <v>Fiche info CDD C.Durée</v>
      </c>
      <c r="C470" s="27" t="s">
        <v>232</v>
      </c>
      <c r="D470" s="27">
        <v>7</v>
      </c>
      <c r="E470" s="16" t="s">
        <v>185</v>
      </c>
      <c r="F470" s="34" t="str">
        <f>+IF('Fiche info CDD C.Durée'!$AG$13=0,"",'Fiche info CDD C.Durée'!$AG$13)</f>
        <v/>
      </c>
      <c r="G470" s="16">
        <f t="shared" si="113"/>
        <v>0</v>
      </c>
      <c r="BX470" s="16" t="str">
        <f t="shared" si="114"/>
        <v>Fiche info CDD C.DuréeC7</v>
      </c>
      <c r="BY470" s="431">
        <f>'Fiche info CDD C.Durée'!$X$13</f>
        <v>0</v>
      </c>
      <c r="BZ470" s="431">
        <f>'Fiche info CDD C.Durée'!$Y$13</f>
        <v>0</v>
      </c>
      <c r="CA470" s="431">
        <f>'Fiche info CDD C.Durée'!$Z$13</f>
        <v>0</v>
      </c>
      <c r="CB470" s="431">
        <f>'Fiche info CDD C.Durée'!$AA$13</f>
        <v>0</v>
      </c>
      <c r="CC470" s="431">
        <f>'Fiche info CDD C.Durée'!$AB$13</f>
        <v>0</v>
      </c>
      <c r="CD470" s="431">
        <f>'Fiche info CDD C.Durée'!$AC$13</f>
        <v>0</v>
      </c>
      <c r="CE470" s="431">
        <f>'Fiche info CDD C.Durée'!$AD$13</f>
        <v>0</v>
      </c>
      <c r="CF470" s="431">
        <f>'Fiche info CDD C.Durée'!$AE$13</f>
        <v>0</v>
      </c>
      <c r="ED470" s="16" t="str">
        <f t="shared" si="107"/>
        <v>Fiche info CDD C.DuréeC</v>
      </c>
      <c r="EE470" s="16" t="str">
        <f t="shared" si="108"/>
        <v>Fiche info CDD C.Durée</v>
      </c>
      <c r="EF470" s="16" t="str">
        <f t="shared" si="109"/>
        <v>C</v>
      </c>
      <c r="EG470" s="16">
        <f t="shared" si="110"/>
        <v>7</v>
      </c>
      <c r="EH470" s="16" t="str">
        <f t="shared" si="111"/>
        <v>Dimanche</v>
      </c>
      <c r="EI470" s="16" t="str">
        <f t="shared" si="112"/>
        <v/>
      </c>
    </row>
    <row r="471" spans="1:139" x14ac:dyDescent="0.2">
      <c r="A471" s="16" t="str">
        <f t="shared" si="106"/>
        <v>Fiche info CDD C.DuréeD1</v>
      </c>
      <c r="B471" s="16" t="str">
        <f t="shared" si="115"/>
        <v>Fiche info CDD C.Durée</v>
      </c>
      <c r="C471" s="27" t="s">
        <v>233</v>
      </c>
      <c r="D471" s="27">
        <v>1</v>
      </c>
      <c r="E471" s="16" t="s">
        <v>17</v>
      </c>
      <c r="F471" s="34" t="str">
        <f>+IF('Fiche info CDD C.Durée'!$AR$7=0,"",'Fiche info CDD C.Durée'!$AR$7)</f>
        <v/>
      </c>
      <c r="G471" s="16">
        <f t="shared" si="113"/>
        <v>0</v>
      </c>
      <c r="BX471" s="16" t="str">
        <f t="shared" si="114"/>
        <v>Fiche info CDD C.DuréeD1</v>
      </c>
      <c r="BY471" s="431">
        <f>'Fiche info CDD C.Durée'!$AI$7</f>
        <v>0</v>
      </c>
      <c r="BZ471" s="431">
        <f>'Fiche info CDD C.Durée'!$AJ$7</f>
        <v>0</v>
      </c>
      <c r="CA471" s="431">
        <f>'Fiche info CDD C.Durée'!$AK$7</f>
        <v>0</v>
      </c>
      <c r="CB471" s="431">
        <f>'Fiche info CDD C.Durée'!$AL$7</f>
        <v>0</v>
      </c>
      <c r="CC471" s="431">
        <f>'Fiche info CDD C.Durée'!$AM$7</f>
        <v>0</v>
      </c>
      <c r="CD471" s="431">
        <f>'Fiche info CDD C.Durée'!$AN$7</f>
        <v>0</v>
      </c>
      <c r="CE471" s="431">
        <f>'Fiche info CDD C.Durée'!$AO$7</f>
        <v>0</v>
      </c>
      <c r="CF471" s="431">
        <f>'Fiche info CDD C.Durée'!$AP$7</f>
        <v>0</v>
      </c>
      <c r="ED471" s="16" t="str">
        <f t="shared" si="107"/>
        <v>Fiche info CDD C.DuréeD</v>
      </c>
      <c r="EE471" s="16" t="str">
        <f t="shared" si="108"/>
        <v>Fiche info CDD C.Durée</v>
      </c>
      <c r="EF471" s="16" t="str">
        <f t="shared" si="109"/>
        <v>D</v>
      </c>
      <c r="EG471" s="16">
        <f t="shared" si="110"/>
        <v>1</v>
      </c>
      <c r="EH471" s="16" t="str">
        <f t="shared" si="111"/>
        <v>Lundi</v>
      </c>
      <c r="EI471" s="16" t="str">
        <f t="shared" si="112"/>
        <v/>
      </c>
    </row>
    <row r="472" spans="1:139" x14ac:dyDescent="0.2">
      <c r="A472" s="16" t="str">
        <f t="shared" si="106"/>
        <v>Fiche info CDD C.DuréeD2</v>
      </c>
      <c r="B472" s="16" t="str">
        <f t="shared" si="115"/>
        <v>Fiche info CDD C.Durée</v>
      </c>
      <c r="C472" s="27" t="s">
        <v>233</v>
      </c>
      <c r="D472" s="27">
        <v>2</v>
      </c>
      <c r="E472" s="16" t="s">
        <v>18</v>
      </c>
      <c r="F472" s="34" t="str">
        <f>IF(+'Fiche info CDD C.Durée'!$AR$8=0,"",'Fiche info CDD C.Durée'!$AR$8)</f>
        <v/>
      </c>
      <c r="G472" s="16">
        <f t="shared" si="113"/>
        <v>0</v>
      </c>
      <c r="BX472" s="16" t="str">
        <f t="shared" si="114"/>
        <v>Fiche info CDD C.DuréeD2</v>
      </c>
      <c r="BY472" s="431">
        <f>'Fiche info CDD C.Durée'!$AI$8</f>
        <v>0</v>
      </c>
      <c r="BZ472" s="431">
        <f>'Fiche info CDD C.Durée'!$AJ$8</f>
        <v>0</v>
      </c>
      <c r="CA472" s="431">
        <f>'Fiche info CDD C.Durée'!$AK$8</f>
        <v>0</v>
      </c>
      <c r="CB472" s="431">
        <f>'Fiche info CDD C.Durée'!$AL$8</f>
        <v>0</v>
      </c>
      <c r="CC472" s="431">
        <f>'Fiche info CDD C.Durée'!$AM$8</f>
        <v>0</v>
      </c>
      <c r="CD472" s="431">
        <f>'Fiche info CDD C.Durée'!$AN$8</f>
        <v>0</v>
      </c>
      <c r="CE472" s="431">
        <f>'Fiche info CDD C.Durée'!$AO$8</f>
        <v>0</v>
      </c>
      <c r="CF472" s="431">
        <f>'Fiche info CDD C.Durée'!$AP$8</f>
        <v>0</v>
      </c>
      <c r="ED472" s="16" t="str">
        <f t="shared" si="107"/>
        <v>Fiche info CDD C.DuréeD</v>
      </c>
      <c r="EE472" s="16" t="str">
        <f t="shared" si="108"/>
        <v>Fiche info CDD C.Durée</v>
      </c>
      <c r="EF472" s="16" t="str">
        <f t="shared" si="109"/>
        <v>D</v>
      </c>
      <c r="EG472" s="16">
        <f t="shared" si="110"/>
        <v>2</v>
      </c>
      <c r="EH472" s="16" t="str">
        <f t="shared" si="111"/>
        <v>Mardi</v>
      </c>
      <c r="EI472" s="16" t="str">
        <f t="shared" si="112"/>
        <v/>
      </c>
    </row>
    <row r="473" spans="1:139" x14ac:dyDescent="0.2">
      <c r="A473" s="16" t="str">
        <f t="shared" si="106"/>
        <v>Fiche info CDD C.DuréeD3</v>
      </c>
      <c r="B473" s="16" t="str">
        <f t="shared" si="115"/>
        <v>Fiche info CDD C.Durée</v>
      </c>
      <c r="C473" s="27" t="s">
        <v>233</v>
      </c>
      <c r="D473" s="27">
        <v>3</v>
      </c>
      <c r="E473" s="16" t="s">
        <v>19</v>
      </c>
      <c r="F473" s="34" t="str">
        <f>IF(+'Fiche info CDD C.Durée'!$AR$9=0,"",'Fiche info CDD C.Durée'!$AR$9)</f>
        <v/>
      </c>
      <c r="G473" s="16">
        <f t="shared" si="113"/>
        <v>0</v>
      </c>
      <c r="BX473" s="16" t="str">
        <f t="shared" si="114"/>
        <v>Fiche info CDD C.DuréeD3</v>
      </c>
      <c r="BY473" s="431">
        <f>'Fiche info CDD C.Durée'!$AI$9</f>
        <v>0</v>
      </c>
      <c r="BZ473" s="431">
        <f>'Fiche info CDD C.Durée'!$AJ$9</f>
        <v>0</v>
      </c>
      <c r="CA473" s="431">
        <f>'Fiche info CDD C.Durée'!$AK$9</f>
        <v>0</v>
      </c>
      <c r="CB473" s="431">
        <f>'Fiche info CDD C.Durée'!$AL$9</f>
        <v>0</v>
      </c>
      <c r="CC473" s="431">
        <f>'Fiche info CDD C.Durée'!$AM$9</f>
        <v>0</v>
      </c>
      <c r="CD473" s="431">
        <f>'Fiche info CDD C.Durée'!$AN$9</f>
        <v>0</v>
      </c>
      <c r="CE473" s="431">
        <f>'Fiche info CDD C.Durée'!$AO$9</f>
        <v>0</v>
      </c>
      <c r="CF473" s="431">
        <f>'Fiche info CDD C.Durée'!$AP$9</f>
        <v>0</v>
      </c>
      <c r="ED473" s="16" t="str">
        <f t="shared" si="107"/>
        <v>Fiche info CDD C.DuréeD</v>
      </c>
      <c r="EE473" s="16" t="str">
        <f t="shared" si="108"/>
        <v>Fiche info CDD C.Durée</v>
      </c>
      <c r="EF473" s="16" t="str">
        <f t="shared" si="109"/>
        <v>D</v>
      </c>
      <c r="EG473" s="16">
        <f t="shared" si="110"/>
        <v>3</v>
      </c>
      <c r="EH473" s="16" t="str">
        <f t="shared" si="111"/>
        <v>Mercredi</v>
      </c>
      <c r="EI473" s="16" t="str">
        <f t="shared" si="112"/>
        <v/>
      </c>
    </row>
    <row r="474" spans="1:139" x14ac:dyDescent="0.2">
      <c r="A474" s="16" t="str">
        <f t="shared" si="106"/>
        <v>Fiche info CDD C.DuréeD4</v>
      </c>
      <c r="B474" s="16" t="str">
        <f t="shared" si="115"/>
        <v>Fiche info CDD C.Durée</v>
      </c>
      <c r="C474" s="27" t="s">
        <v>233</v>
      </c>
      <c r="D474" s="27">
        <v>4</v>
      </c>
      <c r="E474" s="16" t="s">
        <v>20</v>
      </c>
      <c r="F474" s="34" t="str">
        <f>IF(+'Fiche info CDD C.Durée'!$AR$10=0,"",'Fiche info CDD C.Durée'!$AR$10)</f>
        <v/>
      </c>
      <c r="G474" s="16">
        <f t="shared" si="113"/>
        <v>0</v>
      </c>
      <c r="BX474" s="16" t="str">
        <f t="shared" si="114"/>
        <v>Fiche info CDD C.DuréeD4</v>
      </c>
      <c r="BY474" s="431">
        <f>'Fiche info CDD C.Durée'!$AI$10</f>
        <v>0</v>
      </c>
      <c r="BZ474" s="431">
        <f>'Fiche info CDD C.Durée'!$AJ$10</f>
        <v>0</v>
      </c>
      <c r="CA474" s="431">
        <f>'Fiche info CDD C.Durée'!$AK$10</f>
        <v>0</v>
      </c>
      <c r="CB474" s="431">
        <f>'Fiche info CDD C.Durée'!$AL$10</f>
        <v>0</v>
      </c>
      <c r="CC474" s="431">
        <f>'Fiche info CDD C.Durée'!$AM$10</f>
        <v>0</v>
      </c>
      <c r="CD474" s="431">
        <f>'Fiche info CDD C.Durée'!$AN$10</f>
        <v>0</v>
      </c>
      <c r="CE474" s="431">
        <f>'Fiche info CDD C.Durée'!$AO$10</f>
        <v>0</v>
      </c>
      <c r="CF474" s="431">
        <f>'Fiche info CDD C.Durée'!$AP$10</f>
        <v>0</v>
      </c>
      <c r="ED474" s="16" t="str">
        <f t="shared" si="107"/>
        <v>Fiche info CDD C.DuréeD</v>
      </c>
      <c r="EE474" s="16" t="str">
        <f t="shared" si="108"/>
        <v>Fiche info CDD C.Durée</v>
      </c>
      <c r="EF474" s="16" t="str">
        <f t="shared" si="109"/>
        <v>D</v>
      </c>
      <c r="EG474" s="16">
        <f t="shared" si="110"/>
        <v>4</v>
      </c>
      <c r="EH474" s="16" t="str">
        <f t="shared" si="111"/>
        <v>Jeudi</v>
      </c>
      <c r="EI474" s="16" t="str">
        <f t="shared" si="112"/>
        <v/>
      </c>
    </row>
    <row r="475" spans="1:139" x14ac:dyDescent="0.2">
      <c r="A475" s="16" t="str">
        <f t="shared" si="106"/>
        <v>Fiche info CDD C.DuréeD5</v>
      </c>
      <c r="B475" s="16" t="str">
        <f t="shared" si="115"/>
        <v>Fiche info CDD C.Durée</v>
      </c>
      <c r="C475" s="27" t="s">
        <v>233</v>
      </c>
      <c r="D475" s="27">
        <v>5</v>
      </c>
      <c r="E475" s="16" t="s">
        <v>21</v>
      </c>
      <c r="F475" s="34" t="str">
        <f>IF(+'Fiche info CDD C.Durée'!$AR$11=0,"",'Fiche info CDD C.Durée'!$AR$11)</f>
        <v/>
      </c>
      <c r="G475" s="16">
        <f t="shared" si="113"/>
        <v>0</v>
      </c>
      <c r="BX475" s="16" t="str">
        <f t="shared" si="114"/>
        <v>Fiche info CDD C.DuréeD5</v>
      </c>
      <c r="BY475" s="431">
        <f>'Fiche info CDD C.Durée'!$AI$11</f>
        <v>0</v>
      </c>
      <c r="BZ475" s="431">
        <f>'Fiche info CDD C.Durée'!$AJ$11</f>
        <v>0</v>
      </c>
      <c r="CA475" s="431">
        <f>'Fiche info CDD C.Durée'!$AK$11</f>
        <v>0</v>
      </c>
      <c r="CB475" s="431">
        <f>'Fiche info CDD C.Durée'!$AL$11</f>
        <v>0</v>
      </c>
      <c r="CC475" s="431">
        <f>'Fiche info CDD C.Durée'!$AM$11</f>
        <v>0</v>
      </c>
      <c r="CD475" s="431">
        <f>'Fiche info CDD C.Durée'!$AN$11</f>
        <v>0</v>
      </c>
      <c r="CE475" s="431">
        <f>'Fiche info CDD C.Durée'!$AO$11</f>
        <v>0</v>
      </c>
      <c r="CF475" s="431">
        <f>'Fiche info CDD C.Durée'!$AP$11</f>
        <v>0</v>
      </c>
      <c r="ED475" s="16" t="str">
        <f t="shared" si="107"/>
        <v>Fiche info CDD C.DuréeD</v>
      </c>
      <c r="EE475" s="16" t="str">
        <f t="shared" si="108"/>
        <v>Fiche info CDD C.Durée</v>
      </c>
      <c r="EF475" s="16" t="str">
        <f t="shared" si="109"/>
        <v>D</v>
      </c>
      <c r="EG475" s="16">
        <f t="shared" si="110"/>
        <v>5</v>
      </c>
      <c r="EH475" s="16" t="str">
        <f t="shared" si="111"/>
        <v>Vendredi</v>
      </c>
      <c r="EI475" s="16" t="str">
        <f t="shared" si="112"/>
        <v/>
      </c>
    </row>
    <row r="476" spans="1:139" x14ac:dyDescent="0.2">
      <c r="A476" s="16" t="str">
        <f t="shared" si="106"/>
        <v>Fiche info CDD C.DuréeD6</v>
      </c>
      <c r="B476" s="16" t="str">
        <f t="shared" si="115"/>
        <v>Fiche info CDD C.Durée</v>
      </c>
      <c r="C476" s="27" t="s">
        <v>233</v>
      </c>
      <c r="D476" s="27">
        <v>6</v>
      </c>
      <c r="E476" s="16" t="s">
        <v>184</v>
      </c>
      <c r="F476" s="34" t="str">
        <f>IF(+'Fiche info CDD C.Durée'!$AR$12=0,"",'Fiche info CDD C.Durée'!$AR$12)</f>
        <v/>
      </c>
      <c r="G476" s="16">
        <f t="shared" si="113"/>
        <v>0</v>
      </c>
      <c r="BX476" s="16" t="str">
        <f t="shared" si="114"/>
        <v>Fiche info CDD C.DuréeD6</v>
      </c>
      <c r="BY476" s="431">
        <f>'Fiche info CDD C.Durée'!$AI$12</f>
        <v>0</v>
      </c>
      <c r="BZ476" s="431">
        <f>'Fiche info CDD C.Durée'!$AJ$12</f>
        <v>0</v>
      </c>
      <c r="CA476" s="431">
        <f>'Fiche info CDD C.Durée'!$AK$12</f>
        <v>0</v>
      </c>
      <c r="CB476" s="431">
        <f>'Fiche info CDD C.Durée'!$AL$12</f>
        <v>0</v>
      </c>
      <c r="CC476" s="431">
        <f>'Fiche info CDD C.Durée'!$AM$12</f>
        <v>0</v>
      </c>
      <c r="CD476" s="431">
        <f>'Fiche info CDD C.Durée'!$AN$12</f>
        <v>0</v>
      </c>
      <c r="CE476" s="431">
        <f>'Fiche info CDD C.Durée'!$AO$12</f>
        <v>0</v>
      </c>
      <c r="CF476" s="431">
        <f>'Fiche info CDD C.Durée'!$AP$12</f>
        <v>0</v>
      </c>
      <c r="ED476" s="16" t="str">
        <f t="shared" si="107"/>
        <v>Fiche info CDD C.DuréeD</v>
      </c>
      <c r="EE476" s="16" t="str">
        <f t="shared" si="108"/>
        <v>Fiche info CDD C.Durée</v>
      </c>
      <c r="EF476" s="16" t="str">
        <f t="shared" si="109"/>
        <v>D</v>
      </c>
      <c r="EG476" s="16">
        <f t="shared" si="110"/>
        <v>6</v>
      </c>
      <c r="EH476" s="16" t="str">
        <f t="shared" si="111"/>
        <v>Samedi</v>
      </c>
      <c r="EI476" s="16" t="str">
        <f t="shared" si="112"/>
        <v/>
      </c>
    </row>
    <row r="477" spans="1:139" x14ac:dyDescent="0.2">
      <c r="A477" s="16" t="str">
        <f t="shared" si="106"/>
        <v>Fiche info CDD C.DuréeD7</v>
      </c>
      <c r="B477" s="16" t="str">
        <f t="shared" si="115"/>
        <v>Fiche info CDD C.Durée</v>
      </c>
      <c r="C477" s="27" t="s">
        <v>233</v>
      </c>
      <c r="D477" s="27">
        <v>7</v>
      </c>
      <c r="E477" s="16" t="s">
        <v>185</v>
      </c>
      <c r="F477" s="34" t="str">
        <f>IF(+'Fiche info CDD C.Durée'!$AR$13=0,"",'Fiche info CDD C.Durée'!$AR$13)</f>
        <v/>
      </c>
      <c r="G477" s="16">
        <f t="shared" si="113"/>
        <v>0</v>
      </c>
      <c r="BX477" s="16" t="str">
        <f t="shared" si="114"/>
        <v>Fiche info CDD C.DuréeD7</v>
      </c>
      <c r="BY477" s="431">
        <f>'Fiche info CDD C.Durée'!$AI$13</f>
        <v>0</v>
      </c>
      <c r="BZ477" s="431">
        <f>'Fiche info CDD C.Durée'!$AJ$13</f>
        <v>0</v>
      </c>
      <c r="CA477" s="431">
        <f>'Fiche info CDD C.Durée'!$AK$13</f>
        <v>0</v>
      </c>
      <c r="CB477" s="431">
        <f>'Fiche info CDD C.Durée'!$AL$13</f>
        <v>0</v>
      </c>
      <c r="CC477" s="431">
        <f>'Fiche info CDD C.Durée'!$AM$13</f>
        <v>0</v>
      </c>
      <c r="CD477" s="431">
        <f>'Fiche info CDD C.Durée'!$AN$13</f>
        <v>0</v>
      </c>
      <c r="CE477" s="431">
        <f>'Fiche info CDD C.Durée'!$AO$13</f>
        <v>0</v>
      </c>
      <c r="CF477" s="431">
        <f>'Fiche info CDD C.Durée'!$AP$13</f>
        <v>0</v>
      </c>
      <c r="ED477" s="16" t="str">
        <f t="shared" si="107"/>
        <v>Fiche info CDD C.DuréeD</v>
      </c>
      <c r="EE477" s="16" t="str">
        <f t="shared" si="108"/>
        <v>Fiche info CDD C.Durée</v>
      </c>
      <c r="EF477" s="16" t="str">
        <f t="shared" si="109"/>
        <v>D</v>
      </c>
      <c r="EG477" s="16">
        <f t="shared" si="110"/>
        <v>7</v>
      </c>
      <c r="EH477" s="16" t="str">
        <f t="shared" si="111"/>
        <v>Dimanche</v>
      </c>
      <c r="EI477" s="16" t="str">
        <f t="shared" si="112"/>
        <v/>
      </c>
    </row>
    <row r="478" spans="1:139" x14ac:dyDescent="0.2">
      <c r="A478" s="16" t="str">
        <f t="shared" si="106"/>
        <v>Fiche info CDD C.DuréeE1</v>
      </c>
      <c r="B478" s="16" t="str">
        <f t="shared" si="115"/>
        <v>Fiche info CDD C.Durée</v>
      </c>
      <c r="C478" s="27" t="s">
        <v>234</v>
      </c>
      <c r="D478" s="27">
        <v>1</v>
      </c>
      <c r="E478" s="16" t="s">
        <v>17</v>
      </c>
      <c r="F478" s="34" t="str">
        <f>IF(+'Fiche info CDD C.Durée'!$BC$7=0,"",'Fiche info CDD C.Durée'!$BC$7)</f>
        <v/>
      </c>
      <c r="G478" s="16">
        <f t="shared" si="113"/>
        <v>0</v>
      </c>
      <c r="BX478" s="16" t="str">
        <f t="shared" si="114"/>
        <v>Fiche info CDD C.DuréeE1</v>
      </c>
      <c r="BY478" s="431">
        <f>'Fiche info CDD C.Durée'!$AT$7</f>
        <v>0</v>
      </c>
      <c r="BZ478" s="431">
        <f>'Fiche info CDD C.Durée'!$AU$7</f>
        <v>0</v>
      </c>
      <c r="CA478" s="431">
        <f>'Fiche info CDD C.Durée'!$AV$7</f>
        <v>0</v>
      </c>
      <c r="CB478" s="431">
        <f>'Fiche info CDD C.Durée'!$AW$7</f>
        <v>0</v>
      </c>
      <c r="CC478" s="431">
        <f>'Fiche info CDD C.Durée'!$AX$7</f>
        <v>0</v>
      </c>
      <c r="CD478" s="431">
        <f>'Fiche info CDD C.Durée'!$AY$7</f>
        <v>0</v>
      </c>
      <c r="CE478" s="431">
        <f>'Fiche info CDD C.Durée'!$AZ$7</f>
        <v>0</v>
      </c>
      <c r="CF478" s="431">
        <f>'Fiche info CDD C.Durée'!$BA$7</f>
        <v>0</v>
      </c>
      <c r="ED478" s="16" t="str">
        <f t="shared" si="107"/>
        <v>Fiche info CDD C.DuréeE</v>
      </c>
      <c r="EE478" s="16" t="str">
        <f t="shared" si="108"/>
        <v>Fiche info CDD C.Durée</v>
      </c>
      <c r="EF478" s="16" t="str">
        <f t="shared" si="109"/>
        <v>E</v>
      </c>
      <c r="EG478" s="16">
        <f t="shared" si="110"/>
        <v>1</v>
      </c>
      <c r="EH478" s="16" t="str">
        <f t="shared" si="111"/>
        <v>Lundi</v>
      </c>
      <c r="EI478" s="16" t="str">
        <f t="shared" si="112"/>
        <v/>
      </c>
    </row>
    <row r="479" spans="1:139" x14ac:dyDescent="0.2">
      <c r="A479" s="16" t="str">
        <f t="shared" si="106"/>
        <v>Fiche info CDD C.DuréeE2</v>
      </c>
      <c r="B479" s="16" t="str">
        <f t="shared" si="115"/>
        <v>Fiche info CDD C.Durée</v>
      </c>
      <c r="C479" s="27" t="s">
        <v>234</v>
      </c>
      <c r="D479" s="27">
        <v>2</v>
      </c>
      <c r="E479" s="16" t="s">
        <v>18</v>
      </c>
      <c r="F479" s="34" t="str">
        <f>IF(+'Fiche info CDD C.Durée'!$BC$8=0,"",'Fiche info CDD C.Durée'!$BC$8)</f>
        <v/>
      </c>
      <c r="G479" s="16">
        <f t="shared" si="113"/>
        <v>0</v>
      </c>
      <c r="BX479" s="16" t="str">
        <f t="shared" si="114"/>
        <v>Fiche info CDD C.DuréeE2</v>
      </c>
      <c r="BY479" s="431">
        <f>'Fiche info CDD C.Durée'!$AT$8</f>
        <v>0</v>
      </c>
      <c r="BZ479" s="431">
        <f>'Fiche info CDD C.Durée'!$AU$8</f>
        <v>0</v>
      </c>
      <c r="CA479" s="431">
        <f>'Fiche info CDD C.Durée'!$AV$8</f>
        <v>0</v>
      </c>
      <c r="CB479" s="431">
        <f>'Fiche info CDD C.Durée'!$AW$8</f>
        <v>0</v>
      </c>
      <c r="CC479" s="431">
        <f>'Fiche info CDD C.Durée'!$AX$8</f>
        <v>0</v>
      </c>
      <c r="CD479" s="431">
        <f>'Fiche info CDD C.Durée'!$AY$8</f>
        <v>0</v>
      </c>
      <c r="CE479" s="431">
        <f>'Fiche info CDD C.Durée'!$AZ$8</f>
        <v>0</v>
      </c>
      <c r="CF479" s="431">
        <f>'Fiche info CDD C.Durée'!$BA$8</f>
        <v>0</v>
      </c>
      <c r="ED479" s="16" t="str">
        <f t="shared" si="107"/>
        <v>Fiche info CDD C.DuréeE</v>
      </c>
      <c r="EE479" s="16" t="str">
        <f t="shared" si="108"/>
        <v>Fiche info CDD C.Durée</v>
      </c>
      <c r="EF479" s="16" t="str">
        <f t="shared" si="109"/>
        <v>E</v>
      </c>
      <c r="EG479" s="16">
        <f t="shared" si="110"/>
        <v>2</v>
      </c>
      <c r="EH479" s="16" t="str">
        <f t="shared" si="111"/>
        <v>Mardi</v>
      </c>
      <c r="EI479" s="16" t="str">
        <f t="shared" si="112"/>
        <v/>
      </c>
    </row>
    <row r="480" spans="1:139" x14ac:dyDescent="0.2">
      <c r="A480" s="16" t="str">
        <f t="shared" si="106"/>
        <v>Fiche info CDD C.DuréeE3</v>
      </c>
      <c r="B480" s="16" t="str">
        <f t="shared" si="115"/>
        <v>Fiche info CDD C.Durée</v>
      </c>
      <c r="C480" s="27" t="s">
        <v>234</v>
      </c>
      <c r="D480" s="27">
        <v>3</v>
      </c>
      <c r="E480" s="16" t="s">
        <v>19</v>
      </c>
      <c r="F480" s="34" t="str">
        <f>IF(+'Fiche info CDD C.Durée'!$BC$9=0,"",'Fiche info CDD C.Durée'!$BC$9)</f>
        <v/>
      </c>
      <c r="G480" s="16">
        <f t="shared" si="113"/>
        <v>0</v>
      </c>
      <c r="BX480" s="16" t="str">
        <f t="shared" si="114"/>
        <v>Fiche info CDD C.DuréeE3</v>
      </c>
      <c r="BY480" s="431">
        <f>'Fiche info CDD C.Durée'!$AT$9</f>
        <v>0</v>
      </c>
      <c r="BZ480" s="431">
        <f>'Fiche info CDD C.Durée'!$AU$9</f>
        <v>0</v>
      </c>
      <c r="CA480" s="431">
        <f>'Fiche info CDD C.Durée'!$AV$9</f>
        <v>0</v>
      </c>
      <c r="CB480" s="431">
        <f>'Fiche info CDD C.Durée'!$AW$9</f>
        <v>0</v>
      </c>
      <c r="CC480" s="431">
        <f>'Fiche info CDD C.Durée'!$AX$9</f>
        <v>0</v>
      </c>
      <c r="CD480" s="431">
        <f>'Fiche info CDD C.Durée'!$AY$9</f>
        <v>0</v>
      </c>
      <c r="CE480" s="431">
        <f>'Fiche info CDD C.Durée'!$AZ$9</f>
        <v>0</v>
      </c>
      <c r="CF480" s="431">
        <f>'Fiche info CDD C.Durée'!$BA$9</f>
        <v>0</v>
      </c>
      <c r="ED480" s="16" t="str">
        <f t="shared" si="107"/>
        <v>Fiche info CDD C.DuréeE</v>
      </c>
      <c r="EE480" s="16" t="str">
        <f t="shared" si="108"/>
        <v>Fiche info CDD C.Durée</v>
      </c>
      <c r="EF480" s="16" t="str">
        <f t="shared" si="109"/>
        <v>E</v>
      </c>
      <c r="EG480" s="16">
        <f t="shared" si="110"/>
        <v>3</v>
      </c>
      <c r="EH480" s="16" t="str">
        <f t="shared" si="111"/>
        <v>Mercredi</v>
      </c>
      <c r="EI480" s="16" t="str">
        <f t="shared" si="112"/>
        <v/>
      </c>
    </row>
    <row r="481" spans="1:139" x14ac:dyDescent="0.2">
      <c r="A481" s="16" t="str">
        <f t="shared" si="106"/>
        <v>Fiche info CDD C.DuréeE4</v>
      </c>
      <c r="B481" s="16" t="str">
        <f t="shared" si="115"/>
        <v>Fiche info CDD C.Durée</v>
      </c>
      <c r="C481" s="27" t="s">
        <v>234</v>
      </c>
      <c r="D481" s="27">
        <v>4</v>
      </c>
      <c r="E481" s="16" t="s">
        <v>20</v>
      </c>
      <c r="F481" s="34" t="str">
        <f>IF(+'Fiche info CDD C.Durée'!$BC$10=0,"",'Fiche info CDD C.Durée'!$BC$10)</f>
        <v/>
      </c>
      <c r="G481" s="16">
        <f t="shared" si="113"/>
        <v>0</v>
      </c>
      <c r="BX481" s="16" t="str">
        <f t="shared" si="114"/>
        <v>Fiche info CDD C.DuréeE4</v>
      </c>
      <c r="BY481" s="431">
        <f>'Fiche info CDD C.Durée'!$AT$10</f>
        <v>0</v>
      </c>
      <c r="BZ481" s="431">
        <f>'Fiche info CDD C.Durée'!$AU$10</f>
        <v>0</v>
      </c>
      <c r="CA481" s="431">
        <f>'Fiche info CDD C.Durée'!$AV$10</f>
        <v>0</v>
      </c>
      <c r="CB481" s="431">
        <f>'Fiche info CDD C.Durée'!$AW$10</f>
        <v>0</v>
      </c>
      <c r="CC481" s="431">
        <f>'Fiche info CDD C.Durée'!$AX$10</f>
        <v>0</v>
      </c>
      <c r="CD481" s="431">
        <f>'Fiche info CDD C.Durée'!$AY$10</f>
        <v>0</v>
      </c>
      <c r="CE481" s="431">
        <f>'Fiche info CDD C.Durée'!$AZ$10</f>
        <v>0</v>
      </c>
      <c r="CF481" s="431">
        <f>'Fiche info CDD C.Durée'!$BA$10</f>
        <v>0</v>
      </c>
      <c r="ED481" s="16" t="str">
        <f t="shared" si="107"/>
        <v>Fiche info CDD C.DuréeE</v>
      </c>
      <c r="EE481" s="16" t="str">
        <f t="shared" si="108"/>
        <v>Fiche info CDD C.Durée</v>
      </c>
      <c r="EF481" s="16" t="str">
        <f t="shared" si="109"/>
        <v>E</v>
      </c>
      <c r="EG481" s="16">
        <f t="shared" si="110"/>
        <v>4</v>
      </c>
      <c r="EH481" s="16" t="str">
        <f t="shared" si="111"/>
        <v>Jeudi</v>
      </c>
      <c r="EI481" s="16" t="str">
        <f t="shared" si="112"/>
        <v/>
      </c>
    </row>
    <row r="482" spans="1:139" x14ac:dyDescent="0.2">
      <c r="A482" s="16" t="str">
        <f t="shared" si="106"/>
        <v>Fiche info CDD C.DuréeE5</v>
      </c>
      <c r="B482" s="16" t="str">
        <f t="shared" si="115"/>
        <v>Fiche info CDD C.Durée</v>
      </c>
      <c r="C482" s="27" t="s">
        <v>234</v>
      </c>
      <c r="D482" s="27">
        <v>5</v>
      </c>
      <c r="E482" s="16" t="s">
        <v>21</v>
      </c>
      <c r="F482" s="34" t="str">
        <f>IF(+'Fiche info CDD C.Durée'!$BC$11=0,"",'Fiche info CDD C.Durée'!$BC$11)</f>
        <v/>
      </c>
      <c r="G482" s="16">
        <f t="shared" si="113"/>
        <v>0</v>
      </c>
      <c r="BX482" s="16" t="str">
        <f t="shared" si="114"/>
        <v>Fiche info CDD C.DuréeE5</v>
      </c>
      <c r="BY482" s="431">
        <f>'Fiche info CDD C.Durée'!$AT$11</f>
        <v>0</v>
      </c>
      <c r="BZ482" s="431">
        <f>'Fiche info CDD C.Durée'!$AU$11</f>
        <v>0</v>
      </c>
      <c r="CA482" s="431">
        <f>'Fiche info CDD C.Durée'!$AV$11</f>
        <v>0</v>
      </c>
      <c r="CB482" s="431">
        <f>'Fiche info CDD C.Durée'!$AW$11</f>
        <v>0</v>
      </c>
      <c r="CC482" s="431">
        <f>'Fiche info CDD C.Durée'!$AX$11</f>
        <v>0</v>
      </c>
      <c r="CD482" s="431">
        <f>'Fiche info CDD C.Durée'!$AY$11</f>
        <v>0</v>
      </c>
      <c r="CE482" s="431">
        <f>'Fiche info CDD C.Durée'!$AZ$11</f>
        <v>0</v>
      </c>
      <c r="CF482" s="431">
        <f>'Fiche info CDD C.Durée'!$BA$11</f>
        <v>0</v>
      </c>
      <c r="ED482" s="16" t="str">
        <f t="shared" si="107"/>
        <v>Fiche info CDD C.DuréeE</v>
      </c>
      <c r="EE482" s="16" t="str">
        <f t="shared" si="108"/>
        <v>Fiche info CDD C.Durée</v>
      </c>
      <c r="EF482" s="16" t="str">
        <f t="shared" si="109"/>
        <v>E</v>
      </c>
      <c r="EG482" s="16">
        <f t="shared" si="110"/>
        <v>5</v>
      </c>
      <c r="EH482" s="16" t="str">
        <f t="shared" si="111"/>
        <v>Vendredi</v>
      </c>
      <c r="EI482" s="16" t="str">
        <f t="shared" si="112"/>
        <v/>
      </c>
    </row>
    <row r="483" spans="1:139" x14ac:dyDescent="0.2">
      <c r="A483" s="16" t="str">
        <f t="shared" si="106"/>
        <v>Fiche info CDD C.DuréeE6</v>
      </c>
      <c r="B483" s="16" t="str">
        <f t="shared" si="115"/>
        <v>Fiche info CDD C.Durée</v>
      </c>
      <c r="C483" s="27" t="s">
        <v>234</v>
      </c>
      <c r="D483" s="27">
        <v>6</v>
      </c>
      <c r="E483" s="16" t="s">
        <v>184</v>
      </c>
      <c r="F483" s="34" t="str">
        <f>IF(+'Fiche info CDD C.Durée'!$BC$12=0,"",'Fiche info CDD C.Durée'!$BC$12)</f>
        <v/>
      </c>
      <c r="G483" s="16">
        <f t="shared" si="113"/>
        <v>0</v>
      </c>
      <c r="BX483" s="16" t="str">
        <f t="shared" si="114"/>
        <v>Fiche info CDD C.DuréeE6</v>
      </c>
      <c r="BY483" s="431">
        <f>'Fiche info CDD C.Durée'!$AT$12</f>
        <v>0</v>
      </c>
      <c r="BZ483" s="431">
        <f>'Fiche info CDD C.Durée'!$AU$12</f>
        <v>0</v>
      </c>
      <c r="CA483" s="431">
        <f>'Fiche info CDD C.Durée'!$AV$12</f>
        <v>0</v>
      </c>
      <c r="CB483" s="431">
        <f>'Fiche info CDD C.Durée'!$AW$12</f>
        <v>0</v>
      </c>
      <c r="CC483" s="431">
        <f>'Fiche info CDD C.Durée'!$AX$12</f>
        <v>0</v>
      </c>
      <c r="CD483" s="431">
        <f>'Fiche info CDD C.Durée'!$AY$12</f>
        <v>0</v>
      </c>
      <c r="CE483" s="431">
        <f>'Fiche info CDD C.Durée'!$AZ$12</f>
        <v>0</v>
      </c>
      <c r="CF483" s="431">
        <f>'Fiche info CDD C.Durée'!$BA$12</f>
        <v>0</v>
      </c>
      <c r="ED483" s="16" t="str">
        <f t="shared" si="107"/>
        <v>Fiche info CDD C.DuréeE</v>
      </c>
      <c r="EE483" s="16" t="str">
        <f t="shared" si="108"/>
        <v>Fiche info CDD C.Durée</v>
      </c>
      <c r="EF483" s="16" t="str">
        <f t="shared" si="109"/>
        <v>E</v>
      </c>
      <c r="EG483" s="16">
        <f t="shared" si="110"/>
        <v>6</v>
      </c>
      <c r="EH483" s="16" t="str">
        <f t="shared" si="111"/>
        <v>Samedi</v>
      </c>
      <c r="EI483" s="16" t="str">
        <f t="shared" si="112"/>
        <v/>
      </c>
    </row>
    <row r="484" spans="1:139" x14ac:dyDescent="0.2">
      <c r="A484" s="16" t="str">
        <f t="shared" si="106"/>
        <v>Fiche info CDD C.DuréeE7</v>
      </c>
      <c r="B484" s="16" t="str">
        <f t="shared" si="115"/>
        <v>Fiche info CDD C.Durée</v>
      </c>
      <c r="C484" s="27" t="s">
        <v>234</v>
      </c>
      <c r="D484" s="27">
        <v>7</v>
      </c>
      <c r="E484" s="16" t="s">
        <v>185</v>
      </c>
      <c r="F484" s="34" t="str">
        <f>IF(+'Fiche info CDD C.Durée'!$BC$13=0,"",'Fiche info CDD C.Durée'!$BC$13)</f>
        <v/>
      </c>
      <c r="G484" s="16">
        <f t="shared" si="113"/>
        <v>0</v>
      </c>
      <c r="BX484" s="16" t="str">
        <f t="shared" si="114"/>
        <v>Fiche info CDD C.DuréeE7</v>
      </c>
      <c r="BY484" s="431">
        <f>'Fiche info CDD C.Durée'!$AT$13</f>
        <v>0</v>
      </c>
      <c r="BZ484" s="431">
        <f>'Fiche info CDD C.Durée'!$AU$13</f>
        <v>0</v>
      </c>
      <c r="CA484" s="431">
        <f>'Fiche info CDD C.Durée'!$AV$13</f>
        <v>0</v>
      </c>
      <c r="CB484" s="431">
        <f>'Fiche info CDD C.Durée'!$AW$13</f>
        <v>0</v>
      </c>
      <c r="CC484" s="431">
        <f>'Fiche info CDD C.Durée'!$AX$13</f>
        <v>0</v>
      </c>
      <c r="CD484" s="431">
        <f>'Fiche info CDD C.Durée'!$AY$13</f>
        <v>0</v>
      </c>
      <c r="CE484" s="431">
        <f>'Fiche info CDD C.Durée'!$AZ$13</f>
        <v>0</v>
      </c>
      <c r="CF484" s="431">
        <f>'Fiche info CDD C.Durée'!$BA$13</f>
        <v>0</v>
      </c>
      <c r="ED484" s="16" t="str">
        <f t="shared" si="107"/>
        <v>Fiche info CDD C.DuréeE</v>
      </c>
      <c r="EE484" s="16" t="str">
        <f t="shared" si="108"/>
        <v>Fiche info CDD C.Durée</v>
      </c>
      <c r="EF484" s="16" t="str">
        <f t="shared" si="109"/>
        <v>E</v>
      </c>
      <c r="EG484" s="16">
        <f t="shared" si="110"/>
        <v>7</v>
      </c>
      <c r="EH484" s="16" t="str">
        <f t="shared" si="111"/>
        <v>Dimanche</v>
      </c>
      <c r="EI484" s="16" t="str">
        <f t="shared" si="112"/>
        <v/>
      </c>
    </row>
    <row r="485" spans="1:139" x14ac:dyDescent="0.2">
      <c r="A485" s="16" t="str">
        <f t="shared" si="106"/>
        <v>Fiche info CDD C.DuréeF1</v>
      </c>
      <c r="B485" s="16" t="str">
        <f t="shared" si="115"/>
        <v>Fiche info CDD C.Durée</v>
      </c>
      <c r="C485" s="27" t="s">
        <v>235</v>
      </c>
      <c r="D485" s="27">
        <v>1</v>
      </c>
      <c r="E485" s="16" t="s">
        <v>17</v>
      </c>
      <c r="F485" s="34" t="str">
        <f>+IF('Fiche info CDD C.Durée'!$BN$7=0,"",'Fiche info CDD C.Durée'!$BN$7)</f>
        <v/>
      </c>
      <c r="G485" s="16">
        <f t="shared" si="113"/>
        <v>0</v>
      </c>
      <c r="BX485" s="16" t="str">
        <f t="shared" si="114"/>
        <v>Fiche info CDD C.DuréeF1</v>
      </c>
      <c r="BY485" s="431">
        <f>'Fiche info CDD C.Durée'!$BE$7</f>
        <v>0</v>
      </c>
      <c r="BZ485" s="431">
        <f>'Fiche info CDD C.Durée'!$BF$7</f>
        <v>0</v>
      </c>
      <c r="CA485" s="431">
        <f>'Fiche info CDD C.Durée'!$BG$7</f>
        <v>0</v>
      </c>
      <c r="CB485" s="431">
        <f>'Fiche info CDD C.Durée'!$BH$7</f>
        <v>0</v>
      </c>
      <c r="CC485" s="431">
        <f>'Fiche info CDD C.Durée'!$BI$7</f>
        <v>0</v>
      </c>
      <c r="CD485" s="431">
        <f>'Fiche info CDD C.Durée'!$BJ$7</f>
        <v>0</v>
      </c>
      <c r="CE485" s="431">
        <f>'Fiche info CDD C.Durée'!$BK$7</f>
        <v>0</v>
      </c>
      <c r="CF485" s="431">
        <f>'Fiche info CDD C.Durée'!$BL$7</f>
        <v>0</v>
      </c>
      <c r="ED485" s="16" t="str">
        <f t="shared" si="107"/>
        <v>Fiche info CDD C.DuréeF</v>
      </c>
      <c r="EE485" s="16" t="str">
        <f t="shared" si="108"/>
        <v>Fiche info CDD C.Durée</v>
      </c>
      <c r="EF485" s="16" t="str">
        <f t="shared" si="109"/>
        <v>F</v>
      </c>
      <c r="EG485" s="16">
        <f t="shared" si="110"/>
        <v>1</v>
      </c>
      <c r="EH485" s="16" t="str">
        <f t="shared" si="111"/>
        <v>Lundi</v>
      </c>
      <c r="EI485" s="16" t="str">
        <f t="shared" si="112"/>
        <v/>
      </c>
    </row>
    <row r="486" spans="1:139" x14ac:dyDescent="0.2">
      <c r="A486" s="16" t="str">
        <f t="shared" si="106"/>
        <v>Fiche info CDD C.DuréeF2</v>
      </c>
      <c r="B486" s="16" t="str">
        <f t="shared" si="115"/>
        <v>Fiche info CDD C.Durée</v>
      </c>
      <c r="C486" s="27" t="s">
        <v>235</v>
      </c>
      <c r="D486" s="27">
        <v>2</v>
      </c>
      <c r="E486" s="16" t="s">
        <v>18</v>
      </c>
      <c r="F486" s="34" t="str">
        <f>+IF('Fiche info CDD C.Durée'!$BN$8=0,"",'Fiche info CDD C.Durée'!$BN$8)</f>
        <v/>
      </c>
      <c r="G486" s="16">
        <f t="shared" si="113"/>
        <v>0</v>
      </c>
      <c r="BX486" s="16" t="str">
        <f t="shared" si="114"/>
        <v>Fiche info CDD C.DuréeF2</v>
      </c>
      <c r="BY486" s="431">
        <f>'Fiche info CDD C.Durée'!$BE$8</f>
        <v>0</v>
      </c>
      <c r="BZ486" s="431">
        <f>'Fiche info CDD C.Durée'!$BF$8</f>
        <v>0</v>
      </c>
      <c r="CA486" s="431">
        <f>'Fiche info CDD C.Durée'!$BG$8</f>
        <v>0</v>
      </c>
      <c r="CB486" s="431">
        <f>'Fiche info CDD C.Durée'!$BH$8</f>
        <v>0</v>
      </c>
      <c r="CC486" s="431">
        <f>'Fiche info CDD C.Durée'!$BI$8</f>
        <v>0</v>
      </c>
      <c r="CD486" s="431">
        <f>'Fiche info CDD C.Durée'!$BJ$8</f>
        <v>0</v>
      </c>
      <c r="CE486" s="431">
        <f>'Fiche info CDD C.Durée'!$BK$8</f>
        <v>0</v>
      </c>
      <c r="CF486" s="431">
        <f>'Fiche info CDD C.Durée'!$BL$8</f>
        <v>0</v>
      </c>
      <c r="ED486" s="16" t="str">
        <f t="shared" si="107"/>
        <v>Fiche info CDD C.DuréeF</v>
      </c>
      <c r="EE486" s="16" t="str">
        <f t="shared" si="108"/>
        <v>Fiche info CDD C.Durée</v>
      </c>
      <c r="EF486" s="16" t="str">
        <f t="shared" si="109"/>
        <v>F</v>
      </c>
      <c r="EG486" s="16">
        <f t="shared" si="110"/>
        <v>2</v>
      </c>
      <c r="EH486" s="16" t="str">
        <f t="shared" si="111"/>
        <v>Mardi</v>
      </c>
      <c r="EI486" s="16" t="str">
        <f t="shared" si="112"/>
        <v/>
      </c>
    </row>
    <row r="487" spans="1:139" x14ac:dyDescent="0.2">
      <c r="A487" s="16" t="str">
        <f t="shared" si="106"/>
        <v>Fiche info CDD C.DuréeF3</v>
      </c>
      <c r="B487" s="16" t="str">
        <f t="shared" si="115"/>
        <v>Fiche info CDD C.Durée</v>
      </c>
      <c r="C487" s="27" t="s">
        <v>235</v>
      </c>
      <c r="D487" s="27">
        <v>3</v>
      </c>
      <c r="E487" s="16" t="s">
        <v>19</v>
      </c>
      <c r="F487" s="34" t="str">
        <f>+IF('Fiche info CDD C.Durée'!$BN$9=0,"",'Fiche info CDD C.Durée'!$BN$9)</f>
        <v/>
      </c>
      <c r="G487" s="16">
        <f t="shared" si="113"/>
        <v>0</v>
      </c>
      <c r="BX487" s="16" t="str">
        <f t="shared" si="114"/>
        <v>Fiche info CDD C.DuréeF3</v>
      </c>
      <c r="BY487" s="431">
        <f>'Fiche info CDD C.Durée'!$BE$9</f>
        <v>0</v>
      </c>
      <c r="BZ487" s="431">
        <f>'Fiche info CDD C.Durée'!$BF$9</f>
        <v>0</v>
      </c>
      <c r="CA487" s="431">
        <f>'Fiche info CDD C.Durée'!$BG$9</f>
        <v>0</v>
      </c>
      <c r="CB487" s="431">
        <f>'Fiche info CDD C.Durée'!$BH$9</f>
        <v>0</v>
      </c>
      <c r="CC487" s="431">
        <f>'Fiche info CDD C.Durée'!$BI$9</f>
        <v>0</v>
      </c>
      <c r="CD487" s="431">
        <f>'Fiche info CDD C.Durée'!$BJ$9</f>
        <v>0</v>
      </c>
      <c r="CE487" s="431">
        <f>'Fiche info CDD C.Durée'!$BK$9</f>
        <v>0</v>
      </c>
      <c r="CF487" s="431">
        <f>'Fiche info CDD C.Durée'!$BL$9</f>
        <v>0</v>
      </c>
      <c r="ED487" s="16" t="str">
        <f t="shared" si="107"/>
        <v>Fiche info CDD C.DuréeF</v>
      </c>
      <c r="EE487" s="16" t="str">
        <f t="shared" si="108"/>
        <v>Fiche info CDD C.Durée</v>
      </c>
      <c r="EF487" s="16" t="str">
        <f t="shared" si="109"/>
        <v>F</v>
      </c>
      <c r="EG487" s="16">
        <f t="shared" si="110"/>
        <v>3</v>
      </c>
      <c r="EH487" s="16" t="str">
        <f t="shared" si="111"/>
        <v>Mercredi</v>
      </c>
      <c r="EI487" s="16" t="str">
        <f t="shared" si="112"/>
        <v/>
      </c>
    </row>
    <row r="488" spans="1:139" x14ac:dyDescent="0.2">
      <c r="A488" s="16" t="str">
        <f t="shared" si="106"/>
        <v>Fiche info CDD C.DuréeF4</v>
      </c>
      <c r="B488" s="16" t="str">
        <f t="shared" si="115"/>
        <v>Fiche info CDD C.Durée</v>
      </c>
      <c r="C488" s="27" t="s">
        <v>235</v>
      </c>
      <c r="D488" s="27">
        <v>4</v>
      </c>
      <c r="E488" s="16" t="s">
        <v>20</v>
      </c>
      <c r="F488" s="34" t="str">
        <f>+IF('Fiche info CDD C.Durée'!$BN$10=0,"",'Fiche info CDD C.Durée'!$BN$10)</f>
        <v/>
      </c>
      <c r="G488" s="16">
        <f t="shared" si="113"/>
        <v>0</v>
      </c>
      <c r="BX488" s="16" t="str">
        <f t="shared" si="114"/>
        <v>Fiche info CDD C.DuréeF4</v>
      </c>
      <c r="BY488" s="431">
        <f>'Fiche info CDD C.Durée'!$BE$10</f>
        <v>0</v>
      </c>
      <c r="BZ488" s="431">
        <f>'Fiche info CDD C.Durée'!$BF$10</f>
        <v>0</v>
      </c>
      <c r="CA488" s="431">
        <f>'Fiche info CDD C.Durée'!$BG$10</f>
        <v>0</v>
      </c>
      <c r="CB488" s="431">
        <f>'Fiche info CDD C.Durée'!$BH$10</f>
        <v>0</v>
      </c>
      <c r="CC488" s="431">
        <f>'Fiche info CDD C.Durée'!$BI$10</f>
        <v>0</v>
      </c>
      <c r="CD488" s="431">
        <f>'Fiche info CDD C.Durée'!$BJ$10</f>
        <v>0</v>
      </c>
      <c r="CE488" s="431">
        <f>'Fiche info CDD C.Durée'!$BK$10</f>
        <v>0</v>
      </c>
      <c r="CF488" s="431">
        <f>'Fiche info CDD C.Durée'!$BL$10</f>
        <v>0</v>
      </c>
      <c r="ED488" s="16" t="str">
        <f t="shared" si="107"/>
        <v>Fiche info CDD C.DuréeF</v>
      </c>
      <c r="EE488" s="16" t="str">
        <f t="shared" si="108"/>
        <v>Fiche info CDD C.Durée</v>
      </c>
      <c r="EF488" s="16" t="str">
        <f t="shared" si="109"/>
        <v>F</v>
      </c>
      <c r="EG488" s="16">
        <f t="shared" si="110"/>
        <v>4</v>
      </c>
      <c r="EH488" s="16" t="str">
        <f t="shared" si="111"/>
        <v>Jeudi</v>
      </c>
      <c r="EI488" s="16" t="str">
        <f t="shared" si="112"/>
        <v/>
      </c>
    </row>
    <row r="489" spans="1:139" x14ac:dyDescent="0.2">
      <c r="A489" s="16" t="str">
        <f t="shared" si="106"/>
        <v>Fiche info CDD C.DuréeF5</v>
      </c>
      <c r="B489" s="16" t="str">
        <f t="shared" si="115"/>
        <v>Fiche info CDD C.Durée</v>
      </c>
      <c r="C489" s="27" t="s">
        <v>235</v>
      </c>
      <c r="D489" s="27">
        <v>5</v>
      </c>
      <c r="E489" s="16" t="s">
        <v>21</v>
      </c>
      <c r="F489" s="34" t="str">
        <f>+IF('Fiche info CDD C.Durée'!$BN$11=0,"",'Fiche info CDD C.Durée'!$BN$11)</f>
        <v/>
      </c>
      <c r="G489" s="16">
        <f t="shared" si="113"/>
        <v>0</v>
      </c>
      <c r="BX489" s="16" t="str">
        <f t="shared" si="114"/>
        <v>Fiche info CDD C.DuréeF5</v>
      </c>
      <c r="BY489" s="431">
        <f>'Fiche info CDD C.Durée'!$BE$11</f>
        <v>0</v>
      </c>
      <c r="BZ489" s="431">
        <f>'Fiche info CDD C.Durée'!$BF$11</f>
        <v>0</v>
      </c>
      <c r="CA489" s="431">
        <f>'Fiche info CDD C.Durée'!$BG$11</f>
        <v>0</v>
      </c>
      <c r="CB489" s="431">
        <f>'Fiche info CDD C.Durée'!$BH$11</f>
        <v>0</v>
      </c>
      <c r="CC489" s="431">
        <f>'Fiche info CDD C.Durée'!$BI$11</f>
        <v>0</v>
      </c>
      <c r="CD489" s="431">
        <f>'Fiche info CDD C.Durée'!$BJ$11</f>
        <v>0</v>
      </c>
      <c r="CE489" s="431">
        <f>'Fiche info CDD C.Durée'!$BK$11</f>
        <v>0</v>
      </c>
      <c r="CF489" s="431">
        <f>'Fiche info CDD C.Durée'!$BL$11</f>
        <v>0</v>
      </c>
      <c r="ED489" s="16" t="str">
        <f t="shared" si="107"/>
        <v>Fiche info CDD C.DuréeF</v>
      </c>
      <c r="EE489" s="16" t="str">
        <f t="shared" si="108"/>
        <v>Fiche info CDD C.Durée</v>
      </c>
      <c r="EF489" s="16" t="str">
        <f t="shared" si="109"/>
        <v>F</v>
      </c>
      <c r="EG489" s="16">
        <f t="shared" si="110"/>
        <v>5</v>
      </c>
      <c r="EH489" s="16" t="str">
        <f t="shared" si="111"/>
        <v>Vendredi</v>
      </c>
      <c r="EI489" s="16" t="str">
        <f t="shared" si="112"/>
        <v/>
      </c>
    </row>
    <row r="490" spans="1:139" x14ac:dyDescent="0.2">
      <c r="A490" s="16" t="str">
        <f t="shared" si="106"/>
        <v>Fiche info CDD C.DuréeF6</v>
      </c>
      <c r="B490" s="16" t="str">
        <f t="shared" si="115"/>
        <v>Fiche info CDD C.Durée</v>
      </c>
      <c r="C490" s="27" t="s">
        <v>235</v>
      </c>
      <c r="D490" s="27">
        <v>6</v>
      </c>
      <c r="E490" s="16" t="s">
        <v>184</v>
      </c>
      <c r="F490" s="34" t="str">
        <f>+IF('Fiche info CDD C.Durée'!$BN$12=0,"",'Fiche info CDD C.Durée'!$BN$12)</f>
        <v/>
      </c>
      <c r="G490" s="16">
        <f t="shared" si="113"/>
        <v>0</v>
      </c>
      <c r="BX490" s="16" t="str">
        <f t="shared" si="114"/>
        <v>Fiche info CDD C.DuréeF6</v>
      </c>
      <c r="BY490" s="431">
        <f>'Fiche info CDD C.Durée'!$BE$12</f>
        <v>0</v>
      </c>
      <c r="BZ490" s="431">
        <f>'Fiche info CDD C.Durée'!$BF$12</f>
        <v>0</v>
      </c>
      <c r="CA490" s="431">
        <f>'Fiche info CDD C.Durée'!$BG$12</f>
        <v>0</v>
      </c>
      <c r="CB490" s="431">
        <f>'Fiche info CDD C.Durée'!$BH$12</f>
        <v>0</v>
      </c>
      <c r="CC490" s="431">
        <f>'Fiche info CDD C.Durée'!$BI$12</f>
        <v>0</v>
      </c>
      <c r="CD490" s="431">
        <f>'Fiche info CDD C.Durée'!$BJ$12</f>
        <v>0</v>
      </c>
      <c r="CE490" s="431">
        <f>'Fiche info CDD C.Durée'!$BK$12</f>
        <v>0</v>
      </c>
      <c r="CF490" s="431">
        <f>'Fiche info CDD C.Durée'!$BL$12</f>
        <v>0</v>
      </c>
      <c r="ED490" s="16" t="str">
        <f t="shared" si="107"/>
        <v>Fiche info CDD C.DuréeF</v>
      </c>
      <c r="EE490" s="16" t="str">
        <f t="shared" si="108"/>
        <v>Fiche info CDD C.Durée</v>
      </c>
      <c r="EF490" s="16" t="str">
        <f t="shared" si="109"/>
        <v>F</v>
      </c>
      <c r="EG490" s="16">
        <f t="shared" si="110"/>
        <v>6</v>
      </c>
      <c r="EH490" s="16" t="str">
        <f t="shared" si="111"/>
        <v>Samedi</v>
      </c>
      <c r="EI490" s="16" t="str">
        <f t="shared" si="112"/>
        <v/>
      </c>
    </row>
    <row r="491" spans="1:139" x14ac:dyDescent="0.2">
      <c r="A491" s="16" t="str">
        <f t="shared" ref="A491:A554" si="116">+B491&amp;C491&amp;D491</f>
        <v>Fiche info CDD C.DuréeF7</v>
      </c>
      <c r="B491" s="16" t="str">
        <f t="shared" si="115"/>
        <v>Fiche info CDD C.Durée</v>
      </c>
      <c r="C491" s="27" t="s">
        <v>235</v>
      </c>
      <c r="D491" s="27">
        <v>7</v>
      </c>
      <c r="E491" s="16" t="s">
        <v>185</v>
      </c>
      <c r="F491" s="34" t="str">
        <f>+IF('Fiche info CDD C.Durée'!$BN$13=0,"",'Fiche info CDD C.Durée'!$BN$13)</f>
        <v/>
      </c>
      <c r="G491" s="16">
        <f t="shared" si="113"/>
        <v>0</v>
      </c>
      <c r="BX491" s="16" t="str">
        <f t="shared" si="114"/>
        <v>Fiche info CDD C.DuréeF7</v>
      </c>
      <c r="BY491" s="431">
        <f>'Fiche info CDD C.Durée'!$BE$13</f>
        <v>0</v>
      </c>
      <c r="BZ491" s="431">
        <f>'Fiche info CDD C.Durée'!$BF$13</f>
        <v>0</v>
      </c>
      <c r="CA491" s="431">
        <f>'Fiche info CDD C.Durée'!$BG$13</f>
        <v>0</v>
      </c>
      <c r="CB491" s="431">
        <f>'Fiche info CDD C.Durée'!$BH$13</f>
        <v>0</v>
      </c>
      <c r="CC491" s="431">
        <f>'Fiche info CDD C.Durée'!$BI$13</f>
        <v>0</v>
      </c>
      <c r="CD491" s="431">
        <f>'Fiche info CDD C.Durée'!$BJ$13</f>
        <v>0</v>
      </c>
      <c r="CE491" s="431">
        <f>'Fiche info CDD C.Durée'!$BK$13</f>
        <v>0</v>
      </c>
      <c r="CF491" s="431">
        <f>'Fiche info CDD C.Durée'!$BL$13</f>
        <v>0</v>
      </c>
      <c r="ED491" s="16" t="str">
        <f t="shared" si="107"/>
        <v>Fiche info CDD C.DuréeF</v>
      </c>
      <c r="EE491" s="16" t="str">
        <f t="shared" si="108"/>
        <v>Fiche info CDD C.Durée</v>
      </c>
      <c r="EF491" s="16" t="str">
        <f t="shared" si="109"/>
        <v>F</v>
      </c>
      <c r="EG491" s="16">
        <f t="shared" si="110"/>
        <v>7</v>
      </c>
      <c r="EH491" s="16" t="str">
        <f t="shared" si="111"/>
        <v>Dimanche</v>
      </c>
      <c r="EI491" s="16" t="str">
        <f t="shared" si="112"/>
        <v/>
      </c>
    </row>
    <row r="492" spans="1:139" x14ac:dyDescent="0.2">
      <c r="A492" s="16" t="str">
        <f t="shared" si="116"/>
        <v>Fiche info CDD C.DuréeG1</v>
      </c>
      <c r="B492" s="16" t="str">
        <f t="shared" si="115"/>
        <v>Fiche info CDD C.Durée</v>
      </c>
      <c r="C492" s="27" t="s">
        <v>236</v>
      </c>
      <c r="D492" s="27">
        <v>1</v>
      </c>
      <c r="E492" s="16" t="s">
        <v>17</v>
      </c>
      <c r="F492" s="34" t="str">
        <f>+IF('Fiche info CDD C.Durée'!$BY$7=0,"",'Fiche info CDD C.Durée'!$BY$7)</f>
        <v/>
      </c>
      <c r="G492" s="16">
        <f t="shared" si="113"/>
        <v>0</v>
      </c>
      <c r="BX492" s="16" t="str">
        <f t="shared" si="114"/>
        <v>Fiche info CDD C.DuréeG1</v>
      </c>
      <c r="BY492" s="431">
        <f>'Fiche info CDD C.Durée'!$BP$7</f>
        <v>0</v>
      </c>
      <c r="BZ492" s="431">
        <f>'Fiche info CDD C.Durée'!$BQ$7</f>
        <v>0</v>
      </c>
      <c r="CA492" s="431">
        <f>'Fiche info CDD C.Durée'!$BR$7</f>
        <v>0</v>
      </c>
      <c r="CB492" s="431">
        <f>'Fiche info CDD C.Durée'!$BS$7</f>
        <v>0</v>
      </c>
      <c r="CC492" s="431">
        <f>'Fiche info CDD C.Durée'!$BT$7</f>
        <v>0</v>
      </c>
      <c r="CD492" s="431">
        <f>'Fiche info CDD C.Durée'!$BU$7</f>
        <v>0</v>
      </c>
      <c r="CE492" s="431">
        <f>'Fiche info CDD C.Durée'!$BV$7</f>
        <v>0</v>
      </c>
      <c r="CF492" s="431">
        <f>'Fiche info CDD C.Durée'!$BW$7</f>
        <v>0</v>
      </c>
      <c r="ED492" s="16" t="str">
        <f t="shared" si="107"/>
        <v>Fiche info CDD C.DuréeG</v>
      </c>
      <c r="EE492" s="16" t="str">
        <f t="shared" si="108"/>
        <v>Fiche info CDD C.Durée</v>
      </c>
      <c r="EF492" s="16" t="str">
        <f t="shared" si="109"/>
        <v>G</v>
      </c>
      <c r="EG492" s="16">
        <f t="shared" si="110"/>
        <v>1</v>
      </c>
      <c r="EH492" s="16" t="str">
        <f t="shared" si="111"/>
        <v>Lundi</v>
      </c>
      <c r="EI492" s="16" t="str">
        <f t="shared" si="112"/>
        <v/>
      </c>
    </row>
    <row r="493" spans="1:139" x14ac:dyDescent="0.2">
      <c r="A493" s="16" t="str">
        <f t="shared" si="116"/>
        <v>Fiche info CDD C.DuréeG2</v>
      </c>
      <c r="B493" s="16" t="str">
        <f t="shared" si="115"/>
        <v>Fiche info CDD C.Durée</v>
      </c>
      <c r="C493" s="27" t="s">
        <v>236</v>
      </c>
      <c r="D493" s="27">
        <v>2</v>
      </c>
      <c r="E493" s="16" t="s">
        <v>18</v>
      </c>
      <c r="F493" s="34" t="str">
        <f>+IF('Fiche info CDD C.Durée'!$BY$8=0,"",'Fiche info CDD C.Durée'!$BY$8)</f>
        <v/>
      </c>
      <c r="G493" s="16">
        <f t="shared" si="113"/>
        <v>0</v>
      </c>
      <c r="BX493" s="16" t="str">
        <f t="shared" si="114"/>
        <v>Fiche info CDD C.DuréeG2</v>
      </c>
      <c r="BY493" s="431">
        <f>'Fiche info CDD C.Durée'!$BP$8</f>
        <v>0</v>
      </c>
      <c r="BZ493" s="431">
        <f>'Fiche info CDD C.Durée'!$BQ$8</f>
        <v>0</v>
      </c>
      <c r="CA493" s="431">
        <f>'Fiche info CDD C.Durée'!$BR$8</f>
        <v>0</v>
      </c>
      <c r="CB493" s="431">
        <f>'Fiche info CDD C.Durée'!$BS$8</f>
        <v>0</v>
      </c>
      <c r="CC493" s="431">
        <f>'Fiche info CDD C.Durée'!$BT$8</f>
        <v>0</v>
      </c>
      <c r="CD493" s="431">
        <f>'Fiche info CDD C.Durée'!$BU$8</f>
        <v>0</v>
      </c>
      <c r="CE493" s="431">
        <f>'Fiche info CDD C.Durée'!$BV$8</f>
        <v>0</v>
      </c>
      <c r="CF493" s="431">
        <f>'Fiche info CDD C.Durée'!$BW$8</f>
        <v>0</v>
      </c>
      <c r="ED493" s="16" t="str">
        <f t="shared" si="107"/>
        <v>Fiche info CDD C.DuréeG</v>
      </c>
      <c r="EE493" s="16" t="str">
        <f t="shared" si="108"/>
        <v>Fiche info CDD C.Durée</v>
      </c>
      <c r="EF493" s="16" t="str">
        <f t="shared" si="109"/>
        <v>G</v>
      </c>
      <c r="EG493" s="16">
        <f t="shared" si="110"/>
        <v>2</v>
      </c>
      <c r="EH493" s="16" t="str">
        <f t="shared" si="111"/>
        <v>Mardi</v>
      </c>
      <c r="EI493" s="16" t="str">
        <f t="shared" si="112"/>
        <v/>
      </c>
    </row>
    <row r="494" spans="1:139" x14ac:dyDescent="0.2">
      <c r="A494" s="16" t="str">
        <f t="shared" si="116"/>
        <v>Fiche info CDD C.DuréeG3</v>
      </c>
      <c r="B494" s="16" t="str">
        <f t="shared" si="115"/>
        <v>Fiche info CDD C.Durée</v>
      </c>
      <c r="C494" s="27" t="s">
        <v>236</v>
      </c>
      <c r="D494" s="27">
        <v>3</v>
      </c>
      <c r="E494" s="16" t="s">
        <v>19</v>
      </c>
      <c r="F494" s="34" t="str">
        <f>+IF('Fiche info CDD C.Durée'!$BY$9=0,"",'Fiche info CDD C.Durée'!$BY$9)</f>
        <v/>
      </c>
      <c r="G494" s="16">
        <f t="shared" si="113"/>
        <v>0</v>
      </c>
      <c r="BX494" s="16" t="str">
        <f t="shared" si="114"/>
        <v>Fiche info CDD C.DuréeG3</v>
      </c>
      <c r="BY494" s="431">
        <f>'Fiche info CDD C.Durée'!$BP$9</f>
        <v>0</v>
      </c>
      <c r="BZ494" s="431">
        <f>'Fiche info CDD C.Durée'!$BQ$9</f>
        <v>0</v>
      </c>
      <c r="CA494" s="431">
        <f>'Fiche info CDD C.Durée'!$BR$9</f>
        <v>0</v>
      </c>
      <c r="CB494" s="431">
        <f>'Fiche info CDD C.Durée'!$BS$9</f>
        <v>0</v>
      </c>
      <c r="CC494" s="431">
        <f>'Fiche info CDD C.Durée'!$BT$9</f>
        <v>0</v>
      </c>
      <c r="CD494" s="431">
        <f>'Fiche info CDD C.Durée'!$BU$9</f>
        <v>0</v>
      </c>
      <c r="CE494" s="431">
        <f>'Fiche info CDD C.Durée'!$BV$9</f>
        <v>0</v>
      </c>
      <c r="CF494" s="431">
        <f>'Fiche info CDD C.Durée'!$BW$9</f>
        <v>0</v>
      </c>
      <c r="ED494" s="16" t="str">
        <f t="shared" si="107"/>
        <v>Fiche info CDD C.DuréeG</v>
      </c>
      <c r="EE494" s="16" t="str">
        <f t="shared" si="108"/>
        <v>Fiche info CDD C.Durée</v>
      </c>
      <c r="EF494" s="16" t="str">
        <f t="shared" si="109"/>
        <v>G</v>
      </c>
      <c r="EG494" s="16">
        <f t="shared" si="110"/>
        <v>3</v>
      </c>
      <c r="EH494" s="16" t="str">
        <f t="shared" si="111"/>
        <v>Mercredi</v>
      </c>
      <c r="EI494" s="16" t="str">
        <f t="shared" si="112"/>
        <v/>
      </c>
    </row>
    <row r="495" spans="1:139" x14ac:dyDescent="0.2">
      <c r="A495" s="16" t="str">
        <f t="shared" si="116"/>
        <v>Fiche info CDD C.DuréeG4</v>
      </c>
      <c r="B495" s="16" t="str">
        <f t="shared" si="115"/>
        <v>Fiche info CDD C.Durée</v>
      </c>
      <c r="C495" s="27" t="s">
        <v>236</v>
      </c>
      <c r="D495" s="27">
        <v>4</v>
      </c>
      <c r="E495" s="16" t="s">
        <v>20</v>
      </c>
      <c r="F495" s="34" t="str">
        <f>+IF('Fiche info CDD C.Durée'!$BY$10=0,"",'Fiche info CDD C.Durée'!$BY$10)</f>
        <v/>
      </c>
      <c r="G495" s="16">
        <f t="shared" si="113"/>
        <v>0</v>
      </c>
      <c r="BX495" s="16" t="str">
        <f t="shared" si="114"/>
        <v>Fiche info CDD C.DuréeG4</v>
      </c>
      <c r="BY495" s="431">
        <f>'Fiche info CDD C.Durée'!$BP$10</f>
        <v>0</v>
      </c>
      <c r="BZ495" s="431">
        <f>'Fiche info CDD C.Durée'!$BQ$10</f>
        <v>0</v>
      </c>
      <c r="CA495" s="431">
        <f>'Fiche info CDD C.Durée'!$BR$10</f>
        <v>0</v>
      </c>
      <c r="CB495" s="431">
        <f>'Fiche info CDD C.Durée'!$BS$10</f>
        <v>0</v>
      </c>
      <c r="CC495" s="431">
        <f>'Fiche info CDD C.Durée'!$BT$10</f>
        <v>0</v>
      </c>
      <c r="CD495" s="431">
        <f>'Fiche info CDD C.Durée'!$BU$10</f>
        <v>0</v>
      </c>
      <c r="CE495" s="431">
        <f>'Fiche info CDD C.Durée'!$BV$10</f>
        <v>0</v>
      </c>
      <c r="CF495" s="431">
        <f>'Fiche info CDD C.Durée'!$BW$10</f>
        <v>0</v>
      </c>
      <c r="ED495" s="16" t="str">
        <f t="shared" si="107"/>
        <v>Fiche info CDD C.DuréeG</v>
      </c>
      <c r="EE495" s="16" t="str">
        <f t="shared" si="108"/>
        <v>Fiche info CDD C.Durée</v>
      </c>
      <c r="EF495" s="16" t="str">
        <f t="shared" si="109"/>
        <v>G</v>
      </c>
      <c r="EG495" s="16">
        <f t="shared" si="110"/>
        <v>4</v>
      </c>
      <c r="EH495" s="16" t="str">
        <f t="shared" si="111"/>
        <v>Jeudi</v>
      </c>
      <c r="EI495" s="16" t="str">
        <f t="shared" si="112"/>
        <v/>
      </c>
    </row>
    <row r="496" spans="1:139" x14ac:dyDescent="0.2">
      <c r="A496" s="16" t="str">
        <f t="shared" si="116"/>
        <v>Fiche info CDD C.DuréeG5</v>
      </c>
      <c r="B496" s="16" t="str">
        <f t="shared" si="115"/>
        <v>Fiche info CDD C.Durée</v>
      </c>
      <c r="C496" s="27" t="s">
        <v>236</v>
      </c>
      <c r="D496" s="27">
        <v>5</v>
      </c>
      <c r="E496" s="16" t="s">
        <v>21</v>
      </c>
      <c r="F496" s="34" t="str">
        <f>+IF('Fiche info CDD C.Durée'!$BY$11=0,"",'Fiche info CDD C.Durée'!$BY$11)</f>
        <v/>
      </c>
      <c r="G496" s="16">
        <f t="shared" si="113"/>
        <v>0</v>
      </c>
      <c r="BX496" s="16" t="str">
        <f t="shared" si="114"/>
        <v>Fiche info CDD C.DuréeG5</v>
      </c>
      <c r="BY496" s="431">
        <f>'Fiche info CDD C.Durée'!$BP$11</f>
        <v>0</v>
      </c>
      <c r="BZ496" s="431">
        <f>'Fiche info CDD C.Durée'!$BQ$11</f>
        <v>0</v>
      </c>
      <c r="CA496" s="431">
        <f>'Fiche info CDD C.Durée'!$BR$11</f>
        <v>0</v>
      </c>
      <c r="CB496" s="431">
        <f>'Fiche info CDD C.Durée'!$BS$11</f>
        <v>0</v>
      </c>
      <c r="CC496" s="431">
        <f>'Fiche info CDD C.Durée'!$BT$11</f>
        <v>0</v>
      </c>
      <c r="CD496" s="431">
        <f>'Fiche info CDD C.Durée'!$BU$11</f>
        <v>0</v>
      </c>
      <c r="CE496" s="431">
        <f>'Fiche info CDD C.Durée'!$BV$11</f>
        <v>0</v>
      </c>
      <c r="CF496" s="431">
        <f>'Fiche info CDD C.Durée'!$BW$11</f>
        <v>0</v>
      </c>
      <c r="ED496" s="16" t="str">
        <f t="shared" si="107"/>
        <v>Fiche info CDD C.DuréeG</v>
      </c>
      <c r="EE496" s="16" t="str">
        <f t="shared" si="108"/>
        <v>Fiche info CDD C.Durée</v>
      </c>
      <c r="EF496" s="16" t="str">
        <f t="shared" si="109"/>
        <v>G</v>
      </c>
      <c r="EG496" s="16">
        <f t="shared" si="110"/>
        <v>5</v>
      </c>
      <c r="EH496" s="16" t="str">
        <f t="shared" si="111"/>
        <v>Vendredi</v>
      </c>
      <c r="EI496" s="16" t="str">
        <f t="shared" si="112"/>
        <v/>
      </c>
    </row>
    <row r="497" spans="1:139" x14ac:dyDescent="0.2">
      <c r="A497" s="16" t="str">
        <f t="shared" si="116"/>
        <v>Fiche info CDD C.DuréeG6</v>
      </c>
      <c r="B497" s="16" t="str">
        <f t="shared" si="115"/>
        <v>Fiche info CDD C.Durée</v>
      </c>
      <c r="C497" s="27" t="s">
        <v>236</v>
      </c>
      <c r="D497" s="27">
        <v>6</v>
      </c>
      <c r="E497" s="16" t="s">
        <v>184</v>
      </c>
      <c r="F497" s="34" t="str">
        <f>+IF('Fiche info CDD C.Durée'!$BY$12=0,"",'Fiche info CDD C.Durée'!$BY$12)</f>
        <v/>
      </c>
      <c r="G497" s="16">
        <f t="shared" si="113"/>
        <v>0</v>
      </c>
      <c r="BX497" s="16" t="str">
        <f t="shared" si="114"/>
        <v>Fiche info CDD C.DuréeG6</v>
      </c>
      <c r="BY497" s="431">
        <f>'Fiche info CDD C.Durée'!$BP$12</f>
        <v>0</v>
      </c>
      <c r="BZ497" s="431">
        <f>'Fiche info CDD C.Durée'!$BQ$12</f>
        <v>0</v>
      </c>
      <c r="CA497" s="431">
        <f>'Fiche info CDD C.Durée'!$BR$12</f>
        <v>0</v>
      </c>
      <c r="CB497" s="431">
        <f>'Fiche info CDD C.Durée'!$BS$12</f>
        <v>0</v>
      </c>
      <c r="CC497" s="431">
        <f>'Fiche info CDD C.Durée'!$BT$12</f>
        <v>0</v>
      </c>
      <c r="CD497" s="431">
        <f>'Fiche info CDD C.Durée'!$BU$12</f>
        <v>0</v>
      </c>
      <c r="CE497" s="431">
        <f>'Fiche info CDD C.Durée'!$BV$12</f>
        <v>0</v>
      </c>
      <c r="CF497" s="431">
        <f>'Fiche info CDD C.Durée'!$BW$12</f>
        <v>0</v>
      </c>
      <c r="ED497" s="16" t="str">
        <f t="shared" si="107"/>
        <v>Fiche info CDD C.DuréeG</v>
      </c>
      <c r="EE497" s="16" t="str">
        <f t="shared" si="108"/>
        <v>Fiche info CDD C.Durée</v>
      </c>
      <c r="EF497" s="16" t="str">
        <f t="shared" si="109"/>
        <v>G</v>
      </c>
      <c r="EG497" s="16">
        <f t="shared" si="110"/>
        <v>6</v>
      </c>
      <c r="EH497" s="16" t="str">
        <f t="shared" si="111"/>
        <v>Samedi</v>
      </c>
      <c r="EI497" s="16" t="str">
        <f t="shared" si="112"/>
        <v/>
      </c>
    </row>
    <row r="498" spans="1:139" x14ac:dyDescent="0.2">
      <c r="A498" s="16" t="str">
        <f t="shared" si="116"/>
        <v>Fiche info CDD C.DuréeG7</v>
      </c>
      <c r="B498" s="16" t="str">
        <f t="shared" si="115"/>
        <v>Fiche info CDD C.Durée</v>
      </c>
      <c r="C498" s="27" t="s">
        <v>236</v>
      </c>
      <c r="D498" s="27">
        <v>7</v>
      </c>
      <c r="E498" s="16" t="s">
        <v>185</v>
      </c>
      <c r="F498" s="34" t="str">
        <f>+IF('Fiche info CDD C.Durée'!$BY$13=0,"",'Fiche info CDD C.Durée'!$BY$13)</f>
        <v/>
      </c>
      <c r="G498" s="16">
        <f t="shared" si="113"/>
        <v>0</v>
      </c>
      <c r="BX498" s="16" t="str">
        <f t="shared" si="114"/>
        <v>Fiche info CDD C.DuréeG7</v>
      </c>
      <c r="BY498" s="431">
        <f>'Fiche info CDD C.Durée'!$BP$13</f>
        <v>0</v>
      </c>
      <c r="BZ498" s="431">
        <f>'Fiche info CDD C.Durée'!$BQ$13</f>
        <v>0</v>
      </c>
      <c r="CA498" s="431">
        <f>'Fiche info CDD C.Durée'!$BR$13</f>
        <v>0</v>
      </c>
      <c r="CB498" s="431">
        <f>'Fiche info CDD C.Durée'!$BS$13</f>
        <v>0</v>
      </c>
      <c r="CC498" s="431">
        <f>'Fiche info CDD C.Durée'!$BT$13</f>
        <v>0</v>
      </c>
      <c r="CD498" s="431">
        <f>'Fiche info CDD C.Durée'!$BU$13</f>
        <v>0</v>
      </c>
      <c r="CE498" s="431">
        <f>'Fiche info CDD C.Durée'!$BV$13</f>
        <v>0</v>
      </c>
      <c r="CF498" s="431">
        <f>'Fiche info CDD C.Durée'!$BW$13</f>
        <v>0</v>
      </c>
      <c r="ED498" s="16" t="str">
        <f t="shared" si="107"/>
        <v>Fiche info CDD C.DuréeG</v>
      </c>
      <c r="EE498" s="16" t="str">
        <f t="shared" si="108"/>
        <v>Fiche info CDD C.Durée</v>
      </c>
      <c r="EF498" s="16" t="str">
        <f t="shared" si="109"/>
        <v>G</v>
      </c>
      <c r="EG498" s="16">
        <f t="shared" si="110"/>
        <v>7</v>
      </c>
      <c r="EH498" s="16" t="str">
        <f t="shared" si="111"/>
        <v>Dimanche</v>
      </c>
      <c r="EI498" s="16" t="str">
        <f t="shared" si="112"/>
        <v/>
      </c>
    </row>
    <row r="499" spans="1:139" x14ac:dyDescent="0.2">
      <c r="A499" s="16" t="str">
        <f t="shared" si="116"/>
        <v>Fiche info CDD C.DuréeH1</v>
      </c>
      <c r="B499" s="16" t="str">
        <f t="shared" si="115"/>
        <v>Fiche info CDD C.Durée</v>
      </c>
      <c r="C499" s="27" t="s">
        <v>237</v>
      </c>
      <c r="D499" s="27">
        <v>1</v>
      </c>
      <c r="E499" s="16" t="s">
        <v>17</v>
      </c>
      <c r="F499" s="34" t="str">
        <f>+IF('Fiche info CDD C.Durée'!$CJ$7=0,"",'Fiche info CDD C.Durée'!$CJ$7)</f>
        <v/>
      </c>
      <c r="G499" s="16">
        <f t="shared" si="113"/>
        <v>0</v>
      </c>
      <c r="BX499" s="16" t="str">
        <f t="shared" si="114"/>
        <v>Fiche info CDD C.DuréeH1</v>
      </c>
      <c r="BY499" s="431">
        <f>'Fiche info CDD C.Durée'!$CA$7</f>
        <v>0</v>
      </c>
      <c r="BZ499" s="431">
        <f>'Fiche info CDD C.Durée'!$CB$7</f>
        <v>0</v>
      </c>
      <c r="CA499" s="431">
        <f>'Fiche info CDD C.Durée'!$CC$7</f>
        <v>0</v>
      </c>
      <c r="CB499" s="431">
        <f>'Fiche info CDD C.Durée'!$CD$7</f>
        <v>0</v>
      </c>
      <c r="CC499" s="431">
        <f>'Fiche info CDD C.Durée'!$CE$7</f>
        <v>0</v>
      </c>
      <c r="CD499" s="431">
        <f>'Fiche info CDD C.Durée'!$CF$7</f>
        <v>0</v>
      </c>
      <c r="CE499" s="431">
        <f>'Fiche info CDD C.Durée'!$CG$7</f>
        <v>0</v>
      </c>
      <c r="CF499" s="431">
        <f>'Fiche info CDD C.Durée'!$CH$7</f>
        <v>0</v>
      </c>
      <c r="ED499" s="16" t="str">
        <f t="shared" ref="ED499:ED562" si="117">+EE499&amp;EF499</f>
        <v>Fiche info CDD C.DuréeH</v>
      </c>
      <c r="EE499" s="16" t="str">
        <f t="shared" si="108"/>
        <v>Fiche info CDD C.Durée</v>
      </c>
      <c r="EF499" s="16" t="str">
        <f t="shared" si="109"/>
        <v>H</v>
      </c>
      <c r="EG499" s="16">
        <f t="shared" si="110"/>
        <v>1</v>
      </c>
      <c r="EH499" s="16" t="str">
        <f t="shared" si="111"/>
        <v>Lundi</v>
      </c>
      <c r="EI499" s="16" t="str">
        <f t="shared" si="112"/>
        <v/>
      </c>
    </row>
    <row r="500" spans="1:139" x14ac:dyDescent="0.2">
      <c r="A500" s="16" t="str">
        <f t="shared" si="116"/>
        <v>Fiche info CDD C.DuréeH2</v>
      </c>
      <c r="B500" s="16" t="str">
        <f t="shared" si="115"/>
        <v>Fiche info CDD C.Durée</v>
      </c>
      <c r="C500" s="27" t="s">
        <v>237</v>
      </c>
      <c r="D500" s="27">
        <v>2</v>
      </c>
      <c r="E500" s="16" t="s">
        <v>18</v>
      </c>
      <c r="F500" s="34" t="str">
        <f>+IF('Fiche info CDD C.Durée'!$CJ$8=0,"",'Fiche info CDD C.Durée'!$CJ$8)</f>
        <v/>
      </c>
      <c r="G500" s="16">
        <f t="shared" si="113"/>
        <v>0</v>
      </c>
      <c r="BX500" s="16" t="str">
        <f t="shared" si="114"/>
        <v>Fiche info CDD C.DuréeH2</v>
      </c>
      <c r="BY500" s="431">
        <f>'Fiche info CDD C.Durée'!$CA$8</f>
        <v>0</v>
      </c>
      <c r="BZ500" s="431">
        <f>'Fiche info CDD C.Durée'!$CB$8</f>
        <v>0</v>
      </c>
      <c r="CA500" s="431">
        <f>'Fiche info CDD C.Durée'!$CC$8</f>
        <v>0</v>
      </c>
      <c r="CB500" s="431">
        <f>'Fiche info CDD C.Durée'!$CD$8</f>
        <v>0</v>
      </c>
      <c r="CC500" s="431">
        <f>'Fiche info CDD C.Durée'!$CE$8</f>
        <v>0</v>
      </c>
      <c r="CD500" s="431">
        <f>'Fiche info CDD C.Durée'!$CF$8</f>
        <v>0</v>
      </c>
      <c r="CE500" s="431">
        <f>'Fiche info CDD C.Durée'!$CG$8</f>
        <v>0</v>
      </c>
      <c r="CF500" s="431">
        <f>'Fiche info CDD C.Durée'!$CH$8</f>
        <v>0</v>
      </c>
      <c r="ED500" s="16" t="str">
        <f t="shared" si="117"/>
        <v>Fiche info CDD C.DuréeH</v>
      </c>
      <c r="EE500" s="16" t="str">
        <f t="shared" si="108"/>
        <v>Fiche info CDD C.Durée</v>
      </c>
      <c r="EF500" s="16" t="str">
        <f t="shared" si="109"/>
        <v>H</v>
      </c>
      <c r="EG500" s="16">
        <f t="shared" si="110"/>
        <v>2</v>
      </c>
      <c r="EH500" s="16" t="str">
        <f t="shared" si="111"/>
        <v>Mardi</v>
      </c>
      <c r="EI500" s="16" t="str">
        <f t="shared" si="112"/>
        <v/>
      </c>
    </row>
    <row r="501" spans="1:139" x14ac:dyDescent="0.2">
      <c r="A501" s="16" t="str">
        <f t="shared" si="116"/>
        <v>Fiche info CDD C.DuréeH3</v>
      </c>
      <c r="B501" s="16" t="str">
        <f t="shared" si="115"/>
        <v>Fiche info CDD C.Durée</v>
      </c>
      <c r="C501" s="27" t="s">
        <v>237</v>
      </c>
      <c r="D501" s="27">
        <v>3</v>
      </c>
      <c r="E501" s="16" t="s">
        <v>19</v>
      </c>
      <c r="F501" s="34" t="str">
        <f>+IF('Fiche info CDD C.Durée'!$CJ$9=0,"",'Fiche info CDD C.Durée'!$CJ$9)</f>
        <v/>
      </c>
      <c r="G501" s="16">
        <f t="shared" si="113"/>
        <v>0</v>
      </c>
      <c r="BX501" s="16" t="str">
        <f t="shared" si="114"/>
        <v>Fiche info CDD C.DuréeH3</v>
      </c>
      <c r="BY501" s="431">
        <f>'Fiche info CDD C.Durée'!$CA$9</f>
        <v>0</v>
      </c>
      <c r="BZ501" s="431">
        <f>'Fiche info CDD C.Durée'!$CB$9</f>
        <v>0</v>
      </c>
      <c r="CA501" s="431">
        <f>'Fiche info CDD C.Durée'!$CC$9</f>
        <v>0</v>
      </c>
      <c r="CB501" s="431">
        <f>'Fiche info CDD C.Durée'!$CD$9</f>
        <v>0</v>
      </c>
      <c r="CC501" s="431">
        <f>'Fiche info CDD C.Durée'!$CE$9</f>
        <v>0</v>
      </c>
      <c r="CD501" s="431">
        <f>'Fiche info CDD C.Durée'!$CF$9</f>
        <v>0</v>
      </c>
      <c r="CE501" s="431">
        <f>'Fiche info CDD C.Durée'!$CG$9</f>
        <v>0</v>
      </c>
      <c r="CF501" s="431">
        <f>'Fiche info CDD C.Durée'!$CH$9</f>
        <v>0</v>
      </c>
      <c r="ED501" s="16" t="str">
        <f t="shared" si="117"/>
        <v>Fiche info CDD C.DuréeH</v>
      </c>
      <c r="EE501" s="16" t="str">
        <f t="shared" si="108"/>
        <v>Fiche info CDD C.Durée</v>
      </c>
      <c r="EF501" s="16" t="str">
        <f t="shared" si="109"/>
        <v>H</v>
      </c>
      <c r="EG501" s="16">
        <f t="shared" si="110"/>
        <v>3</v>
      </c>
      <c r="EH501" s="16" t="str">
        <f t="shared" si="111"/>
        <v>Mercredi</v>
      </c>
      <c r="EI501" s="16" t="str">
        <f t="shared" si="112"/>
        <v/>
      </c>
    </row>
    <row r="502" spans="1:139" x14ac:dyDescent="0.2">
      <c r="A502" s="16" t="str">
        <f t="shared" si="116"/>
        <v>Fiche info CDD C.DuréeH4</v>
      </c>
      <c r="B502" s="16" t="str">
        <f t="shared" si="115"/>
        <v>Fiche info CDD C.Durée</v>
      </c>
      <c r="C502" s="27" t="s">
        <v>237</v>
      </c>
      <c r="D502" s="27">
        <v>4</v>
      </c>
      <c r="E502" s="16" t="s">
        <v>20</v>
      </c>
      <c r="F502" s="34" t="str">
        <f>+IF('Fiche info CDD C.Durée'!$CJ$10=0,"",'Fiche info CDD C.Durée'!$CJ$10)</f>
        <v/>
      </c>
      <c r="G502" s="16">
        <f t="shared" si="113"/>
        <v>0</v>
      </c>
      <c r="BX502" s="16" t="str">
        <f t="shared" si="114"/>
        <v>Fiche info CDD C.DuréeH4</v>
      </c>
      <c r="BY502" s="431">
        <f>'Fiche info CDD C.Durée'!$CA$10</f>
        <v>0</v>
      </c>
      <c r="BZ502" s="431">
        <f>'Fiche info CDD C.Durée'!$CB$10</f>
        <v>0</v>
      </c>
      <c r="CA502" s="431">
        <f>'Fiche info CDD C.Durée'!$CC$10</f>
        <v>0</v>
      </c>
      <c r="CB502" s="431">
        <f>'Fiche info CDD C.Durée'!$CD$10</f>
        <v>0</v>
      </c>
      <c r="CC502" s="431">
        <f>'Fiche info CDD C.Durée'!$CE$10</f>
        <v>0</v>
      </c>
      <c r="CD502" s="431">
        <f>'Fiche info CDD C.Durée'!$CF$10</f>
        <v>0</v>
      </c>
      <c r="CE502" s="431">
        <f>'Fiche info CDD C.Durée'!$CG$10</f>
        <v>0</v>
      </c>
      <c r="CF502" s="431">
        <f>'Fiche info CDD C.Durée'!$CH$10</f>
        <v>0</v>
      </c>
      <c r="ED502" s="16" t="str">
        <f t="shared" si="117"/>
        <v>Fiche info CDD C.DuréeH</v>
      </c>
      <c r="EE502" s="16" t="str">
        <f t="shared" si="108"/>
        <v>Fiche info CDD C.Durée</v>
      </c>
      <c r="EF502" s="16" t="str">
        <f t="shared" si="109"/>
        <v>H</v>
      </c>
      <c r="EG502" s="16">
        <f t="shared" si="110"/>
        <v>4</v>
      </c>
      <c r="EH502" s="16" t="str">
        <f t="shared" si="111"/>
        <v>Jeudi</v>
      </c>
      <c r="EI502" s="16" t="str">
        <f t="shared" si="112"/>
        <v/>
      </c>
    </row>
    <row r="503" spans="1:139" x14ac:dyDescent="0.2">
      <c r="A503" s="16" t="str">
        <f t="shared" si="116"/>
        <v>Fiche info CDD C.DuréeH5</v>
      </c>
      <c r="B503" s="16" t="str">
        <f t="shared" si="115"/>
        <v>Fiche info CDD C.Durée</v>
      </c>
      <c r="C503" s="27" t="s">
        <v>237</v>
      </c>
      <c r="D503" s="27">
        <v>5</v>
      </c>
      <c r="E503" s="16" t="s">
        <v>21</v>
      </c>
      <c r="F503" s="34" t="str">
        <f>+IF('Fiche info CDD C.Durée'!$CJ$11=0,"",'Fiche info CDD C.Durée'!$CJ$11)</f>
        <v/>
      </c>
      <c r="G503" s="16">
        <f t="shared" si="113"/>
        <v>0</v>
      </c>
      <c r="BX503" s="16" t="str">
        <f t="shared" si="114"/>
        <v>Fiche info CDD C.DuréeH5</v>
      </c>
      <c r="BY503" s="431">
        <f>'Fiche info CDD C.Durée'!$CA$11</f>
        <v>0</v>
      </c>
      <c r="BZ503" s="431">
        <f>'Fiche info CDD C.Durée'!$CB$11</f>
        <v>0</v>
      </c>
      <c r="CA503" s="431">
        <f>'Fiche info CDD C.Durée'!$CC$11</f>
        <v>0</v>
      </c>
      <c r="CB503" s="431">
        <f>'Fiche info CDD C.Durée'!$CD$11</f>
        <v>0</v>
      </c>
      <c r="CC503" s="431">
        <f>'Fiche info CDD C.Durée'!$CE$11</f>
        <v>0</v>
      </c>
      <c r="CD503" s="431">
        <f>'Fiche info CDD C.Durée'!$CF$11</f>
        <v>0</v>
      </c>
      <c r="CE503" s="431">
        <f>'Fiche info CDD C.Durée'!$CG$11</f>
        <v>0</v>
      </c>
      <c r="CF503" s="431">
        <f>'Fiche info CDD C.Durée'!$CH$11</f>
        <v>0</v>
      </c>
      <c r="ED503" s="16" t="str">
        <f t="shared" si="117"/>
        <v>Fiche info CDD C.DuréeH</v>
      </c>
      <c r="EE503" s="16" t="str">
        <f t="shared" si="108"/>
        <v>Fiche info CDD C.Durée</v>
      </c>
      <c r="EF503" s="16" t="str">
        <f t="shared" si="109"/>
        <v>H</v>
      </c>
      <c r="EG503" s="16">
        <f t="shared" si="110"/>
        <v>5</v>
      </c>
      <c r="EH503" s="16" t="str">
        <f t="shared" si="111"/>
        <v>Vendredi</v>
      </c>
      <c r="EI503" s="16" t="str">
        <f t="shared" si="112"/>
        <v/>
      </c>
    </row>
    <row r="504" spans="1:139" x14ac:dyDescent="0.2">
      <c r="A504" s="16" t="str">
        <f t="shared" si="116"/>
        <v>Fiche info CDD C.DuréeH6</v>
      </c>
      <c r="B504" s="16" t="str">
        <f t="shared" si="115"/>
        <v>Fiche info CDD C.Durée</v>
      </c>
      <c r="C504" s="27" t="s">
        <v>237</v>
      </c>
      <c r="D504" s="27">
        <v>6</v>
      </c>
      <c r="E504" s="16" t="s">
        <v>184</v>
      </c>
      <c r="F504" s="34" t="str">
        <f>+IF('Fiche info CDD C.Durée'!$CJ$12=0,"",'Fiche info CDD C.Durée'!$CJ$12)</f>
        <v/>
      </c>
      <c r="G504" s="16">
        <f t="shared" si="113"/>
        <v>0</v>
      </c>
      <c r="BX504" s="16" t="str">
        <f t="shared" si="114"/>
        <v>Fiche info CDD C.DuréeH6</v>
      </c>
      <c r="BY504" s="431">
        <f>'Fiche info CDD C.Durée'!$CA$12</f>
        <v>0</v>
      </c>
      <c r="BZ504" s="431">
        <f>'Fiche info CDD C.Durée'!$CB$12</f>
        <v>0</v>
      </c>
      <c r="CA504" s="431">
        <f>'Fiche info CDD C.Durée'!$CC$12</f>
        <v>0</v>
      </c>
      <c r="CB504" s="431">
        <f>'Fiche info CDD C.Durée'!$CD$12</f>
        <v>0</v>
      </c>
      <c r="CC504" s="431">
        <f>'Fiche info CDD C.Durée'!$CE$12</f>
        <v>0</v>
      </c>
      <c r="CD504" s="431">
        <f>'Fiche info CDD C.Durée'!$CF$12</f>
        <v>0</v>
      </c>
      <c r="CE504" s="431">
        <f>'Fiche info CDD C.Durée'!$CG$12</f>
        <v>0</v>
      </c>
      <c r="CF504" s="431">
        <f>'Fiche info CDD C.Durée'!$CH$12</f>
        <v>0</v>
      </c>
      <c r="ED504" s="16" t="str">
        <f t="shared" si="117"/>
        <v>Fiche info CDD C.DuréeH</v>
      </c>
      <c r="EE504" s="16" t="str">
        <f t="shared" si="108"/>
        <v>Fiche info CDD C.Durée</v>
      </c>
      <c r="EF504" s="16" t="str">
        <f t="shared" si="109"/>
        <v>H</v>
      </c>
      <c r="EG504" s="16">
        <f t="shared" si="110"/>
        <v>6</v>
      </c>
      <c r="EH504" s="16" t="str">
        <f t="shared" si="111"/>
        <v>Samedi</v>
      </c>
      <c r="EI504" s="16" t="str">
        <f t="shared" si="112"/>
        <v/>
      </c>
    </row>
    <row r="505" spans="1:139" x14ac:dyDescent="0.2">
      <c r="A505" s="16" t="str">
        <f t="shared" si="116"/>
        <v>Fiche info CDD C.DuréeH7</v>
      </c>
      <c r="B505" s="16" t="str">
        <f t="shared" si="115"/>
        <v>Fiche info CDD C.Durée</v>
      </c>
      <c r="C505" s="27" t="s">
        <v>237</v>
      </c>
      <c r="D505" s="27">
        <v>7</v>
      </c>
      <c r="E505" s="16" t="s">
        <v>185</v>
      </c>
      <c r="F505" s="34" t="str">
        <f>+IF('Fiche info CDD C.Durée'!$CJ$13=0,"",'Fiche info CDD C.Durée'!$CJ$13)</f>
        <v/>
      </c>
      <c r="G505" s="16">
        <f t="shared" si="113"/>
        <v>0</v>
      </c>
      <c r="BX505" s="16" t="str">
        <f t="shared" si="114"/>
        <v>Fiche info CDD C.DuréeH7</v>
      </c>
      <c r="BY505" s="431">
        <f>'Fiche info CDD C.Durée'!$CA$13</f>
        <v>0</v>
      </c>
      <c r="BZ505" s="431">
        <f>'Fiche info CDD C.Durée'!$CB$13</f>
        <v>0</v>
      </c>
      <c r="CA505" s="431">
        <f>'Fiche info CDD C.Durée'!$CC$13</f>
        <v>0</v>
      </c>
      <c r="CB505" s="431">
        <f>'Fiche info CDD C.Durée'!$CD$13</f>
        <v>0</v>
      </c>
      <c r="CC505" s="431">
        <f>'Fiche info CDD C.Durée'!$CE$13</f>
        <v>0</v>
      </c>
      <c r="CD505" s="431">
        <f>'Fiche info CDD C.Durée'!$CF$13</f>
        <v>0</v>
      </c>
      <c r="CE505" s="431">
        <f>'Fiche info CDD C.Durée'!$CG$13</f>
        <v>0</v>
      </c>
      <c r="CF505" s="431">
        <f>'Fiche info CDD C.Durée'!$CH$13</f>
        <v>0</v>
      </c>
      <c r="ED505" s="16" t="str">
        <f t="shared" si="117"/>
        <v>Fiche info CDD C.DuréeH</v>
      </c>
      <c r="EE505" s="16" t="str">
        <f t="shared" si="108"/>
        <v>Fiche info CDD C.Durée</v>
      </c>
      <c r="EF505" s="16" t="str">
        <f t="shared" si="109"/>
        <v>H</v>
      </c>
      <c r="EG505" s="16">
        <f t="shared" si="110"/>
        <v>7</v>
      </c>
      <c r="EH505" s="16" t="str">
        <f t="shared" si="111"/>
        <v>Dimanche</v>
      </c>
      <c r="EI505" s="16" t="str">
        <f t="shared" si="112"/>
        <v/>
      </c>
    </row>
    <row r="506" spans="1:139" x14ac:dyDescent="0.2">
      <c r="A506" s="16" t="str">
        <f t="shared" si="116"/>
        <v>Fiche info CDD_ Avenant 1A1</v>
      </c>
      <c r="B506" s="16" t="str">
        <f>+$P$11</f>
        <v>Fiche info CDD_ Avenant 1</v>
      </c>
      <c r="C506" s="27" t="s">
        <v>226</v>
      </c>
      <c r="D506" s="27">
        <v>1</v>
      </c>
      <c r="E506" s="16" t="s">
        <v>17</v>
      </c>
      <c r="F506" s="34" t="str">
        <f>IF('Fiche info CDD_ Avenant 1'!$K$7=0,"",'Fiche info CDD_ Avenant 1'!$K$7)</f>
        <v/>
      </c>
      <c r="G506" s="34">
        <f t="shared" si="113"/>
        <v>0</v>
      </c>
      <c r="BX506" s="16" t="str">
        <f t="shared" si="114"/>
        <v>Fiche info CDD_ Avenant 1A1</v>
      </c>
      <c r="BY506" s="431">
        <f>'Fiche info CDD_ Avenant 1'!$B$7</f>
        <v>0</v>
      </c>
      <c r="BZ506" s="431">
        <f>'Fiche info CDD_ Avenant 1'!$C$7</f>
        <v>0</v>
      </c>
      <c r="CA506" s="431">
        <f>'Fiche info CDD_ Avenant 1'!$D$7</f>
        <v>0</v>
      </c>
      <c r="CB506" s="431">
        <f>'Fiche info CDD_ Avenant 1'!$E$7</f>
        <v>0</v>
      </c>
      <c r="CC506" s="431">
        <f>'Fiche info CDD_ Avenant 1'!$F$7</f>
        <v>0</v>
      </c>
      <c r="CD506" s="431">
        <f>'Fiche info CDD_ Avenant 1'!$G$7</f>
        <v>0</v>
      </c>
      <c r="CE506" s="431">
        <f>'Fiche info CDD_ Avenant 1'!$H$7</f>
        <v>0</v>
      </c>
      <c r="CF506" s="431">
        <f>'Fiche info CDD_ Avenant 1'!$I$7</f>
        <v>0</v>
      </c>
      <c r="ED506" s="16" t="str">
        <f t="shared" si="117"/>
        <v>Fiche info CDD_ Avenant 1A</v>
      </c>
      <c r="EE506" s="16" t="str">
        <f t="shared" si="108"/>
        <v>Fiche info CDD_ Avenant 1</v>
      </c>
      <c r="EF506" s="16" t="str">
        <f t="shared" si="109"/>
        <v>A</v>
      </c>
      <c r="EG506" s="16">
        <f t="shared" si="110"/>
        <v>1</v>
      </c>
      <c r="EH506" s="16" t="str">
        <f t="shared" si="111"/>
        <v>Lundi</v>
      </c>
      <c r="EI506" s="16" t="str">
        <f t="shared" si="112"/>
        <v/>
      </c>
    </row>
    <row r="507" spans="1:139" x14ac:dyDescent="0.2">
      <c r="A507" s="16" t="str">
        <f t="shared" si="116"/>
        <v>Fiche info CDD_ Avenant 1A2</v>
      </c>
      <c r="B507" s="16" t="str">
        <f t="shared" ref="B507:B561" si="118">+$P$11</f>
        <v>Fiche info CDD_ Avenant 1</v>
      </c>
      <c r="C507" s="27" t="s">
        <v>226</v>
      </c>
      <c r="D507" s="27">
        <v>2</v>
      </c>
      <c r="E507" s="16" t="s">
        <v>18</v>
      </c>
      <c r="F507" s="34" t="str">
        <f>IF('Fiche info CDD_ Avenant 1'!$K$8=0,"",'Fiche info CDD_ Avenant 1'!$K$8)</f>
        <v/>
      </c>
      <c r="G507" s="16">
        <f t="shared" si="113"/>
        <v>0</v>
      </c>
      <c r="BX507" s="16" t="str">
        <f t="shared" si="114"/>
        <v>Fiche info CDD_ Avenant 1A2</v>
      </c>
      <c r="BY507" s="431">
        <f>'Fiche info CDD_ Avenant 1'!$B$8</f>
        <v>0</v>
      </c>
      <c r="BZ507" s="431">
        <f>'Fiche info CDD_ Avenant 1'!$C$8</f>
        <v>0</v>
      </c>
      <c r="CA507" s="431">
        <f>'Fiche info CDD_ Avenant 1'!$D$8</f>
        <v>0</v>
      </c>
      <c r="CB507" s="431">
        <f>'Fiche info CDD_ Avenant 1'!$E$8</f>
        <v>0</v>
      </c>
      <c r="CC507" s="431">
        <f>'Fiche info CDD_ Avenant 1'!$F$8</f>
        <v>0</v>
      </c>
      <c r="CD507" s="431">
        <f>'Fiche info CDD_ Avenant 1'!$G$8</f>
        <v>0</v>
      </c>
      <c r="CE507" s="431">
        <f>'Fiche info CDD_ Avenant 1'!$H$8</f>
        <v>0</v>
      </c>
      <c r="CF507" s="431">
        <f>'Fiche info CDD_ Avenant 1'!$I$8</f>
        <v>0</v>
      </c>
      <c r="ED507" s="16" t="str">
        <f t="shared" si="117"/>
        <v>Fiche info CDD_ Avenant 1A</v>
      </c>
      <c r="EE507" s="16" t="str">
        <f t="shared" si="108"/>
        <v>Fiche info CDD_ Avenant 1</v>
      </c>
      <c r="EF507" s="16" t="str">
        <f t="shared" si="109"/>
        <v>A</v>
      </c>
      <c r="EG507" s="16">
        <f t="shared" si="110"/>
        <v>2</v>
      </c>
      <c r="EH507" s="16" t="str">
        <f t="shared" si="111"/>
        <v>Mardi</v>
      </c>
      <c r="EI507" s="16" t="str">
        <f t="shared" si="112"/>
        <v/>
      </c>
    </row>
    <row r="508" spans="1:139" x14ac:dyDescent="0.2">
      <c r="A508" s="16" t="str">
        <f t="shared" si="116"/>
        <v>Fiche info CDD_ Avenant 1A3</v>
      </c>
      <c r="B508" s="16" t="str">
        <f t="shared" si="118"/>
        <v>Fiche info CDD_ Avenant 1</v>
      </c>
      <c r="C508" s="27" t="s">
        <v>226</v>
      </c>
      <c r="D508" s="27">
        <v>3</v>
      </c>
      <c r="E508" s="16" t="s">
        <v>19</v>
      </c>
      <c r="F508" s="34" t="str">
        <f>IF('Fiche info CDD_ Avenant 1'!$K$9=0,"",'Fiche info CDD_ Avenant 1'!$K$9)</f>
        <v/>
      </c>
      <c r="G508" s="16">
        <f t="shared" si="113"/>
        <v>0</v>
      </c>
      <c r="BX508" s="16" t="str">
        <f t="shared" si="114"/>
        <v>Fiche info CDD_ Avenant 1A3</v>
      </c>
      <c r="BY508" s="431">
        <f>'Fiche info CDD_ Avenant 1'!$B$9</f>
        <v>0</v>
      </c>
      <c r="BZ508" s="431">
        <f>'Fiche info CDD_ Avenant 1'!$C$9</f>
        <v>0</v>
      </c>
      <c r="CA508" s="431">
        <f>'Fiche info CDD_ Avenant 1'!$D$9</f>
        <v>0</v>
      </c>
      <c r="CB508" s="431">
        <f>'Fiche info CDD_ Avenant 1'!$E$9</f>
        <v>0</v>
      </c>
      <c r="CC508" s="431">
        <f>'Fiche info CDD_ Avenant 1'!$F$9</f>
        <v>0</v>
      </c>
      <c r="CD508" s="431">
        <f>'Fiche info CDD_ Avenant 1'!$G$9</f>
        <v>0</v>
      </c>
      <c r="CE508" s="431">
        <f>'Fiche info CDD_ Avenant 1'!$H$9</f>
        <v>0</v>
      </c>
      <c r="CF508" s="431">
        <f>'Fiche info CDD_ Avenant 1'!$I$9</f>
        <v>0</v>
      </c>
      <c r="ED508" s="16" t="str">
        <f t="shared" si="117"/>
        <v>Fiche info CDD_ Avenant 1A</v>
      </c>
      <c r="EE508" s="16" t="str">
        <f t="shared" si="108"/>
        <v>Fiche info CDD_ Avenant 1</v>
      </c>
      <c r="EF508" s="16" t="str">
        <f t="shared" si="109"/>
        <v>A</v>
      </c>
      <c r="EG508" s="16">
        <f t="shared" si="110"/>
        <v>3</v>
      </c>
      <c r="EH508" s="16" t="str">
        <f t="shared" si="111"/>
        <v>Mercredi</v>
      </c>
      <c r="EI508" s="16" t="str">
        <f t="shared" si="112"/>
        <v/>
      </c>
    </row>
    <row r="509" spans="1:139" x14ac:dyDescent="0.2">
      <c r="A509" s="16" t="str">
        <f t="shared" si="116"/>
        <v>Fiche info CDD_ Avenant 1A4</v>
      </c>
      <c r="B509" s="16" t="str">
        <f t="shared" si="118"/>
        <v>Fiche info CDD_ Avenant 1</v>
      </c>
      <c r="C509" s="27" t="s">
        <v>226</v>
      </c>
      <c r="D509" s="27">
        <v>4</v>
      </c>
      <c r="E509" s="16" t="s">
        <v>20</v>
      </c>
      <c r="F509" s="34" t="str">
        <f>IF('Fiche info CDD_ Avenant 1'!$K$10=0,"",'Fiche info CDD_ Avenant 1'!$K$10)</f>
        <v/>
      </c>
      <c r="G509" s="16">
        <f t="shared" si="113"/>
        <v>0</v>
      </c>
      <c r="BX509" s="16" t="str">
        <f t="shared" si="114"/>
        <v>Fiche info CDD_ Avenant 1A4</v>
      </c>
      <c r="BY509" s="431">
        <f>'Fiche info CDD_ Avenant 1'!$B$10</f>
        <v>0</v>
      </c>
      <c r="BZ509" s="431">
        <f>'Fiche info CDD_ Avenant 1'!$C$10</f>
        <v>0</v>
      </c>
      <c r="CA509" s="431">
        <f>'Fiche info CDD_ Avenant 1'!$D$10</f>
        <v>0</v>
      </c>
      <c r="CB509" s="431">
        <f>'Fiche info CDD_ Avenant 1'!$E$10</f>
        <v>0</v>
      </c>
      <c r="CC509" s="431">
        <f>'Fiche info CDD_ Avenant 1'!$F$10</f>
        <v>0</v>
      </c>
      <c r="CD509" s="431">
        <f>'Fiche info CDD_ Avenant 1'!$G$10</f>
        <v>0</v>
      </c>
      <c r="CE509" s="431">
        <f>'Fiche info CDD_ Avenant 1'!$H$10</f>
        <v>0</v>
      </c>
      <c r="CF509" s="431">
        <f>'Fiche info CDD_ Avenant 1'!$I$10</f>
        <v>0</v>
      </c>
      <c r="ED509" s="16" t="str">
        <f t="shared" si="117"/>
        <v>Fiche info CDD_ Avenant 1A</v>
      </c>
      <c r="EE509" s="16" t="str">
        <f t="shared" si="108"/>
        <v>Fiche info CDD_ Avenant 1</v>
      </c>
      <c r="EF509" s="16" t="str">
        <f t="shared" si="109"/>
        <v>A</v>
      </c>
      <c r="EG509" s="16">
        <f t="shared" si="110"/>
        <v>4</v>
      </c>
      <c r="EH509" s="16" t="str">
        <f t="shared" si="111"/>
        <v>Jeudi</v>
      </c>
      <c r="EI509" s="16" t="str">
        <f t="shared" si="112"/>
        <v/>
      </c>
    </row>
    <row r="510" spans="1:139" x14ac:dyDescent="0.2">
      <c r="A510" s="16" t="str">
        <f t="shared" si="116"/>
        <v>Fiche info CDD_ Avenant 1A5</v>
      </c>
      <c r="B510" s="16" t="str">
        <f t="shared" si="118"/>
        <v>Fiche info CDD_ Avenant 1</v>
      </c>
      <c r="C510" s="27" t="s">
        <v>226</v>
      </c>
      <c r="D510" s="27">
        <v>5</v>
      </c>
      <c r="E510" s="16" t="s">
        <v>21</v>
      </c>
      <c r="F510" s="34" t="str">
        <f>IF('Fiche info CDD_ Avenant 1'!$K$11=0,"",'Fiche info CDD_ Avenant 1'!$K$11)</f>
        <v/>
      </c>
      <c r="G510" s="16">
        <f t="shared" si="113"/>
        <v>0</v>
      </c>
      <c r="BX510" s="16" t="str">
        <f t="shared" si="114"/>
        <v>Fiche info CDD_ Avenant 1A5</v>
      </c>
      <c r="BY510" s="431">
        <f>'Fiche info CDD_ Avenant 1'!$B$11</f>
        <v>0</v>
      </c>
      <c r="BZ510" s="431">
        <f>'Fiche info CDD_ Avenant 1'!$C$11</f>
        <v>0</v>
      </c>
      <c r="CA510" s="431">
        <f>'Fiche info CDD_ Avenant 1'!$D$11</f>
        <v>0</v>
      </c>
      <c r="CB510" s="431">
        <f>'Fiche info CDD_ Avenant 1'!$E$11</f>
        <v>0</v>
      </c>
      <c r="CC510" s="431">
        <f>'Fiche info CDD_ Avenant 1'!$F$11</f>
        <v>0</v>
      </c>
      <c r="CD510" s="431">
        <f>'Fiche info CDD_ Avenant 1'!$G$11</f>
        <v>0</v>
      </c>
      <c r="CE510" s="431">
        <f>'Fiche info CDD_ Avenant 1'!$H$11</f>
        <v>0</v>
      </c>
      <c r="CF510" s="431">
        <f>'Fiche info CDD_ Avenant 1'!$I$11</f>
        <v>0</v>
      </c>
      <c r="ED510" s="16" t="str">
        <f t="shared" si="117"/>
        <v>Fiche info CDD_ Avenant 1A</v>
      </c>
      <c r="EE510" s="16" t="str">
        <f t="shared" si="108"/>
        <v>Fiche info CDD_ Avenant 1</v>
      </c>
      <c r="EF510" s="16" t="str">
        <f t="shared" si="109"/>
        <v>A</v>
      </c>
      <c r="EG510" s="16">
        <f t="shared" si="110"/>
        <v>5</v>
      </c>
      <c r="EH510" s="16" t="str">
        <f t="shared" si="111"/>
        <v>Vendredi</v>
      </c>
      <c r="EI510" s="16" t="str">
        <f t="shared" si="112"/>
        <v/>
      </c>
    </row>
    <row r="511" spans="1:139" x14ac:dyDescent="0.2">
      <c r="A511" s="16" t="str">
        <f t="shared" si="116"/>
        <v>Fiche info CDD_ Avenant 1A6</v>
      </c>
      <c r="B511" s="16" t="str">
        <f t="shared" si="118"/>
        <v>Fiche info CDD_ Avenant 1</v>
      </c>
      <c r="C511" s="27" t="s">
        <v>226</v>
      </c>
      <c r="D511" s="27">
        <v>6</v>
      </c>
      <c r="E511" s="16" t="s">
        <v>184</v>
      </c>
      <c r="F511" s="34" t="str">
        <f>IF('Fiche info CDD_ Avenant 1'!$K$12=0,"",'Fiche info CDD_ Avenant 1'!$K$12)</f>
        <v/>
      </c>
      <c r="G511" s="16">
        <f t="shared" si="113"/>
        <v>0</v>
      </c>
      <c r="BX511" s="16" t="str">
        <f t="shared" si="114"/>
        <v>Fiche info CDD_ Avenant 1A6</v>
      </c>
      <c r="BY511" s="431">
        <f>'Fiche info CDD_ Avenant 1'!$B$12</f>
        <v>0</v>
      </c>
      <c r="BZ511" s="431">
        <f>'Fiche info CDD_ Avenant 1'!$C$12</f>
        <v>0</v>
      </c>
      <c r="CA511" s="431">
        <f>'Fiche info CDD_ Avenant 1'!$D$12</f>
        <v>0</v>
      </c>
      <c r="CB511" s="431">
        <f>'Fiche info CDD_ Avenant 1'!$E$12</f>
        <v>0</v>
      </c>
      <c r="CC511" s="431">
        <f>'Fiche info CDD_ Avenant 1'!$F$12</f>
        <v>0</v>
      </c>
      <c r="CD511" s="431">
        <f>'Fiche info CDD_ Avenant 1'!$G$12</f>
        <v>0</v>
      </c>
      <c r="CE511" s="431">
        <f>'Fiche info CDD_ Avenant 1'!$H$12</f>
        <v>0</v>
      </c>
      <c r="CF511" s="431">
        <f>'Fiche info CDD_ Avenant 1'!$I$12</f>
        <v>0</v>
      </c>
      <c r="ED511" s="16" t="str">
        <f t="shared" si="117"/>
        <v>Fiche info CDD_ Avenant 1A</v>
      </c>
      <c r="EE511" s="16" t="str">
        <f t="shared" si="108"/>
        <v>Fiche info CDD_ Avenant 1</v>
      </c>
      <c r="EF511" s="16" t="str">
        <f t="shared" si="109"/>
        <v>A</v>
      </c>
      <c r="EG511" s="16">
        <f t="shared" si="110"/>
        <v>6</v>
      </c>
      <c r="EH511" s="16" t="str">
        <f t="shared" si="111"/>
        <v>Samedi</v>
      </c>
      <c r="EI511" s="16" t="str">
        <f t="shared" si="112"/>
        <v/>
      </c>
    </row>
    <row r="512" spans="1:139" x14ac:dyDescent="0.2">
      <c r="A512" s="16" t="str">
        <f t="shared" si="116"/>
        <v>Fiche info CDD_ Avenant 1A7</v>
      </c>
      <c r="B512" s="16" t="str">
        <f t="shared" si="118"/>
        <v>Fiche info CDD_ Avenant 1</v>
      </c>
      <c r="C512" s="27" t="s">
        <v>226</v>
      </c>
      <c r="D512" s="27">
        <v>7</v>
      </c>
      <c r="E512" s="16" t="s">
        <v>185</v>
      </c>
      <c r="F512" s="34" t="str">
        <f>IF('Fiche info CDD_ Avenant 1'!$K$13=0,"",'Fiche info CDD_ Avenant 1'!$K$13)</f>
        <v/>
      </c>
      <c r="G512" s="16">
        <f t="shared" si="113"/>
        <v>0</v>
      </c>
      <c r="BX512" s="16" t="str">
        <f t="shared" si="114"/>
        <v>Fiche info CDD_ Avenant 1A7</v>
      </c>
      <c r="BY512" s="431">
        <f>'Fiche info CDD_ Avenant 1'!$B$13</f>
        <v>0</v>
      </c>
      <c r="BZ512" s="431">
        <f>'Fiche info CDD_ Avenant 1'!$C$13</f>
        <v>0</v>
      </c>
      <c r="CA512" s="431">
        <f>'Fiche info CDD_ Avenant 1'!$D$13</f>
        <v>0</v>
      </c>
      <c r="CB512" s="431">
        <f>'Fiche info CDD_ Avenant 1'!$E$13</f>
        <v>0</v>
      </c>
      <c r="CC512" s="431">
        <f>'Fiche info CDD_ Avenant 1'!$F$13</f>
        <v>0</v>
      </c>
      <c r="CD512" s="431">
        <f>'Fiche info CDD_ Avenant 1'!$G$13</f>
        <v>0</v>
      </c>
      <c r="CE512" s="431">
        <f>'Fiche info CDD_ Avenant 1'!$H$13</f>
        <v>0</v>
      </c>
      <c r="CF512" s="431">
        <f>'Fiche info CDD_ Avenant 1'!$I$13</f>
        <v>0</v>
      </c>
      <c r="ED512" s="16" t="str">
        <f t="shared" si="117"/>
        <v>Fiche info CDD_ Avenant 1A</v>
      </c>
      <c r="EE512" s="16" t="str">
        <f t="shared" si="108"/>
        <v>Fiche info CDD_ Avenant 1</v>
      </c>
      <c r="EF512" s="16" t="str">
        <f t="shared" si="109"/>
        <v>A</v>
      </c>
      <c r="EG512" s="16">
        <f t="shared" si="110"/>
        <v>7</v>
      </c>
      <c r="EH512" s="16" t="str">
        <f t="shared" si="111"/>
        <v>Dimanche</v>
      </c>
      <c r="EI512" s="16" t="str">
        <f t="shared" si="112"/>
        <v/>
      </c>
    </row>
    <row r="513" spans="1:139" x14ac:dyDescent="0.2">
      <c r="A513" s="16" t="str">
        <f t="shared" si="116"/>
        <v>Fiche info CDD_ Avenant 1B1</v>
      </c>
      <c r="B513" s="16" t="str">
        <f t="shared" si="118"/>
        <v>Fiche info CDD_ Avenant 1</v>
      </c>
      <c r="C513" s="27" t="s">
        <v>227</v>
      </c>
      <c r="D513" s="27">
        <v>1</v>
      </c>
      <c r="E513" s="16" t="s">
        <v>17</v>
      </c>
      <c r="F513" s="34" t="str">
        <f>+IF('Fiche info CDD_ Avenant 1'!$V$7=0,"",'Fiche info CDD_ Avenant 1'!$V$7)</f>
        <v/>
      </c>
      <c r="G513" s="16">
        <f t="shared" si="113"/>
        <v>0</v>
      </c>
      <c r="BX513" s="16" t="str">
        <f t="shared" si="114"/>
        <v>Fiche info CDD_ Avenant 1B1</v>
      </c>
      <c r="BY513" s="431">
        <f>'Fiche info CDD_ Avenant 1'!$M$7</f>
        <v>0</v>
      </c>
      <c r="BZ513" s="431">
        <f>'Fiche info CDD_ Avenant 1'!$N$7</f>
        <v>0</v>
      </c>
      <c r="CA513" s="431">
        <f>'Fiche info CDD_ Avenant 1'!$O$7</f>
        <v>0</v>
      </c>
      <c r="CB513" s="431">
        <f>'Fiche info CDD_ Avenant 1'!$P$7</f>
        <v>0</v>
      </c>
      <c r="CC513" s="431">
        <f>'Fiche info CDD_ Avenant 1'!$Q$7</f>
        <v>0</v>
      </c>
      <c r="CD513" s="431">
        <f>'Fiche info CDD_ Avenant 1'!$R$7</f>
        <v>0</v>
      </c>
      <c r="CE513" s="431">
        <f>'Fiche info CDD_ Avenant 1'!$S$7</f>
        <v>0</v>
      </c>
      <c r="CF513" s="431">
        <f>'Fiche info CDD_ Avenant 1'!$T$7</f>
        <v>0</v>
      </c>
      <c r="ED513" s="16" t="str">
        <f t="shared" si="117"/>
        <v>Fiche info CDD_ Avenant 1B</v>
      </c>
      <c r="EE513" s="16" t="str">
        <f t="shared" ref="EE513:EE576" si="119">B513</f>
        <v>Fiche info CDD_ Avenant 1</v>
      </c>
      <c r="EF513" s="16" t="str">
        <f t="shared" ref="EF513:EF576" si="120">C513</f>
        <v>B</v>
      </c>
      <c r="EG513" s="16">
        <f t="shared" ref="EG513:EG576" si="121">D513</f>
        <v>1</v>
      </c>
      <c r="EH513" s="16" t="str">
        <f t="shared" ref="EH513:EH576" si="122">E513</f>
        <v>Lundi</v>
      </c>
      <c r="EI513" s="16" t="str">
        <f t="shared" ref="EI513:EI576" si="123">F513</f>
        <v/>
      </c>
    </row>
    <row r="514" spans="1:139" x14ac:dyDescent="0.2">
      <c r="A514" s="16" t="str">
        <f t="shared" si="116"/>
        <v>Fiche info CDD_ Avenant 1B2</v>
      </c>
      <c r="B514" s="16" t="str">
        <f t="shared" si="118"/>
        <v>Fiche info CDD_ Avenant 1</v>
      </c>
      <c r="C514" s="27" t="s">
        <v>227</v>
      </c>
      <c r="D514" s="27">
        <v>2</v>
      </c>
      <c r="E514" s="16" t="s">
        <v>18</v>
      </c>
      <c r="F514" s="34" t="str">
        <f>+IF('Fiche info CDD_ Avenant 1'!$V$8=0,"",'Fiche info CDD_ Avenant 1'!$V$8)</f>
        <v/>
      </c>
      <c r="G514" s="16">
        <f t="shared" ref="G514:G577" si="124">+IF(OR(F514=0,F514=""),0,1)</f>
        <v>0</v>
      </c>
      <c r="BX514" s="16" t="str">
        <f t="shared" ref="BX514:BX577" si="125">A514</f>
        <v>Fiche info CDD_ Avenant 1B2</v>
      </c>
      <c r="BY514" s="431">
        <f>'Fiche info CDD_ Avenant 1'!$M$8</f>
        <v>0</v>
      </c>
      <c r="BZ514" s="431">
        <f>'Fiche info CDD_ Avenant 1'!$N$8</f>
        <v>0</v>
      </c>
      <c r="CA514" s="431">
        <f>'Fiche info CDD_ Avenant 1'!$O$8</f>
        <v>0</v>
      </c>
      <c r="CB514" s="431">
        <f>'Fiche info CDD_ Avenant 1'!$P$8</f>
        <v>0</v>
      </c>
      <c r="CC514" s="431">
        <f>'Fiche info CDD_ Avenant 1'!$Q$8</f>
        <v>0</v>
      </c>
      <c r="CD514" s="431">
        <f>'Fiche info CDD_ Avenant 1'!$R$8</f>
        <v>0</v>
      </c>
      <c r="CE514" s="431">
        <f>'Fiche info CDD_ Avenant 1'!$S$8</f>
        <v>0</v>
      </c>
      <c r="CF514" s="431">
        <f>'Fiche info CDD_ Avenant 1'!$T$8</f>
        <v>0</v>
      </c>
      <c r="ED514" s="16" t="str">
        <f t="shared" si="117"/>
        <v>Fiche info CDD_ Avenant 1B</v>
      </c>
      <c r="EE514" s="16" t="str">
        <f t="shared" si="119"/>
        <v>Fiche info CDD_ Avenant 1</v>
      </c>
      <c r="EF514" s="16" t="str">
        <f t="shared" si="120"/>
        <v>B</v>
      </c>
      <c r="EG514" s="16">
        <f t="shared" si="121"/>
        <v>2</v>
      </c>
      <c r="EH514" s="16" t="str">
        <f t="shared" si="122"/>
        <v>Mardi</v>
      </c>
      <c r="EI514" s="16" t="str">
        <f t="shared" si="123"/>
        <v/>
      </c>
    </row>
    <row r="515" spans="1:139" x14ac:dyDescent="0.2">
      <c r="A515" s="16" t="str">
        <f t="shared" si="116"/>
        <v>Fiche info CDD_ Avenant 1B3</v>
      </c>
      <c r="B515" s="16" t="str">
        <f t="shared" si="118"/>
        <v>Fiche info CDD_ Avenant 1</v>
      </c>
      <c r="C515" s="27" t="s">
        <v>227</v>
      </c>
      <c r="D515" s="27">
        <v>3</v>
      </c>
      <c r="E515" s="16" t="s">
        <v>19</v>
      </c>
      <c r="F515" s="34" t="str">
        <f>+IF('Fiche info CDD_ Avenant 1'!$V$9=0,"",'Fiche info CDD_ Avenant 1'!$V$9)</f>
        <v/>
      </c>
      <c r="G515" s="16">
        <f t="shared" si="124"/>
        <v>0</v>
      </c>
      <c r="BX515" s="16" t="str">
        <f t="shared" si="125"/>
        <v>Fiche info CDD_ Avenant 1B3</v>
      </c>
      <c r="BY515" s="431">
        <f>'Fiche info CDD_ Avenant 1'!$M$9</f>
        <v>0</v>
      </c>
      <c r="BZ515" s="431">
        <f>'Fiche info CDD_ Avenant 1'!$N$9</f>
        <v>0</v>
      </c>
      <c r="CA515" s="431">
        <f>'Fiche info CDD_ Avenant 1'!$O$9</f>
        <v>0</v>
      </c>
      <c r="CB515" s="431">
        <f>'Fiche info CDD_ Avenant 1'!$P$9</f>
        <v>0</v>
      </c>
      <c r="CC515" s="431">
        <f>'Fiche info CDD_ Avenant 1'!$Q$9</f>
        <v>0</v>
      </c>
      <c r="CD515" s="431">
        <f>'Fiche info CDD_ Avenant 1'!$R$9</f>
        <v>0</v>
      </c>
      <c r="CE515" s="431">
        <f>'Fiche info CDD_ Avenant 1'!$S$9</f>
        <v>0</v>
      </c>
      <c r="CF515" s="431">
        <f>'Fiche info CDD_ Avenant 1'!$T$9</f>
        <v>0</v>
      </c>
      <c r="ED515" s="16" t="str">
        <f t="shared" si="117"/>
        <v>Fiche info CDD_ Avenant 1B</v>
      </c>
      <c r="EE515" s="16" t="str">
        <f t="shared" si="119"/>
        <v>Fiche info CDD_ Avenant 1</v>
      </c>
      <c r="EF515" s="16" t="str">
        <f t="shared" si="120"/>
        <v>B</v>
      </c>
      <c r="EG515" s="16">
        <f t="shared" si="121"/>
        <v>3</v>
      </c>
      <c r="EH515" s="16" t="str">
        <f t="shared" si="122"/>
        <v>Mercredi</v>
      </c>
      <c r="EI515" s="16" t="str">
        <f t="shared" si="123"/>
        <v/>
      </c>
    </row>
    <row r="516" spans="1:139" x14ac:dyDescent="0.2">
      <c r="A516" s="16" t="str">
        <f t="shared" si="116"/>
        <v>Fiche info CDD_ Avenant 1B4</v>
      </c>
      <c r="B516" s="16" t="str">
        <f t="shared" si="118"/>
        <v>Fiche info CDD_ Avenant 1</v>
      </c>
      <c r="C516" s="27" t="s">
        <v>227</v>
      </c>
      <c r="D516" s="27">
        <v>4</v>
      </c>
      <c r="E516" s="16" t="s">
        <v>20</v>
      </c>
      <c r="F516" s="34" t="str">
        <f>+IF('Fiche info CDD_ Avenant 1'!$V$10=0,"",'Fiche info CDD_ Avenant 1'!$V$10)</f>
        <v/>
      </c>
      <c r="G516" s="16">
        <f t="shared" si="124"/>
        <v>0</v>
      </c>
      <c r="BX516" s="16" t="str">
        <f t="shared" si="125"/>
        <v>Fiche info CDD_ Avenant 1B4</v>
      </c>
      <c r="BY516" s="431">
        <f>'Fiche info CDD_ Avenant 1'!$M$10</f>
        <v>0</v>
      </c>
      <c r="BZ516" s="431">
        <f>'Fiche info CDD_ Avenant 1'!$N$10</f>
        <v>0</v>
      </c>
      <c r="CA516" s="431">
        <f>'Fiche info CDD_ Avenant 1'!$O$10</f>
        <v>0</v>
      </c>
      <c r="CB516" s="431">
        <f>'Fiche info CDD_ Avenant 1'!$P$10</f>
        <v>0</v>
      </c>
      <c r="CC516" s="431">
        <f>'Fiche info CDD_ Avenant 1'!$Q$10</f>
        <v>0</v>
      </c>
      <c r="CD516" s="431">
        <f>'Fiche info CDD_ Avenant 1'!$R$10</f>
        <v>0</v>
      </c>
      <c r="CE516" s="431">
        <f>'Fiche info CDD_ Avenant 1'!$S$10</f>
        <v>0</v>
      </c>
      <c r="CF516" s="431">
        <f>'Fiche info CDD_ Avenant 1'!$T$10</f>
        <v>0</v>
      </c>
      <c r="ED516" s="16" t="str">
        <f t="shared" si="117"/>
        <v>Fiche info CDD_ Avenant 1B</v>
      </c>
      <c r="EE516" s="16" t="str">
        <f t="shared" si="119"/>
        <v>Fiche info CDD_ Avenant 1</v>
      </c>
      <c r="EF516" s="16" t="str">
        <f t="shared" si="120"/>
        <v>B</v>
      </c>
      <c r="EG516" s="16">
        <f t="shared" si="121"/>
        <v>4</v>
      </c>
      <c r="EH516" s="16" t="str">
        <f t="shared" si="122"/>
        <v>Jeudi</v>
      </c>
      <c r="EI516" s="16" t="str">
        <f t="shared" si="123"/>
        <v/>
      </c>
    </row>
    <row r="517" spans="1:139" x14ac:dyDescent="0.2">
      <c r="A517" s="16" t="str">
        <f t="shared" si="116"/>
        <v>Fiche info CDD_ Avenant 1B5</v>
      </c>
      <c r="B517" s="16" t="str">
        <f t="shared" si="118"/>
        <v>Fiche info CDD_ Avenant 1</v>
      </c>
      <c r="C517" s="27" t="s">
        <v>227</v>
      </c>
      <c r="D517" s="27">
        <v>5</v>
      </c>
      <c r="E517" s="16" t="s">
        <v>21</v>
      </c>
      <c r="F517" s="34" t="str">
        <f>+IF('Fiche info CDD_ Avenant 1'!$V$11=0,"",'Fiche info CDD_ Avenant 1'!$V$11)</f>
        <v/>
      </c>
      <c r="G517" s="16">
        <f t="shared" si="124"/>
        <v>0</v>
      </c>
      <c r="BX517" s="16" t="str">
        <f t="shared" si="125"/>
        <v>Fiche info CDD_ Avenant 1B5</v>
      </c>
      <c r="BY517" s="431">
        <f>'Fiche info CDD_ Avenant 1'!$M$11</f>
        <v>0</v>
      </c>
      <c r="BZ517" s="431">
        <f>'Fiche info CDD_ Avenant 1'!$N$11</f>
        <v>0</v>
      </c>
      <c r="CA517" s="431">
        <f>'Fiche info CDD_ Avenant 1'!$O$11</f>
        <v>0</v>
      </c>
      <c r="CB517" s="431">
        <f>'Fiche info CDD_ Avenant 1'!$P$11</f>
        <v>0</v>
      </c>
      <c r="CC517" s="431">
        <f>'Fiche info CDD_ Avenant 1'!$Q$11</f>
        <v>0</v>
      </c>
      <c r="CD517" s="431">
        <f>'Fiche info CDD_ Avenant 1'!$R$11</f>
        <v>0</v>
      </c>
      <c r="CE517" s="431">
        <f>'Fiche info CDD_ Avenant 1'!$S$11</f>
        <v>0</v>
      </c>
      <c r="CF517" s="431">
        <f>'Fiche info CDD_ Avenant 1'!$T$11</f>
        <v>0</v>
      </c>
      <c r="ED517" s="16" t="str">
        <f t="shared" si="117"/>
        <v>Fiche info CDD_ Avenant 1B</v>
      </c>
      <c r="EE517" s="16" t="str">
        <f t="shared" si="119"/>
        <v>Fiche info CDD_ Avenant 1</v>
      </c>
      <c r="EF517" s="16" t="str">
        <f t="shared" si="120"/>
        <v>B</v>
      </c>
      <c r="EG517" s="16">
        <f t="shared" si="121"/>
        <v>5</v>
      </c>
      <c r="EH517" s="16" t="str">
        <f t="shared" si="122"/>
        <v>Vendredi</v>
      </c>
      <c r="EI517" s="16" t="str">
        <f t="shared" si="123"/>
        <v/>
      </c>
    </row>
    <row r="518" spans="1:139" x14ac:dyDescent="0.2">
      <c r="A518" s="16" t="str">
        <f t="shared" si="116"/>
        <v>Fiche info CDD_ Avenant 1B6</v>
      </c>
      <c r="B518" s="16" t="str">
        <f t="shared" si="118"/>
        <v>Fiche info CDD_ Avenant 1</v>
      </c>
      <c r="C518" s="27" t="s">
        <v>227</v>
      </c>
      <c r="D518" s="27">
        <v>6</v>
      </c>
      <c r="E518" s="16" t="s">
        <v>184</v>
      </c>
      <c r="F518" s="34" t="str">
        <f>+IF('Fiche info CDD_ Avenant 1'!$V$12=0,"",'Fiche info CDD_ Avenant 1'!$V$12)</f>
        <v/>
      </c>
      <c r="G518" s="16">
        <f t="shared" si="124"/>
        <v>0</v>
      </c>
      <c r="BX518" s="16" t="str">
        <f t="shared" si="125"/>
        <v>Fiche info CDD_ Avenant 1B6</v>
      </c>
      <c r="BY518" s="431">
        <f>'Fiche info CDD_ Avenant 1'!$M$12</f>
        <v>0</v>
      </c>
      <c r="BZ518" s="431">
        <f>'Fiche info CDD_ Avenant 1'!$N$12</f>
        <v>0</v>
      </c>
      <c r="CA518" s="431">
        <f>'Fiche info CDD_ Avenant 1'!$O$12</f>
        <v>0</v>
      </c>
      <c r="CB518" s="431">
        <f>'Fiche info CDD_ Avenant 1'!$P$12</f>
        <v>0</v>
      </c>
      <c r="CC518" s="431">
        <f>'Fiche info CDD_ Avenant 1'!$Q$12</f>
        <v>0</v>
      </c>
      <c r="CD518" s="431">
        <f>'Fiche info CDD_ Avenant 1'!$R$12</f>
        <v>0</v>
      </c>
      <c r="CE518" s="431">
        <f>'Fiche info CDD_ Avenant 1'!$S$12</f>
        <v>0</v>
      </c>
      <c r="CF518" s="431">
        <f>'Fiche info CDD_ Avenant 1'!$T$12</f>
        <v>0</v>
      </c>
      <c r="ED518" s="16" t="str">
        <f t="shared" si="117"/>
        <v>Fiche info CDD_ Avenant 1B</v>
      </c>
      <c r="EE518" s="16" t="str">
        <f t="shared" si="119"/>
        <v>Fiche info CDD_ Avenant 1</v>
      </c>
      <c r="EF518" s="16" t="str">
        <f t="shared" si="120"/>
        <v>B</v>
      </c>
      <c r="EG518" s="16">
        <f t="shared" si="121"/>
        <v>6</v>
      </c>
      <c r="EH518" s="16" t="str">
        <f t="shared" si="122"/>
        <v>Samedi</v>
      </c>
      <c r="EI518" s="16" t="str">
        <f t="shared" si="123"/>
        <v/>
      </c>
    </row>
    <row r="519" spans="1:139" x14ac:dyDescent="0.2">
      <c r="A519" s="16" t="str">
        <f t="shared" si="116"/>
        <v>Fiche info CDD_ Avenant 1B7</v>
      </c>
      <c r="B519" s="16" t="str">
        <f t="shared" si="118"/>
        <v>Fiche info CDD_ Avenant 1</v>
      </c>
      <c r="C519" s="27" t="s">
        <v>227</v>
      </c>
      <c r="D519" s="27">
        <v>7</v>
      </c>
      <c r="E519" s="16" t="s">
        <v>185</v>
      </c>
      <c r="F519" s="34" t="str">
        <f>+IF('Fiche info CDD_ Avenant 1'!$V$13=0,"",'Fiche info CDD_ Avenant 1'!$V$13)</f>
        <v/>
      </c>
      <c r="G519" s="16">
        <f t="shared" si="124"/>
        <v>0</v>
      </c>
      <c r="BX519" s="16" t="str">
        <f t="shared" si="125"/>
        <v>Fiche info CDD_ Avenant 1B7</v>
      </c>
      <c r="BY519" s="431">
        <f>'Fiche info CDD_ Avenant 1'!$M$13</f>
        <v>0</v>
      </c>
      <c r="BZ519" s="431">
        <f>'Fiche info CDD_ Avenant 1'!$N$13</f>
        <v>0</v>
      </c>
      <c r="CA519" s="431">
        <f>'Fiche info CDD_ Avenant 1'!$O$13</f>
        <v>0</v>
      </c>
      <c r="CB519" s="431">
        <f>'Fiche info CDD_ Avenant 1'!$P$13</f>
        <v>0</v>
      </c>
      <c r="CC519" s="431">
        <f>'Fiche info CDD_ Avenant 1'!$Q$13</f>
        <v>0</v>
      </c>
      <c r="CD519" s="431">
        <f>'Fiche info CDD_ Avenant 1'!$R$13</f>
        <v>0</v>
      </c>
      <c r="CE519" s="431">
        <f>'Fiche info CDD_ Avenant 1'!$S$13</f>
        <v>0</v>
      </c>
      <c r="CF519" s="431">
        <f>'Fiche info CDD_ Avenant 1'!$T$13</f>
        <v>0</v>
      </c>
      <c r="ED519" s="16" t="str">
        <f t="shared" si="117"/>
        <v>Fiche info CDD_ Avenant 1B</v>
      </c>
      <c r="EE519" s="16" t="str">
        <f t="shared" si="119"/>
        <v>Fiche info CDD_ Avenant 1</v>
      </c>
      <c r="EF519" s="16" t="str">
        <f t="shared" si="120"/>
        <v>B</v>
      </c>
      <c r="EG519" s="16">
        <f t="shared" si="121"/>
        <v>7</v>
      </c>
      <c r="EH519" s="16" t="str">
        <f t="shared" si="122"/>
        <v>Dimanche</v>
      </c>
      <c r="EI519" s="16" t="str">
        <f t="shared" si="123"/>
        <v/>
      </c>
    </row>
    <row r="520" spans="1:139" x14ac:dyDescent="0.2">
      <c r="A520" s="16" t="str">
        <f t="shared" si="116"/>
        <v>Fiche info CDD_ Avenant 1C1</v>
      </c>
      <c r="B520" s="16" t="str">
        <f t="shared" si="118"/>
        <v>Fiche info CDD_ Avenant 1</v>
      </c>
      <c r="C520" s="27" t="s">
        <v>232</v>
      </c>
      <c r="D520" s="27">
        <v>1</v>
      </c>
      <c r="E520" s="16" t="s">
        <v>17</v>
      </c>
      <c r="F520" s="34" t="str">
        <f>+IF('Fiche info CDD_ Avenant 1'!$AG$7=0,"",'Fiche info CDD_ Avenant 1'!$AG$7)</f>
        <v/>
      </c>
      <c r="G520" s="16">
        <f t="shared" si="124"/>
        <v>0</v>
      </c>
      <c r="BX520" s="16" t="str">
        <f t="shared" si="125"/>
        <v>Fiche info CDD_ Avenant 1C1</v>
      </c>
      <c r="BY520" s="431">
        <f>'Fiche info CDD_ Avenant 1'!$X$7</f>
        <v>0</v>
      </c>
      <c r="BZ520" s="431">
        <f>'Fiche info CDD_ Avenant 1'!$Y$7</f>
        <v>0</v>
      </c>
      <c r="CA520" s="431">
        <f>'Fiche info CDD_ Avenant 1'!$Z$7</f>
        <v>0</v>
      </c>
      <c r="CB520" s="431">
        <f>'Fiche info CDD_ Avenant 1'!$AA$7</f>
        <v>0</v>
      </c>
      <c r="CC520" s="431">
        <f>'Fiche info CDD_ Avenant 1'!$AB$7</f>
        <v>0</v>
      </c>
      <c r="CD520" s="431">
        <f>'Fiche info CDD_ Avenant 1'!$AC$7</f>
        <v>0</v>
      </c>
      <c r="CE520" s="431">
        <f>'Fiche info CDD_ Avenant 1'!$AD$7</f>
        <v>0</v>
      </c>
      <c r="CF520" s="431">
        <f>'Fiche info CDD_ Avenant 1'!$AE$7</f>
        <v>0</v>
      </c>
      <c r="ED520" s="16" t="str">
        <f t="shared" si="117"/>
        <v>Fiche info CDD_ Avenant 1C</v>
      </c>
      <c r="EE520" s="16" t="str">
        <f t="shared" si="119"/>
        <v>Fiche info CDD_ Avenant 1</v>
      </c>
      <c r="EF520" s="16" t="str">
        <f t="shared" si="120"/>
        <v>C</v>
      </c>
      <c r="EG520" s="16">
        <f t="shared" si="121"/>
        <v>1</v>
      </c>
      <c r="EH520" s="16" t="str">
        <f t="shared" si="122"/>
        <v>Lundi</v>
      </c>
      <c r="EI520" s="16" t="str">
        <f t="shared" si="123"/>
        <v/>
      </c>
    </row>
    <row r="521" spans="1:139" x14ac:dyDescent="0.2">
      <c r="A521" s="16" t="str">
        <f t="shared" si="116"/>
        <v>Fiche info CDD_ Avenant 1C2</v>
      </c>
      <c r="B521" s="16" t="str">
        <f t="shared" si="118"/>
        <v>Fiche info CDD_ Avenant 1</v>
      </c>
      <c r="C521" s="27" t="s">
        <v>232</v>
      </c>
      <c r="D521" s="27">
        <v>2</v>
      </c>
      <c r="E521" s="16" t="s">
        <v>18</v>
      </c>
      <c r="F521" s="34" t="str">
        <f>+IF('Fiche info CDD_ Avenant 1'!$AG$8=0,"",'Fiche info CDD_ Avenant 1'!$AG$8)</f>
        <v/>
      </c>
      <c r="G521" s="16">
        <f t="shared" si="124"/>
        <v>0</v>
      </c>
      <c r="BX521" s="16" t="str">
        <f t="shared" si="125"/>
        <v>Fiche info CDD_ Avenant 1C2</v>
      </c>
      <c r="BY521" s="431">
        <f>'Fiche info CDD_ Avenant 1'!$X$8</f>
        <v>0</v>
      </c>
      <c r="BZ521" s="431">
        <f>'Fiche info CDD_ Avenant 1'!$Y$8</f>
        <v>0</v>
      </c>
      <c r="CA521" s="431">
        <f>'Fiche info CDD_ Avenant 1'!$Z$8</f>
        <v>0</v>
      </c>
      <c r="CB521" s="431">
        <f>'Fiche info CDD_ Avenant 1'!$AA$8</f>
        <v>0</v>
      </c>
      <c r="CC521" s="431">
        <f>'Fiche info CDD_ Avenant 1'!$AB$8</f>
        <v>0</v>
      </c>
      <c r="CD521" s="431">
        <f>'Fiche info CDD_ Avenant 1'!$AC$8</f>
        <v>0</v>
      </c>
      <c r="CE521" s="431">
        <f>'Fiche info CDD_ Avenant 1'!$AD$8</f>
        <v>0</v>
      </c>
      <c r="CF521" s="431">
        <f>'Fiche info CDD_ Avenant 1'!$AE$8</f>
        <v>0</v>
      </c>
      <c r="ED521" s="16" t="str">
        <f t="shared" si="117"/>
        <v>Fiche info CDD_ Avenant 1C</v>
      </c>
      <c r="EE521" s="16" t="str">
        <f t="shared" si="119"/>
        <v>Fiche info CDD_ Avenant 1</v>
      </c>
      <c r="EF521" s="16" t="str">
        <f t="shared" si="120"/>
        <v>C</v>
      </c>
      <c r="EG521" s="16">
        <f t="shared" si="121"/>
        <v>2</v>
      </c>
      <c r="EH521" s="16" t="str">
        <f t="shared" si="122"/>
        <v>Mardi</v>
      </c>
      <c r="EI521" s="16" t="str">
        <f t="shared" si="123"/>
        <v/>
      </c>
    </row>
    <row r="522" spans="1:139" x14ac:dyDescent="0.2">
      <c r="A522" s="16" t="str">
        <f t="shared" si="116"/>
        <v>Fiche info CDD_ Avenant 1C3</v>
      </c>
      <c r="B522" s="16" t="str">
        <f t="shared" si="118"/>
        <v>Fiche info CDD_ Avenant 1</v>
      </c>
      <c r="C522" s="27" t="s">
        <v>232</v>
      </c>
      <c r="D522" s="27">
        <v>3</v>
      </c>
      <c r="E522" s="16" t="s">
        <v>19</v>
      </c>
      <c r="F522" s="34" t="str">
        <f>+IF('Fiche info CDD_ Avenant 1'!$AG$9=0,"",'Fiche info CDD_ Avenant 1'!$AG$9)</f>
        <v/>
      </c>
      <c r="G522" s="16">
        <f t="shared" si="124"/>
        <v>0</v>
      </c>
      <c r="BX522" s="16" t="str">
        <f t="shared" si="125"/>
        <v>Fiche info CDD_ Avenant 1C3</v>
      </c>
      <c r="BY522" s="431">
        <f>'Fiche info CDD_ Avenant 1'!$X$9</f>
        <v>0</v>
      </c>
      <c r="BZ522" s="431">
        <f>'Fiche info CDD_ Avenant 1'!$Y$9</f>
        <v>0</v>
      </c>
      <c r="CA522" s="431">
        <f>'Fiche info CDD_ Avenant 1'!$Z$9</f>
        <v>0</v>
      </c>
      <c r="CB522" s="431">
        <f>'Fiche info CDD_ Avenant 1'!$AA$9</f>
        <v>0</v>
      </c>
      <c r="CC522" s="431">
        <f>'Fiche info CDD_ Avenant 1'!$AB$9</f>
        <v>0</v>
      </c>
      <c r="CD522" s="431">
        <f>'Fiche info CDD_ Avenant 1'!$AC$9</f>
        <v>0</v>
      </c>
      <c r="CE522" s="431">
        <f>'Fiche info CDD_ Avenant 1'!$AD$9</f>
        <v>0</v>
      </c>
      <c r="CF522" s="431">
        <f>'Fiche info CDD_ Avenant 1'!$AE$9</f>
        <v>0</v>
      </c>
      <c r="ED522" s="16" t="str">
        <f t="shared" si="117"/>
        <v>Fiche info CDD_ Avenant 1C</v>
      </c>
      <c r="EE522" s="16" t="str">
        <f t="shared" si="119"/>
        <v>Fiche info CDD_ Avenant 1</v>
      </c>
      <c r="EF522" s="16" t="str">
        <f t="shared" si="120"/>
        <v>C</v>
      </c>
      <c r="EG522" s="16">
        <f t="shared" si="121"/>
        <v>3</v>
      </c>
      <c r="EH522" s="16" t="str">
        <f t="shared" si="122"/>
        <v>Mercredi</v>
      </c>
      <c r="EI522" s="16" t="str">
        <f t="shared" si="123"/>
        <v/>
      </c>
    </row>
    <row r="523" spans="1:139" x14ac:dyDescent="0.2">
      <c r="A523" s="16" t="str">
        <f t="shared" si="116"/>
        <v>Fiche info CDD_ Avenant 1C4</v>
      </c>
      <c r="B523" s="16" t="str">
        <f t="shared" si="118"/>
        <v>Fiche info CDD_ Avenant 1</v>
      </c>
      <c r="C523" s="27" t="s">
        <v>232</v>
      </c>
      <c r="D523" s="27">
        <v>4</v>
      </c>
      <c r="E523" s="16" t="s">
        <v>20</v>
      </c>
      <c r="F523" s="34" t="str">
        <f>+IF('Fiche info CDD_ Avenant 1'!$AG$10=0,"",'Fiche info CDD_ Avenant 1'!$AG$10)</f>
        <v/>
      </c>
      <c r="G523" s="16">
        <f t="shared" si="124"/>
        <v>0</v>
      </c>
      <c r="BX523" s="16" t="str">
        <f t="shared" si="125"/>
        <v>Fiche info CDD_ Avenant 1C4</v>
      </c>
      <c r="BY523" s="431">
        <f>'Fiche info CDD_ Avenant 1'!$X$10</f>
        <v>0</v>
      </c>
      <c r="BZ523" s="431">
        <f>'Fiche info CDD_ Avenant 1'!$Y$10</f>
        <v>0</v>
      </c>
      <c r="CA523" s="431">
        <f>'Fiche info CDD_ Avenant 1'!$Z$10</f>
        <v>0</v>
      </c>
      <c r="CB523" s="431">
        <f>'Fiche info CDD_ Avenant 1'!$AA$10</f>
        <v>0</v>
      </c>
      <c r="CC523" s="431">
        <f>'Fiche info CDD_ Avenant 1'!$AB$10</f>
        <v>0</v>
      </c>
      <c r="CD523" s="431">
        <f>'Fiche info CDD_ Avenant 1'!$AC$10</f>
        <v>0</v>
      </c>
      <c r="CE523" s="431">
        <f>'Fiche info CDD_ Avenant 1'!$AD$10</f>
        <v>0</v>
      </c>
      <c r="CF523" s="431">
        <f>'Fiche info CDD_ Avenant 1'!$AE$10</f>
        <v>0</v>
      </c>
      <c r="ED523" s="16" t="str">
        <f t="shared" si="117"/>
        <v>Fiche info CDD_ Avenant 1C</v>
      </c>
      <c r="EE523" s="16" t="str">
        <f t="shared" si="119"/>
        <v>Fiche info CDD_ Avenant 1</v>
      </c>
      <c r="EF523" s="16" t="str">
        <f t="shared" si="120"/>
        <v>C</v>
      </c>
      <c r="EG523" s="16">
        <f t="shared" si="121"/>
        <v>4</v>
      </c>
      <c r="EH523" s="16" t="str">
        <f t="shared" si="122"/>
        <v>Jeudi</v>
      </c>
      <c r="EI523" s="16" t="str">
        <f t="shared" si="123"/>
        <v/>
      </c>
    </row>
    <row r="524" spans="1:139" x14ac:dyDescent="0.2">
      <c r="A524" s="16" t="str">
        <f t="shared" si="116"/>
        <v>Fiche info CDD_ Avenant 1C5</v>
      </c>
      <c r="B524" s="16" t="str">
        <f t="shared" si="118"/>
        <v>Fiche info CDD_ Avenant 1</v>
      </c>
      <c r="C524" s="27" t="s">
        <v>232</v>
      </c>
      <c r="D524" s="27">
        <v>5</v>
      </c>
      <c r="E524" s="16" t="s">
        <v>21</v>
      </c>
      <c r="F524" s="34" t="str">
        <f>+IF('Fiche info CDD_ Avenant 1'!$AG$11=0,"",'Fiche info CDD_ Avenant 1'!$AG$11)</f>
        <v/>
      </c>
      <c r="G524" s="16">
        <f t="shared" si="124"/>
        <v>0</v>
      </c>
      <c r="BX524" s="16" t="str">
        <f t="shared" si="125"/>
        <v>Fiche info CDD_ Avenant 1C5</v>
      </c>
      <c r="BY524" s="431">
        <f>'Fiche info CDD_ Avenant 1'!$X$11</f>
        <v>0</v>
      </c>
      <c r="BZ524" s="431">
        <f>'Fiche info CDD_ Avenant 1'!$Y$11</f>
        <v>0</v>
      </c>
      <c r="CA524" s="431">
        <f>'Fiche info CDD_ Avenant 1'!$Z$11</f>
        <v>0</v>
      </c>
      <c r="CB524" s="431">
        <f>'Fiche info CDD_ Avenant 1'!$AA$11</f>
        <v>0</v>
      </c>
      <c r="CC524" s="431">
        <f>'Fiche info CDD_ Avenant 1'!$AB$11</f>
        <v>0</v>
      </c>
      <c r="CD524" s="431">
        <f>'Fiche info CDD_ Avenant 1'!$AC$11</f>
        <v>0</v>
      </c>
      <c r="CE524" s="431">
        <f>'Fiche info CDD_ Avenant 1'!$AD$11</f>
        <v>0</v>
      </c>
      <c r="CF524" s="431">
        <f>'Fiche info CDD_ Avenant 1'!$AE$11</f>
        <v>0</v>
      </c>
      <c r="ED524" s="16" t="str">
        <f t="shared" si="117"/>
        <v>Fiche info CDD_ Avenant 1C</v>
      </c>
      <c r="EE524" s="16" t="str">
        <f t="shared" si="119"/>
        <v>Fiche info CDD_ Avenant 1</v>
      </c>
      <c r="EF524" s="16" t="str">
        <f t="shared" si="120"/>
        <v>C</v>
      </c>
      <c r="EG524" s="16">
        <f t="shared" si="121"/>
        <v>5</v>
      </c>
      <c r="EH524" s="16" t="str">
        <f t="shared" si="122"/>
        <v>Vendredi</v>
      </c>
      <c r="EI524" s="16" t="str">
        <f t="shared" si="123"/>
        <v/>
      </c>
    </row>
    <row r="525" spans="1:139" x14ac:dyDescent="0.2">
      <c r="A525" s="16" t="str">
        <f t="shared" si="116"/>
        <v>Fiche info CDD_ Avenant 1C6</v>
      </c>
      <c r="B525" s="16" t="str">
        <f t="shared" si="118"/>
        <v>Fiche info CDD_ Avenant 1</v>
      </c>
      <c r="C525" s="27" t="s">
        <v>232</v>
      </c>
      <c r="D525" s="27">
        <v>6</v>
      </c>
      <c r="E525" s="16" t="s">
        <v>184</v>
      </c>
      <c r="F525" s="34" t="str">
        <f>+IF('Fiche info CDD_ Avenant 1'!$AG$12=0,"",'Fiche info CDD_ Avenant 1'!$AG$12)</f>
        <v/>
      </c>
      <c r="G525" s="16">
        <f t="shared" si="124"/>
        <v>0</v>
      </c>
      <c r="BX525" s="16" t="str">
        <f t="shared" si="125"/>
        <v>Fiche info CDD_ Avenant 1C6</v>
      </c>
      <c r="BY525" s="431">
        <f>'Fiche info CDD_ Avenant 1'!$X$12</f>
        <v>0</v>
      </c>
      <c r="BZ525" s="431">
        <f>'Fiche info CDD_ Avenant 1'!$Y$12</f>
        <v>0</v>
      </c>
      <c r="CA525" s="431">
        <f>'Fiche info CDD_ Avenant 1'!$Z$12</f>
        <v>0</v>
      </c>
      <c r="CB525" s="431">
        <f>'Fiche info CDD_ Avenant 1'!$AA$12</f>
        <v>0</v>
      </c>
      <c r="CC525" s="431">
        <f>'Fiche info CDD_ Avenant 1'!$AB$12</f>
        <v>0</v>
      </c>
      <c r="CD525" s="431">
        <f>'Fiche info CDD_ Avenant 1'!$AC$12</f>
        <v>0</v>
      </c>
      <c r="CE525" s="431">
        <f>'Fiche info CDD_ Avenant 1'!$AD$12</f>
        <v>0</v>
      </c>
      <c r="CF525" s="431">
        <f>'Fiche info CDD_ Avenant 1'!$AE$12</f>
        <v>0</v>
      </c>
      <c r="ED525" s="16" t="str">
        <f t="shared" si="117"/>
        <v>Fiche info CDD_ Avenant 1C</v>
      </c>
      <c r="EE525" s="16" t="str">
        <f t="shared" si="119"/>
        <v>Fiche info CDD_ Avenant 1</v>
      </c>
      <c r="EF525" s="16" t="str">
        <f t="shared" si="120"/>
        <v>C</v>
      </c>
      <c r="EG525" s="16">
        <f t="shared" si="121"/>
        <v>6</v>
      </c>
      <c r="EH525" s="16" t="str">
        <f t="shared" si="122"/>
        <v>Samedi</v>
      </c>
      <c r="EI525" s="16" t="str">
        <f t="shared" si="123"/>
        <v/>
      </c>
    </row>
    <row r="526" spans="1:139" x14ac:dyDescent="0.2">
      <c r="A526" s="16" t="str">
        <f t="shared" si="116"/>
        <v>Fiche info CDD_ Avenant 1C7</v>
      </c>
      <c r="B526" s="16" t="str">
        <f t="shared" si="118"/>
        <v>Fiche info CDD_ Avenant 1</v>
      </c>
      <c r="C526" s="27" t="s">
        <v>232</v>
      </c>
      <c r="D526" s="27">
        <v>7</v>
      </c>
      <c r="E526" s="16" t="s">
        <v>185</v>
      </c>
      <c r="F526" s="34" t="str">
        <f>+IF('Fiche info CDD_ Avenant 1'!$AG$13=0,"",'Fiche info CDD_ Avenant 1'!$AG$13)</f>
        <v/>
      </c>
      <c r="G526" s="16">
        <f t="shared" si="124"/>
        <v>0</v>
      </c>
      <c r="BX526" s="16" t="str">
        <f t="shared" si="125"/>
        <v>Fiche info CDD_ Avenant 1C7</v>
      </c>
      <c r="BY526" s="431">
        <f>'Fiche info CDD_ Avenant 1'!$X$13</f>
        <v>0</v>
      </c>
      <c r="BZ526" s="431">
        <f>'Fiche info CDD_ Avenant 1'!$Y$13</f>
        <v>0</v>
      </c>
      <c r="CA526" s="431">
        <f>'Fiche info CDD_ Avenant 1'!$Z$13</f>
        <v>0</v>
      </c>
      <c r="CB526" s="431">
        <f>'Fiche info CDD_ Avenant 1'!$AA$13</f>
        <v>0</v>
      </c>
      <c r="CC526" s="431">
        <f>'Fiche info CDD_ Avenant 1'!$AB$13</f>
        <v>0</v>
      </c>
      <c r="CD526" s="431">
        <f>'Fiche info CDD_ Avenant 1'!$AC$13</f>
        <v>0</v>
      </c>
      <c r="CE526" s="431">
        <f>'Fiche info CDD_ Avenant 1'!$AD$13</f>
        <v>0</v>
      </c>
      <c r="CF526" s="431">
        <f>'Fiche info CDD_ Avenant 1'!$AE$13</f>
        <v>0</v>
      </c>
      <c r="ED526" s="16" t="str">
        <f t="shared" si="117"/>
        <v>Fiche info CDD_ Avenant 1C</v>
      </c>
      <c r="EE526" s="16" t="str">
        <f t="shared" si="119"/>
        <v>Fiche info CDD_ Avenant 1</v>
      </c>
      <c r="EF526" s="16" t="str">
        <f t="shared" si="120"/>
        <v>C</v>
      </c>
      <c r="EG526" s="16">
        <f t="shared" si="121"/>
        <v>7</v>
      </c>
      <c r="EH526" s="16" t="str">
        <f t="shared" si="122"/>
        <v>Dimanche</v>
      </c>
      <c r="EI526" s="16" t="str">
        <f t="shared" si="123"/>
        <v/>
      </c>
    </row>
    <row r="527" spans="1:139" x14ac:dyDescent="0.2">
      <c r="A527" s="16" t="str">
        <f t="shared" si="116"/>
        <v>Fiche info CDD_ Avenant 1D1</v>
      </c>
      <c r="B527" s="16" t="str">
        <f t="shared" si="118"/>
        <v>Fiche info CDD_ Avenant 1</v>
      </c>
      <c r="C527" s="27" t="s">
        <v>233</v>
      </c>
      <c r="D527" s="27">
        <v>1</v>
      </c>
      <c r="E527" s="16" t="s">
        <v>17</v>
      </c>
      <c r="F527" s="34" t="str">
        <f>+IF('Fiche info CDD_ Avenant 1'!$AR$7=0,"",'Fiche info CDD_ Avenant 1'!$AR$7)</f>
        <v/>
      </c>
      <c r="G527" s="16">
        <f t="shared" si="124"/>
        <v>0</v>
      </c>
      <c r="BX527" s="16" t="str">
        <f t="shared" si="125"/>
        <v>Fiche info CDD_ Avenant 1D1</v>
      </c>
      <c r="BY527" s="431">
        <f>'Fiche info CDD_ Avenant 1'!$AI$7</f>
        <v>0</v>
      </c>
      <c r="BZ527" s="431">
        <f>'Fiche info CDD_ Avenant 1'!$AJ$7</f>
        <v>0</v>
      </c>
      <c r="CA527" s="431">
        <f>'Fiche info CDD_ Avenant 1'!$AK$7</f>
        <v>0</v>
      </c>
      <c r="CB527" s="431">
        <f>'Fiche info CDD_ Avenant 1'!$AL$7</f>
        <v>0</v>
      </c>
      <c r="CC527" s="431">
        <f>'Fiche info CDD_ Avenant 1'!$AM$7</f>
        <v>0</v>
      </c>
      <c r="CD527" s="431">
        <f>'Fiche info CDD_ Avenant 1'!$AN$7</f>
        <v>0</v>
      </c>
      <c r="CE527" s="431">
        <f>'Fiche info CDD_ Avenant 1'!$AO$7</f>
        <v>0</v>
      </c>
      <c r="CF527" s="431">
        <f>'Fiche info CDD_ Avenant 1'!$AP$7</f>
        <v>0</v>
      </c>
      <c r="ED527" s="16" t="str">
        <f t="shared" si="117"/>
        <v>Fiche info CDD_ Avenant 1D</v>
      </c>
      <c r="EE527" s="16" t="str">
        <f t="shared" si="119"/>
        <v>Fiche info CDD_ Avenant 1</v>
      </c>
      <c r="EF527" s="16" t="str">
        <f t="shared" si="120"/>
        <v>D</v>
      </c>
      <c r="EG527" s="16">
        <f t="shared" si="121"/>
        <v>1</v>
      </c>
      <c r="EH527" s="16" t="str">
        <f t="shared" si="122"/>
        <v>Lundi</v>
      </c>
      <c r="EI527" s="16" t="str">
        <f t="shared" si="123"/>
        <v/>
      </c>
    </row>
    <row r="528" spans="1:139" x14ac:dyDescent="0.2">
      <c r="A528" s="16" t="str">
        <f t="shared" si="116"/>
        <v>Fiche info CDD_ Avenant 1D2</v>
      </c>
      <c r="B528" s="16" t="str">
        <f t="shared" si="118"/>
        <v>Fiche info CDD_ Avenant 1</v>
      </c>
      <c r="C528" s="27" t="s">
        <v>233</v>
      </c>
      <c r="D528" s="27">
        <v>2</v>
      </c>
      <c r="E528" s="16" t="s">
        <v>18</v>
      </c>
      <c r="F528" s="34" t="str">
        <f>IF(+'Fiche info CDD_ Avenant 1'!$AR$8=0,"",'Fiche info CDD_ Avenant 1'!$AR$8)</f>
        <v/>
      </c>
      <c r="G528" s="16">
        <f t="shared" si="124"/>
        <v>0</v>
      </c>
      <c r="BX528" s="16" t="str">
        <f t="shared" si="125"/>
        <v>Fiche info CDD_ Avenant 1D2</v>
      </c>
      <c r="BY528" s="431">
        <f>'Fiche info CDD_ Avenant 1'!$AI$8</f>
        <v>0</v>
      </c>
      <c r="BZ528" s="431">
        <f>'Fiche info CDD_ Avenant 1'!$AJ$8</f>
        <v>0</v>
      </c>
      <c r="CA528" s="431">
        <f>'Fiche info CDD_ Avenant 1'!$AK$8</f>
        <v>0</v>
      </c>
      <c r="CB528" s="431">
        <f>'Fiche info CDD_ Avenant 1'!$AL$8</f>
        <v>0</v>
      </c>
      <c r="CC528" s="431">
        <f>'Fiche info CDD_ Avenant 1'!$AM$8</f>
        <v>0</v>
      </c>
      <c r="CD528" s="431">
        <f>'Fiche info CDD_ Avenant 1'!$AN$8</f>
        <v>0</v>
      </c>
      <c r="CE528" s="431">
        <f>'Fiche info CDD_ Avenant 1'!$AO$8</f>
        <v>0</v>
      </c>
      <c r="CF528" s="431">
        <f>'Fiche info CDD_ Avenant 1'!$AP$8</f>
        <v>0</v>
      </c>
      <c r="ED528" s="16" t="str">
        <f t="shared" si="117"/>
        <v>Fiche info CDD_ Avenant 1D</v>
      </c>
      <c r="EE528" s="16" t="str">
        <f t="shared" si="119"/>
        <v>Fiche info CDD_ Avenant 1</v>
      </c>
      <c r="EF528" s="16" t="str">
        <f t="shared" si="120"/>
        <v>D</v>
      </c>
      <c r="EG528" s="16">
        <f t="shared" si="121"/>
        <v>2</v>
      </c>
      <c r="EH528" s="16" t="str">
        <f t="shared" si="122"/>
        <v>Mardi</v>
      </c>
      <c r="EI528" s="16" t="str">
        <f t="shared" si="123"/>
        <v/>
      </c>
    </row>
    <row r="529" spans="1:139" x14ac:dyDescent="0.2">
      <c r="A529" s="16" t="str">
        <f t="shared" si="116"/>
        <v>Fiche info CDD_ Avenant 1D3</v>
      </c>
      <c r="B529" s="16" t="str">
        <f t="shared" si="118"/>
        <v>Fiche info CDD_ Avenant 1</v>
      </c>
      <c r="C529" s="27" t="s">
        <v>233</v>
      </c>
      <c r="D529" s="27">
        <v>3</v>
      </c>
      <c r="E529" s="16" t="s">
        <v>19</v>
      </c>
      <c r="F529" s="34" t="str">
        <f>IF(+'Fiche info CDD_ Avenant 1'!$AR$9=0,"",'Fiche info CDD_ Avenant 1'!$AR$9)</f>
        <v/>
      </c>
      <c r="G529" s="16">
        <f t="shared" si="124"/>
        <v>0</v>
      </c>
      <c r="BX529" s="16" t="str">
        <f t="shared" si="125"/>
        <v>Fiche info CDD_ Avenant 1D3</v>
      </c>
      <c r="BY529" s="431">
        <f>'Fiche info CDD_ Avenant 1'!$AI$9</f>
        <v>0</v>
      </c>
      <c r="BZ529" s="431">
        <f>'Fiche info CDD_ Avenant 1'!$AJ$9</f>
        <v>0</v>
      </c>
      <c r="CA529" s="431">
        <f>'Fiche info CDD_ Avenant 1'!$AK$9</f>
        <v>0</v>
      </c>
      <c r="CB529" s="431">
        <f>'Fiche info CDD_ Avenant 1'!$AL$9</f>
        <v>0</v>
      </c>
      <c r="CC529" s="431">
        <f>'Fiche info CDD_ Avenant 1'!$AM$9</f>
        <v>0</v>
      </c>
      <c r="CD529" s="431">
        <f>'Fiche info CDD_ Avenant 1'!$AN$9</f>
        <v>0</v>
      </c>
      <c r="CE529" s="431">
        <f>'Fiche info CDD_ Avenant 1'!$AO$9</f>
        <v>0</v>
      </c>
      <c r="CF529" s="431">
        <f>'Fiche info CDD_ Avenant 1'!$AP$9</f>
        <v>0</v>
      </c>
      <c r="ED529" s="16" t="str">
        <f t="shared" si="117"/>
        <v>Fiche info CDD_ Avenant 1D</v>
      </c>
      <c r="EE529" s="16" t="str">
        <f t="shared" si="119"/>
        <v>Fiche info CDD_ Avenant 1</v>
      </c>
      <c r="EF529" s="16" t="str">
        <f t="shared" si="120"/>
        <v>D</v>
      </c>
      <c r="EG529" s="16">
        <f t="shared" si="121"/>
        <v>3</v>
      </c>
      <c r="EH529" s="16" t="str">
        <f t="shared" si="122"/>
        <v>Mercredi</v>
      </c>
      <c r="EI529" s="16" t="str">
        <f t="shared" si="123"/>
        <v/>
      </c>
    </row>
    <row r="530" spans="1:139" x14ac:dyDescent="0.2">
      <c r="A530" s="16" t="str">
        <f t="shared" si="116"/>
        <v>Fiche info CDD_ Avenant 1D4</v>
      </c>
      <c r="B530" s="16" t="str">
        <f t="shared" si="118"/>
        <v>Fiche info CDD_ Avenant 1</v>
      </c>
      <c r="C530" s="27" t="s">
        <v>233</v>
      </c>
      <c r="D530" s="27">
        <v>4</v>
      </c>
      <c r="E530" s="16" t="s">
        <v>20</v>
      </c>
      <c r="F530" s="34" t="str">
        <f>IF(+'Fiche info CDD_ Avenant 1'!$AR$10=0,"",'Fiche info CDD_ Avenant 1'!$AR$10)</f>
        <v/>
      </c>
      <c r="G530" s="16">
        <f t="shared" si="124"/>
        <v>0</v>
      </c>
      <c r="BX530" s="16" t="str">
        <f t="shared" si="125"/>
        <v>Fiche info CDD_ Avenant 1D4</v>
      </c>
      <c r="BY530" s="431">
        <f>'Fiche info CDD_ Avenant 1'!$AI$10</f>
        <v>0</v>
      </c>
      <c r="BZ530" s="431">
        <f>'Fiche info CDD_ Avenant 1'!$AJ$10</f>
        <v>0</v>
      </c>
      <c r="CA530" s="431">
        <f>'Fiche info CDD_ Avenant 1'!$AK$10</f>
        <v>0</v>
      </c>
      <c r="CB530" s="431">
        <f>'Fiche info CDD_ Avenant 1'!$AL$10</f>
        <v>0</v>
      </c>
      <c r="CC530" s="431">
        <f>'Fiche info CDD_ Avenant 1'!$AM$10</f>
        <v>0</v>
      </c>
      <c r="CD530" s="431">
        <f>'Fiche info CDD_ Avenant 1'!$AN$10</f>
        <v>0</v>
      </c>
      <c r="CE530" s="431">
        <f>'Fiche info CDD_ Avenant 1'!$AO$10</f>
        <v>0</v>
      </c>
      <c r="CF530" s="431">
        <f>'Fiche info CDD_ Avenant 1'!$AP$10</f>
        <v>0</v>
      </c>
      <c r="ED530" s="16" t="str">
        <f t="shared" si="117"/>
        <v>Fiche info CDD_ Avenant 1D</v>
      </c>
      <c r="EE530" s="16" t="str">
        <f t="shared" si="119"/>
        <v>Fiche info CDD_ Avenant 1</v>
      </c>
      <c r="EF530" s="16" t="str">
        <f t="shared" si="120"/>
        <v>D</v>
      </c>
      <c r="EG530" s="16">
        <f t="shared" si="121"/>
        <v>4</v>
      </c>
      <c r="EH530" s="16" t="str">
        <f t="shared" si="122"/>
        <v>Jeudi</v>
      </c>
      <c r="EI530" s="16" t="str">
        <f t="shared" si="123"/>
        <v/>
      </c>
    </row>
    <row r="531" spans="1:139" x14ac:dyDescent="0.2">
      <c r="A531" s="16" t="str">
        <f t="shared" si="116"/>
        <v>Fiche info CDD_ Avenant 1D5</v>
      </c>
      <c r="B531" s="16" t="str">
        <f t="shared" si="118"/>
        <v>Fiche info CDD_ Avenant 1</v>
      </c>
      <c r="C531" s="27" t="s">
        <v>233</v>
      </c>
      <c r="D531" s="27">
        <v>5</v>
      </c>
      <c r="E531" s="16" t="s">
        <v>21</v>
      </c>
      <c r="F531" s="34" t="str">
        <f>IF(+'Fiche info CDD_ Avenant 1'!$AR$11=0,"",'Fiche info CDD_ Avenant 1'!$AR$11)</f>
        <v/>
      </c>
      <c r="G531" s="16">
        <f t="shared" si="124"/>
        <v>0</v>
      </c>
      <c r="BX531" s="16" t="str">
        <f t="shared" si="125"/>
        <v>Fiche info CDD_ Avenant 1D5</v>
      </c>
      <c r="BY531" s="431">
        <f>'Fiche info CDD_ Avenant 1'!$AI$11</f>
        <v>0</v>
      </c>
      <c r="BZ531" s="431">
        <f>'Fiche info CDD_ Avenant 1'!$AJ$11</f>
        <v>0</v>
      </c>
      <c r="CA531" s="431">
        <f>'Fiche info CDD_ Avenant 1'!$AK$11</f>
        <v>0</v>
      </c>
      <c r="CB531" s="431">
        <f>'Fiche info CDD_ Avenant 1'!$AL$11</f>
        <v>0</v>
      </c>
      <c r="CC531" s="431">
        <f>'Fiche info CDD_ Avenant 1'!$AM$11</f>
        <v>0</v>
      </c>
      <c r="CD531" s="431">
        <f>'Fiche info CDD_ Avenant 1'!$AN$11</f>
        <v>0</v>
      </c>
      <c r="CE531" s="431">
        <f>'Fiche info CDD_ Avenant 1'!$AO$11</f>
        <v>0</v>
      </c>
      <c r="CF531" s="431">
        <f>'Fiche info CDD_ Avenant 1'!$AP$11</f>
        <v>0</v>
      </c>
      <c r="ED531" s="16" t="str">
        <f t="shared" si="117"/>
        <v>Fiche info CDD_ Avenant 1D</v>
      </c>
      <c r="EE531" s="16" t="str">
        <f t="shared" si="119"/>
        <v>Fiche info CDD_ Avenant 1</v>
      </c>
      <c r="EF531" s="16" t="str">
        <f t="shared" si="120"/>
        <v>D</v>
      </c>
      <c r="EG531" s="16">
        <f t="shared" si="121"/>
        <v>5</v>
      </c>
      <c r="EH531" s="16" t="str">
        <f t="shared" si="122"/>
        <v>Vendredi</v>
      </c>
      <c r="EI531" s="16" t="str">
        <f t="shared" si="123"/>
        <v/>
      </c>
    </row>
    <row r="532" spans="1:139" x14ac:dyDescent="0.2">
      <c r="A532" s="16" t="str">
        <f t="shared" si="116"/>
        <v>Fiche info CDD_ Avenant 1D6</v>
      </c>
      <c r="B532" s="16" t="str">
        <f t="shared" si="118"/>
        <v>Fiche info CDD_ Avenant 1</v>
      </c>
      <c r="C532" s="27" t="s">
        <v>233</v>
      </c>
      <c r="D532" s="27">
        <v>6</v>
      </c>
      <c r="E532" s="16" t="s">
        <v>184</v>
      </c>
      <c r="F532" s="34" t="str">
        <f>IF(+'Fiche info CDD_ Avenant 1'!$AR$12=0,"",'Fiche info CDD_ Avenant 1'!$AR$12)</f>
        <v/>
      </c>
      <c r="G532" s="16">
        <f t="shared" si="124"/>
        <v>0</v>
      </c>
      <c r="BX532" s="16" t="str">
        <f t="shared" si="125"/>
        <v>Fiche info CDD_ Avenant 1D6</v>
      </c>
      <c r="BY532" s="431">
        <f>'Fiche info CDD_ Avenant 1'!$AI$12</f>
        <v>0</v>
      </c>
      <c r="BZ532" s="431">
        <f>'Fiche info CDD_ Avenant 1'!$AJ$12</f>
        <v>0</v>
      </c>
      <c r="CA532" s="431">
        <f>'Fiche info CDD_ Avenant 1'!$AK$12</f>
        <v>0</v>
      </c>
      <c r="CB532" s="431">
        <f>'Fiche info CDD_ Avenant 1'!$AL$12</f>
        <v>0</v>
      </c>
      <c r="CC532" s="431">
        <f>'Fiche info CDD_ Avenant 1'!$AM$12</f>
        <v>0</v>
      </c>
      <c r="CD532" s="431">
        <f>'Fiche info CDD_ Avenant 1'!$AN$12</f>
        <v>0</v>
      </c>
      <c r="CE532" s="431">
        <f>'Fiche info CDD_ Avenant 1'!$AO$12</f>
        <v>0</v>
      </c>
      <c r="CF532" s="431">
        <f>'Fiche info CDD_ Avenant 1'!$AP$12</f>
        <v>0</v>
      </c>
      <c r="ED532" s="16" t="str">
        <f t="shared" si="117"/>
        <v>Fiche info CDD_ Avenant 1D</v>
      </c>
      <c r="EE532" s="16" t="str">
        <f t="shared" si="119"/>
        <v>Fiche info CDD_ Avenant 1</v>
      </c>
      <c r="EF532" s="16" t="str">
        <f t="shared" si="120"/>
        <v>D</v>
      </c>
      <c r="EG532" s="16">
        <f t="shared" si="121"/>
        <v>6</v>
      </c>
      <c r="EH532" s="16" t="str">
        <f t="shared" si="122"/>
        <v>Samedi</v>
      </c>
      <c r="EI532" s="16" t="str">
        <f t="shared" si="123"/>
        <v/>
      </c>
    </row>
    <row r="533" spans="1:139" x14ac:dyDescent="0.2">
      <c r="A533" s="16" t="str">
        <f t="shared" si="116"/>
        <v>Fiche info CDD_ Avenant 1D7</v>
      </c>
      <c r="B533" s="16" t="str">
        <f t="shared" si="118"/>
        <v>Fiche info CDD_ Avenant 1</v>
      </c>
      <c r="C533" s="27" t="s">
        <v>233</v>
      </c>
      <c r="D533" s="27">
        <v>7</v>
      </c>
      <c r="E533" s="16" t="s">
        <v>185</v>
      </c>
      <c r="F533" s="34" t="str">
        <f>IF(+'Fiche info CDD_ Avenant 1'!$AR$13=0,"",'Fiche info CDD_ Avenant 1'!$AR$13)</f>
        <v/>
      </c>
      <c r="G533" s="16">
        <f t="shared" si="124"/>
        <v>0</v>
      </c>
      <c r="BX533" s="16" t="str">
        <f t="shared" si="125"/>
        <v>Fiche info CDD_ Avenant 1D7</v>
      </c>
      <c r="BY533" s="431">
        <f>'Fiche info CDD_ Avenant 1'!$AI$13</f>
        <v>0</v>
      </c>
      <c r="BZ533" s="431">
        <f>'Fiche info CDD_ Avenant 1'!$AJ$13</f>
        <v>0</v>
      </c>
      <c r="CA533" s="431">
        <f>'Fiche info CDD_ Avenant 1'!$AK$13</f>
        <v>0</v>
      </c>
      <c r="CB533" s="431">
        <f>'Fiche info CDD_ Avenant 1'!$AL$13</f>
        <v>0</v>
      </c>
      <c r="CC533" s="431">
        <f>'Fiche info CDD_ Avenant 1'!$AM$13</f>
        <v>0</v>
      </c>
      <c r="CD533" s="431">
        <f>'Fiche info CDD_ Avenant 1'!$AN$13</f>
        <v>0</v>
      </c>
      <c r="CE533" s="431">
        <f>'Fiche info CDD_ Avenant 1'!$AO$13</f>
        <v>0</v>
      </c>
      <c r="CF533" s="431">
        <f>'Fiche info CDD_ Avenant 1'!$AP$13</f>
        <v>0</v>
      </c>
      <c r="ED533" s="16" t="str">
        <f t="shared" si="117"/>
        <v>Fiche info CDD_ Avenant 1D</v>
      </c>
      <c r="EE533" s="16" t="str">
        <f t="shared" si="119"/>
        <v>Fiche info CDD_ Avenant 1</v>
      </c>
      <c r="EF533" s="16" t="str">
        <f t="shared" si="120"/>
        <v>D</v>
      </c>
      <c r="EG533" s="16">
        <f t="shared" si="121"/>
        <v>7</v>
      </c>
      <c r="EH533" s="16" t="str">
        <f t="shared" si="122"/>
        <v>Dimanche</v>
      </c>
      <c r="EI533" s="16" t="str">
        <f t="shared" si="123"/>
        <v/>
      </c>
    </row>
    <row r="534" spans="1:139" x14ac:dyDescent="0.2">
      <c r="A534" s="16" t="str">
        <f t="shared" si="116"/>
        <v>Fiche info CDD_ Avenant 1E1</v>
      </c>
      <c r="B534" s="16" t="str">
        <f t="shared" si="118"/>
        <v>Fiche info CDD_ Avenant 1</v>
      </c>
      <c r="C534" s="27" t="s">
        <v>234</v>
      </c>
      <c r="D534" s="27">
        <v>1</v>
      </c>
      <c r="E534" s="16" t="s">
        <v>17</v>
      </c>
      <c r="F534" s="34" t="str">
        <f>IF(+'Fiche info CDD_ Avenant 1'!$BC$7=0,"",'Fiche info CDD_ Avenant 1'!$BC$7)</f>
        <v/>
      </c>
      <c r="G534" s="16">
        <f t="shared" si="124"/>
        <v>0</v>
      </c>
      <c r="BX534" s="16" t="str">
        <f t="shared" si="125"/>
        <v>Fiche info CDD_ Avenant 1E1</v>
      </c>
      <c r="BY534" s="431">
        <f>'Fiche info CDD_ Avenant 1'!$AT$7</f>
        <v>0</v>
      </c>
      <c r="BZ534" s="431">
        <f>'Fiche info CDD_ Avenant 1'!$AU$7</f>
        <v>0</v>
      </c>
      <c r="CA534" s="431">
        <f>'Fiche info CDD_ Avenant 1'!$AV$7</f>
        <v>0</v>
      </c>
      <c r="CB534" s="431">
        <f>'Fiche info CDD_ Avenant 1'!$AW$7</f>
        <v>0</v>
      </c>
      <c r="CC534" s="431">
        <f>'Fiche info CDD_ Avenant 1'!$AX$7</f>
        <v>0</v>
      </c>
      <c r="CD534" s="431">
        <f>'Fiche info CDD_ Avenant 1'!$AY$7</f>
        <v>0</v>
      </c>
      <c r="CE534" s="431">
        <f>'Fiche info CDD_ Avenant 1'!$AZ$7</f>
        <v>0</v>
      </c>
      <c r="CF534" s="431">
        <f>'Fiche info CDD_ Avenant 1'!$BA$7</f>
        <v>0</v>
      </c>
      <c r="ED534" s="16" t="str">
        <f t="shared" si="117"/>
        <v>Fiche info CDD_ Avenant 1E</v>
      </c>
      <c r="EE534" s="16" t="str">
        <f t="shared" si="119"/>
        <v>Fiche info CDD_ Avenant 1</v>
      </c>
      <c r="EF534" s="16" t="str">
        <f t="shared" si="120"/>
        <v>E</v>
      </c>
      <c r="EG534" s="16">
        <f t="shared" si="121"/>
        <v>1</v>
      </c>
      <c r="EH534" s="16" t="str">
        <f t="shared" si="122"/>
        <v>Lundi</v>
      </c>
      <c r="EI534" s="16" t="str">
        <f t="shared" si="123"/>
        <v/>
      </c>
    </row>
    <row r="535" spans="1:139" x14ac:dyDescent="0.2">
      <c r="A535" s="16" t="str">
        <f t="shared" si="116"/>
        <v>Fiche info CDD_ Avenant 1E2</v>
      </c>
      <c r="B535" s="16" t="str">
        <f t="shared" si="118"/>
        <v>Fiche info CDD_ Avenant 1</v>
      </c>
      <c r="C535" s="27" t="s">
        <v>234</v>
      </c>
      <c r="D535" s="27">
        <v>2</v>
      </c>
      <c r="E535" s="16" t="s">
        <v>18</v>
      </c>
      <c r="F535" s="34" t="str">
        <f>IF(+'Fiche info CDD_ Avenant 1'!$BC$8=0,"",'Fiche info CDD_ Avenant 1'!$BC$8)</f>
        <v/>
      </c>
      <c r="G535" s="16">
        <f t="shared" si="124"/>
        <v>0</v>
      </c>
      <c r="BX535" s="16" t="str">
        <f t="shared" si="125"/>
        <v>Fiche info CDD_ Avenant 1E2</v>
      </c>
      <c r="BY535" s="431">
        <f>'Fiche info CDD_ Avenant 1'!$AT$8</f>
        <v>0</v>
      </c>
      <c r="BZ535" s="431">
        <f>'Fiche info CDD_ Avenant 1'!$AU$8</f>
        <v>0</v>
      </c>
      <c r="CA535" s="431">
        <f>'Fiche info CDD_ Avenant 1'!$AV$8</f>
        <v>0</v>
      </c>
      <c r="CB535" s="431">
        <f>'Fiche info CDD_ Avenant 1'!$AW$8</f>
        <v>0</v>
      </c>
      <c r="CC535" s="431">
        <f>'Fiche info CDD_ Avenant 1'!$AX$8</f>
        <v>0</v>
      </c>
      <c r="CD535" s="431">
        <f>'Fiche info CDD_ Avenant 1'!$AY$8</f>
        <v>0</v>
      </c>
      <c r="CE535" s="431">
        <f>'Fiche info CDD_ Avenant 1'!$AZ$8</f>
        <v>0</v>
      </c>
      <c r="CF535" s="431">
        <f>'Fiche info CDD_ Avenant 1'!$BA$8</f>
        <v>0</v>
      </c>
      <c r="ED535" s="16" t="str">
        <f t="shared" si="117"/>
        <v>Fiche info CDD_ Avenant 1E</v>
      </c>
      <c r="EE535" s="16" t="str">
        <f t="shared" si="119"/>
        <v>Fiche info CDD_ Avenant 1</v>
      </c>
      <c r="EF535" s="16" t="str">
        <f t="shared" si="120"/>
        <v>E</v>
      </c>
      <c r="EG535" s="16">
        <f t="shared" si="121"/>
        <v>2</v>
      </c>
      <c r="EH535" s="16" t="str">
        <f t="shared" si="122"/>
        <v>Mardi</v>
      </c>
      <c r="EI535" s="16" t="str">
        <f t="shared" si="123"/>
        <v/>
      </c>
    </row>
    <row r="536" spans="1:139" x14ac:dyDescent="0.2">
      <c r="A536" s="16" t="str">
        <f t="shared" si="116"/>
        <v>Fiche info CDD_ Avenant 1E3</v>
      </c>
      <c r="B536" s="16" t="str">
        <f t="shared" si="118"/>
        <v>Fiche info CDD_ Avenant 1</v>
      </c>
      <c r="C536" s="27" t="s">
        <v>234</v>
      </c>
      <c r="D536" s="27">
        <v>3</v>
      </c>
      <c r="E536" s="16" t="s">
        <v>19</v>
      </c>
      <c r="F536" s="34" t="str">
        <f>IF(+'Fiche info CDD_ Avenant 1'!$BC$9=0,"",'Fiche info CDD_ Avenant 1'!$BC$9)</f>
        <v/>
      </c>
      <c r="G536" s="16">
        <f t="shared" si="124"/>
        <v>0</v>
      </c>
      <c r="BX536" s="16" t="str">
        <f t="shared" si="125"/>
        <v>Fiche info CDD_ Avenant 1E3</v>
      </c>
      <c r="BY536" s="431">
        <f>'Fiche info CDD_ Avenant 1'!$AT$9</f>
        <v>0</v>
      </c>
      <c r="BZ536" s="431">
        <f>'Fiche info CDD_ Avenant 1'!$AU$9</f>
        <v>0</v>
      </c>
      <c r="CA536" s="431">
        <f>'Fiche info CDD_ Avenant 1'!$AV$9</f>
        <v>0</v>
      </c>
      <c r="CB536" s="431">
        <f>'Fiche info CDD_ Avenant 1'!$AW$9</f>
        <v>0</v>
      </c>
      <c r="CC536" s="431">
        <f>'Fiche info CDD_ Avenant 1'!$AX$9</f>
        <v>0</v>
      </c>
      <c r="CD536" s="431">
        <f>'Fiche info CDD_ Avenant 1'!$AY$9</f>
        <v>0</v>
      </c>
      <c r="CE536" s="431">
        <f>'Fiche info CDD_ Avenant 1'!$AZ$9</f>
        <v>0</v>
      </c>
      <c r="CF536" s="431">
        <f>'Fiche info CDD_ Avenant 1'!$BA$9</f>
        <v>0</v>
      </c>
      <c r="ED536" s="16" t="str">
        <f t="shared" si="117"/>
        <v>Fiche info CDD_ Avenant 1E</v>
      </c>
      <c r="EE536" s="16" t="str">
        <f t="shared" si="119"/>
        <v>Fiche info CDD_ Avenant 1</v>
      </c>
      <c r="EF536" s="16" t="str">
        <f t="shared" si="120"/>
        <v>E</v>
      </c>
      <c r="EG536" s="16">
        <f t="shared" si="121"/>
        <v>3</v>
      </c>
      <c r="EH536" s="16" t="str">
        <f t="shared" si="122"/>
        <v>Mercredi</v>
      </c>
      <c r="EI536" s="16" t="str">
        <f t="shared" si="123"/>
        <v/>
      </c>
    </row>
    <row r="537" spans="1:139" x14ac:dyDescent="0.2">
      <c r="A537" s="16" t="str">
        <f t="shared" si="116"/>
        <v>Fiche info CDD_ Avenant 1E4</v>
      </c>
      <c r="B537" s="16" t="str">
        <f t="shared" si="118"/>
        <v>Fiche info CDD_ Avenant 1</v>
      </c>
      <c r="C537" s="27" t="s">
        <v>234</v>
      </c>
      <c r="D537" s="27">
        <v>4</v>
      </c>
      <c r="E537" s="16" t="s">
        <v>20</v>
      </c>
      <c r="F537" s="34" t="str">
        <f>IF(+'Fiche info CDD_ Avenant 1'!$BC$10=0,"",'Fiche info CDD_ Avenant 1'!$BC$10)</f>
        <v/>
      </c>
      <c r="G537" s="16">
        <f t="shared" si="124"/>
        <v>0</v>
      </c>
      <c r="BX537" s="16" t="str">
        <f t="shared" si="125"/>
        <v>Fiche info CDD_ Avenant 1E4</v>
      </c>
      <c r="BY537" s="431">
        <f>'Fiche info CDD_ Avenant 1'!$AT$10</f>
        <v>0</v>
      </c>
      <c r="BZ537" s="431">
        <f>'Fiche info CDD_ Avenant 1'!$AU$10</f>
        <v>0</v>
      </c>
      <c r="CA537" s="431">
        <f>'Fiche info CDD_ Avenant 1'!$AV$10</f>
        <v>0</v>
      </c>
      <c r="CB537" s="431">
        <f>'Fiche info CDD_ Avenant 1'!$AW$10</f>
        <v>0</v>
      </c>
      <c r="CC537" s="431">
        <f>'Fiche info CDD_ Avenant 1'!$AX$10</f>
        <v>0</v>
      </c>
      <c r="CD537" s="431">
        <f>'Fiche info CDD_ Avenant 1'!$AY$10</f>
        <v>0</v>
      </c>
      <c r="CE537" s="431">
        <f>'Fiche info CDD_ Avenant 1'!$AZ$10</f>
        <v>0</v>
      </c>
      <c r="CF537" s="431">
        <f>'Fiche info CDD_ Avenant 1'!$BA$10</f>
        <v>0</v>
      </c>
      <c r="ED537" s="16" t="str">
        <f t="shared" si="117"/>
        <v>Fiche info CDD_ Avenant 1E</v>
      </c>
      <c r="EE537" s="16" t="str">
        <f t="shared" si="119"/>
        <v>Fiche info CDD_ Avenant 1</v>
      </c>
      <c r="EF537" s="16" t="str">
        <f t="shared" si="120"/>
        <v>E</v>
      </c>
      <c r="EG537" s="16">
        <f t="shared" si="121"/>
        <v>4</v>
      </c>
      <c r="EH537" s="16" t="str">
        <f t="shared" si="122"/>
        <v>Jeudi</v>
      </c>
      <c r="EI537" s="16" t="str">
        <f t="shared" si="123"/>
        <v/>
      </c>
    </row>
    <row r="538" spans="1:139" x14ac:dyDescent="0.2">
      <c r="A538" s="16" t="str">
        <f t="shared" si="116"/>
        <v>Fiche info CDD_ Avenant 1E5</v>
      </c>
      <c r="B538" s="16" t="str">
        <f t="shared" si="118"/>
        <v>Fiche info CDD_ Avenant 1</v>
      </c>
      <c r="C538" s="27" t="s">
        <v>234</v>
      </c>
      <c r="D538" s="27">
        <v>5</v>
      </c>
      <c r="E538" s="16" t="s">
        <v>21</v>
      </c>
      <c r="F538" s="34" t="str">
        <f>IF(+'Fiche info CDD_ Avenant 1'!$BC$11=0,"",'Fiche info CDD_ Avenant 1'!$BC$11)</f>
        <v/>
      </c>
      <c r="G538" s="16">
        <f t="shared" si="124"/>
        <v>0</v>
      </c>
      <c r="BX538" s="16" t="str">
        <f t="shared" si="125"/>
        <v>Fiche info CDD_ Avenant 1E5</v>
      </c>
      <c r="BY538" s="431">
        <f>'Fiche info CDD_ Avenant 1'!$AT$11</f>
        <v>0</v>
      </c>
      <c r="BZ538" s="431">
        <f>'Fiche info CDD_ Avenant 1'!$AU$11</f>
        <v>0</v>
      </c>
      <c r="CA538" s="431">
        <f>'Fiche info CDD_ Avenant 1'!$AV$11</f>
        <v>0</v>
      </c>
      <c r="CB538" s="431">
        <f>'Fiche info CDD_ Avenant 1'!$AW$11</f>
        <v>0</v>
      </c>
      <c r="CC538" s="431">
        <f>'Fiche info CDD_ Avenant 1'!$AX$11</f>
        <v>0</v>
      </c>
      <c r="CD538" s="431">
        <f>'Fiche info CDD_ Avenant 1'!$AY$11</f>
        <v>0</v>
      </c>
      <c r="CE538" s="431">
        <f>'Fiche info CDD_ Avenant 1'!$AZ$11</f>
        <v>0</v>
      </c>
      <c r="CF538" s="431">
        <f>'Fiche info CDD_ Avenant 1'!$BA$11</f>
        <v>0</v>
      </c>
      <c r="ED538" s="16" t="str">
        <f t="shared" si="117"/>
        <v>Fiche info CDD_ Avenant 1E</v>
      </c>
      <c r="EE538" s="16" t="str">
        <f t="shared" si="119"/>
        <v>Fiche info CDD_ Avenant 1</v>
      </c>
      <c r="EF538" s="16" t="str">
        <f t="shared" si="120"/>
        <v>E</v>
      </c>
      <c r="EG538" s="16">
        <f t="shared" si="121"/>
        <v>5</v>
      </c>
      <c r="EH538" s="16" t="str">
        <f t="shared" si="122"/>
        <v>Vendredi</v>
      </c>
      <c r="EI538" s="16" t="str">
        <f t="shared" si="123"/>
        <v/>
      </c>
    </row>
    <row r="539" spans="1:139" x14ac:dyDescent="0.2">
      <c r="A539" s="16" t="str">
        <f t="shared" si="116"/>
        <v>Fiche info CDD_ Avenant 1E6</v>
      </c>
      <c r="B539" s="16" t="str">
        <f t="shared" si="118"/>
        <v>Fiche info CDD_ Avenant 1</v>
      </c>
      <c r="C539" s="27" t="s">
        <v>234</v>
      </c>
      <c r="D539" s="27">
        <v>6</v>
      </c>
      <c r="E539" s="16" t="s">
        <v>184</v>
      </c>
      <c r="F539" s="34" t="str">
        <f>IF(+'Fiche info CDD_ Avenant 1'!$BC$12=0,"",'Fiche info CDD_ Avenant 1'!$BC$12)</f>
        <v/>
      </c>
      <c r="G539" s="16">
        <f t="shared" si="124"/>
        <v>0</v>
      </c>
      <c r="BX539" s="16" t="str">
        <f t="shared" si="125"/>
        <v>Fiche info CDD_ Avenant 1E6</v>
      </c>
      <c r="BY539" s="431">
        <f>'Fiche info CDD_ Avenant 1'!$AT$12</f>
        <v>0</v>
      </c>
      <c r="BZ539" s="431">
        <f>'Fiche info CDD_ Avenant 1'!$AU$12</f>
        <v>0</v>
      </c>
      <c r="CA539" s="431">
        <f>'Fiche info CDD_ Avenant 1'!$AV$12</f>
        <v>0</v>
      </c>
      <c r="CB539" s="431">
        <f>'Fiche info CDD_ Avenant 1'!$AW$12</f>
        <v>0</v>
      </c>
      <c r="CC539" s="431">
        <f>'Fiche info CDD_ Avenant 1'!$AX$12</f>
        <v>0</v>
      </c>
      <c r="CD539" s="431">
        <f>'Fiche info CDD_ Avenant 1'!$AY$12</f>
        <v>0</v>
      </c>
      <c r="CE539" s="431">
        <f>'Fiche info CDD_ Avenant 1'!$AZ$12</f>
        <v>0</v>
      </c>
      <c r="CF539" s="431">
        <f>'Fiche info CDD_ Avenant 1'!$BA$12</f>
        <v>0</v>
      </c>
      <c r="ED539" s="16" t="str">
        <f t="shared" si="117"/>
        <v>Fiche info CDD_ Avenant 1E</v>
      </c>
      <c r="EE539" s="16" t="str">
        <f t="shared" si="119"/>
        <v>Fiche info CDD_ Avenant 1</v>
      </c>
      <c r="EF539" s="16" t="str">
        <f t="shared" si="120"/>
        <v>E</v>
      </c>
      <c r="EG539" s="16">
        <f t="shared" si="121"/>
        <v>6</v>
      </c>
      <c r="EH539" s="16" t="str">
        <f t="shared" si="122"/>
        <v>Samedi</v>
      </c>
      <c r="EI539" s="16" t="str">
        <f t="shared" si="123"/>
        <v/>
      </c>
    </row>
    <row r="540" spans="1:139" x14ac:dyDescent="0.2">
      <c r="A540" s="16" t="str">
        <f t="shared" si="116"/>
        <v>Fiche info CDD_ Avenant 1E7</v>
      </c>
      <c r="B540" s="16" t="str">
        <f t="shared" si="118"/>
        <v>Fiche info CDD_ Avenant 1</v>
      </c>
      <c r="C540" s="27" t="s">
        <v>234</v>
      </c>
      <c r="D540" s="27">
        <v>7</v>
      </c>
      <c r="E540" s="16" t="s">
        <v>185</v>
      </c>
      <c r="F540" s="34" t="str">
        <f>IF(+'Fiche info CDD_ Avenant 1'!$BC$13=0,"",'Fiche info CDD_ Avenant 1'!$BC$13)</f>
        <v/>
      </c>
      <c r="G540" s="16">
        <f t="shared" si="124"/>
        <v>0</v>
      </c>
      <c r="BX540" s="16" t="str">
        <f t="shared" si="125"/>
        <v>Fiche info CDD_ Avenant 1E7</v>
      </c>
      <c r="BY540" s="431">
        <f>'Fiche info CDD_ Avenant 1'!$AT$13</f>
        <v>0</v>
      </c>
      <c r="BZ540" s="431">
        <f>'Fiche info CDD_ Avenant 1'!$AU$13</f>
        <v>0</v>
      </c>
      <c r="CA540" s="431">
        <f>'Fiche info CDD_ Avenant 1'!$AV$13</f>
        <v>0</v>
      </c>
      <c r="CB540" s="431">
        <f>'Fiche info CDD_ Avenant 1'!$AW$13</f>
        <v>0</v>
      </c>
      <c r="CC540" s="431">
        <f>'Fiche info CDD_ Avenant 1'!$AX$13</f>
        <v>0</v>
      </c>
      <c r="CD540" s="431">
        <f>'Fiche info CDD_ Avenant 1'!$AY$13</f>
        <v>0</v>
      </c>
      <c r="CE540" s="431">
        <f>'Fiche info CDD_ Avenant 1'!$AZ$13</f>
        <v>0</v>
      </c>
      <c r="CF540" s="431">
        <f>'Fiche info CDD_ Avenant 1'!$BA$13</f>
        <v>0</v>
      </c>
      <c r="ED540" s="16" t="str">
        <f t="shared" si="117"/>
        <v>Fiche info CDD_ Avenant 1E</v>
      </c>
      <c r="EE540" s="16" t="str">
        <f t="shared" si="119"/>
        <v>Fiche info CDD_ Avenant 1</v>
      </c>
      <c r="EF540" s="16" t="str">
        <f t="shared" si="120"/>
        <v>E</v>
      </c>
      <c r="EG540" s="16">
        <f t="shared" si="121"/>
        <v>7</v>
      </c>
      <c r="EH540" s="16" t="str">
        <f t="shared" si="122"/>
        <v>Dimanche</v>
      </c>
      <c r="EI540" s="16" t="str">
        <f t="shared" si="123"/>
        <v/>
      </c>
    </row>
    <row r="541" spans="1:139" x14ac:dyDescent="0.2">
      <c r="A541" s="16" t="str">
        <f t="shared" si="116"/>
        <v>Fiche info CDD_ Avenant 1F1</v>
      </c>
      <c r="B541" s="16" t="str">
        <f t="shared" si="118"/>
        <v>Fiche info CDD_ Avenant 1</v>
      </c>
      <c r="C541" s="27" t="s">
        <v>235</v>
      </c>
      <c r="D541" s="27">
        <v>1</v>
      </c>
      <c r="E541" s="16" t="s">
        <v>17</v>
      </c>
      <c r="F541" s="34" t="str">
        <f>+IF('Fiche info CDD_ Avenant 1'!$BN$7=0,"",'Fiche info CDD_ Avenant 1'!$BN$7)</f>
        <v/>
      </c>
      <c r="G541" s="16">
        <f t="shared" si="124"/>
        <v>0</v>
      </c>
      <c r="BX541" s="16" t="str">
        <f t="shared" si="125"/>
        <v>Fiche info CDD_ Avenant 1F1</v>
      </c>
      <c r="BY541" s="431">
        <f>'Fiche info CDD_ Avenant 1'!$BE$7</f>
        <v>0</v>
      </c>
      <c r="BZ541" s="431">
        <f>'Fiche info CDD_ Avenant 1'!$BF$7</f>
        <v>0</v>
      </c>
      <c r="CA541" s="431">
        <f>'Fiche info CDD_ Avenant 1'!$BG$7</f>
        <v>0</v>
      </c>
      <c r="CB541" s="431">
        <f>'Fiche info CDD_ Avenant 1'!$BH$7</f>
        <v>0</v>
      </c>
      <c r="CC541" s="431">
        <f>'Fiche info CDD_ Avenant 1'!$BI$7</f>
        <v>0</v>
      </c>
      <c r="CD541" s="431">
        <f>'Fiche info CDD_ Avenant 1'!$BJ$7</f>
        <v>0</v>
      </c>
      <c r="CE541" s="431">
        <f>'Fiche info CDD_ Avenant 1'!$BK$7</f>
        <v>0</v>
      </c>
      <c r="CF541" s="431">
        <f>'Fiche info CDD_ Avenant 1'!$BL$7</f>
        <v>0</v>
      </c>
      <c r="ED541" s="16" t="str">
        <f t="shared" si="117"/>
        <v>Fiche info CDD_ Avenant 1F</v>
      </c>
      <c r="EE541" s="16" t="str">
        <f t="shared" si="119"/>
        <v>Fiche info CDD_ Avenant 1</v>
      </c>
      <c r="EF541" s="16" t="str">
        <f t="shared" si="120"/>
        <v>F</v>
      </c>
      <c r="EG541" s="16">
        <f t="shared" si="121"/>
        <v>1</v>
      </c>
      <c r="EH541" s="16" t="str">
        <f t="shared" si="122"/>
        <v>Lundi</v>
      </c>
      <c r="EI541" s="16" t="str">
        <f t="shared" si="123"/>
        <v/>
      </c>
    </row>
    <row r="542" spans="1:139" x14ac:dyDescent="0.2">
      <c r="A542" s="16" t="str">
        <f t="shared" si="116"/>
        <v>Fiche info CDD_ Avenant 1F2</v>
      </c>
      <c r="B542" s="16" t="str">
        <f t="shared" si="118"/>
        <v>Fiche info CDD_ Avenant 1</v>
      </c>
      <c r="C542" s="27" t="s">
        <v>235</v>
      </c>
      <c r="D542" s="27">
        <v>2</v>
      </c>
      <c r="E542" s="16" t="s">
        <v>18</v>
      </c>
      <c r="F542" s="34" t="str">
        <f>+IF('Fiche info CDD_ Avenant 1'!$BN$8=0,"",'Fiche info CDD_ Avenant 1'!$BN$8)</f>
        <v/>
      </c>
      <c r="G542" s="16">
        <f t="shared" si="124"/>
        <v>0</v>
      </c>
      <c r="BX542" s="16" t="str">
        <f t="shared" si="125"/>
        <v>Fiche info CDD_ Avenant 1F2</v>
      </c>
      <c r="BY542" s="431">
        <f>'Fiche info CDD_ Avenant 1'!$BE$8</f>
        <v>0</v>
      </c>
      <c r="BZ542" s="431">
        <f>'Fiche info CDD_ Avenant 1'!$BF$8</f>
        <v>0</v>
      </c>
      <c r="CA542" s="431">
        <f>'Fiche info CDD_ Avenant 1'!$BG$8</f>
        <v>0</v>
      </c>
      <c r="CB542" s="431">
        <f>'Fiche info CDD_ Avenant 1'!$BH$8</f>
        <v>0</v>
      </c>
      <c r="CC542" s="431">
        <f>'Fiche info CDD_ Avenant 1'!$BI$8</f>
        <v>0</v>
      </c>
      <c r="CD542" s="431">
        <f>'Fiche info CDD_ Avenant 1'!$BJ$8</f>
        <v>0</v>
      </c>
      <c r="CE542" s="431">
        <f>'Fiche info CDD_ Avenant 1'!$BK$8</f>
        <v>0</v>
      </c>
      <c r="CF542" s="431">
        <f>'Fiche info CDD_ Avenant 1'!$BL$8</f>
        <v>0</v>
      </c>
      <c r="ED542" s="16" t="str">
        <f t="shared" si="117"/>
        <v>Fiche info CDD_ Avenant 1F</v>
      </c>
      <c r="EE542" s="16" t="str">
        <f t="shared" si="119"/>
        <v>Fiche info CDD_ Avenant 1</v>
      </c>
      <c r="EF542" s="16" t="str">
        <f t="shared" si="120"/>
        <v>F</v>
      </c>
      <c r="EG542" s="16">
        <f t="shared" si="121"/>
        <v>2</v>
      </c>
      <c r="EH542" s="16" t="str">
        <f t="shared" si="122"/>
        <v>Mardi</v>
      </c>
      <c r="EI542" s="16" t="str">
        <f t="shared" si="123"/>
        <v/>
      </c>
    </row>
    <row r="543" spans="1:139" x14ac:dyDescent="0.2">
      <c r="A543" s="16" t="str">
        <f t="shared" si="116"/>
        <v>Fiche info CDD_ Avenant 1F3</v>
      </c>
      <c r="B543" s="16" t="str">
        <f t="shared" si="118"/>
        <v>Fiche info CDD_ Avenant 1</v>
      </c>
      <c r="C543" s="27" t="s">
        <v>235</v>
      </c>
      <c r="D543" s="27">
        <v>3</v>
      </c>
      <c r="E543" s="16" t="s">
        <v>19</v>
      </c>
      <c r="F543" s="34" t="str">
        <f>+IF('Fiche info CDD_ Avenant 1'!$BN$9=0,"",'Fiche info CDD_ Avenant 1'!$BN$9)</f>
        <v/>
      </c>
      <c r="G543" s="16">
        <f t="shared" si="124"/>
        <v>0</v>
      </c>
      <c r="BX543" s="16" t="str">
        <f t="shared" si="125"/>
        <v>Fiche info CDD_ Avenant 1F3</v>
      </c>
      <c r="BY543" s="431">
        <f>'Fiche info CDD_ Avenant 1'!$BE$9</f>
        <v>0</v>
      </c>
      <c r="BZ543" s="431">
        <f>'Fiche info CDD_ Avenant 1'!$BF$9</f>
        <v>0</v>
      </c>
      <c r="CA543" s="431">
        <f>'Fiche info CDD_ Avenant 1'!$BG$9</f>
        <v>0</v>
      </c>
      <c r="CB543" s="431">
        <f>'Fiche info CDD_ Avenant 1'!$BH$9</f>
        <v>0</v>
      </c>
      <c r="CC543" s="431">
        <f>'Fiche info CDD_ Avenant 1'!$BI$9</f>
        <v>0</v>
      </c>
      <c r="CD543" s="431">
        <f>'Fiche info CDD_ Avenant 1'!$BJ$9</f>
        <v>0</v>
      </c>
      <c r="CE543" s="431">
        <f>'Fiche info CDD_ Avenant 1'!$BK$9</f>
        <v>0</v>
      </c>
      <c r="CF543" s="431">
        <f>'Fiche info CDD_ Avenant 1'!$BL$9</f>
        <v>0</v>
      </c>
      <c r="ED543" s="16" t="str">
        <f t="shared" si="117"/>
        <v>Fiche info CDD_ Avenant 1F</v>
      </c>
      <c r="EE543" s="16" t="str">
        <f t="shared" si="119"/>
        <v>Fiche info CDD_ Avenant 1</v>
      </c>
      <c r="EF543" s="16" t="str">
        <f t="shared" si="120"/>
        <v>F</v>
      </c>
      <c r="EG543" s="16">
        <f t="shared" si="121"/>
        <v>3</v>
      </c>
      <c r="EH543" s="16" t="str">
        <f t="shared" si="122"/>
        <v>Mercredi</v>
      </c>
      <c r="EI543" s="16" t="str">
        <f t="shared" si="123"/>
        <v/>
      </c>
    </row>
    <row r="544" spans="1:139" x14ac:dyDescent="0.2">
      <c r="A544" s="16" t="str">
        <f t="shared" si="116"/>
        <v>Fiche info CDD_ Avenant 1F4</v>
      </c>
      <c r="B544" s="16" t="str">
        <f t="shared" si="118"/>
        <v>Fiche info CDD_ Avenant 1</v>
      </c>
      <c r="C544" s="27" t="s">
        <v>235</v>
      </c>
      <c r="D544" s="27">
        <v>4</v>
      </c>
      <c r="E544" s="16" t="s">
        <v>20</v>
      </c>
      <c r="F544" s="34" t="str">
        <f>+IF('Fiche info CDD_ Avenant 1'!$BN$10=0,"",'Fiche info CDD_ Avenant 1'!$BN$10)</f>
        <v/>
      </c>
      <c r="G544" s="16">
        <f t="shared" si="124"/>
        <v>0</v>
      </c>
      <c r="BX544" s="16" t="str">
        <f t="shared" si="125"/>
        <v>Fiche info CDD_ Avenant 1F4</v>
      </c>
      <c r="BY544" s="431">
        <f>'Fiche info CDD_ Avenant 1'!$BE$10</f>
        <v>0</v>
      </c>
      <c r="BZ544" s="431">
        <f>'Fiche info CDD_ Avenant 1'!$BF$10</f>
        <v>0</v>
      </c>
      <c r="CA544" s="431">
        <f>'Fiche info CDD_ Avenant 1'!$BG$10</f>
        <v>0</v>
      </c>
      <c r="CB544" s="431">
        <f>'Fiche info CDD_ Avenant 1'!$BH$10</f>
        <v>0</v>
      </c>
      <c r="CC544" s="431">
        <f>'Fiche info CDD_ Avenant 1'!$BI$10</f>
        <v>0</v>
      </c>
      <c r="CD544" s="431">
        <f>'Fiche info CDD_ Avenant 1'!$BJ$10</f>
        <v>0</v>
      </c>
      <c r="CE544" s="431">
        <f>'Fiche info CDD_ Avenant 1'!$BK$10</f>
        <v>0</v>
      </c>
      <c r="CF544" s="431">
        <f>'Fiche info CDD_ Avenant 1'!$BL$10</f>
        <v>0</v>
      </c>
      <c r="ED544" s="16" t="str">
        <f t="shared" si="117"/>
        <v>Fiche info CDD_ Avenant 1F</v>
      </c>
      <c r="EE544" s="16" t="str">
        <f t="shared" si="119"/>
        <v>Fiche info CDD_ Avenant 1</v>
      </c>
      <c r="EF544" s="16" t="str">
        <f t="shared" si="120"/>
        <v>F</v>
      </c>
      <c r="EG544" s="16">
        <f t="shared" si="121"/>
        <v>4</v>
      </c>
      <c r="EH544" s="16" t="str">
        <f t="shared" si="122"/>
        <v>Jeudi</v>
      </c>
      <c r="EI544" s="16" t="str">
        <f t="shared" si="123"/>
        <v/>
      </c>
    </row>
    <row r="545" spans="1:139" x14ac:dyDescent="0.2">
      <c r="A545" s="16" t="str">
        <f t="shared" si="116"/>
        <v>Fiche info CDD_ Avenant 1F5</v>
      </c>
      <c r="B545" s="16" t="str">
        <f t="shared" si="118"/>
        <v>Fiche info CDD_ Avenant 1</v>
      </c>
      <c r="C545" s="27" t="s">
        <v>235</v>
      </c>
      <c r="D545" s="27">
        <v>5</v>
      </c>
      <c r="E545" s="16" t="s">
        <v>21</v>
      </c>
      <c r="F545" s="34" t="str">
        <f>+IF('Fiche info CDD_ Avenant 1'!$BN$11=0,"",'Fiche info CDD_ Avenant 1'!$BN$11)</f>
        <v/>
      </c>
      <c r="G545" s="16">
        <f t="shared" si="124"/>
        <v>0</v>
      </c>
      <c r="BX545" s="16" t="str">
        <f t="shared" si="125"/>
        <v>Fiche info CDD_ Avenant 1F5</v>
      </c>
      <c r="BY545" s="431">
        <f>'Fiche info CDD_ Avenant 1'!$BE$11</f>
        <v>0</v>
      </c>
      <c r="BZ545" s="431">
        <f>'Fiche info CDD_ Avenant 1'!$BF$11</f>
        <v>0</v>
      </c>
      <c r="CA545" s="431">
        <f>'Fiche info CDD_ Avenant 1'!$BG$11</f>
        <v>0</v>
      </c>
      <c r="CB545" s="431">
        <f>'Fiche info CDD_ Avenant 1'!$BH$11</f>
        <v>0</v>
      </c>
      <c r="CC545" s="431">
        <f>'Fiche info CDD_ Avenant 1'!$BI$11</f>
        <v>0</v>
      </c>
      <c r="CD545" s="431">
        <f>'Fiche info CDD_ Avenant 1'!$BJ$11</f>
        <v>0</v>
      </c>
      <c r="CE545" s="431">
        <f>'Fiche info CDD_ Avenant 1'!$BK$11</f>
        <v>0</v>
      </c>
      <c r="CF545" s="431">
        <f>'Fiche info CDD_ Avenant 1'!$BL$11</f>
        <v>0</v>
      </c>
      <c r="ED545" s="16" t="str">
        <f t="shared" si="117"/>
        <v>Fiche info CDD_ Avenant 1F</v>
      </c>
      <c r="EE545" s="16" t="str">
        <f t="shared" si="119"/>
        <v>Fiche info CDD_ Avenant 1</v>
      </c>
      <c r="EF545" s="16" t="str">
        <f t="shared" si="120"/>
        <v>F</v>
      </c>
      <c r="EG545" s="16">
        <f t="shared" si="121"/>
        <v>5</v>
      </c>
      <c r="EH545" s="16" t="str">
        <f t="shared" si="122"/>
        <v>Vendredi</v>
      </c>
      <c r="EI545" s="16" t="str">
        <f t="shared" si="123"/>
        <v/>
      </c>
    </row>
    <row r="546" spans="1:139" x14ac:dyDescent="0.2">
      <c r="A546" s="16" t="str">
        <f t="shared" si="116"/>
        <v>Fiche info CDD_ Avenant 1F6</v>
      </c>
      <c r="B546" s="16" t="str">
        <f t="shared" si="118"/>
        <v>Fiche info CDD_ Avenant 1</v>
      </c>
      <c r="C546" s="27" t="s">
        <v>235</v>
      </c>
      <c r="D546" s="27">
        <v>6</v>
      </c>
      <c r="E546" s="16" t="s">
        <v>184</v>
      </c>
      <c r="F546" s="34" t="str">
        <f>+IF('Fiche info CDD_ Avenant 1'!$BN$12=0,"",'Fiche info CDD_ Avenant 1'!$BN$12)</f>
        <v/>
      </c>
      <c r="G546" s="16">
        <f t="shared" si="124"/>
        <v>0</v>
      </c>
      <c r="BX546" s="16" t="str">
        <f t="shared" si="125"/>
        <v>Fiche info CDD_ Avenant 1F6</v>
      </c>
      <c r="BY546" s="431">
        <f>'Fiche info CDD_ Avenant 1'!$BE$12</f>
        <v>0</v>
      </c>
      <c r="BZ546" s="431">
        <f>'Fiche info CDD_ Avenant 1'!$BF$12</f>
        <v>0</v>
      </c>
      <c r="CA546" s="431">
        <f>'Fiche info CDD_ Avenant 1'!$BG$12</f>
        <v>0</v>
      </c>
      <c r="CB546" s="431">
        <f>'Fiche info CDD_ Avenant 1'!$BH$12</f>
        <v>0</v>
      </c>
      <c r="CC546" s="431">
        <f>'Fiche info CDD_ Avenant 1'!$BI$12</f>
        <v>0</v>
      </c>
      <c r="CD546" s="431">
        <f>'Fiche info CDD_ Avenant 1'!$BJ$12</f>
        <v>0</v>
      </c>
      <c r="CE546" s="431">
        <f>'Fiche info CDD_ Avenant 1'!$BK$12</f>
        <v>0</v>
      </c>
      <c r="CF546" s="431">
        <f>'Fiche info CDD_ Avenant 1'!$BL$12</f>
        <v>0</v>
      </c>
      <c r="ED546" s="16" t="str">
        <f t="shared" si="117"/>
        <v>Fiche info CDD_ Avenant 1F</v>
      </c>
      <c r="EE546" s="16" t="str">
        <f t="shared" si="119"/>
        <v>Fiche info CDD_ Avenant 1</v>
      </c>
      <c r="EF546" s="16" t="str">
        <f t="shared" si="120"/>
        <v>F</v>
      </c>
      <c r="EG546" s="16">
        <f t="shared" si="121"/>
        <v>6</v>
      </c>
      <c r="EH546" s="16" t="str">
        <f t="shared" si="122"/>
        <v>Samedi</v>
      </c>
      <c r="EI546" s="16" t="str">
        <f t="shared" si="123"/>
        <v/>
      </c>
    </row>
    <row r="547" spans="1:139" x14ac:dyDescent="0.2">
      <c r="A547" s="16" t="str">
        <f t="shared" si="116"/>
        <v>Fiche info CDD_ Avenant 1F7</v>
      </c>
      <c r="B547" s="16" t="str">
        <f t="shared" si="118"/>
        <v>Fiche info CDD_ Avenant 1</v>
      </c>
      <c r="C547" s="27" t="s">
        <v>235</v>
      </c>
      <c r="D547" s="27">
        <v>7</v>
      </c>
      <c r="E547" s="16" t="s">
        <v>185</v>
      </c>
      <c r="F547" s="34" t="str">
        <f>+IF('Fiche info CDD_ Avenant 1'!$BN$13=0,"",'Fiche info CDD_ Avenant 1'!$BN$13)</f>
        <v/>
      </c>
      <c r="G547" s="16">
        <f t="shared" si="124"/>
        <v>0</v>
      </c>
      <c r="BX547" s="16" t="str">
        <f t="shared" si="125"/>
        <v>Fiche info CDD_ Avenant 1F7</v>
      </c>
      <c r="BY547" s="431">
        <f>'Fiche info CDD_ Avenant 1'!$BE$13</f>
        <v>0</v>
      </c>
      <c r="BZ547" s="431">
        <f>'Fiche info CDD_ Avenant 1'!$BF$13</f>
        <v>0</v>
      </c>
      <c r="CA547" s="431">
        <f>'Fiche info CDD_ Avenant 1'!$BG$13</f>
        <v>0</v>
      </c>
      <c r="CB547" s="431">
        <f>'Fiche info CDD_ Avenant 1'!$BH$13</f>
        <v>0</v>
      </c>
      <c r="CC547" s="431">
        <f>'Fiche info CDD_ Avenant 1'!$BI$13</f>
        <v>0</v>
      </c>
      <c r="CD547" s="431">
        <f>'Fiche info CDD_ Avenant 1'!$BJ$13</f>
        <v>0</v>
      </c>
      <c r="CE547" s="431">
        <f>'Fiche info CDD_ Avenant 1'!$BK$13</f>
        <v>0</v>
      </c>
      <c r="CF547" s="431">
        <f>'Fiche info CDD_ Avenant 1'!$BL$13</f>
        <v>0</v>
      </c>
      <c r="ED547" s="16" t="str">
        <f t="shared" si="117"/>
        <v>Fiche info CDD_ Avenant 1F</v>
      </c>
      <c r="EE547" s="16" t="str">
        <f t="shared" si="119"/>
        <v>Fiche info CDD_ Avenant 1</v>
      </c>
      <c r="EF547" s="16" t="str">
        <f t="shared" si="120"/>
        <v>F</v>
      </c>
      <c r="EG547" s="16">
        <f t="shared" si="121"/>
        <v>7</v>
      </c>
      <c r="EH547" s="16" t="str">
        <f t="shared" si="122"/>
        <v>Dimanche</v>
      </c>
      <c r="EI547" s="16" t="str">
        <f t="shared" si="123"/>
        <v/>
      </c>
    </row>
    <row r="548" spans="1:139" x14ac:dyDescent="0.2">
      <c r="A548" s="16" t="str">
        <f t="shared" si="116"/>
        <v>Fiche info CDD_ Avenant 1G1</v>
      </c>
      <c r="B548" s="16" t="str">
        <f t="shared" si="118"/>
        <v>Fiche info CDD_ Avenant 1</v>
      </c>
      <c r="C548" s="27" t="s">
        <v>236</v>
      </c>
      <c r="D548" s="27">
        <v>1</v>
      </c>
      <c r="E548" s="16" t="s">
        <v>17</v>
      </c>
      <c r="F548" s="34" t="str">
        <f>+IF('Fiche info CDD_ Avenant 1'!$BY$7=0,"",'Fiche info CDD_ Avenant 1'!$BY$7)</f>
        <v/>
      </c>
      <c r="G548" s="16">
        <f t="shared" si="124"/>
        <v>0</v>
      </c>
      <c r="BX548" s="16" t="str">
        <f t="shared" si="125"/>
        <v>Fiche info CDD_ Avenant 1G1</v>
      </c>
      <c r="BY548" s="431">
        <f>'Fiche info CDD_ Avenant 1'!$BP$7</f>
        <v>0</v>
      </c>
      <c r="BZ548" s="431">
        <f>'Fiche info CDD_ Avenant 1'!$BQ$7</f>
        <v>0</v>
      </c>
      <c r="CA548" s="431">
        <f>'Fiche info CDD_ Avenant 1'!$BR$7</f>
        <v>0</v>
      </c>
      <c r="CB548" s="431">
        <f>'Fiche info CDD_ Avenant 1'!$BS$7</f>
        <v>0</v>
      </c>
      <c r="CC548" s="431">
        <f>'Fiche info CDD_ Avenant 1'!$BT$7</f>
        <v>0</v>
      </c>
      <c r="CD548" s="431">
        <f>'Fiche info CDD_ Avenant 1'!$BU$7</f>
        <v>0</v>
      </c>
      <c r="CE548" s="431">
        <f>'Fiche info CDD_ Avenant 1'!$BV$7</f>
        <v>0</v>
      </c>
      <c r="CF548" s="431">
        <f>'Fiche info CDD_ Avenant 1'!$BW$7</f>
        <v>0</v>
      </c>
      <c r="ED548" s="16" t="str">
        <f t="shared" si="117"/>
        <v>Fiche info CDD_ Avenant 1G</v>
      </c>
      <c r="EE548" s="16" t="str">
        <f t="shared" si="119"/>
        <v>Fiche info CDD_ Avenant 1</v>
      </c>
      <c r="EF548" s="16" t="str">
        <f t="shared" si="120"/>
        <v>G</v>
      </c>
      <c r="EG548" s="16">
        <f t="shared" si="121"/>
        <v>1</v>
      </c>
      <c r="EH548" s="16" t="str">
        <f t="shared" si="122"/>
        <v>Lundi</v>
      </c>
      <c r="EI548" s="16" t="str">
        <f t="shared" si="123"/>
        <v/>
      </c>
    </row>
    <row r="549" spans="1:139" x14ac:dyDescent="0.2">
      <c r="A549" s="16" t="str">
        <f t="shared" si="116"/>
        <v>Fiche info CDD_ Avenant 1G2</v>
      </c>
      <c r="B549" s="16" t="str">
        <f t="shared" si="118"/>
        <v>Fiche info CDD_ Avenant 1</v>
      </c>
      <c r="C549" s="27" t="s">
        <v>236</v>
      </c>
      <c r="D549" s="27">
        <v>2</v>
      </c>
      <c r="E549" s="16" t="s">
        <v>18</v>
      </c>
      <c r="F549" s="34" t="str">
        <f>+IF('Fiche info CDD_ Avenant 1'!$BY$8=0,"",'Fiche info CDD_ Avenant 1'!$BY$8)</f>
        <v/>
      </c>
      <c r="G549" s="16">
        <f t="shared" si="124"/>
        <v>0</v>
      </c>
      <c r="BX549" s="16" t="str">
        <f t="shared" si="125"/>
        <v>Fiche info CDD_ Avenant 1G2</v>
      </c>
      <c r="BY549" s="431">
        <f>'Fiche info CDD_ Avenant 1'!$BP$8</f>
        <v>0</v>
      </c>
      <c r="BZ549" s="431">
        <f>'Fiche info CDD_ Avenant 1'!$BQ$8</f>
        <v>0</v>
      </c>
      <c r="CA549" s="431">
        <f>'Fiche info CDD_ Avenant 1'!$BR$8</f>
        <v>0</v>
      </c>
      <c r="CB549" s="431">
        <f>'Fiche info CDD_ Avenant 1'!$BS$8</f>
        <v>0</v>
      </c>
      <c r="CC549" s="431">
        <f>'Fiche info CDD_ Avenant 1'!$BT$8</f>
        <v>0</v>
      </c>
      <c r="CD549" s="431">
        <f>'Fiche info CDD_ Avenant 1'!$BU$8</f>
        <v>0</v>
      </c>
      <c r="CE549" s="431">
        <f>'Fiche info CDD_ Avenant 1'!$BV$8</f>
        <v>0</v>
      </c>
      <c r="CF549" s="431">
        <f>'Fiche info CDD_ Avenant 1'!$BW$8</f>
        <v>0</v>
      </c>
      <c r="ED549" s="16" t="str">
        <f t="shared" si="117"/>
        <v>Fiche info CDD_ Avenant 1G</v>
      </c>
      <c r="EE549" s="16" t="str">
        <f t="shared" si="119"/>
        <v>Fiche info CDD_ Avenant 1</v>
      </c>
      <c r="EF549" s="16" t="str">
        <f t="shared" si="120"/>
        <v>G</v>
      </c>
      <c r="EG549" s="16">
        <f t="shared" si="121"/>
        <v>2</v>
      </c>
      <c r="EH549" s="16" t="str">
        <f t="shared" si="122"/>
        <v>Mardi</v>
      </c>
      <c r="EI549" s="16" t="str">
        <f t="shared" si="123"/>
        <v/>
      </c>
    </row>
    <row r="550" spans="1:139" x14ac:dyDescent="0.2">
      <c r="A550" s="16" t="str">
        <f t="shared" si="116"/>
        <v>Fiche info CDD_ Avenant 1G3</v>
      </c>
      <c r="B550" s="16" t="str">
        <f t="shared" si="118"/>
        <v>Fiche info CDD_ Avenant 1</v>
      </c>
      <c r="C550" s="27" t="s">
        <v>236</v>
      </c>
      <c r="D550" s="27">
        <v>3</v>
      </c>
      <c r="E550" s="16" t="s">
        <v>19</v>
      </c>
      <c r="F550" s="34" t="str">
        <f>+IF('Fiche info CDD_ Avenant 1'!$BY$9=0,"",'Fiche info CDD_ Avenant 1'!$BY$9)</f>
        <v/>
      </c>
      <c r="G550" s="16">
        <f t="shared" si="124"/>
        <v>0</v>
      </c>
      <c r="BX550" s="16" t="str">
        <f t="shared" si="125"/>
        <v>Fiche info CDD_ Avenant 1G3</v>
      </c>
      <c r="BY550" s="431">
        <f>'Fiche info CDD_ Avenant 1'!$BP$9</f>
        <v>0</v>
      </c>
      <c r="BZ550" s="431">
        <f>'Fiche info CDD_ Avenant 1'!$BQ$9</f>
        <v>0</v>
      </c>
      <c r="CA550" s="431">
        <f>'Fiche info CDD_ Avenant 1'!$BR$9</f>
        <v>0</v>
      </c>
      <c r="CB550" s="431">
        <f>'Fiche info CDD_ Avenant 1'!$BS$9</f>
        <v>0</v>
      </c>
      <c r="CC550" s="431">
        <f>'Fiche info CDD_ Avenant 1'!$BT$9</f>
        <v>0</v>
      </c>
      <c r="CD550" s="431">
        <f>'Fiche info CDD_ Avenant 1'!$BU$9</f>
        <v>0</v>
      </c>
      <c r="CE550" s="431">
        <f>'Fiche info CDD_ Avenant 1'!$BV$9</f>
        <v>0</v>
      </c>
      <c r="CF550" s="431">
        <f>'Fiche info CDD_ Avenant 1'!$BW$9</f>
        <v>0</v>
      </c>
      <c r="ED550" s="16" t="str">
        <f t="shared" si="117"/>
        <v>Fiche info CDD_ Avenant 1G</v>
      </c>
      <c r="EE550" s="16" t="str">
        <f t="shared" si="119"/>
        <v>Fiche info CDD_ Avenant 1</v>
      </c>
      <c r="EF550" s="16" t="str">
        <f t="shared" si="120"/>
        <v>G</v>
      </c>
      <c r="EG550" s="16">
        <f t="shared" si="121"/>
        <v>3</v>
      </c>
      <c r="EH550" s="16" t="str">
        <f t="shared" si="122"/>
        <v>Mercredi</v>
      </c>
      <c r="EI550" s="16" t="str">
        <f t="shared" si="123"/>
        <v/>
      </c>
    </row>
    <row r="551" spans="1:139" x14ac:dyDescent="0.2">
      <c r="A551" s="16" t="str">
        <f t="shared" si="116"/>
        <v>Fiche info CDD_ Avenant 1G4</v>
      </c>
      <c r="B551" s="16" t="str">
        <f t="shared" si="118"/>
        <v>Fiche info CDD_ Avenant 1</v>
      </c>
      <c r="C551" s="27" t="s">
        <v>236</v>
      </c>
      <c r="D551" s="27">
        <v>4</v>
      </c>
      <c r="E551" s="16" t="s">
        <v>20</v>
      </c>
      <c r="F551" s="34" t="str">
        <f>+IF('Fiche info CDD_ Avenant 1'!$BY$10=0,"",'Fiche info CDD_ Avenant 1'!$BY$10)</f>
        <v/>
      </c>
      <c r="G551" s="16">
        <f t="shared" si="124"/>
        <v>0</v>
      </c>
      <c r="BX551" s="16" t="str">
        <f t="shared" si="125"/>
        <v>Fiche info CDD_ Avenant 1G4</v>
      </c>
      <c r="BY551" s="431">
        <f>'Fiche info CDD_ Avenant 1'!$BP$10</f>
        <v>0</v>
      </c>
      <c r="BZ551" s="431">
        <f>'Fiche info CDD_ Avenant 1'!$BQ$10</f>
        <v>0</v>
      </c>
      <c r="CA551" s="431">
        <f>'Fiche info CDD_ Avenant 1'!$BR$10</f>
        <v>0</v>
      </c>
      <c r="CB551" s="431">
        <f>'Fiche info CDD_ Avenant 1'!$BS$10</f>
        <v>0</v>
      </c>
      <c r="CC551" s="431">
        <f>'Fiche info CDD_ Avenant 1'!$BT$10</f>
        <v>0</v>
      </c>
      <c r="CD551" s="431">
        <f>'Fiche info CDD_ Avenant 1'!$BU$10</f>
        <v>0</v>
      </c>
      <c r="CE551" s="431">
        <f>'Fiche info CDD_ Avenant 1'!$BV$10</f>
        <v>0</v>
      </c>
      <c r="CF551" s="431">
        <f>'Fiche info CDD_ Avenant 1'!$BW$10</f>
        <v>0</v>
      </c>
      <c r="ED551" s="16" t="str">
        <f t="shared" si="117"/>
        <v>Fiche info CDD_ Avenant 1G</v>
      </c>
      <c r="EE551" s="16" t="str">
        <f t="shared" si="119"/>
        <v>Fiche info CDD_ Avenant 1</v>
      </c>
      <c r="EF551" s="16" t="str">
        <f t="shared" si="120"/>
        <v>G</v>
      </c>
      <c r="EG551" s="16">
        <f t="shared" si="121"/>
        <v>4</v>
      </c>
      <c r="EH551" s="16" t="str">
        <f t="shared" si="122"/>
        <v>Jeudi</v>
      </c>
      <c r="EI551" s="16" t="str">
        <f t="shared" si="123"/>
        <v/>
      </c>
    </row>
    <row r="552" spans="1:139" x14ac:dyDescent="0.2">
      <c r="A552" s="16" t="str">
        <f t="shared" si="116"/>
        <v>Fiche info CDD_ Avenant 1G5</v>
      </c>
      <c r="B552" s="16" t="str">
        <f t="shared" si="118"/>
        <v>Fiche info CDD_ Avenant 1</v>
      </c>
      <c r="C552" s="27" t="s">
        <v>236</v>
      </c>
      <c r="D552" s="27">
        <v>5</v>
      </c>
      <c r="E552" s="16" t="s">
        <v>21</v>
      </c>
      <c r="F552" s="34" t="str">
        <f>+IF('Fiche info CDD_ Avenant 1'!$BY$11=0,"",'Fiche info CDD_ Avenant 1'!$BY$11)</f>
        <v/>
      </c>
      <c r="G552" s="16">
        <f t="shared" si="124"/>
        <v>0</v>
      </c>
      <c r="BX552" s="16" t="str">
        <f t="shared" si="125"/>
        <v>Fiche info CDD_ Avenant 1G5</v>
      </c>
      <c r="BY552" s="431">
        <f>'Fiche info CDD_ Avenant 1'!$BP$11</f>
        <v>0</v>
      </c>
      <c r="BZ552" s="431">
        <f>'Fiche info CDD_ Avenant 1'!$BQ$11</f>
        <v>0</v>
      </c>
      <c r="CA552" s="431">
        <f>'Fiche info CDD_ Avenant 1'!$BR$11</f>
        <v>0</v>
      </c>
      <c r="CB552" s="431">
        <f>'Fiche info CDD_ Avenant 1'!$BS$11</f>
        <v>0</v>
      </c>
      <c r="CC552" s="431">
        <f>'Fiche info CDD_ Avenant 1'!$BT$11</f>
        <v>0</v>
      </c>
      <c r="CD552" s="431">
        <f>'Fiche info CDD_ Avenant 1'!$BU$11</f>
        <v>0</v>
      </c>
      <c r="CE552" s="431">
        <f>'Fiche info CDD_ Avenant 1'!$BV$11</f>
        <v>0</v>
      </c>
      <c r="CF552" s="431">
        <f>'Fiche info CDD_ Avenant 1'!$BW$11</f>
        <v>0</v>
      </c>
      <c r="ED552" s="16" t="str">
        <f t="shared" si="117"/>
        <v>Fiche info CDD_ Avenant 1G</v>
      </c>
      <c r="EE552" s="16" t="str">
        <f t="shared" si="119"/>
        <v>Fiche info CDD_ Avenant 1</v>
      </c>
      <c r="EF552" s="16" t="str">
        <f t="shared" si="120"/>
        <v>G</v>
      </c>
      <c r="EG552" s="16">
        <f t="shared" si="121"/>
        <v>5</v>
      </c>
      <c r="EH552" s="16" t="str">
        <f t="shared" si="122"/>
        <v>Vendredi</v>
      </c>
      <c r="EI552" s="16" t="str">
        <f t="shared" si="123"/>
        <v/>
      </c>
    </row>
    <row r="553" spans="1:139" x14ac:dyDescent="0.2">
      <c r="A553" s="16" t="str">
        <f t="shared" si="116"/>
        <v>Fiche info CDD_ Avenant 1G6</v>
      </c>
      <c r="B553" s="16" t="str">
        <f t="shared" si="118"/>
        <v>Fiche info CDD_ Avenant 1</v>
      </c>
      <c r="C553" s="27" t="s">
        <v>236</v>
      </c>
      <c r="D553" s="27">
        <v>6</v>
      </c>
      <c r="E553" s="16" t="s">
        <v>184</v>
      </c>
      <c r="F553" s="34" t="str">
        <f>+IF('Fiche info CDD_ Avenant 1'!$BY$12=0,"",'Fiche info CDD_ Avenant 1'!$BY$12)</f>
        <v/>
      </c>
      <c r="G553" s="16">
        <f t="shared" si="124"/>
        <v>0</v>
      </c>
      <c r="BX553" s="16" t="str">
        <f t="shared" si="125"/>
        <v>Fiche info CDD_ Avenant 1G6</v>
      </c>
      <c r="BY553" s="431">
        <f>'Fiche info CDD_ Avenant 1'!$BP$12</f>
        <v>0</v>
      </c>
      <c r="BZ553" s="431">
        <f>'Fiche info CDD_ Avenant 1'!$BQ$12</f>
        <v>0</v>
      </c>
      <c r="CA553" s="431">
        <f>'Fiche info CDD_ Avenant 1'!$BR$12</f>
        <v>0</v>
      </c>
      <c r="CB553" s="431">
        <f>'Fiche info CDD_ Avenant 1'!$BS$12</f>
        <v>0</v>
      </c>
      <c r="CC553" s="431">
        <f>'Fiche info CDD_ Avenant 1'!$BT$12</f>
        <v>0</v>
      </c>
      <c r="CD553" s="431">
        <f>'Fiche info CDD_ Avenant 1'!$BU$12</f>
        <v>0</v>
      </c>
      <c r="CE553" s="431">
        <f>'Fiche info CDD_ Avenant 1'!$BV$12</f>
        <v>0</v>
      </c>
      <c r="CF553" s="431">
        <f>'Fiche info CDD_ Avenant 1'!$BW$12</f>
        <v>0</v>
      </c>
      <c r="ED553" s="16" t="str">
        <f t="shared" si="117"/>
        <v>Fiche info CDD_ Avenant 1G</v>
      </c>
      <c r="EE553" s="16" t="str">
        <f t="shared" si="119"/>
        <v>Fiche info CDD_ Avenant 1</v>
      </c>
      <c r="EF553" s="16" t="str">
        <f t="shared" si="120"/>
        <v>G</v>
      </c>
      <c r="EG553" s="16">
        <f t="shared" si="121"/>
        <v>6</v>
      </c>
      <c r="EH553" s="16" t="str">
        <f t="shared" si="122"/>
        <v>Samedi</v>
      </c>
      <c r="EI553" s="16" t="str">
        <f t="shared" si="123"/>
        <v/>
      </c>
    </row>
    <row r="554" spans="1:139" x14ac:dyDescent="0.2">
      <c r="A554" s="16" t="str">
        <f t="shared" si="116"/>
        <v>Fiche info CDD_ Avenant 1G7</v>
      </c>
      <c r="B554" s="16" t="str">
        <f t="shared" si="118"/>
        <v>Fiche info CDD_ Avenant 1</v>
      </c>
      <c r="C554" s="27" t="s">
        <v>236</v>
      </c>
      <c r="D554" s="27">
        <v>7</v>
      </c>
      <c r="E554" s="16" t="s">
        <v>185</v>
      </c>
      <c r="F554" s="34" t="str">
        <f>+IF('Fiche info CDD_ Avenant 1'!$BY$13=0,"",'Fiche info CDD_ Avenant 1'!$BY$13)</f>
        <v/>
      </c>
      <c r="G554" s="16">
        <f t="shared" si="124"/>
        <v>0</v>
      </c>
      <c r="BX554" s="16" t="str">
        <f t="shared" si="125"/>
        <v>Fiche info CDD_ Avenant 1G7</v>
      </c>
      <c r="BY554" s="431">
        <f>'Fiche info CDD_ Avenant 1'!$BP$13</f>
        <v>0</v>
      </c>
      <c r="BZ554" s="431">
        <f>'Fiche info CDD_ Avenant 1'!$BQ$13</f>
        <v>0</v>
      </c>
      <c r="CA554" s="431">
        <f>'Fiche info CDD_ Avenant 1'!$BR$13</f>
        <v>0</v>
      </c>
      <c r="CB554" s="431">
        <f>'Fiche info CDD_ Avenant 1'!$BS$13</f>
        <v>0</v>
      </c>
      <c r="CC554" s="431">
        <f>'Fiche info CDD_ Avenant 1'!$BT$13</f>
        <v>0</v>
      </c>
      <c r="CD554" s="431">
        <f>'Fiche info CDD_ Avenant 1'!$BU$13</f>
        <v>0</v>
      </c>
      <c r="CE554" s="431">
        <f>'Fiche info CDD_ Avenant 1'!$BV$13</f>
        <v>0</v>
      </c>
      <c r="CF554" s="431">
        <f>'Fiche info CDD_ Avenant 1'!$BW$13</f>
        <v>0</v>
      </c>
      <c r="ED554" s="16" t="str">
        <f t="shared" si="117"/>
        <v>Fiche info CDD_ Avenant 1G</v>
      </c>
      <c r="EE554" s="16" t="str">
        <f t="shared" si="119"/>
        <v>Fiche info CDD_ Avenant 1</v>
      </c>
      <c r="EF554" s="16" t="str">
        <f t="shared" si="120"/>
        <v>G</v>
      </c>
      <c r="EG554" s="16">
        <f t="shared" si="121"/>
        <v>7</v>
      </c>
      <c r="EH554" s="16" t="str">
        <f t="shared" si="122"/>
        <v>Dimanche</v>
      </c>
      <c r="EI554" s="16" t="str">
        <f t="shared" si="123"/>
        <v/>
      </c>
    </row>
    <row r="555" spans="1:139" x14ac:dyDescent="0.2">
      <c r="A555" s="16" t="str">
        <f t="shared" ref="A555:A618" si="126">+B555&amp;C555&amp;D555</f>
        <v>Fiche info CDD_ Avenant 1H1</v>
      </c>
      <c r="B555" s="16" t="str">
        <f t="shared" si="118"/>
        <v>Fiche info CDD_ Avenant 1</v>
      </c>
      <c r="C555" s="27" t="s">
        <v>237</v>
      </c>
      <c r="D555" s="27">
        <v>1</v>
      </c>
      <c r="E555" s="16" t="s">
        <v>17</v>
      </c>
      <c r="F555" s="34" t="str">
        <f>+IF('Fiche info CDD_ Avenant 1'!$CJ$7=0,"",'Fiche info CDD_ Avenant 1'!$CJ$7)</f>
        <v/>
      </c>
      <c r="G555" s="16">
        <f t="shared" si="124"/>
        <v>0</v>
      </c>
      <c r="BX555" s="16" t="str">
        <f t="shared" si="125"/>
        <v>Fiche info CDD_ Avenant 1H1</v>
      </c>
      <c r="BY555" s="431">
        <f>'Fiche info CDD_ Avenant 1'!$CA$7</f>
        <v>0</v>
      </c>
      <c r="BZ555" s="431">
        <f>'Fiche info CDD_ Avenant 1'!$CB$7</f>
        <v>0</v>
      </c>
      <c r="CA555" s="431">
        <f>'Fiche info CDD_ Avenant 1'!$CC$7</f>
        <v>0</v>
      </c>
      <c r="CB555" s="431">
        <f>'Fiche info CDD_ Avenant 1'!$CD$7</f>
        <v>0</v>
      </c>
      <c r="CC555" s="431">
        <f>'Fiche info CDD_ Avenant 1'!$CE$7</f>
        <v>0</v>
      </c>
      <c r="CD555" s="431">
        <f>'Fiche info CDD_ Avenant 1'!$CF$7</f>
        <v>0</v>
      </c>
      <c r="CE555" s="431">
        <f>'Fiche info CDD_ Avenant 1'!$CG$7</f>
        <v>0</v>
      </c>
      <c r="CF555" s="431">
        <f>'Fiche info CDD_ Avenant 1'!$CH$7</f>
        <v>0</v>
      </c>
      <c r="ED555" s="16" t="str">
        <f t="shared" si="117"/>
        <v>Fiche info CDD_ Avenant 1H</v>
      </c>
      <c r="EE555" s="16" t="str">
        <f t="shared" si="119"/>
        <v>Fiche info CDD_ Avenant 1</v>
      </c>
      <c r="EF555" s="16" t="str">
        <f t="shared" si="120"/>
        <v>H</v>
      </c>
      <c r="EG555" s="16">
        <f t="shared" si="121"/>
        <v>1</v>
      </c>
      <c r="EH555" s="16" t="str">
        <f t="shared" si="122"/>
        <v>Lundi</v>
      </c>
      <c r="EI555" s="16" t="str">
        <f t="shared" si="123"/>
        <v/>
      </c>
    </row>
    <row r="556" spans="1:139" x14ac:dyDescent="0.2">
      <c r="A556" s="16" t="str">
        <f t="shared" si="126"/>
        <v>Fiche info CDD_ Avenant 1H2</v>
      </c>
      <c r="B556" s="16" t="str">
        <f t="shared" si="118"/>
        <v>Fiche info CDD_ Avenant 1</v>
      </c>
      <c r="C556" s="27" t="s">
        <v>237</v>
      </c>
      <c r="D556" s="27">
        <v>2</v>
      </c>
      <c r="E556" s="16" t="s">
        <v>18</v>
      </c>
      <c r="F556" s="34" t="str">
        <f>+IF('Fiche info CDD_ Avenant 1'!$CJ$8=0,"",'Fiche info CDD_ Avenant 1'!$CJ$8)</f>
        <v/>
      </c>
      <c r="G556" s="16">
        <f t="shared" si="124"/>
        <v>0</v>
      </c>
      <c r="BX556" s="16" t="str">
        <f t="shared" si="125"/>
        <v>Fiche info CDD_ Avenant 1H2</v>
      </c>
      <c r="BY556" s="431">
        <f>'Fiche info CDD_ Avenant 1'!$CA$8</f>
        <v>0</v>
      </c>
      <c r="BZ556" s="431">
        <f>'Fiche info CDD_ Avenant 1'!$CB$8</f>
        <v>0</v>
      </c>
      <c r="CA556" s="431">
        <f>'Fiche info CDD_ Avenant 1'!$CC$8</f>
        <v>0</v>
      </c>
      <c r="CB556" s="431">
        <f>'Fiche info CDD_ Avenant 1'!$CD$8</f>
        <v>0</v>
      </c>
      <c r="CC556" s="431">
        <f>'Fiche info CDD_ Avenant 1'!$CE$8</f>
        <v>0</v>
      </c>
      <c r="CD556" s="431">
        <f>'Fiche info CDD_ Avenant 1'!$CF$8</f>
        <v>0</v>
      </c>
      <c r="CE556" s="431">
        <f>'Fiche info CDD_ Avenant 1'!$CG$8</f>
        <v>0</v>
      </c>
      <c r="CF556" s="431">
        <f>'Fiche info CDD_ Avenant 1'!$CH$8</f>
        <v>0</v>
      </c>
      <c r="ED556" s="16" t="str">
        <f t="shared" si="117"/>
        <v>Fiche info CDD_ Avenant 1H</v>
      </c>
      <c r="EE556" s="16" t="str">
        <f t="shared" si="119"/>
        <v>Fiche info CDD_ Avenant 1</v>
      </c>
      <c r="EF556" s="16" t="str">
        <f t="shared" si="120"/>
        <v>H</v>
      </c>
      <c r="EG556" s="16">
        <f t="shared" si="121"/>
        <v>2</v>
      </c>
      <c r="EH556" s="16" t="str">
        <f t="shared" si="122"/>
        <v>Mardi</v>
      </c>
      <c r="EI556" s="16" t="str">
        <f t="shared" si="123"/>
        <v/>
      </c>
    </row>
    <row r="557" spans="1:139" x14ac:dyDescent="0.2">
      <c r="A557" s="16" t="str">
        <f t="shared" si="126"/>
        <v>Fiche info CDD_ Avenant 1H3</v>
      </c>
      <c r="B557" s="16" t="str">
        <f t="shared" si="118"/>
        <v>Fiche info CDD_ Avenant 1</v>
      </c>
      <c r="C557" s="27" t="s">
        <v>237</v>
      </c>
      <c r="D557" s="27">
        <v>3</v>
      </c>
      <c r="E557" s="16" t="s">
        <v>19</v>
      </c>
      <c r="F557" s="34" t="str">
        <f>+IF('Fiche info CDD_ Avenant 1'!$CJ$9=0,"",'Fiche info CDD_ Avenant 1'!$CJ$9)</f>
        <v/>
      </c>
      <c r="G557" s="16">
        <f t="shared" si="124"/>
        <v>0</v>
      </c>
      <c r="BX557" s="16" t="str">
        <f t="shared" si="125"/>
        <v>Fiche info CDD_ Avenant 1H3</v>
      </c>
      <c r="BY557" s="431">
        <f>'Fiche info CDD_ Avenant 1'!$CA$9</f>
        <v>0</v>
      </c>
      <c r="BZ557" s="431">
        <f>'Fiche info CDD_ Avenant 1'!$CB$9</f>
        <v>0</v>
      </c>
      <c r="CA557" s="431">
        <f>'Fiche info CDD_ Avenant 1'!$CC$9</f>
        <v>0</v>
      </c>
      <c r="CB557" s="431">
        <f>'Fiche info CDD_ Avenant 1'!$CD$9</f>
        <v>0</v>
      </c>
      <c r="CC557" s="431">
        <f>'Fiche info CDD_ Avenant 1'!$CE$9</f>
        <v>0</v>
      </c>
      <c r="CD557" s="431">
        <f>'Fiche info CDD_ Avenant 1'!$CF$9</f>
        <v>0</v>
      </c>
      <c r="CE557" s="431">
        <f>'Fiche info CDD_ Avenant 1'!$CG$9</f>
        <v>0</v>
      </c>
      <c r="CF557" s="431">
        <f>'Fiche info CDD_ Avenant 1'!$CH$9</f>
        <v>0</v>
      </c>
      <c r="ED557" s="16" t="str">
        <f t="shared" si="117"/>
        <v>Fiche info CDD_ Avenant 1H</v>
      </c>
      <c r="EE557" s="16" t="str">
        <f t="shared" si="119"/>
        <v>Fiche info CDD_ Avenant 1</v>
      </c>
      <c r="EF557" s="16" t="str">
        <f t="shared" si="120"/>
        <v>H</v>
      </c>
      <c r="EG557" s="16">
        <f t="shared" si="121"/>
        <v>3</v>
      </c>
      <c r="EH557" s="16" t="str">
        <f t="shared" si="122"/>
        <v>Mercredi</v>
      </c>
      <c r="EI557" s="16" t="str">
        <f t="shared" si="123"/>
        <v/>
      </c>
    </row>
    <row r="558" spans="1:139" x14ac:dyDescent="0.2">
      <c r="A558" s="16" t="str">
        <f t="shared" si="126"/>
        <v>Fiche info CDD_ Avenant 1H4</v>
      </c>
      <c r="B558" s="16" t="str">
        <f t="shared" si="118"/>
        <v>Fiche info CDD_ Avenant 1</v>
      </c>
      <c r="C558" s="27" t="s">
        <v>237</v>
      </c>
      <c r="D558" s="27">
        <v>4</v>
      </c>
      <c r="E558" s="16" t="s">
        <v>20</v>
      </c>
      <c r="F558" s="34" t="str">
        <f>+IF('Fiche info CDD_ Avenant 1'!$CJ$10=0,"",'Fiche info CDD_ Avenant 1'!$CJ$10)</f>
        <v/>
      </c>
      <c r="G558" s="16">
        <f t="shared" si="124"/>
        <v>0</v>
      </c>
      <c r="BX558" s="16" t="str">
        <f t="shared" si="125"/>
        <v>Fiche info CDD_ Avenant 1H4</v>
      </c>
      <c r="BY558" s="431">
        <f>'Fiche info CDD_ Avenant 1'!$CA$10</f>
        <v>0</v>
      </c>
      <c r="BZ558" s="431">
        <f>'Fiche info CDD_ Avenant 1'!$CB$10</f>
        <v>0</v>
      </c>
      <c r="CA558" s="431">
        <f>'Fiche info CDD_ Avenant 1'!$CC$10</f>
        <v>0</v>
      </c>
      <c r="CB558" s="431">
        <f>'Fiche info CDD_ Avenant 1'!$CD$10</f>
        <v>0</v>
      </c>
      <c r="CC558" s="431">
        <f>'Fiche info CDD_ Avenant 1'!$CE$10</f>
        <v>0</v>
      </c>
      <c r="CD558" s="431">
        <f>'Fiche info CDD_ Avenant 1'!$CF$10</f>
        <v>0</v>
      </c>
      <c r="CE558" s="431">
        <f>'Fiche info CDD_ Avenant 1'!$CG$10</f>
        <v>0</v>
      </c>
      <c r="CF558" s="431">
        <f>'Fiche info CDD_ Avenant 1'!$CH$10</f>
        <v>0</v>
      </c>
      <c r="ED558" s="16" t="str">
        <f t="shared" si="117"/>
        <v>Fiche info CDD_ Avenant 1H</v>
      </c>
      <c r="EE558" s="16" t="str">
        <f t="shared" si="119"/>
        <v>Fiche info CDD_ Avenant 1</v>
      </c>
      <c r="EF558" s="16" t="str">
        <f t="shared" si="120"/>
        <v>H</v>
      </c>
      <c r="EG558" s="16">
        <f t="shared" si="121"/>
        <v>4</v>
      </c>
      <c r="EH558" s="16" t="str">
        <f t="shared" si="122"/>
        <v>Jeudi</v>
      </c>
      <c r="EI558" s="16" t="str">
        <f t="shared" si="123"/>
        <v/>
      </c>
    </row>
    <row r="559" spans="1:139" x14ac:dyDescent="0.2">
      <c r="A559" s="16" t="str">
        <f t="shared" si="126"/>
        <v>Fiche info CDD_ Avenant 1H5</v>
      </c>
      <c r="B559" s="16" t="str">
        <f t="shared" si="118"/>
        <v>Fiche info CDD_ Avenant 1</v>
      </c>
      <c r="C559" s="27" t="s">
        <v>237</v>
      </c>
      <c r="D559" s="27">
        <v>5</v>
      </c>
      <c r="E559" s="16" t="s">
        <v>21</v>
      </c>
      <c r="F559" s="34" t="str">
        <f>+IF('Fiche info CDD_ Avenant 1'!$CJ$11=0,"",'Fiche info CDD_ Avenant 1'!$CJ$11)</f>
        <v/>
      </c>
      <c r="G559" s="16">
        <f t="shared" si="124"/>
        <v>0</v>
      </c>
      <c r="BX559" s="16" t="str">
        <f t="shared" si="125"/>
        <v>Fiche info CDD_ Avenant 1H5</v>
      </c>
      <c r="BY559" s="431">
        <f>'Fiche info CDD_ Avenant 1'!$CA$11</f>
        <v>0</v>
      </c>
      <c r="BZ559" s="431">
        <f>'Fiche info CDD_ Avenant 1'!$CB$11</f>
        <v>0</v>
      </c>
      <c r="CA559" s="431">
        <f>'Fiche info CDD_ Avenant 1'!$CC$11</f>
        <v>0</v>
      </c>
      <c r="CB559" s="431">
        <f>'Fiche info CDD_ Avenant 1'!$CD$11</f>
        <v>0</v>
      </c>
      <c r="CC559" s="431">
        <f>'Fiche info CDD_ Avenant 1'!$CE$11</f>
        <v>0</v>
      </c>
      <c r="CD559" s="431">
        <f>'Fiche info CDD_ Avenant 1'!$CF$11</f>
        <v>0</v>
      </c>
      <c r="CE559" s="431">
        <f>'Fiche info CDD_ Avenant 1'!$CG$11</f>
        <v>0</v>
      </c>
      <c r="CF559" s="431">
        <f>'Fiche info CDD_ Avenant 1'!$CH$11</f>
        <v>0</v>
      </c>
      <c r="ED559" s="16" t="str">
        <f t="shared" si="117"/>
        <v>Fiche info CDD_ Avenant 1H</v>
      </c>
      <c r="EE559" s="16" t="str">
        <f t="shared" si="119"/>
        <v>Fiche info CDD_ Avenant 1</v>
      </c>
      <c r="EF559" s="16" t="str">
        <f t="shared" si="120"/>
        <v>H</v>
      </c>
      <c r="EG559" s="16">
        <f t="shared" si="121"/>
        <v>5</v>
      </c>
      <c r="EH559" s="16" t="str">
        <f t="shared" si="122"/>
        <v>Vendredi</v>
      </c>
      <c r="EI559" s="16" t="str">
        <f t="shared" si="123"/>
        <v/>
      </c>
    </row>
    <row r="560" spans="1:139" x14ac:dyDescent="0.2">
      <c r="A560" s="16" t="str">
        <f t="shared" si="126"/>
        <v>Fiche info CDD_ Avenant 1H6</v>
      </c>
      <c r="B560" s="16" t="str">
        <f t="shared" si="118"/>
        <v>Fiche info CDD_ Avenant 1</v>
      </c>
      <c r="C560" s="27" t="s">
        <v>237</v>
      </c>
      <c r="D560" s="27">
        <v>6</v>
      </c>
      <c r="E560" s="16" t="s">
        <v>184</v>
      </c>
      <c r="F560" s="34" t="str">
        <f>+IF('Fiche info CDD_ Avenant 1'!$CJ$12=0,"",'Fiche info CDD_ Avenant 1'!$CJ$12)</f>
        <v/>
      </c>
      <c r="G560" s="16">
        <f t="shared" si="124"/>
        <v>0</v>
      </c>
      <c r="BX560" s="16" t="str">
        <f t="shared" si="125"/>
        <v>Fiche info CDD_ Avenant 1H6</v>
      </c>
      <c r="BY560" s="431">
        <f>'Fiche info CDD_ Avenant 1'!$CA$12</f>
        <v>0</v>
      </c>
      <c r="BZ560" s="431">
        <f>'Fiche info CDD_ Avenant 1'!$CB$12</f>
        <v>0</v>
      </c>
      <c r="CA560" s="431">
        <f>'Fiche info CDD_ Avenant 1'!$CC$12</f>
        <v>0</v>
      </c>
      <c r="CB560" s="431">
        <f>'Fiche info CDD_ Avenant 1'!$CD$12</f>
        <v>0</v>
      </c>
      <c r="CC560" s="431">
        <f>'Fiche info CDD_ Avenant 1'!$CE$12</f>
        <v>0</v>
      </c>
      <c r="CD560" s="431">
        <f>'Fiche info CDD_ Avenant 1'!$CF$12</f>
        <v>0</v>
      </c>
      <c r="CE560" s="431">
        <f>'Fiche info CDD_ Avenant 1'!$CG$12</f>
        <v>0</v>
      </c>
      <c r="CF560" s="431">
        <f>'Fiche info CDD_ Avenant 1'!$CH$12</f>
        <v>0</v>
      </c>
      <c r="ED560" s="16" t="str">
        <f t="shared" si="117"/>
        <v>Fiche info CDD_ Avenant 1H</v>
      </c>
      <c r="EE560" s="16" t="str">
        <f t="shared" si="119"/>
        <v>Fiche info CDD_ Avenant 1</v>
      </c>
      <c r="EF560" s="16" t="str">
        <f t="shared" si="120"/>
        <v>H</v>
      </c>
      <c r="EG560" s="16">
        <f t="shared" si="121"/>
        <v>6</v>
      </c>
      <c r="EH560" s="16" t="str">
        <f t="shared" si="122"/>
        <v>Samedi</v>
      </c>
      <c r="EI560" s="16" t="str">
        <f t="shared" si="123"/>
        <v/>
      </c>
    </row>
    <row r="561" spans="1:139" x14ac:dyDescent="0.2">
      <c r="A561" s="16" t="str">
        <f t="shared" si="126"/>
        <v>Fiche info CDD_ Avenant 1H7</v>
      </c>
      <c r="B561" s="16" t="str">
        <f t="shared" si="118"/>
        <v>Fiche info CDD_ Avenant 1</v>
      </c>
      <c r="C561" s="27" t="s">
        <v>237</v>
      </c>
      <c r="D561" s="27">
        <v>7</v>
      </c>
      <c r="E561" s="16" t="s">
        <v>185</v>
      </c>
      <c r="F561" s="34" t="str">
        <f>+IF('Fiche info CDD_ Avenant 1'!$CJ$13=0,"",'Fiche info CDD_ Avenant 1'!$CJ$13)</f>
        <v/>
      </c>
      <c r="G561" s="16">
        <f t="shared" si="124"/>
        <v>0</v>
      </c>
      <c r="BX561" s="16" t="str">
        <f t="shared" si="125"/>
        <v>Fiche info CDD_ Avenant 1H7</v>
      </c>
      <c r="BY561" s="431">
        <f>'Fiche info CDD_ Avenant 1'!$CA$13</f>
        <v>0</v>
      </c>
      <c r="BZ561" s="431">
        <f>'Fiche info CDD_ Avenant 1'!$CB$13</f>
        <v>0</v>
      </c>
      <c r="CA561" s="431">
        <f>'Fiche info CDD_ Avenant 1'!$CC$13</f>
        <v>0</v>
      </c>
      <c r="CB561" s="431">
        <f>'Fiche info CDD_ Avenant 1'!$CD$13</f>
        <v>0</v>
      </c>
      <c r="CC561" s="431">
        <f>'Fiche info CDD_ Avenant 1'!$CE$13</f>
        <v>0</v>
      </c>
      <c r="CD561" s="431">
        <f>'Fiche info CDD_ Avenant 1'!$CF$13</f>
        <v>0</v>
      </c>
      <c r="CE561" s="431">
        <f>'Fiche info CDD_ Avenant 1'!$CG$13</f>
        <v>0</v>
      </c>
      <c r="CF561" s="431">
        <f>'Fiche info CDD_ Avenant 1'!$CH$13</f>
        <v>0</v>
      </c>
      <c r="ED561" s="16" t="str">
        <f t="shared" si="117"/>
        <v>Fiche info CDD_ Avenant 1H</v>
      </c>
      <c r="EE561" s="16" t="str">
        <f t="shared" si="119"/>
        <v>Fiche info CDD_ Avenant 1</v>
      </c>
      <c r="EF561" s="16" t="str">
        <f t="shared" si="120"/>
        <v>H</v>
      </c>
      <c r="EG561" s="16">
        <f t="shared" si="121"/>
        <v>7</v>
      </c>
      <c r="EH561" s="16" t="str">
        <f t="shared" si="122"/>
        <v>Dimanche</v>
      </c>
      <c r="EI561" s="16" t="str">
        <f t="shared" si="123"/>
        <v/>
      </c>
    </row>
    <row r="562" spans="1:139" x14ac:dyDescent="0.2">
      <c r="A562" s="16" t="str">
        <f t="shared" si="126"/>
        <v>Fiche info CDD_ Avenant 2A1</v>
      </c>
      <c r="B562" s="16" t="str">
        <f>+$P$12</f>
        <v>Fiche info CDD_ Avenant 2</v>
      </c>
      <c r="C562" s="27" t="s">
        <v>226</v>
      </c>
      <c r="D562" s="27">
        <v>1</v>
      </c>
      <c r="E562" s="16" t="s">
        <v>17</v>
      </c>
      <c r="F562" s="34" t="str">
        <f>IF('Fiche info CDD_ Avenant 2'!$K$7=0,"",'Fiche info CDD_ Avenant 2'!$K$7)</f>
        <v/>
      </c>
      <c r="G562" s="16">
        <f t="shared" si="124"/>
        <v>0</v>
      </c>
      <c r="BX562" s="16" t="str">
        <f t="shared" si="125"/>
        <v>Fiche info CDD_ Avenant 2A1</v>
      </c>
      <c r="BY562" s="431">
        <f>'Fiche info CDD_ Avenant 2'!$B$7</f>
        <v>0</v>
      </c>
      <c r="BZ562" s="431">
        <f>'Fiche info CDD_ Avenant 2'!$C$7</f>
        <v>0</v>
      </c>
      <c r="CA562" s="431">
        <f>'Fiche info CDD_ Avenant 2'!$D$7</f>
        <v>0</v>
      </c>
      <c r="CB562" s="431">
        <f>'Fiche info CDD_ Avenant 2'!$E$7</f>
        <v>0</v>
      </c>
      <c r="CC562" s="431">
        <f>'Fiche info CDD_ Avenant 2'!$F$7</f>
        <v>0</v>
      </c>
      <c r="CD562" s="431">
        <f>'Fiche info CDD_ Avenant 2'!$G$7</f>
        <v>0</v>
      </c>
      <c r="CE562" s="431">
        <f>'Fiche info CDD_ Avenant 2'!$H$7</f>
        <v>0</v>
      </c>
      <c r="CF562" s="431">
        <f>'Fiche info CDD_ Avenant 2'!$I$7</f>
        <v>0</v>
      </c>
      <c r="ED562" s="16" t="str">
        <f t="shared" si="117"/>
        <v>Fiche info CDD_ Avenant 2A</v>
      </c>
      <c r="EE562" s="16" t="str">
        <f t="shared" si="119"/>
        <v>Fiche info CDD_ Avenant 2</v>
      </c>
      <c r="EF562" s="16" t="str">
        <f t="shared" si="120"/>
        <v>A</v>
      </c>
      <c r="EG562" s="16">
        <f t="shared" si="121"/>
        <v>1</v>
      </c>
      <c r="EH562" s="16" t="str">
        <f t="shared" si="122"/>
        <v>Lundi</v>
      </c>
      <c r="EI562" s="16" t="str">
        <f t="shared" si="123"/>
        <v/>
      </c>
    </row>
    <row r="563" spans="1:139" x14ac:dyDescent="0.2">
      <c r="A563" s="16" t="str">
        <f t="shared" si="126"/>
        <v>Fiche info CDD_ Avenant 2A2</v>
      </c>
      <c r="B563" s="16" t="str">
        <f t="shared" ref="B563:B617" si="127">+$P$12</f>
        <v>Fiche info CDD_ Avenant 2</v>
      </c>
      <c r="C563" s="27" t="s">
        <v>226</v>
      </c>
      <c r="D563" s="27">
        <v>2</v>
      </c>
      <c r="E563" s="16" t="s">
        <v>18</v>
      </c>
      <c r="F563" s="34" t="str">
        <f>IF('Fiche info CDD_ Avenant 2'!$K$8=0,"",'Fiche info CDD_ Avenant 2'!$K$8)</f>
        <v/>
      </c>
      <c r="G563" s="16">
        <f t="shared" si="124"/>
        <v>0</v>
      </c>
      <c r="BX563" s="16" t="str">
        <f t="shared" si="125"/>
        <v>Fiche info CDD_ Avenant 2A2</v>
      </c>
      <c r="BY563" s="431">
        <f>'Fiche info CDD_ Avenant 2'!$B$8</f>
        <v>0</v>
      </c>
      <c r="BZ563" s="431">
        <f>'Fiche info CDD_ Avenant 2'!$C$8</f>
        <v>0</v>
      </c>
      <c r="CA563" s="431">
        <f>'Fiche info CDD_ Avenant 2'!$D$8</f>
        <v>0</v>
      </c>
      <c r="CB563" s="431">
        <f>'Fiche info CDD_ Avenant 2'!$E$8</f>
        <v>0</v>
      </c>
      <c r="CC563" s="431">
        <f>'Fiche info CDD_ Avenant 2'!$F$8</f>
        <v>0</v>
      </c>
      <c r="CD563" s="431">
        <f>'Fiche info CDD_ Avenant 2'!$G$8</f>
        <v>0</v>
      </c>
      <c r="CE563" s="431">
        <f>'Fiche info CDD_ Avenant 2'!$H$8</f>
        <v>0</v>
      </c>
      <c r="CF563" s="431">
        <f>'Fiche info CDD_ Avenant 2'!$I$8</f>
        <v>0</v>
      </c>
      <c r="ED563" s="16" t="str">
        <f t="shared" ref="ED563:ED626" si="128">+EE563&amp;EF563</f>
        <v>Fiche info CDD_ Avenant 2A</v>
      </c>
      <c r="EE563" s="16" t="str">
        <f t="shared" si="119"/>
        <v>Fiche info CDD_ Avenant 2</v>
      </c>
      <c r="EF563" s="16" t="str">
        <f t="shared" si="120"/>
        <v>A</v>
      </c>
      <c r="EG563" s="16">
        <f t="shared" si="121"/>
        <v>2</v>
      </c>
      <c r="EH563" s="16" t="str">
        <f t="shared" si="122"/>
        <v>Mardi</v>
      </c>
      <c r="EI563" s="16" t="str">
        <f t="shared" si="123"/>
        <v/>
      </c>
    </row>
    <row r="564" spans="1:139" x14ac:dyDescent="0.2">
      <c r="A564" s="16" t="str">
        <f t="shared" si="126"/>
        <v>Fiche info CDD_ Avenant 2A3</v>
      </c>
      <c r="B564" s="16" t="str">
        <f t="shared" si="127"/>
        <v>Fiche info CDD_ Avenant 2</v>
      </c>
      <c r="C564" s="27" t="s">
        <v>226</v>
      </c>
      <c r="D564" s="27">
        <v>3</v>
      </c>
      <c r="E564" s="16" t="s">
        <v>19</v>
      </c>
      <c r="F564" s="34" t="str">
        <f>IF('Fiche info CDD_ Avenant 2'!$K$9=0,"",'Fiche info CDD_ Avenant 2'!$K$9)</f>
        <v/>
      </c>
      <c r="G564" s="16">
        <f t="shared" si="124"/>
        <v>0</v>
      </c>
      <c r="BX564" s="16" t="str">
        <f t="shared" si="125"/>
        <v>Fiche info CDD_ Avenant 2A3</v>
      </c>
      <c r="BY564" s="431">
        <f>'Fiche info CDD_ Avenant 2'!$B$9</f>
        <v>0</v>
      </c>
      <c r="BZ564" s="431">
        <f>'Fiche info CDD_ Avenant 2'!$C$9</f>
        <v>0</v>
      </c>
      <c r="CA564" s="431">
        <f>'Fiche info CDD_ Avenant 2'!$D$9</f>
        <v>0</v>
      </c>
      <c r="CB564" s="431">
        <f>'Fiche info CDD_ Avenant 2'!$E$9</f>
        <v>0</v>
      </c>
      <c r="CC564" s="431">
        <f>'Fiche info CDD_ Avenant 2'!$F$9</f>
        <v>0</v>
      </c>
      <c r="CD564" s="431">
        <f>'Fiche info CDD_ Avenant 2'!$G$9</f>
        <v>0</v>
      </c>
      <c r="CE564" s="431">
        <f>'Fiche info CDD_ Avenant 2'!$H$9</f>
        <v>0</v>
      </c>
      <c r="CF564" s="431">
        <f>'Fiche info CDD_ Avenant 2'!$I$9</f>
        <v>0</v>
      </c>
      <c r="ED564" s="16" t="str">
        <f t="shared" si="128"/>
        <v>Fiche info CDD_ Avenant 2A</v>
      </c>
      <c r="EE564" s="16" t="str">
        <f t="shared" si="119"/>
        <v>Fiche info CDD_ Avenant 2</v>
      </c>
      <c r="EF564" s="16" t="str">
        <f t="shared" si="120"/>
        <v>A</v>
      </c>
      <c r="EG564" s="16">
        <f t="shared" si="121"/>
        <v>3</v>
      </c>
      <c r="EH564" s="16" t="str">
        <f t="shared" si="122"/>
        <v>Mercredi</v>
      </c>
      <c r="EI564" s="16" t="str">
        <f t="shared" si="123"/>
        <v/>
      </c>
    </row>
    <row r="565" spans="1:139" x14ac:dyDescent="0.2">
      <c r="A565" s="16" t="str">
        <f t="shared" si="126"/>
        <v>Fiche info CDD_ Avenant 2A4</v>
      </c>
      <c r="B565" s="16" t="str">
        <f t="shared" si="127"/>
        <v>Fiche info CDD_ Avenant 2</v>
      </c>
      <c r="C565" s="27" t="s">
        <v>226</v>
      </c>
      <c r="D565" s="27">
        <v>4</v>
      </c>
      <c r="E565" s="16" t="s">
        <v>20</v>
      </c>
      <c r="F565" s="34" t="str">
        <f>IF('Fiche info CDD_ Avenant 2'!$K$10=0,"",'Fiche info CDD_ Avenant 2'!$K$10)</f>
        <v/>
      </c>
      <c r="G565" s="16">
        <f t="shared" si="124"/>
        <v>0</v>
      </c>
      <c r="BX565" s="16" t="str">
        <f t="shared" si="125"/>
        <v>Fiche info CDD_ Avenant 2A4</v>
      </c>
      <c r="BY565" s="431">
        <f>'Fiche info CDD_ Avenant 2'!$B$10</f>
        <v>0</v>
      </c>
      <c r="BZ565" s="431">
        <f>'Fiche info CDD_ Avenant 2'!$C$10</f>
        <v>0</v>
      </c>
      <c r="CA565" s="431">
        <f>'Fiche info CDD_ Avenant 2'!$D$10</f>
        <v>0</v>
      </c>
      <c r="CB565" s="431">
        <f>'Fiche info CDD_ Avenant 2'!$E$10</f>
        <v>0</v>
      </c>
      <c r="CC565" s="431">
        <f>'Fiche info CDD_ Avenant 2'!$F$10</f>
        <v>0</v>
      </c>
      <c r="CD565" s="431">
        <f>'Fiche info CDD_ Avenant 2'!$G$10</f>
        <v>0</v>
      </c>
      <c r="CE565" s="431">
        <f>'Fiche info CDD_ Avenant 2'!$H$10</f>
        <v>0</v>
      </c>
      <c r="CF565" s="431">
        <f>'Fiche info CDD_ Avenant 2'!$I$10</f>
        <v>0</v>
      </c>
      <c r="ED565" s="16" t="str">
        <f t="shared" si="128"/>
        <v>Fiche info CDD_ Avenant 2A</v>
      </c>
      <c r="EE565" s="16" t="str">
        <f t="shared" si="119"/>
        <v>Fiche info CDD_ Avenant 2</v>
      </c>
      <c r="EF565" s="16" t="str">
        <f t="shared" si="120"/>
        <v>A</v>
      </c>
      <c r="EG565" s="16">
        <f t="shared" si="121"/>
        <v>4</v>
      </c>
      <c r="EH565" s="16" t="str">
        <f t="shared" si="122"/>
        <v>Jeudi</v>
      </c>
      <c r="EI565" s="16" t="str">
        <f t="shared" si="123"/>
        <v/>
      </c>
    </row>
    <row r="566" spans="1:139" x14ac:dyDescent="0.2">
      <c r="A566" s="16" t="str">
        <f t="shared" si="126"/>
        <v>Fiche info CDD_ Avenant 2A5</v>
      </c>
      <c r="B566" s="16" t="str">
        <f t="shared" si="127"/>
        <v>Fiche info CDD_ Avenant 2</v>
      </c>
      <c r="C566" s="27" t="s">
        <v>226</v>
      </c>
      <c r="D566" s="27">
        <v>5</v>
      </c>
      <c r="E566" s="16" t="s">
        <v>21</v>
      </c>
      <c r="F566" s="34" t="str">
        <f>IF('Fiche info CDD_ Avenant 2'!$K$11=0,"",'Fiche info CDD_ Avenant 2'!$K$11)</f>
        <v/>
      </c>
      <c r="G566" s="16">
        <f t="shared" si="124"/>
        <v>0</v>
      </c>
      <c r="BX566" s="16" t="str">
        <f t="shared" si="125"/>
        <v>Fiche info CDD_ Avenant 2A5</v>
      </c>
      <c r="BY566" s="431">
        <f>'Fiche info CDD_ Avenant 2'!$B$11</f>
        <v>0</v>
      </c>
      <c r="BZ566" s="431">
        <f>'Fiche info CDD_ Avenant 2'!$C$11</f>
        <v>0</v>
      </c>
      <c r="CA566" s="431">
        <f>'Fiche info CDD_ Avenant 2'!$D$11</f>
        <v>0</v>
      </c>
      <c r="CB566" s="431">
        <f>'Fiche info CDD_ Avenant 2'!$E$11</f>
        <v>0</v>
      </c>
      <c r="CC566" s="431">
        <f>'Fiche info CDD_ Avenant 2'!$F$11</f>
        <v>0</v>
      </c>
      <c r="CD566" s="431">
        <f>'Fiche info CDD_ Avenant 2'!$G$11</f>
        <v>0</v>
      </c>
      <c r="CE566" s="431">
        <f>'Fiche info CDD_ Avenant 2'!$H$11</f>
        <v>0</v>
      </c>
      <c r="CF566" s="431">
        <f>'Fiche info CDD_ Avenant 2'!$I$11</f>
        <v>0</v>
      </c>
      <c r="ED566" s="16" t="str">
        <f t="shared" si="128"/>
        <v>Fiche info CDD_ Avenant 2A</v>
      </c>
      <c r="EE566" s="16" t="str">
        <f t="shared" si="119"/>
        <v>Fiche info CDD_ Avenant 2</v>
      </c>
      <c r="EF566" s="16" t="str">
        <f t="shared" si="120"/>
        <v>A</v>
      </c>
      <c r="EG566" s="16">
        <f t="shared" si="121"/>
        <v>5</v>
      </c>
      <c r="EH566" s="16" t="str">
        <f t="shared" si="122"/>
        <v>Vendredi</v>
      </c>
      <c r="EI566" s="16" t="str">
        <f t="shared" si="123"/>
        <v/>
      </c>
    </row>
    <row r="567" spans="1:139" x14ac:dyDescent="0.2">
      <c r="A567" s="16" t="str">
        <f t="shared" si="126"/>
        <v>Fiche info CDD_ Avenant 2A6</v>
      </c>
      <c r="B567" s="16" t="str">
        <f t="shared" si="127"/>
        <v>Fiche info CDD_ Avenant 2</v>
      </c>
      <c r="C567" s="27" t="s">
        <v>226</v>
      </c>
      <c r="D567" s="27">
        <v>6</v>
      </c>
      <c r="E567" s="16" t="s">
        <v>184</v>
      </c>
      <c r="F567" s="34" t="str">
        <f>IF('Fiche info CDD_ Avenant 2'!$K$12=0,"",'Fiche info CDD_ Avenant 2'!$K$12)</f>
        <v/>
      </c>
      <c r="G567" s="16">
        <f t="shared" si="124"/>
        <v>0</v>
      </c>
      <c r="BX567" s="16" t="str">
        <f t="shared" si="125"/>
        <v>Fiche info CDD_ Avenant 2A6</v>
      </c>
      <c r="BY567" s="431">
        <f>'Fiche info CDD_ Avenant 2'!$B$12</f>
        <v>0</v>
      </c>
      <c r="BZ567" s="431">
        <f>'Fiche info CDD_ Avenant 2'!$C$12</f>
        <v>0</v>
      </c>
      <c r="CA567" s="431">
        <f>'Fiche info CDD_ Avenant 2'!$D$12</f>
        <v>0</v>
      </c>
      <c r="CB567" s="431">
        <f>'Fiche info CDD_ Avenant 2'!$E$12</f>
        <v>0</v>
      </c>
      <c r="CC567" s="431">
        <f>'Fiche info CDD_ Avenant 2'!$F$12</f>
        <v>0</v>
      </c>
      <c r="CD567" s="431">
        <f>'Fiche info CDD_ Avenant 2'!$G$12</f>
        <v>0</v>
      </c>
      <c r="CE567" s="431">
        <f>'Fiche info CDD_ Avenant 2'!$H$12</f>
        <v>0</v>
      </c>
      <c r="CF567" s="431">
        <f>'Fiche info CDD_ Avenant 2'!$I$12</f>
        <v>0</v>
      </c>
      <c r="ED567" s="16" t="str">
        <f t="shared" si="128"/>
        <v>Fiche info CDD_ Avenant 2A</v>
      </c>
      <c r="EE567" s="16" t="str">
        <f t="shared" si="119"/>
        <v>Fiche info CDD_ Avenant 2</v>
      </c>
      <c r="EF567" s="16" t="str">
        <f t="shared" si="120"/>
        <v>A</v>
      </c>
      <c r="EG567" s="16">
        <f t="shared" si="121"/>
        <v>6</v>
      </c>
      <c r="EH567" s="16" t="str">
        <f t="shared" si="122"/>
        <v>Samedi</v>
      </c>
      <c r="EI567" s="16" t="str">
        <f t="shared" si="123"/>
        <v/>
      </c>
    </row>
    <row r="568" spans="1:139" x14ac:dyDescent="0.2">
      <c r="A568" s="16" t="str">
        <f t="shared" si="126"/>
        <v>Fiche info CDD_ Avenant 2A7</v>
      </c>
      <c r="B568" s="16" t="str">
        <f t="shared" si="127"/>
        <v>Fiche info CDD_ Avenant 2</v>
      </c>
      <c r="C568" s="27" t="s">
        <v>226</v>
      </c>
      <c r="D568" s="27">
        <v>7</v>
      </c>
      <c r="E568" s="16" t="s">
        <v>185</v>
      </c>
      <c r="F568" s="34" t="str">
        <f>IF('Fiche info CDD_ Avenant 2'!$K$13=0,"",'Fiche info CDD_ Avenant 2'!$K$13)</f>
        <v/>
      </c>
      <c r="G568" s="16">
        <f t="shared" si="124"/>
        <v>0</v>
      </c>
      <c r="BX568" s="16" t="str">
        <f t="shared" si="125"/>
        <v>Fiche info CDD_ Avenant 2A7</v>
      </c>
      <c r="BY568" s="431">
        <f>'Fiche info CDD_ Avenant 2'!$B$13</f>
        <v>0</v>
      </c>
      <c r="BZ568" s="431">
        <f>'Fiche info CDD_ Avenant 2'!$C$13</f>
        <v>0</v>
      </c>
      <c r="CA568" s="431">
        <f>'Fiche info CDD_ Avenant 2'!$D$13</f>
        <v>0</v>
      </c>
      <c r="CB568" s="431">
        <f>'Fiche info CDD_ Avenant 2'!$E$13</f>
        <v>0</v>
      </c>
      <c r="CC568" s="431">
        <f>'Fiche info CDD_ Avenant 2'!$F$13</f>
        <v>0</v>
      </c>
      <c r="CD568" s="431">
        <f>'Fiche info CDD_ Avenant 2'!$G$13</f>
        <v>0</v>
      </c>
      <c r="CE568" s="431">
        <f>'Fiche info CDD_ Avenant 2'!$H$13</f>
        <v>0</v>
      </c>
      <c r="CF568" s="431">
        <f>'Fiche info CDD_ Avenant 2'!$I$13</f>
        <v>0</v>
      </c>
      <c r="ED568" s="16" t="str">
        <f t="shared" si="128"/>
        <v>Fiche info CDD_ Avenant 2A</v>
      </c>
      <c r="EE568" s="16" t="str">
        <f t="shared" si="119"/>
        <v>Fiche info CDD_ Avenant 2</v>
      </c>
      <c r="EF568" s="16" t="str">
        <f t="shared" si="120"/>
        <v>A</v>
      </c>
      <c r="EG568" s="16">
        <f t="shared" si="121"/>
        <v>7</v>
      </c>
      <c r="EH568" s="16" t="str">
        <f t="shared" si="122"/>
        <v>Dimanche</v>
      </c>
      <c r="EI568" s="16" t="str">
        <f t="shared" si="123"/>
        <v/>
      </c>
    </row>
    <row r="569" spans="1:139" x14ac:dyDescent="0.2">
      <c r="A569" s="16" t="str">
        <f t="shared" si="126"/>
        <v>Fiche info CDD_ Avenant 2B1</v>
      </c>
      <c r="B569" s="16" t="str">
        <f t="shared" si="127"/>
        <v>Fiche info CDD_ Avenant 2</v>
      </c>
      <c r="C569" s="27" t="s">
        <v>227</v>
      </c>
      <c r="D569" s="27">
        <v>1</v>
      </c>
      <c r="E569" s="16" t="s">
        <v>17</v>
      </c>
      <c r="F569" s="34" t="str">
        <f>+IF('Fiche info CDD_ Avenant 2'!$V$7=0,"",'Fiche info CDD_ Avenant 2'!$V$7)</f>
        <v/>
      </c>
      <c r="G569" s="16">
        <f t="shared" si="124"/>
        <v>0</v>
      </c>
      <c r="BX569" s="16" t="str">
        <f t="shared" si="125"/>
        <v>Fiche info CDD_ Avenant 2B1</v>
      </c>
      <c r="BY569" s="431">
        <f>'Fiche info CDD_ Avenant 2'!$M$7</f>
        <v>0</v>
      </c>
      <c r="BZ569" s="431">
        <f>'Fiche info CDD_ Avenant 2'!$N$7</f>
        <v>0</v>
      </c>
      <c r="CA569" s="431">
        <f>'Fiche info CDD_ Avenant 2'!$O$7</f>
        <v>0</v>
      </c>
      <c r="CB569" s="431">
        <f>'Fiche info CDD_ Avenant 2'!$P$7</f>
        <v>0</v>
      </c>
      <c r="CC569" s="431">
        <f>'Fiche info CDD_ Avenant 2'!$Q$7</f>
        <v>0</v>
      </c>
      <c r="CD569" s="431">
        <f>'Fiche info CDD_ Avenant 2'!$R$7</f>
        <v>0</v>
      </c>
      <c r="CE569" s="431">
        <f>'Fiche info CDD_ Avenant 2'!$S$7</f>
        <v>0</v>
      </c>
      <c r="CF569" s="431">
        <f>'Fiche info CDD_ Avenant 2'!$T$7</f>
        <v>0</v>
      </c>
      <c r="ED569" s="16" t="str">
        <f t="shared" si="128"/>
        <v>Fiche info CDD_ Avenant 2B</v>
      </c>
      <c r="EE569" s="16" t="str">
        <f t="shared" si="119"/>
        <v>Fiche info CDD_ Avenant 2</v>
      </c>
      <c r="EF569" s="16" t="str">
        <f t="shared" si="120"/>
        <v>B</v>
      </c>
      <c r="EG569" s="16">
        <f t="shared" si="121"/>
        <v>1</v>
      </c>
      <c r="EH569" s="16" t="str">
        <f t="shared" si="122"/>
        <v>Lundi</v>
      </c>
      <c r="EI569" s="16" t="str">
        <f t="shared" si="123"/>
        <v/>
      </c>
    </row>
    <row r="570" spans="1:139" x14ac:dyDescent="0.2">
      <c r="A570" s="16" t="str">
        <f t="shared" si="126"/>
        <v>Fiche info CDD_ Avenant 2B2</v>
      </c>
      <c r="B570" s="16" t="str">
        <f t="shared" si="127"/>
        <v>Fiche info CDD_ Avenant 2</v>
      </c>
      <c r="C570" s="27" t="s">
        <v>227</v>
      </c>
      <c r="D570" s="27">
        <v>2</v>
      </c>
      <c r="E570" s="16" t="s">
        <v>18</v>
      </c>
      <c r="F570" s="34" t="str">
        <f>+IF('Fiche info CDD_ Avenant 2'!$V$8=0,"",'Fiche info CDD_ Avenant 2'!$V$8)</f>
        <v/>
      </c>
      <c r="G570" s="16">
        <f t="shared" si="124"/>
        <v>0</v>
      </c>
      <c r="BX570" s="16" t="str">
        <f t="shared" si="125"/>
        <v>Fiche info CDD_ Avenant 2B2</v>
      </c>
      <c r="BY570" s="431">
        <f>'Fiche info CDD_ Avenant 2'!$M$8</f>
        <v>0</v>
      </c>
      <c r="BZ570" s="431">
        <f>'Fiche info CDD_ Avenant 2'!$N$8</f>
        <v>0</v>
      </c>
      <c r="CA570" s="431">
        <f>'Fiche info CDD_ Avenant 2'!$O$8</f>
        <v>0</v>
      </c>
      <c r="CB570" s="431">
        <f>'Fiche info CDD_ Avenant 2'!$P$8</f>
        <v>0</v>
      </c>
      <c r="CC570" s="431">
        <f>'Fiche info CDD_ Avenant 2'!$Q$8</f>
        <v>0</v>
      </c>
      <c r="CD570" s="431">
        <f>'Fiche info CDD_ Avenant 2'!$R$8</f>
        <v>0</v>
      </c>
      <c r="CE570" s="431">
        <f>'Fiche info CDD_ Avenant 2'!$S$8</f>
        <v>0</v>
      </c>
      <c r="CF570" s="431">
        <f>'Fiche info CDD_ Avenant 2'!$T$8</f>
        <v>0</v>
      </c>
      <c r="ED570" s="16" t="str">
        <f t="shared" si="128"/>
        <v>Fiche info CDD_ Avenant 2B</v>
      </c>
      <c r="EE570" s="16" t="str">
        <f t="shared" si="119"/>
        <v>Fiche info CDD_ Avenant 2</v>
      </c>
      <c r="EF570" s="16" t="str">
        <f t="shared" si="120"/>
        <v>B</v>
      </c>
      <c r="EG570" s="16">
        <f t="shared" si="121"/>
        <v>2</v>
      </c>
      <c r="EH570" s="16" t="str">
        <f t="shared" si="122"/>
        <v>Mardi</v>
      </c>
      <c r="EI570" s="16" t="str">
        <f t="shared" si="123"/>
        <v/>
      </c>
    </row>
    <row r="571" spans="1:139" x14ac:dyDescent="0.2">
      <c r="A571" s="16" t="str">
        <f t="shared" si="126"/>
        <v>Fiche info CDD_ Avenant 2B3</v>
      </c>
      <c r="B571" s="16" t="str">
        <f t="shared" si="127"/>
        <v>Fiche info CDD_ Avenant 2</v>
      </c>
      <c r="C571" s="27" t="s">
        <v>227</v>
      </c>
      <c r="D571" s="27">
        <v>3</v>
      </c>
      <c r="E571" s="16" t="s">
        <v>19</v>
      </c>
      <c r="F571" s="34" t="str">
        <f>+IF('Fiche info CDD_ Avenant 2'!$V$9=0,"",'Fiche info CDD_ Avenant 2'!$V$9)</f>
        <v/>
      </c>
      <c r="G571" s="16">
        <f t="shared" si="124"/>
        <v>0</v>
      </c>
      <c r="BX571" s="16" t="str">
        <f t="shared" si="125"/>
        <v>Fiche info CDD_ Avenant 2B3</v>
      </c>
      <c r="BY571" s="431">
        <f>'Fiche info CDD_ Avenant 2'!$M$9</f>
        <v>0</v>
      </c>
      <c r="BZ571" s="431">
        <f>'Fiche info CDD_ Avenant 2'!$N$9</f>
        <v>0</v>
      </c>
      <c r="CA571" s="431">
        <f>'Fiche info CDD_ Avenant 2'!$O$9</f>
        <v>0</v>
      </c>
      <c r="CB571" s="431">
        <f>'Fiche info CDD_ Avenant 2'!$P$9</f>
        <v>0</v>
      </c>
      <c r="CC571" s="431">
        <f>'Fiche info CDD_ Avenant 2'!$Q$9</f>
        <v>0</v>
      </c>
      <c r="CD571" s="431">
        <f>'Fiche info CDD_ Avenant 2'!$R$9</f>
        <v>0</v>
      </c>
      <c r="CE571" s="431">
        <f>'Fiche info CDD_ Avenant 2'!$S$9</f>
        <v>0</v>
      </c>
      <c r="CF571" s="431">
        <f>'Fiche info CDD_ Avenant 2'!$T$9</f>
        <v>0</v>
      </c>
      <c r="ED571" s="16" t="str">
        <f t="shared" si="128"/>
        <v>Fiche info CDD_ Avenant 2B</v>
      </c>
      <c r="EE571" s="16" t="str">
        <f t="shared" si="119"/>
        <v>Fiche info CDD_ Avenant 2</v>
      </c>
      <c r="EF571" s="16" t="str">
        <f t="shared" si="120"/>
        <v>B</v>
      </c>
      <c r="EG571" s="16">
        <f t="shared" si="121"/>
        <v>3</v>
      </c>
      <c r="EH571" s="16" t="str">
        <f t="shared" si="122"/>
        <v>Mercredi</v>
      </c>
      <c r="EI571" s="16" t="str">
        <f t="shared" si="123"/>
        <v/>
      </c>
    </row>
    <row r="572" spans="1:139" x14ac:dyDescent="0.2">
      <c r="A572" s="16" t="str">
        <f t="shared" si="126"/>
        <v>Fiche info CDD_ Avenant 2B4</v>
      </c>
      <c r="B572" s="16" t="str">
        <f t="shared" si="127"/>
        <v>Fiche info CDD_ Avenant 2</v>
      </c>
      <c r="C572" s="27" t="s">
        <v>227</v>
      </c>
      <c r="D572" s="27">
        <v>4</v>
      </c>
      <c r="E572" s="16" t="s">
        <v>20</v>
      </c>
      <c r="F572" s="34" t="str">
        <f>+IF('Fiche info CDD_ Avenant 2'!$V$10=0,"",'Fiche info CDD_ Avenant 2'!$V$10)</f>
        <v/>
      </c>
      <c r="G572" s="16">
        <f t="shared" si="124"/>
        <v>0</v>
      </c>
      <c r="BX572" s="16" t="str">
        <f t="shared" si="125"/>
        <v>Fiche info CDD_ Avenant 2B4</v>
      </c>
      <c r="BY572" s="431">
        <f>'Fiche info CDD_ Avenant 2'!$M$10</f>
        <v>0</v>
      </c>
      <c r="BZ572" s="431">
        <f>'Fiche info CDD_ Avenant 2'!$N$10</f>
        <v>0</v>
      </c>
      <c r="CA572" s="431">
        <f>'Fiche info CDD_ Avenant 2'!$O$10</f>
        <v>0</v>
      </c>
      <c r="CB572" s="431">
        <f>'Fiche info CDD_ Avenant 2'!$P$10</f>
        <v>0</v>
      </c>
      <c r="CC572" s="431">
        <f>'Fiche info CDD_ Avenant 2'!$Q$10</f>
        <v>0</v>
      </c>
      <c r="CD572" s="431">
        <f>'Fiche info CDD_ Avenant 2'!$R$10</f>
        <v>0</v>
      </c>
      <c r="CE572" s="431">
        <f>'Fiche info CDD_ Avenant 2'!$S$10</f>
        <v>0</v>
      </c>
      <c r="CF572" s="431">
        <f>'Fiche info CDD_ Avenant 2'!$T$10</f>
        <v>0</v>
      </c>
      <c r="ED572" s="16" t="str">
        <f t="shared" si="128"/>
        <v>Fiche info CDD_ Avenant 2B</v>
      </c>
      <c r="EE572" s="16" t="str">
        <f t="shared" si="119"/>
        <v>Fiche info CDD_ Avenant 2</v>
      </c>
      <c r="EF572" s="16" t="str">
        <f t="shared" si="120"/>
        <v>B</v>
      </c>
      <c r="EG572" s="16">
        <f t="shared" si="121"/>
        <v>4</v>
      </c>
      <c r="EH572" s="16" t="str">
        <f t="shared" si="122"/>
        <v>Jeudi</v>
      </c>
      <c r="EI572" s="16" t="str">
        <f t="shared" si="123"/>
        <v/>
      </c>
    </row>
    <row r="573" spans="1:139" x14ac:dyDescent="0.2">
      <c r="A573" s="16" t="str">
        <f t="shared" si="126"/>
        <v>Fiche info CDD_ Avenant 2B5</v>
      </c>
      <c r="B573" s="16" t="str">
        <f t="shared" si="127"/>
        <v>Fiche info CDD_ Avenant 2</v>
      </c>
      <c r="C573" s="27" t="s">
        <v>227</v>
      </c>
      <c r="D573" s="27">
        <v>5</v>
      </c>
      <c r="E573" s="16" t="s">
        <v>21</v>
      </c>
      <c r="F573" s="34" t="str">
        <f>+IF('Fiche info CDD_ Avenant 2'!$V$11=0,"",'Fiche info CDD_ Avenant 2'!$V$11)</f>
        <v/>
      </c>
      <c r="G573" s="16">
        <f t="shared" si="124"/>
        <v>0</v>
      </c>
      <c r="BX573" s="16" t="str">
        <f t="shared" si="125"/>
        <v>Fiche info CDD_ Avenant 2B5</v>
      </c>
      <c r="BY573" s="431">
        <f>'Fiche info CDD_ Avenant 2'!$M$11</f>
        <v>0</v>
      </c>
      <c r="BZ573" s="431">
        <f>'Fiche info CDD_ Avenant 2'!$N$11</f>
        <v>0</v>
      </c>
      <c r="CA573" s="431">
        <f>'Fiche info CDD_ Avenant 2'!$O$11</f>
        <v>0</v>
      </c>
      <c r="CB573" s="431">
        <f>'Fiche info CDD_ Avenant 2'!$P$11</f>
        <v>0</v>
      </c>
      <c r="CC573" s="431">
        <f>'Fiche info CDD_ Avenant 2'!$Q$11</f>
        <v>0</v>
      </c>
      <c r="CD573" s="431">
        <f>'Fiche info CDD_ Avenant 2'!$R$11</f>
        <v>0</v>
      </c>
      <c r="CE573" s="431">
        <f>'Fiche info CDD_ Avenant 2'!$S$11</f>
        <v>0</v>
      </c>
      <c r="CF573" s="431">
        <f>'Fiche info CDD_ Avenant 2'!$T$11</f>
        <v>0</v>
      </c>
      <c r="ED573" s="16" t="str">
        <f t="shared" si="128"/>
        <v>Fiche info CDD_ Avenant 2B</v>
      </c>
      <c r="EE573" s="16" t="str">
        <f t="shared" si="119"/>
        <v>Fiche info CDD_ Avenant 2</v>
      </c>
      <c r="EF573" s="16" t="str">
        <f t="shared" si="120"/>
        <v>B</v>
      </c>
      <c r="EG573" s="16">
        <f t="shared" si="121"/>
        <v>5</v>
      </c>
      <c r="EH573" s="16" t="str">
        <f t="shared" si="122"/>
        <v>Vendredi</v>
      </c>
      <c r="EI573" s="16" t="str">
        <f t="shared" si="123"/>
        <v/>
      </c>
    </row>
    <row r="574" spans="1:139" x14ac:dyDescent="0.2">
      <c r="A574" s="16" t="str">
        <f t="shared" si="126"/>
        <v>Fiche info CDD_ Avenant 2B6</v>
      </c>
      <c r="B574" s="16" t="str">
        <f t="shared" si="127"/>
        <v>Fiche info CDD_ Avenant 2</v>
      </c>
      <c r="C574" s="27" t="s">
        <v>227</v>
      </c>
      <c r="D574" s="27">
        <v>6</v>
      </c>
      <c r="E574" s="16" t="s">
        <v>184</v>
      </c>
      <c r="F574" s="34" t="str">
        <f>+IF('Fiche info CDD_ Avenant 2'!$V$12=0,"",'Fiche info CDD_ Avenant 2'!$V$12)</f>
        <v/>
      </c>
      <c r="G574" s="16">
        <f t="shared" si="124"/>
        <v>0</v>
      </c>
      <c r="BX574" s="16" t="str">
        <f t="shared" si="125"/>
        <v>Fiche info CDD_ Avenant 2B6</v>
      </c>
      <c r="BY574" s="431">
        <f>'Fiche info CDD_ Avenant 2'!$M$12</f>
        <v>0</v>
      </c>
      <c r="BZ574" s="431">
        <f>'Fiche info CDD_ Avenant 2'!$N$12</f>
        <v>0</v>
      </c>
      <c r="CA574" s="431">
        <f>'Fiche info CDD_ Avenant 2'!$O$12</f>
        <v>0</v>
      </c>
      <c r="CB574" s="431">
        <f>'Fiche info CDD_ Avenant 2'!$P$12</f>
        <v>0</v>
      </c>
      <c r="CC574" s="431">
        <f>'Fiche info CDD_ Avenant 2'!$Q$12</f>
        <v>0</v>
      </c>
      <c r="CD574" s="431">
        <f>'Fiche info CDD_ Avenant 2'!$R$12</f>
        <v>0</v>
      </c>
      <c r="CE574" s="431">
        <f>'Fiche info CDD_ Avenant 2'!$S$12</f>
        <v>0</v>
      </c>
      <c r="CF574" s="431">
        <f>'Fiche info CDD_ Avenant 2'!$T$12</f>
        <v>0</v>
      </c>
      <c r="ED574" s="16" t="str">
        <f t="shared" si="128"/>
        <v>Fiche info CDD_ Avenant 2B</v>
      </c>
      <c r="EE574" s="16" t="str">
        <f t="shared" si="119"/>
        <v>Fiche info CDD_ Avenant 2</v>
      </c>
      <c r="EF574" s="16" t="str">
        <f t="shared" si="120"/>
        <v>B</v>
      </c>
      <c r="EG574" s="16">
        <f t="shared" si="121"/>
        <v>6</v>
      </c>
      <c r="EH574" s="16" t="str">
        <f t="shared" si="122"/>
        <v>Samedi</v>
      </c>
      <c r="EI574" s="16" t="str">
        <f t="shared" si="123"/>
        <v/>
      </c>
    </row>
    <row r="575" spans="1:139" x14ac:dyDescent="0.2">
      <c r="A575" s="16" t="str">
        <f t="shared" si="126"/>
        <v>Fiche info CDD_ Avenant 2B7</v>
      </c>
      <c r="B575" s="16" t="str">
        <f t="shared" si="127"/>
        <v>Fiche info CDD_ Avenant 2</v>
      </c>
      <c r="C575" s="27" t="s">
        <v>227</v>
      </c>
      <c r="D575" s="27">
        <v>7</v>
      </c>
      <c r="E575" s="16" t="s">
        <v>185</v>
      </c>
      <c r="F575" s="34" t="str">
        <f>+IF('Fiche info CDD_ Avenant 2'!$V$13=0,"",'Fiche info CDD_ Avenant 2'!$V$13)</f>
        <v/>
      </c>
      <c r="G575" s="16">
        <f t="shared" si="124"/>
        <v>0</v>
      </c>
      <c r="BX575" s="16" t="str">
        <f t="shared" si="125"/>
        <v>Fiche info CDD_ Avenant 2B7</v>
      </c>
      <c r="BY575" s="431">
        <f>'Fiche info CDD_ Avenant 2'!$M$13</f>
        <v>0</v>
      </c>
      <c r="BZ575" s="431">
        <f>'Fiche info CDD_ Avenant 2'!$N$13</f>
        <v>0</v>
      </c>
      <c r="CA575" s="431">
        <f>'Fiche info CDD_ Avenant 2'!$O$13</f>
        <v>0</v>
      </c>
      <c r="CB575" s="431">
        <f>'Fiche info CDD_ Avenant 2'!$P$13</f>
        <v>0</v>
      </c>
      <c r="CC575" s="431">
        <f>'Fiche info CDD_ Avenant 2'!$Q$13</f>
        <v>0</v>
      </c>
      <c r="CD575" s="431">
        <f>'Fiche info CDD_ Avenant 2'!$R$13</f>
        <v>0</v>
      </c>
      <c r="CE575" s="431">
        <f>'Fiche info CDD_ Avenant 2'!$S$13</f>
        <v>0</v>
      </c>
      <c r="CF575" s="431">
        <f>'Fiche info CDD_ Avenant 2'!$T$13</f>
        <v>0</v>
      </c>
      <c r="ED575" s="16" t="str">
        <f t="shared" si="128"/>
        <v>Fiche info CDD_ Avenant 2B</v>
      </c>
      <c r="EE575" s="16" t="str">
        <f t="shared" si="119"/>
        <v>Fiche info CDD_ Avenant 2</v>
      </c>
      <c r="EF575" s="16" t="str">
        <f t="shared" si="120"/>
        <v>B</v>
      </c>
      <c r="EG575" s="16">
        <f t="shared" si="121"/>
        <v>7</v>
      </c>
      <c r="EH575" s="16" t="str">
        <f t="shared" si="122"/>
        <v>Dimanche</v>
      </c>
      <c r="EI575" s="16" t="str">
        <f t="shared" si="123"/>
        <v/>
      </c>
    </row>
    <row r="576" spans="1:139" x14ac:dyDescent="0.2">
      <c r="A576" s="16" t="str">
        <f t="shared" si="126"/>
        <v>Fiche info CDD_ Avenant 2C1</v>
      </c>
      <c r="B576" s="16" t="str">
        <f t="shared" si="127"/>
        <v>Fiche info CDD_ Avenant 2</v>
      </c>
      <c r="C576" s="27" t="s">
        <v>232</v>
      </c>
      <c r="D576" s="27">
        <v>1</v>
      </c>
      <c r="E576" s="16" t="s">
        <v>17</v>
      </c>
      <c r="F576" s="34" t="str">
        <f>+IF('Fiche info CDD_ Avenant 2'!$AG$7=0,"",'Fiche info CDD_ Avenant 2'!$AG$7)</f>
        <v/>
      </c>
      <c r="G576" s="16">
        <f t="shared" si="124"/>
        <v>0</v>
      </c>
      <c r="BX576" s="16" t="str">
        <f t="shared" si="125"/>
        <v>Fiche info CDD_ Avenant 2C1</v>
      </c>
      <c r="BY576" s="431">
        <f>'Fiche info CDD_ Avenant 2'!$X$7</f>
        <v>0</v>
      </c>
      <c r="BZ576" s="431">
        <f>'Fiche info CDD_ Avenant 2'!$Y$7</f>
        <v>0</v>
      </c>
      <c r="CA576" s="431">
        <f>'Fiche info CDD_ Avenant 2'!$Z$7</f>
        <v>0</v>
      </c>
      <c r="CB576" s="431">
        <f>'Fiche info CDD_ Avenant 2'!$AA$7</f>
        <v>0</v>
      </c>
      <c r="CC576" s="431">
        <f>'Fiche info CDD_ Avenant 2'!$AB$7</f>
        <v>0</v>
      </c>
      <c r="CD576" s="431">
        <f>'Fiche info CDD_ Avenant 2'!$AC$7</f>
        <v>0</v>
      </c>
      <c r="CE576" s="431">
        <f>'Fiche info CDD_ Avenant 2'!$AD$7</f>
        <v>0</v>
      </c>
      <c r="CF576" s="431">
        <f>'Fiche info CDD_ Avenant 2'!$AE$7</f>
        <v>0</v>
      </c>
      <c r="ED576" s="16" t="str">
        <f t="shared" si="128"/>
        <v>Fiche info CDD_ Avenant 2C</v>
      </c>
      <c r="EE576" s="16" t="str">
        <f t="shared" si="119"/>
        <v>Fiche info CDD_ Avenant 2</v>
      </c>
      <c r="EF576" s="16" t="str">
        <f t="shared" si="120"/>
        <v>C</v>
      </c>
      <c r="EG576" s="16">
        <f t="shared" si="121"/>
        <v>1</v>
      </c>
      <c r="EH576" s="16" t="str">
        <f t="shared" si="122"/>
        <v>Lundi</v>
      </c>
      <c r="EI576" s="16" t="str">
        <f t="shared" si="123"/>
        <v/>
      </c>
    </row>
    <row r="577" spans="1:139" x14ac:dyDescent="0.2">
      <c r="A577" s="16" t="str">
        <f t="shared" si="126"/>
        <v>Fiche info CDD_ Avenant 2C2</v>
      </c>
      <c r="B577" s="16" t="str">
        <f t="shared" si="127"/>
        <v>Fiche info CDD_ Avenant 2</v>
      </c>
      <c r="C577" s="27" t="s">
        <v>232</v>
      </c>
      <c r="D577" s="27">
        <v>2</v>
      </c>
      <c r="E577" s="16" t="s">
        <v>18</v>
      </c>
      <c r="F577" s="34" t="str">
        <f>+IF('Fiche info CDD_ Avenant 2'!$AG$8=0,"",'Fiche info CDD_ Avenant 2'!$AG$8)</f>
        <v/>
      </c>
      <c r="G577" s="16">
        <f t="shared" si="124"/>
        <v>0</v>
      </c>
      <c r="BX577" s="16" t="str">
        <f t="shared" si="125"/>
        <v>Fiche info CDD_ Avenant 2C2</v>
      </c>
      <c r="BY577" s="431">
        <f>'Fiche info CDD_ Avenant 2'!$X$8</f>
        <v>0</v>
      </c>
      <c r="BZ577" s="431">
        <f>'Fiche info CDD_ Avenant 2'!$Y$8</f>
        <v>0</v>
      </c>
      <c r="CA577" s="431">
        <f>'Fiche info CDD_ Avenant 2'!$Z$8</f>
        <v>0</v>
      </c>
      <c r="CB577" s="431">
        <f>'Fiche info CDD_ Avenant 2'!$AA$8</f>
        <v>0</v>
      </c>
      <c r="CC577" s="431">
        <f>'Fiche info CDD_ Avenant 2'!$AB$8</f>
        <v>0</v>
      </c>
      <c r="CD577" s="431">
        <f>'Fiche info CDD_ Avenant 2'!$AC$8</f>
        <v>0</v>
      </c>
      <c r="CE577" s="431">
        <f>'Fiche info CDD_ Avenant 2'!$AD$8</f>
        <v>0</v>
      </c>
      <c r="CF577" s="431">
        <f>'Fiche info CDD_ Avenant 2'!$AE$8</f>
        <v>0</v>
      </c>
      <c r="ED577" s="16" t="str">
        <f t="shared" si="128"/>
        <v>Fiche info CDD_ Avenant 2C</v>
      </c>
      <c r="EE577" s="16" t="str">
        <f t="shared" ref="EE577:EE640" si="129">B577</f>
        <v>Fiche info CDD_ Avenant 2</v>
      </c>
      <c r="EF577" s="16" t="str">
        <f t="shared" ref="EF577:EF640" si="130">C577</f>
        <v>C</v>
      </c>
      <c r="EG577" s="16">
        <f t="shared" ref="EG577:EG640" si="131">D577</f>
        <v>2</v>
      </c>
      <c r="EH577" s="16" t="str">
        <f t="shared" ref="EH577:EH640" si="132">E577</f>
        <v>Mardi</v>
      </c>
      <c r="EI577" s="16" t="str">
        <f t="shared" ref="EI577:EI640" si="133">F577</f>
        <v/>
      </c>
    </row>
    <row r="578" spans="1:139" x14ac:dyDescent="0.2">
      <c r="A578" s="16" t="str">
        <f t="shared" si="126"/>
        <v>Fiche info CDD_ Avenant 2C3</v>
      </c>
      <c r="B578" s="16" t="str">
        <f t="shared" si="127"/>
        <v>Fiche info CDD_ Avenant 2</v>
      </c>
      <c r="C578" s="27" t="s">
        <v>232</v>
      </c>
      <c r="D578" s="27">
        <v>3</v>
      </c>
      <c r="E578" s="16" t="s">
        <v>19</v>
      </c>
      <c r="F578" s="34" t="str">
        <f>+IF('Fiche info CDD_ Avenant 2'!$AG$9=0,"",'Fiche info CDD_ Avenant 2'!$AG$9)</f>
        <v/>
      </c>
      <c r="G578" s="16">
        <f t="shared" ref="G578:G641" si="134">+IF(OR(F578=0,F578=""),0,1)</f>
        <v>0</v>
      </c>
      <c r="BX578" s="16" t="str">
        <f t="shared" ref="BX578:BX641" si="135">A578</f>
        <v>Fiche info CDD_ Avenant 2C3</v>
      </c>
      <c r="BY578" s="431">
        <f>'Fiche info CDD_ Avenant 2'!$X$9</f>
        <v>0</v>
      </c>
      <c r="BZ578" s="431">
        <f>'Fiche info CDD_ Avenant 2'!$Y$9</f>
        <v>0</v>
      </c>
      <c r="CA578" s="431">
        <f>'Fiche info CDD_ Avenant 2'!$Z$9</f>
        <v>0</v>
      </c>
      <c r="CB578" s="431">
        <f>'Fiche info CDD_ Avenant 2'!$AA$9</f>
        <v>0</v>
      </c>
      <c r="CC578" s="431">
        <f>'Fiche info CDD_ Avenant 2'!$AB$9</f>
        <v>0</v>
      </c>
      <c r="CD578" s="431">
        <f>'Fiche info CDD_ Avenant 2'!$AC$9</f>
        <v>0</v>
      </c>
      <c r="CE578" s="431">
        <f>'Fiche info CDD_ Avenant 2'!$AD$9</f>
        <v>0</v>
      </c>
      <c r="CF578" s="431">
        <f>'Fiche info CDD_ Avenant 2'!$AE$9</f>
        <v>0</v>
      </c>
      <c r="ED578" s="16" t="str">
        <f t="shared" si="128"/>
        <v>Fiche info CDD_ Avenant 2C</v>
      </c>
      <c r="EE578" s="16" t="str">
        <f t="shared" si="129"/>
        <v>Fiche info CDD_ Avenant 2</v>
      </c>
      <c r="EF578" s="16" t="str">
        <f t="shared" si="130"/>
        <v>C</v>
      </c>
      <c r="EG578" s="16">
        <f t="shared" si="131"/>
        <v>3</v>
      </c>
      <c r="EH578" s="16" t="str">
        <f t="shared" si="132"/>
        <v>Mercredi</v>
      </c>
      <c r="EI578" s="16" t="str">
        <f t="shared" si="133"/>
        <v/>
      </c>
    </row>
    <row r="579" spans="1:139" x14ac:dyDescent="0.2">
      <c r="A579" s="16" t="str">
        <f t="shared" si="126"/>
        <v>Fiche info CDD_ Avenant 2C4</v>
      </c>
      <c r="B579" s="16" t="str">
        <f t="shared" si="127"/>
        <v>Fiche info CDD_ Avenant 2</v>
      </c>
      <c r="C579" s="27" t="s">
        <v>232</v>
      </c>
      <c r="D579" s="27">
        <v>4</v>
      </c>
      <c r="E579" s="16" t="s">
        <v>20</v>
      </c>
      <c r="F579" s="34" t="str">
        <f>+IF('Fiche info CDD_ Avenant 2'!$AG$10=0,"",'Fiche info CDD_ Avenant 2'!$AG$10)</f>
        <v/>
      </c>
      <c r="G579" s="16">
        <f t="shared" si="134"/>
        <v>0</v>
      </c>
      <c r="BX579" s="16" t="str">
        <f t="shared" si="135"/>
        <v>Fiche info CDD_ Avenant 2C4</v>
      </c>
      <c r="BY579" s="431">
        <f>'Fiche info CDD_ Avenant 2'!$X$10</f>
        <v>0</v>
      </c>
      <c r="BZ579" s="431">
        <f>'Fiche info CDD_ Avenant 2'!$Y$10</f>
        <v>0</v>
      </c>
      <c r="CA579" s="431">
        <f>'Fiche info CDD_ Avenant 2'!$Z$10</f>
        <v>0</v>
      </c>
      <c r="CB579" s="431">
        <f>'Fiche info CDD_ Avenant 2'!$AA$10</f>
        <v>0</v>
      </c>
      <c r="CC579" s="431">
        <f>'Fiche info CDD_ Avenant 2'!$AB$10</f>
        <v>0</v>
      </c>
      <c r="CD579" s="431">
        <f>'Fiche info CDD_ Avenant 2'!$AC$10</f>
        <v>0</v>
      </c>
      <c r="CE579" s="431">
        <f>'Fiche info CDD_ Avenant 2'!$AD$10</f>
        <v>0</v>
      </c>
      <c r="CF579" s="431">
        <f>'Fiche info CDD_ Avenant 2'!$AE$10</f>
        <v>0</v>
      </c>
      <c r="ED579" s="16" t="str">
        <f t="shared" si="128"/>
        <v>Fiche info CDD_ Avenant 2C</v>
      </c>
      <c r="EE579" s="16" t="str">
        <f t="shared" si="129"/>
        <v>Fiche info CDD_ Avenant 2</v>
      </c>
      <c r="EF579" s="16" t="str">
        <f t="shared" si="130"/>
        <v>C</v>
      </c>
      <c r="EG579" s="16">
        <f t="shared" si="131"/>
        <v>4</v>
      </c>
      <c r="EH579" s="16" t="str">
        <f t="shared" si="132"/>
        <v>Jeudi</v>
      </c>
      <c r="EI579" s="16" t="str">
        <f t="shared" si="133"/>
        <v/>
      </c>
    </row>
    <row r="580" spans="1:139" x14ac:dyDescent="0.2">
      <c r="A580" s="16" t="str">
        <f t="shared" si="126"/>
        <v>Fiche info CDD_ Avenant 2C5</v>
      </c>
      <c r="B580" s="16" t="str">
        <f t="shared" si="127"/>
        <v>Fiche info CDD_ Avenant 2</v>
      </c>
      <c r="C580" s="27" t="s">
        <v>232</v>
      </c>
      <c r="D580" s="27">
        <v>5</v>
      </c>
      <c r="E580" s="16" t="s">
        <v>21</v>
      </c>
      <c r="F580" s="34" t="str">
        <f>+IF('Fiche info CDD_ Avenant 2'!$AG$11=0,"",'Fiche info CDD_ Avenant 2'!$AG$11)</f>
        <v/>
      </c>
      <c r="G580" s="16">
        <f t="shared" si="134"/>
        <v>0</v>
      </c>
      <c r="BX580" s="16" t="str">
        <f t="shared" si="135"/>
        <v>Fiche info CDD_ Avenant 2C5</v>
      </c>
      <c r="BY580" s="431">
        <f>'Fiche info CDD_ Avenant 2'!$X$11</f>
        <v>0</v>
      </c>
      <c r="BZ580" s="431">
        <f>'Fiche info CDD_ Avenant 2'!$Y$11</f>
        <v>0</v>
      </c>
      <c r="CA580" s="431">
        <f>'Fiche info CDD_ Avenant 2'!$Z$11</f>
        <v>0</v>
      </c>
      <c r="CB580" s="431">
        <f>'Fiche info CDD_ Avenant 2'!$AA$11</f>
        <v>0</v>
      </c>
      <c r="CC580" s="431">
        <f>'Fiche info CDD_ Avenant 2'!$AB$11</f>
        <v>0</v>
      </c>
      <c r="CD580" s="431">
        <f>'Fiche info CDD_ Avenant 2'!$AC$11</f>
        <v>0</v>
      </c>
      <c r="CE580" s="431">
        <f>'Fiche info CDD_ Avenant 2'!$AD$11</f>
        <v>0</v>
      </c>
      <c r="CF580" s="431">
        <f>'Fiche info CDD_ Avenant 2'!$AE$11</f>
        <v>0</v>
      </c>
      <c r="ED580" s="16" t="str">
        <f t="shared" si="128"/>
        <v>Fiche info CDD_ Avenant 2C</v>
      </c>
      <c r="EE580" s="16" t="str">
        <f t="shared" si="129"/>
        <v>Fiche info CDD_ Avenant 2</v>
      </c>
      <c r="EF580" s="16" t="str">
        <f t="shared" si="130"/>
        <v>C</v>
      </c>
      <c r="EG580" s="16">
        <f t="shared" si="131"/>
        <v>5</v>
      </c>
      <c r="EH580" s="16" t="str">
        <f t="shared" si="132"/>
        <v>Vendredi</v>
      </c>
      <c r="EI580" s="16" t="str">
        <f t="shared" si="133"/>
        <v/>
      </c>
    </row>
    <row r="581" spans="1:139" x14ac:dyDescent="0.2">
      <c r="A581" s="16" t="str">
        <f t="shared" si="126"/>
        <v>Fiche info CDD_ Avenant 2C6</v>
      </c>
      <c r="B581" s="16" t="str">
        <f t="shared" si="127"/>
        <v>Fiche info CDD_ Avenant 2</v>
      </c>
      <c r="C581" s="27" t="s">
        <v>232</v>
      </c>
      <c r="D581" s="27">
        <v>6</v>
      </c>
      <c r="E581" s="16" t="s">
        <v>184</v>
      </c>
      <c r="F581" s="34" t="str">
        <f>+IF('Fiche info CDD_ Avenant 2'!$AG$12=0,"",'Fiche info CDD_ Avenant 2'!$AG$12)</f>
        <v/>
      </c>
      <c r="G581" s="16">
        <f t="shared" si="134"/>
        <v>0</v>
      </c>
      <c r="BX581" s="16" t="str">
        <f t="shared" si="135"/>
        <v>Fiche info CDD_ Avenant 2C6</v>
      </c>
      <c r="BY581" s="431">
        <f>'Fiche info CDD_ Avenant 2'!$X$12</f>
        <v>0</v>
      </c>
      <c r="BZ581" s="431">
        <f>'Fiche info CDD_ Avenant 2'!$Y$12</f>
        <v>0</v>
      </c>
      <c r="CA581" s="431">
        <f>'Fiche info CDD_ Avenant 2'!$Z$12</f>
        <v>0</v>
      </c>
      <c r="CB581" s="431">
        <f>'Fiche info CDD_ Avenant 2'!$AA$12</f>
        <v>0</v>
      </c>
      <c r="CC581" s="431">
        <f>'Fiche info CDD_ Avenant 2'!$AB$12</f>
        <v>0</v>
      </c>
      <c r="CD581" s="431">
        <f>'Fiche info CDD_ Avenant 2'!$AC$12</f>
        <v>0</v>
      </c>
      <c r="CE581" s="431">
        <f>'Fiche info CDD_ Avenant 2'!$AD$12</f>
        <v>0</v>
      </c>
      <c r="CF581" s="431">
        <f>'Fiche info CDD_ Avenant 2'!$AE$12</f>
        <v>0</v>
      </c>
      <c r="ED581" s="16" t="str">
        <f t="shared" si="128"/>
        <v>Fiche info CDD_ Avenant 2C</v>
      </c>
      <c r="EE581" s="16" t="str">
        <f t="shared" si="129"/>
        <v>Fiche info CDD_ Avenant 2</v>
      </c>
      <c r="EF581" s="16" t="str">
        <f t="shared" si="130"/>
        <v>C</v>
      </c>
      <c r="EG581" s="16">
        <f t="shared" si="131"/>
        <v>6</v>
      </c>
      <c r="EH581" s="16" t="str">
        <f t="shared" si="132"/>
        <v>Samedi</v>
      </c>
      <c r="EI581" s="16" t="str">
        <f t="shared" si="133"/>
        <v/>
      </c>
    </row>
    <row r="582" spans="1:139" x14ac:dyDescent="0.2">
      <c r="A582" s="16" t="str">
        <f t="shared" si="126"/>
        <v>Fiche info CDD_ Avenant 2C7</v>
      </c>
      <c r="B582" s="16" t="str">
        <f t="shared" si="127"/>
        <v>Fiche info CDD_ Avenant 2</v>
      </c>
      <c r="C582" s="27" t="s">
        <v>232</v>
      </c>
      <c r="D582" s="27">
        <v>7</v>
      </c>
      <c r="E582" s="16" t="s">
        <v>185</v>
      </c>
      <c r="F582" s="34" t="str">
        <f>+IF('Fiche info CDD_ Avenant 2'!$AG$13=0,"",'Fiche info CDD_ Avenant 2'!$AG$13)</f>
        <v/>
      </c>
      <c r="G582" s="16">
        <f t="shared" si="134"/>
        <v>0</v>
      </c>
      <c r="BX582" s="16" t="str">
        <f t="shared" si="135"/>
        <v>Fiche info CDD_ Avenant 2C7</v>
      </c>
      <c r="BY582" s="431">
        <f>'Fiche info CDD_ Avenant 2'!$X$13</f>
        <v>0</v>
      </c>
      <c r="BZ582" s="431">
        <f>'Fiche info CDD_ Avenant 2'!$Y$13</f>
        <v>0</v>
      </c>
      <c r="CA582" s="431">
        <f>'Fiche info CDD_ Avenant 2'!$Z$13</f>
        <v>0</v>
      </c>
      <c r="CB582" s="431">
        <f>'Fiche info CDD_ Avenant 2'!$AA$13</f>
        <v>0</v>
      </c>
      <c r="CC582" s="431">
        <f>'Fiche info CDD_ Avenant 2'!$AB$13</f>
        <v>0</v>
      </c>
      <c r="CD582" s="431">
        <f>'Fiche info CDD_ Avenant 2'!$AC$13</f>
        <v>0</v>
      </c>
      <c r="CE582" s="431">
        <f>'Fiche info CDD_ Avenant 2'!$AD$13</f>
        <v>0</v>
      </c>
      <c r="CF582" s="431">
        <f>'Fiche info CDD_ Avenant 2'!$AE$13</f>
        <v>0</v>
      </c>
      <c r="ED582" s="16" t="str">
        <f t="shared" si="128"/>
        <v>Fiche info CDD_ Avenant 2C</v>
      </c>
      <c r="EE582" s="16" t="str">
        <f t="shared" si="129"/>
        <v>Fiche info CDD_ Avenant 2</v>
      </c>
      <c r="EF582" s="16" t="str">
        <f t="shared" si="130"/>
        <v>C</v>
      </c>
      <c r="EG582" s="16">
        <f t="shared" si="131"/>
        <v>7</v>
      </c>
      <c r="EH582" s="16" t="str">
        <f t="shared" si="132"/>
        <v>Dimanche</v>
      </c>
      <c r="EI582" s="16" t="str">
        <f t="shared" si="133"/>
        <v/>
      </c>
    </row>
    <row r="583" spans="1:139" x14ac:dyDescent="0.2">
      <c r="A583" s="16" t="str">
        <f t="shared" si="126"/>
        <v>Fiche info CDD_ Avenant 2D1</v>
      </c>
      <c r="B583" s="16" t="str">
        <f t="shared" si="127"/>
        <v>Fiche info CDD_ Avenant 2</v>
      </c>
      <c r="C583" s="27" t="s">
        <v>233</v>
      </c>
      <c r="D583" s="27">
        <v>1</v>
      </c>
      <c r="E583" s="16" t="s">
        <v>17</v>
      </c>
      <c r="F583" s="34" t="str">
        <f>+IF('Fiche info CDD_ Avenant 2'!$AR$7=0,"",'Fiche info CDD_ Avenant 2'!$AR$7)</f>
        <v/>
      </c>
      <c r="G583" s="16">
        <f t="shared" si="134"/>
        <v>0</v>
      </c>
      <c r="BX583" s="16" t="str">
        <f t="shared" si="135"/>
        <v>Fiche info CDD_ Avenant 2D1</v>
      </c>
      <c r="BY583" s="431">
        <f>'Fiche info CDD_ Avenant 2'!$AI$7</f>
        <v>0</v>
      </c>
      <c r="BZ583" s="431">
        <f>'Fiche info CDD_ Avenant 2'!$AJ$7</f>
        <v>0</v>
      </c>
      <c r="CA583" s="431">
        <f>'Fiche info CDD_ Avenant 2'!$AK$7</f>
        <v>0</v>
      </c>
      <c r="CB583" s="431">
        <f>'Fiche info CDD_ Avenant 2'!$AL$7</f>
        <v>0</v>
      </c>
      <c r="CC583" s="431">
        <f>'Fiche info CDD_ Avenant 2'!$AM$7</f>
        <v>0</v>
      </c>
      <c r="CD583" s="431">
        <f>'Fiche info CDD_ Avenant 2'!$AN$7</f>
        <v>0</v>
      </c>
      <c r="CE583" s="431">
        <f>'Fiche info CDD_ Avenant 2'!$AO$7</f>
        <v>0</v>
      </c>
      <c r="CF583" s="431">
        <f>'Fiche info CDD_ Avenant 2'!$AP$7</f>
        <v>0</v>
      </c>
      <c r="ED583" s="16" t="str">
        <f t="shared" si="128"/>
        <v>Fiche info CDD_ Avenant 2D</v>
      </c>
      <c r="EE583" s="16" t="str">
        <f t="shared" si="129"/>
        <v>Fiche info CDD_ Avenant 2</v>
      </c>
      <c r="EF583" s="16" t="str">
        <f t="shared" si="130"/>
        <v>D</v>
      </c>
      <c r="EG583" s="16">
        <f t="shared" si="131"/>
        <v>1</v>
      </c>
      <c r="EH583" s="16" t="str">
        <f t="shared" si="132"/>
        <v>Lundi</v>
      </c>
      <c r="EI583" s="16" t="str">
        <f t="shared" si="133"/>
        <v/>
      </c>
    </row>
    <row r="584" spans="1:139" x14ac:dyDescent="0.2">
      <c r="A584" s="16" t="str">
        <f t="shared" si="126"/>
        <v>Fiche info CDD_ Avenant 2D2</v>
      </c>
      <c r="B584" s="16" t="str">
        <f t="shared" si="127"/>
        <v>Fiche info CDD_ Avenant 2</v>
      </c>
      <c r="C584" s="27" t="s">
        <v>233</v>
      </c>
      <c r="D584" s="27">
        <v>2</v>
      </c>
      <c r="E584" s="16" t="s">
        <v>18</v>
      </c>
      <c r="F584" s="34" t="str">
        <f>IF(+'Fiche info CDD_ Avenant 2'!$AR$8=0,"",'Fiche info CDD_ Avenant 2'!$AR$8)</f>
        <v/>
      </c>
      <c r="G584" s="16">
        <f t="shared" si="134"/>
        <v>0</v>
      </c>
      <c r="BX584" s="16" t="str">
        <f t="shared" si="135"/>
        <v>Fiche info CDD_ Avenant 2D2</v>
      </c>
      <c r="BY584" s="431">
        <f>'Fiche info CDD_ Avenant 2'!$AI$8</f>
        <v>0</v>
      </c>
      <c r="BZ584" s="431">
        <f>'Fiche info CDD_ Avenant 2'!$AJ$8</f>
        <v>0</v>
      </c>
      <c r="CA584" s="431">
        <f>'Fiche info CDD_ Avenant 2'!$AK$8</f>
        <v>0</v>
      </c>
      <c r="CB584" s="431">
        <f>'Fiche info CDD_ Avenant 2'!$AL$8</f>
        <v>0</v>
      </c>
      <c r="CC584" s="431">
        <f>'Fiche info CDD_ Avenant 2'!$AM$8</f>
        <v>0</v>
      </c>
      <c r="CD584" s="431">
        <f>'Fiche info CDD_ Avenant 2'!$AN$8</f>
        <v>0</v>
      </c>
      <c r="CE584" s="431">
        <f>'Fiche info CDD_ Avenant 2'!$AO$8</f>
        <v>0</v>
      </c>
      <c r="CF584" s="431">
        <f>'Fiche info CDD_ Avenant 2'!$AP$8</f>
        <v>0</v>
      </c>
      <c r="ED584" s="16" t="str">
        <f t="shared" si="128"/>
        <v>Fiche info CDD_ Avenant 2D</v>
      </c>
      <c r="EE584" s="16" t="str">
        <f t="shared" si="129"/>
        <v>Fiche info CDD_ Avenant 2</v>
      </c>
      <c r="EF584" s="16" t="str">
        <f t="shared" si="130"/>
        <v>D</v>
      </c>
      <c r="EG584" s="16">
        <f t="shared" si="131"/>
        <v>2</v>
      </c>
      <c r="EH584" s="16" t="str">
        <f t="shared" si="132"/>
        <v>Mardi</v>
      </c>
      <c r="EI584" s="16" t="str">
        <f t="shared" si="133"/>
        <v/>
      </c>
    </row>
    <row r="585" spans="1:139" x14ac:dyDescent="0.2">
      <c r="A585" s="16" t="str">
        <f t="shared" si="126"/>
        <v>Fiche info CDD_ Avenant 2D3</v>
      </c>
      <c r="B585" s="16" t="str">
        <f t="shared" si="127"/>
        <v>Fiche info CDD_ Avenant 2</v>
      </c>
      <c r="C585" s="27" t="s">
        <v>233</v>
      </c>
      <c r="D585" s="27">
        <v>3</v>
      </c>
      <c r="E585" s="16" t="s">
        <v>19</v>
      </c>
      <c r="F585" s="34" t="str">
        <f>IF(+'Fiche info CDD_ Avenant 2'!$AR$9=0,"",'Fiche info CDD_ Avenant 2'!$AR$9)</f>
        <v/>
      </c>
      <c r="G585" s="16">
        <f t="shared" si="134"/>
        <v>0</v>
      </c>
      <c r="BX585" s="16" t="str">
        <f t="shared" si="135"/>
        <v>Fiche info CDD_ Avenant 2D3</v>
      </c>
      <c r="BY585" s="431">
        <f>'Fiche info CDD_ Avenant 2'!$AI$9</f>
        <v>0</v>
      </c>
      <c r="BZ585" s="431">
        <f>'Fiche info CDD_ Avenant 2'!$AJ$9</f>
        <v>0</v>
      </c>
      <c r="CA585" s="431">
        <f>'Fiche info CDD_ Avenant 2'!$AK$9</f>
        <v>0</v>
      </c>
      <c r="CB585" s="431">
        <f>'Fiche info CDD_ Avenant 2'!$AL$9</f>
        <v>0</v>
      </c>
      <c r="CC585" s="431">
        <f>'Fiche info CDD_ Avenant 2'!$AM$9</f>
        <v>0</v>
      </c>
      <c r="CD585" s="431">
        <f>'Fiche info CDD_ Avenant 2'!$AN$9</f>
        <v>0</v>
      </c>
      <c r="CE585" s="431">
        <f>'Fiche info CDD_ Avenant 2'!$AO$9</f>
        <v>0</v>
      </c>
      <c r="CF585" s="431">
        <f>'Fiche info CDD_ Avenant 2'!$AP$9</f>
        <v>0</v>
      </c>
      <c r="ED585" s="16" t="str">
        <f t="shared" si="128"/>
        <v>Fiche info CDD_ Avenant 2D</v>
      </c>
      <c r="EE585" s="16" t="str">
        <f t="shared" si="129"/>
        <v>Fiche info CDD_ Avenant 2</v>
      </c>
      <c r="EF585" s="16" t="str">
        <f t="shared" si="130"/>
        <v>D</v>
      </c>
      <c r="EG585" s="16">
        <f t="shared" si="131"/>
        <v>3</v>
      </c>
      <c r="EH585" s="16" t="str">
        <f t="shared" si="132"/>
        <v>Mercredi</v>
      </c>
      <c r="EI585" s="16" t="str">
        <f t="shared" si="133"/>
        <v/>
      </c>
    </row>
    <row r="586" spans="1:139" x14ac:dyDescent="0.2">
      <c r="A586" s="16" t="str">
        <f t="shared" si="126"/>
        <v>Fiche info CDD_ Avenant 2D4</v>
      </c>
      <c r="B586" s="16" t="str">
        <f t="shared" si="127"/>
        <v>Fiche info CDD_ Avenant 2</v>
      </c>
      <c r="C586" s="27" t="s">
        <v>233</v>
      </c>
      <c r="D586" s="27">
        <v>4</v>
      </c>
      <c r="E586" s="16" t="s">
        <v>20</v>
      </c>
      <c r="F586" s="34" t="str">
        <f>IF(+'Fiche info CDD_ Avenant 2'!$AR$10=0,"",'Fiche info CDD_ Avenant 2'!$AR$10)</f>
        <v/>
      </c>
      <c r="G586" s="16">
        <f t="shared" si="134"/>
        <v>0</v>
      </c>
      <c r="BX586" s="16" t="str">
        <f t="shared" si="135"/>
        <v>Fiche info CDD_ Avenant 2D4</v>
      </c>
      <c r="BY586" s="431">
        <f>'Fiche info CDD_ Avenant 2'!$AI$10</f>
        <v>0</v>
      </c>
      <c r="BZ586" s="431">
        <f>'Fiche info CDD_ Avenant 2'!$AJ$10</f>
        <v>0</v>
      </c>
      <c r="CA586" s="431">
        <f>'Fiche info CDD_ Avenant 2'!$AK$10</f>
        <v>0</v>
      </c>
      <c r="CB586" s="431">
        <f>'Fiche info CDD_ Avenant 2'!$AL$10</f>
        <v>0</v>
      </c>
      <c r="CC586" s="431">
        <f>'Fiche info CDD_ Avenant 2'!$AM$10</f>
        <v>0</v>
      </c>
      <c r="CD586" s="431">
        <f>'Fiche info CDD_ Avenant 2'!$AN$10</f>
        <v>0</v>
      </c>
      <c r="CE586" s="431">
        <f>'Fiche info CDD_ Avenant 2'!$AO$10</f>
        <v>0</v>
      </c>
      <c r="CF586" s="431">
        <f>'Fiche info CDD_ Avenant 2'!$AP$10</f>
        <v>0</v>
      </c>
      <c r="ED586" s="16" t="str">
        <f t="shared" si="128"/>
        <v>Fiche info CDD_ Avenant 2D</v>
      </c>
      <c r="EE586" s="16" t="str">
        <f t="shared" si="129"/>
        <v>Fiche info CDD_ Avenant 2</v>
      </c>
      <c r="EF586" s="16" t="str">
        <f t="shared" si="130"/>
        <v>D</v>
      </c>
      <c r="EG586" s="16">
        <f t="shared" si="131"/>
        <v>4</v>
      </c>
      <c r="EH586" s="16" t="str">
        <f t="shared" si="132"/>
        <v>Jeudi</v>
      </c>
      <c r="EI586" s="16" t="str">
        <f t="shared" si="133"/>
        <v/>
      </c>
    </row>
    <row r="587" spans="1:139" x14ac:dyDescent="0.2">
      <c r="A587" s="16" t="str">
        <f t="shared" si="126"/>
        <v>Fiche info CDD_ Avenant 2D5</v>
      </c>
      <c r="B587" s="16" t="str">
        <f t="shared" si="127"/>
        <v>Fiche info CDD_ Avenant 2</v>
      </c>
      <c r="C587" s="27" t="s">
        <v>233</v>
      </c>
      <c r="D587" s="27">
        <v>5</v>
      </c>
      <c r="E587" s="16" t="s">
        <v>21</v>
      </c>
      <c r="F587" s="34" t="str">
        <f>IF(+'Fiche info CDD_ Avenant 2'!$AR$11=0,"",'Fiche info CDD_ Avenant 2'!$AR$11)</f>
        <v/>
      </c>
      <c r="G587" s="16">
        <f t="shared" si="134"/>
        <v>0</v>
      </c>
      <c r="BX587" s="16" t="str">
        <f t="shared" si="135"/>
        <v>Fiche info CDD_ Avenant 2D5</v>
      </c>
      <c r="BY587" s="431">
        <f>'Fiche info CDD_ Avenant 2'!$AI$11</f>
        <v>0</v>
      </c>
      <c r="BZ587" s="431">
        <f>'Fiche info CDD_ Avenant 2'!$AJ$11</f>
        <v>0</v>
      </c>
      <c r="CA587" s="431">
        <f>'Fiche info CDD_ Avenant 2'!$AK$11</f>
        <v>0</v>
      </c>
      <c r="CB587" s="431">
        <f>'Fiche info CDD_ Avenant 2'!$AL$11</f>
        <v>0</v>
      </c>
      <c r="CC587" s="431">
        <f>'Fiche info CDD_ Avenant 2'!$AM$11</f>
        <v>0</v>
      </c>
      <c r="CD587" s="431">
        <f>'Fiche info CDD_ Avenant 2'!$AN$11</f>
        <v>0</v>
      </c>
      <c r="CE587" s="431">
        <f>'Fiche info CDD_ Avenant 2'!$AO$11</f>
        <v>0</v>
      </c>
      <c r="CF587" s="431">
        <f>'Fiche info CDD_ Avenant 2'!$AP$11</f>
        <v>0</v>
      </c>
      <c r="ED587" s="16" t="str">
        <f t="shared" si="128"/>
        <v>Fiche info CDD_ Avenant 2D</v>
      </c>
      <c r="EE587" s="16" t="str">
        <f t="shared" si="129"/>
        <v>Fiche info CDD_ Avenant 2</v>
      </c>
      <c r="EF587" s="16" t="str">
        <f t="shared" si="130"/>
        <v>D</v>
      </c>
      <c r="EG587" s="16">
        <f t="shared" si="131"/>
        <v>5</v>
      </c>
      <c r="EH587" s="16" t="str">
        <f t="shared" si="132"/>
        <v>Vendredi</v>
      </c>
      <c r="EI587" s="16" t="str">
        <f t="shared" si="133"/>
        <v/>
      </c>
    </row>
    <row r="588" spans="1:139" x14ac:dyDescent="0.2">
      <c r="A588" s="16" t="str">
        <f t="shared" si="126"/>
        <v>Fiche info CDD_ Avenant 2D6</v>
      </c>
      <c r="B588" s="16" t="str">
        <f t="shared" si="127"/>
        <v>Fiche info CDD_ Avenant 2</v>
      </c>
      <c r="C588" s="27" t="s">
        <v>233</v>
      </c>
      <c r="D588" s="27">
        <v>6</v>
      </c>
      <c r="E588" s="16" t="s">
        <v>184</v>
      </c>
      <c r="F588" s="34" t="str">
        <f>IF(+'Fiche info CDD_ Avenant 2'!$AR$12=0,"",'Fiche info CDD_ Avenant 2'!$AR$12)</f>
        <v/>
      </c>
      <c r="G588" s="16">
        <f t="shared" si="134"/>
        <v>0</v>
      </c>
      <c r="BX588" s="16" t="str">
        <f t="shared" si="135"/>
        <v>Fiche info CDD_ Avenant 2D6</v>
      </c>
      <c r="BY588" s="431">
        <f>'Fiche info CDD_ Avenant 2'!$AI$12</f>
        <v>0</v>
      </c>
      <c r="BZ588" s="431">
        <f>'Fiche info CDD_ Avenant 2'!$AJ$12</f>
        <v>0</v>
      </c>
      <c r="CA588" s="431">
        <f>'Fiche info CDD_ Avenant 2'!$AK$12</f>
        <v>0</v>
      </c>
      <c r="CB588" s="431">
        <f>'Fiche info CDD_ Avenant 2'!$AL$12</f>
        <v>0</v>
      </c>
      <c r="CC588" s="431">
        <f>'Fiche info CDD_ Avenant 2'!$AM$12</f>
        <v>0</v>
      </c>
      <c r="CD588" s="431">
        <f>'Fiche info CDD_ Avenant 2'!$AN$12</f>
        <v>0</v>
      </c>
      <c r="CE588" s="431">
        <f>'Fiche info CDD_ Avenant 2'!$AO$12</f>
        <v>0</v>
      </c>
      <c r="CF588" s="431">
        <f>'Fiche info CDD_ Avenant 2'!$AP$12</f>
        <v>0</v>
      </c>
      <c r="ED588" s="16" t="str">
        <f t="shared" si="128"/>
        <v>Fiche info CDD_ Avenant 2D</v>
      </c>
      <c r="EE588" s="16" t="str">
        <f t="shared" si="129"/>
        <v>Fiche info CDD_ Avenant 2</v>
      </c>
      <c r="EF588" s="16" t="str">
        <f t="shared" si="130"/>
        <v>D</v>
      </c>
      <c r="EG588" s="16">
        <f t="shared" si="131"/>
        <v>6</v>
      </c>
      <c r="EH588" s="16" t="str">
        <f t="shared" si="132"/>
        <v>Samedi</v>
      </c>
      <c r="EI588" s="16" t="str">
        <f t="shared" si="133"/>
        <v/>
      </c>
    </row>
    <row r="589" spans="1:139" x14ac:dyDescent="0.2">
      <c r="A589" s="16" t="str">
        <f t="shared" si="126"/>
        <v>Fiche info CDD_ Avenant 2D7</v>
      </c>
      <c r="B589" s="16" t="str">
        <f t="shared" si="127"/>
        <v>Fiche info CDD_ Avenant 2</v>
      </c>
      <c r="C589" s="27" t="s">
        <v>233</v>
      </c>
      <c r="D589" s="27">
        <v>7</v>
      </c>
      <c r="E589" s="16" t="s">
        <v>185</v>
      </c>
      <c r="F589" s="34" t="str">
        <f>IF(+'Fiche info CDD_ Avenant 2'!$AR$13=0,"",'Fiche info CDD_ Avenant 2'!$AR$13)</f>
        <v/>
      </c>
      <c r="G589" s="16">
        <f t="shared" si="134"/>
        <v>0</v>
      </c>
      <c r="BX589" s="16" t="str">
        <f t="shared" si="135"/>
        <v>Fiche info CDD_ Avenant 2D7</v>
      </c>
      <c r="BY589" s="431">
        <f>'Fiche info CDD_ Avenant 2'!$AI$13</f>
        <v>0</v>
      </c>
      <c r="BZ589" s="431">
        <f>'Fiche info CDD_ Avenant 2'!$AJ$13</f>
        <v>0</v>
      </c>
      <c r="CA589" s="431">
        <f>'Fiche info CDD_ Avenant 2'!$AK$13</f>
        <v>0</v>
      </c>
      <c r="CB589" s="431">
        <f>'Fiche info CDD_ Avenant 2'!$AL$13</f>
        <v>0</v>
      </c>
      <c r="CC589" s="431">
        <f>'Fiche info CDD_ Avenant 2'!$AM$13</f>
        <v>0</v>
      </c>
      <c r="CD589" s="431">
        <f>'Fiche info CDD_ Avenant 2'!$AN$13</f>
        <v>0</v>
      </c>
      <c r="CE589" s="431">
        <f>'Fiche info CDD_ Avenant 2'!$AO$13</f>
        <v>0</v>
      </c>
      <c r="CF589" s="431">
        <f>'Fiche info CDD_ Avenant 2'!$AP$13</f>
        <v>0</v>
      </c>
      <c r="ED589" s="16" t="str">
        <f t="shared" si="128"/>
        <v>Fiche info CDD_ Avenant 2D</v>
      </c>
      <c r="EE589" s="16" t="str">
        <f t="shared" si="129"/>
        <v>Fiche info CDD_ Avenant 2</v>
      </c>
      <c r="EF589" s="16" t="str">
        <f t="shared" si="130"/>
        <v>D</v>
      </c>
      <c r="EG589" s="16">
        <f t="shared" si="131"/>
        <v>7</v>
      </c>
      <c r="EH589" s="16" t="str">
        <f t="shared" si="132"/>
        <v>Dimanche</v>
      </c>
      <c r="EI589" s="16" t="str">
        <f t="shared" si="133"/>
        <v/>
      </c>
    </row>
    <row r="590" spans="1:139" x14ac:dyDescent="0.2">
      <c r="A590" s="16" t="str">
        <f t="shared" si="126"/>
        <v>Fiche info CDD_ Avenant 2E1</v>
      </c>
      <c r="B590" s="16" t="str">
        <f t="shared" si="127"/>
        <v>Fiche info CDD_ Avenant 2</v>
      </c>
      <c r="C590" s="27" t="s">
        <v>234</v>
      </c>
      <c r="D590" s="27">
        <v>1</v>
      </c>
      <c r="E590" s="16" t="s">
        <v>17</v>
      </c>
      <c r="F590" s="34" t="str">
        <f>IF(+'Fiche info CDD_ Avenant 2'!$BC$7=0,"",'Fiche info CDD_ Avenant 2'!$BC$7)</f>
        <v/>
      </c>
      <c r="G590" s="16">
        <f t="shared" si="134"/>
        <v>0</v>
      </c>
      <c r="BX590" s="16" t="str">
        <f t="shared" si="135"/>
        <v>Fiche info CDD_ Avenant 2E1</v>
      </c>
      <c r="BY590" s="431">
        <f>'Fiche info CDD_ Avenant 2'!$AT$7</f>
        <v>0</v>
      </c>
      <c r="BZ590" s="431">
        <f>'Fiche info CDD_ Avenant 2'!$AU$7</f>
        <v>0</v>
      </c>
      <c r="CA590" s="431">
        <f>'Fiche info CDD_ Avenant 2'!$AV$7</f>
        <v>0</v>
      </c>
      <c r="CB590" s="431">
        <f>'Fiche info CDD_ Avenant 2'!$AW$7</f>
        <v>0</v>
      </c>
      <c r="CC590" s="431">
        <f>'Fiche info CDD_ Avenant 2'!$AX$7</f>
        <v>0</v>
      </c>
      <c r="CD590" s="431">
        <f>'Fiche info CDD_ Avenant 2'!$AY$7</f>
        <v>0</v>
      </c>
      <c r="CE590" s="431">
        <f>'Fiche info CDD_ Avenant 2'!$AZ$7</f>
        <v>0</v>
      </c>
      <c r="CF590" s="431">
        <f>'Fiche info CDD_ Avenant 2'!$BA$7</f>
        <v>0</v>
      </c>
      <c r="ED590" s="16" t="str">
        <f t="shared" si="128"/>
        <v>Fiche info CDD_ Avenant 2E</v>
      </c>
      <c r="EE590" s="16" t="str">
        <f t="shared" si="129"/>
        <v>Fiche info CDD_ Avenant 2</v>
      </c>
      <c r="EF590" s="16" t="str">
        <f t="shared" si="130"/>
        <v>E</v>
      </c>
      <c r="EG590" s="16">
        <f t="shared" si="131"/>
        <v>1</v>
      </c>
      <c r="EH590" s="16" t="str">
        <f t="shared" si="132"/>
        <v>Lundi</v>
      </c>
      <c r="EI590" s="16" t="str">
        <f t="shared" si="133"/>
        <v/>
      </c>
    </row>
    <row r="591" spans="1:139" x14ac:dyDescent="0.2">
      <c r="A591" s="16" t="str">
        <f t="shared" si="126"/>
        <v>Fiche info CDD_ Avenant 2E2</v>
      </c>
      <c r="B591" s="16" t="str">
        <f t="shared" si="127"/>
        <v>Fiche info CDD_ Avenant 2</v>
      </c>
      <c r="C591" s="27" t="s">
        <v>234</v>
      </c>
      <c r="D591" s="27">
        <v>2</v>
      </c>
      <c r="E591" s="16" t="s">
        <v>18</v>
      </c>
      <c r="F591" s="34" t="str">
        <f>IF(+'Fiche info CDD_ Avenant 2'!$BC$8=0,"",'Fiche info CDD_ Avenant 2'!$BC$8)</f>
        <v/>
      </c>
      <c r="G591" s="16">
        <f t="shared" si="134"/>
        <v>0</v>
      </c>
      <c r="BX591" s="16" t="str">
        <f t="shared" si="135"/>
        <v>Fiche info CDD_ Avenant 2E2</v>
      </c>
      <c r="BY591" s="431">
        <f>'Fiche info CDD_ Avenant 2'!$AT$8</f>
        <v>0</v>
      </c>
      <c r="BZ591" s="431">
        <f>'Fiche info CDD_ Avenant 2'!$AU$8</f>
        <v>0</v>
      </c>
      <c r="CA591" s="431">
        <f>'Fiche info CDD_ Avenant 2'!$AV$8</f>
        <v>0</v>
      </c>
      <c r="CB591" s="431">
        <f>'Fiche info CDD_ Avenant 2'!$AW$8</f>
        <v>0</v>
      </c>
      <c r="CC591" s="431">
        <f>'Fiche info CDD_ Avenant 2'!$AX$8</f>
        <v>0</v>
      </c>
      <c r="CD591" s="431">
        <f>'Fiche info CDD_ Avenant 2'!$AY$8</f>
        <v>0</v>
      </c>
      <c r="CE591" s="431">
        <f>'Fiche info CDD_ Avenant 2'!$AZ$8</f>
        <v>0</v>
      </c>
      <c r="CF591" s="431">
        <f>'Fiche info CDD_ Avenant 2'!$BA$8</f>
        <v>0</v>
      </c>
      <c r="ED591" s="16" t="str">
        <f t="shared" si="128"/>
        <v>Fiche info CDD_ Avenant 2E</v>
      </c>
      <c r="EE591" s="16" t="str">
        <f t="shared" si="129"/>
        <v>Fiche info CDD_ Avenant 2</v>
      </c>
      <c r="EF591" s="16" t="str">
        <f t="shared" si="130"/>
        <v>E</v>
      </c>
      <c r="EG591" s="16">
        <f t="shared" si="131"/>
        <v>2</v>
      </c>
      <c r="EH591" s="16" t="str">
        <f t="shared" si="132"/>
        <v>Mardi</v>
      </c>
      <c r="EI591" s="16" t="str">
        <f t="shared" si="133"/>
        <v/>
      </c>
    </row>
    <row r="592" spans="1:139" x14ac:dyDescent="0.2">
      <c r="A592" s="16" t="str">
        <f t="shared" si="126"/>
        <v>Fiche info CDD_ Avenant 2E3</v>
      </c>
      <c r="B592" s="16" t="str">
        <f t="shared" si="127"/>
        <v>Fiche info CDD_ Avenant 2</v>
      </c>
      <c r="C592" s="27" t="s">
        <v>234</v>
      </c>
      <c r="D592" s="27">
        <v>3</v>
      </c>
      <c r="E592" s="16" t="s">
        <v>19</v>
      </c>
      <c r="F592" s="34" t="str">
        <f>IF(+'Fiche info CDD_ Avenant 2'!$BC$9=0,"",'Fiche info CDD_ Avenant 2'!$BC$9)</f>
        <v/>
      </c>
      <c r="G592" s="16">
        <f t="shared" si="134"/>
        <v>0</v>
      </c>
      <c r="BX592" s="16" t="str">
        <f t="shared" si="135"/>
        <v>Fiche info CDD_ Avenant 2E3</v>
      </c>
      <c r="BY592" s="431">
        <f>'Fiche info CDD_ Avenant 2'!$AT$9</f>
        <v>0</v>
      </c>
      <c r="BZ592" s="431">
        <f>'Fiche info CDD_ Avenant 2'!$AU$9</f>
        <v>0</v>
      </c>
      <c r="CA592" s="431">
        <f>'Fiche info CDD_ Avenant 2'!$AV$9</f>
        <v>0</v>
      </c>
      <c r="CB592" s="431">
        <f>'Fiche info CDD_ Avenant 2'!$AW$9</f>
        <v>0</v>
      </c>
      <c r="CC592" s="431">
        <f>'Fiche info CDD_ Avenant 2'!$AX$9</f>
        <v>0</v>
      </c>
      <c r="CD592" s="431">
        <f>'Fiche info CDD_ Avenant 2'!$AY$9</f>
        <v>0</v>
      </c>
      <c r="CE592" s="431">
        <f>'Fiche info CDD_ Avenant 2'!$AZ$9</f>
        <v>0</v>
      </c>
      <c r="CF592" s="431">
        <f>'Fiche info CDD_ Avenant 2'!$BA$9</f>
        <v>0</v>
      </c>
      <c r="ED592" s="16" t="str">
        <f t="shared" si="128"/>
        <v>Fiche info CDD_ Avenant 2E</v>
      </c>
      <c r="EE592" s="16" t="str">
        <f t="shared" si="129"/>
        <v>Fiche info CDD_ Avenant 2</v>
      </c>
      <c r="EF592" s="16" t="str">
        <f t="shared" si="130"/>
        <v>E</v>
      </c>
      <c r="EG592" s="16">
        <f t="shared" si="131"/>
        <v>3</v>
      </c>
      <c r="EH592" s="16" t="str">
        <f t="shared" si="132"/>
        <v>Mercredi</v>
      </c>
      <c r="EI592" s="16" t="str">
        <f t="shared" si="133"/>
        <v/>
      </c>
    </row>
    <row r="593" spans="1:139" x14ac:dyDescent="0.2">
      <c r="A593" s="16" t="str">
        <f t="shared" si="126"/>
        <v>Fiche info CDD_ Avenant 2E4</v>
      </c>
      <c r="B593" s="16" t="str">
        <f t="shared" si="127"/>
        <v>Fiche info CDD_ Avenant 2</v>
      </c>
      <c r="C593" s="27" t="s">
        <v>234</v>
      </c>
      <c r="D593" s="27">
        <v>4</v>
      </c>
      <c r="E593" s="16" t="s">
        <v>20</v>
      </c>
      <c r="F593" s="34" t="str">
        <f>IF(+'Fiche info CDD_ Avenant 2'!$BC$10=0,"",'Fiche info CDD_ Avenant 2'!$BC$10)</f>
        <v/>
      </c>
      <c r="G593" s="16">
        <f t="shared" si="134"/>
        <v>0</v>
      </c>
      <c r="BX593" s="16" t="str">
        <f t="shared" si="135"/>
        <v>Fiche info CDD_ Avenant 2E4</v>
      </c>
      <c r="BY593" s="431">
        <f>'Fiche info CDD_ Avenant 2'!$AT$10</f>
        <v>0</v>
      </c>
      <c r="BZ593" s="431">
        <f>'Fiche info CDD_ Avenant 2'!$AU$10</f>
        <v>0</v>
      </c>
      <c r="CA593" s="431">
        <f>'Fiche info CDD_ Avenant 2'!$AV$10</f>
        <v>0</v>
      </c>
      <c r="CB593" s="431">
        <f>'Fiche info CDD_ Avenant 2'!$AW$10</f>
        <v>0</v>
      </c>
      <c r="CC593" s="431">
        <f>'Fiche info CDD_ Avenant 2'!$AX$10</f>
        <v>0</v>
      </c>
      <c r="CD593" s="431">
        <f>'Fiche info CDD_ Avenant 2'!$AY$10</f>
        <v>0</v>
      </c>
      <c r="CE593" s="431">
        <f>'Fiche info CDD_ Avenant 2'!$AZ$10</f>
        <v>0</v>
      </c>
      <c r="CF593" s="431">
        <f>'Fiche info CDD_ Avenant 2'!$BA$10</f>
        <v>0</v>
      </c>
      <c r="ED593" s="16" t="str">
        <f t="shared" si="128"/>
        <v>Fiche info CDD_ Avenant 2E</v>
      </c>
      <c r="EE593" s="16" t="str">
        <f t="shared" si="129"/>
        <v>Fiche info CDD_ Avenant 2</v>
      </c>
      <c r="EF593" s="16" t="str">
        <f t="shared" si="130"/>
        <v>E</v>
      </c>
      <c r="EG593" s="16">
        <f t="shared" si="131"/>
        <v>4</v>
      </c>
      <c r="EH593" s="16" t="str">
        <f t="shared" si="132"/>
        <v>Jeudi</v>
      </c>
      <c r="EI593" s="16" t="str">
        <f t="shared" si="133"/>
        <v/>
      </c>
    </row>
    <row r="594" spans="1:139" x14ac:dyDescent="0.2">
      <c r="A594" s="16" t="str">
        <f t="shared" si="126"/>
        <v>Fiche info CDD_ Avenant 2E5</v>
      </c>
      <c r="B594" s="16" t="str">
        <f t="shared" si="127"/>
        <v>Fiche info CDD_ Avenant 2</v>
      </c>
      <c r="C594" s="27" t="s">
        <v>234</v>
      </c>
      <c r="D594" s="27">
        <v>5</v>
      </c>
      <c r="E594" s="16" t="s">
        <v>21</v>
      </c>
      <c r="F594" s="34" t="str">
        <f>IF(+'Fiche info CDD_ Avenant 2'!$BC$11=0,"",'Fiche info CDD_ Avenant 2'!$BC$11)</f>
        <v/>
      </c>
      <c r="G594" s="16">
        <f t="shared" si="134"/>
        <v>0</v>
      </c>
      <c r="BX594" s="16" t="str">
        <f t="shared" si="135"/>
        <v>Fiche info CDD_ Avenant 2E5</v>
      </c>
      <c r="BY594" s="431">
        <f>'Fiche info CDD_ Avenant 2'!$AT$11</f>
        <v>0</v>
      </c>
      <c r="BZ594" s="431">
        <f>'Fiche info CDD_ Avenant 2'!$AU$11</f>
        <v>0</v>
      </c>
      <c r="CA594" s="431">
        <f>'Fiche info CDD_ Avenant 2'!$AV$11</f>
        <v>0</v>
      </c>
      <c r="CB594" s="431">
        <f>'Fiche info CDD_ Avenant 2'!$AW$11</f>
        <v>0</v>
      </c>
      <c r="CC594" s="431">
        <f>'Fiche info CDD_ Avenant 2'!$AX$11</f>
        <v>0</v>
      </c>
      <c r="CD594" s="431">
        <f>'Fiche info CDD_ Avenant 2'!$AY$11</f>
        <v>0</v>
      </c>
      <c r="CE594" s="431">
        <f>'Fiche info CDD_ Avenant 2'!$AZ$11</f>
        <v>0</v>
      </c>
      <c r="CF594" s="431">
        <f>'Fiche info CDD_ Avenant 2'!$BA$11</f>
        <v>0</v>
      </c>
      <c r="ED594" s="16" t="str">
        <f t="shared" si="128"/>
        <v>Fiche info CDD_ Avenant 2E</v>
      </c>
      <c r="EE594" s="16" t="str">
        <f t="shared" si="129"/>
        <v>Fiche info CDD_ Avenant 2</v>
      </c>
      <c r="EF594" s="16" t="str">
        <f t="shared" si="130"/>
        <v>E</v>
      </c>
      <c r="EG594" s="16">
        <f t="shared" si="131"/>
        <v>5</v>
      </c>
      <c r="EH594" s="16" t="str">
        <f t="shared" si="132"/>
        <v>Vendredi</v>
      </c>
      <c r="EI594" s="16" t="str">
        <f t="shared" si="133"/>
        <v/>
      </c>
    </row>
    <row r="595" spans="1:139" x14ac:dyDescent="0.2">
      <c r="A595" s="16" t="str">
        <f t="shared" si="126"/>
        <v>Fiche info CDD_ Avenant 2E6</v>
      </c>
      <c r="B595" s="16" t="str">
        <f t="shared" si="127"/>
        <v>Fiche info CDD_ Avenant 2</v>
      </c>
      <c r="C595" s="27" t="s">
        <v>234</v>
      </c>
      <c r="D595" s="27">
        <v>6</v>
      </c>
      <c r="E595" s="16" t="s">
        <v>184</v>
      </c>
      <c r="F595" s="34" t="str">
        <f>IF(+'Fiche info CDD_ Avenant 2'!$BC$12=0,"",'Fiche info CDD_ Avenant 2'!$BC$12)</f>
        <v/>
      </c>
      <c r="G595" s="16">
        <f t="shared" si="134"/>
        <v>0</v>
      </c>
      <c r="BX595" s="16" t="str">
        <f t="shared" si="135"/>
        <v>Fiche info CDD_ Avenant 2E6</v>
      </c>
      <c r="BY595" s="431">
        <f>'Fiche info CDD_ Avenant 2'!$AT$12</f>
        <v>0</v>
      </c>
      <c r="BZ595" s="431">
        <f>'Fiche info CDD_ Avenant 2'!$AU$12</f>
        <v>0</v>
      </c>
      <c r="CA595" s="431">
        <f>'Fiche info CDD_ Avenant 2'!$AV$12</f>
        <v>0</v>
      </c>
      <c r="CB595" s="431">
        <f>'Fiche info CDD_ Avenant 2'!$AW$12</f>
        <v>0</v>
      </c>
      <c r="CC595" s="431">
        <f>'Fiche info CDD_ Avenant 2'!$AX$12</f>
        <v>0</v>
      </c>
      <c r="CD595" s="431">
        <f>'Fiche info CDD_ Avenant 2'!$AY$12</f>
        <v>0</v>
      </c>
      <c r="CE595" s="431">
        <f>'Fiche info CDD_ Avenant 2'!$AZ$12</f>
        <v>0</v>
      </c>
      <c r="CF595" s="431">
        <f>'Fiche info CDD_ Avenant 2'!$BA$12</f>
        <v>0</v>
      </c>
      <c r="ED595" s="16" t="str">
        <f t="shared" si="128"/>
        <v>Fiche info CDD_ Avenant 2E</v>
      </c>
      <c r="EE595" s="16" t="str">
        <f t="shared" si="129"/>
        <v>Fiche info CDD_ Avenant 2</v>
      </c>
      <c r="EF595" s="16" t="str">
        <f t="shared" si="130"/>
        <v>E</v>
      </c>
      <c r="EG595" s="16">
        <f t="shared" si="131"/>
        <v>6</v>
      </c>
      <c r="EH595" s="16" t="str">
        <f t="shared" si="132"/>
        <v>Samedi</v>
      </c>
      <c r="EI595" s="16" t="str">
        <f t="shared" si="133"/>
        <v/>
      </c>
    </row>
    <row r="596" spans="1:139" x14ac:dyDescent="0.2">
      <c r="A596" s="16" t="str">
        <f t="shared" si="126"/>
        <v>Fiche info CDD_ Avenant 2E7</v>
      </c>
      <c r="B596" s="16" t="str">
        <f t="shared" si="127"/>
        <v>Fiche info CDD_ Avenant 2</v>
      </c>
      <c r="C596" s="27" t="s">
        <v>234</v>
      </c>
      <c r="D596" s="27">
        <v>7</v>
      </c>
      <c r="E596" s="16" t="s">
        <v>185</v>
      </c>
      <c r="F596" s="34" t="str">
        <f>IF(+'Fiche info CDD_ Avenant 2'!$BC$13=0,"",'Fiche info CDD_ Avenant 2'!$BC$13)</f>
        <v/>
      </c>
      <c r="G596" s="16">
        <f t="shared" si="134"/>
        <v>0</v>
      </c>
      <c r="BX596" s="16" t="str">
        <f t="shared" si="135"/>
        <v>Fiche info CDD_ Avenant 2E7</v>
      </c>
      <c r="BY596" s="431">
        <f>'Fiche info CDD_ Avenant 2'!$AT$13</f>
        <v>0</v>
      </c>
      <c r="BZ596" s="431">
        <f>'Fiche info CDD_ Avenant 2'!$AU$13</f>
        <v>0</v>
      </c>
      <c r="CA596" s="431">
        <f>'Fiche info CDD_ Avenant 2'!$AV$13</f>
        <v>0</v>
      </c>
      <c r="CB596" s="431">
        <f>'Fiche info CDD_ Avenant 2'!$AW$13</f>
        <v>0</v>
      </c>
      <c r="CC596" s="431">
        <f>'Fiche info CDD_ Avenant 2'!$AX$13</f>
        <v>0</v>
      </c>
      <c r="CD596" s="431">
        <f>'Fiche info CDD_ Avenant 2'!$AY$13</f>
        <v>0</v>
      </c>
      <c r="CE596" s="431">
        <f>'Fiche info CDD_ Avenant 2'!$AZ$13</f>
        <v>0</v>
      </c>
      <c r="CF596" s="431">
        <f>'Fiche info CDD_ Avenant 2'!$BA$13</f>
        <v>0</v>
      </c>
      <c r="ED596" s="16" t="str">
        <f t="shared" si="128"/>
        <v>Fiche info CDD_ Avenant 2E</v>
      </c>
      <c r="EE596" s="16" t="str">
        <f t="shared" si="129"/>
        <v>Fiche info CDD_ Avenant 2</v>
      </c>
      <c r="EF596" s="16" t="str">
        <f t="shared" si="130"/>
        <v>E</v>
      </c>
      <c r="EG596" s="16">
        <f t="shared" si="131"/>
        <v>7</v>
      </c>
      <c r="EH596" s="16" t="str">
        <f t="shared" si="132"/>
        <v>Dimanche</v>
      </c>
      <c r="EI596" s="16" t="str">
        <f t="shared" si="133"/>
        <v/>
      </c>
    </row>
    <row r="597" spans="1:139" x14ac:dyDescent="0.2">
      <c r="A597" s="16" t="str">
        <f t="shared" si="126"/>
        <v>Fiche info CDD_ Avenant 2F1</v>
      </c>
      <c r="B597" s="16" t="str">
        <f t="shared" si="127"/>
        <v>Fiche info CDD_ Avenant 2</v>
      </c>
      <c r="C597" s="27" t="s">
        <v>235</v>
      </c>
      <c r="D597" s="27">
        <v>1</v>
      </c>
      <c r="E597" s="16" t="s">
        <v>17</v>
      </c>
      <c r="F597" s="34" t="str">
        <f>+IF('Fiche info CDD_ Avenant 2'!$BN$7=0,"",'Fiche info CDD_ Avenant 2'!$BN$7)</f>
        <v/>
      </c>
      <c r="G597" s="16">
        <f t="shared" si="134"/>
        <v>0</v>
      </c>
      <c r="BX597" s="16" t="str">
        <f t="shared" si="135"/>
        <v>Fiche info CDD_ Avenant 2F1</v>
      </c>
      <c r="BY597" s="431">
        <f>'Fiche info CDD_ Avenant 2'!$BE$7</f>
        <v>0</v>
      </c>
      <c r="BZ597" s="431">
        <f>'Fiche info CDD_ Avenant 2'!$BF$7</f>
        <v>0</v>
      </c>
      <c r="CA597" s="431">
        <f>'Fiche info CDD_ Avenant 2'!$BG$7</f>
        <v>0</v>
      </c>
      <c r="CB597" s="431">
        <f>'Fiche info CDD_ Avenant 2'!$BH$7</f>
        <v>0</v>
      </c>
      <c r="CC597" s="431">
        <f>'Fiche info CDD_ Avenant 2'!$BI$7</f>
        <v>0</v>
      </c>
      <c r="CD597" s="431">
        <f>'Fiche info CDD_ Avenant 2'!$BJ$7</f>
        <v>0</v>
      </c>
      <c r="CE597" s="431">
        <f>'Fiche info CDD_ Avenant 2'!$BK$7</f>
        <v>0</v>
      </c>
      <c r="CF597" s="431">
        <f>'Fiche info CDD_ Avenant 2'!$BL$7</f>
        <v>0</v>
      </c>
      <c r="ED597" s="16" t="str">
        <f t="shared" si="128"/>
        <v>Fiche info CDD_ Avenant 2F</v>
      </c>
      <c r="EE597" s="16" t="str">
        <f t="shared" si="129"/>
        <v>Fiche info CDD_ Avenant 2</v>
      </c>
      <c r="EF597" s="16" t="str">
        <f t="shared" si="130"/>
        <v>F</v>
      </c>
      <c r="EG597" s="16">
        <f t="shared" si="131"/>
        <v>1</v>
      </c>
      <c r="EH597" s="16" t="str">
        <f t="shared" si="132"/>
        <v>Lundi</v>
      </c>
      <c r="EI597" s="16" t="str">
        <f t="shared" si="133"/>
        <v/>
      </c>
    </row>
    <row r="598" spans="1:139" x14ac:dyDescent="0.2">
      <c r="A598" s="16" t="str">
        <f t="shared" si="126"/>
        <v>Fiche info CDD_ Avenant 2F2</v>
      </c>
      <c r="B598" s="16" t="str">
        <f t="shared" si="127"/>
        <v>Fiche info CDD_ Avenant 2</v>
      </c>
      <c r="C598" s="27" t="s">
        <v>235</v>
      </c>
      <c r="D598" s="27">
        <v>2</v>
      </c>
      <c r="E598" s="16" t="s">
        <v>18</v>
      </c>
      <c r="F598" s="34" t="str">
        <f>+IF('Fiche info CDD_ Avenant 2'!$BN$8=0,"",'Fiche info CDD_ Avenant 2'!$BN$8)</f>
        <v/>
      </c>
      <c r="G598" s="16">
        <f t="shared" si="134"/>
        <v>0</v>
      </c>
      <c r="BX598" s="16" t="str">
        <f t="shared" si="135"/>
        <v>Fiche info CDD_ Avenant 2F2</v>
      </c>
      <c r="BY598" s="431">
        <f>'Fiche info CDD_ Avenant 2'!$BE$8</f>
        <v>0</v>
      </c>
      <c r="BZ598" s="431">
        <f>'Fiche info CDD_ Avenant 2'!$BF$8</f>
        <v>0</v>
      </c>
      <c r="CA598" s="431">
        <f>'Fiche info CDD_ Avenant 2'!$BG$8</f>
        <v>0</v>
      </c>
      <c r="CB598" s="431">
        <f>'Fiche info CDD_ Avenant 2'!$BH$8</f>
        <v>0</v>
      </c>
      <c r="CC598" s="431">
        <f>'Fiche info CDD_ Avenant 2'!$BI$8</f>
        <v>0</v>
      </c>
      <c r="CD598" s="431">
        <f>'Fiche info CDD_ Avenant 2'!$BJ$8</f>
        <v>0</v>
      </c>
      <c r="CE598" s="431">
        <f>'Fiche info CDD_ Avenant 2'!$BK$8</f>
        <v>0</v>
      </c>
      <c r="CF598" s="431">
        <f>'Fiche info CDD_ Avenant 2'!$BL$8</f>
        <v>0</v>
      </c>
      <c r="ED598" s="16" t="str">
        <f t="shared" si="128"/>
        <v>Fiche info CDD_ Avenant 2F</v>
      </c>
      <c r="EE598" s="16" t="str">
        <f t="shared" si="129"/>
        <v>Fiche info CDD_ Avenant 2</v>
      </c>
      <c r="EF598" s="16" t="str">
        <f t="shared" si="130"/>
        <v>F</v>
      </c>
      <c r="EG598" s="16">
        <f t="shared" si="131"/>
        <v>2</v>
      </c>
      <c r="EH598" s="16" t="str">
        <f t="shared" si="132"/>
        <v>Mardi</v>
      </c>
      <c r="EI598" s="16" t="str">
        <f t="shared" si="133"/>
        <v/>
      </c>
    </row>
    <row r="599" spans="1:139" x14ac:dyDescent="0.2">
      <c r="A599" s="16" t="str">
        <f t="shared" si="126"/>
        <v>Fiche info CDD_ Avenant 2F3</v>
      </c>
      <c r="B599" s="16" t="str">
        <f t="shared" si="127"/>
        <v>Fiche info CDD_ Avenant 2</v>
      </c>
      <c r="C599" s="27" t="s">
        <v>235</v>
      </c>
      <c r="D599" s="27">
        <v>3</v>
      </c>
      <c r="E599" s="16" t="s">
        <v>19</v>
      </c>
      <c r="F599" s="34" t="str">
        <f>+IF('Fiche info CDD_ Avenant 2'!$BN$9=0,"",'Fiche info CDD_ Avenant 2'!$BN$9)</f>
        <v/>
      </c>
      <c r="G599" s="16">
        <f t="shared" si="134"/>
        <v>0</v>
      </c>
      <c r="BX599" s="16" t="str">
        <f t="shared" si="135"/>
        <v>Fiche info CDD_ Avenant 2F3</v>
      </c>
      <c r="BY599" s="431">
        <f>'Fiche info CDD_ Avenant 2'!$BE$9</f>
        <v>0</v>
      </c>
      <c r="BZ599" s="431">
        <f>'Fiche info CDD_ Avenant 2'!$BF$9</f>
        <v>0</v>
      </c>
      <c r="CA599" s="431">
        <f>'Fiche info CDD_ Avenant 2'!$BG$9</f>
        <v>0</v>
      </c>
      <c r="CB599" s="431">
        <f>'Fiche info CDD_ Avenant 2'!$BH$9</f>
        <v>0</v>
      </c>
      <c r="CC599" s="431">
        <f>'Fiche info CDD_ Avenant 2'!$BI$9</f>
        <v>0</v>
      </c>
      <c r="CD599" s="431">
        <f>'Fiche info CDD_ Avenant 2'!$BJ$9</f>
        <v>0</v>
      </c>
      <c r="CE599" s="431">
        <f>'Fiche info CDD_ Avenant 2'!$BK$9</f>
        <v>0</v>
      </c>
      <c r="CF599" s="431">
        <f>'Fiche info CDD_ Avenant 2'!$BL$9</f>
        <v>0</v>
      </c>
      <c r="ED599" s="16" t="str">
        <f t="shared" si="128"/>
        <v>Fiche info CDD_ Avenant 2F</v>
      </c>
      <c r="EE599" s="16" t="str">
        <f t="shared" si="129"/>
        <v>Fiche info CDD_ Avenant 2</v>
      </c>
      <c r="EF599" s="16" t="str">
        <f t="shared" si="130"/>
        <v>F</v>
      </c>
      <c r="EG599" s="16">
        <f t="shared" si="131"/>
        <v>3</v>
      </c>
      <c r="EH599" s="16" t="str">
        <f t="shared" si="132"/>
        <v>Mercredi</v>
      </c>
      <c r="EI599" s="16" t="str">
        <f t="shared" si="133"/>
        <v/>
      </c>
    </row>
    <row r="600" spans="1:139" x14ac:dyDescent="0.2">
      <c r="A600" s="16" t="str">
        <f t="shared" si="126"/>
        <v>Fiche info CDD_ Avenant 2F4</v>
      </c>
      <c r="B600" s="16" t="str">
        <f t="shared" si="127"/>
        <v>Fiche info CDD_ Avenant 2</v>
      </c>
      <c r="C600" s="27" t="s">
        <v>235</v>
      </c>
      <c r="D600" s="27">
        <v>4</v>
      </c>
      <c r="E600" s="16" t="s">
        <v>20</v>
      </c>
      <c r="F600" s="34" t="str">
        <f>+IF('Fiche info CDD_ Avenant 2'!$BN$10=0,"",'Fiche info CDD_ Avenant 2'!$BN$10)</f>
        <v/>
      </c>
      <c r="G600" s="16">
        <f t="shared" si="134"/>
        <v>0</v>
      </c>
      <c r="BX600" s="16" t="str">
        <f t="shared" si="135"/>
        <v>Fiche info CDD_ Avenant 2F4</v>
      </c>
      <c r="BY600" s="431">
        <f>'Fiche info CDD_ Avenant 2'!$BE$10</f>
        <v>0</v>
      </c>
      <c r="BZ600" s="431">
        <f>'Fiche info CDD_ Avenant 2'!$BF$10</f>
        <v>0</v>
      </c>
      <c r="CA600" s="431">
        <f>'Fiche info CDD_ Avenant 2'!$BG$10</f>
        <v>0</v>
      </c>
      <c r="CB600" s="431">
        <f>'Fiche info CDD_ Avenant 2'!$BH$10</f>
        <v>0</v>
      </c>
      <c r="CC600" s="431">
        <f>'Fiche info CDD_ Avenant 2'!$BI$10</f>
        <v>0</v>
      </c>
      <c r="CD600" s="431">
        <f>'Fiche info CDD_ Avenant 2'!$BJ$10</f>
        <v>0</v>
      </c>
      <c r="CE600" s="431">
        <f>'Fiche info CDD_ Avenant 2'!$BK$10</f>
        <v>0</v>
      </c>
      <c r="CF600" s="431">
        <f>'Fiche info CDD_ Avenant 2'!$BL$10</f>
        <v>0</v>
      </c>
      <c r="ED600" s="16" t="str">
        <f t="shared" si="128"/>
        <v>Fiche info CDD_ Avenant 2F</v>
      </c>
      <c r="EE600" s="16" t="str">
        <f t="shared" si="129"/>
        <v>Fiche info CDD_ Avenant 2</v>
      </c>
      <c r="EF600" s="16" t="str">
        <f t="shared" si="130"/>
        <v>F</v>
      </c>
      <c r="EG600" s="16">
        <f t="shared" si="131"/>
        <v>4</v>
      </c>
      <c r="EH600" s="16" t="str">
        <f t="shared" si="132"/>
        <v>Jeudi</v>
      </c>
      <c r="EI600" s="16" t="str">
        <f t="shared" si="133"/>
        <v/>
      </c>
    </row>
    <row r="601" spans="1:139" x14ac:dyDescent="0.2">
      <c r="A601" s="16" t="str">
        <f t="shared" si="126"/>
        <v>Fiche info CDD_ Avenant 2F5</v>
      </c>
      <c r="B601" s="16" t="str">
        <f t="shared" si="127"/>
        <v>Fiche info CDD_ Avenant 2</v>
      </c>
      <c r="C601" s="27" t="s">
        <v>235</v>
      </c>
      <c r="D601" s="27">
        <v>5</v>
      </c>
      <c r="E601" s="16" t="s">
        <v>21</v>
      </c>
      <c r="F601" s="34" t="str">
        <f>+IF('Fiche info CDD_ Avenant 2'!$BN$11=0,"",'Fiche info CDD_ Avenant 2'!$BN$11)</f>
        <v/>
      </c>
      <c r="G601" s="16">
        <f t="shared" si="134"/>
        <v>0</v>
      </c>
      <c r="BX601" s="16" t="str">
        <f t="shared" si="135"/>
        <v>Fiche info CDD_ Avenant 2F5</v>
      </c>
      <c r="BY601" s="431">
        <f>'Fiche info CDD_ Avenant 2'!$BE$11</f>
        <v>0</v>
      </c>
      <c r="BZ601" s="431">
        <f>'Fiche info CDD_ Avenant 2'!$BF$11</f>
        <v>0</v>
      </c>
      <c r="CA601" s="431">
        <f>'Fiche info CDD_ Avenant 2'!$BG$11</f>
        <v>0</v>
      </c>
      <c r="CB601" s="431">
        <f>'Fiche info CDD_ Avenant 2'!$BH$11</f>
        <v>0</v>
      </c>
      <c r="CC601" s="431">
        <f>'Fiche info CDD_ Avenant 2'!$BI$11</f>
        <v>0</v>
      </c>
      <c r="CD601" s="431">
        <f>'Fiche info CDD_ Avenant 2'!$BJ$11</f>
        <v>0</v>
      </c>
      <c r="CE601" s="431">
        <f>'Fiche info CDD_ Avenant 2'!$BK$11</f>
        <v>0</v>
      </c>
      <c r="CF601" s="431">
        <f>'Fiche info CDD_ Avenant 2'!$BL$11</f>
        <v>0</v>
      </c>
      <c r="ED601" s="16" t="str">
        <f t="shared" si="128"/>
        <v>Fiche info CDD_ Avenant 2F</v>
      </c>
      <c r="EE601" s="16" t="str">
        <f t="shared" si="129"/>
        <v>Fiche info CDD_ Avenant 2</v>
      </c>
      <c r="EF601" s="16" t="str">
        <f t="shared" si="130"/>
        <v>F</v>
      </c>
      <c r="EG601" s="16">
        <f t="shared" si="131"/>
        <v>5</v>
      </c>
      <c r="EH601" s="16" t="str">
        <f t="shared" si="132"/>
        <v>Vendredi</v>
      </c>
      <c r="EI601" s="16" t="str">
        <f t="shared" si="133"/>
        <v/>
      </c>
    </row>
    <row r="602" spans="1:139" x14ac:dyDescent="0.2">
      <c r="A602" s="16" t="str">
        <f t="shared" si="126"/>
        <v>Fiche info CDD_ Avenant 2F6</v>
      </c>
      <c r="B602" s="16" t="str">
        <f t="shared" si="127"/>
        <v>Fiche info CDD_ Avenant 2</v>
      </c>
      <c r="C602" s="27" t="s">
        <v>235</v>
      </c>
      <c r="D602" s="27">
        <v>6</v>
      </c>
      <c r="E602" s="16" t="s">
        <v>184</v>
      </c>
      <c r="F602" s="34" t="str">
        <f>+IF('Fiche info CDD_ Avenant 2'!$BN$12=0,"",'Fiche info CDD_ Avenant 2'!$BN$12)</f>
        <v/>
      </c>
      <c r="G602" s="16">
        <f t="shared" si="134"/>
        <v>0</v>
      </c>
      <c r="BX602" s="16" t="str">
        <f t="shared" si="135"/>
        <v>Fiche info CDD_ Avenant 2F6</v>
      </c>
      <c r="BY602" s="431">
        <f>'Fiche info CDD_ Avenant 2'!$BE$12</f>
        <v>0</v>
      </c>
      <c r="BZ602" s="431">
        <f>'Fiche info CDD_ Avenant 2'!$BF$12</f>
        <v>0</v>
      </c>
      <c r="CA602" s="431">
        <f>'Fiche info CDD_ Avenant 2'!$BG$12</f>
        <v>0</v>
      </c>
      <c r="CB602" s="431">
        <f>'Fiche info CDD_ Avenant 2'!$BH$12</f>
        <v>0</v>
      </c>
      <c r="CC602" s="431">
        <f>'Fiche info CDD_ Avenant 2'!$BI$12</f>
        <v>0</v>
      </c>
      <c r="CD602" s="431">
        <f>'Fiche info CDD_ Avenant 2'!$BJ$12</f>
        <v>0</v>
      </c>
      <c r="CE602" s="431">
        <f>'Fiche info CDD_ Avenant 2'!$BK$12</f>
        <v>0</v>
      </c>
      <c r="CF602" s="431">
        <f>'Fiche info CDD_ Avenant 2'!$BL$12</f>
        <v>0</v>
      </c>
      <c r="ED602" s="16" t="str">
        <f t="shared" si="128"/>
        <v>Fiche info CDD_ Avenant 2F</v>
      </c>
      <c r="EE602" s="16" t="str">
        <f t="shared" si="129"/>
        <v>Fiche info CDD_ Avenant 2</v>
      </c>
      <c r="EF602" s="16" t="str">
        <f t="shared" si="130"/>
        <v>F</v>
      </c>
      <c r="EG602" s="16">
        <f t="shared" si="131"/>
        <v>6</v>
      </c>
      <c r="EH602" s="16" t="str">
        <f t="shared" si="132"/>
        <v>Samedi</v>
      </c>
      <c r="EI602" s="16" t="str">
        <f t="shared" si="133"/>
        <v/>
      </c>
    </row>
    <row r="603" spans="1:139" x14ac:dyDescent="0.2">
      <c r="A603" s="16" t="str">
        <f t="shared" si="126"/>
        <v>Fiche info CDD_ Avenant 2F7</v>
      </c>
      <c r="B603" s="16" t="str">
        <f t="shared" si="127"/>
        <v>Fiche info CDD_ Avenant 2</v>
      </c>
      <c r="C603" s="27" t="s">
        <v>235</v>
      </c>
      <c r="D603" s="27">
        <v>7</v>
      </c>
      <c r="E603" s="16" t="s">
        <v>185</v>
      </c>
      <c r="F603" s="34" t="str">
        <f>+IF('Fiche info CDD_ Avenant 2'!$BN$13=0,"",'Fiche info CDD_ Avenant 2'!$BN$13)</f>
        <v/>
      </c>
      <c r="G603" s="16">
        <f t="shared" si="134"/>
        <v>0</v>
      </c>
      <c r="BX603" s="16" t="str">
        <f t="shared" si="135"/>
        <v>Fiche info CDD_ Avenant 2F7</v>
      </c>
      <c r="BY603" s="431">
        <f>'Fiche info CDD_ Avenant 2'!$BE$13</f>
        <v>0</v>
      </c>
      <c r="BZ603" s="431">
        <f>'Fiche info CDD_ Avenant 2'!$BF$13</f>
        <v>0</v>
      </c>
      <c r="CA603" s="431">
        <f>'Fiche info CDD_ Avenant 2'!$BG$13</f>
        <v>0</v>
      </c>
      <c r="CB603" s="431">
        <f>'Fiche info CDD_ Avenant 2'!$BH$13</f>
        <v>0</v>
      </c>
      <c r="CC603" s="431">
        <f>'Fiche info CDD_ Avenant 2'!$BI$13</f>
        <v>0</v>
      </c>
      <c r="CD603" s="431">
        <f>'Fiche info CDD_ Avenant 2'!$BJ$13</f>
        <v>0</v>
      </c>
      <c r="CE603" s="431">
        <f>'Fiche info CDD_ Avenant 2'!$BK$13</f>
        <v>0</v>
      </c>
      <c r="CF603" s="431">
        <f>'Fiche info CDD_ Avenant 2'!$BL$13</f>
        <v>0</v>
      </c>
      <c r="ED603" s="16" t="str">
        <f t="shared" si="128"/>
        <v>Fiche info CDD_ Avenant 2F</v>
      </c>
      <c r="EE603" s="16" t="str">
        <f t="shared" si="129"/>
        <v>Fiche info CDD_ Avenant 2</v>
      </c>
      <c r="EF603" s="16" t="str">
        <f t="shared" si="130"/>
        <v>F</v>
      </c>
      <c r="EG603" s="16">
        <f t="shared" si="131"/>
        <v>7</v>
      </c>
      <c r="EH603" s="16" t="str">
        <f t="shared" si="132"/>
        <v>Dimanche</v>
      </c>
      <c r="EI603" s="16" t="str">
        <f t="shared" si="133"/>
        <v/>
      </c>
    </row>
    <row r="604" spans="1:139" x14ac:dyDescent="0.2">
      <c r="A604" s="16" t="str">
        <f t="shared" si="126"/>
        <v>Fiche info CDD_ Avenant 2G1</v>
      </c>
      <c r="B604" s="16" t="str">
        <f t="shared" si="127"/>
        <v>Fiche info CDD_ Avenant 2</v>
      </c>
      <c r="C604" s="27" t="s">
        <v>236</v>
      </c>
      <c r="D604" s="27">
        <v>1</v>
      </c>
      <c r="E604" s="16" t="s">
        <v>17</v>
      </c>
      <c r="F604" s="34" t="str">
        <f>+IF('Fiche info CDD_ Avenant 2'!$BY$7=0,"",'Fiche info CDD_ Avenant 2'!$BY$7)</f>
        <v/>
      </c>
      <c r="G604" s="16">
        <f t="shared" si="134"/>
        <v>0</v>
      </c>
      <c r="BX604" s="16" t="str">
        <f t="shared" si="135"/>
        <v>Fiche info CDD_ Avenant 2G1</v>
      </c>
      <c r="BY604" s="431">
        <f>'Fiche info CDD_ Avenant 2'!$BP$7</f>
        <v>0</v>
      </c>
      <c r="BZ604" s="431">
        <f>'Fiche info CDD_ Avenant 2'!$BQ$7</f>
        <v>0</v>
      </c>
      <c r="CA604" s="431">
        <f>'Fiche info CDD_ Avenant 2'!$BR$7</f>
        <v>0</v>
      </c>
      <c r="CB604" s="431">
        <f>'Fiche info CDD_ Avenant 2'!$BS$7</f>
        <v>0</v>
      </c>
      <c r="CC604" s="431">
        <f>'Fiche info CDD_ Avenant 2'!$BT$7</f>
        <v>0</v>
      </c>
      <c r="CD604" s="431">
        <f>'Fiche info CDD_ Avenant 2'!$BU$7</f>
        <v>0</v>
      </c>
      <c r="CE604" s="431">
        <f>'Fiche info CDD_ Avenant 2'!$BV$7</f>
        <v>0</v>
      </c>
      <c r="CF604" s="431">
        <f>'Fiche info CDD_ Avenant 2'!$BW$7</f>
        <v>0</v>
      </c>
      <c r="ED604" s="16" t="str">
        <f t="shared" si="128"/>
        <v>Fiche info CDD_ Avenant 2G</v>
      </c>
      <c r="EE604" s="16" t="str">
        <f t="shared" si="129"/>
        <v>Fiche info CDD_ Avenant 2</v>
      </c>
      <c r="EF604" s="16" t="str">
        <f t="shared" si="130"/>
        <v>G</v>
      </c>
      <c r="EG604" s="16">
        <f t="shared" si="131"/>
        <v>1</v>
      </c>
      <c r="EH604" s="16" t="str">
        <f t="shared" si="132"/>
        <v>Lundi</v>
      </c>
      <c r="EI604" s="16" t="str">
        <f t="shared" si="133"/>
        <v/>
      </c>
    </row>
    <row r="605" spans="1:139" x14ac:dyDescent="0.2">
      <c r="A605" s="16" t="str">
        <f t="shared" si="126"/>
        <v>Fiche info CDD_ Avenant 2G2</v>
      </c>
      <c r="B605" s="16" t="str">
        <f t="shared" si="127"/>
        <v>Fiche info CDD_ Avenant 2</v>
      </c>
      <c r="C605" s="27" t="s">
        <v>236</v>
      </c>
      <c r="D605" s="27">
        <v>2</v>
      </c>
      <c r="E605" s="16" t="s">
        <v>18</v>
      </c>
      <c r="F605" s="34" t="str">
        <f>+IF('Fiche info CDD_ Avenant 2'!$BY$8=0,"",'Fiche info CDD_ Avenant 2'!$BY$8)</f>
        <v/>
      </c>
      <c r="G605" s="16">
        <f t="shared" si="134"/>
        <v>0</v>
      </c>
      <c r="BX605" s="16" t="str">
        <f t="shared" si="135"/>
        <v>Fiche info CDD_ Avenant 2G2</v>
      </c>
      <c r="BY605" s="431">
        <f>'Fiche info CDD_ Avenant 2'!$BP$8</f>
        <v>0</v>
      </c>
      <c r="BZ605" s="431">
        <f>'Fiche info CDD_ Avenant 2'!$BQ$8</f>
        <v>0</v>
      </c>
      <c r="CA605" s="431">
        <f>'Fiche info CDD_ Avenant 2'!$BR$8</f>
        <v>0</v>
      </c>
      <c r="CB605" s="431">
        <f>'Fiche info CDD_ Avenant 2'!$BS$8</f>
        <v>0</v>
      </c>
      <c r="CC605" s="431">
        <f>'Fiche info CDD_ Avenant 2'!$BT$8</f>
        <v>0</v>
      </c>
      <c r="CD605" s="431">
        <f>'Fiche info CDD_ Avenant 2'!$BU$8</f>
        <v>0</v>
      </c>
      <c r="CE605" s="431">
        <f>'Fiche info CDD_ Avenant 2'!$BV$8</f>
        <v>0</v>
      </c>
      <c r="CF605" s="431">
        <f>'Fiche info CDD_ Avenant 2'!$BW$8</f>
        <v>0</v>
      </c>
      <c r="ED605" s="16" t="str">
        <f t="shared" si="128"/>
        <v>Fiche info CDD_ Avenant 2G</v>
      </c>
      <c r="EE605" s="16" t="str">
        <f t="shared" si="129"/>
        <v>Fiche info CDD_ Avenant 2</v>
      </c>
      <c r="EF605" s="16" t="str">
        <f t="shared" si="130"/>
        <v>G</v>
      </c>
      <c r="EG605" s="16">
        <f t="shared" si="131"/>
        <v>2</v>
      </c>
      <c r="EH605" s="16" t="str">
        <f t="shared" si="132"/>
        <v>Mardi</v>
      </c>
      <c r="EI605" s="16" t="str">
        <f t="shared" si="133"/>
        <v/>
      </c>
    </row>
    <row r="606" spans="1:139" x14ac:dyDescent="0.2">
      <c r="A606" s="16" t="str">
        <f t="shared" si="126"/>
        <v>Fiche info CDD_ Avenant 2G3</v>
      </c>
      <c r="B606" s="16" t="str">
        <f t="shared" si="127"/>
        <v>Fiche info CDD_ Avenant 2</v>
      </c>
      <c r="C606" s="27" t="s">
        <v>236</v>
      </c>
      <c r="D606" s="27">
        <v>3</v>
      </c>
      <c r="E606" s="16" t="s">
        <v>19</v>
      </c>
      <c r="F606" s="34" t="str">
        <f>+IF('Fiche info CDD_ Avenant 2'!$BY$9=0,"",'Fiche info CDD_ Avenant 2'!$BY$9)</f>
        <v/>
      </c>
      <c r="G606" s="16">
        <f t="shared" si="134"/>
        <v>0</v>
      </c>
      <c r="BX606" s="16" t="str">
        <f t="shared" si="135"/>
        <v>Fiche info CDD_ Avenant 2G3</v>
      </c>
      <c r="BY606" s="431">
        <f>'Fiche info CDD_ Avenant 2'!$BP$9</f>
        <v>0</v>
      </c>
      <c r="BZ606" s="431">
        <f>'Fiche info CDD_ Avenant 2'!$BQ$9</f>
        <v>0</v>
      </c>
      <c r="CA606" s="431">
        <f>'Fiche info CDD_ Avenant 2'!$BR$9</f>
        <v>0</v>
      </c>
      <c r="CB606" s="431">
        <f>'Fiche info CDD_ Avenant 2'!$BS$9</f>
        <v>0</v>
      </c>
      <c r="CC606" s="431">
        <f>'Fiche info CDD_ Avenant 2'!$BT$9</f>
        <v>0</v>
      </c>
      <c r="CD606" s="431">
        <f>'Fiche info CDD_ Avenant 2'!$BU$9</f>
        <v>0</v>
      </c>
      <c r="CE606" s="431">
        <f>'Fiche info CDD_ Avenant 2'!$BV$9</f>
        <v>0</v>
      </c>
      <c r="CF606" s="431">
        <f>'Fiche info CDD_ Avenant 2'!$BW$9</f>
        <v>0</v>
      </c>
      <c r="ED606" s="16" t="str">
        <f t="shared" si="128"/>
        <v>Fiche info CDD_ Avenant 2G</v>
      </c>
      <c r="EE606" s="16" t="str">
        <f t="shared" si="129"/>
        <v>Fiche info CDD_ Avenant 2</v>
      </c>
      <c r="EF606" s="16" t="str">
        <f t="shared" si="130"/>
        <v>G</v>
      </c>
      <c r="EG606" s="16">
        <f t="shared" si="131"/>
        <v>3</v>
      </c>
      <c r="EH606" s="16" t="str">
        <f t="shared" si="132"/>
        <v>Mercredi</v>
      </c>
      <c r="EI606" s="16" t="str">
        <f t="shared" si="133"/>
        <v/>
      </c>
    </row>
    <row r="607" spans="1:139" x14ac:dyDescent="0.2">
      <c r="A607" s="16" t="str">
        <f t="shared" si="126"/>
        <v>Fiche info CDD_ Avenant 2G4</v>
      </c>
      <c r="B607" s="16" t="str">
        <f t="shared" si="127"/>
        <v>Fiche info CDD_ Avenant 2</v>
      </c>
      <c r="C607" s="27" t="s">
        <v>236</v>
      </c>
      <c r="D607" s="27">
        <v>4</v>
      </c>
      <c r="E607" s="16" t="s">
        <v>20</v>
      </c>
      <c r="F607" s="34" t="str">
        <f>+IF('Fiche info CDD_ Avenant 2'!$BY$10=0,"",'Fiche info CDD_ Avenant 2'!$BY$10)</f>
        <v/>
      </c>
      <c r="G607" s="16">
        <f t="shared" si="134"/>
        <v>0</v>
      </c>
      <c r="BX607" s="16" t="str">
        <f t="shared" si="135"/>
        <v>Fiche info CDD_ Avenant 2G4</v>
      </c>
      <c r="BY607" s="431">
        <f>'Fiche info CDD_ Avenant 2'!$BP$10</f>
        <v>0</v>
      </c>
      <c r="BZ607" s="431">
        <f>'Fiche info CDD_ Avenant 2'!$BQ$10</f>
        <v>0</v>
      </c>
      <c r="CA607" s="431">
        <f>'Fiche info CDD_ Avenant 2'!$BR$10</f>
        <v>0</v>
      </c>
      <c r="CB607" s="431">
        <f>'Fiche info CDD_ Avenant 2'!$BS$10</f>
        <v>0</v>
      </c>
      <c r="CC607" s="431">
        <f>'Fiche info CDD_ Avenant 2'!$BT$10</f>
        <v>0</v>
      </c>
      <c r="CD607" s="431">
        <f>'Fiche info CDD_ Avenant 2'!$BU$10</f>
        <v>0</v>
      </c>
      <c r="CE607" s="431">
        <f>'Fiche info CDD_ Avenant 2'!$BV$10</f>
        <v>0</v>
      </c>
      <c r="CF607" s="431">
        <f>'Fiche info CDD_ Avenant 2'!$BW$10</f>
        <v>0</v>
      </c>
      <c r="ED607" s="16" t="str">
        <f t="shared" si="128"/>
        <v>Fiche info CDD_ Avenant 2G</v>
      </c>
      <c r="EE607" s="16" t="str">
        <f t="shared" si="129"/>
        <v>Fiche info CDD_ Avenant 2</v>
      </c>
      <c r="EF607" s="16" t="str">
        <f t="shared" si="130"/>
        <v>G</v>
      </c>
      <c r="EG607" s="16">
        <f t="shared" si="131"/>
        <v>4</v>
      </c>
      <c r="EH607" s="16" t="str">
        <f t="shared" si="132"/>
        <v>Jeudi</v>
      </c>
      <c r="EI607" s="16" t="str">
        <f t="shared" si="133"/>
        <v/>
      </c>
    </row>
    <row r="608" spans="1:139" x14ac:dyDescent="0.2">
      <c r="A608" s="16" t="str">
        <f t="shared" si="126"/>
        <v>Fiche info CDD_ Avenant 2G5</v>
      </c>
      <c r="B608" s="16" t="str">
        <f t="shared" si="127"/>
        <v>Fiche info CDD_ Avenant 2</v>
      </c>
      <c r="C608" s="27" t="s">
        <v>236</v>
      </c>
      <c r="D608" s="27">
        <v>5</v>
      </c>
      <c r="E608" s="16" t="s">
        <v>21</v>
      </c>
      <c r="F608" s="34" t="str">
        <f>+IF('Fiche info CDD_ Avenant 2'!$BY$11=0,"",'Fiche info CDD_ Avenant 2'!$BY$11)</f>
        <v/>
      </c>
      <c r="G608" s="16">
        <f t="shared" si="134"/>
        <v>0</v>
      </c>
      <c r="BX608" s="16" t="str">
        <f t="shared" si="135"/>
        <v>Fiche info CDD_ Avenant 2G5</v>
      </c>
      <c r="BY608" s="431">
        <f>'Fiche info CDD_ Avenant 2'!$BP$11</f>
        <v>0</v>
      </c>
      <c r="BZ608" s="431">
        <f>'Fiche info CDD_ Avenant 2'!$BQ$11</f>
        <v>0</v>
      </c>
      <c r="CA608" s="431">
        <f>'Fiche info CDD_ Avenant 2'!$BR$11</f>
        <v>0</v>
      </c>
      <c r="CB608" s="431">
        <f>'Fiche info CDD_ Avenant 2'!$BS$11</f>
        <v>0</v>
      </c>
      <c r="CC608" s="431">
        <f>'Fiche info CDD_ Avenant 2'!$BT$11</f>
        <v>0</v>
      </c>
      <c r="CD608" s="431">
        <f>'Fiche info CDD_ Avenant 2'!$BU$11</f>
        <v>0</v>
      </c>
      <c r="CE608" s="431">
        <f>'Fiche info CDD_ Avenant 2'!$BV$11</f>
        <v>0</v>
      </c>
      <c r="CF608" s="431">
        <f>'Fiche info CDD_ Avenant 2'!$BW$11</f>
        <v>0</v>
      </c>
      <c r="ED608" s="16" t="str">
        <f t="shared" si="128"/>
        <v>Fiche info CDD_ Avenant 2G</v>
      </c>
      <c r="EE608" s="16" t="str">
        <f t="shared" si="129"/>
        <v>Fiche info CDD_ Avenant 2</v>
      </c>
      <c r="EF608" s="16" t="str">
        <f t="shared" si="130"/>
        <v>G</v>
      </c>
      <c r="EG608" s="16">
        <f t="shared" si="131"/>
        <v>5</v>
      </c>
      <c r="EH608" s="16" t="str">
        <f t="shared" si="132"/>
        <v>Vendredi</v>
      </c>
      <c r="EI608" s="16" t="str">
        <f t="shared" si="133"/>
        <v/>
      </c>
    </row>
    <row r="609" spans="1:139" x14ac:dyDescent="0.2">
      <c r="A609" s="16" t="str">
        <f t="shared" si="126"/>
        <v>Fiche info CDD_ Avenant 2G6</v>
      </c>
      <c r="B609" s="16" t="str">
        <f t="shared" si="127"/>
        <v>Fiche info CDD_ Avenant 2</v>
      </c>
      <c r="C609" s="27" t="s">
        <v>236</v>
      </c>
      <c r="D609" s="27">
        <v>6</v>
      </c>
      <c r="E609" s="16" t="s">
        <v>184</v>
      </c>
      <c r="F609" s="34" t="str">
        <f>+IF('Fiche info CDD_ Avenant 2'!$BY$12=0,"",'Fiche info CDD_ Avenant 2'!$BY$12)</f>
        <v/>
      </c>
      <c r="G609" s="16">
        <f t="shared" si="134"/>
        <v>0</v>
      </c>
      <c r="BX609" s="16" t="str">
        <f t="shared" si="135"/>
        <v>Fiche info CDD_ Avenant 2G6</v>
      </c>
      <c r="BY609" s="431">
        <f>'Fiche info CDD_ Avenant 2'!$BP$12</f>
        <v>0</v>
      </c>
      <c r="BZ609" s="431">
        <f>'Fiche info CDD_ Avenant 2'!$BQ$12</f>
        <v>0</v>
      </c>
      <c r="CA609" s="431">
        <f>'Fiche info CDD_ Avenant 2'!$BR$12</f>
        <v>0</v>
      </c>
      <c r="CB609" s="431">
        <f>'Fiche info CDD_ Avenant 2'!$BS$12</f>
        <v>0</v>
      </c>
      <c r="CC609" s="431">
        <f>'Fiche info CDD_ Avenant 2'!$BT$12</f>
        <v>0</v>
      </c>
      <c r="CD609" s="431">
        <f>'Fiche info CDD_ Avenant 2'!$BU$12</f>
        <v>0</v>
      </c>
      <c r="CE609" s="431">
        <f>'Fiche info CDD_ Avenant 2'!$BV$12</f>
        <v>0</v>
      </c>
      <c r="CF609" s="431">
        <f>'Fiche info CDD_ Avenant 2'!$BW$12</f>
        <v>0</v>
      </c>
      <c r="ED609" s="16" t="str">
        <f t="shared" si="128"/>
        <v>Fiche info CDD_ Avenant 2G</v>
      </c>
      <c r="EE609" s="16" t="str">
        <f t="shared" si="129"/>
        <v>Fiche info CDD_ Avenant 2</v>
      </c>
      <c r="EF609" s="16" t="str">
        <f t="shared" si="130"/>
        <v>G</v>
      </c>
      <c r="EG609" s="16">
        <f t="shared" si="131"/>
        <v>6</v>
      </c>
      <c r="EH609" s="16" t="str">
        <f t="shared" si="132"/>
        <v>Samedi</v>
      </c>
      <c r="EI609" s="16" t="str">
        <f t="shared" si="133"/>
        <v/>
      </c>
    </row>
    <row r="610" spans="1:139" x14ac:dyDescent="0.2">
      <c r="A610" s="16" t="str">
        <f t="shared" si="126"/>
        <v>Fiche info CDD_ Avenant 2G7</v>
      </c>
      <c r="B610" s="16" t="str">
        <f t="shared" si="127"/>
        <v>Fiche info CDD_ Avenant 2</v>
      </c>
      <c r="C610" s="27" t="s">
        <v>236</v>
      </c>
      <c r="D610" s="27">
        <v>7</v>
      </c>
      <c r="E610" s="16" t="s">
        <v>185</v>
      </c>
      <c r="F610" s="34" t="str">
        <f>+IF('Fiche info CDD_ Avenant 2'!$BY$13=0,"",'Fiche info CDD_ Avenant 2'!$BY$13)</f>
        <v/>
      </c>
      <c r="G610" s="16">
        <f t="shared" si="134"/>
        <v>0</v>
      </c>
      <c r="BX610" s="16" t="str">
        <f t="shared" si="135"/>
        <v>Fiche info CDD_ Avenant 2G7</v>
      </c>
      <c r="BY610" s="431">
        <f>'Fiche info CDD_ Avenant 2'!$BP$13</f>
        <v>0</v>
      </c>
      <c r="BZ610" s="431">
        <f>'Fiche info CDD_ Avenant 2'!$BQ$13</f>
        <v>0</v>
      </c>
      <c r="CA610" s="431">
        <f>'Fiche info CDD_ Avenant 2'!$BR$13</f>
        <v>0</v>
      </c>
      <c r="CB610" s="431">
        <f>'Fiche info CDD_ Avenant 2'!$BS$13</f>
        <v>0</v>
      </c>
      <c r="CC610" s="431">
        <f>'Fiche info CDD_ Avenant 2'!$BT$13</f>
        <v>0</v>
      </c>
      <c r="CD610" s="431">
        <f>'Fiche info CDD_ Avenant 2'!$BU$13</f>
        <v>0</v>
      </c>
      <c r="CE610" s="431">
        <f>'Fiche info CDD_ Avenant 2'!$BV$13</f>
        <v>0</v>
      </c>
      <c r="CF610" s="431">
        <f>'Fiche info CDD_ Avenant 2'!$BW$13</f>
        <v>0</v>
      </c>
      <c r="ED610" s="16" t="str">
        <f t="shared" si="128"/>
        <v>Fiche info CDD_ Avenant 2G</v>
      </c>
      <c r="EE610" s="16" t="str">
        <f t="shared" si="129"/>
        <v>Fiche info CDD_ Avenant 2</v>
      </c>
      <c r="EF610" s="16" t="str">
        <f t="shared" si="130"/>
        <v>G</v>
      </c>
      <c r="EG610" s="16">
        <f t="shared" si="131"/>
        <v>7</v>
      </c>
      <c r="EH610" s="16" t="str">
        <f t="shared" si="132"/>
        <v>Dimanche</v>
      </c>
      <c r="EI610" s="16" t="str">
        <f t="shared" si="133"/>
        <v/>
      </c>
    </row>
    <row r="611" spans="1:139" x14ac:dyDescent="0.2">
      <c r="A611" s="16" t="str">
        <f t="shared" si="126"/>
        <v>Fiche info CDD_ Avenant 2H1</v>
      </c>
      <c r="B611" s="16" t="str">
        <f t="shared" si="127"/>
        <v>Fiche info CDD_ Avenant 2</v>
      </c>
      <c r="C611" s="27" t="s">
        <v>237</v>
      </c>
      <c r="D611" s="27">
        <v>1</v>
      </c>
      <c r="E611" s="16" t="s">
        <v>17</v>
      </c>
      <c r="F611" s="34" t="str">
        <f>+IF('Fiche info CDD_ Avenant 2'!$CJ$7=0,"",'Fiche info CDD_ Avenant 2'!$CJ$7)</f>
        <v/>
      </c>
      <c r="G611" s="16">
        <f t="shared" si="134"/>
        <v>0</v>
      </c>
      <c r="BX611" s="16" t="str">
        <f t="shared" si="135"/>
        <v>Fiche info CDD_ Avenant 2H1</v>
      </c>
      <c r="BY611" s="431">
        <f>'Fiche info CDD_ Avenant 2'!$CA$7</f>
        <v>0</v>
      </c>
      <c r="BZ611" s="431">
        <f>'Fiche info CDD_ Avenant 2'!$CB$7</f>
        <v>0</v>
      </c>
      <c r="CA611" s="431">
        <f>'Fiche info CDD_ Avenant 2'!$CC$7</f>
        <v>0</v>
      </c>
      <c r="CB611" s="431">
        <f>'Fiche info CDD_ Avenant 2'!$CD$7</f>
        <v>0</v>
      </c>
      <c r="CC611" s="431">
        <f>'Fiche info CDD_ Avenant 2'!$CE$7</f>
        <v>0</v>
      </c>
      <c r="CD611" s="431">
        <f>'Fiche info CDD_ Avenant 2'!$CF$7</f>
        <v>0</v>
      </c>
      <c r="CE611" s="431">
        <f>'Fiche info CDD_ Avenant 2'!$CG$7</f>
        <v>0</v>
      </c>
      <c r="CF611" s="431">
        <f>'Fiche info CDD_ Avenant 2'!$CH$7</f>
        <v>0</v>
      </c>
      <c r="ED611" s="16" t="str">
        <f t="shared" si="128"/>
        <v>Fiche info CDD_ Avenant 2H</v>
      </c>
      <c r="EE611" s="16" t="str">
        <f t="shared" si="129"/>
        <v>Fiche info CDD_ Avenant 2</v>
      </c>
      <c r="EF611" s="16" t="str">
        <f t="shared" si="130"/>
        <v>H</v>
      </c>
      <c r="EG611" s="16">
        <f t="shared" si="131"/>
        <v>1</v>
      </c>
      <c r="EH611" s="16" t="str">
        <f t="shared" si="132"/>
        <v>Lundi</v>
      </c>
      <c r="EI611" s="16" t="str">
        <f t="shared" si="133"/>
        <v/>
      </c>
    </row>
    <row r="612" spans="1:139" x14ac:dyDescent="0.2">
      <c r="A612" s="16" t="str">
        <f t="shared" si="126"/>
        <v>Fiche info CDD_ Avenant 2H2</v>
      </c>
      <c r="B612" s="16" t="str">
        <f t="shared" si="127"/>
        <v>Fiche info CDD_ Avenant 2</v>
      </c>
      <c r="C612" s="27" t="s">
        <v>237</v>
      </c>
      <c r="D612" s="27">
        <v>2</v>
      </c>
      <c r="E612" s="16" t="s">
        <v>18</v>
      </c>
      <c r="F612" s="34" t="str">
        <f>+IF('Fiche info CDD_ Avenant 2'!$CJ$8=0,"",'Fiche info CDD_ Avenant 2'!$CJ$8)</f>
        <v/>
      </c>
      <c r="G612" s="16">
        <f t="shared" si="134"/>
        <v>0</v>
      </c>
      <c r="BX612" s="16" t="str">
        <f t="shared" si="135"/>
        <v>Fiche info CDD_ Avenant 2H2</v>
      </c>
      <c r="BY612" s="431">
        <f>'Fiche info CDD_ Avenant 2'!$CA$8</f>
        <v>0</v>
      </c>
      <c r="BZ612" s="431">
        <f>'Fiche info CDD_ Avenant 2'!$CB$8</f>
        <v>0</v>
      </c>
      <c r="CA612" s="431">
        <f>'Fiche info CDD_ Avenant 2'!$CC$8</f>
        <v>0</v>
      </c>
      <c r="CB612" s="431">
        <f>'Fiche info CDD_ Avenant 2'!$CD$8</f>
        <v>0</v>
      </c>
      <c r="CC612" s="431">
        <f>'Fiche info CDD_ Avenant 2'!$CE$8</f>
        <v>0</v>
      </c>
      <c r="CD612" s="431">
        <f>'Fiche info CDD_ Avenant 2'!$CF$8</f>
        <v>0</v>
      </c>
      <c r="CE612" s="431">
        <f>'Fiche info CDD_ Avenant 2'!$CG$8</f>
        <v>0</v>
      </c>
      <c r="CF612" s="431">
        <f>'Fiche info CDD_ Avenant 2'!$CH$8</f>
        <v>0</v>
      </c>
      <c r="ED612" s="16" t="str">
        <f t="shared" si="128"/>
        <v>Fiche info CDD_ Avenant 2H</v>
      </c>
      <c r="EE612" s="16" t="str">
        <f t="shared" si="129"/>
        <v>Fiche info CDD_ Avenant 2</v>
      </c>
      <c r="EF612" s="16" t="str">
        <f t="shared" si="130"/>
        <v>H</v>
      </c>
      <c r="EG612" s="16">
        <f t="shared" si="131"/>
        <v>2</v>
      </c>
      <c r="EH612" s="16" t="str">
        <f t="shared" si="132"/>
        <v>Mardi</v>
      </c>
      <c r="EI612" s="16" t="str">
        <f t="shared" si="133"/>
        <v/>
      </c>
    </row>
    <row r="613" spans="1:139" x14ac:dyDescent="0.2">
      <c r="A613" s="16" t="str">
        <f t="shared" si="126"/>
        <v>Fiche info CDD_ Avenant 2H3</v>
      </c>
      <c r="B613" s="16" t="str">
        <f t="shared" si="127"/>
        <v>Fiche info CDD_ Avenant 2</v>
      </c>
      <c r="C613" s="27" t="s">
        <v>237</v>
      </c>
      <c r="D613" s="27">
        <v>3</v>
      </c>
      <c r="E613" s="16" t="s">
        <v>19</v>
      </c>
      <c r="F613" s="34" t="str">
        <f>+IF('Fiche info CDD_ Avenant 2'!$CJ$9=0,"",'Fiche info CDD_ Avenant 2'!$CJ$9)</f>
        <v/>
      </c>
      <c r="G613" s="16">
        <f t="shared" si="134"/>
        <v>0</v>
      </c>
      <c r="BX613" s="16" t="str">
        <f t="shared" si="135"/>
        <v>Fiche info CDD_ Avenant 2H3</v>
      </c>
      <c r="BY613" s="431">
        <f>'Fiche info CDD_ Avenant 2'!$CA$9</f>
        <v>0</v>
      </c>
      <c r="BZ613" s="431">
        <f>'Fiche info CDD_ Avenant 2'!$CB$9</f>
        <v>0</v>
      </c>
      <c r="CA613" s="431">
        <f>'Fiche info CDD_ Avenant 2'!$CC$9</f>
        <v>0</v>
      </c>
      <c r="CB613" s="431">
        <f>'Fiche info CDD_ Avenant 2'!$CD$9</f>
        <v>0</v>
      </c>
      <c r="CC613" s="431">
        <f>'Fiche info CDD_ Avenant 2'!$CE$9</f>
        <v>0</v>
      </c>
      <c r="CD613" s="431">
        <f>'Fiche info CDD_ Avenant 2'!$CF$9</f>
        <v>0</v>
      </c>
      <c r="CE613" s="431">
        <f>'Fiche info CDD_ Avenant 2'!$CG$9</f>
        <v>0</v>
      </c>
      <c r="CF613" s="431">
        <f>'Fiche info CDD_ Avenant 2'!$CH$9</f>
        <v>0</v>
      </c>
      <c r="ED613" s="16" t="str">
        <f t="shared" si="128"/>
        <v>Fiche info CDD_ Avenant 2H</v>
      </c>
      <c r="EE613" s="16" t="str">
        <f t="shared" si="129"/>
        <v>Fiche info CDD_ Avenant 2</v>
      </c>
      <c r="EF613" s="16" t="str">
        <f t="shared" si="130"/>
        <v>H</v>
      </c>
      <c r="EG613" s="16">
        <f t="shared" si="131"/>
        <v>3</v>
      </c>
      <c r="EH613" s="16" t="str">
        <f t="shared" si="132"/>
        <v>Mercredi</v>
      </c>
      <c r="EI613" s="16" t="str">
        <f t="shared" si="133"/>
        <v/>
      </c>
    </row>
    <row r="614" spans="1:139" x14ac:dyDescent="0.2">
      <c r="A614" s="16" t="str">
        <f t="shared" si="126"/>
        <v>Fiche info CDD_ Avenant 2H4</v>
      </c>
      <c r="B614" s="16" t="str">
        <f t="shared" si="127"/>
        <v>Fiche info CDD_ Avenant 2</v>
      </c>
      <c r="C614" s="27" t="s">
        <v>237</v>
      </c>
      <c r="D614" s="27">
        <v>4</v>
      </c>
      <c r="E614" s="16" t="s">
        <v>20</v>
      </c>
      <c r="F614" s="34" t="str">
        <f>+IF('Fiche info CDD_ Avenant 2'!$CJ$10=0,"",'Fiche info CDD_ Avenant 2'!$CJ$10)</f>
        <v/>
      </c>
      <c r="G614" s="16">
        <f t="shared" si="134"/>
        <v>0</v>
      </c>
      <c r="BX614" s="16" t="str">
        <f t="shared" si="135"/>
        <v>Fiche info CDD_ Avenant 2H4</v>
      </c>
      <c r="BY614" s="431">
        <f>'Fiche info CDD_ Avenant 2'!$CA$10</f>
        <v>0</v>
      </c>
      <c r="BZ614" s="431">
        <f>'Fiche info CDD_ Avenant 2'!$CB$10</f>
        <v>0</v>
      </c>
      <c r="CA614" s="431">
        <f>'Fiche info CDD_ Avenant 2'!$CC$10</f>
        <v>0</v>
      </c>
      <c r="CB614" s="431">
        <f>'Fiche info CDD_ Avenant 2'!$CD$10</f>
        <v>0</v>
      </c>
      <c r="CC614" s="431">
        <f>'Fiche info CDD_ Avenant 2'!$CE$10</f>
        <v>0</v>
      </c>
      <c r="CD614" s="431">
        <f>'Fiche info CDD_ Avenant 2'!$CF$10</f>
        <v>0</v>
      </c>
      <c r="CE614" s="431">
        <f>'Fiche info CDD_ Avenant 2'!$CG$10</f>
        <v>0</v>
      </c>
      <c r="CF614" s="431">
        <f>'Fiche info CDD_ Avenant 2'!$CH$10</f>
        <v>0</v>
      </c>
      <c r="ED614" s="16" t="str">
        <f t="shared" si="128"/>
        <v>Fiche info CDD_ Avenant 2H</v>
      </c>
      <c r="EE614" s="16" t="str">
        <f t="shared" si="129"/>
        <v>Fiche info CDD_ Avenant 2</v>
      </c>
      <c r="EF614" s="16" t="str">
        <f t="shared" si="130"/>
        <v>H</v>
      </c>
      <c r="EG614" s="16">
        <f t="shared" si="131"/>
        <v>4</v>
      </c>
      <c r="EH614" s="16" t="str">
        <f t="shared" si="132"/>
        <v>Jeudi</v>
      </c>
      <c r="EI614" s="16" t="str">
        <f t="shared" si="133"/>
        <v/>
      </c>
    </row>
    <row r="615" spans="1:139" x14ac:dyDescent="0.2">
      <c r="A615" s="16" t="str">
        <f t="shared" si="126"/>
        <v>Fiche info CDD_ Avenant 2H5</v>
      </c>
      <c r="B615" s="16" t="str">
        <f t="shared" si="127"/>
        <v>Fiche info CDD_ Avenant 2</v>
      </c>
      <c r="C615" s="27" t="s">
        <v>237</v>
      </c>
      <c r="D615" s="27">
        <v>5</v>
      </c>
      <c r="E615" s="16" t="s">
        <v>21</v>
      </c>
      <c r="F615" s="34" t="str">
        <f>+IF('Fiche info CDD_ Avenant 2'!$CJ$11=0,"",'Fiche info CDD_ Avenant 2'!$CJ$11)</f>
        <v/>
      </c>
      <c r="G615" s="16">
        <f t="shared" si="134"/>
        <v>0</v>
      </c>
      <c r="BX615" s="16" t="str">
        <f t="shared" si="135"/>
        <v>Fiche info CDD_ Avenant 2H5</v>
      </c>
      <c r="BY615" s="431">
        <f>'Fiche info CDD_ Avenant 2'!$CA$11</f>
        <v>0</v>
      </c>
      <c r="BZ615" s="431">
        <f>'Fiche info CDD_ Avenant 2'!$CB$11</f>
        <v>0</v>
      </c>
      <c r="CA615" s="431">
        <f>'Fiche info CDD_ Avenant 2'!$CC$11</f>
        <v>0</v>
      </c>
      <c r="CB615" s="431">
        <f>'Fiche info CDD_ Avenant 2'!$CD$11</f>
        <v>0</v>
      </c>
      <c r="CC615" s="431">
        <f>'Fiche info CDD_ Avenant 2'!$CE$11</f>
        <v>0</v>
      </c>
      <c r="CD615" s="431">
        <f>'Fiche info CDD_ Avenant 2'!$CF$11</f>
        <v>0</v>
      </c>
      <c r="CE615" s="431">
        <f>'Fiche info CDD_ Avenant 2'!$CG$11</f>
        <v>0</v>
      </c>
      <c r="CF615" s="431">
        <f>'Fiche info CDD_ Avenant 2'!$CH$11</f>
        <v>0</v>
      </c>
      <c r="ED615" s="16" t="str">
        <f t="shared" si="128"/>
        <v>Fiche info CDD_ Avenant 2H</v>
      </c>
      <c r="EE615" s="16" t="str">
        <f t="shared" si="129"/>
        <v>Fiche info CDD_ Avenant 2</v>
      </c>
      <c r="EF615" s="16" t="str">
        <f t="shared" si="130"/>
        <v>H</v>
      </c>
      <c r="EG615" s="16">
        <f t="shared" si="131"/>
        <v>5</v>
      </c>
      <c r="EH615" s="16" t="str">
        <f t="shared" si="132"/>
        <v>Vendredi</v>
      </c>
      <c r="EI615" s="16" t="str">
        <f t="shared" si="133"/>
        <v/>
      </c>
    </row>
    <row r="616" spans="1:139" x14ac:dyDescent="0.2">
      <c r="A616" s="16" t="str">
        <f t="shared" si="126"/>
        <v>Fiche info CDD_ Avenant 2H6</v>
      </c>
      <c r="B616" s="16" t="str">
        <f t="shared" si="127"/>
        <v>Fiche info CDD_ Avenant 2</v>
      </c>
      <c r="C616" s="27" t="s">
        <v>237</v>
      </c>
      <c r="D616" s="27">
        <v>6</v>
      </c>
      <c r="E616" s="16" t="s">
        <v>184</v>
      </c>
      <c r="F616" s="34" t="str">
        <f>+IF('Fiche info CDD_ Avenant 2'!$CJ$12=0,"",'Fiche info CDD_ Avenant 2'!$CJ$12)</f>
        <v/>
      </c>
      <c r="G616" s="16">
        <f t="shared" si="134"/>
        <v>0</v>
      </c>
      <c r="BX616" s="16" t="str">
        <f t="shared" si="135"/>
        <v>Fiche info CDD_ Avenant 2H6</v>
      </c>
      <c r="BY616" s="431">
        <f>'Fiche info CDD_ Avenant 2'!$CA$12</f>
        <v>0</v>
      </c>
      <c r="BZ616" s="431">
        <f>'Fiche info CDD_ Avenant 2'!$CB$12</f>
        <v>0</v>
      </c>
      <c r="CA616" s="431">
        <f>'Fiche info CDD_ Avenant 2'!$CC$12</f>
        <v>0</v>
      </c>
      <c r="CB616" s="431">
        <f>'Fiche info CDD_ Avenant 2'!$CD$12</f>
        <v>0</v>
      </c>
      <c r="CC616" s="431">
        <f>'Fiche info CDD_ Avenant 2'!$CE$12</f>
        <v>0</v>
      </c>
      <c r="CD616" s="431">
        <f>'Fiche info CDD_ Avenant 2'!$CF$12</f>
        <v>0</v>
      </c>
      <c r="CE616" s="431">
        <f>'Fiche info CDD_ Avenant 2'!$CG$12</f>
        <v>0</v>
      </c>
      <c r="CF616" s="431">
        <f>'Fiche info CDD_ Avenant 2'!$CH$12</f>
        <v>0</v>
      </c>
      <c r="ED616" s="16" t="str">
        <f t="shared" si="128"/>
        <v>Fiche info CDD_ Avenant 2H</v>
      </c>
      <c r="EE616" s="16" t="str">
        <f t="shared" si="129"/>
        <v>Fiche info CDD_ Avenant 2</v>
      </c>
      <c r="EF616" s="16" t="str">
        <f t="shared" si="130"/>
        <v>H</v>
      </c>
      <c r="EG616" s="16">
        <f t="shared" si="131"/>
        <v>6</v>
      </c>
      <c r="EH616" s="16" t="str">
        <f t="shared" si="132"/>
        <v>Samedi</v>
      </c>
      <c r="EI616" s="16" t="str">
        <f t="shared" si="133"/>
        <v/>
      </c>
    </row>
    <row r="617" spans="1:139" x14ac:dyDescent="0.2">
      <c r="A617" s="16" t="str">
        <f t="shared" si="126"/>
        <v>Fiche info CDD_ Avenant 2H7</v>
      </c>
      <c r="B617" s="16" t="str">
        <f t="shared" si="127"/>
        <v>Fiche info CDD_ Avenant 2</v>
      </c>
      <c r="C617" s="27" t="s">
        <v>237</v>
      </c>
      <c r="D617" s="27">
        <v>7</v>
      </c>
      <c r="E617" s="16" t="s">
        <v>185</v>
      </c>
      <c r="F617" s="34" t="str">
        <f>+IF('Fiche info CDD_ Avenant 2'!$CJ$13=0,"",'Fiche info CDD_ Avenant 2'!$CJ$13)</f>
        <v/>
      </c>
      <c r="G617" s="16">
        <f t="shared" si="134"/>
        <v>0</v>
      </c>
      <c r="BX617" s="16" t="str">
        <f t="shared" si="135"/>
        <v>Fiche info CDD_ Avenant 2H7</v>
      </c>
      <c r="BY617" s="431">
        <f>'Fiche info CDD_ Avenant 2'!$CA$13</f>
        <v>0</v>
      </c>
      <c r="BZ617" s="431">
        <f>'Fiche info CDD_ Avenant 2'!$CB$13</f>
        <v>0</v>
      </c>
      <c r="CA617" s="431">
        <f>'Fiche info CDD_ Avenant 2'!$CC$13</f>
        <v>0</v>
      </c>
      <c r="CB617" s="431">
        <f>'Fiche info CDD_ Avenant 2'!$CD$13</f>
        <v>0</v>
      </c>
      <c r="CC617" s="431">
        <f>'Fiche info CDD_ Avenant 2'!$CE$13</f>
        <v>0</v>
      </c>
      <c r="CD617" s="431">
        <f>'Fiche info CDD_ Avenant 2'!$CF$13</f>
        <v>0</v>
      </c>
      <c r="CE617" s="431">
        <f>'Fiche info CDD_ Avenant 2'!$CG$13</f>
        <v>0</v>
      </c>
      <c r="CF617" s="431">
        <f>'Fiche info CDD_ Avenant 2'!$CH$13</f>
        <v>0</v>
      </c>
      <c r="ED617" s="16" t="str">
        <f t="shared" si="128"/>
        <v>Fiche info CDD_ Avenant 2H</v>
      </c>
      <c r="EE617" s="16" t="str">
        <f t="shared" si="129"/>
        <v>Fiche info CDD_ Avenant 2</v>
      </c>
      <c r="EF617" s="16" t="str">
        <f t="shared" si="130"/>
        <v>H</v>
      </c>
      <c r="EG617" s="16">
        <f t="shared" si="131"/>
        <v>7</v>
      </c>
      <c r="EH617" s="16" t="str">
        <f t="shared" si="132"/>
        <v>Dimanche</v>
      </c>
      <c r="EI617" s="16" t="str">
        <f t="shared" si="133"/>
        <v/>
      </c>
    </row>
    <row r="618" spans="1:139" x14ac:dyDescent="0.2">
      <c r="A618" s="16" t="str">
        <f t="shared" si="126"/>
        <v>Fiche info Avenant 6A1</v>
      </c>
      <c r="B618" s="16" t="str">
        <f>+$P$13</f>
        <v>Fiche info Avenant 6</v>
      </c>
      <c r="C618" s="27" t="s">
        <v>226</v>
      </c>
      <c r="D618" s="27">
        <v>1</v>
      </c>
      <c r="E618" s="16" t="s">
        <v>17</v>
      </c>
      <c r="F618" s="34" t="str">
        <f>IF('Fiche info Avenant 6'!$K$7=0,"",'Fiche info Avenant 6'!$K$7)</f>
        <v/>
      </c>
      <c r="G618" s="16">
        <f t="shared" si="134"/>
        <v>0</v>
      </c>
      <c r="BX618" s="16" t="str">
        <f t="shared" si="135"/>
        <v>Fiche info Avenant 6A1</v>
      </c>
      <c r="BY618" s="431">
        <f>'Fiche info Avenant 6'!$B$7</f>
        <v>0</v>
      </c>
      <c r="BZ618" s="431">
        <f>'Fiche info Avenant 6'!$C$7</f>
        <v>0</v>
      </c>
      <c r="CA618" s="431">
        <f>'Fiche info Avenant 6'!$D$7</f>
        <v>0</v>
      </c>
      <c r="CB618" s="431">
        <f>'Fiche info Avenant 6'!$E$7</f>
        <v>0</v>
      </c>
      <c r="CC618" s="431">
        <f>'Fiche info Avenant 6'!$F$7</f>
        <v>0</v>
      </c>
      <c r="CD618" s="431">
        <f>'Fiche info Avenant 6'!$G$7</f>
        <v>0</v>
      </c>
      <c r="CE618" s="431">
        <f>'Fiche info Avenant 6'!$H$7</f>
        <v>0</v>
      </c>
      <c r="CF618" s="431">
        <f>'Fiche info Avenant 6'!$I$7</f>
        <v>0</v>
      </c>
      <c r="ED618" s="16" t="str">
        <f t="shared" si="128"/>
        <v>Fiche info Avenant 6A</v>
      </c>
      <c r="EE618" s="16" t="str">
        <f t="shared" si="129"/>
        <v>Fiche info Avenant 6</v>
      </c>
      <c r="EF618" s="16" t="str">
        <f t="shared" si="130"/>
        <v>A</v>
      </c>
      <c r="EG618" s="16">
        <f t="shared" si="131"/>
        <v>1</v>
      </c>
      <c r="EH618" s="16" t="str">
        <f t="shared" si="132"/>
        <v>Lundi</v>
      </c>
      <c r="EI618" s="16" t="str">
        <f t="shared" si="133"/>
        <v/>
      </c>
    </row>
    <row r="619" spans="1:139" x14ac:dyDescent="0.2">
      <c r="A619" s="16" t="str">
        <f t="shared" ref="A619:A674" si="136">+B619&amp;C619&amp;D619</f>
        <v>Fiche info Avenant 6A2</v>
      </c>
      <c r="B619" s="16" t="str">
        <f t="shared" ref="B619:B673" si="137">+$P$13</f>
        <v>Fiche info Avenant 6</v>
      </c>
      <c r="C619" s="27" t="s">
        <v>226</v>
      </c>
      <c r="D619" s="27">
        <v>2</v>
      </c>
      <c r="E619" s="16" t="s">
        <v>18</v>
      </c>
      <c r="F619" s="34" t="str">
        <f>IF('Fiche info Avenant 6'!$K$8=0,"",'Fiche info Avenant 6'!$K$8)</f>
        <v/>
      </c>
      <c r="G619" s="16">
        <f t="shared" si="134"/>
        <v>0</v>
      </c>
      <c r="BX619" s="16" t="str">
        <f t="shared" si="135"/>
        <v>Fiche info Avenant 6A2</v>
      </c>
      <c r="BY619" s="431">
        <f>'Fiche info Avenant 6'!$B$8</f>
        <v>0</v>
      </c>
      <c r="BZ619" s="431">
        <f>'Fiche info Avenant 6'!$C$8</f>
        <v>0</v>
      </c>
      <c r="CA619" s="431">
        <f>'Fiche info Avenant 6'!$D$8</f>
        <v>0</v>
      </c>
      <c r="CB619" s="431">
        <f>'Fiche info Avenant 6'!$E$8</f>
        <v>0</v>
      </c>
      <c r="CC619" s="431">
        <f>'Fiche info Avenant 6'!$F$8</f>
        <v>0</v>
      </c>
      <c r="CD619" s="431">
        <f>'Fiche info Avenant 6'!$G$8</f>
        <v>0</v>
      </c>
      <c r="CE619" s="431">
        <f>'Fiche info Avenant 6'!$H$8</f>
        <v>0</v>
      </c>
      <c r="CF619" s="431">
        <f>'Fiche info Avenant 6'!$I$8</f>
        <v>0</v>
      </c>
      <c r="ED619" s="16" t="str">
        <f t="shared" si="128"/>
        <v>Fiche info Avenant 6A</v>
      </c>
      <c r="EE619" s="16" t="str">
        <f t="shared" si="129"/>
        <v>Fiche info Avenant 6</v>
      </c>
      <c r="EF619" s="16" t="str">
        <f t="shared" si="130"/>
        <v>A</v>
      </c>
      <c r="EG619" s="16">
        <f t="shared" si="131"/>
        <v>2</v>
      </c>
      <c r="EH619" s="16" t="str">
        <f t="shared" si="132"/>
        <v>Mardi</v>
      </c>
      <c r="EI619" s="16" t="str">
        <f t="shared" si="133"/>
        <v/>
      </c>
    </row>
    <row r="620" spans="1:139" x14ac:dyDescent="0.2">
      <c r="A620" s="16" t="str">
        <f t="shared" si="136"/>
        <v>Fiche info Avenant 6A3</v>
      </c>
      <c r="B620" s="16" t="str">
        <f t="shared" si="137"/>
        <v>Fiche info Avenant 6</v>
      </c>
      <c r="C620" s="27" t="s">
        <v>226</v>
      </c>
      <c r="D620" s="27">
        <v>3</v>
      </c>
      <c r="E620" s="16" t="s">
        <v>19</v>
      </c>
      <c r="F620" s="34" t="str">
        <f>IF('Fiche info Avenant 6'!$K$9=0,"",'Fiche info Avenant 6'!$K$9)</f>
        <v/>
      </c>
      <c r="G620" s="16">
        <f t="shared" si="134"/>
        <v>0</v>
      </c>
      <c r="BX620" s="16" t="str">
        <f t="shared" si="135"/>
        <v>Fiche info Avenant 6A3</v>
      </c>
      <c r="BY620" s="431">
        <f>'Fiche info Avenant 6'!$B$9</f>
        <v>0</v>
      </c>
      <c r="BZ620" s="431">
        <f>'Fiche info Avenant 6'!$C$9</f>
        <v>0</v>
      </c>
      <c r="CA620" s="431">
        <f>'Fiche info Avenant 6'!$D$9</f>
        <v>0</v>
      </c>
      <c r="CB620" s="431">
        <f>'Fiche info Avenant 6'!$E$9</f>
        <v>0</v>
      </c>
      <c r="CC620" s="431">
        <f>'Fiche info Avenant 6'!$F$9</f>
        <v>0</v>
      </c>
      <c r="CD620" s="431">
        <f>'Fiche info Avenant 6'!$G$9</f>
        <v>0</v>
      </c>
      <c r="CE620" s="431">
        <f>'Fiche info Avenant 6'!$H$9</f>
        <v>0</v>
      </c>
      <c r="CF620" s="431">
        <f>'Fiche info Avenant 6'!$I$9</f>
        <v>0</v>
      </c>
      <c r="ED620" s="16" t="str">
        <f t="shared" si="128"/>
        <v>Fiche info Avenant 6A</v>
      </c>
      <c r="EE620" s="16" t="str">
        <f t="shared" si="129"/>
        <v>Fiche info Avenant 6</v>
      </c>
      <c r="EF620" s="16" t="str">
        <f t="shared" si="130"/>
        <v>A</v>
      </c>
      <c r="EG620" s="16">
        <f t="shared" si="131"/>
        <v>3</v>
      </c>
      <c r="EH620" s="16" t="str">
        <f t="shared" si="132"/>
        <v>Mercredi</v>
      </c>
      <c r="EI620" s="16" t="str">
        <f t="shared" si="133"/>
        <v/>
      </c>
    </row>
    <row r="621" spans="1:139" x14ac:dyDescent="0.2">
      <c r="A621" s="16" t="str">
        <f t="shared" si="136"/>
        <v>Fiche info Avenant 6A4</v>
      </c>
      <c r="B621" s="16" t="str">
        <f t="shared" si="137"/>
        <v>Fiche info Avenant 6</v>
      </c>
      <c r="C621" s="27" t="s">
        <v>226</v>
      </c>
      <c r="D621" s="27">
        <v>4</v>
      </c>
      <c r="E621" s="16" t="s">
        <v>20</v>
      </c>
      <c r="F621" s="34" t="str">
        <f>IF('Fiche info Avenant 6'!$K$10=0,"",'Fiche info Avenant 6'!$K$10)</f>
        <v/>
      </c>
      <c r="G621" s="16">
        <f t="shared" si="134"/>
        <v>0</v>
      </c>
      <c r="BX621" s="16" t="str">
        <f t="shared" si="135"/>
        <v>Fiche info Avenant 6A4</v>
      </c>
      <c r="BY621" s="431">
        <f>'Fiche info Avenant 6'!$B$10</f>
        <v>0</v>
      </c>
      <c r="BZ621" s="431">
        <f>'Fiche info Avenant 6'!$C$10</f>
        <v>0</v>
      </c>
      <c r="CA621" s="431">
        <f>'Fiche info Avenant 6'!$D$10</f>
        <v>0</v>
      </c>
      <c r="CB621" s="431">
        <f>'Fiche info Avenant 6'!$E$10</f>
        <v>0</v>
      </c>
      <c r="CC621" s="431">
        <f>'Fiche info Avenant 6'!$F$10</f>
        <v>0</v>
      </c>
      <c r="CD621" s="431">
        <f>'Fiche info Avenant 6'!$G$10</f>
        <v>0</v>
      </c>
      <c r="CE621" s="431">
        <f>'Fiche info Avenant 6'!$H$10</f>
        <v>0</v>
      </c>
      <c r="CF621" s="431">
        <f>'Fiche info Avenant 6'!$I$10</f>
        <v>0</v>
      </c>
      <c r="ED621" s="16" t="str">
        <f t="shared" si="128"/>
        <v>Fiche info Avenant 6A</v>
      </c>
      <c r="EE621" s="16" t="str">
        <f t="shared" si="129"/>
        <v>Fiche info Avenant 6</v>
      </c>
      <c r="EF621" s="16" t="str">
        <f t="shared" si="130"/>
        <v>A</v>
      </c>
      <c r="EG621" s="16">
        <f t="shared" si="131"/>
        <v>4</v>
      </c>
      <c r="EH621" s="16" t="str">
        <f t="shared" si="132"/>
        <v>Jeudi</v>
      </c>
      <c r="EI621" s="16" t="str">
        <f t="shared" si="133"/>
        <v/>
      </c>
    </row>
    <row r="622" spans="1:139" x14ac:dyDescent="0.2">
      <c r="A622" s="16" t="str">
        <f t="shared" si="136"/>
        <v>Fiche info Avenant 6A5</v>
      </c>
      <c r="B622" s="16" t="str">
        <f t="shared" si="137"/>
        <v>Fiche info Avenant 6</v>
      </c>
      <c r="C622" s="27" t="s">
        <v>226</v>
      </c>
      <c r="D622" s="27">
        <v>5</v>
      </c>
      <c r="E622" s="16" t="s">
        <v>21</v>
      </c>
      <c r="F622" s="34" t="str">
        <f>IF('Fiche info Avenant 6'!$K$11=0,"",'Fiche info Avenant 6'!$K$11)</f>
        <v/>
      </c>
      <c r="G622" s="16">
        <f t="shared" si="134"/>
        <v>0</v>
      </c>
      <c r="BX622" s="16" t="str">
        <f t="shared" si="135"/>
        <v>Fiche info Avenant 6A5</v>
      </c>
      <c r="BY622" s="431">
        <f>'Fiche info Avenant 6'!$B$11</f>
        <v>0</v>
      </c>
      <c r="BZ622" s="431">
        <f>'Fiche info Avenant 6'!$C$11</f>
        <v>0</v>
      </c>
      <c r="CA622" s="431">
        <f>'Fiche info Avenant 6'!$D$11</f>
        <v>0</v>
      </c>
      <c r="CB622" s="431">
        <f>'Fiche info Avenant 6'!$E$11</f>
        <v>0</v>
      </c>
      <c r="CC622" s="431">
        <f>'Fiche info Avenant 6'!$F$11</f>
        <v>0</v>
      </c>
      <c r="CD622" s="431">
        <f>'Fiche info Avenant 6'!$G$11</f>
        <v>0</v>
      </c>
      <c r="CE622" s="431">
        <f>'Fiche info Avenant 6'!$H$11</f>
        <v>0</v>
      </c>
      <c r="CF622" s="431">
        <f>'Fiche info Avenant 6'!$I$11</f>
        <v>0</v>
      </c>
      <c r="ED622" s="16" t="str">
        <f t="shared" si="128"/>
        <v>Fiche info Avenant 6A</v>
      </c>
      <c r="EE622" s="16" t="str">
        <f t="shared" si="129"/>
        <v>Fiche info Avenant 6</v>
      </c>
      <c r="EF622" s="16" t="str">
        <f t="shared" si="130"/>
        <v>A</v>
      </c>
      <c r="EG622" s="16">
        <f t="shared" si="131"/>
        <v>5</v>
      </c>
      <c r="EH622" s="16" t="str">
        <f t="shared" si="132"/>
        <v>Vendredi</v>
      </c>
      <c r="EI622" s="16" t="str">
        <f t="shared" si="133"/>
        <v/>
      </c>
    </row>
    <row r="623" spans="1:139" x14ac:dyDescent="0.2">
      <c r="A623" s="16" t="str">
        <f t="shared" si="136"/>
        <v>Fiche info Avenant 6A6</v>
      </c>
      <c r="B623" s="16" t="str">
        <f t="shared" si="137"/>
        <v>Fiche info Avenant 6</v>
      </c>
      <c r="C623" s="27" t="s">
        <v>226</v>
      </c>
      <c r="D623" s="27">
        <v>6</v>
      </c>
      <c r="E623" s="16" t="s">
        <v>184</v>
      </c>
      <c r="F623" s="34" t="str">
        <f>IF('Fiche info Avenant 6'!$K$12=0,"",'Fiche info Avenant 6'!$K$12)</f>
        <v/>
      </c>
      <c r="G623" s="16">
        <f t="shared" si="134"/>
        <v>0</v>
      </c>
      <c r="BX623" s="16" t="str">
        <f t="shared" si="135"/>
        <v>Fiche info Avenant 6A6</v>
      </c>
      <c r="BY623" s="431">
        <f>'Fiche info Avenant 6'!$B$12</f>
        <v>0</v>
      </c>
      <c r="BZ623" s="431">
        <f>'Fiche info Avenant 6'!$C$12</f>
        <v>0</v>
      </c>
      <c r="CA623" s="431">
        <f>'Fiche info Avenant 6'!$D$12</f>
        <v>0</v>
      </c>
      <c r="CB623" s="431">
        <f>'Fiche info Avenant 6'!$E$12</f>
        <v>0</v>
      </c>
      <c r="CC623" s="431">
        <f>'Fiche info Avenant 6'!$F$12</f>
        <v>0</v>
      </c>
      <c r="CD623" s="431">
        <f>'Fiche info Avenant 6'!$G$12</f>
        <v>0</v>
      </c>
      <c r="CE623" s="431">
        <f>'Fiche info Avenant 6'!$H$12</f>
        <v>0</v>
      </c>
      <c r="CF623" s="431">
        <f>'Fiche info Avenant 6'!$I$12</f>
        <v>0</v>
      </c>
      <c r="ED623" s="16" t="str">
        <f t="shared" si="128"/>
        <v>Fiche info Avenant 6A</v>
      </c>
      <c r="EE623" s="16" t="str">
        <f t="shared" si="129"/>
        <v>Fiche info Avenant 6</v>
      </c>
      <c r="EF623" s="16" t="str">
        <f t="shared" si="130"/>
        <v>A</v>
      </c>
      <c r="EG623" s="16">
        <f t="shared" si="131"/>
        <v>6</v>
      </c>
      <c r="EH623" s="16" t="str">
        <f t="shared" si="132"/>
        <v>Samedi</v>
      </c>
      <c r="EI623" s="16" t="str">
        <f t="shared" si="133"/>
        <v/>
      </c>
    </row>
    <row r="624" spans="1:139" x14ac:dyDescent="0.2">
      <c r="A624" s="16" t="str">
        <f t="shared" si="136"/>
        <v>Fiche info Avenant 6A7</v>
      </c>
      <c r="B624" s="16" t="str">
        <f t="shared" si="137"/>
        <v>Fiche info Avenant 6</v>
      </c>
      <c r="C624" s="27" t="s">
        <v>226</v>
      </c>
      <c r="D624" s="27">
        <v>7</v>
      </c>
      <c r="E624" s="16" t="s">
        <v>185</v>
      </c>
      <c r="F624" s="34" t="str">
        <f>IF('Fiche info Avenant 6'!$K$13=0,"",'Fiche info Avenant 6'!$K$13)</f>
        <v/>
      </c>
      <c r="G624" s="16">
        <f t="shared" si="134"/>
        <v>0</v>
      </c>
      <c r="BX624" s="16" t="str">
        <f t="shared" si="135"/>
        <v>Fiche info Avenant 6A7</v>
      </c>
      <c r="BY624" s="431">
        <f>'Fiche info Avenant 6'!$B$13</f>
        <v>0</v>
      </c>
      <c r="BZ624" s="431">
        <f>'Fiche info Avenant 6'!$C$13</f>
        <v>0</v>
      </c>
      <c r="CA624" s="431">
        <f>'Fiche info Avenant 6'!$D$13</f>
        <v>0</v>
      </c>
      <c r="CB624" s="431">
        <f>'Fiche info Avenant 6'!$E$13</f>
        <v>0</v>
      </c>
      <c r="CC624" s="431">
        <f>'Fiche info Avenant 6'!$F$13</f>
        <v>0</v>
      </c>
      <c r="CD624" s="431">
        <f>'Fiche info Avenant 6'!$G$13</f>
        <v>0</v>
      </c>
      <c r="CE624" s="431">
        <f>'Fiche info Avenant 6'!$H$13</f>
        <v>0</v>
      </c>
      <c r="CF624" s="431">
        <f>'Fiche info Avenant 6'!$I$13</f>
        <v>0</v>
      </c>
      <c r="ED624" s="16" t="str">
        <f t="shared" si="128"/>
        <v>Fiche info Avenant 6A</v>
      </c>
      <c r="EE624" s="16" t="str">
        <f t="shared" si="129"/>
        <v>Fiche info Avenant 6</v>
      </c>
      <c r="EF624" s="16" t="str">
        <f t="shared" si="130"/>
        <v>A</v>
      </c>
      <c r="EG624" s="16">
        <f t="shared" si="131"/>
        <v>7</v>
      </c>
      <c r="EH624" s="16" t="str">
        <f t="shared" si="132"/>
        <v>Dimanche</v>
      </c>
      <c r="EI624" s="16" t="str">
        <f t="shared" si="133"/>
        <v/>
      </c>
    </row>
    <row r="625" spans="1:139" x14ac:dyDescent="0.2">
      <c r="A625" s="16" t="str">
        <f t="shared" si="136"/>
        <v>Fiche info Avenant 6B1</v>
      </c>
      <c r="B625" s="16" t="str">
        <f t="shared" si="137"/>
        <v>Fiche info Avenant 6</v>
      </c>
      <c r="C625" s="27" t="s">
        <v>227</v>
      </c>
      <c r="D625" s="27">
        <v>1</v>
      </c>
      <c r="E625" s="16" t="s">
        <v>17</v>
      </c>
      <c r="F625" s="34" t="str">
        <f>+IF('Fiche info Avenant 6'!$V$7=0,"",'Fiche info Avenant 6'!$V$7)</f>
        <v/>
      </c>
      <c r="G625" s="16">
        <f t="shared" si="134"/>
        <v>0</v>
      </c>
      <c r="BX625" s="16" t="str">
        <f t="shared" si="135"/>
        <v>Fiche info Avenant 6B1</v>
      </c>
      <c r="BY625" s="431">
        <f>'Fiche info Avenant 6'!$M$7</f>
        <v>0</v>
      </c>
      <c r="BZ625" s="431">
        <f>'Fiche info Avenant 6'!$N$7</f>
        <v>0</v>
      </c>
      <c r="CA625" s="431">
        <f>'Fiche info Avenant 6'!$O$7</f>
        <v>0</v>
      </c>
      <c r="CB625" s="431">
        <f>'Fiche info Avenant 6'!$P$7</f>
        <v>0</v>
      </c>
      <c r="CC625" s="431">
        <f>'Fiche info Avenant 6'!$Q$7</f>
        <v>0</v>
      </c>
      <c r="CD625" s="431">
        <f>'Fiche info Avenant 6'!$R$7</f>
        <v>0</v>
      </c>
      <c r="CE625" s="431">
        <f>'Fiche info Avenant 6'!$S$7</f>
        <v>0</v>
      </c>
      <c r="CF625" s="431">
        <f>'Fiche info Avenant 6'!$T$7</f>
        <v>0</v>
      </c>
      <c r="ED625" s="16" t="str">
        <f t="shared" si="128"/>
        <v>Fiche info Avenant 6B</v>
      </c>
      <c r="EE625" s="16" t="str">
        <f t="shared" si="129"/>
        <v>Fiche info Avenant 6</v>
      </c>
      <c r="EF625" s="16" t="str">
        <f t="shared" si="130"/>
        <v>B</v>
      </c>
      <c r="EG625" s="16">
        <f t="shared" si="131"/>
        <v>1</v>
      </c>
      <c r="EH625" s="16" t="str">
        <f t="shared" si="132"/>
        <v>Lundi</v>
      </c>
      <c r="EI625" s="16" t="str">
        <f t="shared" si="133"/>
        <v/>
      </c>
    </row>
    <row r="626" spans="1:139" x14ac:dyDescent="0.2">
      <c r="A626" s="16" t="str">
        <f t="shared" si="136"/>
        <v>Fiche info Avenant 6B2</v>
      </c>
      <c r="B626" s="16" t="str">
        <f t="shared" si="137"/>
        <v>Fiche info Avenant 6</v>
      </c>
      <c r="C626" s="27" t="s">
        <v>227</v>
      </c>
      <c r="D626" s="27">
        <v>2</v>
      </c>
      <c r="E626" s="16" t="s">
        <v>18</v>
      </c>
      <c r="F626" s="34" t="str">
        <f>+IF('Fiche info Avenant 6'!$V$8=0,"",'Fiche info Avenant 6'!$V$8)</f>
        <v/>
      </c>
      <c r="G626" s="16">
        <f t="shared" si="134"/>
        <v>0</v>
      </c>
      <c r="BX626" s="16" t="str">
        <f t="shared" si="135"/>
        <v>Fiche info Avenant 6B2</v>
      </c>
      <c r="BY626" s="431">
        <f>'Fiche info Avenant 6'!$M$8</f>
        <v>0</v>
      </c>
      <c r="BZ626" s="431">
        <f>'Fiche info Avenant 6'!$N$8</f>
        <v>0</v>
      </c>
      <c r="CA626" s="431">
        <f>'Fiche info Avenant 6'!$O$8</f>
        <v>0</v>
      </c>
      <c r="CB626" s="431">
        <f>'Fiche info Avenant 6'!$P$8</f>
        <v>0</v>
      </c>
      <c r="CC626" s="431">
        <f>'Fiche info Avenant 6'!$Q$8</f>
        <v>0</v>
      </c>
      <c r="CD626" s="431">
        <f>'Fiche info Avenant 6'!$R$8</f>
        <v>0</v>
      </c>
      <c r="CE626" s="431">
        <f>'Fiche info Avenant 6'!$S$8</f>
        <v>0</v>
      </c>
      <c r="CF626" s="431">
        <f>'Fiche info Avenant 6'!$T$8</f>
        <v>0</v>
      </c>
      <c r="ED626" s="16" t="str">
        <f t="shared" si="128"/>
        <v>Fiche info Avenant 6B</v>
      </c>
      <c r="EE626" s="16" t="str">
        <f t="shared" si="129"/>
        <v>Fiche info Avenant 6</v>
      </c>
      <c r="EF626" s="16" t="str">
        <f t="shared" si="130"/>
        <v>B</v>
      </c>
      <c r="EG626" s="16">
        <f t="shared" si="131"/>
        <v>2</v>
      </c>
      <c r="EH626" s="16" t="str">
        <f t="shared" si="132"/>
        <v>Mardi</v>
      </c>
      <c r="EI626" s="16" t="str">
        <f t="shared" si="133"/>
        <v/>
      </c>
    </row>
    <row r="627" spans="1:139" x14ac:dyDescent="0.2">
      <c r="A627" s="16" t="str">
        <f t="shared" si="136"/>
        <v>Fiche info Avenant 6B3</v>
      </c>
      <c r="B627" s="16" t="str">
        <f t="shared" si="137"/>
        <v>Fiche info Avenant 6</v>
      </c>
      <c r="C627" s="27" t="s">
        <v>227</v>
      </c>
      <c r="D627" s="27">
        <v>3</v>
      </c>
      <c r="E627" s="16" t="s">
        <v>19</v>
      </c>
      <c r="F627" s="34" t="str">
        <f>+IF('Fiche info Avenant 6'!$V$9=0,"",'Fiche info Avenant 6'!$V$9)</f>
        <v/>
      </c>
      <c r="G627" s="16">
        <f t="shared" si="134"/>
        <v>0</v>
      </c>
      <c r="BX627" s="16" t="str">
        <f t="shared" si="135"/>
        <v>Fiche info Avenant 6B3</v>
      </c>
      <c r="BY627" s="431">
        <f>'Fiche info Avenant 6'!$M$9</f>
        <v>0</v>
      </c>
      <c r="BZ627" s="431">
        <f>'Fiche info Avenant 6'!$N$9</f>
        <v>0</v>
      </c>
      <c r="CA627" s="431">
        <f>'Fiche info Avenant 6'!$O$9</f>
        <v>0</v>
      </c>
      <c r="CB627" s="431">
        <f>'Fiche info Avenant 6'!$P$9</f>
        <v>0</v>
      </c>
      <c r="CC627" s="431">
        <f>'Fiche info Avenant 6'!$Q$9</f>
        <v>0</v>
      </c>
      <c r="CD627" s="431">
        <f>'Fiche info Avenant 6'!$R$9</f>
        <v>0</v>
      </c>
      <c r="CE627" s="431">
        <f>'Fiche info Avenant 6'!$S$9</f>
        <v>0</v>
      </c>
      <c r="CF627" s="431">
        <f>'Fiche info Avenant 6'!$T$9</f>
        <v>0</v>
      </c>
      <c r="ED627" s="16" t="str">
        <f t="shared" ref="ED627:ED690" si="138">+EE627&amp;EF627</f>
        <v>Fiche info Avenant 6B</v>
      </c>
      <c r="EE627" s="16" t="str">
        <f t="shared" si="129"/>
        <v>Fiche info Avenant 6</v>
      </c>
      <c r="EF627" s="16" t="str">
        <f t="shared" si="130"/>
        <v>B</v>
      </c>
      <c r="EG627" s="16">
        <f t="shared" si="131"/>
        <v>3</v>
      </c>
      <c r="EH627" s="16" t="str">
        <f t="shared" si="132"/>
        <v>Mercredi</v>
      </c>
      <c r="EI627" s="16" t="str">
        <f t="shared" si="133"/>
        <v/>
      </c>
    </row>
    <row r="628" spans="1:139" x14ac:dyDescent="0.2">
      <c r="A628" s="16" t="str">
        <f t="shared" si="136"/>
        <v>Fiche info Avenant 6B4</v>
      </c>
      <c r="B628" s="16" t="str">
        <f t="shared" si="137"/>
        <v>Fiche info Avenant 6</v>
      </c>
      <c r="C628" s="27" t="s">
        <v>227</v>
      </c>
      <c r="D628" s="27">
        <v>4</v>
      </c>
      <c r="E628" s="16" t="s">
        <v>20</v>
      </c>
      <c r="F628" s="34" t="str">
        <f>+IF('Fiche info Avenant 6'!$V$10=0,"",'Fiche info Avenant 6'!$V$10)</f>
        <v/>
      </c>
      <c r="G628" s="16">
        <f t="shared" si="134"/>
        <v>0</v>
      </c>
      <c r="BX628" s="16" t="str">
        <f t="shared" si="135"/>
        <v>Fiche info Avenant 6B4</v>
      </c>
      <c r="BY628" s="431">
        <f>'Fiche info Avenant 6'!$M$10</f>
        <v>0</v>
      </c>
      <c r="BZ628" s="431">
        <f>'Fiche info Avenant 6'!$N$10</f>
        <v>0</v>
      </c>
      <c r="CA628" s="431">
        <f>'Fiche info Avenant 6'!$O$10</f>
        <v>0</v>
      </c>
      <c r="CB628" s="431">
        <f>'Fiche info Avenant 6'!$P$10</f>
        <v>0</v>
      </c>
      <c r="CC628" s="431">
        <f>'Fiche info Avenant 6'!$Q$10</f>
        <v>0</v>
      </c>
      <c r="CD628" s="431">
        <f>'Fiche info Avenant 6'!$R$10</f>
        <v>0</v>
      </c>
      <c r="CE628" s="431">
        <f>'Fiche info Avenant 6'!$S$10</f>
        <v>0</v>
      </c>
      <c r="CF628" s="431">
        <f>'Fiche info Avenant 6'!$T$10</f>
        <v>0</v>
      </c>
      <c r="ED628" s="16" t="str">
        <f t="shared" si="138"/>
        <v>Fiche info Avenant 6B</v>
      </c>
      <c r="EE628" s="16" t="str">
        <f t="shared" si="129"/>
        <v>Fiche info Avenant 6</v>
      </c>
      <c r="EF628" s="16" t="str">
        <f t="shared" si="130"/>
        <v>B</v>
      </c>
      <c r="EG628" s="16">
        <f t="shared" si="131"/>
        <v>4</v>
      </c>
      <c r="EH628" s="16" t="str">
        <f t="shared" si="132"/>
        <v>Jeudi</v>
      </c>
      <c r="EI628" s="16" t="str">
        <f t="shared" si="133"/>
        <v/>
      </c>
    </row>
    <row r="629" spans="1:139" x14ac:dyDescent="0.2">
      <c r="A629" s="16" t="str">
        <f t="shared" si="136"/>
        <v>Fiche info Avenant 6B5</v>
      </c>
      <c r="B629" s="16" t="str">
        <f t="shared" si="137"/>
        <v>Fiche info Avenant 6</v>
      </c>
      <c r="C629" s="27" t="s">
        <v>227</v>
      </c>
      <c r="D629" s="27">
        <v>5</v>
      </c>
      <c r="E629" s="16" t="s">
        <v>21</v>
      </c>
      <c r="F629" s="34" t="str">
        <f>+IF('Fiche info Avenant 6'!$V$11=0,"",'Fiche info Avenant 6'!$V$11)</f>
        <v/>
      </c>
      <c r="G629" s="16">
        <f t="shared" si="134"/>
        <v>0</v>
      </c>
      <c r="BX629" s="16" t="str">
        <f t="shared" si="135"/>
        <v>Fiche info Avenant 6B5</v>
      </c>
      <c r="BY629" s="431">
        <f>'Fiche info Avenant 6'!$M$11</f>
        <v>0</v>
      </c>
      <c r="BZ629" s="431">
        <f>'Fiche info Avenant 6'!$N$11</f>
        <v>0</v>
      </c>
      <c r="CA629" s="431">
        <f>'Fiche info Avenant 6'!$O$11</f>
        <v>0</v>
      </c>
      <c r="CB629" s="431">
        <f>'Fiche info Avenant 6'!$P$11</f>
        <v>0</v>
      </c>
      <c r="CC629" s="431">
        <f>'Fiche info Avenant 6'!$Q$11</f>
        <v>0</v>
      </c>
      <c r="CD629" s="431">
        <f>'Fiche info Avenant 6'!$R$11</f>
        <v>0</v>
      </c>
      <c r="CE629" s="431">
        <f>'Fiche info Avenant 6'!$S$11</f>
        <v>0</v>
      </c>
      <c r="CF629" s="431">
        <f>'Fiche info Avenant 6'!$T$11</f>
        <v>0</v>
      </c>
      <c r="ED629" s="16" t="str">
        <f t="shared" si="138"/>
        <v>Fiche info Avenant 6B</v>
      </c>
      <c r="EE629" s="16" t="str">
        <f t="shared" si="129"/>
        <v>Fiche info Avenant 6</v>
      </c>
      <c r="EF629" s="16" t="str">
        <f t="shared" si="130"/>
        <v>B</v>
      </c>
      <c r="EG629" s="16">
        <f t="shared" si="131"/>
        <v>5</v>
      </c>
      <c r="EH629" s="16" t="str">
        <f t="shared" si="132"/>
        <v>Vendredi</v>
      </c>
      <c r="EI629" s="16" t="str">
        <f t="shared" si="133"/>
        <v/>
      </c>
    </row>
    <row r="630" spans="1:139" x14ac:dyDescent="0.2">
      <c r="A630" s="16" t="str">
        <f t="shared" si="136"/>
        <v>Fiche info Avenant 6B6</v>
      </c>
      <c r="B630" s="16" t="str">
        <f t="shared" si="137"/>
        <v>Fiche info Avenant 6</v>
      </c>
      <c r="C630" s="27" t="s">
        <v>227</v>
      </c>
      <c r="D630" s="27">
        <v>6</v>
      </c>
      <c r="E630" s="16" t="s">
        <v>184</v>
      </c>
      <c r="F630" s="34" t="str">
        <f>+IF('Fiche info Avenant 6'!$V$12=0,"",'Fiche info Avenant 6'!$V$12)</f>
        <v/>
      </c>
      <c r="G630" s="16">
        <f t="shared" si="134"/>
        <v>0</v>
      </c>
      <c r="BX630" s="16" t="str">
        <f t="shared" si="135"/>
        <v>Fiche info Avenant 6B6</v>
      </c>
      <c r="BY630" s="431">
        <f>'Fiche info Avenant 6'!$M$12</f>
        <v>0</v>
      </c>
      <c r="BZ630" s="431">
        <f>'Fiche info Avenant 6'!$N$12</f>
        <v>0</v>
      </c>
      <c r="CA630" s="431">
        <f>'Fiche info Avenant 6'!$O$12</f>
        <v>0</v>
      </c>
      <c r="CB630" s="431">
        <f>'Fiche info Avenant 6'!$P$12</f>
        <v>0</v>
      </c>
      <c r="CC630" s="431">
        <f>'Fiche info Avenant 6'!$Q$12</f>
        <v>0</v>
      </c>
      <c r="CD630" s="431">
        <f>'Fiche info Avenant 6'!$R$12</f>
        <v>0</v>
      </c>
      <c r="CE630" s="431">
        <f>'Fiche info Avenant 6'!$S$12</f>
        <v>0</v>
      </c>
      <c r="CF630" s="431">
        <f>'Fiche info Avenant 6'!$T$12</f>
        <v>0</v>
      </c>
      <c r="ED630" s="16" t="str">
        <f t="shared" si="138"/>
        <v>Fiche info Avenant 6B</v>
      </c>
      <c r="EE630" s="16" t="str">
        <f t="shared" si="129"/>
        <v>Fiche info Avenant 6</v>
      </c>
      <c r="EF630" s="16" t="str">
        <f t="shared" si="130"/>
        <v>B</v>
      </c>
      <c r="EG630" s="16">
        <f t="shared" si="131"/>
        <v>6</v>
      </c>
      <c r="EH630" s="16" t="str">
        <f t="shared" si="132"/>
        <v>Samedi</v>
      </c>
      <c r="EI630" s="16" t="str">
        <f t="shared" si="133"/>
        <v/>
      </c>
    </row>
    <row r="631" spans="1:139" x14ac:dyDescent="0.2">
      <c r="A631" s="16" t="str">
        <f t="shared" si="136"/>
        <v>Fiche info Avenant 6B7</v>
      </c>
      <c r="B631" s="16" t="str">
        <f t="shared" si="137"/>
        <v>Fiche info Avenant 6</v>
      </c>
      <c r="C631" s="27" t="s">
        <v>227</v>
      </c>
      <c r="D631" s="27">
        <v>7</v>
      </c>
      <c r="E631" s="16" t="s">
        <v>185</v>
      </c>
      <c r="F631" s="34" t="str">
        <f>+IF('Fiche info Avenant 6'!$V$13=0,"",'Fiche info Avenant 6'!$V$13)</f>
        <v/>
      </c>
      <c r="G631" s="16">
        <f t="shared" si="134"/>
        <v>0</v>
      </c>
      <c r="BX631" s="16" t="str">
        <f t="shared" si="135"/>
        <v>Fiche info Avenant 6B7</v>
      </c>
      <c r="BY631" s="431">
        <f>'Fiche info Avenant 6'!$M$13</f>
        <v>0</v>
      </c>
      <c r="BZ631" s="431">
        <f>'Fiche info Avenant 6'!$N$13</f>
        <v>0</v>
      </c>
      <c r="CA631" s="431">
        <f>'Fiche info Avenant 6'!$O$13</f>
        <v>0</v>
      </c>
      <c r="CB631" s="431">
        <f>'Fiche info Avenant 6'!$P$13</f>
        <v>0</v>
      </c>
      <c r="CC631" s="431">
        <f>'Fiche info Avenant 6'!$Q$13</f>
        <v>0</v>
      </c>
      <c r="CD631" s="431">
        <f>'Fiche info Avenant 6'!$R$13</f>
        <v>0</v>
      </c>
      <c r="CE631" s="431">
        <f>'Fiche info Avenant 6'!$S$13</f>
        <v>0</v>
      </c>
      <c r="CF631" s="431">
        <f>'Fiche info Avenant 6'!$T$13</f>
        <v>0</v>
      </c>
      <c r="ED631" s="16" t="str">
        <f t="shared" si="138"/>
        <v>Fiche info Avenant 6B</v>
      </c>
      <c r="EE631" s="16" t="str">
        <f t="shared" si="129"/>
        <v>Fiche info Avenant 6</v>
      </c>
      <c r="EF631" s="16" t="str">
        <f t="shared" si="130"/>
        <v>B</v>
      </c>
      <c r="EG631" s="16">
        <f t="shared" si="131"/>
        <v>7</v>
      </c>
      <c r="EH631" s="16" t="str">
        <f t="shared" si="132"/>
        <v>Dimanche</v>
      </c>
      <c r="EI631" s="16" t="str">
        <f t="shared" si="133"/>
        <v/>
      </c>
    </row>
    <row r="632" spans="1:139" x14ac:dyDescent="0.2">
      <c r="A632" s="16" t="str">
        <f t="shared" si="136"/>
        <v>Fiche info Avenant 6C1</v>
      </c>
      <c r="B632" s="16" t="str">
        <f t="shared" si="137"/>
        <v>Fiche info Avenant 6</v>
      </c>
      <c r="C632" s="27" t="s">
        <v>232</v>
      </c>
      <c r="D632" s="27">
        <v>1</v>
      </c>
      <c r="E632" s="16" t="s">
        <v>17</v>
      </c>
      <c r="F632" s="34" t="str">
        <f>+IF('Fiche info Avenant 6'!$AG$7=0,"",'Fiche info Avenant 6'!$AG$7)</f>
        <v/>
      </c>
      <c r="G632" s="16">
        <f t="shared" si="134"/>
        <v>0</v>
      </c>
      <c r="BX632" s="16" t="str">
        <f t="shared" si="135"/>
        <v>Fiche info Avenant 6C1</v>
      </c>
      <c r="BY632" s="431">
        <f>'Fiche info Avenant 6'!$X$7</f>
        <v>0</v>
      </c>
      <c r="BZ632" s="431">
        <f>'Fiche info Avenant 6'!$Y$7</f>
        <v>0</v>
      </c>
      <c r="CA632" s="431">
        <f>'Fiche info Avenant 6'!$Z$7</f>
        <v>0</v>
      </c>
      <c r="CB632" s="431">
        <f>'Fiche info Avenant 6'!$AA$7</f>
        <v>0</v>
      </c>
      <c r="CC632" s="431">
        <f>'Fiche info Avenant 6'!$AB$7</f>
        <v>0</v>
      </c>
      <c r="CD632" s="431">
        <f>'Fiche info Avenant 6'!$AC$7</f>
        <v>0</v>
      </c>
      <c r="CE632" s="431">
        <f>'Fiche info Avenant 6'!$AD$7</f>
        <v>0</v>
      </c>
      <c r="CF632" s="431">
        <f>'Fiche info Avenant 6'!$AE$7</f>
        <v>0</v>
      </c>
      <c r="ED632" s="16" t="str">
        <f t="shared" si="138"/>
        <v>Fiche info Avenant 6C</v>
      </c>
      <c r="EE632" s="16" t="str">
        <f t="shared" si="129"/>
        <v>Fiche info Avenant 6</v>
      </c>
      <c r="EF632" s="16" t="str">
        <f t="shared" si="130"/>
        <v>C</v>
      </c>
      <c r="EG632" s="16">
        <f t="shared" si="131"/>
        <v>1</v>
      </c>
      <c r="EH632" s="16" t="str">
        <f t="shared" si="132"/>
        <v>Lundi</v>
      </c>
      <c r="EI632" s="16" t="str">
        <f t="shared" si="133"/>
        <v/>
      </c>
    </row>
    <row r="633" spans="1:139" x14ac:dyDescent="0.2">
      <c r="A633" s="16" t="str">
        <f t="shared" si="136"/>
        <v>Fiche info Avenant 6C2</v>
      </c>
      <c r="B633" s="16" t="str">
        <f t="shared" si="137"/>
        <v>Fiche info Avenant 6</v>
      </c>
      <c r="C633" s="27" t="s">
        <v>232</v>
      </c>
      <c r="D633" s="27">
        <v>2</v>
      </c>
      <c r="E633" s="16" t="s">
        <v>18</v>
      </c>
      <c r="F633" s="34" t="str">
        <f>+IF('Fiche info Avenant 6'!$AG$8=0,"",'Fiche info Avenant 6'!$AG$8)</f>
        <v/>
      </c>
      <c r="G633" s="16">
        <f t="shared" si="134"/>
        <v>0</v>
      </c>
      <c r="BX633" s="16" t="str">
        <f t="shared" si="135"/>
        <v>Fiche info Avenant 6C2</v>
      </c>
      <c r="BY633" s="431">
        <f>'Fiche info Avenant 6'!$X$8</f>
        <v>0</v>
      </c>
      <c r="BZ633" s="431">
        <f>'Fiche info Avenant 6'!$Y$8</f>
        <v>0</v>
      </c>
      <c r="CA633" s="431">
        <f>'Fiche info Avenant 6'!$Z$8</f>
        <v>0</v>
      </c>
      <c r="CB633" s="431">
        <f>'Fiche info Avenant 6'!$AA$8</f>
        <v>0</v>
      </c>
      <c r="CC633" s="431">
        <f>'Fiche info Avenant 6'!$AB$8</f>
        <v>0</v>
      </c>
      <c r="CD633" s="431">
        <f>'Fiche info Avenant 6'!$AC$8</f>
        <v>0</v>
      </c>
      <c r="CE633" s="431">
        <f>'Fiche info Avenant 6'!$AD$8</f>
        <v>0</v>
      </c>
      <c r="CF633" s="431">
        <f>'Fiche info Avenant 6'!$AE$8</f>
        <v>0</v>
      </c>
      <c r="ED633" s="16" t="str">
        <f t="shared" si="138"/>
        <v>Fiche info Avenant 6C</v>
      </c>
      <c r="EE633" s="16" t="str">
        <f t="shared" si="129"/>
        <v>Fiche info Avenant 6</v>
      </c>
      <c r="EF633" s="16" t="str">
        <f t="shared" si="130"/>
        <v>C</v>
      </c>
      <c r="EG633" s="16">
        <f t="shared" si="131"/>
        <v>2</v>
      </c>
      <c r="EH633" s="16" t="str">
        <f t="shared" si="132"/>
        <v>Mardi</v>
      </c>
      <c r="EI633" s="16" t="str">
        <f t="shared" si="133"/>
        <v/>
      </c>
    </row>
    <row r="634" spans="1:139" x14ac:dyDescent="0.2">
      <c r="A634" s="16" t="str">
        <f t="shared" si="136"/>
        <v>Fiche info Avenant 6C3</v>
      </c>
      <c r="B634" s="16" t="str">
        <f t="shared" si="137"/>
        <v>Fiche info Avenant 6</v>
      </c>
      <c r="C634" s="27" t="s">
        <v>232</v>
      </c>
      <c r="D634" s="27">
        <v>3</v>
      </c>
      <c r="E634" s="16" t="s">
        <v>19</v>
      </c>
      <c r="F634" s="34" t="str">
        <f>+IF('Fiche info Avenant 6'!$AG$9=0,"",'Fiche info Avenant 6'!$AG$9)</f>
        <v/>
      </c>
      <c r="G634" s="16">
        <f t="shared" si="134"/>
        <v>0</v>
      </c>
      <c r="BX634" s="16" t="str">
        <f t="shared" si="135"/>
        <v>Fiche info Avenant 6C3</v>
      </c>
      <c r="BY634" s="431">
        <f>'Fiche info Avenant 6'!$X$9</f>
        <v>0</v>
      </c>
      <c r="BZ634" s="431">
        <f>'Fiche info Avenant 6'!$Y$9</f>
        <v>0</v>
      </c>
      <c r="CA634" s="431">
        <f>'Fiche info Avenant 6'!$Z$9</f>
        <v>0</v>
      </c>
      <c r="CB634" s="431">
        <f>'Fiche info Avenant 6'!$AA$9</f>
        <v>0</v>
      </c>
      <c r="CC634" s="431">
        <f>'Fiche info Avenant 6'!$AB$9</f>
        <v>0</v>
      </c>
      <c r="CD634" s="431">
        <f>'Fiche info Avenant 6'!$AC$9</f>
        <v>0</v>
      </c>
      <c r="CE634" s="431">
        <f>'Fiche info Avenant 6'!$AD$9</f>
        <v>0</v>
      </c>
      <c r="CF634" s="431">
        <f>'Fiche info Avenant 6'!$AE$9</f>
        <v>0</v>
      </c>
      <c r="ED634" s="16" t="str">
        <f t="shared" si="138"/>
        <v>Fiche info Avenant 6C</v>
      </c>
      <c r="EE634" s="16" t="str">
        <f t="shared" si="129"/>
        <v>Fiche info Avenant 6</v>
      </c>
      <c r="EF634" s="16" t="str">
        <f t="shared" si="130"/>
        <v>C</v>
      </c>
      <c r="EG634" s="16">
        <f t="shared" si="131"/>
        <v>3</v>
      </c>
      <c r="EH634" s="16" t="str">
        <f t="shared" si="132"/>
        <v>Mercredi</v>
      </c>
      <c r="EI634" s="16" t="str">
        <f t="shared" si="133"/>
        <v/>
      </c>
    </row>
    <row r="635" spans="1:139" x14ac:dyDescent="0.2">
      <c r="A635" s="16" t="str">
        <f t="shared" si="136"/>
        <v>Fiche info Avenant 6C4</v>
      </c>
      <c r="B635" s="16" t="str">
        <f t="shared" si="137"/>
        <v>Fiche info Avenant 6</v>
      </c>
      <c r="C635" s="27" t="s">
        <v>232</v>
      </c>
      <c r="D635" s="27">
        <v>4</v>
      </c>
      <c r="E635" s="16" t="s">
        <v>20</v>
      </c>
      <c r="F635" s="34" t="str">
        <f>+IF('Fiche info Avenant 6'!$AG$10=0,"",'Fiche info Avenant 6'!$AG$10)</f>
        <v/>
      </c>
      <c r="G635" s="16">
        <f t="shared" si="134"/>
        <v>0</v>
      </c>
      <c r="BX635" s="16" t="str">
        <f t="shared" si="135"/>
        <v>Fiche info Avenant 6C4</v>
      </c>
      <c r="BY635" s="431">
        <f>'Fiche info Avenant 6'!$X$10</f>
        <v>0</v>
      </c>
      <c r="BZ635" s="431">
        <f>'Fiche info Avenant 6'!$Y$10</f>
        <v>0</v>
      </c>
      <c r="CA635" s="431">
        <f>'Fiche info Avenant 6'!$Z$10</f>
        <v>0</v>
      </c>
      <c r="CB635" s="431">
        <f>'Fiche info Avenant 6'!$AA$10</f>
        <v>0</v>
      </c>
      <c r="CC635" s="431">
        <f>'Fiche info Avenant 6'!$AB$10</f>
        <v>0</v>
      </c>
      <c r="CD635" s="431">
        <f>'Fiche info Avenant 6'!$AC$10</f>
        <v>0</v>
      </c>
      <c r="CE635" s="431">
        <f>'Fiche info Avenant 6'!$AD$10</f>
        <v>0</v>
      </c>
      <c r="CF635" s="431">
        <f>'Fiche info Avenant 6'!$AE$10</f>
        <v>0</v>
      </c>
      <c r="ED635" s="16" t="str">
        <f t="shared" si="138"/>
        <v>Fiche info Avenant 6C</v>
      </c>
      <c r="EE635" s="16" t="str">
        <f t="shared" si="129"/>
        <v>Fiche info Avenant 6</v>
      </c>
      <c r="EF635" s="16" t="str">
        <f t="shared" si="130"/>
        <v>C</v>
      </c>
      <c r="EG635" s="16">
        <f t="shared" si="131"/>
        <v>4</v>
      </c>
      <c r="EH635" s="16" t="str">
        <f t="shared" si="132"/>
        <v>Jeudi</v>
      </c>
      <c r="EI635" s="16" t="str">
        <f t="shared" si="133"/>
        <v/>
      </c>
    </row>
    <row r="636" spans="1:139" x14ac:dyDescent="0.2">
      <c r="A636" s="16" t="str">
        <f t="shared" si="136"/>
        <v>Fiche info Avenant 6C5</v>
      </c>
      <c r="B636" s="16" t="str">
        <f t="shared" si="137"/>
        <v>Fiche info Avenant 6</v>
      </c>
      <c r="C636" s="27" t="s">
        <v>232</v>
      </c>
      <c r="D636" s="27">
        <v>5</v>
      </c>
      <c r="E636" s="16" t="s">
        <v>21</v>
      </c>
      <c r="F636" s="34" t="str">
        <f>+IF('Fiche info Avenant 6'!$AG$11=0,"",'Fiche info Avenant 6'!$AG$11)</f>
        <v/>
      </c>
      <c r="G636" s="16">
        <f t="shared" si="134"/>
        <v>0</v>
      </c>
      <c r="BX636" s="16" t="str">
        <f t="shared" si="135"/>
        <v>Fiche info Avenant 6C5</v>
      </c>
      <c r="BY636" s="431">
        <f>'Fiche info Avenant 6'!$X$11</f>
        <v>0</v>
      </c>
      <c r="BZ636" s="431">
        <f>'Fiche info Avenant 6'!$Y$11</f>
        <v>0</v>
      </c>
      <c r="CA636" s="431">
        <f>'Fiche info Avenant 6'!$Z$11</f>
        <v>0</v>
      </c>
      <c r="CB636" s="431">
        <f>'Fiche info Avenant 6'!$AA$11</f>
        <v>0</v>
      </c>
      <c r="CC636" s="431">
        <f>'Fiche info Avenant 6'!$AB$11</f>
        <v>0</v>
      </c>
      <c r="CD636" s="431">
        <f>'Fiche info Avenant 6'!$AC$11</f>
        <v>0</v>
      </c>
      <c r="CE636" s="431">
        <f>'Fiche info Avenant 6'!$AD$11</f>
        <v>0</v>
      </c>
      <c r="CF636" s="431">
        <f>'Fiche info Avenant 6'!$AE$11</f>
        <v>0</v>
      </c>
      <c r="ED636" s="16" t="str">
        <f t="shared" si="138"/>
        <v>Fiche info Avenant 6C</v>
      </c>
      <c r="EE636" s="16" t="str">
        <f t="shared" si="129"/>
        <v>Fiche info Avenant 6</v>
      </c>
      <c r="EF636" s="16" t="str">
        <f t="shared" si="130"/>
        <v>C</v>
      </c>
      <c r="EG636" s="16">
        <f t="shared" si="131"/>
        <v>5</v>
      </c>
      <c r="EH636" s="16" t="str">
        <f t="shared" si="132"/>
        <v>Vendredi</v>
      </c>
      <c r="EI636" s="16" t="str">
        <f t="shared" si="133"/>
        <v/>
      </c>
    </row>
    <row r="637" spans="1:139" x14ac:dyDescent="0.2">
      <c r="A637" s="16" t="str">
        <f t="shared" si="136"/>
        <v>Fiche info Avenant 6C6</v>
      </c>
      <c r="B637" s="16" t="str">
        <f t="shared" si="137"/>
        <v>Fiche info Avenant 6</v>
      </c>
      <c r="C637" s="27" t="s">
        <v>232</v>
      </c>
      <c r="D637" s="27">
        <v>6</v>
      </c>
      <c r="E637" s="16" t="s">
        <v>184</v>
      </c>
      <c r="F637" s="34" t="str">
        <f>+IF('Fiche info Avenant 6'!$AG$12=0,"",'Fiche info Avenant 6'!$AG$12)</f>
        <v/>
      </c>
      <c r="G637" s="16">
        <f t="shared" si="134"/>
        <v>0</v>
      </c>
      <c r="BX637" s="16" t="str">
        <f t="shared" si="135"/>
        <v>Fiche info Avenant 6C6</v>
      </c>
      <c r="BY637" s="431">
        <f>'Fiche info Avenant 6'!$X$12</f>
        <v>0</v>
      </c>
      <c r="BZ637" s="431">
        <f>'Fiche info Avenant 6'!$Y$12</f>
        <v>0</v>
      </c>
      <c r="CA637" s="431">
        <f>'Fiche info Avenant 6'!$Z$12</f>
        <v>0</v>
      </c>
      <c r="CB637" s="431">
        <f>'Fiche info Avenant 6'!$AA$12</f>
        <v>0</v>
      </c>
      <c r="CC637" s="431">
        <f>'Fiche info Avenant 6'!$AB$12</f>
        <v>0</v>
      </c>
      <c r="CD637" s="431">
        <f>'Fiche info Avenant 6'!$AC$12</f>
        <v>0</v>
      </c>
      <c r="CE637" s="431">
        <f>'Fiche info Avenant 6'!$AD$12</f>
        <v>0</v>
      </c>
      <c r="CF637" s="431">
        <f>'Fiche info Avenant 6'!$AE$12</f>
        <v>0</v>
      </c>
      <c r="ED637" s="16" t="str">
        <f t="shared" si="138"/>
        <v>Fiche info Avenant 6C</v>
      </c>
      <c r="EE637" s="16" t="str">
        <f t="shared" si="129"/>
        <v>Fiche info Avenant 6</v>
      </c>
      <c r="EF637" s="16" t="str">
        <f t="shared" si="130"/>
        <v>C</v>
      </c>
      <c r="EG637" s="16">
        <f t="shared" si="131"/>
        <v>6</v>
      </c>
      <c r="EH637" s="16" t="str">
        <f t="shared" si="132"/>
        <v>Samedi</v>
      </c>
      <c r="EI637" s="16" t="str">
        <f t="shared" si="133"/>
        <v/>
      </c>
    </row>
    <row r="638" spans="1:139" x14ac:dyDescent="0.2">
      <c r="A638" s="16" t="str">
        <f t="shared" si="136"/>
        <v>Fiche info Avenant 6C7</v>
      </c>
      <c r="B638" s="16" t="str">
        <f t="shared" si="137"/>
        <v>Fiche info Avenant 6</v>
      </c>
      <c r="C638" s="27" t="s">
        <v>232</v>
      </c>
      <c r="D638" s="27">
        <v>7</v>
      </c>
      <c r="E638" s="16" t="s">
        <v>185</v>
      </c>
      <c r="F638" s="34" t="str">
        <f>+IF('Fiche info Avenant 6'!$AG$13=0,"",'Fiche info Avenant 6'!$AG$13)</f>
        <v/>
      </c>
      <c r="G638" s="16">
        <f t="shared" si="134"/>
        <v>0</v>
      </c>
      <c r="BX638" s="16" t="str">
        <f t="shared" si="135"/>
        <v>Fiche info Avenant 6C7</v>
      </c>
      <c r="BY638" s="431">
        <f>'Fiche info Avenant 6'!$X$13</f>
        <v>0</v>
      </c>
      <c r="BZ638" s="431">
        <f>'Fiche info Avenant 6'!$Y$13</f>
        <v>0</v>
      </c>
      <c r="CA638" s="431">
        <f>'Fiche info Avenant 6'!$Z$13</f>
        <v>0</v>
      </c>
      <c r="CB638" s="431">
        <f>'Fiche info Avenant 6'!$AA$13</f>
        <v>0</v>
      </c>
      <c r="CC638" s="431">
        <f>'Fiche info Avenant 6'!$AB$13</f>
        <v>0</v>
      </c>
      <c r="CD638" s="431">
        <f>'Fiche info Avenant 6'!$AC$13</f>
        <v>0</v>
      </c>
      <c r="CE638" s="431">
        <f>'Fiche info Avenant 6'!$AD$13</f>
        <v>0</v>
      </c>
      <c r="CF638" s="431">
        <f>'Fiche info Avenant 6'!$AE$13</f>
        <v>0</v>
      </c>
      <c r="ED638" s="16" t="str">
        <f t="shared" si="138"/>
        <v>Fiche info Avenant 6C</v>
      </c>
      <c r="EE638" s="16" t="str">
        <f t="shared" si="129"/>
        <v>Fiche info Avenant 6</v>
      </c>
      <c r="EF638" s="16" t="str">
        <f t="shared" si="130"/>
        <v>C</v>
      </c>
      <c r="EG638" s="16">
        <f t="shared" si="131"/>
        <v>7</v>
      </c>
      <c r="EH638" s="16" t="str">
        <f t="shared" si="132"/>
        <v>Dimanche</v>
      </c>
      <c r="EI638" s="16" t="str">
        <f t="shared" si="133"/>
        <v/>
      </c>
    </row>
    <row r="639" spans="1:139" x14ac:dyDescent="0.2">
      <c r="A639" s="16" t="str">
        <f t="shared" si="136"/>
        <v>Fiche info Avenant 6D1</v>
      </c>
      <c r="B639" s="16" t="str">
        <f t="shared" si="137"/>
        <v>Fiche info Avenant 6</v>
      </c>
      <c r="C639" s="27" t="s">
        <v>233</v>
      </c>
      <c r="D639" s="27">
        <v>1</v>
      </c>
      <c r="E639" s="16" t="s">
        <v>17</v>
      </c>
      <c r="F639" s="34" t="str">
        <f>+IF('Fiche info Avenant 6'!$AR$7=0,"",'Fiche info Avenant 6'!$AR$7)</f>
        <v/>
      </c>
      <c r="G639" s="16">
        <f t="shared" si="134"/>
        <v>0</v>
      </c>
      <c r="BX639" s="16" t="str">
        <f t="shared" si="135"/>
        <v>Fiche info Avenant 6D1</v>
      </c>
      <c r="BY639" s="431">
        <f>'Fiche info Avenant 6'!$AI$7</f>
        <v>0</v>
      </c>
      <c r="BZ639" s="431">
        <f>'Fiche info Avenant 6'!$AJ$7</f>
        <v>0</v>
      </c>
      <c r="CA639" s="431">
        <f>'Fiche info Avenant 6'!$AK$7</f>
        <v>0</v>
      </c>
      <c r="CB639" s="431">
        <f>'Fiche info Avenant 6'!$AL$7</f>
        <v>0</v>
      </c>
      <c r="CC639" s="431">
        <f>'Fiche info Avenant 6'!$AM$7</f>
        <v>0</v>
      </c>
      <c r="CD639" s="431">
        <f>'Fiche info Avenant 6'!$AN$7</f>
        <v>0</v>
      </c>
      <c r="CE639" s="431">
        <f>'Fiche info Avenant 6'!$AO$7</f>
        <v>0</v>
      </c>
      <c r="CF639" s="431">
        <f>'Fiche info Avenant 6'!$AP$7</f>
        <v>0</v>
      </c>
      <c r="ED639" s="16" t="str">
        <f t="shared" si="138"/>
        <v>Fiche info Avenant 6D</v>
      </c>
      <c r="EE639" s="16" t="str">
        <f t="shared" si="129"/>
        <v>Fiche info Avenant 6</v>
      </c>
      <c r="EF639" s="16" t="str">
        <f t="shared" si="130"/>
        <v>D</v>
      </c>
      <c r="EG639" s="16">
        <f t="shared" si="131"/>
        <v>1</v>
      </c>
      <c r="EH639" s="16" t="str">
        <f t="shared" si="132"/>
        <v>Lundi</v>
      </c>
      <c r="EI639" s="16" t="str">
        <f t="shared" si="133"/>
        <v/>
      </c>
    </row>
    <row r="640" spans="1:139" x14ac:dyDescent="0.2">
      <c r="A640" s="16" t="str">
        <f t="shared" si="136"/>
        <v>Fiche info Avenant 6D2</v>
      </c>
      <c r="B640" s="16" t="str">
        <f t="shared" si="137"/>
        <v>Fiche info Avenant 6</v>
      </c>
      <c r="C640" s="27" t="s">
        <v>233</v>
      </c>
      <c r="D640" s="27">
        <v>2</v>
      </c>
      <c r="E640" s="16" t="s">
        <v>18</v>
      </c>
      <c r="F640" s="34" t="str">
        <f>IF(+'Fiche info Avenant 6'!$AR$8=0,"",'Fiche info Avenant 6'!$AR$8)</f>
        <v/>
      </c>
      <c r="G640" s="16">
        <f t="shared" si="134"/>
        <v>0</v>
      </c>
      <c r="BX640" s="16" t="str">
        <f t="shared" si="135"/>
        <v>Fiche info Avenant 6D2</v>
      </c>
      <c r="BY640" s="431">
        <f>'Fiche info Avenant 6'!$AI$8</f>
        <v>0</v>
      </c>
      <c r="BZ640" s="431">
        <f>'Fiche info Avenant 6'!$AJ$8</f>
        <v>0</v>
      </c>
      <c r="CA640" s="431">
        <f>'Fiche info Avenant 6'!$AK$8</f>
        <v>0</v>
      </c>
      <c r="CB640" s="431">
        <f>'Fiche info Avenant 6'!$AL$8</f>
        <v>0</v>
      </c>
      <c r="CC640" s="431">
        <f>'Fiche info Avenant 6'!$AM$8</f>
        <v>0</v>
      </c>
      <c r="CD640" s="431">
        <f>'Fiche info Avenant 6'!$AN$8</f>
        <v>0</v>
      </c>
      <c r="CE640" s="431">
        <f>'Fiche info Avenant 6'!$AO$8</f>
        <v>0</v>
      </c>
      <c r="CF640" s="431">
        <f>'Fiche info Avenant 6'!$AP$8</f>
        <v>0</v>
      </c>
      <c r="ED640" s="16" t="str">
        <f t="shared" si="138"/>
        <v>Fiche info Avenant 6D</v>
      </c>
      <c r="EE640" s="16" t="str">
        <f t="shared" si="129"/>
        <v>Fiche info Avenant 6</v>
      </c>
      <c r="EF640" s="16" t="str">
        <f t="shared" si="130"/>
        <v>D</v>
      </c>
      <c r="EG640" s="16">
        <f t="shared" si="131"/>
        <v>2</v>
      </c>
      <c r="EH640" s="16" t="str">
        <f t="shared" si="132"/>
        <v>Mardi</v>
      </c>
      <c r="EI640" s="16" t="str">
        <f t="shared" si="133"/>
        <v/>
      </c>
    </row>
    <row r="641" spans="1:139" x14ac:dyDescent="0.2">
      <c r="A641" s="16" t="str">
        <f t="shared" si="136"/>
        <v>Fiche info Avenant 6D3</v>
      </c>
      <c r="B641" s="16" t="str">
        <f t="shared" si="137"/>
        <v>Fiche info Avenant 6</v>
      </c>
      <c r="C641" s="27" t="s">
        <v>233</v>
      </c>
      <c r="D641" s="27">
        <v>3</v>
      </c>
      <c r="E641" s="16" t="s">
        <v>19</v>
      </c>
      <c r="F641" s="34" t="str">
        <f>IF(+'Fiche info Avenant 6'!$AR$9=0,"",'Fiche info Avenant 6'!$AR$9)</f>
        <v/>
      </c>
      <c r="G641" s="16">
        <f t="shared" si="134"/>
        <v>0</v>
      </c>
      <c r="BX641" s="16" t="str">
        <f t="shared" si="135"/>
        <v>Fiche info Avenant 6D3</v>
      </c>
      <c r="BY641" s="431">
        <f>'Fiche info Avenant 6'!$AI$9</f>
        <v>0</v>
      </c>
      <c r="BZ641" s="431">
        <f>'Fiche info Avenant 6'!$AJ$9</f>
        <v>0</v>
      </c>
      <c r="CA641" s="431">
        <f>'Fiche info Avenant 6'!$AK$9</f>
        <v>0</v>
      </c>
      <c r="CB641" s="431">
        <f>'Fiche info Avenant 6'!$AL$9</f>
        <v>0</v>
      </c>
      <c r="CC641" s="431">
        <f>'Fiche info Avenant 6'!$AM$9</f>
        <v>0</v>
      </c>
      <c r="CD641" s="431">
        <f>'Fiche info Avenant 6'!$AN$9</f>
        <v>0</v>
      </c>
      <c r="CE641" s="431">
        <f>'Fiche info Avenant 6'!$AO$9</f>
        <v>0</v>
      </c>
      <c r="CF641" s="431">
        <f>'Fiche info Avenant 6'!$AP$9</f>
        <v>0</v>
      </c>
      <c r="ED641" s="16" t="str">
        <f t="shared" si="138"/>
        <v>Fiche info Avenant 6D</v>
      </c>
      <c r="EE641" s="16" t="str">
        <f t="shared" ref="EE641:EE704" si="139">B641</f>
        <v>Fiche info Avenant 6</v>
      </c>
      <c r="EF641" s="16" t="str">
        <f t="shared" ref="EF641:EF704" si="140">C641</f>
        <v>D</v>
      </c>
      <c r="EG641" s="16">
        <f t="shared" ref="EG641:EG704" si="141">D641</f>
        <v>3</v>
      </c>
      <c r="EH641" s="16" t="str">
        <f t="shared" ref="EH641:EH704" si="142">E641</f>
        <v>Mercredi</v>
      </c>
      <c r="EI641" s="16" t="str">
        <f t="shared" ref="EI641:EI704" si="143">F641</f>
        <v/>
      </c>
    </row>
    <row r="642" spans="1:139" x14ac:dyDescent="0.2">
      <c r="A642" s="16" t="str">
        <f t="shared" si="136"/>
        <v>Fiche info Avenant 6D4</v>
      </c>
      <c r="B642" s="16" t="str">
        <f t="shared" si="137"/>
        <v>Fiche info Avenant 6</v>
      </c>
      <c r="C642" s="27" t="s">
        <v>233</v>
      </c>
      <c r="D642" s="27">
        <v>4</v>
      </c>
      <c r="E642" s="16" t="s">
        <v>20</v>
      </c>
      <c r="F642" s="34" t="str">
        <f>IF(+'Fiche info Avenant 6'!$AR$10=0,"",'Fiche info Avenant 6'!$AR$10)</f>
        <v/>
      </c>
      <c r="G642" s="16">
        <f t="shared" ref="G642:G705" si="144">+IF(OR(F642=0,F642=""),0,1)</f>
        <v>0</v>
      </c>
      <c r="BX642" s="16" t="str">
        <f t="shared" ref="BX642:BX705" si="145">A642</f>
        <v>Fiche info Avenant 6D4</v>
      </c>
      <c r="BY642" s="431">
        <f>'Fiche info Avenant 6'!$AI$10</f>
        <v>0</v>
      </c>
      <c r="BZ642" s="431">
        <f>'Fiche info Avenant 6'!$AJ$10</f>
        <v>0</v>
      </c>
      <c r="CA642" s="431">
        <f>'Fiche info Avenant 6'!$AK$10</f>
        <v>0</v>
      </c>
      <c r="CB642" s="431">
        <f>'Fiche info Avenant 6'!$AL$10</f>
        <v>0</v>
      </c>
      <c r="CC642" s="431">
        <f>'Fiche info Avenant 6'!$AM$10</f>
        <v>0</v>
      </c>
      <c r="CD642" s="431">
        <f>'Fiche info Avenant 6'!$AN$10</f>
        <v>0</v>
      </c>
      <c r="CE642" s="431">
        <f>'Fiche info Avenant 6'!$AO$10</f>
        <v>0</v>
      </c>
      <c r="CF642" s="431">
        <f>'Fiche info Avenant 6'!$AP$10</f>
        <v>0</v>
      </c>
      <c r="ED642" s="16" t="str">
        <f t="shared" si="138"/>
        <v>Fiche info Avenant 6D</v>
      </c>
      <c r="EE642" s="16" t="str">
        <f t="shared" si="139"/>
        <v>Fiche info Avenant 6</v>
      </c>
      <c r="EF642" s="16" t="str">
        <f t="shared" si="140"/>
        <v>D</v>
      </c>
      <c r="EG642" s="16">
        <f t="shared" si="141"/>
        <v>4</v>
      </c>
      <c r="EH642" s="16" t="str">
        <f t="shared" si="142"/>
        <v>Jeudi</v>
      </c>
      <c r="EI642" s="16" t="str">
        <f t="shared" si="143"/>
        <v/>
      </c>
    </row>
    <row r="643" spans="1:139" x14ac:dyDescent="0.2">
      <c r="A643" s="16" t="str">
        <f t="shared" si="136"/>
        <v>Fiche info Avenant 6D5</v>
      </c>
      <c r="B643" s="16" t="str">
        <f t="shared" si="137"/>
        <v>Fiche info Avenant 6</v>
      </c>
      <c r="C643" s="27" t="s">
        <v>233</v>
      </c>
      <c r="D643" s="27">
        <v>5</v>
      </c>
      <c r="E643" s="16" t="s">
        <v>21</v>
      </c>
      <c r="F643" s="34" t="str">
        <f>IF(+'Fiche info Avenant 6'!$AR$11=0,"",'Fiche info Avenant 6'!$AR$11)</f>
        <v/>
      </c>
      <c r="G643" s="16">
        <f t="shared" si="144"/>
        <v>0</v>
      </c>
      <c r="BX643" s="16" t="str">
        <f t="shared" si="145"/>
        <v>Fiche info Avenant 6D5</v>
      </c>
      <c r="BY643" s="431">
        <f>'Fiche info Avenant 6'!$AI$11</f>
        <v>0</v>
      </c>
      <c r="BZ643" s="431">
        <f>'Fiche info Avenant 6'!$AJ$11</f>
        <v>0</v>
      </c>
      <c r="CA643" s="431">
        <f>'Fiche info Avenant 6'!$AK$11</f>
        <v>0</v>
      </c>
      <c r="CB643" s="431">
        <f>'Fiche info Avenant 6'!$AL$11</f>
        <v>0</v>
      </c>
      <c r="CC643" s="431">
        <f>'Fiche info Avenant 6'!$AM$11</f>
        <v>0</v>
      </c>
      <c r="CD643" s="431">
        <f>'Fiche info Avenant 6'!$AN$11</f>
        <v>0</v>
      </c>
      <c r="CE643" s="431">
        <f>'Fiche info Avenant 6'!$AO$11</f>
        <v>0</v>
      </c>
      <c r="CF643" s="431">
        <f>'Fiche info Avenant 6'!$AP$11</f>
        <v>0</v>
      </c>
      <c r="ED643" s="16" t="str">
        <f t="shared" si="138"/>
        <v>Fiche info Avenant 6D</v>
      </c>
      <c r="EE643" s="16" t="str">
        <f t="shared" si="139"/>
        <v>Fiche info Avenant 6</v>
      </c>
      <c r="EF643" s="16" t="str">
        <f t="shared" si="140"/>
        <v>D</v>
      </c>
      <c r="EG643" s="16">
        <f t="shared" si="141"/>
        <v>5</v>
      </c>
      <c r="EH643" s="16" t="str">
        <f t="shared" si="142"/>
        <v>Vendredi</v>
      </c>
      <c r="EI643" s="16" t="str">
        <f t="shared" si="143"/>
        <v/>
      </c>
    </row>
    <row r="644" spans="1:139" x14ac:dyDescent="0.2">
      <c r="A644" s="16" t="str">
        <f t="shared" si="136"/>
        <v>Fiche info Avenant 6D6</v>
      </c>
      <c r="B644" s="16" t="str">
        <f t="shared" si="137"/>
        <v>Fiche info Avenant 6</v>
      </c>
      <c r="C644" s="27" t="s">
        <v>233</v>
      </c>
      <c r="D644" s="27">
        <v>6</v>
      </c>
      <c r="E644" s="16" t="s">
        <v>184</v>
      </c>
      <c r="F644" s="34" t="str">
        <f>IF(+'Fiche info Avenant 6'!$AR$12=0,"",'Fiche info Avenant 6'!$AR$12)</f>
        <v/>
      </c>
      <c r="G644" s="16">
        <f t="shared" si="144"/>
        <v>0</v>
      </c>
      <c r="BX644" s="16" t="str">
        <f t="shared" si="145"/>
        <v>Fiche info Avenant 6D6</v>
      </c>
      <c r="BY644" s="431">
        <f>'Fiche info Avenant 6'!$AI$12</f>
        <v>0</v>
      </c>
      <c r="BZ644" s="431">
        <f>'Fiche info Avenant 6'!$AJ$12</f>
        <v>0</v>
      </c>
      <c r="CA644" s="431">
        <f>'Fiche info Avenant 6'!$AK$12</f>
        <v>0</v>
      </c>
      <c r="CB644" s="431">
        <f>'Fiche info Avenant 6'!$AL$12</f>
        <v>0</v>
      </c>
      <c r="CC644" s="431">
        <f>'Fiche info Avenant 6'!$AM$12</f>
        <v>0</v>
      </c>
      <c r="CD644" s="431">
        <f>'Fiche info Avenant 6'!$AN$12</f>
        <v>0</v>
      </c>
      <c r="CE644" s="431">
        <f>'Fiche info Avenant 6'!$AO$12</f>
        <v>0</v>
      </c>
      <c r="CF644" s="431">
        <f>'Fiche info Avenant 6'!$AP$12</f>
        <v>0</v>
      </c>
      <c r="ED644" s="16" t="str">
        <f t="shared" si="138"/>
        <v>Fiche info Avenant 6D</v>
      </c>
      <c r="EE644" s="16" t="str">
        <f t="shared" si="139"/>
        <v>Fiche info Avenant 6</v>
      </c>
      <c r="EF644" s="16" t="str">
        <f t="shared" si="140"/>
        <v>D</v>
      </c>
      <c r="EG644" s="16">
        <f t="shared" si="141"/>
        <v>6</v>
      </c>
      <c r="EH644" s="16" t="str">
        <f t="shared" si="142"/>
        <v>Samedi</v>
      </c>
      <c r="EI644" s="16" t="str">
        <f t="shared" si="143"/>
        <v/>
      </c>
    </row>
    <row r="645" spans="1:139" x14ac:dyDescent="0.2">
      <c r="A645" s="16" t="str">
        <f t="shared" si="136"/>
        <v>Fiche info Avenant 6D7</v>
      </c>
      <c r="B645" s="16" t="str">
        <f t="shared" si="137"/>
        <v>Fiche info Avenant 6</v>
      </c>
      <c r="C645" s="27" t="s">
        <v>233</v>
      </c>
      <c r="D645" s="27">
        <v>7</v>
      </c>
      <c r="E645" s="16" t="s">
        <v>185</v>
      </c>
      <c r="F645" s="34" t="str">
        <f>IF(+'Fiche info Avenant 6'!$AR$13=0,"",'Fiche info Avenant 6'!$AR$13)</f>
        <v/>
      </c>
      <c r="G645" s="16">
        <f t="shared" si="144"/>
        <v>0</v>
      </c>
      <c r="BX645" s="16" t="str">
        <f t="shared" si="145"/>
        <v>Fiche info Avenant 6D7</v>
      </c>
      <c r="BY645" s="431">
        <f>'Fiche info Avenant 6'!$AI$13</f>
        <v>0</v>
      </c>
      <c r="BZ645" s="431">
        <f>'Fiche info Avenant 6'!$AJ$13</f>
        <v>0</v>
      </c>
      <c r="CA645" s="431">
        <f>'Fiche info Avenant 6'!$AK$13</f>
        <v>0</v>
      </c>
      <c r="CB645" s="431">
        <f>'Fiche info Avenant 6'!$AL$13</f>
        <v>0</v>
      </c>
      <c r="CC645" s="431">
        <f>'Fiche info Avenant 6'!$AM$13</f>
        <v>0</v>
      </c>
      <c r="CD645" s="431">
        <f>'Fiche info Avenant 6'!$AN$13</f>
        <v>0</v>
      </c>
      <c r="CE645" s="431">
        <f>'Fiche info Avenant 6'!$AO$13</f>
        <v>0</v>
      </c>
      <c r="CF645" s="431">
        <f>'Fiche info Avenant 6'!$AP$13</f>
        <v>0</v>
      </c>
      <c r="ED645" s="16" t="str">
        <f t="shared" si="138"/>
        <v>Fiche info Avenant 6D</v>
      </c>
      <c r="EE645" s="16" t="str">
        <f t="shared" si="139"/>
        <v>Fiche info Avenant 6</v>
      </c>
      <c r="EF645" s="16" t="str">
        <f t="shared" si="140"/>
        <v>D</v>
      </c>
      <c r="EG645" s="16">
        <f t="shared" si="141"/>
        <v>7</v>
      </c>
      <c r="EH645" s="16" t="str">
        <f t="shared" si="142"/>
        <v>Dimanche</v>
      </c>
      <c r="EI645" s="16" t="str">
        <f t="shared" si="143"/>
        <v/>
      </c>
    </row>
    <row r="646" spans="1:139" x14ac:dyDescent="0.2">
      <c r="A646" s="16" t="str">
        <f t="shared" si="136"/>
        <v>Fiche info Avenant 6E1</v>
      </c>
      <c r="B646" s="16" t="str">
        <f t="shared" si="137"/>
        <v>Fiche info Avenant 6</v>
      </c>
      <c r="C646" s="27" t="s">
        <v>234</v>
      </c>
      <c r="D646" s="27">
        <v>1</v>
      </c>
      <c r="E646" s="16" t="s">
        <v>17</v>
      </c>
      <c r="F646" s="34" t="str">
        <f>IF(+'Fiche info Avenant 6'!$BC$7=0,"",'Fiche info Avenant 6'!$BC$7)</f>
        <v/>
      </c>
      <c r="G646" s="16">
        <f t="shared" si="144"/>
        <v>0</v>
      </c>
      <c r="BX646" s="16" t="str">
        <f t="shared" si="145"/>
        <v>Fiche info Avenant 6E1</v>
      </c>
      <c r="BY646" s="431">
        <f>'Fiche info Avenant 6'!$AT$7</f>
        <v>0</v>
      </c>
      <c r="BZ646" s="431">
        <f>'Fiche info Avenant 6'!$AU$7</f>
        <v>0</v>
      </c>
      <c r="CA646" s="431">
        <f>'Fiche info Avenant 6'!$AV$7</f>
        <v>0</v>
      </c>
      <c r="CB646" s="431">
        <f>'Fiche info Avenant 6'!$AW$7</f>
        <v>0</v>
      </c>
      <c r="CC646" s="431">
        <f>'Fiche info Avenant 6'!$AX$7</f>
        <v>0</v>
      </c>
      <c r="CD646" s="431">
        <f>'Fiche info Avenant 6'!$AY$7</f>
        <v>0</v>
      </c>
      <c r="CE646" s="431">
        <f>'Fiche info Avenant 6'!$AZ$7</f>
        <v>0</v>
      </c>
      <c r="CF646" s="431">
        <f>'Fiche info Avenant 6'!$BA$7</f>
        <v>0</v>
      </c>
      <c r="ED646" s="16" t="str">
        <f t="shared" si="138"/>
        <v>Fiche info Avenant 6E</v>
      </c>
      <c r="EE646" s="16" t="str">
        <f t="shared" si="139"/>
        <v>Fiche info Avenant 6</v>
      </c>
      <c r="EF646" s="16" t="str">
        <f t="shared" si="140"/>
        <v>E</v>
      </c>
      <c r="EG646" s="16">
        <f t="shared" si="141"/>
        <v>1</v>
      </c>
      <c r="EH646" s="16" t="str">
        <f t="shared" si="142"/>
        <v>Lundi</v>
      </c>
      <c r="EI646" s="16" t="str">
        <f t="shared" si="143"/>
        <v/>
      </c>
    </row>
    <row r="647" spans="1:139" x14ac:dyDescent="0.2">
      <c r="A647" s="16" t="str">
        <f t="shared" si="136"/>
        <v>Fiche info Avenant 6E2</v>
      </c>
      <c r="B647" s="16" t="str">
        <f t="shared" si="137"/>
        <v>Fiche info Avenant 6</v>
      </c>
      <c r="C647" s="27" t="s">
        <v>234</v>
      </c>
      <c r="D647" s="27">
        <v>2</v>
      </c>
      <c r="E647" s="16" t="s">
        <v>18</v>
      </c>
      <c r="F647" s="34" t="str">
        <f>IF(+'Fiche info Avenant 6'!$BC$8=0,"",'Fiche info Avenant 6'!$BC$8)</f>
        <v/>
      </c>
      <c r="G647" s="16">
        <f t="shared" si="144"/>
        <v>0</v>
      </c>
      <c r="BX647" s="16" t="str">
        <f t="shared" si="145"/>
        <v>Fiche info Avenant 6E2</v>
      </c>
      <c r="BY647" s="431">
        <f>'Fiche info Avenant 6'!$AT$8</f>
        <v>0</v>
      </c>
      <c r="BZ647" s="431">
        <f>'Fiche info Avenant 6'!$AU$8</f>
        <v>0</v>
      </c>
      <c r="CA647" s="431">
        <f>'Fiche info Avenant 6'!$AV$8</f>
        <v>0</v>
      </c>
      <c r="CB647" s="431">
        <f>'Fiche info Avenant 6'!$AW$8</f>
        <v>0</v>
      </c>
      <c r="CC647" s="431">
        <f>'Fiche info Avenant 6'!$AX$8</f>
        <v>0</v>
      </c>
      <c r="CD647" s="431">
        <f>'Fiche info Avenant 6'!$AY$8</f>
        <v>0</v>
      </c>
      <c r="CE647" s="431">
        <f>'Fiche info Avenant 6'!$AZ$8</f>
        <v>0</v>
      </c>
      <c r="CF647" s="431">
        <f>'Fiche info Avenant 6'!$BA$8</f>
        <v>0</v>
      </c>
      <c r="ED647" s="16" t="str">
        <f t="shared" si="138"/>
        <v>Fiche info Avenant 6E</v>
      </c>
      <c r="EE647" s="16" t="str">
        <f t="shared" si="139"/>
        <v>Fiche info Avenant 6</v>
      </c>
      <c r="EF647" s="16" t="str">
        <f t="shared" si="140"/>
        <v>E</v>
      </c>
      <c r="EG647" s="16">
        <f t="shared" si="141"/>
        <v>2</v>
      </c>
      <c r="EH647" s="16" t="str">
        <f t="shared" si="142"/>
        <v>Mardi</v>
      </c>
      <c r="EI647" s="16" t="str">
        <f t="shared" si="143"/>
        <v/>
      </c>
    </row>
    <row r="648" spans="1:139" x14ac:dyDescent="0.2">
      <c r="A648" s="16" t="str">
        <f t="shared" si="136"/>
        <v>Fiche info Avenant 6E3</v>
      </c>
      <c r="B648" s="16" t="str">
        <f t="shared" si="137"/>
        <v>Fiche info Avenant 6</v>
      </c>
      <c r="C648" s="27" t="s">
        <v>234</v>
      </c>
      <c r="D648" s="27">
        <v>3</v>
      </c>
      <c r="E648" s="16" t="s">
        <v>19</v>
      </c>
      <c r="F648" s="34" t="str">
        <f>IF(+'Fiche info Avenant 6'!$BC$9=0,"",'Fiche info Avenant 6'!$BC$9)</f>
        <v/>
      </c>
      <c r="G648" s="16">
        <f t="shared" si="144"/>
        <v>0</v>
      </c>
      <c r="BX648" s="16" t="str">
        <f t="shared" si="145"/>
        <v>Fiche info Avenant 6E3</v>
      </c>
      <c r="BY648" s="431">
        <f>'Fiche info Avenant 6'!$AT$9</f>
        <v>0</v>
      </c>
      <c r="BZ648" s="431">
        <f>'Fiche info Avenant 6'!$AU$9</f>
        <v>0</v>
      </c>
      <c r="CA648" s="431">
        <f>'Fiche info Avenant 6'!$AV$9</f>
        <v>0</v>
      </c>
      <c r="CB648" s="431">
        <f>'Fiche info Avenant 6'!$AW$9</f>
        <v>0</v>
      </c>
      <c r="CC648" s="431">
        <f>'Fiche info Avenant 6'!$AX$9</f>
        <v>0</v>
      </c>
      <c r="CD648" s="431">
        <f>'Fiche info Avenant 6'!$AY$9</f>
        <v>0</v>
      </c>
      <c r="CE648" s="431">
        <f>'Fiche info Avenant 6'!$AZ$9</f>
        <v>0</v>
      </c>
      <c r="CF648" s="431">
        <f>'Fiche info Avenant 6'!$BA$9</f>
        <v>0</v>
      </c>
      <c r="ED648" s="16" t="str">
        <f t="shared" si="138"/>
        <v>Fiche info Avenant 6E</v>
      </c>
      <c r="EE648" s="16" t="str">
        <f t="shared" si="139"/>
        <v>Fiche info Avenant 6</v>
      </c>
      <c r="EF648" s="16" t="str">
        <f t="shared" si="140"/>
        <v>E</v>
      </c>
      <c r="EG648" s="16">
        <f t="shared" si="141"/>
        <v>3</v>
      </c>
      <c r="EH648" s="16" t="str">
        <f t="shared" si="142"/>
        <v>Mercredi</v>
      </c>
      <c r="EI648" s="16" t="str">
        <f t="shared" si="143"/>
        <v/>
      </c>
    </row>
    <row r="649" spans="1:139" x14ac:dyDescent="0.2">
      <c r="A649" s="16" t="str">
        <f t="shared" si="136"/>
        <v>Fiche info Avenant 6E4</v>
      </c>
      <c r="B649" s="16" t="str">
        <f t="shared" si="137"/>
        <v>Fiche info Avenant 6</v>
      </c>
      <c r="C649" s="27" t="s">
        <v>234</v>
      </c>
      <c r="D649" s="27">
        <v>4</v>
      </c>
      <c r="E649" s="16" t="s">
        <v>20</v>
      </c>
      <c r="F649" s="34" t="str">
        <f>IF(+'Fiche info Avenant 6'!$BC$10=0,"",'Fiche info Avenant 6'!$BC$10)</f>
        <v/>
      </c>
      <c r="G649" s="16">
        <f t="shared" si="144"/>
        <v>0</v>
      </c>
      <c r="BX649" s="16" t="str">
        <f t="shared" si="145"/>
        <v>Fiche info Avenant 6E4</v>
      </c>
      <c r="BY649" s="431">
        <f>'Fiche info Avenant 6'!$AT$10</f>
        <v>0</v>
      </c>
      <c r="BZ649" s="431">
        <f>'Fiche info Avenant 6'!$AU$10</f>
        <v>0</v>
      </c>
      <c r="CA649" s="431">
        <f>'Fiche info Avenant 6'!$AV$10</f>
        <v>0</v>
      </c>
      <c r="CB649" s="431">
        <f>'Fiche info Avenant 6'!$AW$10</f>
        <v>0</v>
      </c>
      <c r="CC649" s="431">
        <f>'Fiche info Avenant 6'!$AX$10</f>
        <v>0</v>
      </c>
      <c r="CD649" s="431">
        <f>'Fiche info Avenant 6'!$AY$10</f>
        <v>0</v>
      </c>
      <c r="CE649" s="431">
        <f>'Fiche info Avenant 6'!$AZ$10</f>
        <v>0</v>
      </c>
      <c r="CF649" s="431">
        <f>'Fiche info Avenant 6'!$BA$10</f>
        <v>0</v>
      </c>
      <c r="ED649" s="16" t="str">
        <f t="shared" si="138"/>
        <v>Fiche info Avenant 6E</v>
      </c>
      <c r="EE649" s="16" t="str">
        <f t="shared" si="139"/>
        <v>Fiche info Avenant 6</v>
      </c>
      <c r="EF649" s="16" t="str">
        <f t="shared" si="140"/>
        <v>E</v>
      </c>
      <c r="EG649" s="16">
        <f t="shared" si="141"/>
        <v>4</v>
      </c>
      <c r="EH649" s="16" t="str">
        <f t="shared" si="142"/>
        <v>Jeudi</v>
      </c>
      <c r="EI649" s="16" t="str">
        <f t="shared" si="143"/>
        <v/>
      </c>
    </row>
    <row r="650" spans="1:139" x14ac:dyDescent="0.2">
      <c r="A650" s="16" t="str">
        <f t="shared" si="136"/>
        <v>Fiche info Avenant 6E5</v>
      </c>
      <c r="B650" s="16" t="str">
        <f t="shared" si="137"/>
        <v>Fiche info Avenant 6</v>
      </c>
      <c r="C650" s="27" t="s">
        <v>234</v>
      </c>
      <c r="D650" s="27">
        <v>5</v>
      </c>
      <c r="E650" s="16" t="s">
        <v>21</v>
      </c>
      <c r="F650" s="34" t="str">
        <f>IF(+'Fiche info Avenant 6'!$BC$11=0,"",'Fiche info Avenant 6'!$BC$11)</f>
        <v/>
      </c>
      <c r="G650" s="16">
        <f t="shared" si="144"/>
        <v>0</v>
      </c>
      <c r="BX650" s="16" t="str">
        <f t="shared" si="145"/>
        <v>Fiche info Avenant 6E5</v>
      </c>
      <c r="BY650" s="431">
        <f>'Fiche info Avenant 6'!$AT$11</f>
        <v>0</v>
      </c>
      <c r="BZ650" s="431">
        <f>'Fiche info Avenant 6'!$AU$11</f>
        <v>0</v>
      </c>
      <c r="CA650" s="431">
        <f>'Fiche info Avenant 6'!$AV$11</f>
        <v>0</v>
      </c>
      <c r="CB650" s="431">
        <f>'Fiche info Avenant 6'!$AW$11</f>
        <v>0</v>
      </c>
      <c r="CC650" s="431">
        <f>'Fiche info Avenant 6'!$AX$11</f>
        <v>0</v>
      </c>
      <c r="CD650" s="431">
        <f>'Fiche info Avenant 6'!$AY$11</f>
        <v>0</v>
      </c>
      <c r="CE650" s="431">
        <f>'Fiche info Avenant 6'!$AZ$11</f>
        <v>0</v>
      </c>
      <c r="CF650" s="431">
        <f>'Fiche info Avenant 6'!$BA$11</f>
        <v>0</v>
      </c>
      <c r="ED650" s="16" t="str">
        <f t="shared" si="138"/>
        <v>Fiche info Avenant 6E</v>
      </c>
      <c r="EE650" s="16" t="str">
        <f t="shared" si="139"/>
        <v>Fiche info Avenant 6</v>
      </c>
      <c r="EF650" s="16" t="str">
        <f t="shared" si="140"/>
        <v>E</v>
      </c>
      <c r="EG650" s="16">
        <f t="shared" si="141"/>
        <v>5</v>
      </c>
      <c r="EH650" s="16" t="str">
        <f t="shared" si="142"/>
        <v>Vendredi</v>
      </c>
      <c r="EI650" s="16" t="str">
        <f t="shared" si="143"/>
        <v/>
      </c>
    </row>
    <row r="651" spans="1:139" x14ac:dyDescent="0.2">
      <c r="A651" s="16" t="str">
        <f t="shared" si="136"/>
        <v>Fiche info Avenant 6E6</v>
      </c>
      <c r="B651" s="16" t="str">
        <f t="shared" si="137"/>
        <v>Fiche info Avenant 6</v>
      </c>
      <c r="C651" s="27" t="s">
        <v>234</v>
      </c>
      <c r="D651" s="27">
        <v>6</v>
      </c>
      <c r="E651" s="16" t="s">
        <v>184</v>
      </c>
      <c r="F651" s="34" t="str">
        <f>IF(+'Fiche info Avenant 6'!$BC$12=0,"",'Fiche info Avenant 6'!$BC$12)</f>
        <v/>
      </c>
      <c r="G651" s="16">
        <f t="shared" si="144"/>
        <v>0</v>
      </c>
      <c r="BX651" s="16" t="str">
        <f t="shared" si="145"/>
        <v>Fiche info Avenant 6E6</v>
      </c>
      <c r="BY651" s="431">
        <f>'Fiche info Avenant 6'!$AT$12</f>
        <v>0</v>
      </c>
      <c r="BZ651" s="431">
        <f>'Fiche info Avenant 6'!$AU$12</f>
        <v>0</v>
      </c>
      <c r="CA651" s="431">
        <f>'Fiche info Avenant 6'!$AV$12</f>
        <v>0</v>
      </c>
      <c r="CB651" s="431">
        <f>'Fiche info Avenant 6'!$AW$12</f>
        <v>0</v>
      </c>
      <c r="CC651" s="431">
        <f>'Fiche info Avenant 6'!$AX$12</f>
        <v>0</v>
      </c>
      <c r="CD651" s="431">
        <f>'Fiche info Avenant 6'!$AY$12</f>
        <v>0</v>
      </c>
      <c r="CE651" s="431">
        <f>'Fiche info Avenant 6'!$AZ$12</f>
        <v>0</v>
      </c>
      <c r="CF651" s="431">
        <f>'Fiche info Avenant 6'!$BA$12</f>
        <v>0</v>
      </c>
      <c r="ED651" s="16" t="str">
        <f t="shared" si="138"/>
        <v>Fiche info Avenant 6E</v>
      </c>
      <c r="EE651" s="16" t="str">
        <f t="shared" si="139"/>
        <v>Fiche info Avenant 6</v>
      </c>
      <c r="EF651" s="16" t="str">
        <f t="shared" si="140"/>
        <v>E</v>
      </c>
      <c r="EG651" s="16">
        <f t="shared" si="141"/>
        <v>6</v>
      </c>
      <c r="EH651" s="16" t="str">
        <f t="shared" si="142"/>
        <v>Samedi</v>
      </c>
      <c r="EI651" s="16" t="str">
        <f t="shared" si="143"/>
        <v/>
      </c>
    </row>
    <row r="652" spans="1:139" x14ac:dyDescent="0.2">
      <c r="A652" s="16" t="str">
        <f t="shared" si="136"/>
        <v>Fiche info Avenant 6E7</v>
      </c>
      <c r="B652" s="16" t="str">
        <f t="shared" si="137"/>
        <v>Fiche info Avenant 6</v>
      </c>
      <c r="C652" s="27" t="s">
        <v>234</v>
      </c>
      <c r="D652" s="27">
        <v>7</v>
      </c>
      <c r="E652" s="16" t="s">
        <v>185</v>
      </c>
      <c r="F652" s="34" t="str">
        <f>IF(+'Fiche info Avenant 6'!$BC$13=0,"",'Fiche info Avenant 6'!$BC$13)</f>
        <v/>
      </c>
      <c r="G652" s="16">
        <f t="shared" si="144"/>
        <v>0</v>
      </c>
      <c r="BX652" s="16" t="str">
        <f t="shared" si="145"/>
        <v>Fiche info Avenant 6E7</v>
      </c>
      <c r="BY652" s="431">
        <f>'Fiche info Avenant 6'!$AT$13</f>
        <v>0</v>
      </c>
      <c r="BZ652" s="431">
        <f>'Fiche info Avenant 6'!$AU$13</f>
        <v>0</v>
      </c>
      <c r="CA652" s="431">
        <f>'Fiche info Avenant 6'!$AV$13</f>
        <v>0</v>
      </c>
      <c r="CB652" s="431">
        <f>'Fiche info Avenant 6'!$AW$13</f>
        <v>0</v>
      </c>
      <c r="CC652" s="431">
        <f>'Fiche info Avenant 6'!$AX$13</f>
        <v>0</v>
      </c>
      <c r="CD652" s="431">
        <f>'Fiche info Avenant 6'!$AY$13</f>
        <v>0</v>
      </c>
      <c r="CE652" s="431">
        <f>'Fiche info Avenant 6'!$AZ$13</f>
        <v>0</v>
      </c>
      <c r="CF652" s="431">
        <f>'Fiche info Avenant 6'!$BA$13</f>
        <v>0</v>
      </c>
      <c r="ED652" s="16" t="str">
        <f t="shared" si="138"/>
        <v>Fiche info Avenant 6E</v>
      </c>
      <c r="EE652" s="16" t="str">
        <f t="shared" si="139"/>
        <v>Fiche info Avenant 6</v>
      </c>
      <c r="EF652" s="16" t="str">
        <f t="shared" si="140"/>
        <v>E</v>
      </c>
      <c r="EG652" s="16">
        <f t="shared" si="141"/>
        <v>7</v>
      </c>
      <c r="EH652" s="16" t="str">
        <f t="shared" si="142"/>
        <v>Dimanche</v>
      </c>
      <c r="EI652" s="16" t="str">
        <f t="shared" si="143"/>
        <v/>
      </c>
    </row>
    <row r="653" spans="1:139" x14ac:dyDescent="0.2">
      <c r="A653" s="16" t="str">
        <f t="shared" si="136"/>
        <v>Fiche info Avenant 6F1</v>
      </c>
      <c r="B653" s="16" t="str">
        <f t="shared" si="137"/>
        <v>Fiche info Avenant 6</v>
      </c>
      <c r="C653" s="27" t="s">
        <v>235</v>
      </c>
      <c r="D653" s="27">
        <v>1</v>
      </c>
      <c r="E653" s="16" t="s">
        <v>17</v>
      </c>
      <c r="F653" s="34" t="str">
        <f>+IF('Fiche info Avenant 6'!$BN$7=0,"",'Fiche info Avenant 6'!$BN$7)</f>
        <v/>
      </c>
      <c r="G653" s="16">
        <f t="shared" si="144"/>
        <v>0</v>
      </c>
      <c r="BX653" s="16" t="str">
        <f t="shared" si="145"/>
        <v>Fiche info Avenant 6F1</v>
      </c>
      <c r="BY653" s="431">
        <f>'Fiche info Avenant 6'!$BE$7</f>
        <v>0</v>
      </c>
      <c r="BZ653" s="431">
        <f>'Fiche info Avenant 6'!$BF$7</f>
        <v>0</v>
      </c>
      <c r="CA653" s="431">
        <f>'Fiche info Avenant 6'!$BG$7</f>
        <v>0</v>
      </c>
      <c r="CB653" s="431">
        <f>'Fiche info Avenant 6'!$BH$7</f>
        <v>0</v>
      </c>
      <c r="CC653" s="431">
        <f>'Fiche info Avenant 6'!$BI$7</f>
        <v>0</v>
      </c>
      <c r="CD653" s="431">
        <f>'Fiche info Avenant 6'!$BJ$7</f>
        <v>0</v>
      </c>
      <c r="CE653" s="431">
        <f>'Fiche info Avenant 6'!$BK$7</f>
        <v>0</v>
      </c>
      <c r="CF653" s="431">
        <f>'Fiche info Avenant 6'!$BL$7</f>
        <v>0</v>
      </c>
      <c r="ED653" s="16" t="str">
        <f t="shared" si="138"/>
        <v>Fiche info Avenant 6F</v>
      </c>
      <c r="EE653" s="16" t="str">
        <f t="shared" si="139"/>
        <v>Fiche info Avenant 6</v>
      </c>
      <c r="EF653" s="16" t="str">
        <f t="shared" si="140"/>
        <v>F</v>
      </c>
      <c r="EG653" s="16">
        <f t="shared" si="141"/>
        <v>1</v>
      </c>
      <c r="EH653" s="16" t="str">
        <f t="shared" si="142"/>
        <v>Lundi</v>
      </c>
      <c r="EI653" s="16" t="str">
        <f t="shared" si="143"/>
        <v/>
      </c>
    </row>
    <row r="654" spans="1:139" x14ac:dyDescent="0.2">
      <c r="A654" s="16" t="str">
        <f t="shared" si="136"/>
        <v>Fiche info Avenant 6F2</v>
      </c>
      <c r="B654" s="16" t="str">
        <f t="shared" si="137"/>
        <v>Fiche info Avenant 6</v>
      </c>
      <c r="C654" s="27" t="s">
        <v>235</v>
      </c>
      <c r="D654" s="27">
        <v>2</v>
      </c>
      <c r="E654" s="16" t="s">
        <v>18</v>
      </c>
      <c r="F654" s="34" t="str">
        <f>+IF('Fiche info Avenant 6'!$BN$8=0,"",'Fiche info Avenant 6'!$BN$8)</f>
        <v/>
      </c>
      <c r="G654" s="16">
        <f t="shared" si="144"/>
        <v>0</v>
      </c>
      <c r="BX654" s="16" t="str">
        <f t="shared" si="145"/>
        <v>Fiche info Avenant 6F2</v>
      </c>
      <c r="BY654" s="431">
        <f>'Fiche info Avenant 6'!$BE$8</f>
        <v>0</v>
      </c>
      <c r="BZ654" s="431">
        <f>'Fiche info Avenant 6'!$BF$8</f>
        <v>0</v>
      </c>
      <c r="CA654" s="431">
        <f>'Fiche info Avenant 6'!$BG$8</f>
        <v>0</v>
      </c>
      <c r="CB654" s="431">
        <f>'Fiche info Avenant 6'!$BH$8</f>
        <v>0</v>
      </c>
      <c r="CC654" s="431">
        <f>'Fiche info Avenant 6'!$BI$8</f>
        <v>0</v>
      </c>
      <c r="CD654" s="431">
        <f>'Fiche info Avenant 6'!$BJ$8</f>
        <v>0</v>
      </c>
      <c r="CE654" s="431">
        <f>'Fiche info Avenant 6'!$BK$8</f>
        <v>0</v>
      </c>
      <c r="CF654" s="431">
        <f>'Fiche info Avenant 6'!$BL$8</f>
        <v>0</v>
      </c>
      <c r="ED654" s="16" t="str">
        <f t="shared" si="138"/>
        <v>Fiche info Avenant 6F</v>
      </c>
      <c r="EE654" s="16" t="str">
        <f t="shared" si="139"/>
        <v>Fiche info Avenant 6</v>
      </c>
      <c r="EF654" s="16" t="str">
        <f t="shared" si="140"/>
        <v>F</v>
      </c>
      <c r="EG654" s="16">
        <f t="shared" si="141"/>
        <v>2</v>
      </c>
      <c r="EH654" s="16" t="str">
        <f t="shared" si="142"/>
        <v>Mardi</v>
      </c>
      <c r="EI654" s="16" t="str">
        <f t="shared" si="143"/>
        <v/>
      </c>
    </row>
    <row r="655" spans="1:139" x14ac:dyDescent="0.2">
      <c r="A655" s="16" t="str">
        <f t="shared" si="136"/>
        <v>Fiche info Avenant 6F3</v>
      </c>
      <c r="B655" s="16" t="str">
        <f t="shared" si="137"/>
        <v>Fiche info Avenant 6</v>
      </c>
      <c r="C655" s="27" t="s">
        <v>235</v>
      </c>
      <c r="D655" s="27">
        <v>3</v>
      </c>
      <c r="E655" s="16" t="s">
        <v>19</v>
      </c>
      <c r="F655" s="34" t="str">
        <f>+IF('Fiche info Avenant 6'!$BN$9=0,"",'Fiche info Avenant 6'!$BN$9)</f>
        <v/>
      </c>
      <c r="G655" s="16">
        <f t="shared" si="144"/>
        <v>0</v>
      </c>
      <c r="BX655" s="16" t="str">
        <f t="shared" si="145"/>
        <v>Fiche info Avenant 6F3</v>
      </c>
      <c r="BY655" s="431">
        <f>'Fiche info Avenant 6'!$BE$9</f>
        <v>0</v>
      </c>
      <c r="BZ655" s="431">
        <f>'Fiche info Avenant 6'!$BF$9</f>
        <v>0</v>
      </c>
      <c r="CA655" s="431">
        <f>'Fiche info Avenant 6'!$BG$9</f>
        <v>0</v>
      </c>
      <c r="CB655" s="431">
        <f>'Fiche info Avenant 6'!$BH$9</f>
        <v>0</v>
      </c>
      <c r="CC655" s="431">
        <f>'Fiche info Avenant 6'!$BI$9</f>
        <v>0</v>
      </c>
      <c r="CD655" s="431">
        <f>'Fiche info Avenant 6'!$BJ$9</f>
        <v>0</v>
      </c>
      <c r="CE655" s="431">
        <f>'Fiche info Avenant 6'!$BK$9</f>
        <v>0</v>
      </c>
      <c r="CF655" s="431">
        <f>'Fiche info Avenant 6'!$BL$9</f>
        <v>0</v>
      </c>
      <c r="ED655" s="16" t="str">
        <f t="shared" si="138"/>
        <v>Fiche info Avenant 6F</v>
      </c>
      <c r="EE655" s="16" t="str">
        <f t="shared" si="139"/>
        <v>Fiche info Avenant 6</v>
      </c>
      <c r="EF655" s="16" t="str">
        <f t="shared" si="140"/>
        <v>F</v>
      </c>
      <c r="EG655" s="16">
        <f t="shared" si="141"/>
        <v>3</v>
      </c>
      <c r="EH655" s="16" t="str">
        <f t="shared" si="142"/>
        <v>Mercredi</v>
      </c>
      <c r="EI655" s="16" t="str">
        <f t="shared" si="143"/>
        <v/>
      </c>
    </row>
    <row r="656" spans="1:139" x14ac:dyDescent="0.2">
      <c r="A656" s="16" t="str">
        <f t="shared" si="136"/>
        <v>Fiche info Avenant 6F4</v>
      </c>
      <c r="B656" s="16" t="str">
        <f t="shared" si="137"/>
        <v>Fiche info Avenant 6</v>
      </c>
      <c r="C656" s="27" t="s">
        <v>235</v>
      </c>
      <c r="D656" s="27">
        <v>4</v>
      </c>
      <c r="E656" s="16" t="s">
        <v>20</v>
      </c>
      <c r="F656" s="34" t="str">
        <f>+IF('Fiche info Avenant 6'!$BN$10=0,"",'Fiche info Avenant 6'!$BN$10)</f>
        <v/>
      </c>
      <c r="G656" s="16">
        <f t="shared" si="144"/>
        <v>0</v>
      </c>
      <c r="BX656" s="16" t="str">
        <f t="shared" si="145"/>
        <v>Fiche info Avenant 6F4</v>
      </c>
      <c r="BY656" s="431">
        <f>'Fiche info Avenant 6'!$BE$10</f>
        <v>0</v>
      </c>
      <c r="BZ656" s="431">
        <f>'Fiche info Avenant 6'!$BF$10</f>
        <v>0</v>
      </c>
      <c r="CA656" s="431">
        <f>'Fiche info Avenant 6'!$BG$10</f>
        <v>0</v>
      </c>
      <c r="CB656" s="431">
        <f>'Fiche info Avenant 6'!$BH$10</f>
        <v>0</v>
      </c>
      <c r="CC656" s="431">
        <f>'Fiche info Avenant 6'!$BI$10</f>
        <v>0</v>
      </c>
      <c r="CD656" s="431">
        <f>'Fiche info Avenant 6'!$BJ$10</f>
        <v>0</v>
      </c>
      <c r="CE656" s="431">
        <f>'Fiche info Avenant 6'!$BK$10</f>
        <v>0</v>
      </c>
      <c r="CF656" s="431">
        <f>'Fiche info Avenant 6'!$BL$10</f>
        <v>0</v>
      </c>
      <c r="ED656" s="16" t="str">
        <f t="shared" si="138"/>
        <v>Fiche info Avenant 6F</v>
      </c>
      <c r="EE656" s="16" t="str">
        <f t="shared" si="139"/>
        <v>Fiche info Avenant 6</v>
      </c>
      <c r="EF656" s="16" t="str">
        <f t="shared" si="140"/>
        <v>F</v>
      </c>
      <c r="EG656" s="16">
        <f t="shared" si="141"/>
        <v>4</v>
      </c>
      <c r="EH656" s="16" t="str">
        <f t="shared" si="142"/>
        <v>Jeudi</v>
      </c>
      <c r="EI656" s="16" t="str">
        <f t="shared" si="143"/>
        <v/>
      </c>
    </row>
    <row r="657" spans="1:139" x14ac:dyDescent="0.2">
      <c r="A657" s="16" t="str">
        <f t="shared" si="136"/>
        <v>Fiche info Avenant 6F5</v>
      </c>
      <c r="B657" s="16" t="str">
        <f t="shared" si="137"/>
        <v>Fiche info Avenant 6</v>
      </c>
      <c r="C657" s="27" t="s">
        <v>235</v>
      </c>
      <c r="D657" s="27">
        <v>5</v>
      </c>
      <c r="E657" s="16" t="s">
        <v>21</v>
      </c>
      <c r="F657" s="34" t="str">
        <f>+IF('Fiche info Avenant 6'!$BN$11=0,"",'Fiche info Avenant 6'!$BN$11)</f>
        <v/>
      </c>
      <c r="G657" s="16">
        <f t="shared" si="144"/>
        <v>0</v>
      </c>
      <c r="BX657" s="16" t="str">
        <f t="shared" si="145"/>
        <v>Fiche info Avenant 6F5</v>
      </c>
      <c r="BY657" s="431">
        <f>'Fiche info Avenant 6'!$BE$11</f>
        <v>0</v>
      </c>
      <c r="BZ657" s="431">
        <f>'Fiche info Avenant 6'!$BF$11</f>
        <v>0</v>
      </c>
      <c r="CA657" s="431">
        <f>'Fiche info Avenant 6'!$BG$11</f>
        <v>0</v>
      </c>
      <c r="CB657" s="431">
        <f>'Fiche info Avenant 6'!$BH$11</f>
        <v>0</v>
      </c>
      <c r="CC657" s="431">
        <f>'Fiche info Avenant 6'!$BI$11</f>
        <v>0</v>
      </c>
      <c r="CD657" s="431">
        <f>'Fiche info Avenant 6'!$BJ$11</f>
        <v>0</v>
      </c>
      <c r="CE657" s="431">
        <f>'Fiche info Avenant 6'!$BK$11</f>
        <v>0</v>
      </c>
      <c r="CF657" s="431">
        <f>'Fiche info Avenant 6'!$BL$11</f>
        <v>0</v>
      </c>
      <c r="ED657" s="16" t="str">
        <f t="shared" si="138"/>
        <v>Fiche info Avenant 6F</v>
      </c>
      <c r="EE657" s="16" t="str">
        <f t="shared" si="139"/>
        <v>Fiche info Avenant 6</v>
      </c>
      <c r="EF657" s="16" t="str">
        <f t="shared" si="140"/>
        <v>F</v>
      </c>
      <c r="EG657" s="16">
        <f t="shared" si="141"/>
        <v>5</v>
      </c>
      <c r="EH657" s="16" t="str">
        <f t="shared" si="142"/>
        <v>Vendredi</v>
      </c>
      <c r="EI657" s="16" t="str">
        <f t="shared" si="143"/>
        <v/>
      </c>
    </row>
    <row r="658" spans="1:139" x14ac:dyDescent="0.2">
      <c r="A658" s="16" t="str">
        <f t="shared" si="136"/>
        <v>Fiche info Avenant 6F6</v>
      </c>
      <c r="B658" s="16" t="str">
        <f t="shared" si="137"/>
        <v>Fiche info Avenant 6</v>
      </c>
      <c r="C658" s="27" t="s">
        <v>235</v>
      </c>
      <c r="D658" s="27">
        <v>6</v>
      </c>
      <c r="E658" s="16" t="s">
        <v>184</v>
      </c>
      <c r="F658" s="34" t="str">
        <f>+IF('Fiche info Avenant 6'!$BN$12=0,"",'Fiche info Avenant 6'!$BN$12)</f>
        <v/>
      </c>
      <c r="G658" s="16">
        <f t="shared" si="144"/>
        <v>0</v>
      </c>
      <c r="BX658" s="16" t="str">
        <f t="shared" si="145"/>
        <v>Fiche info Avenant 6F6</v>
      </c>
      <c r="BY658" s="431">
        <f>'Fiche info Avenant 6'!$BE$12</f>
        <v>0</v>
      </c>
      <c r="BZ658" s="431">
        <f>'Fiche info Avenant 6'!$BF$12</f>
        <v>0</v>
      </c>
      <c r="CA658" s="431">
        <f>'Fiche info Avenant 6'!$BG$12</f>
        <v>0</v>
      </c>
      <c r="CB658" s="431">
        <f>'Fiche info Avenant 6'!$BH$12</f>
        <v>0</v>
      </c>
      <c r="CC658" s="431">
        <f>'Fiche info Avenant 6'!$BI$12</f>
        <v>0</v>
      </c>
      <c r="CD658" s="431">
        <f>'Fiche info Avenant 6'!$BJ$12</f>
        <v>0</v>
      </c>
      <c r="CE658" s="431">
        <f>'Fiche info Avenant 6'!$BK$12</f>
        <v>0</v>
      </c>
      <c r="CF658" s="431">
        <f>'Fiche info Avenant 6'!$BL$12</f>
        <v>0</v>
      </c>
      <c r="ED658" s="16" t="str">
        <f t="shared" si="138"/>
        <v>Fiche info Avenant 6F</v>
      </c>
      <c r="EE658" s="16" t="str">
        <f t="shared" si="139"/>
        <v>Fiche info Avenant 6</v>
      </c>
      <c r="EF658" s="16" t="str">
        <f t="shared" si="140"/>
        <v>F</v>
      </c>
      <c r="EG658" s="16">
        <f t="shared" si="141"/>
        <v>6</v>
      </c>
      <c r="EH658" s="16" t="str">
        <f t="shared" si="142"/>
        <v>Samedi</v>
      </c>
      <c r="EI658" s="16" t="str">
        <f t="shared" si="143"/>
        <v/>
      </c>
    </row>
    <row r="659" spans="1:139" x14ac:dyDescent="0.2">
      <c r="A659" s="16" t="str">
        <f t="shared" si="136"/>
        <v>Fiche info Avenant 6F7</v>
      </c>
      <c r="B659" s="16" t="str">
        <f t="shared" si="137"/>
        <v>Fiche info Avenant 6</v>
      </c>
      <c r="C659" s="27" t="s">
        <v>235</v>
      </c>
      <c r="D659" s="27">
        <v>7</v>
      </c>
      <c r="E659" s="16" t="s">
        <v>185</v>
      </c>
      <c r="F659" s="34" t="str">
        <f>+IF('Fiche info Avenant 6'!$BN$13=0,"",'Fiche info Avenant 6'!$BN$13)</f>
        <v/>
      </c>
      <c r="G659" s="16">
        <f t="shared" si="144"/>
        <v>0</v>
      </c>
      <c r="BX659" s="16" t="str">
        <f t="shared" si="145"/>
        <v>Fiche info Avenant 6F7</v>
      </c>
      <c r="BY659" s="431">
        <f>'Fiche info Avenant 6'!$BE$13</f>
        <v>0</v>
      </c>
      <c r="BZ659" s="431">
        <f>'Fiche info Avenant 6'!$BF$13</f>
        <v>0</v>
      </c>
      <c r="CA659" s="431">
        <f>'Fiche info Avenant 6'!$BG$13</f>
        <v>0</v>
      </c>
      <c r="CB659" s="431">
        <f>'Fiche info Avenant 6'!$BH$13</f>
        <v>0</v>
      </c>
      <c r="CC659" s="431">
        <f>'Fiche info Avenant 6'!$BI$13</f>
        <v>0</v>
      </c>
      <c r="CD659" s="431">
        <f>'Fiche info Avenant 6'!$BJ$13</f>
        <v>0</v>
      </c>
      <c r="CE659" s="431">
        <f>'Fiche info Avenant 6'!$BK$13</f>
        <v>0</v>
      </c>
      <c r="CF659" s="431">
        <f>'Fiche info Avenant 6'!$BL$13</f>
        <v>0</v>
      </c>
      <c r="ED659" s="16" t="str">
        <f t="shared" si="138"/>
        <v>Fiche info Avenant 6F</v>
      </c>
      <c r="EE659" s="16" t="str">
        <f t="shared" si="139"/>
        <v>Fiche info Avenant 6</v>
      </c>
      <c r="EF659" s="16" t="str">
        <f t="shared" si="140"/>
        <v>F</v>
      </c>
      <c r="EG659" s="16">
        <f t="shared" si="141"/>
        <v>7</v>
      </c>
      <c r="EH659" s="16" t="str">
        <f t="shared" si="142"/>
        <v>Dimanche</v>
      </c>
      <c r="EI659" s="16" t="str">
        <f t="shared" si="143"/>
        <v/>
      </c>
    </row>
    <row r="660" spans="1:139" x14ac:dyDescent="0.2">
      <c r="A660" s="16" t="str">
        <f t="shared" si="136"/>
        <v>Fiche info Avenant 6G1</v>
      </c>
      <c r="B660" s="16" t="str">
        <f t="shared" si="137"/>
        <v>Fiche info Avenant 6</v>
      </c>
      <c r="C660" s="27" t="s">
        <v>236</v>
      </c>
      <c r="D660" s="27">
        <v>1</v>
      </c>
      <c r="E660" s="16" t="s">
        <v>17</v>
      </c>
      <c r="F660" s="34" t="str">
        <f>+IF('Fiche info Avenant 6'!$BY$7=0,"",'Fiche info Avenant 6'!$BY$7)</f>
        <v/>
      </c>
      <c r="G660" s="16">
        <f t="shared" si="144"/>
        <v>0</v>
      </c>
      <c r="BX660" s="16" t="str">
        <f t="shared" si="145"/>
        <v>Fiche info Avenant 6G1</v>
      </c>
      <c r="BY660" s="431">
        <f>'Fiche info Avenant 6'!$BP$7</f>
        <v>0</v>
      </c>
      <c r="BZ660" s="431">
        <f>'Fiche info Avenant 6'!$BQ$7</f>
        <v>0</v>
      </c>
      <c r="CA660" s="431">
        <f>'Fiche info Avenant 6'!$BR$7</f>
        <v>0</v>
      </c>
      <c r="CB660" s="431">
        <f>'Fiche info Avenant 6'!$BS$7</f>
        <v>0</v>
      </c>
      <c r="CC660" s="431">
        <f>'Fiche info Avenant 6'!$BT$7</f>
        <v>0</v>
      </c>
      <c r="CD660" s="431">
        <f>'Fiche info Avenant 6'!$BU$7</f>
        <v>0</v>
      </c>
      <c r="CE660" s="431">
        <f>'Fiche info Avenant 6'!$BV$7</f>
        <v>0</v>
      </c>
      <c r="CF660" s="431">
        <f>'Fiche info Avenant 6'!$BW$7</f>
        <v>0</v>
      </c>
      <c r="ED660" s="16" t="str">
        <f t="shared" si="138"/>
        <v>Fiche info Avenant 6G</v>
      </c>
      <c r="EE660" s="16" t="str">
        <f t="shared" si="139"/>
        <v>Fiche info Avenant 6</v>
      </c>
      <c r="EF660" s="16" t="str">
        <f t="shared" si="140"/>
        <v>G</v>
      </c>
      <c r="EG660" s="16">
        <f t="shared" si="141"/>
        <v>1</v>
      </c>
      <c r="EH660" s="16" t="str">
        <f t="shared" si="142"/>
        <v>Lundi</v>
      </c>
      <c r="EI660" s="16" t="str">
        <f t="shared" si="143"/>
        <v/>
      </c>
    </row>
    <row r="661" spans="1:139" x14ac:dyDescent="0.2">
      <c r="A661" s="16" t="str">
        <f t="shared" si="136"/>
        <v>Fiche info Avenant 6G2</v>
      </c>
      <c r="B661" s="16" t="str">
        <f t="shared" si="137"/>
        <v>Fiche info Avenant 6</v>
      </c>
      <c r="C661" s="27" t="s">
        <v>236</v>
      </c>
      <c r="D661" s="27">
        <v>2</v>
      </c>
      <c r="E661" s="16" t="s">
        <v>18</v>
      </c>
      <c r="F661" s="34" t="str">
        <f>+IF('Fiche info Avenant 6'!$BY$8=0,"",'Fiche info Avenant 6'!$BY$8)</f>
        <v/>
      </c>
      <c r="G661" s="16">
        <f t="shared" si="144"/>
        <v>0</v>
      </c>
      <c r="BX661" s="16" t="str">
        <f t="shared" si="145"/>
        <v>Fiche info Avenant 6G2</v>
      </c>
      <c r="BY661" s="431">
        <f>'Fiche info Avenant 6'!$BP$8</f>
        <v>0</v>
      </c>
      <c r="BZ661" s="431">
        <f>'Fiche info Avenant 6'!$BQ$8</f>
        <v>0</v>
      </c>
      <c r="CA661" s="431">
        <f>'Fiche info Avenant 6'!$BR$8</f>
        <v>0</v>
      </c>
      <c r="CB661" s="431">
        <f>'Fiche info Avenant 6'!$BS$8</f>
        <v>0</v>
      </c>
      <c r="CC661" s="431">
        <f>'Fiche info Avenant 6'!$BT$8</f>
        <v>0</v>
      </c>
      <c r="CD661" s="431">
        <f>'Fiche info Avenant 6'!$BU$8</f>
        <v>0</v>
      </c>
      <c r="CE661" s="431">
        <f>'Fiche info Avenant 6'!$BV$8</f>
        <v>0</v>
      </c>
      <c r="CF661" s="431">
        <f>'Fiche info Avenant 6'!$BW$8</f>
        <v>0</v>
      </c>
      <c r="ED661" s="16" t="str">
        <f t="shared" si="138"/>
        <v>Fiche info Avenant 6G</v>
      </c>
      <c r="EE661" s="16" t="str">
        <f t="shared" si="139"/>
        <v>Fiche info Avenant 6</v>
      </c>
      <c r="EF661" s="16" t="str">
        <f t="shared" si="140"/>
        <v>G</v>
      </c>
      <c r="EG661" s="16">
        <f t="shared" si="141"/>
        <v>2</v>
      </c>
      <c r="EH661" s="16" t="str">
        <f t="shared" si="142"/>
        <v>Mardi</v>
      </c>
      <c r="EI661" s="16" t="str">
        <f t="shared" si="143"/>
        <v/>
      </c>
    </row>
    <row r="662" spans="1:139" x14ac:dyDescent="0.2">
      <c r="A662" s="16" t="str">
        <f t="shared" si="136"/>
        <v>Fiche info Avenant 6G3</v>
      </c>
      <c r="B662" s="16" t="str">
        <f t="shared" si="137"/>
        <v>Fiche info Avenant 6</v>
      </c>
      <c r="C662" s="27" t="s">
        <v>236</v>
      </c>
      <c r="D662" s="27">
        <v>3</v>
      </c>
      <c r="E662" s="16" t="s">
        <v>19</v>
      </c>
      <c r="F662" s="34" t="str">
        <f>+IF('Fiche info Avenant 6'!$BY$9=0,"",'Fiche info Avenant 6'!$BY$9)</f>
        <v/>
      </c>
      <c r="G662" s="16">
        <f t="shared" si="144"/>
        <v>0</v>
      </c>
      <c r="BX662" s="16" t="str">
        <f t="shared" si="145"/>
        <v>Fiche info Avenant 6G3</v>
      </c>
      <c r="BY662" s="431">
        <f>'Fiche info Avenant 6'!$BP$9</f>
        <v>0</v>
      </c>
      <c r="BZ662" s="431">
        <f>'Fiche info Avenant 6'!$BQ$9</f>
        <v>0</v>
      </c>
      <c r="CA662" s="431">
        <f>'Fiche info Avenant 6'!$BR$9</f>
        <v>0</v>
      </c>
      <c r="CB662" s="431">
        <f>'Fiche info Avenant 6'!$BS$9</f>
        <v>0</v>
      </c>
      <c r="CC662" s="431">
        <f>'Fiche info Avenant 6'!$BT$9</f>
        <v>0</v>
      </c>
      <c r="CD662" s="431">
        <f>'Fiche info Avenant 6'!$BU$9</f>
        <v>0</v>
      </c>
      <c r="CE662" s="431">
        <f>'Fiche info Avenant 6'!$BV$9</f>
        <v>0</v>
      </c>
      <c r="CF662" s="431">
        <f>'Fiche info Avenant 6'!$BW$9</f>
        <v>0</v>
      </c>
      <c r="ED662" s="16" t="str">
        <f t="shared" si="138"/>
        <v>Fiche info Avenant 6G</v>
      </c>
      <c r="EE662" s="16" t="str">
        <f t="shared" si="139"/>
        <v>Fiche info Avenant 6</v>
      </c>
      <c r="EF662" s="16" t="str">
        <f t="shared" si="140"/>
        <v>G</v>
      </c>
      <c r="EG662" s="16">
        <f t="shared" si="141"/>
        <v>3</v>
      </c>
      <c r="EH662" s="16" t="str">
        <f t="shared" si="142"/>
        <v>Mercredi</v>
      </c>
      <c r="EI662" s="16" t="str">
        <f t="shared" si="143"/>
        <v/>
      </c>
    </row>
    <row r="663" spans="1:139" x14ac:dyDescent="0.2">
      <c r="A663" s="16" t="str">
        <f t="shared" si="136"/>
        <v>Fiche info Avenant 6G4</v>
      </c>
      <c r="B663" s="16" t="str">
        <f t="shared" si="137"/>
        <v>Fiche info Avenant 6</v>
      </c>
      <c r="C663" s="27" t="s">
        <v>236</v>
      </c>
      <c r="D663" s="27">
        <v>4</v>
      </c>
      <c r="E663" s="16" t="s">
        <v>20</v>
      </c>
      <c r="F663" s="34" t="str">
        <f>+IF('Fiche info Avenant 6'!$BY$10=0,"",'Fiche info Avenant 6'!$BY$10)</f>
        <v/>
      </c>
      <c r="G663" s="16">
        <f t="shared" si="144"/>
        <v>0</v>
      </c>
      <c r="BX663" s="16" t="str">
        <f t="shared" si="145"/>
        <v>Fiche info Avenant 6G4</v>
      </c>
      <c r="BY663" s="431">
        <f>'Fiche info Avenant 6'!$BP$10</f>
        <v>0</v>
      </c>
      <c r="BZ663" s="431">
        <f>'Fiche info Avenant 6'!$BQ$10</f>
        <v>0</v>
      </c>
      <c r="CA663" s="431">
        <f>'Fiche info Avenant 6'!$BR$10</f>
        <v>0</v>
      </c>
      <c r="CB663" s="431">
        <f>'Fiche info Avenant 6'!$BS$10</f>
        <v>0</v>
      </c>
      <c r="CC663" s="431">
        <f>'Fiche info Avenant 6'!$BT$10</f>
        <v>0</v>
      </c>
      <c r="CD663" s="431">
        <f>'Fiche info Avenant 6'!$BU$10</f>
        <v>0</v>
      </c>
      <c r="CE663" s="431">
        <f>'Fiche info Avenant 6'!$BV$10</f>
        <v>0</v>
      </c>
      <c r="CF663" s="431">
        <f>'Fiche info Avenant 6'!$BW$10</f>
        <v>0</v>
      </c>
      <c r="ED663" s="16" t="str">
        <f t="shared" si="138"/>
        <v>Fiche info Avenant 6G</v>
      </c>
      <c r="EE663" s="16" t="str">
        <f t="shared" si="139"/>
        <v>Fiche info Avenant 6</v>
      </c>
      <c r="EF663" s="16" t="str">
        <f t="shared" si="140"/>
        <v>G</v>
      </c>
      <c r="EG663" s="16">
        <f t="shared" si="141"/>
        <v>4</v>
      </c>
      <c r="EH663" s="16" t="str">
        <f t="shared" si="142"/>
        <v>Jeudi</v>
      </c>
      <c r="EI663" s="16" t="str">
        <f t="shared" si="143"/>
        <v/>
      </c>
    </row>
    <row r="664" spans="1:139" x14ac:dyDescent="0.2">
      <c r="A664" s="16" t="str">
        <f t="shared" si="136"/>
        <v>Fiche info Avenant 6G5</v>
      </c>
      <c r="B664" s="16" t="str">
        <f t="shared" si="137"/>
        <v>Fiche info Avenant 6</v>
      </c>
      <c r="C664" s="27" t="s">
        <v>236</v>
      </c>
      <c r="D664" s="27">
        <v>5</v>
      </c>
      <c r="E664" s="16" t="s">
        <v>21</v>
      </c>
      <c r="F664" s="34" t="str">
        <f>+IF('Fiche info Avenant 6'!$BY$11=0,"",'Fiche info Avenant 6'!$BY$11)</f>
        <v/>
      </c>
      <c r="G664" s="16">
        <f t="shared" si="144"/>
        <v>0</v>
      </c>
      <c r="BX664" s="16" t="str">
        <f t="shared" si="145"/>
        <v>Fiche info Avenant 6G5</v>
      </c>
      <c r="BY664" s="431">
        <f>'Fiche info Avenant 6'!$BP$11</f>
        <v>0</v>
      </c>
      <c r="BZ664" s="431">
        <f>'Fiche info Avenant 6'!$BQ$11</f>
        <v>0</v>
      </c>
      <c r="CA664" s="431">
        <f>'Fiche info Avenant 6'!$BR$11</f>
        <v>0</v>
      </c>
      <c r="CB664" s="431">
        <f>'Fiche info Avenant 6'!$BS$11</f>
        <v>0</v>
      </c>
      <c r="CC664" s="431">
        <f>'Fiche info Avenant 6'!$BT$11</f>
        <v>0</v>
      </c>
      <c r="CD664" s="431">
        <f>'Fiche info Avenant 6'!$BU$11</f>
        <v>0</v>
      </c>
      <c r="CE664" s="431">
        <f>'Fiche info Avenant 6'!$BV$11</f>
        <v>0</v>
      </c>
      <c r="CF664" s="431">
        <f>'Fiche info Avenant 6'!$BW$11</f>
        <v>0</v>
      </c>
      <c r="ED664" s="16" t="str">
        <f t="shared" si="138"/>
        <v>Fiche info Avenant 6G</v>
      </c>
      <c r="EE664" s="16" t="str">
        <f t="shared" si="139"/>
        <v>Fiche info Avenant 6</v>
      </c>
      <c r="EF664" s="16" t="str">
        <f t="shared" si="140"/>
        <v>G</v>
      </c>
      <c r="EG664" s="16">
        <f t="shared" si="141"/>
        <v>5</v>
      </c>
      <c r="EH664" s="16" t="str">
        <f t="shared" si="142"/>
        <v>Vendredi</v>
      </c>
      <c r="EI664" s="16" t="str">
        <f t="shared" si="143"/>
        <v/>
      </c>
    </row>
    <row r="665" spans="1:139" x14ac:dyDescent="0.2">
      <c r="A665" s="16" t="str">
        <f t="shared" si="136"/>
        <v>Fiche info Avenant 6G6</v>
      </c>
      <c r="B665" s="16" t="str">
        <f t="shared" si="137"/>
        <v>Fiche info Avenant 6</v>
      </c>
      <c r="C665" s="27" t="s">
        <v>236</v>
      </c>
      <c r="D665" s="27">
        <v>6</v>
      </c>
      <c r="E665" s="16" t="s">
        <v>184</v>
      </c>
      <c r="F665" s="34" t="str">
        <f>+IF('Fiche info Avenant 6'!$BY$12=0,"",'Fiche info Avenant 6'!$BY$12)</f>
        <v/>
      </c>
      <c r="G665" s="16">
        <f t="shared" si="144"/>
        <v>0</v>
      </c>
      <c r="BX665" s="16" t="str">
        <f t="shared" si="145"/>
        <v>Fiche info Avenant 6G6</v>
      </c>
      <c r="BY665" s="431">
        <f>'Fiche info Avenant 6'!$BP$12</f>
        <v>0</v>
      </c>
      <c r="BZ665" s="431">
        <f>'Fiche info Avenant 6'!$BQ$12</f>
        <v>0</v>
      </c>
      <c r="CA665" s="431">
        <f>'Fiche info Avenant 6'!$BR$12</f>
        <v>0</v>
      </c>
      <c r="CB665" s="431">
        <f>'Fiche info Avenant 6'!$BS$12</f>
        <v>0</v>
      </c>
      <c r="CC665" s="431">
        <f>'Fiche info Avenant 6'!$BT$12</f>
        <v>0</v>
      </c>
      <c r="CD665" s="431">
        <f>'Fiche info Avenant 6'!$BU$12</f>
        <v>0</v>
      </c>
      <c r="CE665" s="431">
        <f>'Fiche info Avenant 6'!$BV$12</f>
        <v>0</v>
      </c>
      <c r="CF665" s="431">
        <f>'Fiche info Avenant 6'!$BW$12</f>
        <v>0</v>
      </c>
      <c r="ED665" s="16" t="str">
        <f t="shared" si="138"/>
        <v>Fiche info Avenant 6G</v>
      </c>
      <c r="EE665" s="16" t="str">
        <f t="shared" si="139"/>
        <v>Fiche info Avenant 6</v>
      </c>
      <c r="EF665" s="16" t="str">
        <f t="shared" si="140"/>
        <v>G</v>
      </c>
      <c r="EG665" s="16">
        <f t="shared" si="141"/>
        <v>6</v>
      </c>
      <c r="EH665" s="16" t="str">
        <f t="shared" si="142"/>
        <v>Samedi</v>
      </c>
      <c r="EI665" s="16" t="str">
        <f t="shared" si="143"/>
        <v/>
      </c>
    </row>
    <row r="666" spans="1:139" x14ac:dyDescent="0.2">
      <c r="A666" s="16" t="str">
        <f t="shared" si="136"/>
        <v>Fiche info Avenant 6G7</v>
      </c>
      <c r="B666" s="16" t="str">
        <f t="shared" si="137"/>
        <v>Fiche info Avenant 6</v>
      </c>
      <c r="C666" s="27" t="s">
        <v>236</v>
      </c>
      <c r="D666" s="27">
        <v>7</v>
      </c>
      <c r="E666" s="16" t="s">
        <v>185</v>
      </c>
      <c r="F666" s="34" t="str">
        <f>+IF('Fiche info Avenant 6'!$BY$13=0,"",'Fiche info Avenant 6'!$BY$13)</f>
        <v/>
      </c>
      <c r="G666" s="16">
        <f t="shared" si="144"/>
        <v>0</v>
      </c>
      <c r="BX666" s="16" t="str">
        <f t="shared" si="145"/>
        <v>Fiche info Avenant 6G7</v>
      </c>
      <c r="BY666" s="431">
        <f>'Fiche info Avenant 6'!$BP$13</f>
        <v>0</v>
      </c>
      <c r="BZ666" s="431">
        <f>'Fiche info Avenant 6'!$BQ$13</f>
        <v>0</v>
      </c>
      <c r="CA666" s="431">
        <f>'Fiche info Avenant 6'!$BR$13</f>
        <v>0</v>
      </c>
      <c r="CB666" s="431">
        <f>'Fiche info Avenant 6'!$BS$13</f>
        <v>0</v>
      </c>
      <c r="CC666" s="431">
        <f>'Fiche info Avenant 6'!$BT$13</f>
        <v>0</v>
      </c>
      <c r="CD666" s="431">
        <f>'Fiche info Avenant 6'!$BU$13</f>
        <v>0</v>
      </c>
      <c r="CE666" s="431">
        <f>'Fiche info Avenant 6'!$BV$13</f>
        <v>0</v>
      </c>
      <c r="CF666" s="431">
        <f>'Fiche info Avenant 6'!$BW$13</f>
        <v>0</v>
      </c>
      <c r="ED666" s="16" t="str">
        <f t="shared" si="138"/>
        <v>Fiche info Avenant 6G</v>
      </c>
      <c r="EE666" s="16" t="str">
        <f t="shared" si="139"/>
        <v>Fiche info Avenant 6</v>
      </c>
      <c r="EF666" s="16" t="str">
        <f t="shared" si="140"/>
        <v>G</v>
      </c>
      <c r="EG666" s="16">
        <f t="shared" si="141"/>
        <v>7</v>
      </c>
      <c r="EH666" s="16" t="str">
        <f t="shared" si="142"/>
        <v>Dimanche</v>
      </c>
      <c r="EI666" s="16" t="str">
        <f t="shared" si="143"/>
        <v/>
      </c>
    </row>
    <row r="667" spans="1:139" x14ac:dyDescent="0.2">
      <c r="A667" s="16" t="str">
        <f t="shared" si="136"/>
        <v>Fiche info Avenant 6H1</v>
      </c>
      <c r="B667" s="16" t="str">
        <f t="shared" si="137"/>
        <v>Fiche info Avenant 6</v>
      </c>
      <c r="C667" s="27" t="s">
        <v>237</v>
      </c>
      <c r="D667" s="27">
        <v>1</v>
      </c>
      <c r="E667" s="16" t="s">
        <v>17</v>
      </c>
      <c r="F667" s="34" t="str">
        <f>+IF('Fiche info Avenant 6'!$CJ$7=0,"",'Fiche info Avenant 6'!$CJ$7)</f>
        <v/>
      </c>
      <c r="G667" s="16">
        <f t="shared" si="144"/>
        <v>0</v>
      </c>
      <c r="BX667" s="16" t="str">
        <f t="shared" si="145"/>
        <v>Fiche info Avenant 6H1</v>
      </c>
      <c r="BY667" s="431">
        <f>'Fiche info Avenant 6'!$CA$7</f>
        <v>0</v>
      </c>
      <c r="BZ667" s="431">
        <f>'Fiche info Avenant 6'!$CB$7</f>
        <v>0</v>
      </c>
      <c r="CA667" s="431">
        <f>'Fiche info Avenant 6'!$CC$7</f>
        <v>0</v>
      </c>
      <c r="CB667" s="431">
        <f>'Fiche info Avenant 6'!$CD$7</f>
        <v>0</v>
      </c>
      <c r="CC667" s="431">
        <f>'Fiche info Avenant 6'!$CE$7</f>
        <v>0</v>
      </c>
      <c r="CD667" s="431">
        <f>'Fiche info Avenant 6'!$CF$7</f>
        <v>0</v>
      </c>
      <c r="CE667" s="431">
        <f>'Fiche info Avenant 6'!$CG$7</f>
        <v>0</v>
      </c>
      <c r="CF667" s="431">
        <f>'Fiche info Avenant 6'!$CH$7</f>
        <v>0</v>
      </c>
      <c r="ED667" s="16" t="str">
        <f t="shared" si="138"/>
        <v>Fiche info Avenant 6H</v>
      </c>
      <c r="EE667" s="16" t="str">
        <f t="shared" si="139"/>
        <v>Fiche info Avenant 6</v>
      </c>
      <c r="EF667" s="16" t="str">
        <f t="shared" si="140"/>
        <v>H</v>
      </c>
      <c r="EG667" s="16">
        <f t="shared" si="141"/>
        <v>1</v>
      </c>
      <c r="EH667" s="16" t="str">
        <f t="shared" si="142"/>
        <v>Lundi</v>
      </c>
      <c r="EI667" s="16" t="str">
        <f t="shared" si="143"/>
        <v/>
      </c>
    </row>
    <row r="668" spans="1:139" x14ac:dyDescent="0.2">
      <c r="A668" s="16" t="str">
        <f t="shared" si="136"/>
        <v>Fiche info Avenant 6H2</v>
      </c>
      <c r="B668" s="16" t="str">
        <f t="shared" si="137"/>
        <v>Fiche info Avenant 6</v>
      </c>
      <c r="C668" s="27" t="s">
        <v>237</v>
      </c>
      <c r="D668" s="27">
        <v>2</v>
      </c>
      <c r="E668" s="16" t="s">
        <v>18</v>
      </c>
      <c r="F668" s="34" t="str">
        <f>+IF('Fiche info Avenant 6'!$CJ$8=0,"",'Fiche info Avenant 6'!$CJ$8)</f>
        <v/>
      </c>
      <c r="G668" s="16">
        <f t="shared" si="144"/>
        <v>0</v>
      </c>
      <c r="BX668" s="16" t="str">
        <f t="shared" si="145"/>
        <v>Fiche info Avenant 6H2</v>
      </c>
      <c r="BY668" s="431">
        <f>'Fiche info Avenant 6'!$CA$8</f>
        <v>0</v>
      </c>
      <c r="BZ668" s="431">
        <f>'Fiche info Avenant 6'!$CB$8</f>
        <v>0</v>
      </c>
      <c r="CA668" s="431">
        <f>'Fiche info Avenant 6'!$CC$8</f>
        <v>0</v>
      </c>
      <c r="CB668" s="431">
        <f>'Fiche info Avenant 6'!$CD$8</f>
        <v>0</v>
      </c>
      <c r="CC668" s="431">
        <f>'Fiche info Avenant 6'!$CE$8</f>
        <v>0</v>
      </c>
      <c r="CD668" s="431">
        <f>'Fiche info Avenant 6'!$CF$8</f>
        <v>0</v>
      </c>
      <c r="CE668" s="431">
        <f>'Fiche info Avenant 6'!$CG$8</f>
        <v>0</v>
      </c>
      <c r="CF668" s="431">
        <f>'Fiche info Avenant 6'!$CH$8</f>
        <v>0</v>
      </c>
      <c r="ED668" s="16" t="str">
        <f t="shared" si="138"/>
        <v>Fiche info Avenant 6H</v>
      </c>
      <c r="EE668" s="16" t="str">
        <f t="shared" si="139"/>
        <v>Fiche info Avenant 6</v>
      </c>
      <c r="EF668" s="16" t="str">
        <f t="shared" si="140"/>
        <v>H</v>
      </c>
      <c r="EG668" s="16">
        <f t="shared" si="141"/>
        <v>2</v>
      </c>
      <c r="EH668" s="16" t="str">
        <f t="shared" si="142"/>
        <v>Mardi</v>
      </c>
      <c r="EI668" s="16" t="str">
        <f t="shared" si="143"/>
        <v/>
      </c>
    </row>
    <row r="669" spans="1:139" x14ac:dyDescent="0.2">
      <c r="A669" s="16" t="str">
        <f t="shared" si="136"/>
        <v>Fiche info Avenant 6H3</v>
      </c>
      <c r="B669" s="16" t="str">
        <f t="shared" si="137"/>
        <v>Fiche info Avenant 6</v>
      </c>
      <c r="C669" s="27" t="s">
        <v>237</v>
      </c>
      <c r="D669" s="27">
        <v>3</v>
      </c>
      <c r="E669" s="16" t="s">
        <v>19</v>
      </c>
      <c r="F669" s="34" t="str">
        <f>+IF('Fiche info Avenant 6'!$CJ$9=0,"",'Fiche info Avenant 6'!$CJ$9)</f>
        <v/>
      </c>
      <c r="G669" s="16">
        <f t="shared" si="144"/>
        <v>0</v>
      </c>
      <c r="BX669" s="16" t="str">
        <f t="shared" si="145"/>
        <v>Fiche info Avenant 6H3</v>
      </c>
      <c r="BY669" s="431">
        <f>'Fiche info Avenant 6'!$CA$9</f>
        <v>0</v>
      </c>
      <c r="BZ669" s="431">
        <f>'Fiche info Avenant 6'!$CB$9</f>
        <v>0</v>
      </c>
      <c r="CA669" s="431">
        <f>'Fiche info Avenant 6'!$CC$9</f>
        <v>0</v>
      </c>
      <c r="CB669" s="431">
        <f>'Fiche info Avenant 6'!$CD$9</f>
        <v>0</v>
      </c>
      <c r="CC669" s="431">
        <f>'Fiche info Avenant 6'!$CE$9</f>
        <v>0</v>
      </c>
      <c r="CD669" s="431">
        <f>'Fiche info Avenant 6'!$CF$9</f>
        <v>0</v>
      </c>
      <c r="CE669" s="431">
        <f>'Fiche info Avenant 6'!$CG$9</f>
        <v>0</v>
      </c>
      <c r="CF669" s="431">
        <f>'Fiche info Avenant 6'!$CH$9</f>
        <v>0</v>
      </c>
      <c r="ED669" s="16" t="str">
        <f t="shared" si="138"/>
        <v>Fiche info Avenant 6H</v>
      </c>
      <c r="EE669" s="16" t="str">
        <f t="shared" si="139"/>
        <v>Fiche info Avenant 6</v>
      </c>
      <c r="EF669" s="16" t="str">
        <f t="shared" si="140"/>
        <v>H</v>
      </c>
      <c r="EG669" s="16">
        <f t="shared" si="141"/>
        <v>3</v>
      </c>
      <c r="EH669" s="16" t="str">
        <f t="shared" si="142"/>
        <v>Mercredi</v>
      </c>
      <c r="EI669" s="16" t="str">
        <f t="shared" si="143"/>
        <v/>
      </c>
    </row>
    <row r="670" spans="1:139" x14ac:dyDescent="0.2">
      <c r="A670" s="16" t="str">
        <f t="shared" si="136"/>
        <v>Fiche info Avenant 6H4</v>
      </c>
      <c r="B670" s="16" t="str">
        <f t="shared" si="137"/>
        <v>Fiche info Avenant 6</v>
      </c>
      <c r="C670" s="27" t="s">
        <v>237</v>
      </c>
      <c r="D670" s="27">
        <v>4</v>
      </c>
      <c r="E670" s="16" t="s">
        <v>20</v>
      </c>
      <c r="F670" s="34" t="str">
        <f>+IF('Fiche info Avenant 6'!$CJ$10=0,"",'Fiche info Avenant 6'!$CJ$10)</f>
        <v/>
      </c>
      <c r="G670" s="16">
        <f t="shared" si="144"/>
        <v>0</v>
      </c>
      <c r="BX670" s="16" t="str">
        <f t="shared" si="145"/>
        <v>Fiche info Avenant 6H4</v>
      </c>
      <c r="BY670" s="431">
        <f>'Fiche info Avenant 6'!$CA$10</f>
        <v>0</v>
      </c>
      <c r="BZ670" s="431">
        <f>'Fiche info Avenant 6'!$CB$10</f>
        <v>0</v>
      </c>
      <c r="CA670" s="431">
        <f>'Fiche info Avenant 6'!$CC$10</f>
        <v>0</v>
      </c>
      <c r="CB670" s="431">
        <f>'Fiche info Avenant 6'!$CD$10</f>
        <v>0</v>
      </c>
      <c r="CC670" s="431">
        <f>'Fiche info Avenant 6'!$CE$10</f>
        <v>0</v>
      </c>
      <c r="CD670" s="431">
        <f>'Fiche info Avenant 6'!$CF$10</f>
        <v>0</v>
      </c>
      <c r="CE670" s="431">
        <f>'Fiche info Avenant 6'!$CG$10</f>
        <v>0</v>
      </c>
      <c r="CF670" s="431">
        <f>'Fiche info Avenant 6'!$CH$10</f>
        <v>0</v>
      </c>
      <c r="ED670" s="16" t="str">
        <f t="shared" si="138"/>
        <v>Fiche info Avenant 6H</v>
      </c>
      <c r="EE670" s="16" t="str">
        <f t="shared" si="139"/>
        <v>Fiche info Avenant 6</v>
      </c>
      <c r="EF670" s="16" t="str">
        <f t="shared" si="140"/>
        <v>H</v>
      </c>
      <c r="EG670" s="16">
        <f t="shared" si="141"/>
        <v>4</v>
      </c>
      <c r="EH670" s="16" t="str">
        <f t="shared" si="142"/>
        <v>Jeudi</v>
      </c>
      <c r="EI670" s="16" t="str">
        <f t="shared" si="143"/>
        <v/>
      </c>
    </row>
    <row r="671" spans="1:139" x14ac:dyDescent="0.2">
      <c r="A671" s="16" t="str">
        <f t="shared" si="136"/>
        <v>Fiche info Avenant 6H5</v>
      </c>
      <c r="B671" s="16" t="str">
        <f t="shared" si="137"/>
        <v>Fiche info Avenant 6</v>
      </c>
      <c r="C671" s="27" t="s">
        <v>237</v>
      </c>
      <c r="D671" s="27">
        <v>5</v>
      </c>
      <c r="E671" s="16" t="s">
        <v>21</v>
      </c>
      <c r="F671" s="34" t="str">
        <f>+IF('Fiche info Avenant 6'!$CJ$11=0,"",'Fiche info Avenant 6'!$CJ$11)</f>
        <v/>
      </c>
      <c r="G671" s="16">
        <f t="shared" si="144"/>
        <v>0</v>
      </c>
      <c r="BX671" s="16" t="str">
        <f t="shared" si="145"/>
        <v>Fiche info Avenant 6H5</v>
      </c>
      <c r="BY671" s="431">
        <f>'Fiche info Avenant 6'!$CA$11</f>
        <v>0</v>
      </c>
      <c r="BZ671" s="431">
        <f>'Fiche info Avenant 6'!$CB$11</f>
        <v>0</v>
      </c>
      <c r="CA671" s="431">
        <f>'Fiche info Avenant 6'!$CC$11</f>
        <v>0</v>
      </c>
      <c r="CB671" s="431">
        <f>'Fiche info Avenant 6'!$CD$11</f>
        <v>0</v>
      </c>
      <c r="CC671" s="431">
        <f>'Fiche info Avenant 6'!$CE$11</f>
        <v>0</v>
      </c>
      <c r="CD671" s="431">
        <f>'Fiche info Avenant 6'!$CF$11</f>
        <v>0</v>
      </c>
      <c r="CE671" s="431">
        <f>'Fiche info Avenant 6'!$CG$11</f>
        <v>0</v>
      </c>
      <c r="CF671" s="431">
        <f>'Fiche info Avenant 6'!$CH$11</f>
        <v>0</v>
      </c>
      <c r="ED671" s="16" t="str">
        <f t="shared" si="138"/>
        <v>Fiche info Avenant 6H</v>
      </c>
      <c r="EE671" s="16" t="str">
        <f t="shared" si="139"/>
        <v>Fiche info Avenant 6</v>
      </c>
      <c r="EF671" s="16" t="str">
        <f t="shared" si="140"/>
        <v>H</v>
      </c>
      <c r="EG671" s="16">
        <f t="shared" si="141"/>
        <v>5</v>
      </c>
      <c r="EH671" s="16" t="str">
        <f t="shared" si="142"/>
        <v>Vendredi</v>
      </c>
      <c r="EI671" s="16" t="str">
        <f t="shared" si="143"/>
        <v/>
      </c>
    </row>
    <row r="672" spans="1:139" x14ac:dyDescent="0.2">
      <c r="A672" s="16" t="str">
        <f t="shared" si="136"/>
        <v>Fiche info Avenant 6H6</v>
      </c>
      <c r="B672" s="16" t="str">
        <f t="shared" si="137"/>
        <v>Fiche info Avenant 6</v>
      </c>
      <c r="C672" s="27" t="s">
        <v>237</v>
      </c>
      <c r="D672" s="27">
        <v>6</v>
      </c>
      <c r="E672" s="16" t="s">
        <v>184</v>
      </c>
      <c r="F672" s="34" t="str">
        <f>+IF('Fiche info Avenant 6'!$CJ$12=0,"",'Fiche info Avenant 6'!$CJ$12)</f>
        <v/>
      </c>
      <c r="G672" s="16">
        <f t="shared" si="144"/>
        <v>0</v>
      </c>
      <c r="BX672" s="16" t="str">
        <f t="shared" si="145"/>
        <v>Fiche info Avenant 6H6</v>
      </c>
      <c r="BY672" s="431">
        <f>'Fiche info Avenant 6'!$CA$12</f>
        <v>0</v>
      </c>
      <c r="BZ672" s="431">
        <f>'Fiche info Avenant 6'!$CB$12</f>
        <v>0</v>
      </c>
      <c r="CA672" s="431">
        <f>'Fiche info Avenant 6'!$CC$12</f>
        <v>0</v>
      </c>
      <c r="CB672" s="431">
        <f>'Fiche info Avenant 6'!$CD$12</f>
        <v>0</v>
      </c>
      <c r="CC672" s="431">
        <f>'Fiche info Avenant 6'!$CE$12</f>
        <v>0</v>
      </c>
      <c r="CD672" s="431">
        <f>'Fiche info Avenant 6'!$CF$12</f>
        <v>0</v>
      </c>
      <c r="CE672" s="431">
        <f>'Fiche info Avenant 6'!$CG$12</f>
        <v>0</v>
      </c>
      <c r="CF672" s="431">
        <f>'Fiche info Avenant 6'!$CH$12</f>
        <v>0</v>
      </c>
      <c r="ED672" s="16" t="str">
        <f t="shared" si="138"/>
        <v>Fiche info Avenant 6H</v>
      </c>
      <c r="EE672" s="16" t="str">
        <f t="shared" si="139"/>
        <v>Fiche info Avenant 6</v>
      </c>
      <c r="EF672" s="16" t="str">
        <f t="shared" si="140"/>
        <v>H</v>
      </c>
      <c r="EG672" s="16">
        <f t="shared" si="141"/>
        <v>6</v>
      </c>
      <c r="EH672" s="16" t="str">
        <f t="shared" si="142"/>
        <v>Samedi</v>
      </c>
      <c r="EI672" s="16" t="str">
        <f t="shared" si="143"/>
        <v/>
      </c>
    </row>
    <row r="673" spans="1:139" x14ac:dyDescent="0.2">
      <c r="A673" s="16" t="str">
        <f t="shared" si="136"/>
        <v>Fiche info Avenant 6H7</v>
      </c>
      <c r="B673" s="16" t="str">
        <f t="shared" si="137"/>
        <v>Fiche info Avenant 6</v>
      </c>
      <c r="C673" s="27" t="s">
        <v>237</v>
      </c>
      <c r="D673" s="27">
        <v>7</v>
      </c>
      <c r="E673" s="16" t="s">
        <v>185</v>
      </c>
      <c r="F673" s="34" t="str">
        <f>+IF('Fiche info'!$CJ$13=0,"",'Fiche info'!$CJ$13)</f>
        <v/>
      </c>
      <c r="G673" s="16">
        <f t="shared" si="144"/>
        <v>0</v>
      </c>
      <c r="BX673" s="16" t="str">
        <f t="shared" si="145"/>
        <v>Fiche info Avenant 6H7</v>
      </c>
      <c r="BY673" s="431">
        <f>'Fiche info Avenant 6'!$CA$13</f>
        <v>0</v>
      </c>
      <c r="BZ673" s="431">
        <f>'Fiche info Avenant 6'!$CB$13</f>
        <v>0</v>
      </c>
      <c r="CA673" s="431">
        <f>'Fiche info Avenant 6'!$CC$13</f>
        <v>0</v>
      </c>
      <c r="CB673" s="431">
        <f>'Fiche info Avenant 6'!$CD$13</f>
        <v>0</v>
      </c>
      <c r="CC673" s="431">
        <f>'Fiche info Avenant 6'!$CE$13</f>
        <v>0</v>
      </c>
      <c r="CD673" s="431">
        <f>'Fiche info Avenant 6'!$CF$13</f>
        <v>0</v>
      </c>
      <c r="CE673" s="431">
        <f>'Fiche info Avenant 6'!$CG$13</f>
        <v>0</v>
      </c>
      <c r="CF673" s="431">
        <f>'Fiche info Avenant 6'!$CH$13</f>
        <v>0</v>
      </c>
      <c r="ED673" s="16" t="str">
        <f t="shared" si="138"/>
        <v>Fiche info Avenant 6H</v>
      </c>
      <c r="EE673" s="16" t="str">
        <f t="shared" si="139"/>
        <v>Fiche info Avenant 6</v>
      </c>
      <c r="EF673" s="16" t="str">
        <f t="shared" si="140"/>
        <v>H</v>
      </c>
      <c r="EG673" s="16">
        <f t="shared" si="141"/>
        <v>7</v>
      </c>
      <c r="EH673" s="16" t="str">
        <f t="shared" si="142"/>
        <v>Dimanche</v>
      </c>
      <c r="EI673" s="16" t="str">
        <f t="shared" si="143"/>
        <v/>
      </c>
    </row>
    <row r="674" spans="1:139" x14ac:dyDescent="0.2">
      <c r="A674" s="16" t="str">
        <f t="shared" si="136"/>
        <v>Fiche info Avenant 7A1</v>
      </c>
      <c r="B674" s="16" t="str">
        <f>+$P$14</f>
        <v>Fiche info Avenant 7</v>
      </c>
      <c r="C674" s="27" t="s">
        <v>226</v>
      </c>
      <c r="D674" s="27">
        <v>1</v>
      </c>
      <c r="E674" s="16" t="s">
        <v>17</v>
      </c>
      <c r="F674" s="34" t="str">
        <f>IF('Fiche info Avenant 7'!$K$7=0,"",'Fiche info Avenant 7'!$K$7)</f>
        <v/>
      </c>
      <c r="G674" s="16">
        <f t="shared" si="144"/>
        <v>0</v>
      </c>
      <c r="BX674" s="16" t="str">
        <f t="shared" si="145"/>
        <v>Fiche info Avenant 7A1</v>
      </c>
      <c r="BY674" s="431">
        <f>'Fiche info Avenant 7'!$B$7</f>
        <v>0</v>
      </c>
      <c r="BZ674" s="431">
        <f>'Fiche info Avenant 7'!$C$7</f>
        <v>0</v>
      </c>
      <c r="CA674" s="431">
        <f>'Fiche info Avenant 7'!$D$7</f>
        <v>0</v>
      </c>
      <c r="CB674" s="431">
        <f>'Fiche info Avenant 7'!$E$7</f>
        <v>0</v>
      </c>
      <c r="CC674" s="431">
        <f>'Fiche info Avenant 7'!$F$7</f>
        <v>0</v>
      </c>
      <c r="CD674" s="431">
        <f>'Fiche info Avenant 7'!$G$7</f>
        <v>0</v>
      </c>
      <c r="CE674" s="431">
        <f>'Fiche info Avenant 7'!$H$7</f>
        <v>0</v>
      </c>
      <c r="CF674" s="431">
        <f>'Fiche info Avenant 7'!$I$7</f>
        <v>0</v>
      </c>
      <c r="ED674" s="16" t="str">
        <f t="shared" si="138"/>
        <v>Fiche info Avenant 7A</v>
      </c>
      <c r="EE674" s="16" t="str">
        <f t="shared" si="139"/>
        <v>Fiche info Avenant 7</v>
      </c>
      <c r="EF674" s="16" t="str">
        <f t="shared" si="140"/>
        <v>A</v>
      </c>
      <c r="EG674" s="16">
        <f t="shared" si="141"/>
        <v>1</v>
      </c>
      <c r="EH674" s="16" t="str">
        <f t="shared" si="142"/>
        <v>Lundi</v>
      </c>
      <c r="EI674" s="16" t="str">
        <f t="shared" si="143"/>
        <v/>
      </c>
    </row>
    <row r="675" spans="1:139" x14ac:dyDescent="0.2">
      <c r="A675" s="16" t="str">
        <f t="shared" ref="A675:A730" si="146">+B675&amp;C675&amp;D675</f>
        <v>Fiche info Avenant 7A2</v>
      </c>
      <c r="B675" s="16" t="str">
        <f t="shared" ref="B675:B729" si="147">+$P$14</f>
        <v>Fiche info Avenant 7</v>
      </c>
      <c r="C675" s="27" t="s">
        <v>226</v>
      </c>
      <c r="D675" s="27">
        <v>2</v>
      </c>
      <c r="E675" s="16" t="s">
        <v>18</v>
      </c>
      <c r="F675" s="34" t="str">
        <f>IF('Fiche info Avenant 7'!$K$8=0,"",'Fiche info Avenant 7'!$K$8)</f>
        <v/>
      </c>
      <c r="G675" s="16">
        <f t="shared" si="144"/>
        <v>0</v>
      </c>
      <c r="BX675" s="16" t="str">
        <f t="shared" si="145"/>
        <v>Fiche info Avenant 7A2</v>
      </c>
      <c r="BY675" s="431">
        <f>'Fiche info Avenant 7'!$B$8</f>
        <v>0</v>
      </c>
      <c r="BZ675" s="431">
        <f>'Fiche info Avenant 7'!$C$8</f>
        <v>0</v>
      </c>
      <c r="CA675" s="431">
        <f>'Fiche info Avenant 7'!$D$8</f>
        <v>0</v>
      </c>
      <c r="CB675" s="431">
        <f>'Fiche info Avenant 7'!$E$8</f>
        <v>0</v>
      </c>
      <c r="CC675" s="431">
        <f>'Fiche info Avenant 7'!$F$8</f>
        <v>0</v>
      </c>
      <c r="CD675" s="431">
        <f>'Fiche info Avenant 7'!$G$8</f>
        <v>0</v>
      </c>
      <c r="CE675" s="431">
        <f>'Fiche info Avenant 7'!$H$8</f>
        <v>0</v>
      </c>
      <c r="CF675" s="431">
        <f>'Fiche info Avenant 7'!$I$8</f>
        <v>0</v>
      </c>
      <c r="ED675" s="16" t="str">
        <f t="shared" si="138"/>
        <v>Fiche info Avenant 7A</v>
      </c>
      <c r="EE675" s="16" t="str">
        <f t="shared" si="139"/>
        <v>Fiche info Avenant 7</v>
      </c>
      <c r="EF675" s="16" t="str">
        <f t="shared" si="140"/>
        <v>A</v>
      </c>
      <c r="EG675" s="16">
        <f t="shared" si="141"/>
        <v>2</v>
      </c>
      <c r="EH675" s="16" t="str">
        <f t="shared" si="142"/>
        <v>Mardi</v>
      </c>
      <c r="EI675" s="16" t="str">
        <f t="shared" si="143"/>
        <v/>
      </c>
    </row>
    <row r="676" spans="1:139" x14ac:dyDescent="0.2">
      <c r="A676" s="16" t="str">
        <f t="shared" si="146"/>
        <v>Fiche info Avenant 7A3</v>
      </c>
      <c r="B676" s="16" t="str">
        <f t="shared" si="147"/>
        <v>Fiche info Avenant 7</v>
      </c>
      <c r="C676" s="27" t="s">
        <v>226</v>
      </c>
      <c r="D676" s="27">
        <v>3</v>
      </c>
      <c r="E676" s="16" t="s">
        <v>19</v>
      </c>
      <c r="F676" s="34" t="str">
        <f>IF('Fiche info Avenant 7'!$K$9=0,"",'Fiche info Avenant 7'!$K$9)</f>
        <v/>
      </c>
      <c r="G676" s="16">
        <f t="shared" si="144"/>
        <v>0</v>
      </c>
      <c r="BX676" s="16" t="str">
        <f t="shared" si="145"/>
        <v>Fiche info Avenant 7A3</v>
      </c>
      <c r="BY676" s="431">
        <f>'Fiche info Avenant 7'!$B$9</f>
        <v>0</v>
      </c>
      <c r="BZ676" s="431">
        <f>'Fiche info Avenant 7'!$C$9</f>
        <v>0</v>
      </c>
      <c r="CA676" s="431">
        <f>'Fiche info Avenant 7'!$D$9</f>
        <v>0</v>
      </c>
      <c r="CB676" s="431">
        <f>'Fiche info Avenant 7'!$E$9</f>
        <v>0</v>
      </c>
      <c r="CC676" s="431">
        <f>'Fiche info Avenant 7'!$F$9</f>
        <v>0</v>
      </c>
      <c r="CD676" s="431">
        <f>'Fiche info Avenant 7'!$G$9</f>
        <v>0</v>
      </c>
      <c r="CE676" s="431">
        <f>'Fiche info Avenant 7'!$H$9</f>
        <v>0</v>
      </c>
      <c r="CF676" s="431">
        <f>'Fiche info Avenant 7'!$I$9</f>
        <v>0</v>
      </c>
      <c r="ED676" s="16" t="str">
        <f t="shared" si="138"/>
        <v>Fiche info Avenant 7A</v>
      </c>
      <c r="EE676" s="16" t="str">
        <f t="shared" si="139"/>
        <v>Fiche info Avenant 7</v>
      </c>
      <c r="EF676" s="16" t="str">
        <f t="shared" si="140"/>
        <v>A</v>
      </c>
      <c r="EG676" s="16">
        <f t="shared" si="141"/>
        <v>3</v>
      </c>
      <c r="EH676" s="16" t="str">
        <f t="shared" si="142"/>
        <v>Mercredi</v>
      </c>
      <c r="EI676" s="16" t="str">
        <f t="shared" si="143"/>
        <v/>
      </c>
    </row>
    <row r="677" spans="1:139" x14ac:dyDescent="0.2">
      <c r="A677" s="16" t="str">
        <f t="shared" si="146"/>
        <v>Fiche info Avenant 7A4</v>
      </c>
      <c r="B677" s="16" t="str">
        <f t="shared" si="147"/>
        <v>Fiche info Avenant 7</v>
      </c>
      <c r="C677" s="27" t="s">
        <v>226</v>
      </c>
      <c r="D677" s="27">
        <v>4</v>
      </c>
      <c r="E677" s="16" t="s">
        <v>20</v>
      </c>
      <c r="F677" s="34" t="str">
        <f>IF('Fiche info Avenant 7'!$K$10=0,"",'Fiche info Avenant 7'!$K$10)</f>
        <v/>
      </c>
      <c r="G677" s="16">
        <f t="shared" si="144"/>
        <v>0</v>
      </c>
      <c r="BX677" s="16" t="str">
        <f t="shared" si="145"/>
        <v>Fiche info Avenant 7A4</v>
      </c>
      <c r="BY677" s="431">
        <f>'Fiche info Avenant 7'!$B$10</f>
        <v>0</v>
      </c>
      <c r="BZ677" s="431">
        <f>'Fiche info Avenant 7'!$C$10</f>
        <v>0</v>
      </c>
      <c r="CA677" s="431">
        <f>'Fiche info Avenant 7'!$D$10</f>
        <v>0</v>
      </c>
      <c r="CB677" s="431">
        <f>'Fiche info Avenant 7'!$E$10</f>
        <v>0</v>
      </c>
      <c r="CC677" s="431">
        <f>'Fiche info Avenant 7'!$F$10</f>
        <v>0</v>
      </c>
      <c r="CD677" s="431">
        <f>'Fiche info Avenant 7'!$G$10</f>
        <v>0</v>
      </c>
      <c r="CE677" s="431">
        <f>'Fiche info Avenant 7'!$H$10</f>
        <v>0</v>
      </c>
      <c r="CF677" s="431">
        <f>'Fiche info Avenant 7'!$I$10</f>
        <v>0</v>
      </c>
      <c r="ED677" s="16" t="str">
        <f t="shared" si="138"/>
        <v>Fiche info Avenant 7A</v>
      </c>
      <c r="EE677" s="16" t="str">
        <f t="shared" si="139"/>
        <v>Fiche info Avenant 7</v>
      </c>
      <c r="EF677" s="16" t="str">
        <f t="shared" si="140"/>
        <v>A</v>
      </c>
      <c r="EG677" s="16">
        <f t="shared" si="141"/>
        <v>4</v>
      </c>
      <c r="EH677" s="16" t="str">
        <f t="shared" si="142"/>
        <v>Jeudi</v>
      </c>
      <c r="EI677" s="16" t="str">
        <f t="shared" si="143"/>
        <v/>
      </c>
    </row>
    <row r="678" spans="1:139" x14ac:dyDescent="0.2">
      <c r="A678" s="16" t="str">
        <f t="shared" si="146"/>
        <v>Fiche info Avenant 7A5</v>
      </c>
      <c r="B678" s="16" t="str">
        <f t="shared" si="147"/>
        <v>Fiche info Avenant 7</v>
      </c>
      <c r="C678" s="27" t="s">
        <v>226</v>
      </c>
      <c r="D678" s="27">
        <v>5</v>
      </c>
      <c r="E678" s="16" t="s">
        <v>21</v>
      </c>
      <c r="F678" s="34" t="str">
        <f>IF('Fiche info Avenant 7'!$K$11=0,"",'Fiche info Avenant 7'!$K$11)</f>
        <v/>
      </c>
      <c r="G678" s="16">
        <f t="shared" si="144"/>
        <v>0</v>
      </c>
      <c r="BX678" s="16" t="str">
        <f t="shared" si="145"/>
        <v>Fiche info Avenant 7A5</v>
      </c>
      <c r="BY678" s="431">
        <f>'Fiche info Avenant 7'!$B$11</f>
        <v>0</v>
      </c>
      <c r="BZ678" s="431">
        <f>'Fiche info Avenant 7'!$C$11</f>
        <v>0</v>
      </c>
      <c r="CA678" s="431">
        <f>'Fiche info Avenant 7'!$D$11</f>
        <v>0</v>
      </c>
      <c r="CB678" s="431">
        <f>'Fiche info Avenant 7'!$E$11</f>
        <v>0</v>
      </c>
      <c r="CC678" s="431">
        <f>'Fiche info Avenant 7'!$F$11</f>
        <v>0</v>
      </c>
      <c r="CD678" s="431">
        <f>'Fiche info Avenant 7'!$G$11</f>
        <v>0</v>
      </c>
      <c r="CE678" s="431">
        <f>'Fiche info Avenant 7'!$H$11</f>
        <v>0</v>
      </c>
      <c r="CF678" s="431">
        <f>'Fiche info Avenant 7'!$I$11</f>
        <v>0</v>
      </c>
      <c r="ED678" s="16" t="str">
        <f t="shared" si="138"/>
        <v>Fiche info Avenant 7A</v>
      </c>
      <c r="EE678" s="16" t="str">
        <f t="shared" si="139"/>
        <v>Fiche info Avenant 7</v>
      </c>
      <c r="EF678" s="16" t="str">
        <f t="shared" si="140"/>
        <v>A</v>
      </c>
      <c r="EG678" s="16">
        <f t="shared" si="141"/>
        <v>5</v>
      </c>
      <c r="EH678" s="16" t="str">
        <f t="shared" si="142"/>
        <v>Vendredi</v>
      </c>
      <c r="EI678" s="16" t="str">
        <f t="shared" si="143"/>
        <v/>
      </c>
    </row>
    <row r="679" spans="1:139" x14ac:dyDescent="0.2">
      <c r="A679" s="16" t="str">
        <f t="shared" si="146"/>
        <v>Fiche info Avenant 7A6</v>
      </c>
      <c r="B679" s="16" t="str">
        <f t="shared" si="147"/>
        <v>Fiche info Avenant 7</v>
      </c>
      <c r="C679" s="27" t="s">
        <v>226</v>
      </c>
      <c r="D679" s="27">
        <v>6</v>
      </c>
      <c r="E679" s="16" t="s">
        <v>184</v>
      </c>
      <c r="F679" s="34" t="str">
        <f>IF('Fiche info Avenant 7'!$K$12=0,"",'Fiche info Avenant 7'!$K$12)</f>
        <v/>
      </c>
      <c r="G679" s="16">
        <f t="shared" si="144"/>
        <v>0</v>
      </c>
      <c r="BX679" s="16" t="str">
        <f t="shared" si="145"/>
        <v>Fiche info Avenant 7A6</v>
      </c>
      <c r="BY679" s="431">
        <f>'Fiche info Avenant 7'!$B$12</f>
        <v>0</v>
      </c>
      <c r="BZ679" s="431">
        <f>'Fiche info Avenant 7'!$C$12</f>
        <v>0</v>
      </c>
      <c r="CA679" s="431">
        <f>'Fiche info Avenant 7'!$D$12</f>
        <v>0</v>
      </c>
      <c r="CB679" s="431">
        <f>'Fiche info Avenant 7'!$E$12</f>
        <v>0</v>
      </c>
      <c r="CC679" s="431">
        <f>'Fiche info Avenant 7'!$F$12</f>
        <v>0</v>
      </c>
      <c r="CD679" s="431">
        <f>'Fiche info Avenant 7'!$G$12</f>
        <v>0</v>
      </c>
      <c r="CE679" s="431">
        <f>'Fiche info Avenant 7'!$H$12</f>
        <v>0</v>
      </c>
      <c r="CF679" s="431">
        <f>'Fiche info Avenant 7'!$I$12</f>
        <v>0</v>
      </c>
      <c r="ED679" s="16" t="str">
        <f t="shared" si="138"/>
        <v>Fiche info Avenant 7A</v>
      </c>
      <c r="EE679" s="16" t="str">
        <f t="shared" si="139"/>
        <v>Fiche info Avenant 7</v>
      </c>
      <c r="EF679" s="16" t="str">
        <f t="shared" si="140"/>
        <v>A</v>
      </c>
      <c r="EG679" s="16">
        <f t="shared" si="141"/>
        <v>6</v>
      </c>
      <c r="EH679" s="16" t="str">
        <f t="shared" si="142"/>
        <v>Samedi</v>
      </c>
      <c r="EI679" s="16" t="str">
        <f t="shared" si="143"/>
        <v/>
      </c>
    </row>
    <row r="680" spans="1:139" x14ac:dyDescent="0.2">
      <c r="A680" s="16" t="str">
        <f t="shared" si="146"/>
        <v>Fiche info Avenant 7A7</v>
      </c>
      <c r="B680" s="16" t="str">
        <f t="shared" si="147"/>
        <v>Fiche info Avenant 7</v>
      </c>
      <c r="C680" s="27" t="s">
        <v>226</v>
      </c>
      <c r="D680" s="27">
        <v>7</v>
      </c>
      <c r="E680" s="16" t="s">
        <v>185</v>
      </c>
      <c r="F680" s="34" t="str">
        <f>IF('Fiche info Avenant 7'!$K$13=0,"",'Fiche info Avenant 7'!$K$13)</f>
        <v/>
      </c>
      <c r="G680" s="16">
        <f t="shared" si="144"/>
        <v>0</v>
      </c>
      <c r="BX680" s="16" t="str">
        <f t="shared" si="145"/>
        <v>Fiche info Avenant 7A7</v>
      </c>
      <c r="BY680" s="431">
        <f>'Fiche info Avenant 7'!$B$13</f>
        <v>0</v>
      </c>
      <c r="BZ680" s="431">
        <f>'Fiche info Avenant 7'!$C$13</f>
        <v>0</v>
      </c>
      <c r="CA680" s="431">
        <f>'Fiche info Avenant 7'!$D$13</f>
        <v>0</v>
      </c>
      <c r="CB680" s="431">
        <f>'Fiche info Avenant 7'!$E$13</f>
        <v>0</v>
      </c>
      <c r="CC680" s="431">
        <f>'Fiche info Avenant 7'!$F$13</f>
        <v>0</v>
      </c>
      <c r="CD680" s="431">
        <f>'Fiche info Avenant 7'!$G$13</f>
        <v>0</v>
      </c>
      <c r="CE680" s="431">
        <f>'Fiche info Avenant 7'!$H$13</f>
        <v>0</v>
      </c>
      <c r="CF680" s="431">
        <f>'Fiche info Avenant 7'!$I$13</f>
        <v>0</v>
      </c>
      <c r="ED680" s="16" t="str">
        <f t="shared" si="138"/>
        <v>Fiche info Avenant 7A</v>
      </c>
      <c r="EE680" s="16" t="str">
        <f t="shared" si="139"/>
        <v>Fiche info Avenant 7</v>
      </c>
      <c r="EF680" s="16" t="str">
        <f t="shared" si="140"/>
        <v>A</v>
      </c>
      <c r="EG680" s="16">
        <f t="shared" si="141"/>
        <v>7</v>
      </c>
      <c r="EH680" s="16" t="str">
        <f t="shared" si="142"/>
        <v>Dimanche</v>
      </c>
      <c r="EI680" s="16" t="str">
        <f t="shared" si="143"/>
        <v/>
      </c>
    </row>
    <row r="681" spans="1:139" x14ac:dyDescent="0.2">
      <c r="A681" s="16" t="str">
        <f t="shared" si="146"/>
        <v>Fiche info Avenant 7B1</v>
      </c>
      <c r="B681" s="16" t="str">
        <f t="shared" si="147"/>
        <v>Fiche info Avenant 7</v>
      </c>
      <c r="C681" s="27" t="s">
        <v>227</v>
      </c>
      <c r="D681" s="27">
        <v>1</v>
      </c>
      <c r="E681" s="16" t="s">
        <v>17</v>
      </c>
      <c r="F681" s="34" t="str">
        <f>+IF('Fiche info Avenant 7'!$V$7=0,"",'Fiche info Avenant 7'!$V$7)</f>
        <v/>
      </c>
      <c r="G681" s="16">
        <f t="shared" si="144"/>
        <v>0</v>
      </c>
      <c r="BX681" s="16" t="str">
        <f t="shared" si="145"/>
        <v>Fiche info Avenant 7B1</v>
      </c>
      <c r="BY681" s="431">
        <f>'Fiche info Avenant 7'!$M$7</f>
        <v>0</v>
      </c>
      <c r="BZ681" s="431">
        <f>'Fiche info Avenant 7'!$N$7</f>
        <v>0</v>
      </c>
      <c r="CA681" s="431">
        <f>'Fiche info Avenant 7'!$O$7</f>
        <v>0</v>
      </c>
      <c r="CB681" s="431">
        <f>'Fiche info Avenant 7'!$P$7</f>
        <v>0</v>
      </c>
      <c r="CC681" s="431">
        <f>'Fiche info Avenant 7'!$Q$7</f>
        <v>0</v>
      </c>
      <c r="CD681" s="431">
        <f>'Fiche info Avenant 7'!$R$7</f>
        <v>0</v>
      </c>
      <c r="CE681" s="431">
        <f>'Fiche info Avenant 7'!$S$7</f>
        <v>0</v>
      </c>
      <c r="CF681" s="431">
        <f>'Fiche info Avenant 7'!$T$7</f>
        <v>0</v>
      </c>
      <c r="ED681" s="16" t="str">
        <f t="shared" si="138"/>
        <v>Fiche info Avenant 7B</v>
      </c>
      <c r="EE681" s="16" t="str">
        <f t="shared" si="139"/>
        <v>Fiche info Avenant 7</v>
      </c>
      <c r="EF681" s="16" t="str">
        <f t="shared" si="140"/>
        <v>B</v>
      </c>
      <c r="EG681" s="16">
        <f t="shared" si="141"/>
        <v>1</v>
      </c>
      <c r="EH681" s="16" t="str">
        <f t="shared" si="142"/>
        <v>Lundi</v>
      </c>
      <c r="EI681" s="16" t="str">
        <f t="shared" si="143"/>
        <v/>
      </c>
    </row>
    <row r="682" spans="1:139" x14ac:dyDescent="0.2">
      <c r="A682" s="16" t="str">
        <f t="shared" si="146"/>
        <v>Fiche info Avenant 7B2</v>
      </c>
      <c r="B682" s="16" t="str">
        <f t="shared" si="147"/>
        <v>Fiche info Avenant 7</v>
      </c>
      <c r="C682" s="27" t="s">
        <v>227</v>
      </c>
      <c r="D682" s="27">
        <v>2</v>
      </c>
      <c r="E682" s="16" t="s">
        <v>18</v>
      </c>
      <c r="F682" s="34" t="str">
        <f>+IF('Fiche info Avenant 7'!$V$8=0,"",'Fiche info Avenant 7'!$V$8)</f>
        <v/>
      </c>
      <c r="G682" s="16">
        <f t="shared" si="144"/>
        <v>0</v>
      </c>
      <c r="BX682" s="16" t="str">
        <f t="shared" si="145"/>
        <v>Fiche info Avenant 7B2</v>
      </c>
      <c r="BY682" s="431">
        <f>'Fiche info Avenant 7'!$M$8</f>
        <v>0</v>
      </c>
      <c r="BZ682" s="431">
        <f>'Fiche info Avenant 7'!$N$8</f>
        <v>0</v>
      </c>
      <c r="CA682" s="431">
        <f>'Fiche info Avenant 7'!$O$8</f>
        <v>0</v>
      </c>
      <c r="CB682" s="431">
        <f>'Fiche info Avenant 7'!$P$8</f>
        <v>0</v>
      </c>
      <c r="CC682" s="431">
        <f>'Fiche info Avenant 7'!$Q$8</f>
        <v>0</v>
      </c>
      <c r="CD682" s="431">
        <f>'Fiche info Avenant 7'!$R$8</f>
        <v>0</v>
      </c>
      <c r="CE682" s="431">
        <f>'Fiche info Avenant 7'!$S$8</f>
        <v>0</v>
      </c>
      <c r="CF682" s="431">
        <f>'Fiche info Avenant 7'!$T$8</f>
        <v>0</v>
      </c>
      <c r="ED682" s="16" t="str">
        <f t="shared" si="138"/>
        <v>Fiche info Avenant 7B</v>
      </c>
      <c r="EE682" s="16" t="str">
        <f t="shared" si="139"/>
        <v>Fiche info Avenant 7</v>
      </c>
      <c r="EF682" s="16" t="str">
        <f t="shared" si="140"/>
        <v>B</v>
      </c>
      <c r="EG682" s="16">
        <f t="shared" si="141"/>
        <v>2</v>
      </c>
      <c r="EH682" s="16" t="str">
        <f t="shared" si="142"/>
        <v>Mardi</v>
      </c>
      <c r="EI682" s="16" t="str">
        <f t="shared" si="143"/>
        <v/>
      </c>
    </row>
    <row r="683" spans="1:139" x14ac:dyDescent="0.2">
      <c r="A683" s="16" t="str">
        <f t="shared" si="146"/>
        <v>Fiche info Avenant 7B3</v>
      </c>
      <c r="B683" s="16" t="str">
        <f t="shared" si="147"/>
        <v>Fiche info Avenant 7</v>
      </c>
      <c r="C683" s="27" t="s">
        <v>227</v>
      </c>
      <c r="D683" s="27">
        <v>3</v>
      </c>
      <c r="E683" s="16" t="s">
        <v>19</v>
      </c>
      <c r="F683" s="34" t="str">
        <f>+IF('Fiche info Avenant 7'!$V$9=0,"",'Fiche info Avenant 7'!$V$9)</f>
        <v/>
      </c>
      <c r="G683" s="16">
        <f t="shared" si="144"/>
        <v>0</v>
      </c>
      <c r="BX683" s="16" t="str">
        <f t="shared" si="145"/>
        <v>Fiche info Avenant 7B3</v>
      </c>
      <c r="BY683" s="431">
        <f>'Fiche info Avenant 7'!$M$9</f>
        <v>0</v>
      </c>
      <c r="BZ683" s="431">
        <f>'Fiche info Avenant 7'!$N$9</f>
        <v>0</v>
      </c>
      <c r="CA683" s="431">
        <f>'Fiche info Avenant 7'!$O$9</f>
        <v>0</v>
      </c>
      <c r="CB683" s="431">
        <f>'Fiche info Avenant 7'!$P$9</f>
        <v>0</v>
      </c>
      <c r="CC683" s="431">
        <f>'Fiche info Avenant 7'!$Q$9</f>
        <v>0</v>
      </c>
      <c r="CD683" s="431">
        <f>'Fiche info Avenant 7'!$R$9</f>
        <v>0</v>
      </c>
      <c r="CE683" s="431">
        <f>'Fiche info Avenant 7'!$S$9</f>
        <v>0</v>
      </c>
      <c r="CF683" s="431">
        <f>'Fiche info Avenant 7'!$T$9</f>
        <v>0</v>
      </c>
      <c r="ED683" s="16" t="str">
        <f t="shared" si="138"/>
        <v>Fiche info Avenant 7B</v>
      </c>
      <c r="EE683" s="16" t="str">
        <f t="shared" si="139"/>
        <v>Fiche info Avenant 7</v>
      </c>
      <c r="EF683" s="16" t="str">
        <f t="shared" si="140"/>
        <v>B</v>
      </c>
      <c r="EG683" s="16">
        <f t="shared" si="141"/>
        <v>3</v>
      </c>
      <c r="EH683" s="16" t="str">
        <f t="shared" si="142"/>
        <v>Mercredi</v>
      </c>
      <c r="EI683" s="16" t="str">
        <f t="shared" si="143"/>
        <v/>
      </c>
    </row>
    <row r="684" spans="1:139" x14ac:dyDescent="0.2">
      <c r="A684" s="16" t="str">
        <f t="shared" si="146"/>
        <v>Fiche info Avenant 7B4</v>
      </c>
      <c r="B684" s="16" t="str">
        <f t="shared" si="147"/>
        <v>Fiche info Avenant 7</v>
      </c>
      <c r="C684" s="27" t="s">
        <v>227</v>
      </c>
      <c r="D684" s="27">
        <v>4</v>
      </c>
      <c r="E684" s="16" t="s">
        <v>20</v>
      </c>
      <c r="F684" s="34" t="str">
        <f>+IF('Fiche info Avenant 7'!$V$10=0,"",'Fiche info Avenant 7'!$V$10)</f>
        <v/>
      </c>
      <c r="G684" s="16">
        <f t="shared" si="144"/>
        <v>0</v>
      </c>
      <c r="BX684" s="16" t="str">
        <f t="shared" si="145"/>
        <v>Fiche info Avenant 7B4</v>
      </c>
      <c r="BY684" s="431">
        <f>'Fiche info Avenant 7'!$M$10</f>
        <v>0</v>
      </c>
      <c r="BZ684" s="431">
        <f>'Fiche info Avenant 7'!$N$10</f>
        <v>0</v>
      </c>
      <c r="CA684" s="431">
        <f>'Fiche info Avenant 7'!$O$10</f>
        <v>0</v>
      </c>
      <c r="CB684" s="431">
        <f>'Fiche info Avenant 7'!$P$10</f>
        <v>0</v>
      </c>
      <c r="CC684" s="431">
        <f>'Fiche info Avenant 7'!$Q$10</f>
        <v>0</v>
      </c>
      <c r="CD684" s="431">
        <f>'Fiche info Avenant 7'!$R$10</f>
        <v>0</v>
      </c>
      <c r="CE684" s="431">
        <f>'Fiche info Avenant 7'!$S$10</f>
        <v>0</v>
      </c>
      <c r="CF684" s="431">
        <f>'Fiche info Avenant 7'!$T$10</f>
        <v>0</v>
      </c>
      <c r="ED684" s="16" t="str">
        <f t="shared" si="138"/>
        <v>Fiche info Avenant 7B</v>
      </c>
      <c r="EE684" s="16" t="str">
        <f t="shared" si="139"/>
        <v>Fiche info Avenant 7</v>
      </c>
      <c r="EF684" s="16" t="str">
        <f t="shared" si="140"/>
        <v>B</v>
      </c>
      <c r="EG684" s="16">
        <f t="shared" si="141"/>
        <v>4</v>
      </c>
      <c r="EH684" s="16" t="str">
        <f t="shared" si="142"/>
        <v>Jeudi</v>
      </c>
      <c r="EI684" s="16" t="str">
        <f t="shared" si="143"/>
        <v/>
      </c>
    </row>
    <row r="685" spans="1:139" x14ac:dyDescent="0.2">
      <c r="A685" s="16" t="str">
        <f t="shared" si="146"/>
        <v>Fiche info Avenant 7B5</v>
      </c>
      <c r="B685" s="16" t="str">
        <f t="shared" si="147"/>
        <v>Fiche info Avenant 7</v>
      </c>
      <c r="C685" s="27" t="s">
        <v>227</v>
      </c>
      <c r="D685" s="27">
        <v>5</v>
      </c>
      <c r="E685" s="16" t="s">
        <v>21</v>
      </c>
      <c r="F685" s="34" t="str">
        <f>+IF('Fiche info Avenant 7'!$V$11=0,"",'Fiche info Avenant 7'!$V$11)</f>
        <v/>
      </c>
      <c r="G685" s="16">
        <f t="shared" si="144"/>
        <v>0</v>
      </c>
      <c r="BX685" s="16" t="str">
        <f t="shared" si="145"/>
        <v>Fiche info Avenant 7B5</v>
      </c>
      <c r="BY685" s="431">
        <f>'Fiche info Avenant 7'!$M$11</f>
        <v>0</v>
      </c>
      <c r="BZ685" s="431">
        <f>'Fiche info Avenant 7'!$N$11</f>
        <v>0</v>
      </c>
      <c r="CA685" s="431">
        <f>'Fiche info Avenant 7'!$O$11</f>
        <v>0</v>
      </c>
      <c r="CB685" s="431">
        <f>'Fiche info Avenant 7'!$P$11</f>
        <v>0</v>
      </c>
      <c r="CC685" s="431">
        <f>'Fiche info Avenant 7'!$Q$11</f>
        <v>0</v>
      </c>
      <c r="CD685" s="431">
        <f>'Fiche info Avenant 7'!$R$11</f>
        <v>0</v>
      </c>
      <c r="CE685" s="431">
        <f>'Fiche info Avenant 7'!$S$11</f>
        <v>0</v>
      </c>
      <c r="CF685" s="431">
        <f>'Fiche info Avenant 7'!$T$11</f>
        <v>0</v>
      </c>
      <c r="ED685" s="16" t="str">
        <f t="shared" si="138"/>
        <v>Fiche info Avenant 7B</v>
      </c>
      <c r="EE685" s="16" t="str">
        <f t="shared" si="139"/>
        <v>Fiche info Avenant 7</v>
      </c>
      <c r="EF685" s="16" t="str">
        <f t="shared" si="140"/>
        <v>B</v>
      </c>
      <c r="EG685" s="16">
        <f t="shared" si="141"/>
        <v>5</v>
      </c>
      <c r="EH685" s="16" t="str">
        <f t="shared" si="142"/>
        <v>Vendredi</v>
      </c>
      <c r="EI685" s="16" t="str">
        <f t="shared" si="143"/>
        <v/>
      </c>
    </row>
    <row r="686" spans="1:139" x14ac:dyDescent="0.2">
      <c r="A686" s="16" t="str">
        <f t="shared" si="146"/>
        <v>Fiche info Avenant 7B6</v>
      </c>
      <c r="B686" s="16" t="str">
        <f t="shared" si="147"/>
        <v>Fiche info Avenant 7</v>
      </c>
      <c r="C686" s="27" t="s">
        <v>227</v>
      </c>
      <c r="D686" s="27">
        <v>6</v>
      </c>
      <c r="E686" s="16" t="s">
        <v>184</v>
      </c>
      <c r="F686" s="34" t="str">
        <f>+IF('Fiche info Avenant 7'!$V$12=0,"",'Fiche info Avenant 7'!$V$12)</f>
        <v/>
      </c>
      <c r="G686" s="16">
        <f t="shared" si="144"/>
        <v>0</v>
      </c>
      <c r="BX686" s="16" t="str">
        <f t="shared" si="145"/>
        <v>Fiche info Avenant 7B6</v>
      </c>
      <c r="BY686" s="431">
        <f>'Fiche info Avenant 7'!$M$12</f>
        <v>0</v>
      </c>
      <c r="BZ686" s="431">
        <f>'Fiche info Avenant 7'!$N$12</f>
        <v>0</v>
      </c>
      <c r="CA686" s="431">
        <f>'Fiche info Avenant 7'!$O$12</f>
        <v>0</v>
      </c>
      <c r="CB686" s="431">
        <f>'Fiche info Avenant 7'!$P$12</f>
        <v>0</v>
      </c>
      <c r="CC686" s="431">
        <f>'Fiche info Avenant 7'!$Q$12</f>
        <v>0</v>
      </c>
      <c r="CD686" s="431">
        <f>'Fiche info Avenant 7'!$R$12</f>
        <v>0</v>
      </c>
      <c r="CE686" s="431">
        <f>'Fiche info Avenant 7'!$S$12</f>
        <v>0</v>
      </c>
      <c r="CF686" s="431">
        <f>'Fiche info Avenant 7'!$T$12</f>
        <v>0</v>
      </c>
      <c r="ED686" s="16" t="str">
        <f t="shared" si="138"/>
        <v>Fiche info Avenant 7B</v>
      </c>
      <c r="EE686" s="16" t="str">
        <f t="shared" si="139"/>
        <v>Fiche info Avenant 7</v>
      </c>
      <c r="EF686" s="16" t="str">
        <f t="shared" si="140"/>
        <v>B</v>
      </c>
      <c r="EG686" s="16">
        <f t="shared" si="141"/>
        <v>6</v>
      </c>
      <c r="EH686" s="16" t="str">
        <f t="shared" si="142"/>
        <v>Samedi</v>
      </c>
      <c r="EI686" s="16" t="str">
        <f t="shared" si="143"/>
        <v/>
      </c>
    </row>
    <row r="687" spans="1:139" x14ac:dyDescent="0.2">
      <c r="A687" s="16" t="str">
        <f t="shared" si="146"/>
        <v>Fiche info Avenant 7B7</v>
      </c>
      <c r="B687" s="16" t="str">
        <f t="shared" si="147"/>
        <v>Fiche info Avenant 7</v>
      </c>
      <c r="C687" s="27" t="s">
        <v>227</v>
      </c>
      <c r="D687" s="27">
        <v>7</v>
      </c>
      <c r="E687" s="16" t="s">
        <v>185</v>
      </c>
      <c r="F687" s="34" t="str">
        <f>+IF('Fiche info Avenant 7'!$V$13=0,"",'Fiche info Avenant 7'!$V$13)</f>
        <v/>
      </c>
      <c r="G687" s="16">
        <f t="shared" si="144"/>
        <v>0</v>
      </c>
      <c r="BX687" s="16" t="str">
        <f t="shared" si="145"/>
        <v>Fiche info Avenant 7B7</v>
      </c>
      <c r="BY687" s="431">
        <f>'Fiche info Avenant 7'!$M$13</f>
        <v>0</v>
      </c>
      <c r="BZ687" s="431">
        <f>'Fiche info Avenant 7'!$N$13</f>
        <v>0</v>
      </c>
      <c r="CA687" s="431">
        <f>'Fiche info Avenant 7'!$O$13</f>
        <v>0</v>
      </c>
      <c r="CB687" s="431">
        <f>'Fiche info Avenant 7'!$P$13</f>
        <v>0</v>
      </c>
      <c r="CC687" s="431">
        <f>'Fiche info Avenant 7'!$Q$13</f>
        <v>0</v>
      </c>
      <c r="CD687" s="431">
        <f>'Fiche info Avenant 7'!$R$13</f>
        <v>0</v>
      </c>
      <c r="CE687" s="431">
        <f>'Fiche info Avenant 7'!$S$13</f>
        <v>0</v>
      </c>
      <c r="CF687" s="431">
        <f>'Fiche info Avenant 7'!$T$13</f>
        <v>0</v>
      </c>
      <c r="ED687" s="16" t="str">
        <f t="shared" si="138"/>
        <v>Fiche info Avenant 7B</v>
      </c>
      <c r="EE687" s="16" t="str">
        <f t="shared" si="139"/>
        <v>Fiche info Avenant 7</v>
      </c>
      <c r="EF687" s="16" t="str">
        <f t="shared" si="140"/>
        <v>B</v>
      </c>
      <c r="EG687" s="16">
        <f t="shared" si="141"/>
        <v>7</v>
      </c>
      <c r="EH687" s="16" t="str">
        <f t="shared" si="142"/>
        <v>Dimanche</v>
      </c>
      <c r="EI687" s="16" t="str">
        <f t="shared" si="143"/>
        <v/>
      </c>
    </row>
    <row r="688" spans="1:139" x14ac:dyDescent="0.2">
      <c r="A688" s="16" t="str">
        <f t="shared" si="146"/>
        <v>Fiche info Avenant 7C1</v>
      </c>
      <c r="B688" s="16" t="str">
        <f t="shared" si="147"/>
        <v>Fiche info Avenant 7</v>
      </c>
      <c r="C688" s="27" t="s">
        <v>232</v>
      </c>
      <c r="D688" s="27">
        <v>1</v>
      </c>
      <c r="E688" s="16" t="s">
        <v>17</v>
      </c>
      <c r="F688" s="34" t="str">
        <f>+IF('Fiche info Avenant 7'!$AG$7=0,"",'Fiche info Avenant 7'!$AG$7)</f>
        <v/>
      </c>
      <c r="G688" s="16">
        <f t="shared" si="144"/>
        <v>0</v>
      </c>
      <c r="BX688" s="16" t="str">
        <f t="shared" si="145"/>
        <v>Fiche info Avenant 7C1</v>
      </c>
      <c r="BY688" s="431">
        <f>'Fiche info Avenant 7'!$X$7</f>
        <v>0</v>
      </c>
      <c r="BZ688" s="431">
        <f>'Fiche info Avenant 7'!$Y$7</f>
        <v>0</v>
      </c>
      <c r="CA688" s="431">
        <f>'Fiche info Avenant 7'!$Z$7</f>
        <v>0</v>
      </c>
      <c r="CB688" s="431">
        <f>'Fiche info Avenant 7'!$AA$7</f>
        <v>0</v>
      </c>
      <c r="CC688" s="431">
        <f>'Fiche info Avenant 7'!$AB$7</f>
        <v>0</v>
      </c>
      <c r="CD688" s="431">
        <f>'Fiche info Avenant 7'!$AC$7</f>
        <v>0</v>
      </c>
      <c r="CE688" s="431">
        <f>'Fiche info Avenant 7'!$AD$7</f>
        <v>0</v>
      </c>
      <c r="CF688" s="431">
        <f>'Fiche info Avenant 7'!$AE$7</f>
        <v>0</v>
      </c>
      <c r="ED688" s="16" t="str">
        <f t="shared" si="138"/>
        <v>Fiche info Avenant 7C</v>
      </c>
      <c r="EE688" s="16" t="str">
        <f t="shared" si="139"/>
        <v>Fiche info Avenant 7</v>
      </c>
      <c r="EF688" s="16" t="str">
        <f t="shared" si="140"/>
        <v>C</v>
      </c>
      <c r="EG688" s="16">
        <f t="shared" si="141"/>
        <v>1</v>
      </c>
      <c r="EH688" s="16" t="str">
        <f t="shared" si="142"/>
        <v>Lundi</v>
      </c>
      <c r="EI688" s="16" t="str">
        <f t="shared" si="143"/>
        <v/>
      </c>
    </row>
    <row r="689" spans="1:139" x14ac:dyDescent="0.2">
      <c r="A689" s="16" t="str">
        <f t="shared" si="146"/>
        <v>Fiche info Avenant 7C2</v>
      </c>
      <c r="B689" s="16" t="str">
        <f t="shared" si="147"/>
        <v>Fiche info Avenant 7</v>
      </c>
      <c r="C689" s="27" t="s">
        <v>232</v>
      </c>
      <c r="D689" s="27">
        <v>2</v>
      </c>
      <c r="E689" s="16" t="s">
        <v>18</v>
      </c>
      <c r="F689" s="34" t="str">
        <f>+IF('Fiche info Avenant 7'!$AG$8=0,"",'Fiche info Avenant 7'!$AG$8)</f>
        <v/>
      </c>
      <c r="G689" s="16">
        <f t="shared" si="144"/>
        <v>0</v>
      </c>
      <c r="BX689" s="16" t="str">
        <f t="shared" si="145"/>
        <v>Fiche info Avenant 7C2</v>
      </c>
      <c r="BY689" s="431">
        <f>'Fiche info Avenant 7'!$X$8</f>
        <v>0</v>
      </c>
      <c r="BZ689" s="431">
        <f>'Fiche info Avenant 7'!$Y$8</f>
        <v>0</v>
      </c>
      <c r="CA689" s="431">
        <f>'Fiche info Avenant 7'!$Z$8</f>
        <v>0</v>
      </c>
      <c r="CB689" s="431">
        <f>'Fiche info Avenant 7'!$AA$8</f>
        <v>0</v>
      </c>
      <c r="CC689" s="431">
        <f>'Fiche info Avenant 7'!$AB$8</f>
        <v>0</v>
      </c>
      <c r="CD689" s="431">
        <f>'Fiche info Avenant 7'!$AC$8</f>
        <v>0</v>
      </c>
      <c r="CE689" s="431">
        <f>'Fiche info Avenant 7'!$AD$8</f>
        <v>0</v>
      </c>
      <c r="CF689" s="431">
        <f>'Fiche info Avenant 7'!$AE$8</f>
        <v>0</v>
      </c>
      <c r="ED689" s="16" t="str">
        <f t="shared" si="138"/>
        <v>Fiche info Avenant 7C</v>
      </c>
      <c r="EE689" s="16" t="str">
        <f t="shared" si="139"/>
        <v>Fiche info Avenant 7</v>
      </c>
      <c r="EF689" s="16" t="str">
        <f t="shared" si="140"/>
        <v>C</v>
      </c>
      <c r="EG689" s="16">
        <f t="shared" si="141"/>
        <v>2</v>
      </c>
      <c r="EH689" s="16" t="str">
        <f t="shared" si="142"/>
        <v>Mardi</v>
      </c>
      <c r="EI689" s="16" t="str">
        <f t="shared" si="143"/>
        <v/>
      </c>
    </row>
    <row r="690" spans="1:139" x14ac:dyDescent="0.2">
      <c r="A690" s="16" t="str">
        <f t="shared" si="146"/>
        <v>Fiche info Avenant 7C3</v>
      </c>
      <c r="B690" s="16" t="str">
        <f t="shared" si="147"/>
        <v>Fiche info Avenant 7</v>
      </c>
      <c r="C690" s="27" t="s">
        <v>232</v>
      </c>
      <c r="D690" s="27">
        <v>3</v>
      </c>
      <c r="E690" s="16" t="s">
        <v>19</v>
      </c>
      <c r="F690" s="34" t="str">
        <f>+IF('Fiche info Avenant 7'!$AG$9=0,"",'Fiche info Avenant 7'!$AG$9)</f>
        <v/>
      </c>
      <c r="G690" s="16">
        <f t="shared" si="144"/>
        <v>0</v>
      </c>
      <c r="BX690" s="16" t="str">
        <f t="shared" si="145"/>
        <v>Fiche info Avenant 7C3</v>
      </c>
      <c r="BY690" s="431">
        <f>'Fiche info Avenant 7'!$X$9</f>
        <v>0</v>
      </c>
      <c r="BZ690" s="431">
        <f>'Fiche info Avenant 7'!$Y$9</f>
        <v>0</v>
      </c>
      <c r="CA690" s="431">
        <f>'Fiche info Avenant 7'!$Z$9</f>
        <v>0</v>
      </c>
      <c r="CB690" s="431">
        <f>'Fiche info Avenant 7'!$AA$9</f>
        <v>0</v>
      </c>
      <c r="CC690" s="431">
        <f>'Fiche info Avenant 7'!$AB$9</f>
        <v>0</v>
      </c>
      <c r="CD690" s="431">
        <f>'Fiche info Avenant 7'!$AC$9</f>
        <v>0</v>
      </c>
      <c r="CE690" s="431">
        <f>'Fiche info Avenant 7'!$AD$9</f>
        <v>0</v>
      </c>
      <c r="CF690" s="431">
        <f>'Fiche info Avenant 7'!$AE$9</f>
        <v>0</v>
      </c>
      <c r="ED690" s="16" t="str">
        <f t="shared" si="138"/>
        <v>Fiche info Avenant 7C</v>
      </c>
      <c r="EE690" s="16" t="str">
        <f t="shared" si="139"/>
        <v>Fiche info Avenant 7</v>
      </c>
      <c r="EF690" s="16" t="str">
        <f t="shared" si="140"/>
        <v>C</v>
      </c>
      <c r="EG690" s="16">
        <f t="shared" si="141"/>
        <v>3</v>
      </c>
      <c r="EH690" s="16" t="str">
        <f t="shared" si="142"/>
        <v>Mercredi</v>
      </c>
      <c r="EI690" s="16" t="str">
        <f t="shared" si="143"/>
        <v/>
      </c>
    </row>
    <row r="691" spans="1:139" x14ac:dyDescent="0.2">
      <c r="A691" s="16" t="str">
        <f t="shared" si="146"/>
        <v>Fiche info Avenant 7C4</v>
      </c>
      <c r="B691" s="16" t="str">
        <f t="shared" si="147"/>
        <v>Fiche info Avenant 7</v>
      </c>
      <c r="C691" s="27" t="s">
        <v>232</v>
      </c>
      <c r="D691" s="27">
        <v>4</v>
      </c>
      <c r="E691" s="16" t="s">
        <v>20</v>
      </c>
      <c r="F691" s="34" t="str">
        <f>+IF('Fiche info Avenant 7'!$AG$10=0,"",'Fiche info Avenant 7'!$AG$10)</f>
        <v/>
      </c>
      <c r="G691" s="16">
        <f t="shared" si="144"/>
        <v>0</v>
      </c>
      <c r="BX691" s="16" t="str">
        <f t="shared" si="145"/>
        <v>Fiche info Avenant 7C4</v>
      </c>
      <c r="BY691" s="431">
        <f>'Fiche info Avenant 7'!$X$10</f>
        <v>0</v>
      </c>
      <c r="BZ691" s="431">
        <f>'Fiche info Avenant 7'!$Y$10</f>
        <v>0</v>
      </c>
      <c r="CA691" s="431">
        <f>'Fiche info Avenant 7'!$Z$10</f>
        <v>0</v>
      </c>
      <c r="CB691" s="431">
        <f>'Fiche info Avenant 7'!$AA$10</f>
        <v>0</v>
      </c>
      <c r="CC691" s="431">
        <f>'Fiche info Avenant 7'!$AB$10</f>
        <v>0</v>
      </c>
      <c r="CD691" s="431">
        <f>'Fiche info Avenant 7'!$AC$10</f>
        <v>0</v>
      </c>
      <c r="CE691" s="431">
        <f>'Fiche info Avenant 7'!$AD$10</f>
        <v>0</v>
      </c>
      <c r="CF691" s="431">
        <f>'Fiche info Avenant 7'!$AE$10</f>
        <v>0</v>
      </c>
      <c r="ED691" s="16" t="str">
        <f t="shared" ref="ED691:ED754" si="148">+EE691&amp;EF691</f>
        <v>Fiche info Avenant 7C</v>
      </c>
      <c r="EE691" s="16" t="str">
        <f t="shared" si="139"/>
        <v>Fiche info Avenant 7</v>
      </c>
      <c r="EF691" s="16" t="str">
        <f t="shared" si="140"/>
        <v>C</v>
      </c>
      <c r="EG691" s="16">
        <f t="shared" si="141"/>
        <v>4</v>
      </c>
      <c r="EH691" s="16" t="str">
        <f t="shared" si="142"/>
        <v>Jeudi</v>
      </c>
      <c r="EI691" s="16" t="str">
        <f t="shared" si="143"/>
        <v/>
      </c>
    </row>
    <row r="692" spans="1:139" x14ac:dyDescent="0.2">
      <c r="A692" s="16" t="str">
        <f t="shared" si="146"/>
        <v>Fiche info Avenant 7C5</v>
      </c>
      <c r="B692" s="16" t="str">
        <f t="shared" si="147"/>
        <v>Fiche info Avenant 7</v>
      </c>
      <c r="C692" s="27" t="s">
        <v>232</v>
      </c>
      <c r="D692" s="27">
        <v>5</v>
      </c>
      <c r="E692" s="16" t="s">
        <v>21</v>
      </c>
      <c r="F692" s="34" t="str">
        <f>+IF('Fiche info Avenant 7'!$AG$11=0,"",'Fiche info Avenant 7'!$AG$11)</f>
        <v/>
      </c>
      <c r="G692" s="16">
        <f t="shared" si="144"/>
        <v>0</v>
      </c>
      <c r="BX692" s="16" t="str">
        <f t="shared" si="145"/>
        <v>Fiche info Avenant 7C5</v>
      </c>
      <c r="BY692" s="431">
        <f>'Fiche info Avenant 7'!$X$11</f>
        <v>0</v>
      </c>
      <c r="BZ692" s="431">
        <f>'Fiche info Avenant 7'!$Y$11</f>
        <v>0</v>
      </c>
      <c r="CA692" s="431">
        <f>'Fiche info Avenant 7'!$Z$11</f>
        <v>0</v>
      </c>
      <c r="CB692" s="431">
        <f>'Fiche info Avenant 7'!$AA$11</f>
        <v>0</v>
      </c>
      <c r="CC692" s="431">
        <f>'Fiche info Avenant 7'!$AB$11</f>
        <v>0</v>
      </c>
      <c r="CD692" s="431">
        <f>'Fiche info Avenant 7'!$AC$11</f>
        <v>0</v>
      </c>
      <c r="CE692" s="431">
        <f>'Fiche info Avenant 7'!$AD$11</f>
        <v>0</v>
      </c>
      <c r="CF692" s="431">
        <f>'Fiche info Avenant 7'!$AE$11</f>
        <v>0</v>
      </c>
      <c r="ED692" s="16" t="str">
        <f t="shared" si="148"/>
        <v>Fiche info Avenant 7C</v>
      </c>
      <c r="EE692" s="16" t="str">
        <f t="shared" si="139"/>
        <v>Fiche info Avenant 7</v>
      </c>
      <c r="EF692" s="16" t="str">
        <f t="shared" si="140"/>
        <v>C</v>
      </c>
      <c r="EG692" s="16">
        <f t="shared" si="141"/>
        <v>5</v>
      </c>
      <c r="EH692" s="16" t="str">
        <f t="shared" si="142"/>
        <v>Vendredi</v>
      </c>
      <c r="EI692" s="16" t="str">
        <f t="shared" si="143"/>
        <v/>
      </c>
    </row>
    <row r="693" spans="1:139" x14ac:dyDescent="0.2">
      <c r="A693" s="16" t="str">
        <f t="shared" si="146"/>
        <v>Fiche info Avenant 7C6</v>
      </c>
      <c r="B693" s="16" t="str">
        <f t="shared" si="147"/>
        <v>Fiche info Avenant 7</v>
      </c>
      <c r="C693" s="27" t="s">
        <v>232</v>
      </c>
      <c r="D693" s="27">
        <v>6</v>
      </c>
      <c r="E693" s="16" t="s">
        <v>184</v>
      </c>
      <c r="F693" s="34" t="str">
        <f>+IF('Fiche info Avenant 7'!$AG$12=0,"",'Fiche info Avenant 7'!$AG$12)</f>
        <v/>
      </c>
      <c r="G693" s="16">
        <f t="shared" si="144"/>
        <v>0</v>
      </c>
      <c r="BX693" s="16" t="str">
        <f t="shared" si="145"/>
        <v>Fiche info Avenant 7C6</v>
      </c>
      <c r="BY693" s="431">
        <f>'Fiche info Avenant 7'!$X$12</f>
        <v>0</v>
      </c>
      <c r="BZ693" s="431">
        <f>'Fiche info Avenant 7'!$Y$12</f>
        <v>0</v>
      </c>
      <c r="CA693" s="431">
        <f>'Fiche info Avenant 7'!$Z$12</f>
        <v>0</v>
      </c>
      <c r="CB693" s="431">
        <f>'Fiche info Avenant 7'!$AA$12</f>
        <v>0</v>
      </c>
      <c r="CC693" s="431">
        <f>'Fiche info Avenant 7'!$AB$12</f>
        <v>0</v>
      </c>
      <c r="CD693" s="431">
        <f>'Fiche info Avenant 7'!$AC$12</f>
        <v>0</v>
      </c>
      <c r="CE693" s="431">
        <f>'Fiche info Avenant 7'!$AD$12</f>
        <v>0</v>
      </c>
      <c r="CF693" s="431">
        <f>'Fiche info Avenant 7'!$AE$12</f>
        <v>0</v>
      </c>
      <c r="ED693" s="16" t="str">
        <f t="shared" si="148"/>
        <v>Fiche info Avenant 7C</v>
      </c>
      <c r="EE693" s="16" t="str">
        <f t="shared" si="139"/>
        <v>Fiche info Avenant 7</v>
      </c>
      <c r="EF693" s="16" t="str">
        <f t="shared" si="140"/>
        <v>C</v>
      </c>
      <c r="EG693" s="16">
        <f t="shared" si="141"/>
        <v>6</v>
      </c>
      <c r="EH693" s="16" t="str">
        <f t="shared" si="142"/>
        <v>Samedi</v>
      </c>
      <c r="EI693" s="16" t="str">
        <f t="shared" si="143"/>
        <v/>
      </c>
    </row>
    <row r="694" spans="1:139" x14ac:dyDescent="0.2">
      <c r="A694" s="16" t="str">
        <f t="shared" si="146"/>
        <v>Fiche info Avenant 7C7</v>
      </c>
      <c r="B694" s="16" t="str">
        <f t="shared" si="147"/>
        <v>Fiche info Avenant 7</v>
      </c>
      <c r="C694" s="27" t="s">
        <v>232</v>
      </c>
      <c r="D694" s="27">
        <v>7</v>
      </c>
      <c r="E694" s="16" t="s">
        <v>185</v>
      </c>
      <c r="F694" s="34" t="str">
        <f>+IF('Fiche info Avenant 7'!$AG$13=0,"",'Fiche info Avenant 7'!$AG$13)</f>
        <v/>
      </c>
      <c r="G694" s="16">
        <f t="shared" si="144"/>
        <v>0</v>
      </c>
      <c r="BX694" s="16" t="str">
        <f t="shared" si="145"/>
        <v>Fiche info Avenant 7C7</v>
      </c>
      <c r="BY694" s="431">
        <f>'Fiche info Avenant 7'!$X$13</f>
        <v>0</v>
      </c>
      <c r="BZ694" s="431">
        <f>'Fiche info Avenant 7'!$Y$13</f>
        <v>0</v>
      </c>
      <c r="CA694" s="431">
        <f>'Fiche info Avenant 7'!$Z$13</f>
        <v>0</v>
      </c>
      <c r="CB694" s="431">
        <f>'Fiche info Avenant 7'!$AA$13</f>
        <v>0</v>
      </c>
      <c r="CC694" s="431">
        <f>'Fiche info Avenant 7'!$AB$13</f>
        <v>0</v>
      </c>
      <c r="CD694" s="431">
        <f>'Fiche info Avenant 7'!$AC$13</f>
        <v>0</v>
      </c>
      <c r="CE694" s="431">
        <f>'Fiche info Avenant 7'!$AD$13</f>
        <v>0</v>
      </c>
      <c r="CF694" s="431">
        <f>'Fiche info Avenant 7'!$AE$13</f>
        <v>0</v>
      </c>
      <c r="ED694" s="16" t="str">
        <f t="shared" si="148"/>
        <v>Fiche info Avenant 7C</v>
      </c>
      <c r="EE694" s="16" t="str">
        <f t="shared" si="139"/>
        <v>Fiche info Avenant 7</v>
      </c>
      <c r="EF694" s="16" t="str">
        <f t="shared" si="140"/>
        <v>C</v>
      </c>
      <c r="EG694" s="16">
        <f t="shared" si="141"/>
        <v>7</v>
      </c>
      <c r="EH694" s="16" t="str">
        <f t="shared" si="142"/>
        <v>Dimanche</v>
      </c>
      <c r="EI694" s="16" t="str">
        <f t="shared" si="143"/>
        <v/>
      </c>
    </row>
    <row r="695" spans="1:139" x14ac:dyDescent="0.2">
      <c r="A695" s="16" t="str">
        <f t="shared" si="146"/>
        <v>Fiche info Avenant 7D1</v>
      </c>
      <c r="B695" s="16" t="str">
        <f t="shared" si="147"/>
        <v>Fiche info Avenant 7</v>
      </c>
      <c r="C695" s="27" t="s">
        <v>233</v>
      </c>
      <c r="D695" s="27">
        <v>1</v>
      </c>
      <c r="E695" s="16" t="s">
        <v>17</v>
      </c>
      <c r="F695" s="34" t="str">
        <f>+IF('Fiche info Avenant 7'!$AR$7=0,"",'Fiche info Avenant 7'!$AR$7)</f>
        <v/>
      </c>
      <c r="G695" s="16">
        <f t="shared" si="144"/>
        <v>0</v>
      </c>
      <c r="BX695" s="16" t="str">
        <f t="shared" si="145"/>
        <v>Fiche info Avenant 7D1</v>
      </c>
      <c r="BY695" s="431">
        <f>'Fiche info Avenant 7'!$AI$7</f>
        <v>0</v>
      </c>
      <c r="BZ695" s="431">
        <f>'Fiche info Avenant 7'!$AJ$7</f>
        <v>0</v>
      </c>
      <c r="CA695" s="431">
        <f>'Fiche info Avenant 7'!$AK$7</f>
        <v>0</v>
      </c>
      <c r="CB695" s="431">
        <f>'Fiche info Avenant 7'!$AL$7</f>
        <v>0</v>
      </c>
      <c r="CC695" s="431">
        <f>'Fiche info Avenant 7'!$AM$7</f>
        <v>0</v>
      </c>
      <c r="CD695" s="431">
        <f>'Fiche info Avenant 7'!$AN$7</f>
        <v>0</v>
      </c>
      <c r="CE695" s="431">
        <f>'Fiche info Avenant 7'!$AO$7</f>
        <v>0</v>
      </c>
      <c r="CF695" s="431">
        <f>'Fiche info Avenant 7'!$AP$7</f>
        <v>0</v>
      </c>
      <c r="ED695" s="16" t="str">
        <f t="shared" si="148"/>
        <v>Fiche info Avenant 7D</v>
      </c>
      <c r="EE695" s="16" t="str">
        <f t="shared" si="139"/>
        <v>Fiche info Avenant 7</v>
      </c>
      <c r="EF695" s="16" t="str">
        <f t="shared" si="140"/>
        <v>D</v>
      </c>
      <c r="EG695" s="16">
        <f t="shared" si="141"/>
        <v>1</v>
      </c>
      <c r="EH695" s="16" t="str">
        <f t="shared" si="142"/>
        <v>Lundi</v>
      </c>
      <c r="EI695" s="16" t="str">
        <f t="shared" si="143"/>
        <v/>
      </c>
    </row>
    <row r="696" spans="1:139" x14ac:dyDescent="0.2">
      <c r="A696" s="16" t="str">
        <f t="shared" si="146"/>
        <v>Fiche info Avenant 7D2</v>
      </c>
      <c r="B696" s="16" t="str">
        <f t="shared" si="147"/>
        <v>Fiche info Avenant 7</v>
      </c>
      <c r="C696" s="27" t="s">
        <v>233</v>
      </c>
      <c r="D696" s="27">
        <v>2</v>
      </c>
      <c r="E696" s="16" t="s">
        <v>18</v>
      </c>
      <c r="F696" s="34" t="str">
        <f>IF(+'Fiche info Avenant 7'!$AR$8=0,"",'Fiche info Avenant 7'!$AR$8)</f>
        <v/>
      </c>
      <c r="G696" s="16">
        <f t="shared" si="144"/>
        <v>0</v>
      </c>
      <c r="BX696" s="16" t="str">
        <f t="shared" si="145"/>
        <v>Fiche info Avenant 7D2</v>
      </c>
      <c r="BY696" s="431">
        <f>'Fiche info Avenant 7'!$AI$8</f>
        <v>0</v>
      </c>
      <c r="BZ696" s="431">
        <f>'Fiche info Avenant 7'!$AJ$8</f>
        <v>0</v>
      </c>
      <c r="CA696" s="431">
        <f>'Fiche info Avenant 7'!$AK$8</f>
        <v>0</v>
      </c>
      <c r="CB696" s="431">
        <f>'Fiche info Avenant 7'!$AL$8</f>
        <v>0</v>
      </c>
      <c r="CC696" s="431">
        <f>'Fiche info Avenant 7'!$AM$8</f>
        <v>0</v>
      </c>
      <c r="CD696" s="431">
        <f>'Fiche info Avenant 7'!$AN$8</f>
        <v>0</v>
      </c>
      <c r="CE696" s="431">
        <f>'Fiche info Avenant 7'!$AO$8</f>
        <v>0</v>
      </c>
      <c r="CF696" s="431">
        <f>'Fiche info Avenant 7'!$AP$8</f>
        <v>0</v>
      </c>
      <c r="ED696" s="16" t="str">
        <f t="shared" si="148"/>
        <v>Fiche info Avenant 7D</v>
      </c>
      <c r="EE696" s="16" t="str">
        <f t="shared" si="139"/>
        <v>Fiche info Avenant 7</v>
      </c>
      <c r="EF696" s="16" t="str">
        <f t="shared" si="140"/>
        <v>D</v>
      </c>
      <c r="EG696" s="16">
        <f t="shared" si="141"/>
        <v>2</v>
      </c>
      <c r="EH696" s="16" t="str">
        <f t="shared" si="142"/>
        <v>Mardi</v>
      </c>
      <c r="EI696" s="16" t="str">
        <f t="shared" si="143"/>
        <v/>
      </c>
    </row>
    <row r="697" spans="1:139" x14ac:dyDescent="0.2">
      <c r="A697" s="16" t="str">
        <f t="shared" si="146"/>
        <v>Fiche info Avenant 7D3</v>
      </c>
      <c r="B697" s="16" t="str">
        <f t="shared" si="147"/>
        <v>Fiche info Avenant 7</v>
      </c>
      <c r="C697" s="27" t="s">
        <v>233</v>
      </c>
      <c r="D697" s="27">
        <v>3</v>
      </c>
      <c r="E697" s="16" t="s">
        <v>19</v>
      </c>
      <c r="F697" s="34" t="str">
        <f>IF(+'Fiche info Avenant 7'!$AR$9=0,"",'Fiche info Avenant 7'!$AR$9)</f>
        <v/>
      </c>
      <c r="G697" s="16">
        <f t="shared" si="144"/>
        <v>0</v>
      </c>
      <c r="BX697" s="16" t="str">
        <f t="shared" si="145"/>
        <v>Fiche info Avenant 7D3</v>
      </c>
      <c r="BY697" s="431">
        <f>'Fiche info Avenant 7'!$AI$9</f>
        <v>0</v>
      </c>
      <c r="BZ697" s="431">
        <f>'Fiche info Avenant 7'!$AJ$9</f>
        <v>0</v>
      </c>
      <c r="CA697" s="431">
        <f>'Fiche info Avenant 7'!$AK$9</f>
        <v>0</v>
      </c>
      <c r="CB697" s="431">
        <f>'Fiche info Avenant 7'!$AL$9</f>
        <v>0</v>
      </c>
      <c r="CC697" s="431">
        <f>'Fiche info Avenant 7'!$AM$9</f>
        <v>0</v>
      </c>
      <c r="CD697" s="431">
        <f>'Fiche info Avenant 7'!$AN$9</f>
        <v>0</v>
      </c>
      <c r="CE697" s="431">
        <f>'Fiche info Avenant 7'!$AO$9</f>
        <v>0</v>
      </c>
      <c r="CF697" s="431">
        <f>'Fiche info Avenant 7'!$AP$9</f>
        <v>0</v>
      </c>
      <c r="ED697" s="16" t="str">
        <f t="shared" si="148"/>
        <v>Fiche info Avenant 7D</v>
      </c>
      <c r="EE697" s="16" t="str">
        <f t="shared" si="139"/>
        <v>Fiche info Avenant 7</v>
      </c>
      <c r="EF697" s="16" t="str">
        <f t="shared" si="140"/>
        <v>D</v>
      </c>
      <c r="EG697" s="16">
        <f t="shared" si="141"/>
        <v>3</v>
      </c>
      <c r="EH697" s="16" t="str">
        <f t="shared" si="142"/>
        <v>Mercredi</v>
      </c>
      <c r="EI697" s="16" t="str">
        <f t="shared" si="143"/>
        <v/>
      </c>
    </row>
    <row r="698" spans="1:139" x14ac:dyDescent="0.2">
      <c r="A698" s="16" t="str">
        <f t="shared" si="146"/>
        <v>Fiche info Avenant 7D4</v>
      </c>
      <c r="B698" s="16" t="str">
        <f t="shared" si="147"/>
        <v>Fiche info Avenant 7</v>
      </c>
      <c r="C698" s="27" t="s">
        <v>233</v>
      </c>
      <c r="D698" s="27">
        <v>4</v>
      </c>
      <c r="E698" s="16" t="s">
        <v>20</v>
      </c>
      <c r="F698" s="34" t="str">
        <f>IF(+'Fiche info Avenant 7'!$AR$10=0,"",'Fiche info Avenant 7'!$AR$10)</f>
        <v/>
      </c>
      <c r="G698" s="16">
        <f t="shared" si="144"/>
        <v>0</v>
      </c>
      <c r="BX698" s="16" t="str">
        <f t="shared" si="145"/>
        <v>Fiche info Avenant 7D4</v>
      </c>
      <c r="BY698" s="431">
        <f>'Fiche info Avenant 7'!$AI$10</f>
        <v>0</v>
      </c>
      <c r="BZ698" s="431">
        <f>'Fiche info Avenant 7'!$AJ$10</f>
        <v>0</v>
      </c>
      <c r="CA698" s="431">
        <f>'Fiche info Avenant 7'!$AK$10</f>
        <v>0</v>
      </c>
      <c r="CB698" s="431">
        <f>'Fiche info Avenant 7'!$AL$10</f>
        <v>0</v>
      </c>
      <c r="CC698" s="431">
        <f>'Fiche info Avenant 7'!$AM$10</f>
        <v>0</v>
      </c>
      <c r="CD698" s="431">
        <f>'Fiche info Avenant 7'!$AN$10</f>
        <v>0</v>
      </c>
      <c r="CE698" s="431">
        <f>'Fiche info Avenant 7'!$AO$10</f>
        <v>0</v>
      </c>
      <c r="CF698" s="431">
        <f>'Fiche info Avenant 7'!$AP$10</f>
        <v>0</v>
      </c>
      <c r="ED698" s="16" t="str">
        <f t="shared" si="148"/>
        <v>Fiche info Avenant 7D</v>
      </c>
      <c r="EE698" s="16" t="str">
        <f t="shared" si="139"/>
        <v>Fiche info Avenant 7</v>
      </c>
      <c r="EF698" s="16" t="str">
        <f t="shared" si="140"/>
        <v>D</v>
      </c>
      <c r="EG698" s="16">
        <f t="shared" si="141"/>
        <v>4</v>
      </c>
      <c r="EH698" s="16" t="str">
        <f t="shared" si="142"/>
        <v>Jeudi</v>
      </c>
      <c r="EI698" s="16" t="str">
        <f t="shared" si="143"/>
        <v/>
      </c>
    </row>
    <row r="699" spans="1:139" x14ac:dyDescent="0.2">
      <c r="A699" s="16" t="str">
        <f t="shared" si="146"/>
        <v>Fiche info Avenant 7D5</v>
      </c>
      <c r="B699" s="16" t="str">
        <f t="shared" si="147"/>
        <v>Fiche info Avenant 7</v>
      </c>
      <c r="C699" s="27" t="s">
        <v>233</v>
      </c>
      <c r="D699" s="27">
        <v>5</v>
      </c>
      <c r="E699" s="16" t="s">
        <v>21</v>
      </c>
      <c r="F699" s="34" t="str">
        <f>IF(+'Fiche info Avenant 7'!$AR$11=0,"",'Fiche info Avenant 7'!$AR$11)</f>
        <v/>
      </c>
      <c r="G699" s="16">
        <f t="shared" si="144"/>
        <v>0</v>
      </c>
      <c r="BX699" s="16" t="str">
        <f t="shared" si="145"/>
        <v>Fiche info Avenant 7D5</v>
      </c>
      <c r="BY699" s="431">
        <f>'Fiche info Avenant 7'!$AI$11</f>
        <v>0</v>
      </c>
      <c r="BZ699" s="431">
        <f>'Fiche info Avenant 7'!$AJ$11</f>
        <v>0</v>
      </c>
      <c r="CA699" s="431">
        <f>'Fiche info Avenant 7'!$AK$11</f>
        <v>0</v>
      </c>
      <c r="CB699" s="431">
        <f>'Fiche info Avenant 7'!$AL$11</f>
        <v>0</v>
      </c>
      <c r="CC699" s="431">
        <f>'Fiche info Avenant 7'!$AM$11</f>
        <v>0</v>
      </c>
      <c r="CD699" s="431">
        <f>'Fiche info Avenant 7'!$AN$11</f>
        <v>0</v>
      </c>
      <c r="CE699" s="431">
        <f>'Fiche info Avenant 7'!$AO$11</f>
        <v>0</v>
      </c>
      <c r="CF699" s="431">
        <f>'Fiche info Avenant 7'!$AP$11</f>
        <v>0</v>
      </c>
      <c r="ED699" s="16" t="str">
        <f t="shared" si="148"/>
        <v>Fiche info Avenant 7D</v>
      </c>
      <c r="EE699" s="16" t="str">
        <f t="shared" si="139"/>
        <v>Fiche info Avenant 7</v>
      </c>
      <c r="EF699" s="16" t="str">
        <f t="shared" si="140"/>
        <v>D</v>
      </c>
      <c r="EG699" s="16">
        <f t="shared" si="141"/>
        <v>5</v>
      </c>
      <c r="EH699" s="16" t="str">
        <f t="shared" si="142"/>
        <v>Vendredi</v>
      </c>
      <c r="EI699" s="16" t="str">
        <f t="shared" si="143"/>
        <v/>
      </c>
    </row>
    <row r="700" spans="1:139" x14ac:dyDescent="0.2">
      <c r="A700" s="16" t="str">
        <f t="shared" si="146"/>
        <v>Fiche info Avenant 7D6</v>
      </c>
      <c r="B700" s="16" t="str">
        <f t="shared" si="147"/>
        <v>Fiche info Avenant 7</v>
      </c>
      <c r="C700" s="27" t="s">
        <v>233</v>
      </c>
      <c r="D700" s="27">
        <v>6</v>
      </c>
      <c r="E700" s="16" t="s">
        <v>184</v>
      </c>
      <c r="F700" s="34" t="str">
        <f>IF(+'Fiche info Avenant 7'!$AR$12=0,"",'Fiche info Avenant 7'!$AR$12)</f>
        <v/>
      </c>
      <c r="G700" s="16">
        <f t="shared" si="144"/>
        <v>0</v>
      </c>
      <c r="BX700" s="16" t="str">
        <f t="shared" si="145"/>
        <v>Fiche info Avenant 7D6</v>
      </c>
      <c r="BY700" s="431">
        <f>'Fiche info Avenant 7'!$AI$12</f>
        <v>0</v>
      </c>
      <c r="BZ700" s="431">
        <f>'Fiche info Avenant 7'!$AJ$12</f>
        <v>0</v>
      </c>
      <c r="CA700" s="431">
        <f>'Fiche info Avenant 7'!$AK$12</f>
        <v>0</v>
      </c>
      <c r="CB700" s="431">
        <f>'Fiche info Avenant 7'!$AL$12</f>
        <v>0</v>
      </c>
      <c r="CC700" s="431">
        <f>'Fiche info Avenant 7'!$AM$12</f>
        <v>0</v>
      </c>
      <c r="CD700" s="431">
        <f>'Fiche info Avenant 7'!$AN$12</f>
        <v>0</v>
      </c>
      <c r="CE700" s="431">
        <f>'Fiche info Avenant 7'!$AO$12</f>
        <v>0</v>
      </c>
      <c r="CF700" s="431">
        <f>'Fiche info Avenant 7'!$AP$12</f>
        <v>0</v>
      </c>
      <c r="ED700" s="16" t="str">
        <f t="shared" si="148"/>
        <v>Fiche info Avenant 7D</v>
      </c>
      <c r="EE700" s="16" t="str">
        <f t="shared" si="139"/>
        <v>Fiche info Avenant 7</v>
      </c>
      <c r="EF700" s="16" t="str">
        <f t="shared" si="140"/>
        <v>D</v>
      </c>
      <c r="EG700" s="16">
        <f t="shared" si="141"/>
        <v>6</v>
      </c>
      <c r="EH700" s="16" t="str">
        <f t="shared" si="142"/>
        <v>Samedi</v>
      </c>
      <c r="EI700" s="16" t="str">
        <f t="shared" si="143"/>
        <v/>
      </c>
    </row>
    <row r="701" spans="1:139" x14ac:dyDescent="0.2">
      <c r="A701" s="16" t="str">
        <f t="shared" si="146"/>
        <v>Fiche info Avenant 7D7</v>
      </c>
      <c r="B701" s="16" t="str">
        <f t="shared" si="147"/>
        <v>Fiche info Avenant 7</v>
      </c>
      <c r="C701" s="27" t="s">
        <v>233</v>
      </c>
      <c r="D701" s="27">
        <v>7</v>
      </c>
      <c r="E701" s="16" t="s">
        <v>185</v>
      </c>
      <c r="F701" s="34" t="str">
        <f>IF(+'Fiche info Avenant 7'!$AR$13=0,"",'Fiche info Avenant 7'!$AR$13)</f>
        <v/>
      </c>
      <c r="G701" s="16">
        <f t="shared" si="144"/>
        <v>0</v>
      </c>
      <c r="BX701" s="16" t="str">
        <f t="shared" si="145"/>
        <v>Fiche info Avenant 7D7</v>
      </c>
      <c r="BY701" s="431">
        <f>'Fiche info Avenant 7'!$AI$13</f>
        <v>0</v>
      </c>
      <c r="BZ701" s="431">
        <f>'Fiche info Avenant 7'!$AJ$13</f>
        <v>0</v>
      </c>
      <c r="CA701" s="431">
        <f>'Fiche info Avenant 7'!$AK$13</f>
        <v>0</v>
      </c>
      <c r="CB701" s="431">
        <f>'Fiche info Avenant 7'!$AL$13</f>
        <v>0</v>
      </c>
      <c r="CC701" s="431">
        <f>'Fiche info Avenant 7'!$AM$13</f>
        <v>0</v>
      </c>
      <c r="CD701" s="431">
        <f>'Fiche info Avenant 7'!$AN$13</f>
        <v>0</v>
      </c>
      <c r="CE701" s="431">
        <f>'Fiche info Avenant 7'!$AO$13</f>
        <v>0</v>
      </c>
      <c r="CF701" s="431">
        <f>'Fiche info Avenant 7'!$AP$13</f>
        <v>0</v>
      </c>
      <c r="ED701" s="16" t="str">
        <f t="shared" si="148"/>
        <v>Fiche info Avenant 7D</v>
      </c>
      <c r="EE701" s="16" t="str">
        <f t="shared" si="139"/>
        <v>Fiche info Avenant 7</v>
      </c>
      <c r="EF701" s="16" t="str">
        <f t="shared" si="140"/>
        <v>D</v>
      </c>
      <c r="EG701" s="16">
        <f t="shared" si="141"/>
        <v>7</v>
      </c>
      <c r="EH701" s="16" t="str">
        <f t="shared" si="142"/>
        <v>Dimanche</v>
      </c>
      <c r="EI701" s="16" t="str">
        <f t="shared" si="143"/>
        <v/>
      </c>
    </row>
    <row r="702" spans="1:139" x14ac:dyDescent="0.2">
      <c r="A702" s="16" t="str">
        <f t="shared" si="146"/>
        <v>Fiche info Avenant 7E1</v>
      </c>
      <c r="B702" s="16" t="str">
        <f t="shared" si="147"/>
        <v>Fiche info Avenant 7</v>
      </c>
      <c r="C702" s="27" t="s">
        <v>234</v>
      </c>
      <c r="D702" s="27">
        <v>1</v>
      </c>
      <c r="E702" s="16" t="s">
        <v>17</v>
      </c>
      <c r="F702" s="34" t="str">
        <f>IF(+'Fiche info Avenant 7'!$BC$7=0,"",'Fiche info Avenant 7'!$BC$7)</f>
        <v/>
      </c>
      <c r="G702" s="16">
        <f t="shared" si="144"/>
        <v>0</v>
      </c>
      <c r="BX702" s="16" t="str">
        <f t="shared" si="145"/>
        <v>Fiche info Avenant 7E1</v>
      </c>
      <c r="BY702" s="431">
        <f>'Fiche info Avenant 7'!$AT$7</f>
        <v>0</v>
      </c>
      <c r="BZ702" s="431">
        <f>'Fiche info Avenant 7'!$AU$7</f>
        <v>0</v>
      </c>
      <c r="CA702" s="431">
        <f>'Fiche info Avenant 7'!$AV$7</f>
        <v>0</v>
      </c>
      <c r="CB702" s="431">
        <f>'Fiche info Avenant 7'!$AW$7</f>
        <v>0</v>
      </c>
      <c r="CC702" s="431">
        <f>'Fiche info Avenant 7'!$AX$7</f>
        <v>0</v>
      </c>
      <c r="CD702" s="431">
        <f>'Fiche info Avenant 7'!$AY$7</f>
        <v>0</v>
      </c>
      <c r="CE702" s="431">
        <f>'Fiche info Avenant 7'!$AZ$7</f>
        <v>0</v>
      </c>
      <c r="CF702" s="431">
        <f>'Fiche info Avenant 7'!$BA$7</f>
        <v>0</v>
      </c>
      <c r="ED702" s="16" t="str">
        <f t="shared" si="148"/>
        <v>Fiche info Avenant 7E</v>
      </c>
      <c r="EE702" s="16" t="str">
        <f t="shared" si="139"/>
        <v>Fiche info Avenant 7</v>
      </c>
      <c r="EF702" s="16" t="str">
        <f t="shared" si="140"/>
        <v>E</v>
      </c>
      <c r="EG702" s="16">
        <f t="shared" si="141"/>
        <v>1</v>
      </c>
      <c r="EH702" s="16" t="str">
        <f t="shared" si="142"/>
        <v>Lundi</v>
      </c>
      <c r="EI702" s="16" t="str">
        <f t="shared" si="143"/>
        <v/>
      </c>
    </row>
    <row r="703" spans="1:139" x14ac:dyDescent="0.2">
      <c r="A703" s="16" t="str">
        <f t="shared" si="146"/>
        <v>Fiche info Avenant 7E2</v>
      </c>
      <c r="B703" s="16" t="str">
        <f t="shared" si="147"/>
        <v>Fiche info Avenant 7</v>
      </c>
      <c r="C703" s="27" t="s">
        <v>234</v>
      </c>
      <c r="D703" s="27">
        <v>2</v>
      </c>
      <c r="E703" s="16" t="s">
        <v>18</v>
      </c>
      <c r="F703" s="34" t="str">
        <f>IF(+'Fiche info Avenant 7'!$BC$8=0,"",'Fiche info Avenant 7'!$BC$8)</f>
        <v/>
      </c>
      <c r="G703" s="16">
        <f t="shared" si="144"/>
        <v>0</v>
      </c>
      <c r="BX703" s="16" t="str">
        <f t="shared" si="145"/>
        <v>Fiche info Avenant 7E2</v>
      </c>
      <c r="BY703" s="431">
        <f>'Fiche info Avenant 7'!$AT$8</f>
        <v>0</v>
      </c>
      <c r="BZ703" s="431">
        <f>'Fiche info Avenant 7'!$AU$8</f>
        <v>0</v>
      </c>
      <c r="CA703" s="431">
        <f>'Fiche info Avenant 7'!$AV$8</f>
        <v>0</v>
      </c>
      <c r="CB703" s="431">
        <f>'Fiche info Avenant 7'!$AW$8</f>
        <v>0</v>
      </c>
      <c r="CC703" s="431">
        <f>'Fiche info Avenant 7'!$AX$8</f>
        <v>0</v>
      </c>
      <c r="CD703" s="431">
        <f>'Fiche info Avenant 7'!$AY$8</f>
        <v>0</v>
      </c>
      <c r="CE703" s="431">
        <f>'Fiche info Avenant 7'!$AZ$8</f>
        <v>0</v>
      </c>
      <c r="CF703" s="431">
        <f>'Fiche info Avenant 7'!$BA$8</f>
        <v>0</v>
      </c>
      <c r="ED703" s="16" t="str">
        <f t="shared" si="148"/>
        <v>Fiche info Avenant 7E</v>
      </c>
      <c r="EE703" s="16" t="str">
        <f t="shared" si="139"/>
        <v>Fiche info Avenant 7</v>
      </c>
      <c r="EF703" s="16" t="str">
        <f t="shared" si="140"/>
        <v>E</v>
      </c>
      <c r="EG703" s="16">
        <f t="shared" si="141"/>
        <v>2</v>
      </c>
      <c r="EH703" s="16" t="str">
        <f t="shared" si="142"/>
        <v>Mardi</v>
      </c>
      <c r="EI703" s="16" t="str">
        <f t="shared" si="143"/>
        <v/>
      </c>
    </row>
    <row r="704" spans="1:139" x14ac:dyDescent="0.2">
      <c r="A704" s="16" t="str">
        <f t="shared" si="146"/>
        <v>Fiche info Avenant 7E3</v>
      </c>
      <c r="B704" s="16" t="str">
        <f t="shared" si="147"/>
        <v>Fiche info Avenant 7</v>
      </c>
      <c r="C704" s="27" t="s">
        <v>234</v>
      </c>
      <c r="D704" s="27">
        <v>3</v>
      </c>
      <c r="E704" s="16" t="s">
        <v>19</v>
      </c>
      <c r="F704" s="34" t="str">
        <f>IF(+'Fiche info Avenant 7'!$BC$9=0,"",'Fiche info Avenant 7'!$BC$9)</f>
        <v/>
      </c>
      <c r="G704" s="16">
        <f t="shared" si="144"/>
        <v>0</v>
      </c>
      <c r="BX704" s="16" t="str">
        <f t="shared" si="145"/>
        <v>Fiche info Avenant 7E3</v>
      </c>
      <c r="BY704" s="431">
        <f>'Fiche info Avenant 7'!$AT$9</f>
        <v>0</v>
      </c>
      <c r="BZ704" s="431">
        <f>'Fiche info Avenant 7'!$AU$9</f>
        <v>0</v>
      </c>
      <c r="CA704" s="431">
        <f>'Fiche info Avenant 7'!$AV$9</f>
        <v>0</v>
      </c>
      <c r="CB704" s="431">
        <f>'Fiche info Avenant 7'!$AW$9</f>
        <v>0</v>
      </c>
      <c r="CC704" s="431">
        <f>'Fiche info Avenant 7'!$AX$9</f>
        <v>0</v>
      </c>
      <c r="CD704" s="431">
        <f>'Fiche info Avenant 7'!$AY$9</f>
        <v>0</v>
      </c>
      <c r="CE704" s="431">
        <f>'Fiche info Avenant 7'!$AZ$9</f>
        <v>0</v>
      </c>
      <c r="CF704" s="431">
        <f>'Fiche info Avenant 7'!$BA$9</f>
        <v>0</v>
      </c>
      <c r="ED704" s="16" t="str">
        <f t="shared" si="148"/>
        <v>Fiche info Avenant 7E</v>
      </c>
      <c r="EE704" s="16" t="str">
        <f t="shared" si="139"/>
        <v>Fiche info Avenant 7</v>
      </c>
      <c r="EF704" s="16" t="str">
        <f t="shared" si="140"/>
        <v>E</v>
      </c>
      <c r="EG704" s="16">
        <f t="shared" si="141"/>
        <v>3</v>
      </c>
      <c r="EH704" s="16" t="str">
        <f t="shared" si="142"/>
        <v>Mercredi</v>
      </c>
      <c r="EI704" s="16" t="str">
        <f t="shared" si="143"/>
        <v/>
      </c>
    </row>
    <row r="705" spans="1:139" x14ac:dyDescent="0.2">
      <c r="A705" s="16" t="str">
        <f t="shared" si="146"/>
        <v>Fiche info Avenant 7E4</v>
      </c>
      <c r="B705" s="16" t="str">
        <f t="shared" si="147"/>
        <v>Fiche info Avenant 7</v>
      </c>
      <c r="C705" s="27" t="s">
        <v>234</v>
      </c>
      <c r="D705" s="27">
        <v>4</v>
      </c>
      <c r="E705" s="16" t="s">
        <v>20</v>
      </c>
      <c r="F705" s="34" t="str">
        <f>IF(+'Fiche info Avenant 7'!$BC$10=0,"",'Fiche info Avenant 7'!$BC$10)</f>
        <v/>
      </c>
      <c r="G705" s="16">
        <f t="shared" si="144"/>
        <v>0</v>
      </c>
      <c r="BX705" s="16" t="str">
        <f t="shared" si="145"/>
        <v>Fiche info Avenant 7E4</v>
      </c>
      <c r="BY705" s="431">
        <f>'Fiche info Avenant 7'!$AT$10</f>
        <v>0</v>
      </c>
      <c r="BZ705" s="431">
        <f>'Fiche info Avenant 7'!$AU$10</f>
        <v>0</v>
      </c>
      <c r="CA705" s="431">
        <f>'Fiche info Avenant 7'!$AV$10</f>
        <v>0</v>
      </c>
      <c r="CB705" s="431">
        <f>'Fiche info Avenant 7'!$AW$10</f>
        <v>0</v>
      </c>
      <c r="CC705" s="431">
        <f>'Fiche info Avenant 7'!$AX$10</f>
        <v>0</v>
      </c>
      <c r="CD705" s="431">
        <f>'Fiche info Avenant 7'!$AY$10</f>
        <v>0</v>
      </c>
      <c r="CE705" s="431">
        <f>'Fiche info Avenant 7'!$AZ$10</f>
        <v>0</v>
      </c>
      <c r="CF705" s="431">
        <f>'Fiche info Avenant 7'!$BA$10</f>
        <v>0</v>
      </c>
      <c r="ED705" s="16" t="str">
        <f t="shared" si="148"/>
        <v>Fiche info Avenant 7E</v>
      </c>
      <c r="EE705" s="16" t="str">
        <f t="shared" ref="EE705:EE768" si="149">B705</f>
        <v>Fiche info Avenant 7</v>
      </c>
      <c r="EF705" s="16" t="str">
        <f t="shared" ref="EF705:EF768" si="150">C705</f>
        <v>E</v>
      </c>
      <c r="EG705" s="16">
        <f t="shared" ref="EG705:EG768" si="151">D705</f>
        <v>4</v>
      </c>
      <c r="EH705" s="16" t="str">
        <f t="shared" ref="EH705:EH768" si="152">E705</f>
        <v>Jeudi</v>
      </c>
      <c r="EI705" s="16" t="str">
        <f t="shared" ref="EI705:EI768" si="153">F705</f>
        <v/>
      </c>
    </row>
    <row r="706" spans="1:139" x14ac:dyDescent="0.2">
      <c r="A706" s="16" t="str">
        <f t="shared" si="146"/>
        <v>Fiche info Avenant 7E5</v>
      </c>
      <c r="B706" s="16" t="str">
        <f t="shared" si="147"/>
        <v>Fiche info Avenant 7</v>
      </c>
      <c r="C706" s="27" t="s">
        <v>234</v>
      </c>
      <c r="D706" s="27">
        <v>5</v>
      </c>
      <c r="E706" s="16" t="s">
        <v>21</v>
      </c>
      <c r="F706" s="34" t="str">
        <f>IF(+'Fiche info Avenant 7'!$BC$11=0,"",'Fiche info Avenant 7'!$BC$11)</f>
        <v/>
      </c>
      <c r="G706" s="16">
        <f t="shared" ref="G706:G769" si="154">+IF(OR(F706=0,F706=""),0,1)</f>
        <v>0</v>
      </c>
      <c r="BX706" s="16" t="str">
        <f t="shared" ref="BX706:BX769" si="155">A706</f>
        <v>Fiche info Avenant 7E5</v>
      </c>
      <c r="BY706" s="431">
        <f>'Fiche info Avenant 7'!$AT$11</f>
        <v>0</v>
      </c>
      <c r="BZ706" s="431">
        <f>'Fiche info Avenant 7'!$AU$11</f>
        <v>0</v>
      </c>
      <c r="CA706" s="431">
        <f>'Fiche info Avenant 7'!$AV$11</f>
        <v>0</v>
      </c>
      <c r="CB706" s="431">
        <f>'Fiche info Avenant 7'!$AW$11</f>
        <v>0</v>
      </c>
      <c r="CC706" s="431">
        <f>'Fiche info Avenant 7'!$AX$11</f>
        <v>0</v>
      </c>
      <c r="CD706" s="431">
        <f>'Fiche info Avenant 7'!$AY$11</f>
        <v>0</v>
      </c>
      <c r="CE706" s="431">
        <f>'Fiche info Avenant 7'!$AZ$11</f>
        <v>0</v>
      </c>
      <c r="CF706" s="431">
        <f>'Fiche info Avenant 7'!$BA$11</f>
        <v>0</v>
      </c>
      <c r="ED706" s="16" t="str">
        <f t="shared" si="148"/>
        <v>Fiche info Avenant 7E</v>
      </c>
      <c r="EE706" s="16" t="str">
        <f t="shared" si="149"/>
        <v>Fiche info Avenant 7</v>
      </c>
      <c r="EF706" s="16" t="str">
        <f t="shared" si="150"/>
        <v>E</v>
      </c>
      <c r="EG706" s="16">
        <f t="shared" si="151"/>
        <v>5</v>
      </c>
      <c r="EH706" s="16" t="str">
        <f t="shared" si="152"/>
        <v>Vendredi</v>
      </c>
      <c r="EI706" s="16" t="str">
        <f t="shared" si="153"/>
        <v/>
      </c>
    </row>
    <row r="707" spans="1:139" x14ac:dyDescent="0.2">
      <c r="A707" s="16" t="str">
        <f t="shared" si="146"/>
        <v>Fiche info Avenant 7E6</v>
      </c>
      <c r="B707" s="16" t="str">
        <f t="shared" si="147"/>
        <v>Fiche info Avenant 7</v>
      </c>
      <c r="C707" s="27" t="s">
        <v>234</v>
      </c>
      <c r="D707" s="27">
        <v>6</v>
      </c>
      <c r="E707" s="16" t="s">
        <v>184</v>
      </c>
      <c r="F707" s="34" t="str">
        <f>IF(+'Fiche info Avenant 7'!$BC$12=0,"",'Fiche info Avenant 7'!$BC$12)</f>
        <v/>
      </c>
      <c r="G707" s="16">
        <f t="shared" si="154"/>
        <v>0</v>
      </c>
      <c r="BX707" s="16" t="str">
        <f t="shared" si="155"/>
        <v>Fiche info Avenant 7E6</v>
      </c>
      <c r="BY707" s="431">
        <f>'Fiche info Avenant 7'!$AT$12</f>
        <v>0</v>
      </c>
      <c r="BZ707" s="431">
        <f>'Fiche info Avenant 7'!$AU$12</f>
        <v>0</v>
      </c>
      <c r="CA707" s="431">
        <f>'Fiche info Avenant 7'!$AV$12</f>
        <v>0</v>
      </c>
      <c r="CB707" s="431">
        <f>'Fiche info Avenant 7'!$AW$12</f>
        <v>0</v>
      </c>
      <c r="CC707" s="431">
        <f>'Fiche info Avenant 7'!$AX$12</f>
        <v>0</v>
      </c>
      <c r="CD707" s="431">
        <f>'Fiche info Avenant 7'!$AY$12</f>
        <v>0</v>
      </c>
      <c r="CE707" s="431">
        <f>'Fiche info Avenant 7'!$AZ$12</f>
        <v>0</v>
      </c>
      <c r="CF707" s="431">
        <f>'Fiche info Avenant 7'!$BA$12</f>
        <v>0</v>
      </c>
      <c r="ED707" s="16" t="str">
        <f t="shared" si="148"/>
        <v>Fiche info Avenant 7E</v>
      </c>
      <c r="EE707" s="16" t="str">
        <f t="shared" si="149"/>
        <v>Fiche info Avenant 7</v>
      </c>
      <c r="EF707" s="16" t="str">
        <f t="shared" si="150"/>
        <v>E</v>
      </c>
      <c r="EG707" s="16">
        <f t="shared" si="151"/>
        <v>6</v>
      </c>
      <c r="EH707" s="16" t="str">
        <f t="shared" si="152"/>
        <v>Samedi</v>
      </c>
      <c r="EI707" s="16" t="str">
        <f t="shared" si="153"/>
        <v/>
      </c>
    </row>
    <row r="708" spans="1:139" x14ac:dyDescent="0.2">
      <c r="A708" s="16" t="str">
        <f t="shared" si="146"/>
        <v>Fiche info Avenant 7E7</v>
      </c>
      <c r="B708" s="16" t="str">
        <f t="shared" si="147"/>
        <v>Fiche info Avenant 7</v>
      </c>
      <c r="C708" s="27" t="s">
        <v>234</v>
      </c>
      <c r="D708" s="27">
        <v>7</v>
      </c>
      <c r="E708" s="16" t="s">
        <v>185</v>
      </c>
      <c r="F708" s="34" t="str">
        <f>IF(+'Fiche info Avenant 7'!$BC$13=0,"",'Fiche info Avenant 7'!$BC$13)</f>
        <v/>
      </c>
      <c r="G708" s="16">
        <f t="shared" si="154"/>
        <v>0</v>
      </c>
      <c r="BX708" s="16" t="str">
        <f t="shared" si="155"/>
        <v>Fiche info Avenant 7E7</v>
      </c>
      <c r="BY708" s="431">
        <f>'Fiche info Avenant 7'!$AT$13</f>
        <v>0</v>
      </c>
      <c r="BZ708" s="431">
        <f>'Fiche info Avenant 7'!$AU$13</f>
        <v>0</v>
      </c>
      <c r="CA708" s="431">
        <f>'Fiche info Avenant 7'!$AV$13</f>
        <v>0</v>
      </c>
      <c r="CB708" s="431">
        <f>'Fiche info Avenant 7'!$AW$13</f>
        <v>0</v>
      </c>
      <c r="CC708" s="431">
        <f>'Fiche info Avenant 7'!$AX$13</f>
        <v>0</v>
      </c>
      <c r="CD708" s="431">
        <f>'Fiche info Avenant 7'!$AY$13</f>
        <v>0</v>
      </c>
      <c r="CE708" s="431">
        <f>'Fiche info Avenant 7'!$AZ$13</f>
        <v>0</v>
      </c>
      <c r="CF708" s="431">
        <f>'Fiche info Avenant 7'!$BA$13</f>
        <v>0</v>
      </c>
      <c r="ED708" s="16" t="str">
        <f t="shared" si="148"/>
        <v>Fiche info Avenant 7E</v>
      </c>
      <c r="EE708" s="16" t="str">
        <f t="shared" si="149"/>
        <v>Fiche info Avenant 7</v>
      </c>
      <c r="EF708" s="16" t="str">
        <f t="shared" si="150"/>
        <v>E</v>
      </c>
      <c r="EG708" s="16">
        <f t="shared" si="151"/>
        <v>7</v>
      </c>
      <c r="EH708" s="16" t="str">
        <f t="shared" si="152"/>
        <v>Dimanche</v>
      </c>
      <c r="EI708" s="16" t="str">
        <f t="shared" si="153"/>
        <v/>
      </c>
    </row>
    <row r="709" spans="1:139" x14ac:dyDescent="0.2">
      <c r="A709" s="16" t="str">
        <f t="shared" si="146"/>
        <v>Fiche info Avenant 7F1</v>
      </c>
      <c r="B709" s="16" t="str">
        <f t="shared" si="147"/>
        <v>Fiche info Avenant 7</v>
      </c>
      <c r="C709" s="27" t="s">
        <v>235</v>
      </c>
      <c r="D709" s="27">
        <v>1</v>
      </c>
      <c r="E709" s="16" t="s">
        <v>17</v>
      </c>
      <c r="F709" s="34" t="str">
        <f>+IF('Fiche info Avenant 7'!$BN$7=0,"",'Fiche info Avenant 7'!$BN$7)</f>
        <v/>
      </c>
      <c r="G709" s="16">
        <f t="shared" si="154"/>
        <v>0</v>
      </c>
      <c r="BX709" s="16" t="str">
        <f t="shared" si="155"/>
        <v>Fiche info Avenant 7F1</v>
      </c>
      <c r="BY709" s="431">
        <f>'Fiche info Avenant 7'!$BE$7</f>
        <v>0</v>
      </c>
      <c r="BZ709" s="431">
        <f>'Fiche info Avenant 7'!$BF$7</f>
        <v>0</v>
      </c>
      <c r="CA709" s="431">
        <f>'Fiche info Avenant 7'!$BG$7</f>
        <v>0</v>
      </c>
      <c r="CB709" s="431">
        <f>'Fiche info Avenant 7'!$BH$7</f>
        <v>0</v>
      </c>
      <c r="CC709" s="431">
        <f>'Fiche info Avenant 7'!$BI$7</f>
        <v>0</v>
      </c>
      <c r="CD709" s="431">
        <f>'Fiche info Avenant 7'!$BJ$7</f>
        <v>0</v>
      </c>
      <c r="CE709" s="431">
        <f>'Fiche info Avenant 7'!$BK$7</f>
        <v>0</v>
      </c>
      <c r="CF709" s="431">
        <f>'Fiche info Avenant 7'!$BL$7</f>
        <v>0</v>
      </c>
      <c r="ED709" s="16" t="str">
        <f t="shared" si="148"/>
        <v>Fiche info Avenant 7F</v>
      </c>
      <c r="EE709" s="16" t="str">
        <f t="shared" si="149"/>
        <v>Fiche info Avenant 7</v>
      </c>
      <c r="EF709" s="16" t="str">
        <f t="shared" si="150"/>
        <v>F</v>
      </c>
      <c r="EG709" s="16">
        <f t="shared" si="151"/>
        <v>1</v>
      </c>
      <c r="EH709" s="16" t="str">
        <f t="shared" si="152"/>
        <v>Lundi</v>
      </c>
      <c r="EI709" s="16" t="str">
        <f t="shared" si="153"/>
        <v/>
      </c>
    </row>
    <row r="710" spans="1:139" x14ac:dyDescent="0.2">
      <c r="A710" s="16" t="str">
        <f t="shared" si="146"/>
        <v>Fiche info Avenant 7F2</v>
      </c>
      <c r="B710" s="16" t="str">
        <f t="shared" si="147"/>
        <v>Fiche info Avenant 7</v>
      </c>
      <c r="C710" s="27" t="s">
        <v>235</v>
      </c>
      <c r="D710" s="27">
        <v>2</v>
      </c>
      <c r="E710" s="16" t="s">
        <v>18</v>
      </c>
      <c r="F710" s="34" t="str">
        <f>+IF('Fiche info Avenant 7'!$BN$8=0,"",'Fiche info Avenant 7'!$BN$8)</f>
        <v/>
      </c>
      <c r="G710" s="16">
        <f t="shared" si="154"/>
        <v>0</v>
      </c>
      <c r="BX710" s="16" t="str">
        <f t="shared" si="155"/>
        <v>Fiche info Avenant 7F2</v>
      </c>
      <c r="BY710" s="431">
        <f>'Fiche info Avenant 7'!$BE$8</f>
        <v>0</v>
      </c>
      <c r="BZ710" s="431">
        <f>'Fiche info Avenant 7'!$BF$8</f>
        <v>0</v>
      </c>
      <c r="CA710" s="431">
        <f>'Fiche info Avenant 7'!$BG$8</f>
        <v>0</v>
      </c>
      <c r="CB710" s="431">
        <f>'Fiche info Avenant 7'!$BH$8</f>
        <v>0</v>
      </c>
      <c r="CC710" s="431">
        <f>'Fiche info Avenant 7'!$BI$8</f>
        <v>0</v>
      </c>
      <c r="CD710" s="431">
        <f>'Fiche info Avenant 7'!$BJ$8</f>
        <v>0</v>
      </c>
      <c r="CE710" s="431">
        <f>'Fiche info Avenant 7'!$BK$8</f>
        <v>0</v>
      </c>
      <c r="CF710" s="431">
        <f>'Fiche info Avenant 7'!$BL$8</f>
        <v>0</v>
      </c>
      <c r="ED710" s="16" t="str">
        <f t="shared" si="148"/>
        <v>Fiche info Avenant 7F</v>
      </c>
      <c r="EE710" s="16" t="str">
        <f t="shared" si="149"/>
        <v>Fiche info Avenant 7</v>
      </c>
      <c r="EF710" s="16" t="str">
        <f t="shared" si="150"/>
        <v>F</v>
      </c>
      <c r="EG710" s="16">
        <f t="shared" si="151"/>
        <v>2</v>
      </c>
      <c r="EH710" s="16" t="str">
        <f t="shared" si="152"/>
        <v>Mardi</v>
      </c>
      <c r="EI710" s="16" t="str">
        <f t="shared" si="153"/>
        <v/>
      </c>
    </row>
    <row r="711" spans="1:139" x14ac:dyDescent="0.2">
      <c r="A711" s="16" t="str">
        <f t="shared" si="146"/>
        <v>Fiche info Avenant 7F3</v>
      </c>
      <c r="B711" s="16" t="str">
        <f t="shared" si="147"/>
        <v>Fiche info Avenant 7</v>
      </c>
      <c r="C711" s="27" t="s">
        <v>235</v>
      </c>
      <c r="D711" s="27">
        <v>3</v>
      </c>
      <c r="E711" s="16" t="s">
        <v>19</v>
      </c>
      <c r="F711" s="34" t="str">
        <f>+IF('Fiche info Avenant 7'!$BN$9=0,"",'Fiche info Avenant 7'!$BN$9)</f>
        <v/>
      </c>
      <c r="G711" s="16">
        <f t="shared" si="154"/>
        <v>0</v>
      </c>
      <c r="BX711" s="16" t="str">
        <f t="shared" si="155"/>
        <v>Fiche info Avenant 7F3</v>
      </c>
      <c r="BY711" s="431">
        <f>'Fiche info Avenant 7'!$BE$9</f>
        <v>0</v>
      </c>
      <c r="BZ711" s="431">
        <f>'Fiche info Avenant 7'!$BF$9</f>
        <v>0</v>
      </c>
      <c r="CA711" s="431">
        <f>'Fiche info Avenant 7'!$BG$9</f>
        <v>0</v>
      </c>
      <c r="CB711" s="431">
        <f>'Fiche info Avenant 7'!$BH$9</f>
        <v>0</v>
      </c>
      <c r="CC711" s="431">
        <f>'Fiche info Avenant 7'!$BI$9</f>
        <v>0</v>
      </c>
      <c r="CD711" s="431">
        <f>'Fiche info Avenant 7'!$BJ$9</f>
        <v>0</v>
      </c>
      <c r="CE711" s="431">
        <f>'Fiche info Avenant 7'!$BK$9</f>
        <v>0</v>
      </c>
      <c r="CF711" s="431">
        <f>'Fiche info Avenant 7'!$BL$9</f>
        <v>0</v>
      </c>
      <c r="ED711" s="16" t="str">
        <f t="shared" si="148"/>
        <v>Fiche info Avenant 7F</v>
      </c>
      <c r="EE711" s="16" t="str">
        <f t="shared" si="149"/>
        <v>Fiche info Avenant 7</v>
      </c>
      <c r="EF711" s="16" t="str">
        <f t="shared" si="150"/>
        <v>F</v>
      </c>
      <c r="EG711" s="16">
        <f t="shared" si="151"/>
        <v>3</v>
      </c>
      <c r="EH711" s="16" t="str">
        <f t="shared" si="152"/>
        <v>Mercredi</v>
      </c>
      <c r="EI711" s="16" t="str">
        <f t="shared" si="153"/>
        <v/>
      </c>
    </row>
    <row r="712" spans="1:139" x14ac:dyDescent="0.2">
      <c r="A712" s="16" t="str">
        <f t="shared" si="146"/>
        <v>Fiche info Avenant 7F4</v>
      </c>
      <c r="B712" s="16" t="str">
        <f t="shared" si="147"/>
        <v>Fiche info Avenant 7</v>
      </c>
      <c r="C712" s="27" t="s">
        <v>235</v>
      </c>
      <c r="D712" s="27">
        <v>4</v>
      </c>
      <c r="E712" s="16" t="s">
        <v>20</v>
      </c>
      <c r="F712" s="34" t="str">
        <f>+IF('Fiche info Avenant 7'!$BN$10=0,"",'Fiche info Avenant 7'!$BN$10)</f>
        <v/>
      </c>
      <c r="G712" s="16">
        <f t="shared" si="154"/>
        <v>0</v>
      </c>
      <c r="BX712" s="16" t="str">
        <f t="shared" si="155"/>
        <v>Fiche info Avenant 7F4</v>
      </c>
      <c r="BY712" s="431">
        <f>'Fiche info Avenant 7'!$BE$10</f>
        <v>0</v>
      </c>
      <c r="BZ712" s="431">
        <f>'Fiche info Avenant 7'!$BF$10</f>
        <v>0</v>
      </c>
      <c r="CA712" s="431">
        <f>'Fiche info Avenant 7'!$BG$10</f>
        <v>0</v>
      </c>
      <c r="CB712" s="431">
        <f>'Fiche info Avenant 7'!$BH$10</f>
        <v>0</v>
      </c>
      <c r="CC712" s="431">
        <f>'Fiche info Avenant 7'!$BI$10</f>
        <v>0</v>
      </c>
      <c r="CD712" s="431">
        <f>'Fiche info Avenant 7'!$BJ$10</f>
        <v>0</v>
      </c>
      <c r="CE712" s="431">
        <f>'Fiche info Avenant 7'!$BK$10</f>
        <v>0</v>
      </c>
      <c r="CF712" s="431">
        <f>'Fiche info Avenant 7'!$BL$10</f>
        <v>0</v>
      </c>
      <c r="ED712" s="16" t="str">
        <f t="shared" si="148"/>
        <v>Fiche info Avenant 7F</v>
      </c>
      <c r="EE712" s="16" t="str">
        <f t="shared" si="149"/>
        <v>Fiche info Avenant 7</v>
      </c>
      <c r="EF712" s="16" t="str">
        <f t="shared" si="150"/>
        <v>F</v>
      </c>
      <c r="EG712" s="16">
        <f t="shared" si="151"/>
        <v>4</v>
      </c>
      <c r="EH712" s="16" t="str">
        <f t="shared" si="152"/>
        <v>Jeudi</v>
      </c>
      <c r="EI712" s="16" t="str">
        <f t="shared" si="153"/>
        <v/>
      </c>
    </row>
    <row r="713" spans="1:139" x14ac:dyDescent="0.2">
      <c r="A713" s="16" t="str">
        <f t="shared" si="146"/>
        <v>Fiche info Avenant 7F5</v>
      </c>
      <c r="B713" s="16" t="str">
        <f t="shared" si="147"/>
        <v>Fiche info Avenant 7</v>
      </c>
      <c r="C713" s="27" t="s">
        <v>235</v>
      </c>
      <c r="D713" s="27">
        <v>5</v>
      </c>
      <c r="E713" s="16" t="s">
        <v>21</v>
      </c>
      <c r="F713" s="34" t="str">
        <f>+IF('Fiche info Avenant 7'!$BN$11=0,"",'Fiche info Avenant 7'!$BN$11)</f>
        <v/>
      </c>
      <c r="G713" s="16">
        <f t="shared" si="154"/>
        <v>0</v>
      </c>
      <c r="BX713" s="16" t="str">
        <f t="shared" si="155"/>
        <v>Fiche info Avenant 7F5</v>
      </c>
      <c r="BY713" s="431">
        <f>'Fiche info Avenant 7'!$BE$11</f>
        <v>0</v>
      </c>
      <c r="BZ713" s="431">
        <f>'Fiche info Avenant 7'!$BF$11</f>
        <v>0</v>
      </c>
      <c r="CA713" s="431">
        <f>'Fiche info Avenant 7'!$BG$11</f>
        <v>0</v>
      </c>
      <c r="CB713" s="431">
        <f>'Fiche info Avenant 7'!$BH$11</f>
        <v>0</v>
      </c>
      <c r="CC713" s="431">
        <f>'Fiche info Avenant 7'!$BI$11</f>
        <v>0</v>
      </c>
      <c r="CD713" s="431">
        <f>'Fiche info Avenant 7'!$BJ$11</f>
        <v>0</v>
      </c>
      <c r="CE713" s="431">
        <f>'Fiche info Avenant 7'!$BK$11</f>
        <v>0</v>
      </c>
      <c r="CF713" s="431">
        <f>'Fiche info Avenant 7'!$BL$11</f>
        <v>0</v>
      </c>
      <c r="ED713" s="16" t="str">
        <f t="shared" si="148"/>
        <v>Fiche info Avenant 7F</v>
      </c>
      <c r="EE713" s="16" t="str">
        <f t="shared" si="149"/>
        <v>Fiche info Avenant 7</v>
      </c>
      <c r="EF713" s="16" t="str">
        <f t="shared" si="150"/>
        <v>F</v>
      </c>
      <c r="EG713" s="16">
        <f t="shared" si="151"/>
        <v>5</v>
      </c>
      <c r="EH713" s="16" t="str">
        <f t="shared" si="152"/>
        <v>Vendredi</v>
      </c>
      <c r="EI713" s="16" t="str">
        <f t="shared" si="153"/>
        <v/>
      </c>
    </row>
    <row r="714" spans="1:139" x14ac:dyDescent="0.2">
      <c r="A714" s="16" t="str">
        <f t="shared" si="146"/>
        <v>Fiche info Avenant 7F6</v>
      </c>
      <c r="B714" s="16" t="str">
        <f t="shared" si="147"/>
        <v>Fiche info Avenant 7</v>
      </c>
      <c r="C714" s="27" t="s">
        <v>235</v>
      </c>
      <c r="D714" s="27">
        <v>6</v>
      </c>
      <c r="E714" s="16" t="s">
        <v>184</v>
      </c>
      <c r="F714" s="34" t="str">
        <f>+IF('Fiche info Avenant 7'!$BN$12=0,"",'Fiche info Avenant 7'!$BN$12)</f>
        <v/>
      </c>
      <c r="G714" s="16">
        <f t="shared" si="154"/>
        <v>0</v>
      </c>
      <c r="BX714" s="16" t="str">
        <f t="shared" si="155"/>
        <v>Fiche info Avenant 7F6</v>
      </c>
      <c r="BY714" s="431">
        <f>'Fiche info Avenant 7'!$BE$12</f>
        <v>0</v>
      </c>
      <c r="BZ714" s="431">
        <f>'Fiche info Avenant 7'!$BF$12</f>
        <v>0</v>
      </c>
      <c r="CA714" s="431">
        <f>'Fiche info Avenant 7'!$BG$12</f>
        <v>0</v>
      </c>
      <c r="CB714" s="431">
        <f>'Fiche info Avenant 7'!$BH$12</f>
        <v>0</v>
      </c>
      <c r="CC714" s="431">
        <f>'Fiche info Avenant 7'!$BI$12</f>
        <v>0</v>
      </c>
      <c r="CD714" s="431">
        <f>'Fiche info Avenant 7'!$BJ$12</f>
        <v>0</v>
      </c>
      <c r="CE714" s="431">
        <f>'Fiche info Avenant 7'!$BK$12</f>
        <v>0</v>
      </c>
      <c r="CF714" s="431">
        <f>'Fiche info Avenant 7'!$BL$12</f>
        <v>0</v>
      </c>
      <c r="ED714" s="16" t="str">
        <f t="shared" si="148"/>
        <v>Fiche info Avenant 7F</v>
      </c>
      <c r="EE714" s="16" t="str">
        <f t="shared" si="149"/>
        <v>Fiche info Avenant 7</v>
      </c>
      <c r="EF714" s="16" t="str">
        <f t="shared" si="150"/>
        <v>F</v>
      </c>
      <c r="EG714" s="16">
        <f t="shared" si="151"/>
        <v>6</v>
      </c>
      <c r="EH714" s="16" t="str">
        <f t="shared" si="152"/>
        <v>Samedi</v>
      </c>
      <c r="EI714" s="16" t="str">
        <f t="shared" si="153"/>
        <v/>
      </c>
    </row>
    <row r="715" spans="1:139" x14ac:dyDescent="0.2">
      <c r="A715" s="16" t="str">
        <f t="shared" si="146"/>
        <v>Fiche info Avenant 7F7</v>
      </c>
      <c r="B715" s="16" t="str">
        <f t="shared" si="147"/>
        <v>Fiche info Avenant 7</v>
      </c>
      <c r="C715" s="27" t="s">
        <v>235</v>
      </c>
      <c r="D715" s="27">
        <v>7</v>
      </c>
      <c r="E715" s="16" t="s">
        <v>185</v>
      </c>
      <c r="F715" s="34" t="str">
        <f>+IF('Fiche info Avenant 7'!$BN$13=0,"",'Fiche info Avenant 7'!$BN$13)</f>
        <v/>
      </c>
      <c r="G715" s="16">
        <f t="shared" si="154"/>
        <v>0</v>
      </c>
      <c r="BX715" s="16" t="str">
        <f t="shared" si="155"/>
        <v>Fiche info Avenant 7F7</v>
      </c>
      <c r="BY715" s="431">
        <f>'Fiche info Avenant 7'!$BE$13</f>
        <v>0</v>
      </c>
      <c r="BZ715" s="431">
        <f>'Fiche info Avenant 7'!$BF$13</f>
        <v>0</v>
      </c>
      <c r="CA715" s="431">
        <f>'Fiche info Avenant 7'!$BG$13</f>
        <v>0</v>
      </c>
      <c r="CB715" s="431">
        <f>'Fiche info Avenant 7'!$BH$13</f>
        <v>0</v>
      </c>
      <c r="CC715" s="431">
        <f>'Fiche info Avenant 7'!$BI$13</f>
        <v>0</v>
      </c>
      <c r="CD715" s="431">
        <f>'Fiche info Avenant 7'!$BJ$13</f>
        <v>0</v>
      </c>
      <c r="CE715" s="431">
        <f>'Fiche info Avenant 7'!$BK$13</f>
        <v>0</v>
      </c>
      <c r="CF715" s="431">
        <f>'Fiche info Avenant 7'!$BL$13</f>
        <v>0</v>
      </c>
      <c r="ED715" s="16" t="str">
        <f t="shared" si="148"/>
        <v>Fiche info Avenant 7F</v>
      </c>
      <c r="EE715" s="16" t="str">
        <f t="shared" si="149"/>
        <v>Fiche info Avenant 7</v>
      </c>
      <c r="EF715" s="16" t="str">
        <f t="shared" si="150"/>
        <v>F</v>
      </c>
      <c r="EG715" s="16">
        <f t="shared" si="151"/>
        <v>7</v>
      </c>
      <c r="EH715" s="16" t="str">
        <f t="shared" si="152"/>
        <v>Dimanche</v>
      </c>
      <c r="EI715" s="16" t="str">
        <f t="shared" si="153"/>
        <v/>
      </c>
    </row>
    <row r="716" spans="1:139" x14ac:dyDescent="0.2">
      <c r="A716" s="16" t="str">
        <f t="shared" si="146"/>
        <v>Fiche info Avenant 7G1</v>
      </c>
      <c r="B716" s="16" t="str">
        <f t="shared" si="147"/>
        <v>Fiche info Avenant 7</v>
      </c>
      <c r="C716" s="27" t="s">
        <v>236</v>
      </c>
      <c r="D716" s="27">
        <v>1</v>
      </c>
      <c r="E716" s="16" t="s">
        <v>17</v>
      </c>
      <c r="F716" s="34" t="str">
        <f>+IF('Fiche info Avenant 7'!$BY$7=0,"",'Fiche info Avenant 7'!$BY$7)</f>
        <v/>
      </c>
      <c r="G716" s="16">
        <f t="shared" si="154"/>
        <v>0</v>
      </c>
      <c r="BX716" s="16" t="str">
        <f t="shared" si="155"/>
        <v>Fiche info Avenant 7G1</v>
      </c>
      <c r="BY716" s="431">
        <f>'Fiche info Avenant 7'!$BP$7</f>
        <v>0</v>
      </c>
      <c r="BZ716" s="431">
        <f>'Fiche info Avenant 7'!$BQ$7</f>
        <v>0</v>
      </c>
      <c r="CA716" s="431">
        <f>'Fiche info Avenant 7'!$BR$7</f>
        <v>0</v>
      </c>
      <c r="CB716" s="431">
        <f>'Fiche info Avenant 7'!$BS$7</f>
        <v>0</v>
      </c>
      <c r="CC716" s="431">
        <f>'Fiche info Avenant 7'!$BT$7</f>
        <v>0</v>
      </c>
      <c r="CD716" s="431">
        <f>'Fiche info Avenant 7'!$BU$7</f>
        <v>0</v>
      </c>
      <c r="CE716" s="431">
        <f>'Fiche info Avenant 7'!$BV$7</f>
        <v>0</v>
      </c>
      <c r="CF716" s="431">
        <f>'Fiche info Avenant 7'!$BW$7</f>
        <v>0</v>
      </c>
      <c r="ED716" s="16" t="str">
        <f t="shared" si="148"/>
        <v>Fiche info Avenant 7G</v>
      </c>
      <c r="EE716" s="16" t="str">
        <f t="shared" si="149"/>
        <v>Fiche info Avenant 7</v>
      </c>
      <c r="EF716" s="16" t="str">
        <f t="shared" si="150"/>
        <v>G</v>
      </c>
      <c r="EG716" s="16">
        <f t="shared" si="151"/>
        <v>1</v>
      </c>
      <c r="EH716" s="16" t="str">
        <f t="shared" si="152"/>
        <v>Lundi</v>
      </c>
      <c r="EI716" s="16" t="str">
        <f t="shared" si="153"/>
        <v/>
      </c>
    </row>
    <row r="717" spans="1:139" x14ac:dyDescent="0.2">
      <c r="A717" s="16" t="str">
        <f t="shared" si="146"/>
        <v>Fiche info Avenant 7G2</v>
      </c>
      <c r="B717" s="16" t="str">
        <f t="shared" si="147"/>
        <v>Fiche info Avenant 7</v>
      </c>
      <c r="C717" s="27" t="s">
        <v>236</v>
      </c>
      <c r="D717" s="27">
        <v>2</v>
      </c>
      <c r="E717" s="16" t="s">
        <v>18</v>
      </c>
      <c r="F717" s="34" t="str">
        <f>+IF('Fiche info Avenant 7'!$BY$8=0,"",'Fiche info Avenant 7'!$BY$8)</f>
        <v/>
      </c>
      <c r="G717" s="16">
        <f t="shared" si="154"/>
        <v>0</v>
      </c>
      <c r="BX717" s="16" t="str">
        <f t="shared" si="155"/>
        <v>Fiche info Avenant 7G2</v>
      </c>
      <c r="BY717" s="431">
        <f>'Fiche info Avenant 7'!$BP$8</f>
        <v>0</v>
      </c>
      <c r="BZ717" s="431">
        <f>'Fiche info Avenant 7'!$BQ$8</f>
        <v>0</v>
      </c>
      <c r="CA717" s="431">
        <f>'Fiche info Avenant 7'!$BR$8</f>
        <v>0</v>
      </c>
      <c r="CB717" s="431">
        <f>'Fiche info Avenant 7'!$BS$8</f>
        <v>0</v>
      </c>
      <c r="CC717" s="431">
        <f>'Fiche info Avenant 7'!$BT$8</f>
        <v>0</v>
      </c>
      <c r="CD717" s="431">
        <f>'Fiche info Avenant 7'!$BU$8</f>
        <v>0</v>
      </c>
      <c r="CE717" s="431">
        <f>'Fiche info Avenant 7'!$BV$8</f>
        <v>0</v>
      </c>
      <c r="CF717" s="431">
        <f>'Fiche info Avenant 7'!$BW$8</f>
        <v>0</v>
      </c>
      <c r="ED717" s="16" t="str">
        <f t="shared" si="148"/>
        <v>Fiche info Avenant 7G</v>
      </c>
      <c r="EE717" s="16" t="str">
        <f t="shared" si="149"/>
        <v>Fiche info Avenant 7</v>
      </c>
      <c r="EF717" s="16" t="str">
        <f t="shared" si="150"/>
        <v>G</v>
      </c>
      <c r="EG717" s="16">
        <f t="shared" si="151"/>
        <v>2</v>
      </c>
      <c r="EH717" s="16" t="str">
        <f t="shared" si="152"/>
        <v>Mardi</v>
      </c>
      <c r="EI717" s="16" t="str">
        <f t="shared" si="153"/>
        <v/>
      </c>
    </row>
    <row r="718" spans="1:139" x14ac:dyDescent="0.2">
      <c r="A718" s="16" t="str">
        <f t="shared" si="146"/>
        <v>Fiche info Avenant 7G3</v>
      </c>
      <c r="B718" s="16" t="str">
        <f t="shared" si="147"/>
        <v>Fiche info Avenant 7</v>
      </c>
      <c r="C718" s="27" t="s">
        <v>236</v>
      </c>
      <c r="D718" s="27">
        <v>3</v>
      </c>
      <c r="E718" s="16" t="s">
        <v>19</v>
      </c>
      <c r="F718" s="34" t="str">
        <f>+IF('Fiche info Avenant 7'!$BY$9=0,"",'Fiche info Avenant 7'!$BY$9)</f>
        <v/>
      </c>
      <c r="G718" s="16">
        <f t="shared" si="154"/>
        <v>0</v>
      </c>
      <c r="BX718" s="16" t="str">
        <f t="shared" si="155"/>
        <v>Fiche info Avenant 7G3</v>
      </c>
      <c r="BY718" s="431">
        <f>'Fiche info Avenant 7'!$BP$9</f>
        <v>0</v>
      </c>
      <c r="BZ718" s="431">
        <f>'Fiche info Avenant 7'!$BQ$9</f>
        <v>0</v>
      </c>
      <c r="CA718" s="431">
        <f>'Fiche info Avenant 7'!$BR$9</f>
        <v>0</v>
      </c>
      <c r="CB718" s="431">
        <f>'Fiche info Avenant 7'!$BS$9</f>
        <v>0</v>
      </c>
      <c r="CC718" s="431">
        <f>'Fiche info Avenant 7'!$BT$9</f>
        <v>0</v>
      </c>
      <c r="CD718" s="431">
        <f>'Fiche info Avenant 7'!$BU$9</f>
        <v>0</v>
      </c>
      <c r="CE718" s="431">
        <f>'Fiche info Avenant 7'!$BV$9</f>
        <v>0</v>
      </c>
      <c r="CF718" s="431">
        <f>'Fiche info Avenant 7'!$BW$9</f>
        <v>0</v>
      </c>
      <c r="ED718" s="16" t="str">
        <f t="shared" si="148"/>
        <v>Fiche info Avenant 7G</v>
      </c>
      <c r="EE718" s="16" t="str">
        <f t="shared" si="149"/>
        <v>Fiche info Avenant 7</v>
      </c>
      <c r="EF718" s="16" t="str">
        <f t="shared" si="150"/>
        <v>G</v>
      </c>
      <c r="EG718" s="16">
        <f t="shared" si="151"/>
        <v>3</v>
      </c>
      <c r="EH718" s="16" t="str">
        <f t="shared" si="152"/>
        <v>Mercredi</v>
      </c>
      <c r="EI718" s="16" t="str">
        <f t="shared" si="153"/>
        <v/>
      </c>
    </row>
    <row r="719" spans="1:139" x14ac:dyDescent="0.2">
      <c r="A719" s="16" t="str">
        <f t="shared" si="146"/>
        <v>Fiche info Avenant 7G4</v>
      </c>
      <c r="B719" s="16" t="str">
        <f t="shared" si="147"/>
        <v>Fiche info Avenant 7</v>
      </c>
      <c r="C719" s="27" t="s">
        <v>236</v>
      </c>
      <c r="D719" s="27">
        <v>4</v>
      </c>
      <c r="E719" s="16" t="s">
        <v>20</v>
      </c>
      <c r="F719" s="34" t="str">
        <f>+IF('Fiche info Avenant 7'!$BY$10=0,"",'Fiche info Avenant 7'!$BY$10)</f>
        <v/>
      </c>
      <c r="G719" s="16">
        <f t="shared" si="154"/>
        <v>0</v>
      </c>
      <c r="BX719" s="16" t="str">
        <f t="shared" si="155"/>
        <v>Fiche info Avenant 7G4</v>
      </c>
      <c r="BY719" s="431">
        <f>'Fiche info Avenant 7'!$BP$10</f>
        <v>0</v>
      </c>
      <c r="BZ719" s="431">
        <f>'Fiche info Avenant 7'!$BQ$10</f>
        <v>0</v>
      </c>
      <c r="CA719" s="431">
        <f>'Fiche info Avenant 7'!$BR$10</f>
        <v>0</v>
      </c>
      <c r="CB719" s="431">
        <f>'Fiche info Avenant 7'!$BS$10</f>
        <v>0</v>
      </c>
      <c r="CC719" s="431">
        <f>'Fiche info Avenant 7'!$BT$10</f>
        <v>0</v>
      </c>
      <c r="CD719" s="431">
        <f>'Fiche info Avenant 7'!$BU$10</f>
        <v>0</v>
      </c>
      <c r="CE719" s="431">
        <f>'Fiche info Avenant 7'!$BV$10</f>
        <v>0</v>
      </c>
      <c r="CF719" s="431">
        <f>'Fiche info Avenant 7'!$BW$10</f>
        <v>0</v>
      </c>
      <c r="ED719" s="16" t="str">
        <f t="shared" si="148"/>
        <v>Fiche info Avenant 7G</v>
      </c>
      <c r="EE719" s="16" t="str">
        <f t="shared" si="149"/>
        <v>Fiche info Avenant 7</v>
      </c>
      <c r="EF719" s="16" t="str">
        <f t="shared" si="150"/>
        <v>G</v>
      </c>
      <c r="EG719" s="16">
        <f t="shared" si="151"/>
        <v>4</v>
      </c>
      <c r="EH719" s="16" t="str">
        <f t="shared" si="152"/>
        <v>Jeudi</v>
      </c>
      <c r="EI719" s="16" t="str">
        <f t="shared" si="153"/>
        <v/>
      </c>
    </row>
    <row r="720" spans="1:139" x14ac:dyDescent="0.2">
      <c r="A720" s="16" t="str">
        <f t="shared" si="146"/>
        <v>Fiche info Avenant 7G5</v>
      </c>
      <c r="B720" s="16" t="str">
        <f t="shared" si="147"/>
        <v>Fiche info Avenant 7</v>
      </c>
      <c r="C720" s="27" t="s">
        <v>236</v>
      </c>
      <c r="D720" s="27">
        <v>5</v>
      </c>
      <c r="E720" s="16" t="s">
        <v>21</v>
      </c>
      <c r="F720" s="34" t="str">
        <f>+IF('Fiche info Avenant 7'!$BY$11=0,"",'Fiche info Avenant 7'!$BY$11)</f>
        <v/>
      </c>
      <c r="G720" s="16">
        <f t="shared" si="154"/>
        <v>0</v>
      </c>
      <c r="BX720" s="16" t="str">
        <f t="shared" si="155"/>
        <v>Fiche info Avenant 7G5</v>
      </c>
      <c r="BY720" s="431">
        <f>'Fiche info Avenant 7'!$BP$11</f>
        <v>0</v>
      </c>
      <c r="BZ720" s="431">
        <f>'Fiche info Avenant 7'!$BQ$11</f>
        <v>0</v>
      </c>
      <c r="CA720" s="431">
        <f>'Fiche info Avenant 7'!$BR$11</f>
        <v>0</v>
      </c>
      <c r="CB720" s="431">
        <f>'Fiche info Avenant 7'!$BS$11</f>
        <v>0</v>
      </c>
      <c r="CC720" s="431">
        <f>'Fiche info Avenant 7'!$BT$11</f>
        <v>0</v>
      </c>
      <c r="CD720" s="431">
        <f>'Fiche info Avenant 7'!$BU$11</f>
        <v>0</v>
      </c>
      <c r="CE720" s="431">
        <f>'Fiche info Avenant 7'!$BV$11</f>
        <v>0</v>
      </c>
      <c r="CF720" s="431">
        <f>'Fiche info Avenant 7'!$BW$11</f>
        <v>0</v>
      </c>
      <c r="ED720" s="16" t="str">
        <f t="shared" si="148"/>
        <v>Fiche info Avenant 7G</v>
      </c>
      <c r="EE720" s="16" t="str">
        <f t="shared" si="149"/>
        <v>Fiche info Avenant 7</v>
      </c>
      <c r="EF720" s="16" t="str">
        <f t="shared" si="150"/>
        <v>G</v>
      </c>
      <c r="EG720" s="16">
        <f t="shared" si="151"/>
        <v>5</v>
      </c>
      <c r="EH720" s="16" t="str">
        <f t="shared" si="152"/>
        <v>Vendredi</v>
      </c>
      <c r="EI720" s="16" t="str">
        <f t="shared" si="153"/>
        <v/>
      </c>
    </row>
    <row r="721" spans="1:139" x14ac:dyDescent="0.2">
      <c r="A721" s="16" t="str">
        <f t="shared" si="146"/>
        <v>Fiche info Avenant 7G6</v>
      </c>
      <c r="B721" s="16" t="str">
        <f t="shared" si="147"/>
        <v>Fiche info Avenant 7</v>
      </c>
      <c r="C721" s="27" t="s">
        <v>236</v>
      </c>
      <c r="D721" s="27">
        <v>6</v>
      </c>
      <c r="E721" s="16" t="s">
        <v>184</v>
      </c>
      <c r="F721" s="34" t="str">
        <f>+IF('Fiche info Avenant 7'!$BY$12=0,"",'Fiche info Avenant 7'!$BY$12)</f>
        <v/>
      </c>
      <c r="G721" s="16">
        <f t="shared" si="154"/>
        <v>0</v>
      </c>
      <c r="BX721" s="16" t="str">
        <f t="shared" si="155"/>
        <v>Fiche info Avenant 7G6</v>
      </c>
      <c r="BY721" s="431">
        <f>'Fiche info Avenant 7'!$BP$12</f>
        <v>0</v>
      </c>
      <c r="BZ721" s="431">
        <f>'Fiche info Avenant 7'!$BQ$12</f>
        <v>0</v>
      </c>
      <c r="CA721" s="431">
        <f>'Fiche info Avenant 7'!$BR$12</f>
        <v>0</v>
      </c>
      <c r="CB721" s="431">
        <f>'Fiche info Avenant 7'!$BS$12</f>
        <v>0</v>
      </c>
      <c r="CC721" s="431">
        <f>'Fiche info Avenant 7'!$BT$12</f>
        <v>0</v>
      </c>
      <c r="CD721" s="431">
        <f>'Fiche info Avenant 7'!$BU$12</f>
        <v>0</v>
      </c>
      <c r="CE721" s="431">
        <f>'Fiche info Avenant 7'!$BV$12</f>
        <v>0</v>
      </c>
      <c r="CF721" s="431">
        <f>'Fiche info Avenant 7'!$BW$12</f>
        <v>0</v>
      </c>
      <c r="ED721" s="16" t="str">
        <f t="shared" si="148"/>
        <v>Fiche info Avenant 7G</v>
      </c>
      <c r="EE721" s="16" t="str">
        <f t="shared" si="149"/>
        <v>Fiche info Avenant 7</v>
      </c>
      <c r="EF721" s="16" t="str">
        <f t="shared" si="150"/>
        <v>G</v>
      </c>
      <c r="EG721" s="16">
        <f t="shared" si="151"/>
        <v>6</v>
      </c>
      <c r="EH721" s="16" t="str">
        <f t="shared" si="152"/>
        <v>Samedi</v>
      </c>
      <c r="EI721" s="16" t="str">
        <f t="shared" si="153"/>
        <v/>
      </c>
    </row>
    <row r="722" spans="1:139" x14ac:dyDescent="0.2">
      <c r="A722" s="16" t="str">
        <f t="shared" si="146"/>
        <v>Fiche info Avenant 7G7</v>
      </c>
      <c r="B722" s="16" t="str">
        <f t="shared" si="147"/>
        <v>Fiche info Avenant 7</v>
      </c>
      <c r="C722" s="27" t="s">
        <v>236</v>
      </c>
      <c r="D722" s="27">
        <v>7</v>
      </c>
      <c r="E722" s="16" t="s">
        <v>185</v>
      </c>
      <c r="F722" s="34" t="str">
        <f>+IF('Fiche info Avenant 7'!$BY$13=0,"",'Fiche info Avenant 7'!$BY$13)</f>
        <v/>
      </c>
      <c r="G722" s="16">
        <f t="shared" si="154"/>
        <v>0</v>
      </c>
      <c r="BX722" s="16" t="str">
        <f t="shared" si="155"/>
        <v>Fiche info Avenant 7G7</v>
      </c>
      <c r="BY722" s="431">
        <f>'Fiche info Avenant 7'!$BP$13</f>
        <v>0</v>
      </c>
      <c r="BZ722" s="431">
        <f>'Fiche info Avenant 7'!$BQ$13</f>
        <v>0</v>
      </c>
      <c r="CA722" s="431">
        <f>'Fiche info Avenant 7'!$BR$13</f>
        <v>0</v>
      </c>
      <c r="CB722" s="431">
        <f>'Fiche info Avenant 7'!$BS$13</f>
        <v>0</v>
      </c>
      <c r="CC722" s="431">
        <f>'Fiche info Avenant 7'!$BT$13</f>
        <v>0</v>
      </c>
      <c r="CD722" s="431">
        <f>'Fiche info Avenant 7'!$BU$13</f>
        <v>0</v>
      </c>
      <c r="CE722" s="431">
        <f>'Fiche info Avenant 7'!$BV$13</f>
        <v>0</v>
      </c>
      <c r="CF722" s="431">
        <f>'Fiche info Avenant 7'!$BW$13</f>
        <v>0</v>
      </c>
      <c r="ED722" s="16" t="str">
        <f t="shared" si="148"/>
        <v>Fiche info Avenant 7G</v>
      </c>
      <c r="EE722" s="16" t="str">
        <f t="shared" si="149"/>
        <v>Fiche info Avenant 7</v>
      </c>
      <c r="EF722" s="16" t="str">
        <f t="shared" si="150"/>
        <v>G</v>
      </c>
      <c r="EG722" s="16">
        <f t="shared" si="151"/>
        <v>7</v>
      </c>
      <c r="EH722" s="16" t="str">
        <f t="shared" si="152"/>
        <v>Dimanche</v>
      </c>
      <c r="EI722" s="16" t="str">
        <f t="shared" si="153"/>
        <v/>
      </c>
    </row>
    <row r="723" spans="1:139" x14ac:dyDescent="0.2">
      <c r="A723" s="16" t="str">
        <f t="shared" si="146"/>
        <v>Fiche info Avenant 7H1</v>
      </c>
      <c r="B723" s="16" t="str">
        <f t="shared" si="147"/>
        <v>Fiche info Avenant 7</v>
      </c>
      <c r="C723" s="27" t="s">
        <v>237</v>
      </c>
      <c r="D723" s="27">
        <v>1</v>
      </c>
      <c r="E723" s="16" t="s">
        <v>17</v>
      </c>
      <c r="F723" s="34" t="str">
        <f>+IF('Fiche info Avenant 7'!$CJ$7=0,"",'Fiche info Avenant 7'!$CJ$7)</f>
        <v/>
      </c>
      <c r="G723" s="16">
        <f t="shared" si="154"/>
        <v>0</v>
      </c>
      <c r="BX723" s="16" t="str">
        <f t="shared" si="155"/>
        <v>Fiche info Avenant 7H1</v>
      </c>
      <c r="BY723" s="431">
        <f>'Fiche info Avenant 7'!$CA$7</f>
        <v>0</v>
      </c>
      <c r="BZ723" s="431">
        <f>'Fiche info Avenant 7'!$CB$7</f>
        <v>0</v>
      </c>
      <c r="CA723" s="431">
        <f>'Fiche info Avenant 7'!$CC$7</f>
        <v>0</v>
      </c>
      <c r="CB723" s="431">
        <f>'Fiche info Avenant 7'!$CD$7</f>
        <v>0</v>
      </c>
      <c r="CC723" s="431">
        <f>'Fiche info Avenant 7'!$CE$7</f>
        <v>0</v>
      </c>
      <c r="CD723" s="431">
        <f>'Fiche info Avenant 7'!$CF$7</f>
        <v>0</v>
      </c>
      <c r="CE723" s="431">
        <f>'Fiche info Avenant 7'!$CG$7</f>
        <v>0</v>
      </c>
      <c r="CF723" s="431">
        <f>'Fiche info Avenant 7'!$CH$7</f>
        <v>0</v>
      </c>
      <c r="ED723" s="16" t="str">
        <f t="shared" si="148"/>
        <v>Fiche info Avenant 7H</v>
      </c>
      <c r="EE723" s="16" t="str">
        <f t="shared" si="149"/>
        <v>Fiche info Avenant 7</v>
      </c>
      <c r="EF723" s="16" t="str">
        <f t="shared" si="150"/>
        <v>H</v>
      </c>
      <c r="EG723" s="16">
        <f t="shared" si="151"/>
        <v>1</v>
      </c>
      <c r="EH723" s="16" t="str">
        <f t="shared" si="152"/>
        <v>Lundi</v>
      </c>
      <c r="EI723" s="16" t="str">
        <f t="shared" si="153"/>
        <v/>
      </c>
    </row>
    <row r="724" spans="1:139" x14ac:dyDescent="0.2">
      <c r="A724" s="16" t="str">
        <f t="shared" si="146"/>
        <v>Fiche info Avenant 7H2</v>
      </c>
      <c r="B724" s="16" t="str">
        <f t="shared" si="147"/>
        <v>Fiche info Avenant 7</v>
      </c>
      <c r="C724" s="27" t="s">
        <v>237</v>
      </c>
      <c r="D724" s="27">
        <v>2</v>
      </c>
      <c r="E724" s="16" t="s">
        <v>18</v>
      </c>
      <c r="F724" s="34" t="str">
        <f>+IF('Fiche info Avenant 7'!$CJ$8=0,"",'Fiche info Avenant 7'!$CJ$8)</f>
        <v/>
      </c>
      <c r="G724" s="16">
        <f t="shared" si="154"/>
        <v>0</v>
      </c>
      <c r="BX724" s="16" t="str">
        <f t="shared" si="155"/>
        <v>Fiche info Avenant 7H2</v>
      </c>
      <c r="BY724" s="431">
        <f>'Fiche info Avenant 7'!$CA$8</f>
        <v>0</v>
      </c>
      <c r="BZ724" s="431">
        <f>'Fiche info Avenant 7'!$CB$8</f>
        <v>0</v>
      </c>
      <c r="CA724" s="431">
        <f>'Fiche info Avenant 7'!$CC$8</f>
        <v>0</v>
      </c>
      <c r="CB724" s="431">
        <f>'Fiche info Avenant 7'!$CD$8</f>
        <v>0</v>
      </c>
      <c r="CC724" s="431">
        <f>'Fiche info Avenant 7'!$CE$8</f>
        <v>0</v>
      </c>
      <c r="CD724" s="431">
        <f>'Fiche info Avenant 7'!$CF$8</f>
        <v>0</v>
      </c>
      <c r="CE724" s="431">
        <f>'Fiche info Avenant 7'!$CG$8</f>
        <v>0</v>
      </c>
      <c r="CF724" s="431">
        <f>'Fiche info Avenant 7'!$CH$8</f>
        <v>0</v>
      </c>
      <c r="ED724" s="16" t="str">
        <f t="shared" si="148"/>
        <v>Fiche info Avenant 7H</v>
      </c>
      <c r="EE724" s="16" t="str">
        <f t="shared" si="149"/>
        <v>Fiche info Avenant 7</v>
      </c>
      <c r="EF724" s="16" t="str">
        <f t="shared" si="150"/>
        <v>H</v>
      </c>
      <c r="EG724" s="16">
        <f t="shared" si="151"/>
        <v>2</v>
      </c>
      <c r="EH724" s="16" t="str">
        <f t="shared" si="152"/>
        <v>Mardi</v>
      </c>
      <c r="EI724" s="16" t="str">
        <f t="shared" si="153"/>
        <v/>
      </c>
    </row>
    <row r="725" spans="1:139" x14ac:dyDescent="0.2">
      <c r="A725" s="16" t="str">
        <f t="shared" si="146"/>
        <v>Fiche info Avenant 7H3</v>
      </c>
      <c r="B725" s="16" t="str">
        <f t="shared" si="147"/>
        <v>Fiche info Avenant 7</v>
      </c>
      <c r="C725" s="27" t="s">
        <v>237</v>
      </c>
      <c r="D725" s="27">
        <v>3</v>
      </c>
      <c r="E725" s="16" t="s">
        <v>19</v>
      </c>
      <c r="F725" s="34" t="str">
        <f>+IF('Fiche info Avenant 7'!$CJ$9=0,"",'Fiche info Avenant 7'!$CJ$9)</f>
        <v/>
      </c>
      <c r="G725" s="16">
        <f t="shared" si="154"/>
        <v>0</v>
      </c>
      <c r="BX725" s="16" t="str">
        <f t="shared" si="155"/>
        <v>Fiche info Avenant 7H3</v>
      </c>
      <c r="BY725" s="431">
        <f>'Fiche info Avenant 7'!$CA$9</f>
        <v>0</v>
      </c>
      <c r="BZ725" s="431">
        <f>'Fiche info Avenant 7'!$CB$9</f>
        <v>0</v>
      </c>
      <c r="CA725" s="431">
        <f>'Fiche info Avenant 7'!$CC$9</f>
        <v>0</v>
      </c>
      <c r="CB725" s="431">
        <f>'Fiche info Avenant 7'!$CD$9</f>
        <v>0</v>
      </c>
      <c r="CC725" s="431">
        <f>'Fiche info Avenant 7'!$CE$9</f>
        <v>0</v>
      </c>
      <c r="CD725" s="431">
        <f>'Fiche info Avenant 7'!$CF$9</f>
        <v>0</v>
      </c>
      <c r="CE725" s="431">
        <f>'Fiche info Avenant 7'!$CG$9</f>
        <v>0</v>
      </c>
      <c r="CF725" s="431">
        <f>'Fiche info Avenant 7'!$CH$9</f>
        <v>0</v>
      </c>
      <c r="ED725" s="16" t="str">
        <f t="shared" si="148"/>
        <v>Fiche info Avenant 7H</v>
      </c>
      <c r="EE725" s="16" t="str">
        <f t="shared" si="149"/>
        <v>Fiche info Avenant 7</v>
      </c>
      <c r="EF725" s="16" t="str">
        <f t="shared" si="150"/>
        <v>H</v>
      </c>
      <c r="EG725" s="16">
        <f t="shared" si="151"/>
        <v>3</v>
      </c>
      <c r="EH725" s="16" t="str">
        <f t="shared" si="152"/>
        <v>Mercredi</v>
      </c>
      <c r="EI725" s="16" t="str">
        <f t="shared" si="153"/>
        <v/>
      </c>
    </row>
    <row r="726" spans="1:139" x14ac:dyDescent="0.2">
      <c r="A726" s="16" t="str">
        <f t="shared" si="146"/>
        <v>Fiche info Avenant 7H4</v>
      </c>
      <c r="B726" s="16" t="str">
        <f t="shared" si="147"/>
        <v>Fiche info Avenant 7</v>
      </c>
      <c r="C726" s="27" t="s">
        <v>237</v>
      </c>
      <c r="D726" s="27">
        <v>4</v>
      </c>
      <c r="E726" s="16" t="s">
        <v>20</v>
      </c>
      <c r="F726" s="34" t="str">
        <f>+IF('Fiche info Avenant 7'!$CJ$10=0,"",'Fiche info Avenant 7'!$CJ$10)</f>
        <v/>
      </c>
      <c r="G726" s="16">
        <f t="shared" si="154"/>
        <v>0</v>
      </c>
      <c r="BX726" s="16" t="str">
        <f t="shared" si="155"/>
        <v>Fiche info Avenant 7H4</v>
      </c>
      <c r="BY726" s="431">
        <f>'Fiche info Avenant 7'!$CA$10</f>
        <v>0</v>
      </c>
      <c r="BZ726" s="431">
        <f>'Fiche info Avenant 7'!$CB$10</f>
        <v>0</v>
      </c>
      <c r="CA726" s="431">
        <f>'Fiche info Avenant 7'!$CC$10</f>
        <v>0</v>
      </c>
      <c r="CB726" s="431">
        <f>'Fiche info Avenant 7'!$CD$10</f>
        <v>0</v>
      </c>
      <c r="CC726" s="431">
        <f>'Fiche info Avenant 7'!$CE$10</f>
        <v>0</v>
      </c>
      <c r="CD726" s="431">
        <f>'Fiche info Avenant 7'!$CF$10</f>
        <v>0</v>
      </c>
      <c r="CE726" s="431">
        <f>'Fiche info Avenant 7'!$CG$10</f>
        <v>0</v>
      </c>
      <c r="CF726" s="431">
        <f>'Fiche info Avenant 7'!$CH$10</f>
        <v>0</v>
      </c>
      <c r="ED726" s="16" t="str">
        <f t="shared" si="148"/>
        <v>Fiche info Avenant 7H</v>
      </c>
      <c r="EE726" s="16" t="str">
        <f t="shared" si="149"/>
        <v>Fiche info Avenant 7</v>
      </c>
      <c r="EF726" s="16" t="str">
        <f t="shared" si="150"/>
        <v>H</v>
      </c>
      <c r="EG726" s="16">
        <f t="shared" si="151"/>
        <v>4</v>
      </c>
      <c r="EH726" s="16" t="str">
        <f t="shared" si="152"/>
        <v>Jeudi</v>
      </c>
      <c r="EI726" s="16" t="str">
        <f t="shared" si="153"/>
        <v/>
      </c>
    </row>
    <row r="727" spans="1:139" x14ac:dyDescent="0.2">
      <c r="A727" s="16" t="str">
        <f t="shared" si="146"/>
        <v>Fiche info Avenant 7H5</v>
      </c>
      <c r="B727" s="16" t="str">
        <f t="shared" si="147"/>
        <v>Fiche info Avenant 7</v>
      </c>
      <c r="C727" s="27" t="s">
        <v>237</v>
      </c>
      <c r="D727" s="27">
        <v>5</v>
      </c>
      <c r="E727" s="16" t="s">
        <v>21</v>
      </c>
      <c r="F727" s="34" t="str">
        <f>+IF('Fiche info Avenant 7'!$CJ$11=0,"",'Fiche info Avenant 7'!$CJ$11)</f>
        <v/>
      </c>
      <c r="G727" s="16">
        <f t="shared" si="154"/>
        <v>0</v>
      </c>
      <c r="BX727" s="16" t="str">
        <f t="shared" si="155"/>
        <v>Fiche info Avenant 7H5</v>
      </c>
      <c r="BY727" s="431">
        <f>'Fiche info Avenant 7'!$CA$11</f>
        <v>0</v>
      </c>
      <c r="BZ727" s="431">
        <f>'Fiche info Avenant 7'!$CB$11</f>
        <v>0</v>
      </c>
      <c r="CA727" s="431">
        <f>'Fiche info Avenant 7'!$CC$11</f>
        <v>0</v>
      </c>
      <c r="CB727" s="431">
        <f>'Fiche info Avenant 7'!$CD$11</f>
        <v>0</v>
      </c>
      <c r="CC727" s="431">
        <f>'Fiche info Avenant 7'!$CE$11</f>
        <v>0</v>
      </c>
      <c r="CD727" s="431">
        <f>'Fiche info Avenant 7'!$CF$11</f>
        <v>0</v>
      </c>
      <c r="CE727" s="431">
        <f>'Fiche info Avenant 7'!$CG$11</f>
        <v>0</v>
      </c>
      <c r="CF727" s="431">
        <f>'Fiche info Avenant 7'!$CH$11</f>
        <v>0</v>
      </c>
      <c r="ED727" s="16" t="str">
        <f t="shared" si="148"/>
        <v>Fiche info Avenant 7H</v>
      </c>
      <c r="EE727" s="16" t="str">
        <f t="shared" si="149"/>
        <v>Fiche info Avenant 7</v>
      </c>
      <c r="EF727" s="16" t="str">
        <f t="shared" si="150"/>
        <v>H</v>
      </c>
      <c r="EG727" s="16">
        <f t="shared" si="151"/>
        <v>5</v>
      </c>
      <c r="EH727" s="16" t="str">
        <f t="shared" si="152"/>
        <v>Vendredi</v>
      </c>
      <c r="EI727" s="16" t="str">
        <f t="shared" si="153"/>
        <v/>
      </c>
    </row>
    <row r="728" spans="1:139" x14ac:dyDescent="0.2">
      <c r="A728" s="16" t="str">
        <f t="shared" si="146"/>
        <v>Fiche info Avenant 7H6</v>
      </c>
      <c r="B728" s="16" t="str">
        <f t="shared" si="147"/>
        <v>Fiche info Avenant 7</v>
      </c>
      <c r="C728" s="27" t="s">
        <v>237</v>
      </c>
      <c r="D728" s="27">
        <v>6</v>
      </c>
      <c r="E728" s="16" t="s">
        <v>184</v>
      </c>
      <c r="F728" s="34" t="str">
        <f>+IF('Fiche info Avenant 7'!$CJ$12=0,"",'Fiche info Avenant 7'!$CJ$12)</f>
        <v/>
      </c>
      <c r="G728" s="16">
        <f t="shared" si="154"/>
        <v>0</v>
      </c>
      <c r="BX728" s="16" t="str">
        <f t="shared" si="155"/>
        <v>Fiche info Avenant 7H6</v>
      </c>
      <c r="BY728" s="431">
        <f>'Fiche info Avenant 7'!$CA$12</f>
        <v>0</v>
      </c>
      <c r="BZ728" s="431">
        <f>'Fiche info Avenant 7'!$CB$12</f>
        <v>0</v>
      </c>
      <c r="CA728" s="431">
        <f>'Fiche info Avenant 7'!$CC$12</f>
        <v>0</v>
      </c>
      <c r="CB728" s="431">
        <f>'Fiche info Avenant 7'!$CD$12</f>
        <v>0</v>
      </c>
      <c r="CC728" s="431">
        <f>'Fiche info Avenant 7'!$CE$12</f>
        <v>0</v>
      </c>
      <c r="CD728" s="431">
        <f>'Fiche info Avenant 7'!$CF$12</f>
        <v>0</v>
      </c>
      <c r="CE728" s="431">
        <f>'Fiche info Avenant 7'!$CG$12</f>
        <v>0</v>
      </c>
      <c r="CF728" s="431">
        <f>'Fiche info Avenant 7'!$CH$12</f>
        <v>0</v>
      </c>
      <c r="ED728" s="16" t="str">
        <f t="shared" si="148"/>
        <v>Fiche info Avenant 7H</v>
      </c>
      <c r="EE728" s="16" t="str">
        <f t="shared" si="149"/>
        <v>Fiche info Avenant 7</v>
      </c>
      <c r="EF728" s="16" t="str">
        <f t="shared" si="150"/>
        <v>H</v>
      </c>
      <c r="EG728" s="16">
        <f t="shared" si="151"/>
        <v>6</v>
      </c>
      <c r="EH728" s="16" t="str">
        <f t="shared" si="152"/>
        <v>Samedi</v>
      </c>
      <c r="EI728" s="16" t="str">
        <f t="shared" si="153"/>
        <v/>
      </c>
    </row>
    <row r="729" spans="1:139" x14ac:dyDescent="0.2">
      <c r="A729" s="16" t="str">
        <f t="shared" si="146"/>
        <v>Fiche info Avenant 7H7</v>
      </c>
      <c r="B729" s="16" t="str">
        <f t="shared" si="147"/>
        <v>Fiche info Avenant 7</v>
      </c>
      <c r="C729" s="27" t="s">
        <v>237</v>
      </c>
      <c r="D729" s="27">
        <v>7</v>
      </c>
      <c r="E729" s="16" t="s">
        <v>185</v>
      </c>
      <c r="F729" s="34" t="str">
        <f>+IF('Fiche info'!$CJ$13=0,"",'Fiche info'!$CJ$13)</f>
        <v/>
      </c>
      <c r="G729" s="16">
        <f t="shared" si="154"/>
        <v>0</v>
      </c>
      <c r="BX729" s="16" t="str">
        <f t="shared" si="155"/>
        <v>Fiche info Avenant 7H7</v>
      </c>
      <c r="BY729" s="431">
        <f>'Fiche info Avenant 7'!$CA$13</f>
        <v>0</v>
      </c>
      <c r="BZ729" s="431">
        <f>'Fiche info Avenant 7'!$CB$13</f>
        <v>0</v>
      </c>
      <c r="CA729" s="431">
        <f>'Fiche info Avenant 7'!$CC$13</f>
        <v>0</v>
      </c>
      <c r="CB729" s="431">
        <f>'Fiche info Avenant 7'!$CD$13</f>
        <v>0</v>
      </c>
      <c r="CC729" s="431">
        <f>'Fiche info Avenant 7'!$CE$13</f>
        <v>0</v>
      </c>
      <c r="CD729" s="431">
        <f>'Fiche info Avenant 7'!$CF$13</f>
        <v>0</v>
      </c>
      <c r="CE729" s="431">
        <f>'Fiche info Avenant 7'!$CG$13</f>
        <v>0</v>
      </c>
      <c r="CF729" s="431">
        <f>'Fiche info Avenant 7'!$CH$13</f>
        <v>0</v>
      </c>
      <c r="ED729" s="16" t="str">
        <f t="shared" si="148"/>
        <v>Fiche info Avenant 7H</v>
      </c>
      <c r="EE729" s="16" t="str">
        <f t="shared" si="149"/>
        <v>Fiche info Avenant 7</v>
      </c>
      <c r="EF729" s="16" t="str">
        <f t="shared" si="150"/>
        <v>H</v>
      </c>
      <c r="EG729" s="16">
        <f t="shared" si="151"/>
        <v>7</v>
      </c>
      <c r="EH729" s="16" t="str">
        <f t="shared" si="152"/>
        <v>Dimanche</v>
      </c>
      <c r="EI729" s="16" t="str">
        <f t="shared" si="153"/>
        <v/>
      </c>
    </row>
    <row r="730" spans="1:139" x14ac:dyDescent="0.2">
      <c r="A730" s="16" t="str">
        <f t="shared" si="146"/>
        <v>Fiche info Avenant 8A1</v>
      </c>
      <c r="B730" s="16" t="str">
        <f>+$P$15</f>
        <v>Fiche info Avenant 8</v>
      </c>
      <c r="C730" s="27" t="s">
        <v>226</v>
      </c>
      <c r="D730" s="27">
        <v>1</v>
      </c>
      <c r="E730" s="16" t="s">
        <v>17</v>
      </c>
      <c r="F730" s="34" t="str">
        <f>IF('Fiche info Avenant 8'!$K$7=0,"",'Fiche info Avenant 8'!$K$7)</f>
        <v/>
      </c>
      <c r="G730" s="16">
        <f t="shared" si="154"/>
        <v>0</v>
      </c>
      <c r="BX730" s="16" t="str">
        <f t="shared" si="155"/>
        <v>Fiche info Avenant 8A1</v>
      </c>
      <c r="BY730" s="431">
        <f>'Fiche info Avenant 8'!$B$7</f>
        <v>0</v>
      </c>
      <c r="BZ730" s="431">
        <f>'Fiche info Avenant 8'!$C$7</f>
        <v>0</v>
      </c>
      <c r="CA730" s="431">
        <f>'Fiche info Avenant 8'!$D$7</f>
        <v>0</v>
      </c>
      <c r="CB730" s="431">
        <f>'Fiche info Avenant 8'!$E$7</f>
        <v>0</v>
      </c>
      <c r="CC730" s="431">
        <f>'Fiche info Avenant 8'!$F$7</f>
        <v>0</v>
      </c>
      <c r="CD730" s="431">
        <f>'Fiche info Avenant 8'!$G$7</f>
        <v>0</v>
      </c>
      <c r="CE730" s="431">
        <f>'Fiche info Avenant 8'!$H$7</f>
        <v>0</v>
      </c>
      <c r="CF730" s="431">
        <f>'Fiche info Avenant 8'!$I$7</f>
        <v>0</v>
      </c>
      <c r="ED730" s="16" t="str">
        <f t="shared" si="148"/>
        <v>Fiche info Avenant 8A</v>
      </c>
      <c r="EE730" s="16" t="str">
        <f t="shared" si="149"/>
        <v>Fiche info Avenant 8</v>
      </c>
      <c r="EF730" s="16" t="str">
        <f t="shared" si="150"/>
        <v>A</v>
      </c>
      <c r="EG730" s="16">
        <f t="shared" si="151"/>
        <v>1</v>
      </c>
      <c r="EH730" s="16" t="str">
        <f t="shared" si="152"/>
        <v>Lundi</v>
      </c>
      <c r="EI730" s="16" t="str">
        <f t="shared" si="153"/>
        <v/>
      </c>
    </row>
    <row r="731" spans="1:139" x14ac:dyDescent="0.2">
      <c r="A731" s="16" t="str">
        <f t="shared" ref="A731:A786" si="156">+B731&amp;C731&amp;D731</f>
        <v>Fiche info Avenant 8A2</v>
      </c>
      <c r="B731" s="16" t="str">
        <f t="shared" ref="B731:B785" si="157">+$P$15</f>
        <v>Fiche info Avenant 8</v>
      </c>
      <c r="C731" s="27" t="s">
        <v>226</v>
      </c>
      <c r="D731" s="27">
        <v>2</v>
      </c>
      <c r="E731" s="16" t="s">
        <v>18</v>
      </c>
      <c r="F731" s="34" t="str">
        <f>IF('Fiche info Avenant 8'!$K$8=0,"",'Fiche info Avenant 8'!$K$8)</f>
        <v/>
      </c>
      <c r="G731" s="16">
        <f t="shared" si="154"/>
        <v>0</v>
      </c>
      <c r="BX731" s="16" t="str">
        <f t="shared" si="155"/>
        <v>Fiche info Avenant 8A2</v>
      </c>
      <c r="BY731" s="431">
        <f>'Fiche info Avenant 8'!$B$8</f>
        <v>0</v>
      </c>
      <c r="BZ731" s="431">
        <f>'Fiche info Avenant 8'!$C$8</f>
        <v>0</v>
      </c>
      <c r="CA731" s="431">
        <f>'Fiche info Avenant 8'!$D$8</f>
        <v>0</v>
      </c>
      <c r="CB731" s="431">
        <f>'Fiche info Avenant 8'!$E$8</f>
        <v>0</v>
      </c>
      <c r="CC731" s="431">
        <f>'Fiche info Avenant 8'!$F$8</f>
        <v>0</v>
      </c>
      <c r="CD731" s="431">
        <f>'Fiche info Avenant 8'!$G$8</f>
        <v>0</v>
      </c>
      <c r="CE731" s="431">
        <f>'Fiche info Avenant 8'!$H$8</f>
        <v>0</v>
      </c>
      <c r="CF731" s="431">
        <f>'Fiche info Avenant 8'!$I$8</f>
        <v>0</v>
      </c>
      <c r="ED731" s="16" t="str">
        <f t="shared" si="148"/>
        <v>Fiche info Avenant 8A</v>
      </c>
      <c r="EE731" s="16" t="str">
        <f t="shared" si="149"/>
        <v>Fiche info Avenant 8</v>
      </c>
      <c r="EF731" s="16" t="str">
        <f t="shared" si="150"/>
        <v>A</v>
      </c>
      <c r="EG731" s="16">
        <f t="shared" si="151"/>
        <v>2</v>
      </c>
      <c r="EH731" s="16" t="str">
        <f t="shared" si="152"/>
        <v>Mardi</v>
      </c>
      <c r="EI731" s="16" t="str">
        <f t="shared" si="153"/>
        <v/>
      </c>
    </row>
    <row r="732" spans="1:139" x14ac:dyDescent="0.2">
      <c r="A732" s="16" t="str">
        <f t="shared" si="156"/>
        <v>Fiche info Avenant 8A3</v>
      </c>
      <c r="B732" s="16" t="str">
        <f t="shared" si="157"/>
        <v>Fiche info Avenant 8</v>
      </c>
      <c r="C732" s="27" t="s">
        <v>226</v>
      </c>
      <c r="D732" s="27">
        <v>3</v>
      </c>
      <c r="E732" s="16" t="s">
        <v>19</v>
      </c>
      <c r="F732" s="34" t="str">
        <f>IF('Fiche info Avenant 8'!$K$9=0,"",'Fiche info Avenant 8'!$K$9)</f>
        <v/>
      </c>
      <c r="G732" s="16">
        <f t="shared" si="154"/>
        <v>0</v>
      </c>
      <c r="BX732" s="16" t="str">
        <f t="shared" si="155"/>
        <v>Fiche info Avenant 8A3</v>
      </c>
      <c r="BY732" s="431">
        <f>'Fiche info Avenant 8'!$B$9</f>
        <v>0</v>
      </c>
      <c r="BZ732" s="431">
        <f>'Fiche info Avenant 8'!$C$9</f>
        <v>0</v>
      </c>
      <c r="CA732" s="431">
        <f>'Fiche info Avenant 8'!$D$9</f>
        <v>0</v>
      </c>
      <c r="CB732" s="431">
        <f>'Fiche info Avenant 8'!$E$9</f>
        <v>0</v>
      </c>
      <c r="CC732" s="431">
        <f>'Fiche info Avenant 8'!$F$9</f>
        <v>0</v>
      </c>
      <c r="CD732" s="431">
        <f>'Fiche info Avenant 8'!$G$9</f>
        <v>0</v>
      </c>
      <c r="CE732" s="431">
        <f>'Fiche info Avenant 8'!$H$9</f>
        <v>0</v>
      </c>
      <c r="CF732" s="431">
        <f>'Fiche info Avenant 8'!$I$9</f>
        <v>0</v>
      </c>
      <c r="ED732" s="16" t="str">
        <f t="shared" si="148"/>
        <v>Fiche info Avenant 8A</v>
      </c>
      <c r="EE732" s="16" t="str">
        <f t="shared" si="149"/>
        <v>Fiche info Avenant 8</v>
      </c>
      <c r="EF732" s="16" t="str">
        <f t="shared" si="150"/>
        <v>A</v>
      </c>
      <c r="EG732" s="16">
        <f t="shared" si="151"/>
        <v>3</v>
      </c>
      <c r="EH732" s="16" t="str">
        <f t="shared" si="152"/>
        <v>Mercredi</v>
      </c>
      <c r="EI732" s="16" t="str">
        <f t="shared" si="153"/>
        <v/>
      </c>
    </row>
    <row r="733" spans="1:139" x14ac:dyDescent="0.2">
      <c r="A733" s="16" t="str">
        <f t="shared" si="156"/>
        <v>Fiche info Avenant 8A4</v>
      </c>
      <c r="B733" s="16" t="str">
        <f t="shared" si="157"/>
        <v>Fiche info Avenant 8</v>
      </c>
      <c r="C733" s="27" t="s">
        <v>226</v>
      </c>
      <c r="D733" s="27">
        <v>4</v>
      </c>
      <c r="E733" s="16" t="s">
        <v>20</v>
      </c>
      <c r="F733" s="34" t="str">
        <f>IF('Fiche info Avenant 8'!$K$10=0,"",'Fiche info Avenant 8'!$K$10)</f>
        <v/>
      </c>
      <c r="G733" s="16">
        <f t="shared" si="154"/>
        <v>0</v>
      </c>
      <c r="BX733" s="16" t="str">
        <f t="shared" si="155"/>
        <v>Fiche info Avenant 8A4</v>
      </c>
      <c r="BY733" s="431">
        <f>'Fiche info Avenant 8'!$B$10</f>
        <v>0</v>
      </c>
      <c r="BZ733" s="431">
        <f>'Fiche info Avenant 8'!$C$10</f>
        <v>0</v>
      </c>
      <c r="CA733" s="431">
        <f>'Fiche info Avenant 8'!$D$10</f>
        <v>0</v>
      </c>
      <c r="CB733" s="431">
        <f>'Fiche info Avenant 8'!$E$10</f>
        <v>0</v>
      </c>
      <c r="CC733" s="431">
        <f>'Fiche info Avenant 8'!$F$10</f>
        <v>0</v>
      </c>
      <c r="CD733" s="431">
        <f>'Fiche info Avenant 8'!$G$10</f>
        <v>0</v>
      </c>
      <c r="CE733" s="431">
        <f>'Fiche info Avenant 8'!$H$10</f>
        <v>0</v>
      </c>
      <c r="CF733" s="431">
        <f>'Fiche info Avenant 8'!$I$10</f>
        <v>0</v>
      </c>
      <c r="ED733" s="16" t="str">
        <f t="shared" si="148"/>
        <v>Fiche info Avenant 8A</v>
      </c>
      <c r="EE733" s="16" t="str">
        <f t="shared" si="149"/>
        <v>Fiche info Avenant 8</v>
      </c>
      <c r="EF733" s="16" t="str">
        <f t="shared" si="150"/>
        <v>A</v>
      </c>
      <c r="EG733" s="16">
        <f t="shared" si="151"/>
        <v>4</v>
      </c>
      <c r="EH733" s="16" t="str">
        <f t="shared" si="152"/>
        <v>Jeudi</v>
      </c>
      <c r="EI733" s="16" t="str">
        <f t="shared" si="153"/>
        <v/>
      </c>
    </row>
    <row r="734" spans="1:139" x14ac:dyDescent="0.2">
      <c r="A734" s="16" t="str">
        <f t="shared" si="156"/>
        <v>Fiche info Avenant 8A5</v>
      </c>
      <c r="B734" s="16" t="str">
        <f t="shared" si="157"/>
        <v>Fiche info Avenant 8</v>
      </c>
      <c r="C734" s="27" t="s">
        <v>226</v>
      </c>
      <c r="D734" s="27">
        <v>5</v>
      </c>
      <c r="E734" s="16" t="s">
        <v>21</v>
      </c>
      <c r="F734" s="34" t="str">
        <f>IF('Fiche info Avenant 8'!$K$11=0,"",'Fiche info Avenant 8'!$K$11)</f>
        <v/>
      </c>
      <c r="G734" s="16">
        <f t="shared" si="154"/>
        <v>0</v>
      </c>
      <c r="BX734" s="16" t="str">
        <f t="shared" si="155"/>
        <v>Fiche info Avenant 8A5</v>
      </c>
      <c r="BY734" s="431">
        <f>'Fiche info Avenant 8'!$B$11</f>
        <v>0</v>
      </c>
      <c r="BZ734" s="431">
        <f>'Fiche info Avenant 8'!$C$11</f>
        <v>0</v>
      </c>
      <c r="CA734" s="431">
        <f>'Fiche info Avenant 8'!$D$11</f>
        <v>0</v>
      </c>
      <c r="CB734" s="431">
        <f>'Fiche info Avenant 8'!$E$11</f>
        <v>0</v>
      </c>
      <c r="CC734" s="431">
        <f>'Fiche info Avenant 8'!$F$11</f>
        <v>0</v>
      </c>
      <c r="CD734" s="431">
        <f>'Fiche info Avenant 8'!$G$11</f>
        <v>0</v>
      </c>
      <c r="CE734" s="431">
        <f>'Fiche info Avenant 8'!$H$11</f>
        <v>0</v>
      </c>
      <c r="CF734" s="431">
        <f>'Fiche info Avenant 8'!$I$11</f>
        <v>0</v>
      </c>
      <c r="ED734" s="16" t="str">
        <f t="shared" si="148"/>
        <v>Fiche info Avenant 8A</v>
      </c>
      <c r="EE734" s="16" t="str">
        <f t="shared" si="149"/>
        <v>Fiche info Avenant 8</v>
      </c>
      <c r="EF734" s="16" t="str">
        <f t="shared" si="150"/>
        <v>A</v>
      </c>
      <c r="EG734" s="16">
        <f t="shared" si="151"/>
        <v>5</v>
      </c>
      <c r="EH734" s="16" t="str">
        <f t="shared" si="152"/>
        <v>Vendredi</v>
      </c>
      <c r="EI734" s="16" t="str">
        <f t="shared" si="153"/>
        <v/>
      </c>
    </row>
    <row r="735" spans="1:139" x14ac:dyDescent="0.2">
      <c r="A735" s="16" t="str">
        <f t="shared" si="156"/>
        <v>Fiche info Avenant 8A6</v>
      </c>
      <c r="B735" s="16" t="str">
        <f t="shared" si="157"/>
        <v>Fiche info Avenant 8</v>
      </c>
      <c r="C735" s="27" t="s">
        <v>226</v>
      </c>
      <c r="D735" s="27">
        <v>6</v>
      </c>
      <c r="E735" s="16" t="s">
        <v>184</v>
      </c>
      <c r="F735" s="34" t="str">
        <f>IF('Fiche info Avenant 8'!$K$12=0,"",'Fiche info Avenant 8'!$K$12)</f>
        <v/>
      </c>
      <c r="G735" s="16">
        <f t="shared" si="154"/>
        <v>0</v>
      </c>
      <c r="BX735" s="16" t="str">
        <f t="shared" si="155"/>
        <v>Fiche info Avenant 8A6</v>
      </c>
      <c r="BY735" s="431">
        <f>'Fiche info Avenant 8'!$B$12</f>
        <v>0</v>
      </c>
      <c r="BZ735" s="431">
        <f>'Fiche info Avenant 8'!$C$12</f>
        <v>0</v>
      </c>
      <c r="CA735" s="431">
        <f>'Fiche info Avenant 8'!$D$12</f>
        <v>0</v>
      </c>
      <c r="CB735" s="431">
        <f>'Fiche info Avenant 8'!$E$12</f>
        <v>0</v>
      </c>
      <c r="CC735" s="431">
        <f>'Fiche info Avenant 8'!$F$12</f>
        <v>0</v>
      </c>
      <c r="CD735" s="431">
        <f>'Fiche info Avenant 8'!$G$12</f>
        <v>0</v>
      </c>
      <c r="CE735" s="431">
        <f>'Fiche info Avenant 8'!$H$12</f>
        <v>0</v>
      </c>
      <c r="CF735" s="431">
        <f>'Fiche info Avenant 8'!$I$12</f>
        <v>0</v>
      </c>
      <c r="ED735" s="16" t="str">
        <f t="shared" si="148"/>
        <v>Fiche info Avenant 8A</v>
      </c>
      <c r="EE735" s="16" t="str">
        <f t="shared" si="149"/>
        <v>Fiche info Avenant 8</v>
      </c>
      <c r="EF735" s="16" t="str">
        <f t="shared" si="150"/>
        <v>A</v>
      </c>
      <c r="EG735" s="16">
        <f t="shared" si="151"/>
        <v>6</v>
      </c>
      <c r="EH735" s="16" t="str">
        <f t="shared" si="152"/>
        <v>Samedi</v>
      </c>
      <c r="EI735" s="16" t="str">
        <f t="shared" si="153"/>
        <v/>
      </c>
    </row>
    <row r="736" spans="1:139" x14ac:dyDescent="0.2">
      <c r="A736" s="16" t="str">
        <f t="shared" si="156"/>
        <v>Fiche info Avenant 8A7</v>
      </c>
      <c r="B736" s="16" t="str">
        <f t="shared" si="157"/>
        <v>Fiche info Avenant 8</v>
      </c>
      <c r="C736" s="27" t="s">
        <v>226</v>
      </c>
      <c r="D736" s="27">
        <v>7</v>
      </c>
      <c r="E736" s="16" t="s">
        <v>185</v>
      </c>
      <c r="F736" s="34" t="str">
        <f>IF('Fiche info Avenant 8'!$K$13=0,"",'Fiche info Avenant 8'!$K$13)</f>
        <v/>
      </c>
      <c r="G736" s="16">
        <f t="shared" si="154"/>
        <v>0</v>
      </c>
      <c r="BX736" s="16" t="str">
        <f t="shared" si="155"/>
        <v>Fiche info Avenant 8A7</v>
      </c>
      <c r="BY736" s="431">
        <f>'Fiche info Avenant 8'!$B$13</f>
        <v>0</v>
      </c>
      <c r="BZ736" s="431">
        <f>'Fiche info Avenant 8'!$C$13</f>
        <v>0</v>
      </c>
      <c r="CA736" s="431">
        <f>'Fiche info Avenant 8'!$D$13</f>
        <v>0</v>
      </c>
      <c r="CB736" s="431">
        <f>'Fiche info Avenant 8'!$E$13</f>
        <v>0</v>
      </c>
      <c r="CC736" s="431">
        <f>'Fiche info Avenant 8'!$F$13</f>
        <v>0</v>
      </c>
      <c r="CD736" s="431">
        <f>'Fiche info Avenant 8'!$G$13</f>
        <v>0</v>
      </c>
      <c r="CE736" s="431">
        <f>'Fiche info Avenant 8'!$H$13</f>
        <v>0</v>
      </c>
      <c r="CF736" s="431">
        <f>'Fiche info Avenant 8'!$I$13</f>
        <v>0</v>
      </c>
      <c r="ED736" s="16" t="str">
        <f t="shared" si="148"/>
        <v>Fiche info Avenant 8A</v>
      </c>
      <c r="EE736" s="16" t="str">
        <f t="shared" si="149"/>
        <v>Fiche info Avenant 8</v>
      </c>
      <c r="EF736" s="16" t="str">
        <f t="shared" si="150"/>
        <v>A</v>
      </c>
      <c r="EG736" s="16">
        <f t="shared" si="151"/>
        <v>7</v>
      </c>
      <c r="EH736" s="16" t="str">
        <f t="shared" si="152"/>
        <v>Dimanche</v>
      </c>
      <c r="EI736" s="16" t="str">
        <f t="shared" si="153"/>
        <v/>
      </c>
    </row>
    <row r="737" spans="1:139" x14ac:dyDescent="0.2">
      <c r="A737" s="16" t="str">
        <f t="shared" si="156"/>
        <v>Fiche info Avenant 8B1</v>
      </c>
      <c r="B737" s="16" t="str">
        <f t="shared" si="157"/>
        <v>Fiche info Avenant 8</v>
      </c>
      <c r="C737" s="27" t="s">
        <v>227</v>
      </c>
      <c r="D737" s="27">
        <v>1</v>
      </c>
      <c r="E737" s="16" t="s">
        <v>17</v>
      </c>
      <c r="F737" s="34" t="str">
        <f>+IF('Fiche info Avenant 8'!$V$7=0,"",'Fiche info Avenant 8'!$V$7)</f>
        <v/>
      </c>
      <c r="G737" s="16">
        <f t="shared" si="154"/>
        <v>0</v>
      </c>
      <c r="BX737" s="16" t="str">
        <f t="shared" si="155"/>
        <v>Fiche info Avenant 8B1</v>
      </c>
      <c r="BY737" s="431">
        <f>'Fiche info Avenant 8'!$M$7</f>
        <v>0</v>
      </c>
      <c r="BZ737" s="431">
        <f>'Fiche info Avenant 8'!$N$7</f>
        <v>0</v>
      </c>
      <c r="CA737" s="431">
        <f>'Fiche info Avenant 8'!$O$7</f>
        <v>0</v>
      </c>
      <c r="CB737" s="431">
        <f>'Fiche info Avenant 8'!$P$7</f>
        <v>0</v>
      </c>
      <c r="CC737" s="431">
        <f>'Fiche info Avenant 8'!$Q$7</f>
        <v>0</v>
      </c>
      <c r="CD737" s="431">
        <f>'Fiche info Avenant 8'!$R$7</f>
        <v>0</v>
      </c>
      <c r="CE737" s="431">
        <f>'Fiche info Avenant 8'!$S$7</f>
        <v>0</v>
      </c>
      <c r="CF737" s="431">
        <f>'Fiche info Avenant 8'!$T$7</f>
        <v>0</v>
      </c>
      <c r="ED737" s="16" t="str">
        <f t="shared" si="148"/>
        <v>Fiche info Avenant 8B</v>
      </c>
      <c r="EE737" s="16" t="str">
        <f t="shared" si="149"/>
        <v>Fiche info Avenant 8</v>
      </c>
      <c r="EF737" s="16" t="str">
        <f t="shared" si="150"/>
        <v>B</v>
      </c>
      <c r="EG737" s="16">
        <f t="shared" si="151"/>
        <v>1</v>
      </c>
      <c r="EH737" s="16" t="str">
        <f t="shared" si="152"/>
        <v>Lundi</v>
      </c>
      <c r="EI737" s="16" t="str">
        <f t="shared" si="153"/>
        <v/>
      </c>
    </row>
    <row r="738" spans="1:139" x14ac:dyDescent="0.2">
      <c r="A738" s="16" t="str">
        <f t="shared" si="156"/>
        <v>Fiche info Avenant 8B2</v>
      </c>
      <c r="B738" s="16" t="str">
        <f t="shared" si="157"/>
        <v>Fiche info Avenant 8</v>
      </c>
      <c r="C738" s="27" t="s">
        <v>227</v>
      </c>
      <c r="D738" s="27">
        <v>2</v>
      </c>
      <c r="E738" s="16" t="s">
        <v>18</v>
      </c>
      <c r="F738" s="34" t="str">
        <f>+IF('Fiche info Avenant 8'!$V$8=0,"",'Fiche info Avenant 8'!$V$8)</f>
        <v/>
      </c>
      <c r="G738" s="16">
        <f t="shared" si="154"/>
        <v>0</v>
      </c>
      <c r="BX738" s="16" t="str">
        <f t="shared" si="155"/>
        <v>Fiche info Avenant 8B2</v>
      </c>
      <c r="BY738" s="431">
        <f>'Fiche info Avenant 8'!$M$8</f>
        <v>0</v>
      </c>
      <c r="BZ738" s="431">
        <f>'Fiche info Avenant 8'!$N$8</f>
        <v>0</v>
      </c>
      <c r="CA738" s="431">
        <f>'Fiche info Avenant 8'!$O$8</f>
        <v>0</v>
      </c>
      <c r="CB738" s="431">
        <f>'Fiche info Avenant 8'!$P$8</f>
        <v>0</v>
      </c>
      <c r="CC738" s="431">
        <f>'Fiche info Avenant 8'!$Q$8</f>
        <v>0</v>
      </c>
      <c r="CD738" s="431">
        <f>'Fiche info Avenant 8'!$R$8</f>
        <v>0</v>
      </c>
      <c r="CE738" s="431">
        <f>'Fiche info Avenant 8'!$S$8</f>
        <v>0</v>
      </c>
      <c r="CF738" s="431">
        <f>'Fiche info Avenant 8'!$T$8</f>
        <v>0</v>
      </c>
      <c r="ED738" s="16" t="str">
        <f t="shared" si="148"/>
        <v>Fiche info Avenant 8B</v>
      </c>
      <c r="EE738" s="16" t="str">
        <f t="shared" si="149"/>
        <v>Fiche info Avenant 8</v>
      </c>
      <c r="EF738" s="16" t="str">
        <f t="shared" si="150"/>
        <v>B</v>
      </c>
      <c r="EG738" s="16">
        <f t="shared" si="151"/>
        <v>2</v>
      </c>
      <c r="EH738" s="16" t="str">
        <f t="shared" si="152"/>
        <v>Mardi</v>
      </c>
      <c r="EI738" s="16" t="str">
        <f t="shared" si="153"/>
        <v/>
      </c>
    </row>
    <row r="739" spans="1:139" x14ac:dyDescent="0.2">
      <c r="A739" s="16" t="str">
        <f t="shared" si="156"/>
        <v>Fiche info Avenant 8B3</v>
      </c>
      <c r="B739" s="16" t="str">
        <f t="shared" si="157"/>
        <v>Fiche info Avenant 8</v>
      </c>
      <c r="C739" s="27" t="s">
        <v>227</v>
      </c>
      <c r="D739" s="27">
        <v>3</v>
      </c>
      <c r="E739" s="16" t="s">
        <v>19</v>
      </c>
      <c r="F739" s="34" t="str">
        <f>+IF('Fiche info Avenant 8'!$V$9=0,"",'Fiche info Avenant 8'!$V$9)</f>
        <v/>
      </c>
      <c r="G739" s="16">
        <f t="shared" si="154"/>
        <v>0</v>
      </c>
      <c r="BX739" s="16" t="str">
        <f t="shared" si="155"/>
        <v>Fiche info Avenant 8B3</v>
      </c>
      <c r="BY739" s="431">
        <f>'Fiche info Avenant 8'!$M$9</f>
        <v>0</v>
      </c>
      <c r="BZ739" s="431">
        <f>'Fiche info Avenant 8'!$N$9</f>
        <v>0</v>
      </c>
      <c r="CA739" s="431">
        <f>'Fiche info Avenant 8'!$O$9</f>
        <v>0</v>
      </c>
      <c r="CB739" s="431">
        <f>'Fiche info Avenant 8'!$P$9</f>
        <v>0</v>
      </c>
      <c r="CC739" s="431">
        <f>'Fiche info Avenant 8'!$Q$9</f>
        <v>0</v>
      </c>
      <c r="CD739" s="431">
        <f>'Fiche info Avenant 8'!$R$9</f>
        <v>0</v>
      </c>
      <c r="CE739" s="431">
        <f>'Fiche info Avenant 8'!$S$9</f>
        <v>0</v>
      </c>
      <c r="CF739" s="431">
        <f>'Fiche info Avenant 8'!$T$9</f>
        <v>0</v>
      </c>
      <c r="ED739" s="16" t="str">
        <f t="shared" si="148"/>
        <v>Fiche info Avenant 8B</v>
      </c>
      <c r="EE739" s="16" t="str">
        <f t="shared" si="149"/>
        <v>Fiche info Avenant 8</v>
      </c>
      <c r="EF739" s="16" t="str">
        <f t="shared" si="150"/>
        <v>B</v>
      </c>
      <c r="EG739" s="16">
        <f t="shared" si="151"/>
        <v>3</v>
      </c>
      <c r="EH739" s="16" t="str">
        <f t="shared" si="152"/>
        <v>Mercredi</v>
      </c>
      <c r="EI739" s="16" t="str">
        <f t="shared" si="153"/>
        <v/>
      </c>
    </row>
    <row r="740" spans="1:139" x14ac:dyDescent="0.2">
      <c r="A740" s="16" t="str">
        <f t="shared" si="156"/>
        <v>Fiche info Avenant 8B4</v>
      </c>
      <c r="B740" s="16" t="str">
        <f t="shared" si="157"/>
        <v>Fiche info Avenant 8</v>
      </c>
      <c r="C740" s="27" t="s">
        <v>227</v>
      </c>
      <c r="D740" s="27">
        <v>4</v>
      </c>
      <c r="E740" s="16" t="s">
        <v>20</v>
      </c>
      <c r="F740" s="34" t="str">
        <f>+IF('Fiche info Avenant 8'!$V$10=0,"",'Fiche info Avenant 8'!$V$10)</f>
        <v/>
      </c>
      <c r="G740" s="16">
        <f t="shared" si="154"/>
        <v>0</v>
      </c>
      <c r="BX740" s="16" t="str">
        <f t="shared" si="155"/>
        <v>Fiche info Avenant 8B4</v>
      </c>
      <c r="BY740" s="431">
        <f>'Fiche info Avenant 8'!$M$10</f>
        <v>0</v>
      </c>
      <c r="BZ740" s="431">
        <f>'Fiche info Avenant 8'!$N$10</f>
        <v>0</v>
      </c>
      <c r="CA740" s="431">
        <f>'Fiche info Avenant 8'!$O$10</f>
        <v>0</v>
      </c>
      <c r="CB740" s="431">
        <f>'Fiche info Avenant 8'!$P$10</f>
        <v>0</v>
      </c>
      <c r="CC740" s="431">
        <f>'Fiche info Avenant 8'!$Q$10</f>
        <v>0</v>
      </c>
      <c r="CD740" s="431">
        <f>'Fiche info Avenant 8'!$R$10</f>
        <v>0</v>
      </c>
      <c r="CE740" s="431">
        <f>'Fiche info Avenant 8'!$S$10</f>
        <v>0</v>
      </c>
      <c r="CF740" s="431">
        <f>'Fiche info Avenant 8'!$T$10</f>
        <v>0</v>
      </c>
      <c r="ED740" s="16" t="str">
        <f t="shared" si="148"/>
        <v>Fiche info Avenant 8B</v>
      </c>
      <c r="EE740" s="16" t="str">
        <f t="shared" si="149"/>
        <v>Fiche info Avenant 8</v>
      </c>
      <c r="EF740" s="16" t="str">
        <f t="shared" si="150"/>
        <v>B</v>
      </c>
      <c r="EG740" s="16">
        <f t="shared" si="151"/>
        <v>4</v>
      </c>
      <c r="EH740" s="16" t="str">
        <f t="shared" si="152"/>
        <v>Jeudi</v>
      </c>
      <c r="EI740" s="16" t="str">
        <f t="shared" si="153"/>
        <v/>
      </c>
    </row>
    <row r="741" spans="1:139" x14ac:dyDescent="0.2">
      <c r="A741" s="16" t="str">
        <f t="shared" si="156"/>
        <v>Fiche info Avenant 8B5</v>
      </c>
      <c r="B741" s="16" t="str">
        <f t="shared" si="157"/>
        <v>Fiche info Avenant 8</v>
      </c>
      <c r="C741" s="27" t="s">
        <v>227</v>
      </c>
      <c r="D741" s="27">
        <v>5</v>
      </c>
      <c r="E741" s="16" t="s">
        <v>21</v>
      </c>
      <c r="F741" s="34" t="str">
        <f>+IF('Fiche info Avenant 8'!$V$11=0,"",'Fiche info Avenant 8'!$V$11)</f>
        <v/>
      </c>
      <c r="G741" s="16">
        <f t="shared" si="154"/>
        <v>0</v>
      </c>
      <c r="BX741" s="16" t="str">
        <f t="shared" si="155"/>
        <v>Fiche info Avenant 8B5</v>
      </c>
      <c r="BY741" s="431">
        <f>'Fiche info Avenant 8'!$M$11</f>
        <v>0</v>
      </c>
      <c r="BZ741" s="431">
        <f>'Fiche info Avenant 8'!$N$11</f>
        <v>0</v>
      </c>
      <c r="CA741" s="431">
        <f>'Fiche info Avenant 8'!$O$11</f>
        <v>0</v>
      </c>
      <c r="CB741" s="431">
        <f>'Fiche info Avenant 8'!$P$11</f>
        <v>0</v>
      </c>
      <c r="CC741" s="431">
        <f>'Fiche info Avenant 8'!$Q$11</f>
        <v>0</v>
      </c>
      <c r="CD741" s="431">
        <f>'Fiche info Avenant 8'!$R$11</f>
        <v>0</v>
      </c>
      <c r="CE741" s="431">
        <f>'Fiche info Avenant 8'!$S$11</f>
        <v>0</v>
      </c>
      <c r="CF741" s="431">
        <f>'Fiche info Avenant 8'!$T$11</f>
        <v>0</v>
      </c>
      <c r="ED741" s="16" t="str">
        <f t="shared" si="148"/>
        <v>Fiche info Avenant 8B</v>
      </c>
      <c r="EE741" s="16" t="str">
        <f t="shared" si="149"/>
        <v>Fiche info Avenant 8</v>
      </c>
      <c r="EF741" s="16" t="str">
        <f t="shared" si="150"/>
        <v>B</v>
      </c>
      <c r="EG741" s="16">
        <f t="shared" si="151"/>
        <v>5</v>
      </c>
      <c r="EH741" s="16" t="str">
        <f t="shared" si="152"/>
        <v>Vendredi</v>
      </c>
      <c r="EI741" s="16" t="str">
        <f t="shared" si="153"/>
        <v/>
      </c>
    </row>
    <row r="742" spans="1:139" x14ac:dyDescent="0.2">
      <c r="A742" s="16" t="str">
        <f t="shared" si="156"/>
        <v>Fiche info Avenant 8B6</v>
      </c>
      <c r="B742" s="16" t="str">
        <f t="shared" si="157"/>
        <v>Fiche info Avenant 8</v>
      </c>
      <c r="C742" s="27" t="s">
        <v>227</v>
      </c>
      <c r="D742" s="27">
        <v>6</v>
      </c>
      <c r="E742" s="16" t="s">
        <v>184</v>
      </c>
      <c r="F742" s="34" t="str">
        <f>+IF('Fiche info Avenant 8'!$V$12=0,"",'Fiche info Avenant 8'!$V$12)</f>
        <v/>
      </c>
      <c r="G742" s="16">
        <f t="shared" si="154"/>
        <v>0</v>
      </c>
      <c r="BX742" s="16" t="str">
        <f t="shared" si="155"/>
        <v>Fiche info Avenant 8B6</v>
      </c>
      <c r="BY742" s="431">
        <f>'Fiche info Avenant 8'!$M$12</f>
        <v>0</v>
      </c>
      <c r="BZ742" s="431">
        <f>'Fiche info Avenant 8'!$N$12</f>
        <v>0</v>
      </c>
      <c r="CA742" s="431">
        <f>'Fiche info Avenant 8'!$O$12</f>
        <v>0</v>
      </c>
      <c r="CB742" s="431">
        <f>'Fiche info Avenant 8'!$P$12</f>
        <v>0</v>
      </c>
      <c r="CC742" s="431">
        <f>'Fiche info Avenant 8'!$Q$12</f>
        <v>0</v>
      </c>
      <c r="CD742" s="431">
        <f>'Fiche info Avenant 8'!$R$12</f>
        <v>0</v>
      </c>
      <c r="CE742" s="431">
        <f>'Fiche info Avenant 8'!$S$12</f>
        <v>0</v>
      </c>
      <c r="CF742" s="431">
        <f>'Fiche info Avenant 8'!$T$12</f>
        <v>0</v>
      </c>
      <c r="ED742" s="16" t="str">
        <f t="shared" si="148"/>
        <v>Fiche info Avenant 8B</v>
      </c>
      <c r="EE742" s="16" t="str">
        <f t="shared" si="149"/>
        <v>Fiche info Avenant 8</v>
      </c>
      <c r="EF742" s="16" t="str">
        <f t="shared" si="150"/>
        <v>B</v>
      </c>
      <c r="EG742" s="16">
        <f t="shared" si="151"/>
        <v>6</v>
      </c>
      <c r="EH742" s="16" t="str">
        <f t="shared" si="152"/>
        <v>Samedi</v>
      </c>
      <c r="EI742" s="16" t="str">
        <f t="shared" si="153"/>
        <v/>
      </c>
    </row>
    <row r="743" spans="1:139" x14ac:dyDescent="0.2">
      <c r="A743" s="16" t="str">
        <f t="shared" si="156"/>
        <v>Fiche info Avenant 8B7</v>
      </c>
      <c r="B743" s="16" t="str">
        <f t="shared" si="157"/>
        <v>Fiche info Avenant 8</v>
      </c>
      <c r="C743" s="27" t="s">
        <v>227</v>
      </c>
      <c r="D743" s="27">
        <v>7</v>
      </c>
      <c r="E743" s="16" t="s">
        <v>185</v>
      </c>
      <c r="F743" s="34" t="str">
        <f>+IF('Fiche info Avenant 8'!$V$13=0,"",'Fiche info Avenant 8'!$V$13)</f>
        <v/>
      </c>
      <c r="G743" s="16">
        <f t="shared" si="154"/>
        <v>0</v>
      </c>
      <c r="BX743" s="16" t="str">
        <f t="shared" si="155"/>
        <v>Fiche info Avenant 8B7</v>
      </c>
      <c r="BY743" s="431">
        <f>'Fiche info Avenant 8'!$M$13</f>
        <v>0</v>
      </c>
      <c r="BZ743" s="431">
        <f>'Fiche info Avenant 8'!$N$13</f>
        <v>0</v>
      </c>
      <c r="CA743" s="431">
        <f>'Fiche info Avenant 8'!$O$13</f>
        <v>0</v>
      </c>
      <c r="CB743" s="431">
        <f>'Fiche info Avenant 8'!$P$13</f>
        <v>0</v>
      </c>
      <c r="CC743" s="431">
        <f>'Fiche info Avenant 8'!$Q$13</f>
        <v>0</v>
      </c>
      <c r="CD743" s="431">
        <f>'Fiche info Avenant 8'!$R$13</f>
        <v>0</v>
      </c>
      <c r="CE743" s="431">
        <f>'Fiche info Avenant 8'!$S$13</f>
        <v>0</v>
      </c>
      <c r="CF743" s="431">
        <f>'Fiche info Avenant 8'!$T$13</f>
        <v>0</v>
      </c>
      <c r="ED743" s="16" t="str">
        <f t="shared" si="148"/>
        <v>Fiche info Avenant 8B</v>
      </c>
      <c r="EE743" s="16" t="str">
        <f t="shared" si="149"/>
        <v>Fiche info Avenant 8</v>
      </c>
      <c r="EF743" s="16" t="str">
        <f t="shared" si="150"/>
        <v>B</v>
      </c>
      <c r="EG743" s="16">
        <f t="shared" si="151"/>
        <v>7</v>
      </c>
      <c r="EH743" s="16" t="str">
        <f t="shared" si="152"/>
        <v>Dimanche</v>
      </c>
      <c r="EI743" s="16" t="str">
        <f t="shared" si="153"/>
        <v/>
      </c>
    </row>
    <row r="744" spans="1:139" x14ac:dyDescent="0.2">
      <c r="A744" s="16" t="str">
        <f t="shared" si="156"/>
        <v>Fiche info Avenant 8C1</v>
      </c>
      <c r="B744" s="16" t="str">
        <f t="shared" si="157"/>
        <v>Fiche info Avenant 8</v>
      </c>
      <c r="C744" s="27" t="s">
        <v>232</v>
      </c>
      <c r="D744" s="27">
        <v>1</v>
      </c>
      <c r="E744" s="16" t="s">
        <v>17</v>
      </c>
      <c r="F744" s="34" t="str">
        <f>+IF('Fiche info Avenant 8'!$AG$7=0,"",'Fiche info Avenant 8'!$AG$7)</f>
        <v/>
      </c>
      <c r="G744" s="16">
        <f t="shared" si="154"/>
        <v>0</v>
      </c>
      <c r="BX744" s="16" t="str">
        <f t="shared" si="155"/>
        <v>Fiche info Avenant 8C1</v>
      </c>
      <c r="BY744" s="431">
        <f>'Fiche info Avenant 8'!$X$7</f>
        <v>0</v>
      </c>
      <c r="BZ744" s="431">
        <f>'Fiche info Avenant 8'!$Y$7</f>
        <v>0</v>
      </c>
      <c r="CA744" s="431">
        <f>'Fiche info Avenant 8'!$Z$7</f>
        <v>0</v>
      </c>
      <c r="CB744" s="431">
        <f>'Fiche info Avenant 8'!$AA$7</f>
        <v>0</v>
      </c>
      <c r="CC744" s="431">
        <f>'Fiche info Avenant 8'!$AB$7</f>
        <v>0</v>
      </c>
      <c r="CD744" s="431">
        <f>'Fiche info Avenant 8'!$AC$7</f>
        <v>0</v>
      </c>
      <c r="CE744" s="431">
        <f>'Fiche info Avenant 8'!$AD$7</f>
        <v>0</v>
      </c>
      <c r="CF744" s="431">
        <f>'Fiche info Avenant 8'!$AE$7</f>
        <v>0</v>
      </c>
      <c r="ED744" s="16" t="str">
        <f t="shared" si="148"/>
        <v>Fiche info Avenant 8C</v>
      </c>
      <c r="EE744" s="16" t="str">
        <f t="shared" si="149"/>
        <v>Fiche info Avenant 8</v>
      </c>
      <c r="EF744" s="16" t="str">
        <f t="shared" si="150"/>
        <v>C</v>
      </c>
      <c r="EG744" s="16">
        <f t="shared" si="151"/>
        <v>1</v>
      </c>
      <c r="EH744" s="16" t="str">
        <f t="shared" si="152"/>
        <v>Lundi</v>
      </c>
      <c r="EI744" s="16" t="str">
        <f t="shared" si="153"/>
        <v/>
      </c>
    </row>
    <row r="745" spans="1:139" x14ac:dyDescent="0.2">
      <c r="A745" s="16" t="str">
        <f t="shared" si="156"/>
        <v>Fiche info Avenant 8C2</v>
      </c>
      <c r="B745" s="16" t="str">
        <f t="shared" si="157"/>
        <v>Fiche info Avenant 8</v>
      </c>
      <c r="C745" s="27" t="s">
        <v>232</v>
      </c>
      <c r="D745" s="27">
        <v>2</v>
      </c>
      <c r="E745" s="16" t="s">
        <v>18</v>
      </c>
      <c r="F745" s="34" t="str">
        <f>+IF('Fiche info Avenant 8'!$AG$8=0,"",'Fiche info Avenant 8'!$AG$8)</f>
        <v/>
      </c>
      <c r="G745" s="16">
        <f t="shared" si="154"/>
        <v>0</v>
      </c>
      <c r="BX745" s="16" t="str">
        <f t="shared" si="155"/>
        <v>Fiche info Avenant 8C2</v>
      </c>
      <c r="BY745" s="431">
        <f>'Fiche info Avenant 8'!$X$8</f>
        <v>0</v>
      </c>
      <c r="BZ745" s="431">
        <f>'Fiche info Avenant 8'!$Y$8</f>
        <v>0</v>
      </c>
      <c r="CA745" s="431">
        <f>'Fiche info Avenant 8'!$Z$8</f>
        <v>0</v>
      </c>
      <c r="CB745" s="431">
        <f>'Fiche info Avenant 8'!$AA$8</f>
        <v>0</v>
      </c>
      <c r="CC745" s="431">
        <f>'Fiche info Avenant 8'!$AB$8</f>
        <v>0</v>
      </c>
      <c r="CD745" s="431">
        <f>'Fiche info Avenant 8'!$AC$8</f>
        <v>0</v>
      </c>
      <c r="CE745" s="431">
        <f>'Fiche info Avenant 8'!$AD$8</f>
        <v>0</v>
      </c>
      <c r="CF745" s="431">
        <f>'Fiche info Avenant 8'!$AE$8</f>
        <v>0</v>
      </c>
      <c r="ED745" s="16" t="str">
        <f t="shared" si="148"/>
        <v>Fiche info Avenant 8C</v>
      </c>
      <c r="EE745" s="16" t="str">
        <f t="shared" si="149"/>
        <v>Fiche info Avenant 8</v>
      </c>
      <c r="EF745" s="16" t="str">
        <f t="shared" si="150"/>
        <v>C</v>
      </c>
      <c r="EG745" s="16">
        <f t="shared" si="151"/>
        <v>2</v>
      </c>
      <c r="EH745" s="16" t="str">
        <f t="shared" si="152"/>
        <v>Mardi</v>
      </c>
      <c r="EI745" s="16" t="str">
        <f t="shared" si="153"/>
        <v/>
      </c>
    </row>
    <row r="746" spans="1:139" x14ac:dyDescent="0.2">
      <c r="A746" s="16" t="str">
        <f t="shared" si="156"/>
        <v>Fiche info Avenant 8C3</v>
      </c>
      <c r="B746" s="16" t="str">
        <f t="shared" si="157"/>
        <v>Fiche info Avenant 8</v>
      </c>
      <c r="C746" s="27" t="s">
        <v>232</v>
      </c>
      <c r="D746" s="27">
        <v>3</v>
      </c>
      <c r="E746" s="16" t="s">
        <v>19</v>
      </c>
      <c r="F746" s="34" t="str">
        <f>+IF('Fiche info Avenant 8'!$AG$9=0,"",'Fiche info Avenant 8'!$AG$9)</f>
        <v/>
      </c>
      <c r="G746" s="16">
        <f t="shared" si="154"/>
        <v>0</v>
      </c>
      <c r="BX746" s="16" t="str">
        <f t="shared" si="155"/>
        <v>Fiche info Avenant 8C3</v>
      </c>
      <c r="BY746" s="431">
        <f>'Fiche info Avenant 8'!$X$9</f>
        <v>0</v>
      </c>
      <c r="BZ746" s="431">
        <f>'Fiche info Avenant 8'!$Y$9</f>
        <v>0</v>
      </c>
      <c r="CA746" s="431">
        <f>'Fiche info Avenant 8'!$Z$9</f>
        <v>0</v>
      </c>
      <c r="CB746" s="431">
        <f>'Fiche info Avenant 8'!$AA$9</f>
        <v>0</v>
      </c>
      <c r="CC746" s="431">
        <f>'Fiche info Avenant 8'!$AB$9</f>
        <v>0</v>
      </c>
      <c r="CD746" s="431">
        <f>'Fiche info Avenant 8'!$AC$9</f>
        <v>0</v>
      </c>
      <c r="CE746" s="431">
        <f>'Fiche info Avenant 8'!$AD$9</f>
        <v>0</v>
      </c>
      <c r="CF746" s="431">
        <f>'Fiche info Avenant 8'!$AE$9</f>
        <v>0</v>
      </c>
      <c r="ED746" s="16" t="str">
        <f t="shared" si="148"/>
        <v>Fiche info Avenant 8C</v>
      </c>
      <c r="EE746" s="16" t="str">
        <f t="shared" si="149"/>
        <v>Fiche info Avenant 8</v>
      </c>
      <c r="EF746" s="16" t="str">
        <f t="shared" si="150"/>
        <v>C</v>
      </c>
      <c r="EG746" s="16">
        <f t="shared" si="151"/>
        <v>3</v>
      </c>
      <c r="EH746" s="16" t="str">
        <f t="shared" si="152"/>
        <v>Mercredi</v>
      </c>
      <c r="EI746" s="16" t="str">
        <f t="shared" si="153"/>
        <v/>
      </c>
    </row>
    <row r="747" spans="1:139" x14ac:dyDescent="0.2">
      <c r="A747" s="16" t="str">
        <f t="shared" si="156"/>
        <v>Fiche info Avenant 8C4</v>
      </c>
      <c r="B747" s="16" t="str">
        <f t="shared" si="157"/>
        <v>Fiche info Avenant 8</v>
      </c>
      <c r="C747" s="27" t="s">
        <v>232</v>
      </c>
      <c r="D747" s="27">
        <v>4</v>
      </c>
      <c r="E747" s="16" t="s">
        <v>20</v>
      </c>
      <c r="F747" s="34" t="str">
        <f>+IF('Fiche info Avenant 8'!$AG$10=0,"",'Fiche info Avenant 8'!$AG$10)</f>
        <v/>
      </c>
      <c r="G747" s="16">
        <f t="shared" si="154"/>
        <v>0</v>
      </c>
      <c r="BX747" s="16" t="str">
        <f t="shared" si="155"/>
        <v>Fiche info Avenant 8C4</v>
      </c>
      <c r="BY747" s="431">
        <f>'Fiche info Avenant 8'!$X$10</f>
        <v>0</v>
      </c>
      <c r="BZ747" s="431">
        <f>'Fiche info Avenant 8'!$Y$10</f>
        <v>0</v>
      </c>
      <c r="CA747" s="431">
        <f>'Fiche info Avenant 8'!$Z$10</f>
        <v>0</v>
      </c>
      <c r="CB747" s="431">
        <f>'Fiche info Avenant 8'!$AA$10</f>
        <v>0</v>
      </c>
      <c r="CC747" s="431">
        <f>'Fiche info Avenant 8'!$AB$10</f>
        <v>0</v>
      </c>
      <c r="CD747" s="431">
        <f>'Fiche info Avenant 8'!$AC$10</f>
        <v>0</v>
      </c>
      <c r="CE747" s="431">
        <f>'Fiche info Avenant 8'!$AD$10</f>
        <v>0</v>
      </c>
      <c r="CF747" s="431">
        <f>'Fiche info Avenant 8'!$AE$10</f>
        <v>0</v>
      </c>
      <c r="ED747" s="16" t="str">
        <f t="shared" si="148"/>
        <v>Fiche info Avenant 8C</v>
      </c>
      <c r="EE747" s="16" t="str">
        <f t="shared" si="149"/>
        <v>Fiche info Avenant 8</v>
      </c>
      <c r="EF747" s="16" t="str">
        <f t="shared" si="150"/>
        <v>C</v>
      </c>
      <c r="EG747" s="16">
        <f t="shared" si="151"/>
        <v>4</v>
      </c>
      <c r="EH747" s="16" t="str">
        <f t="shared" si="152"/>
        <v>Jeudi</v>
      </c>
      <c r="EI747" s="16" t="str">
        <f t="shared" si="153"/>
        <v/>
      </c>
    </row>
    <row r="748" spans="1:139" x14ac:dyDescent="0.2">
      <c r="A748" s="16" t="str">
        <f t="shared" si="156"/>
        <v>Fiche info Avenant 8C5</v>
      </c>
      <c r="B748" s="16" t="str">
        <f t="shared" si="157"/>
        <v>Fiche info Avenant 8</v>
      </c>
      <c r="C748" s="27" t="s">
        <v>232</v>
      </c>
      <c r="D748" s="27">
        <v>5</v>
      </c>
      <c r="E748" s="16" t="s">
        <v>21</v>
      </c>
      <c r="F748" s="34" t="str">
        <f>+IF('Fiche info Avenant 8'!$AG$11=0,"",'Fiche info Avenant 8'!$AG$11)</f>
        <v/>
      </c>
      <c r="G748" s="16">
        <f t="shared" si="154"/>
        <v>0</v>
      </c>
      <c r="BX748" s="16" t="str">
        <f t="shared" si="155"/>
        <v>Fiche info Avenant 8C5</v>
      </c>
      <c r="BY748" s="431">
        <f>'Fiche info Avenant 8'!$X$11</f>
        <v>0</v>
      </c>
      <c r="BZ748" s="431">
        <f>'Fiche info Avenant 8'!$Y$11</f>
        <v>0</v>
      </c>
      <c r="CA748" s="431">
        <f>'Fiche info Avenant 8'!$Z$11</f>
        <v>0</v>
      </c>
      <c r="CB748" s="431">
        <f>'Fiche info Avenant 8'!$AA$11</f>
        <v>0</v>
      </c>
      <c r="CC748" s="431">
        <f>'Fiche info Avenant 8'!$AB$11</f>
        <v>0</v>
      </c>
      <c r="CD748" s="431">
        <f>'Fiche info Avenant 8'!$AC$11</f>
        <v>0</v>
      </c>
      <c r="CE748" s="431">
        <f>'Fiche info Avenant 8'!$AD$11</f>
        <v>0</v>
      </c>
      <c r="CF748" s="431">
        <f>'Fiche info Avenant 8'!$AE$11</f>
        <v>0</v>
      </c>
      <c r="ED748" s="16" t="str">
        <f t="shared" si="148"/>
        <v>Fiche info Avenant 8C</v>
      </c>
      <c r="EE748" s="16" t="str">
        <f t="shared" si="149"/>
        <v>Fiche info Avenant 8</v>
      </c>
      <c r="EF748" s="16" t="str">
        <f t="shared" si="150"/>
        <v>C</v>
      </c>
      <c r="EG748" s="16">
        <f t="shared" si="151"/>
        <v>5</v>
      </c>
      <c r="EH748" s="16" t="str">
        <f t="shared" si="152"/>
        <v>Vendredi</v>
      </c>
      <c r="EI748" s="16" t="str">
        <f t="shared" si="153"/>
        <v/>
      </c>
    </row>
    <row r="749" spans="1:139" x14ac:dyDescent="0.2">
      <c r="A749" s="16" t="str">
        <f t="shared" si="156"/>
        <v>Fiche info Avenant 8C6</v>
      </c>
      <c r="B749" s="16" t="str">
        <f t="shared" si="157"/>
        <v>Fiche info Avenant 8</v>
      </c>
      <c r="C749" s="27" t="s">
        <v>232</v>
      </c>
      <c r="D749" s="27">
        <v>6</v>
      </c>
      <c r="E749" s="16" t="s">
        <v>184</v>
      </c>
      <c r="F749" s="34" t="str">
        <f>+IF('Fiche info Avenant 8'!$AG$12=0,"",'Fiche info Avenant 8'!$AG$12)</f>
        <v/>
      </c>
      <c r="G749" s="16">
        <f t="shared" si="154"/>
        <v>0</v>
      </c>
      <c r="BX749" s="16" t="str">
        <f t="shared" si="155"/>
        <v>Fiche info Avenant 8C6</v>
      </c>
      <c r="BY749" s="431">
        <f>'Fiche info Avenant 8'!$X$12</f>
        <v>0</v>
      </c>
      <c r="BZ749" s="431">
        <f>'Fiche info Avenant 8'!$Y$12</f>
        <v>0</v>
      </c>
      <c r="CA749" s="431">
        <f>'Fiche info Avenant 8'!$Z$12</f>
        <v>0</v>
      </c>
      <c r="CB749" s="431">
        <f>'Fiche info Avenant 8'!$AA$12</f>
        <v>0</v>
      </c>
      <c r="CC749" s="431">
        <f>'Fiche info Avenant 8'!$AB$12</f>
        <v>0</v>
      </c>
      <c r="CD749" s="431">
        <f>'Fiche info Avenant 8'!$AC$12</f>
        <v>0</v>
      </c>
      <c r="CE749" s="431">
        <f>'Fiche info Avenant 8'!$AD$12</f>
        <v>0</v>
      </c>
      <c r="CF749" s="431">
        <f>'Fiche info Avenant 8'!$AE$12</f>
        <v>0</v>
      </c>
      <c r="ED749" s="16" t="str">
        <f t="shared" si="148"/>
        <v>Fiche info Avenant 8C</v>
      </c>
      <c r="EE749" s="16" t="str">
        <f t="shared" si="149"/>
        <v>Fiche info Avenant 8</v>
      </c>
      <c r="EF749" s="16" t="str">
        <f t="shared" si="150"/>
        <v>C</v>
      </c>
      <c r="EG749" s="16">
        <f t="shared" si="151"/>
        <v>6</v>
      </c>
      <c r="EH749" s="16" t="str">
        <f t="shared" si="152"/>
        <v>Samedi</v>
      </c>
      <c r="EI749" s="16" t="str">
        <f t="shared" si="153"/>
        <v/>
      </c>
    </row>
    <row r="750" spans="1:139" x14ac:dyDescent="0.2">
      <c r="A750" s="16" t="str">
        <f t="shared" si="156"/>
        <v>Fiche info Avenant 8C7</v>
      </c>
      <c r="B750" s="16" t="str">
        <f t="shared" si="157"/>
        <v>Fiche info Avenant 8</v>
      </c>
      <c r="C750" s="27" t="s">
        <v>232</v>
      </c>
      <c r="D750" s="27">
        <v>7</v>
      </c>
      <c r="E750" s="16" t="s">
        <v>185</v>
      </c>
      <c r="F750" s="34" t="str">
        <f>+IF('Fiche info Avenant 8'!$AG$13=0,"",'Fiche info Avenant 8'!$AG$13)</f>
        <v/>
      </c>
      <c r="G750" s="16">
        <f t="shared" si="154"/>
        <v>0</v>
      </c>
      <c r="BX750" s="16" t="str">
        <f t="shared" si="155"/>
        <v>Fiche info Avenant 8C7</v>
      </c>
      <c r="BY750" s="431">
        <f>'Fiche info Avenant 8'!$X$13</f>
        <v>0</v>
      </c>
      <c r="BZ750" s="431">
        <f>'Fiche info Avenant 8'!$Y$13</f>
        <v>0</v>
      </c>
      <c r="CA750" s="431">
        <f>'Fiche info Avenant 8'!$Z$13</f>
        <v>0</v>
      </c>
      <c r="CB750" s="431">
        <f>'Fiche info Avenant 8'!$AA$13</f>
        <v>0</v>
      </c>
      <c r="CC750" s="431">
        <f>'Fiche info Avenant 8'!$AB$13</f>
        <v>0</v>
      </c>
      <c r="CD750" s="431">
        <f>'Fiche info Avenant 8'!$AC$13</f>
        <v>0</v>
      </c>
      <c r="CE750" s="431">
        <f>'Fiche info Avenant 8'!$AD$13</f>
        <v>0</v>
      </c>
      <c r="CF750" s="431">
        <f>'Fiche info Avenant 8'!$AE$13</f>
        <v>0</v>
      </c>
      <c r="ED750" s="16" t="str">
        <f t="shared" si="148"/>
        <v>Fiche info Avenant 8C</v>
      </c>
      <c r="EE750" s="16" t="str">
        <f t="shared" si="149"/>
        <v>Fiche info Avenant 8</v>
      </c>
      <c r="EF750" s="16" t="str">
        <f t="shared" si="150"/>
        <v>C</v>
      </c>
      <c r="EG750" s="16">
        <f t="shared" si="151"/>
        <v>7</v>
      </c>
      <c r="EH750" s="16" t="str">
        <f t="shared" si="152"/>
        <v>Dimanche</v>
      </c>
      <c r="EI750" s="16" t="str">
        <f t="shared" si="153"/>
        <v/>
      </c>
    </row>
    <row r="751" spans="1:139" x14ac:dyDescent="0.2">
      <c r="A751" s="16" t="str">
        <f t="shared" si="156"/>
        <v>Fiche info Avenant 8D1</v>
      </c>
      <c r="B751" s="16" t="str">
        <f t="shared" si="157"/>
        <v>Fiche info Avenant 8</v>
      </c>
      <c r="C751" s="27" t="s">
        <v>233</v>
      </c>
      <c r="D751" s="27">
        <v>1</v>
      </c>
      <c r="E751" s="16" t="s">
        <v>17</v>
      </c>
      <c r="F751" s="34" t="str">
        <f>+IF('Fiche info Avenant 8'!$AR$7=0,"",'Fiche info Avenant 8'!$AR$7)</f>
        <v/>
      </c>
      <c r="G751" s="16">
        <f t="shared" si="154"/>
        <v>0</v>
      </c>
      <c r="BX751" s="16" t="str">
        <f t="shared" si="155"/>
        <v>Fiche info Avenant 8D1</v>
      </c>
      <c r="BY751" s="431">
        <f>'Fiche info Avenant 8'!$AI$7</f>
        <v>0</v>
      </c>
      <c r="BZ751" s="431">
        <f>'Fiche info Avenant 8'!$AJ$7</f>
        <v>0</v>
      </c>
      <c r="CA751" s="431">
        <f>'Fiche info Avenant 8'!$AK$7</f>
        <v>0</v>
      </c>
      <c r="CB751" s="431">
        <f>'Fiche info Avenant 8'!$AL$7</f>
        <v>0</v>
      </c>
      <c r="CC751" s="431">
        <f>'Fiche info Avenant 8'!$AM$7</f>
        <v>0</v>
      </c>
      <c r="CD751" s="431">
        <f>'Fiche info Avenant 8'!$AN$7</f>
        <v>0</v>
      </c>
      <c r="CE751" s="431">
        <f>'Fiche info Avenant 8'!$AO$7</f>
        <v>0</v>
      </c>
      <c r="CF751" s="431">
        <f>'Fiche info Avenant 8'!$AP$7</f>
        <v>0</v>
      </c>
      <c r="ED751" s="16" t="str">
        <f t="shared" si="148"/>
        <v>Fiche info Avenant 8D</v>
      </c>
      <c r="EE751" s="16" t="str">
        <f t="shared" si="149"/>
        <v>Fiche info Avenant 8</v>
      </c>
      <c r="EF751" s="16" t="str">
        <f t="shared" si="150"/>
        <v>D</v>
      </c>
      <c r="EG751" s="16">
        <f t="shared" si="151"/>
        <v>1</v>
      </c>
      <c r="EH751" s="16" t="str">
        <f t="shared" si="152"/>
        <v>Lundi</v>
      </c>
      <c r="EI751" s="16" t="str">
        <f t="shared" si="153"/>
        <v/>
      </c>
    </row>
    <row r="752" spans="1:139" x14ac:dyDescent="0.2">
      <c r="A752" s="16" t="str">
        <f t="shared" si="156"/>
        <v>Fiche info Avenant 8D2</v>
      </c>
      <c r="B752" s="16" t="str">
        <f t="shared" si="157"/>
        <v>Fiche info Avenant 8</v>
      </c>
      <c r="C752" s="27" t="s">
        <v>233</v>
      </c>
      <c r="D752" s="27">
        <v>2</v>
      </c>
      <c r="E752" s="16" t="s">
        <v>18</v>
      </c>
      <c r="F752" s="34" t="str">
        <f>IF(+'Fiche info Avenant 8'!$AR$8=0,"",'Fiche info Avenant 8'!$AR$8)</f>
        <v/>
      </c>
      <c r="G752" s="16">
        <f t="shared" si="154"/>
        <v>0</v>
      </c>
      <c r="BX752" s="16" t="str">
        <f t="shared" si="155"/>
        <v>Fiche info Avenant 8D2</v>
      </c>
      <c r="BY752" s="431">
        <f>'Fiche info Avenant 8'!$AI$8</f>
        <v>0</v>
      </c>
      <c r="BZ752" s="431">
        <f>'Fiche info Avenant 8'!$AJ$8</f>
        <v>0</v>
      </c>
      <c r="CA752" s="431">
        <f>'Fiche info Avenant 8'!$AK$8</f>
        <v>0</v>
      </c>
      <c r="CB752" s="431">
        <f>'Fiche info Avenant 8'!$AL$8</f>
        <v>0</v>
      </c>
      <c r="CC752" s="431">
        <f>'Fiche info Avenant 8'!$AM$8</f>
        <v>0</v>
      </c>
      <c r="CD752" s="431">
        <f>'Fiche info Avenant 8'!$AN$8</f>
        <v>0</v>
      </c>
      <c r="CE752" s="431">
        <f>'Fiche info Avenant 8'!$AO$8</f>
        <v>0</v>
      </c>
      <c r="CF752" s="431">
        <f>'Fiche info Avenant 8'!$AP$8</f>
        <v>0</v>
      </c>
      <c r="ED752" s="16" t="str">
        <f t="shared" si="148"/>
        <v>Fiche info Avenant 8D</v>
      </c>
      <c r="EE752" s="16" t="str">
        <f t="shared" si="149"/>
        <v>Fiche info Avenant 8</v>
      </c>
      <c r="EF752" s="16" t="str">
        <f t="shared" si="150"/>
        <v>D</v>
      </c>
      <c r="EG752" s="16">
        <f t="shared" si="151"/>
        <v>2</v>
      </c>
      <c r="EH752" s="16" t="str">
        <f t="shared" si="152"/>
        <v>Mardi</v>
      </c>
      <c r="EI752" s="16" t="str">
        <f t="shared" si="153"/>
        <v/>
      </c>
    </row>
    <row r="753" spans="1:139" x14ac:dyDescent="0.2">
      <c r="A753" s="16" t="str">
        <f t="shared" si="156"/>
        <v>Fiche info Avenant 8D3</v>
      </c>
      <c r="B753" s="16" t="str">
        <f t="shared" si="157"/>
        <v>Fiche info Avenant 8</v>
      </c>
      <c r="C753" s="27" t="s">
        <v>233</v>
      </c>
      <c r="D753" s="27">
        <v>3</v>
      </c>
      <c r="E753" s="16" t="s">
        <v>19</v>
      </c>
      <c r="F753" s="34" t="str">
        <f>IF(+'Fiche info Avenant 8'!$AR$9=0,"",'Fiche info Avenant 8'!$AR$9)</f>
        <v/>
      </c>
      <c r="G753" s="16">
        <f t="shared" si="154"/>
        <v>0</v>
      </c>
      <c r="BX753" s="16" t="str">
        <f t="shared" si="155"/>
        <v>Fiche info Avenant 8D3</v>
      </c>
      <c r="BY753" s="431">
        <f>'Fiche info Avenant 8'!$AI$9</f>
        <v>0</v>
      </c>
      <c r="BZ753" s="431">
        <f>'Fiche info Avenant 8'!$AJ$9</f>
        <v>0</v>
      </c>
      <c r="CA753" s="431">
        <f>'Fiche info Avenant 8'!$AK$9</f>
        <v>0</v>
      </c>
      <c r="CB753" s="431">
        <f>'Fiche info Avenant 8'!$AL$9</f>
        <v>0</v>
      </c>
      <c r="CC753" s="431">
        <f>'Fiche info Avenant 8'!$AM$9</f>
        <v>0</v>
      </c>
      <c r="CD753" s="431">
        <f>'Fiche info Avenant 8'!$AN$9</f>
        <v>0</v>
      </c>
      <c r="CE753" s="431">
        <f>'Fiche info Avenant 8'!$AO$9</f>
        <v>0</v>
      </c>
      <c r="CF753" s="431">
        <f>'Fiche info Avenant 8'!$AP$9</f>
        <v>0</v>
      </c>
      <c r="ED753" s="16" t="str">
        <f t="shared" si="148"/>
        <v>Fiche info Avenant 8D</v>
      </c>
      <c r="EE753" s="16" t="str">
        <f t="shared" si="149"/>
        <v>Fiche info Avenant 8</v>
      </c>
      <c r="EF753" s="16" t="str">
        <f t="shared" si="150"/>
        <v>D</v>
      </c>
      <c r="EG753" s="16">
        <f t="shared" si="151"/>
        <v>3</v>
      </c>
      <c r="EH753" s="16" t="str">
        <f t="shared" si="152"/>
        <v>Mercredi</v>
      </c>
      <c r="EI753" s="16" t="str">
        <f t="shared" si="153"/>
        <v/>
      </c>
    </row>
    <row r="754" spans="1:139" x14ac:dyDescent="0.2">
      <c r="A754" s="16" t="str">
        <f t="shared" si="156"/>
        <v>Fiche info Avenant 8D4</v>
      </c>
      <c r="B754" s="16" t="str">
        <f t="shared" si="157"/>
        <v>Fiche info Avenant 8</v>
      </c>
      <c r="C754" s="27" t="s">
        <v>233</v>
      </c>
      <c r="D754" s="27">
        <v>4</v>
      </c>
      <c r="E754" s="16" t="s">
        <v>20</v>
      </c>
      <c r="F754" s="34" t="str">
        <f>IF(+'Fiche info Avenant 8'!$AR$10=0,"",'Fiche info Avenant 8'!$AR$10)</f>
        <v/>
      </c>
      <c r="G754" s="16">
        <f t="shared" si="154"/>
        <v>0</v>
      </c>
      <c r="BX754" s="16" t="str">
        <f t="shared" si="155"/>
        <v>Fiche info Avenant 8D4</v>
      </c>
      <c r="BY754" s="431">
        <f>'Fiche info Avenant 8'!$AI$10</f>
        <v>0</v>
      </c>
      <c r="BZ754" s="431">
        <f>'Fiche info Avenant 8'!$AJ$10</f>
        <v>0</v>
      </c>
      <c r="CA754" s="431">
        <f>'Fiche info Avenant 8'!$AK$10</f>
        <v>0</v>
      </c>
      <c r="CB754" s="431">
        <f>'Fiche info Avenant 8'!$AL$10</f>
        <v>0</v>
      </c>
      <c r="CC754" s="431">
        <f>'Fiche info Avenant 8'!$AM$10</f>
        <v>0</v>
      </c>
      <c r="CD754" s="431">
        <f>'Fiche info Avenant 8'!$AN$10</f>
        <v>0</v>
      </c>
      <c r="CE754" s="431">
        <f>'Fiche info Avenant 8'!$AO$10</f>
        <v>0</v>
      </c>
      <c r="CF754" s="431">
        <f>'Fiche info Avenant 8'!$AP$10</f>
        <v>0</v>
      </c>
      <c r="ED754" s="16" t="str">
        <f t="shared" si="148"/>
        <v>Fiche info Avenant 8D</v>
      </c>
      <c r="EE754" s="16" t="str">
        <f t="shared" si="149"/>
        <v>Fiche info Avenant 8</v>
      </c>
      <c r="EF754" s="16" t="str">
        <f t="shared" si="150"/>
        <v>D</v>
      </c>
      <c r="EG754" s="16">
        <f t="shared" si="151"/>
        <v>4</v>
      </c>
      <c r="EH754" s="16" t="str">
        <f t="shared" si="152"/>
        <v>Jeudi</v>
      </c>
      <c r="EI754" s="16" t="str">
        <f t="shared" si="153"/>
        <v/>
      </c>
    </row>
    <row r="755" spans="1:139" x14ac:dyDescent="0.2">
      <c r="A755" s="16" t="str">
        <f t="shared" si="156"/>
        <v>Fiche info Avenant 8D5</v>
      </c>
      <c r="B755" s="16" t="str">
        <f t="shared" si="157"/>
        <v>Fiche info Avenant 8</v>
      </c>
      <c r="C755" s="27" t="s">
        <v>233</v>
      </c>
      <c r="D755" s="27">
        <v>5</v>
      </c>
      <c r="E755" s="16" t="s">
        <v>21</v>
      </c>
      <c r="F755" s="34" t="str">
        <f>IF(+'Fiche info Avenant 8'!$AR$11=0,"",'Fiche info Avenant 8'!$AR$11)</f>
        <v/>
      </c>
      <c r="G755" s="16">
        <f t="shared" si="154"/>
        <v>0</v>
      </c>
      <c r="BX755" s="16" t="str">
        <f t="shared" si="155"/>
        <v>Fiche info Avenant 8D5</v>
      </c>
      <c r="BY755" s="431">
        <f>'Fiche info Avenant 8'!$AI$11</f>
        <v>0</v>
      </c>
      <c r="BZ755" s="431">
        <f>'Fiche info Avenant 8'!$AJ$11</f>
        <v>0</v>
      </c>
      <c r="CA755" s="431">
        <f>'Fiche info Avenant 8'!$AK$11</f>
        <v>0</v>
      </c>
      <c r="CB755" s="431">
        <f>'Fiche info Avenant 8'!$AL$11</f>
        <v>0</v>
      </c>
      <c r="CC755" s="431">
        <f>'Fiche info Avenant 8'!$AM$11</f>
        <v>0</v>
      </c>
      <c r="CD755" s="431">
        <f>'Fiche info Avenant 8'!$AN$11</f>
        <v>0</v>
      </c>
      <c r="CE755" s="431">
        <f>'Fiche info Avenant 8'!$AO$11</f>
        <v>0</v>
      </c>
      <c r="CF755" s="431">
        <f>'Fiche info Avenant 8'!$AP$11</f>
        <v>0</v>
      </c>
      <c r="ED755" s="16" t="str">
        <f t="shared" ref="ED755:ED818" si="158">+EE755&amp;EF755</f>
        <v>Fiche info Avenant 8D</v>
      </c>
      <c r="EE755" s="16" t="str">
        <f t="shared" si="149"/>
        <v>Fiche info Avenant 8</v>
      </c>
      <c r="EF755" s="16" t="str">
        <f t="shared" si="150"/>
        <v>D</v>
      </c>
      <c r="EG755" s="16">
        <f t="shared" si="151"/>
        <v>5</v>
      </c>
      <c r="EH755" s="16" t="str">
        <f t="shared" si="152"/>
        <v>Vendredi</v>
      </c>
      <c r="EI755" s="16" t="str">
        <f t="shared" si="153"/>
        <v/>
      </c>
    </row>
    <row r="756" spans="1:139" x14ac:dyDescent="0.2">
      <c r="A756" s="16" t="str">
        <f t="shared" si="156"/>
        <v>Fiche info Avenant 8D6</v>
      </c>
      <c r="B756" s="16" t="str">
        <f t="shared" si="157"/>
        <v>Fiche info Avenant 8</v>
      </c>
      <c r="C756" s="27" t="s">
        <v>233</v>
      </c>
      <c r="D756" s="27">
        <v>6</v>
      </c>
      <c r="E756" s="16" t="s">
        <v>184</v>
      </c>
      <c r="F756" s="34" t="str">
        <f>IF(+'Fiche info Avenant 8'!$AR$12=0,"",'Fiche info Avenant 8'!$AR$12)</f>
        <v/>
      </c>
      <c r="G756" s="16">
        <f t="shared" si="154"/>
        <v>0</v>
      </c>
      <c r="BX756" s="16" t="str">
        <f t="shared" si="155"/>
        <v>Fiche info Avenant 8D6</v>
      </c>
      <c r="BY756" s="431">
        <f>'Fiche info Avenant 8'!$AI$12</f>
        <v>0</v>
      </c>
      <c r="BZ756" s="431">
        <f>'Fiche info Avenant 8'!$AJ$12</f>
        <v>0</v>
      </c>
      <c r="CA756" s="431">
        <f>'Fiche info Avenant 8'!$AK$12</f>
        <v>0</v>
      </c>
      <c r="CB756" s="431">
        <f>'Fiche info Avenant 8'!$AL$12</f>
        <v>0</v>
      </c>
      <c r="CC756" s="431">
        <f>'Fiche info Avenant 8'!$AM$12</f>
        <v>0</v>
      </c>
      <c r="CD756" s="431">
        <f>'Fiche info Avenant 8'!$AN$12</f>
        <v>0</v>
      </c>
      <c r="CE756" s="431">
        <f>'Fiche info Avenant 8'!$AO$12</f>
        <v>0</v>
      </c>
      <c r="CF756" s="431">
        <f>'Fiche info Avenant 8'!$AP$12</f>
        <v>0</v>
      </c>
      <c r="ED756" s="16" t="str">
        <f t="shared" si="158"/>
        <v>Fiche info Avenant 8D</v>
      </c>
      <c r="EE756" s="16" t="str">
        <f t="shared" si="149"/>
        <v>Fiche info Avenant 8</v>
      </c>
      <c r="EF756" s="16" t="str">
        <f t="shared" si="150"/>
        <v>D</v>
      </c>
      <c r="EG756" s="16">
        <f t="shared" si="151"/>
        <v>6</v>
      </c>
      <c r="EH756" s="16" t="str">
        <f t="shared" si="152"/>
        <v>Samedi</v>
      </c>
      <c r="EI756" s="16" t="str">
        <f t="shared" si="153"/>
        <v/>
      </c>
    </row>
    <row r="757" spans="1:139" x14ac:dyDescent="0.2">
      <c r="A757" s="16" t="str">
        <f t="shared" si="156"/>
        <v>Fiche info Avenant 8D7</v>
      </c>
      <c r="B757" s="16" t="str">
        <f t="shared" si="157"/>
        <v>Fiche info Avenant 8</v>
      </c>
      <c r="C757" s="27" t="s">
        <v>233</v>
      </c>
      <c r="D757" s="27">
        <v>7</v>
      </c>
      <c r="E757" s="16" t="s">
        <v>185</v>
      </c>
      <c r="F757" s="34" t="str">
        <f>IF(+'Fiche info Avenant 8'!$AR$13=0,"",'Fiche info Avenant 8'!$AR$13)</f>
        <v/>
      </c>
      <c r="G757" s="16">
        <f t="shared" si="154"/>
        <v>0</v>
      </c>
      <c r="BX757" s="16" t="str">
        <f t="shared" si="155"/>
        <v>Fiche info Avenant 8D7</v>
      </c>
      <c r="BY757" s="431">
        <f>'Fiche info Avenant 8'!$AI$13</f>
        <v>0</v>
      </c>
      <c r="BZ757" s="431">
        <f>'Fiche info Avenant 8'!$AJ$13</f>
        <v>0</v>
      </c>
      <c r="CA757" s="431">
        <f>'Fiche info Avenant 8'!$AK$13</f>
        <v>0</v>
      </c>
      <c r="CB757" s="431">
        <f>'Fiche info Avenant 8'!$AL$13</f>
        <v>0</v>
      </c>
      <c r="CC757" s="431">
        <f>'Fiche info Avenant 8'!$AM$13</f>
        <v>0</v>
      </c>
      <c r="CD757" s="431">
        <f>'Fiche info Avenant 8'!$AN$13</f>
        <v>0</v>
      </c>
      <c r="CE757" s="431">
        <f>'Fiche info Avenant 8'!$AO$13</f>
        <v>0</v>
      </c>
      <c r="CF757" s="431">
        <f>'Fiche info Avenant 8'!$AP$13</f>
        <v>0</v>
      </c>
      <c r="ED757" s="16" t="str">
        <f t="shared" si="158"/>
        <v>Fiche info Avenant 8D</v>
      </c>
      <c r="EE757" s="16" t="str">
        <f t="shared" si="149"/>
        <v>Fiche info Avenant 8</v>
      </c>
      <c r="EF757" s="16" t="str">
        <f t="shared" si="150"/>
        <v>D</v>
      </c>
      <c r="EG757" s="16">
        <f t="shared" si="151"/>
        <v>7</v>
      </c>
      <c r="EH757" s="16" t="str">
        <f t="shared" si="152"/>
        <v>Dimanche</v>
      </c>
      <c r="EI757" s="16" t="str">
        <f t="shared" si="153"/>
        <v/>
      </c>
    </row>
    <row r="758" spans="1:139" x14ac:dyDescent="0.2">
      <c r="A758" s="16" t="str">
        <f t="shared" si="156"/>
        <v>Fiche info Avenant 8E1</v>
      </c>
      <c r="B758" s="16" t="str">
        <f t="shared" si="157"/>
        <v>Fiche info Avenant 8</v>
      </c>
      <c r="C758" s="27" t="s">
        <v>234</v>
      </c>
      <c r="D758" s="27">
        <v>1</v>
      </c>
      <c r="E758" s="16" t="s">
        <v>17</v>
      </c>
      <c r="F758" s="34" t="str">
        <f>IF(+'Fiche info Avenant 8'!$BC$7=0,"",'Fiche info Avenant 8'!$BC$7)</f>
        <v/>
      </c>
      <c r="G758" s="16">
        <f t="shared" si="154"/>
        <v>0</v>
      </c>
      <c r="BX758" s="16" t="str">
        <f t="shared" si="155"/>
        <v>Fiche info Avenant 8E1</v>
      </c>
      <c r="BY758" s="431">
        <f>'Fiche info Avenant 8'!$AT$7</f>
        <v>0</v>
      </c>
      <c r="BZ758" s="431">
        <f>'Fiche info Avenant 8'!$AU$7</f>
        <v>0</v>
      </c>
      <c r="CA758" s="431">
        <f>'Fiche info Avenant 8'!$AV$7</f>
        <v>0</v>
      </c>
      <c r="CB758" s="431">
        <f>'Fiche info Avenant 8'!$AW$7</f>
        <v>0</v>
      </c>
      <c r="CC758" s="431">
        <f>'Fiche info Avenant 8'!$AX$7</f>
        <v>0</v>
      </c>
      <c r="CD758" s="431">
        <f>'Fiche info Avenant 8'!$AY$7</f>
        <v>0</v>
      </c>
      <c r="CE758" s="431">
        <f>'Fiche info Avenant 8'!$AZ$7</f>
        <v>0</v>
      </c>
      <c r="CF758" s="431">
        <f>'Fiche info Avenant 8'!$BA$7</f>
        <v>0</v>
      </c>
      <c r="ED758" s="16" t="str">
        <f t="shared" si="158"/>
        <v>Fiche info Avenant 8E</v>
      </c>
      <c r="EE758" s="16" t="str">
        <f t="shared" si="149"/>
        <v>Fiche info Avenant 8</v>
      </c>
      <c r="EF758" s="16" t="str">
        <f t="shared" si="150"/>
        <v>E</v>
      </c>
      <c r="EG758" s="16">
        <f t="shared" si="151"/>
        <v>1</v>
      </c>
      <c r="EH758" s="16" t="str">
        <f t="shared" si="152"/>
        <v>Lundi</v>
      </c>
      <c r="EI758" s="16" t="str">
        <f t="shared" si="153"/>
        <v/>
      </c>
    </row>
    <row r="759" spans="1:139" x14ac:dyDescent="0.2">
      <c r="A759" s="16" t="str">
        <f t="shared" si="156"/>
        <v>Fiche info Avenant 8E2</v>
      </c>
      <c r="B759" s="16" t="str">
        <f t="shared" si="157"/>
        <v>Fiche info Avenant 8</v>
      </c>
      <c r="C759" s="27" t="s">
        <v>234</v>
      </c>
      <c r="D759" s="27">
        <v>2</v>
      </c>
      <c r="E759" s="16" t="s">
        <v>18</v>
      </c>
      <c r="F759" s="34" t="str">
        <f>IF(+'Fiche info Avenant 8'!$BC$8=0,"",'Fiche info Avenant 8'!$BC$8)</f>
        <v/>
      </c>
      <c r="G759" s="16">
        <f t="shared" si="154"/>
        <v>0</v>
      </c>
      <c r="BX759" s="16" t="str">
        <f t="shared" si="155"/>
        <v>Fiche info Avenant 8E2</v>
      </c>
      <c r="BY759" s="431">
        <f>'Fiche info Avenant 8'!$AT$8</f>
        <v>0</v>
      </c>
      <c r="BZ759" s="431">
        <f>'Fiche info Avenant 8'!$AU$8</f>
        <v>0</v>
      </c>
      <c r="CA759" s="431">
        <f>'Fiche info Avenant 8'!$AV$8</f>
        <v>0</v>
      </c>
      <c r="CB759" s="431">
        <f>'Fiche info Avenant 8'!$AW$8</f>
        <v>0</v>
      </c>
      <c r="CC759" s="431">
        <f>'Fiche info Avenant 8'!$AX$8</f>
        <v>0</v>
      </c>
      <c r="CD759" s="431">
        <f>'Fiche info Avenant 8'!$AY$8</f>
        <v>0</v>
      </c>
      <c r="CE759" s="431">
        <f>'Fiche info Avenant 8'!$AZ$8</f>
        <v>0</v>
      </c>
      <c r="CF759" s="431">
        <f>'Fiche info Avenant 8'!$BA$8</f>
        <v>0</v>
      </c>
      <c r="ED759" s="16" t="str">
        <f t="shared" si="158"/>
        <v>Fiche info Avenant 8E</v>
      </c>
      <c r="EE759" s="16" t="str">
        <f t="shared" si="149"/>
        <v>Fiche info Avenant 8</v>
      </c>
      <c r="EF759" s="16" t="str">
        <f t="shared" si="150"/>
        <v>E</v>
      </c>
      <c r="EG759" s="16">
        <f t="shared" si="151"/>
        <v>2</v>
      </c>
      <c r="EH759" s="16" t="str">
        <f t="shared" si="152"/>
        <v>Mardi</v>
      </c>
      <c r="EI759" s="16" t="str">
        <f t="shared" si="153"/>
        <v/>
      </c>
    </row>
    <row r="760" spans="1:139" x14ac:dyDescent="0.2">
      <c r="A760" s="16" t="str">
        <f t="shared" si="156"/>
        <v>Fiche info Avenant 8E3</v>
      </c>
      <c r="B760" s="16" t="str">
        <f t="shared" si="157"/>
        <v>Fiche info Avenant 8</v>
      </c>
      <c r="C760" s="27" t="s">
        <v>234</v>
      </c>
      <c r="D760" s="27">
        <v>3</v>
      </c>
      <c r="E760" s="16" t="s">
        <v>19</v>
      </c>
      <c r="F760" s="34" t="str">
        <f>IF(+'Fiche info Avenant 8'!$BC$9=0,"",'Fiche info Avenant 8'!$BC$9)</f>
        <v/>
      </c>
      <c r="G760" s="16">
        <f t="shared" si="154"/>
        <v>0</v>
      </c>
      <c r="BX760" s="16" t="str">
        <f t="shared" si="155"/>
        <v>Fiche info Avenant 8E3</v>
      </c>
      <c r="BY760" s="431">
        <f>'Fiche info Avenant 8'!$AT$9</f>
        <v>0</v>
      </c>
      <c r="BZ760" s="431">
        <f>'Fiche info Avenant 8'!$AU$9</f>
        <v>0</v>
      </c>
      <c r="CA760" s="431">
        <f>'Fiche info Avenant 8'!$AV$9</f>
        <v>0</v>
      </c>
      <c r="CB760" s="431">
        <f>'Fiche info Avenant 8'!$AW$9</f>
        <v>0</v>
      </c>
      <c r="CC760" s="431">
        <f>'Fiche info Avenant 8'!$AX$9</f>
        <v>0</v>
      </c>
      <c r="CD760" s="431">
        <f>'Fiche info Avenant 8'!$AY$9</f>
        <v>0</v>
      </c>
      <c r="CE760" s="431">
        <f>'Fiche info Avenant 8'!$AZ$9</f>
        <v>0</v>
      </c>
      <c r="CF760" s="431">
        <f>'Fiche info Avenant 8'!$BA$9</f>
        <v>0</v>
      </c>
      <c r="ED760" s="16" t="str">
        <f t="shared" si="158"/>
        <v>Fiche info Avenant 8E</v>
      </c>
      <c r="EE760" s="16" t="str">
        <f t="shared" si="149"/>
        <v>Fiche info Avenant 8</v>
      </c>
      <c r="EF760" s="16" t="str">
        <f t="shared" si="150"/>
        <v>E</v>
      </c>
      <c r="EG760" s="16">
        <f t="shared" si="151"/>
        <v>3</v>
      </c>
      <c r="EH760" s="16" t="str">
        <f t="shared" si="152"/>
        <v>Mercredi</v>
      </c>
      <c r="EI760" s="16" t="str">
        <f t="shared" si="153"/>
        <v/>
      </c>
    </row>
    <row r="761" spans="1:139" x14ac:dyDescent="0.2">
      <c r="A761" s="16" t="str">
        <f t="shared" si="156"/>
        <v>Fiche info Avenant 8E4</v>
      </c>
      <c r="B761" s="16" t="str">
        <f t="shared" si="157"/>
        <v>Fiche info Avenant 8</v>
      </c>
      <c r="C761" s="27" t="s">
        <v>234</v>
      </c>
      <c r="D761" s="27">
        <v>4</v>
      </c>
      <c r="E761" s="16" t="s">
        <v>20</v>
      </c>
      <c r="F761" s="34" t="str">
        <f>IF(+'Fiche info Avenant 8'!$BC$10=0,"",'Fiche info Avenant 8'!$BC$10)</f>
        <v/>
      </c>
      <c r="G761" s="16">
        <f t="shared" si="154"/>
        <v>0</v>
      </c>
      <c r="BX761" s="16" t="str">
        <f t="shared" si="155"/>
        <v>Fiche info Avenant 8E4</v>
      </c>
      <c r="BY761" s="431">
        <f>'Fiche info Avenant 8'!$AT$10</f>
        <v>0</v>
      </c>
      <c r="BZ761" s="431">
        <f>'Fiche info Avenant 8'!$AU$10</f>
        <v>0</v>
      </c>
      <c r="CA761" s="431">
        <f>'Fiche info Avenant 8'!$AV$10</f>
        <v>0</v>
      </c>
      <c r="CB761" s="431">
        <f>'Fiche info Avenant 8'!$AW$10</f>
        <v>0</v>
      </c>
      <c r="CC761" s="431">
        <f>'Fiche info Avenant 8'!$AX$10</f>
        <v>0</v>
      </c>
      <c r="CD761" s="431">
        <f>'Fiche info Avenant 8'!$AY$10</f>
        <v>0</v>
      </c>
      <c r="CE761" s="431">
        <f>'Fiche info Avenant 8'!$AZ$10</f>
        <v>0</v>
      </c>
      <c r="CF761" s="431">
        <f>'Fiche info Avenant 8'!$BA$10</f>
        <v>0</v>
      </c>
      <c r="ED761" s="16" t="str">
        <f t="shared" si="158"/>
        <v>Fiche info Avenant 8E</v>
      </c>
      <c r="EE761" s="16" t="str">
        <f t="shared" si="149"/>
        <v>Fiche info Avenant 8</v>
      </c>
      <c r="EF761" s="16" t="str">
        <f t="shared" si="150"/>
        <v>E</v>
      </c>
      <c r="EG761" s="16">
        <f t="shared" si="151"/>
        <v>4</v>
      </c>
      <c r="EH761" s="16" t="str">
        <f t="shared" si="152"/>
        <v>Jeudi</v>
      </c>
      <c r="EI761" s="16" t="str">
        <f t="shared" si="153"/>
        <v/>
      </c>
    </row>
    <row r="762" spans="1:139" x14ac:dyDescent="0.2">
      <c r="A762" s="16" t="str">
        <f t="shared" si="156"/>
        <v>Fiche info Avenant 8E5</v>
      </c>
      <c r="B762" s="16" t="str">
        <f t="shared" si="157"/>
        <v>Fiche info Avenant 8</v>
      </c>
      <c r="C762" s="27" t="s">
        <v>234</v>
      </c>
      <c r="D762" s="27">
        <v>5</v>
      </c>
      <c r="E762" s="16" t="s">
        <v>21</v>
      </c>
      <c r="F762" s="34" t="str">
        <f>IF(+'Fiche info Avenant 8'!$BC$11=0,"",'Fiche info Avenant 8'!$BC$11)</f>
        <v/>
      </c>
      <c r="G762" s="16">
        <f t="shared" si="154"/>
        <v>0</v>
      </c>
      <c r="BX762" s="16" t="str">
        <f t="shared" si="155"/>
        <v>Fiche info Avenant 8E5</v>
      </c>
      <c r="BY762" s="431">
        <f>'Fiche info Avenant 8'!$AT$11</f>
        <v>0</v>
      </c>
      <c r="BZ762" s="431">
        <f>'Fiche info Avenant 8'!$AU$11</f>
        <v>0</v>
      </c>
      <c r="CA762" s="431">
        <f>'Fiche info Avenant 8'!$AV$11</f>
        <v>0</v>
      </c>
      <c r="CB762" s="431">
        <f>'Fiche info Avenant 8'!$AW$11</f>
        <v>0</v>
      </c>
      <c r="CC762" s="431">
        <f>'Fiche info Avenant 8'!$AX$11</f>
        <v>0</v>
      </c>
      <c r="CD762" s="431">
        <f>'Fiche info Avenant 8'!$AY$11</f>
        <v>0</v>
      </c>
      <c r="CE762" s="431">
        <f>'Fiche info Avenant 8'!$AZ$11</f>
        <v>0</v>
      </c>
      <c r="CF762" s="431">
        <f>'Fiche info Avenant 8'!$BA$11</f>
        <v>0</v>
      </c>
      <c r="ED762" s="16" t="str">
        <f t="shared" si="158"/>
        <v>Fiche info Avenant 8E</v>
      </c>
      <c r="EE762" s="16" t="str">
        <f t="shared" si="149"/>
        <v>Fiche info Avenant 8</v>
      </c>
      <c r="EF762" s="16" t="str">
        <f t="shared" si="150"/>
        <v>E</v>
      </c>
      <c r="EG762" s="16">
        <f t="shared" si="151"/>
        <v>5</v>
      </c>
      <c r="EH762" s="16" t="str">
        <f t="shared" si="152"/>
        <v>Vendredi</v>
      </c>
      <c r="EI762" s="16" t="str">
        <f t="shared" si="153"/>
        <v/>
      </c>
    </row>
    <row r="763" spans="1:139" x14ac:dyDescent="0.2">
      <c r="A763" s="16" t="str">
        <f t="shared" si="156"/>
        <v>Fiche info Avenant 8E6</v>
      </c>
      <c r="B763" s="16" t="str">
        <f t="shared" si="157"/>
        <v>Fiche info Avenant 8</v>
      </c>
      <c r="C763" s="27" t="s">
        <v>234</v>
      </c>
      <c r="D763" s="27">
        <v>6</v>
      </c>
      <c r="E763" s="16" t="s">
        <v>184</v>
      </c>
      <c r="F763" s="34" t="str">
        <f>IF(+'Fiche info Avenant 8'!$BC$12=0,"",'Fiche info Avenant 8'!$BC$12)</f>
        <v/>
      </c>
      <c r="G763" s="16">
        <f t="shared" si="154"/>
        <v>0</v>
      </c>
      <c r="BX763" s="16" t="str">
        <f t="shared" si="155"/>
        <v>Fiche info Avenant 8E6</v>
      </c>
      <c r="BY763" s="431">
        <f>'Fiche info Avenant 8'!$AT$12</f>
        <v>0</v>
      </c>
      <c r="BZ763" s="431">
        <f>'Fiche info Avenant 8'!$AU$12</f>
        <v>0</v>
      </c>
      <c r="CA763" s="431">
        <f>'Fiche info Avenant 8'!$AV$12</f>
        <v>0</v>
      </c>
      <c r="CB763" s="431">
        <f>'Fiche info Avenant 8'!$AW$12</f>
        <v>0</v>
      </c>
      <c r="CC763" s="431">
        <f>'Fiche info Avenant 8'!$AX$12</f>
        <v>0</v>
      </c>
      <c r="CD763" s="431">
        <f>'Fiche info Avenant 8'!$AY$12</f>
        <v>0</v>
      </c>
      <c r="CE763" s="431">
        <f>'Fiche info Avenant 8'!$AZ$12</f>
        <v>0</v>
      </c>
      <c r="CF763" s="431">
        <f>'Fiche info Avenant 8'!$BA$12</f>
        <v>0</v>
      </c>
      <c r="ED763" s="16" t="str">
        <f t="shared" si="158"/>
        <v>Fiche info Avenant 8E</v>
      </c>
      <c r="EE763" s="16" t="str">
        <f t="shared" si="149"/>
        <v>Fiche info Avenant 8</v>
      </c>
      <c r="EF763" s="16" t="str">
        <f t="shared" si="150"/>
        <v>E</v>
      </c>
      <c r="EG763" s="16">
        <f t="shared" si="151"/>
        <v>6</v>
      </c>
      <c r="EH763" s="16" t="str">
        <f t="shared" si="152"/>
        <v>Samedi</v>
      </c>
      <c r="EI763" s="16" t="str">
        <f t="shared" si="153"/>
        <v/>
      </c>
    </row>
    <row r="764" spans="1:139" x14ac:dyDescent="0.2">
      <c r="A764" s="16" t="str">
        <f t="shared" si="156"/>
        <v>Fiche info Avenant 8E7</v>
      </c>
      <c r="B764" s="16" t="str">
        <f t="shared" si="157"/>
        <v>Fiche info Avenant 8</v>
      </c>
      <c r="C764" s="27" t="s">
        <v>234</v>
      </c>
      <c r="D764" s="27">
        <v>7</v>
      </c>
      <c r="E764" s="16" t="s">
        <v>185</v>
      </c>
      <c r="F764" s="34" t="str">
        <f>IF(+'Fiche info Avenant 8'!$BC$13=0,"",'Fiche info Avenant 8'!$BC$13)</f>
        <v/>
      </c>
      <c r="G764" s="16">
        <f t="shared" si="154"/>
        <v>0</v>
      </c>
      <c r="BX764" s="16" t="str">
        <f t="shared" si="155"/>
        <v>Fiche info Avenant 8E7</v>
      </c>
      <c r="BY764" s="431">
        <f>'Fiche info Avenant 8'!$AT$13</f>
        <v>0</v>
      </c>
      <c r="BZ764" s="431">
        <f>'Fiche info Avenant 8'!$AU$13</f>
        <v>0</v>
      </c>
      <c r="CA764" s="431">
        <f>'Fiche info Avenant 8'!$AV$13</f>
        <v>0</v>
      </c>
      <c r="CB764" s="431">
        <f>'Fiche info Avenant 8'!$AW$13</f>
        <v>0</v>
      </c>
      <c r="CC764" s="431">
        <f>'Fiche info Avenant 8'!$AX$13</f>
        <v>0</v>
      </c>
      <c r="CD764" s="431">
        <f>'Fiche info Avenant 8'!$AY$13</f>
        <v>0</v>
      </c>
      <c r="CE764" s="431">
        <f>'Fiche info Avenant 8'!$AZ$13</f>
        <v>0</v>
      </c>
      <c r="CF764" s="431">
        <f>'Fiche info Avenant 8'!$BA$13</f>
        <v>0</v>
      </c>
      <c r="ED764" s="16" t="str">
        <f t="shared" si="158"/>
        <v>Fiche info Avenant 8E</v>
      </c>
      <c r="EE764" s="16" t="str">
        <f t="shared" si="149"/>
        <v>Fiche info Avenant 8</v>
      </c>
      <c r="EF764" s="16" t="str">
        <f t="shared" si="150"/>
        <v>E</v>
      </c>
      <c r="EG764" s="16">
        <f t="shared" si="151"/>
        <v>7</v>
      </c>
      <c r="EH764" s="16" t="str">
        <f t="shared" si="152"/>
        <v>Dimanche</v>
      </c>
      <c r="EI764" s="16" t="str">
        <f t="shared" si="153"/>
        <v/>
      </c>
    </row>
    <row r="765" spans="1:139" x14ac:dyDescent="0.2">
      <c r="A765" s="16" t="str">
        <f t="shared" si="156"/>
        <v>Fiche info Avenant 8F1</v>
      </c>
      <c r="B765" s="16" t="str">
        <f t="shared" si="157"/>
        <v>Fiche info Avenant 8</v>
      </c>
      <c r="C765" s="27" t="s">
        <v>235</v>
      </c>
      <c r="D765" s="27">
        <v>1</v>
      </c>
      <c r="E765" s="16" t="s">
        <v>17</v>
      </c>
      <c r="F765" s="34" t="str">
        <f>+IF('Fiche info Avenant 8'!$BN$7=0,"",'Fiche info Avenant 8'!$BN$7)</f>
        <v/>
      </c>
      <c r="G765" s="16">
        <f t="shared" si="154"/>
        <v>0</v>
      </c>
      <c r="BX765" s="16" t="str">
        <f t="shared" si="155"/>
        <v>Fiche info Avenant 8F1</v>
      </c>
      <c r="BY765" s="431">
        <f>'Fiche info Avenant 8'!$BE$7</f>
        <v>0</v>
      </c>
      <c r="BZ765" s="431">
        <f>'Fiche info Avenant 8'!$BF$7</f>
        <v>0</v>
      </c>
      <c r="CA765" s="431">
        <f>'Fiche info Avenant 8'!$BG$7</f>
        <v>0</v>
      </c>
      <c r="CB765" s="431">
        <f>'Fiche info Avenant 8'!$BH$7</f>
        <v>0</v>
      </c>
      <c r="CC765" s="431">
        <f>'Fiche info Avenant 8'!$BI$7</f>
        <v>0</v>
      </c>
      <c r="CD765" s="431">
        <f>'Fiche info Avenant 8'!$BJ$7</f>
        <v>0</v>
      </c>
      <c r="CE765" s="431">
        <f>'Fiche info Avenant 8'!$BK$7</f>
        <v>0</v>
      </c>
      <c r="CF765" s="431">
        <f>'Fiche info Avenant 8'!$BL$7</f>
        <v>0</v>
      </c>
      <c r="ED765" s="16" t="str">
        <f t="shared" si="158"/>
        <v>Fiche info Avenant 8F</v>
      </c>
      <c r="EE765" s="16" t="str">
        <f t="shared" si="149"/>
        <v>Fiche info Avenant 8</v>
      </c>
      <c r="EF765" s="16" t="str">
        <f t="shared" si="150"/>
        <v>F</v>
      </c>
      <c r="EG765" s="16">
        <f t="shared" si="151"/>
        <v>1</v>
      </c>
      <c r="EH765" s="16" t="str">
        <f t="shared" si="152"/>
        <v>Lundi</v>
      </c>
      <c r="EI765" s="16" t="str">
        <f t="shared" si="153"/>
        <v/>
      </c>
    </row>
    <row r="766" spans="1:139" x14ac:dyDescent="0.2">
      <c r="A766" s="16" t="str">
        <f t="shared" si="156"/>
        <v>Fiche info Avenant 8F2</v>
      </c>
      <c r="B766" s="16" t="str">
        <f t="shared" si="157"/>
        <v>Fiche info Avenant 8</v>
      </c>
      <c r="C766" s="27" t="s">
        <v>235</v>
      </c>
      <c r="D766" s="27">
        <v>2</v>
      </c>
      <c r="E766" s="16" t="s">
        <v>18</v>
      </c>
      <c r="F766" s="34" t="str">
        <f>+IF('Fiche info Avenant 8'!$BN$8=0,"",'Fiche info Avenant 8'!$BN$8)</f>
        <v/>
      </c>
      <c r="G766" s="16">
        <f t="shared" si="154"/>
        <v>0</v>
      </c>
      <c r="BX766" s="16" t="str">
        <f t="shared" si="155"/>
        <v>Fiche info Avenant 8F2</v>
      </c>
      <c r="BY766" s="431">
        <f>'Fiche info Avenant 8'!$BE$8</f>
        <v>0</v>
      </c>
      <c r="BZ766" s="431">
        <f>'Fiche info Avenant 8'!$BF$8</f>
        <v>0</v>
      </c>
      <c r="CA766" s="431">
        <f>'Fiche info Avenant 8'!$BG$8</f>
        <v>0</v>
      </c>
      <c r="CB766" s="431">
        <f>'Fiche info Avenant 8'!$BH$8</f>
        <v>0</v>
      </c>
      <c r="CC766" s="431">
        <f>'Fiche info Avenant 8'!$BI$8</f>
        <v>0</v>
      </c>
      <c r="CD766" s="431">
        <f>'Fiche info Avenant 8'!$BJ$8</f>
        <v>0</v>
      </c>
      <c r="CE766" s="431">
        <f>'Fiche info Avenant 8'!$BK$8</f>
        <v>0</v>
      </c>
      <c r="CF766" s="431">
        <f>'Fiche info Avenant 8'!$BL$8</f>
        <v>0</v>
      </c>
      <c r="ED766" s="16" t="str">
        <f t="shared" si="158"/>
        <v>Fiche info Avenant 8F</v>
      </c>
      <c r="EE766" s="16" t="str">
        <f t="shared" si="149"/>
        <v>Fiche info Avenant 8</v>
      </c>
      <c r="EF766" s="16" t="str">
        <f t="shared" si="150"/>
        <v>F</v>
      </c>
      <c r="EG766" s="16">
        <f t="shared" si="151"/>
        <v>2</v>
      </c>
      <c r="EH766" s="16" t="str">
        <f t="shared" si="152"/>
        <v>Mardi</v>
      </c>
      <c r="EI766" s="16" t="str">
        <f t="shared" si="153"/>
        <v/>
      </c>
    </row>
    <row r="767" spans="1:139" x14ac:dyDescent="0.2">
      <c r="A767" s="16" t="str">
        <f t="shared" si="156"/>
        <v>Fiche info Avenant 8F3</v>
      </c>
      <c r="B767" s="16" t="str">
        <f t="shared" si="157"/>
        <v>Fiche info Avenant 8</v>
      </c>
      <c r="C767" s="27" t="s">
        <v>235</v>
      </c>
      <c r="D767" s="27">
        <v>3</v>
      </c>
      <c r="E767" s="16" t="s">
        <v>19</v>
      </c>
      <c r="F767" s="34" t="str">
        <f>+IF('Fiche info Avenant 8'!$BN$9=0,"",'Fiche info Avenant 8'!$BN$9)</f>
        <v/>
      </c>
      <c r="G767" s="16">
        <f t="shared" si="154"/>
        <v>0</v>
      </c>
      <c r="BX767" s="16" t="str">
        <f t="shared" si="155"/>
        <v>Fiche info Avenant 8F3</v>
      </c>
      <c r="BY767" s="431">
        <f>'Fiche info Avenant 8'!$BE$9</f>
        <v>0</v>
      </c>
      <c r="BZ767" s="431">
        <f>'Fiche info Avenant 8'!$BF$9</f>
        <v>0</v>
      </c>
      <c r="CA767" s="431">
        <f>'Fiche info Avenant 8'!$BG$9</f>
        <v>0</v>
      </c>
      <c r="CB767" s="431">
        <f>'Fiche info Avenant 8'!$BH$9</f>
        <v>0</v>
      </c>
      <c r="CC767" s="431">
        <f>'Fiche info Avenant 8'!$BI$9</f>
        <v>0</v>
      </c>
      <c r="CD767" s="431">
        <f>'Fiche info Avenant 8'!$BJ$9</f>
        <v>0</v>
      </c>
      <c r="CE767" s="431">
        <f>'Fiche info Avenant 8'!$BK$9</f>
        <v>0</v>
      </c>
      <c r="CF767" s="431">
        <f>'Fiche info Avenant 8'!$BL$9</f>
        <v>0</v>
      </c>
      <c r="ED767" s="16" t="str">
        <f t="shared" si="158"/>
        <v>Fiche info Avenant 8F</v>
      </c>
      <c r="EE767" s="16" t="str">
        <f t="shared" si="149"/>
        <v>Fiche info Avenant 8</v>
      </c>
      <c r="EF767" s="16" t="str">
        <f t="shared" si="150"/>
        <v>F</v>
      </c>
      <c r="EG767" s="16">
        <f t="shared" si="151"/>
        <v>3</v>
      </c>
      <c r="EH767" s="16" t="str">
        <f t="shared" si="152"/>
        <v>Mercredi</v>
      </c>
      <c r="EI767" s="16" t="str">
        <f t="shared" si="153"/>
        <v/>
      </c>
    </row>
    <row r="768" spans="1:139" x14ac:dyDescent="0.2">
      <c r="A768" s="16" t="str">
        <f t="shared" si="156"/>
        <v>Fiche info Avenant 8F4</v>
      </c>
      <c r="B768" s="16" t="str">
        <f t="shared" si="157"/>
        <v>Fiche info Avenant 8</v>
      </c>
      <c r="C768" s="27" t="s">
        <v>235</v>
      </c>
      <c r="D768" s="27">
        <v>4</v>
      </c>
      <c r="E768" s="16" t="s">
        <v>20</v>
      </c>
      <c r="F768" s="34" t="str">
        <f>+IF('Fiche info Avenant 8'!$BN$10=0,"",'Fiche info Avenant 8'!$BN$10)</f>
        <v/>
      </c>
      <c r="G768" s="16">
        <f t="shared" si="154"/>
        <v>0</v>
      </c>
      <c r="BX768" s="16" t="str">
        <f t="shared" si="155"/>
        <v>Fiche info Avenant 8F4</v>
      </c>
      <c r="BY768" s="431">
        <f>'Fiche info Avenant 8'!$BE$10</f>
        <v>0</v>
      </c>
      <c r="BZ768" s="431">
        <f>'Fiche info Avenant 8'!$BF$10</f>
        <v>0</v>
      </c>
      <c r="CA768" s="431">
        <f>'Fiche info Avenant 8'!$BG$10</f>
        <v>0</v>
      </c>
      <c r="CB768" s="431">
        <f>'Fiche info Avenant 8'!$BH$10</f>
        <v>0</v>
      </c>
      <c r="CC768" s="431">
        <f>'Fiche info Avenant 8'!$BI$10</f>
        <v>0</v>
      </c>
      <c r="CD768" s="431">
        <f>'Fiche info Avenant 8'!$BJ$10</f>
        <v>0</v>
      </c>
      <c r="CE768" s="431">
        <f>'Fiche info Avenant 8'!$BK$10</f>
        <v>0</v>
      </c>
      <c r="CF768" s="431">
        <f>'Fiche info Avenant 8'!$BL$10</f>
        <v>0</v>
      </c>
      <c r="ED768" s="16" t="str">
        <f t="shared" si="158"/>
        <v>Fiche info Avenant 8F</v>
      </c>
      <c r="EE768" s="16" t="str">
        <f t="shared" si="149"/>
        <v>Fiche info Avenant 8</v>
      </c>
      <c r="EF768" s="16" t="str">
        <f t="shared" si="150"/>
        <v>F</v>
      </c>
      <c r="EG768" s="16">
        <f t="shared" si="151"/>
        <v>4</v>
      </c>
      <c r="EH768" s="16" t="str">
        <f t="shared" si="152"/>
        <v>Jeudi</v>
      </c>
      <c r="EI768" s="16" t="str">
        <f t="shared" si="153"/>
        <v/>
      </c>
    </row>
    <row r="769" spans="1:139" x14ac:dyDescent="0.2">
      <c r="A769" s="16" t="str">
        <f t="shared" si="156"/>
        <v>Fiche info Avenant 8F5</v>
      </c>
      <c r="B769" s="16" t="str">
        <f t="shared" si="157"/>
        <v>Fiche info Avenant 8</v>
      </c>
      <c r="C769" s="27" t="s">
        <v>235</v>
      </c>
      <c r="D769" s="27">
        <v>5</v>
      </c>
      <c r="E769" s="16" t="s">
        <v>21</v>
      </c>
      <c r="F769" s="34" t="str">
        <f>+IF('Fiche info Avenant 8'!$BN$11=0,"",'Fiche info Avenant 8'!$BN$11)</f>
        <v/>
      </c>
      <c r="G769" s="16">
        <f t="shared" si="154"/>
        <v>0</v>
      </c>
      <c r="BX769" s="16" t="str">
        <f t="shared" si="155"/>
        <v>Fiche info Avenant 8F5</v>
      </c>
      <c r="BY769" s="431">
        <f>'Fiche info Avenant 8'!$BE$11</f>
        <v>0</v>
      </c>
      <c r="BZ769" s="431">
        <f>'Fiche info Avenant 8'!$BF$11</f>
        <v>0</v>
      </c>
      <c r="CA769" s="431">
        <f>'Fiche info Avenant 8'!$BG$11</f>
        <v>0</v>
      </c>
      <c r="CB769" s="431">
        <f>'Fiche info Avenant 8'!$BH$11</f>
        <v>0</v>
      </c>
      <c r="CC769" s="431">
        <f>'Fiche info Avenant 8'!$BI$11</f>
        <v>0</v>
      </c>
      <c r="CD769" s="431">
        <f>'Fiche info Avenant 8'!$BJ$11</f>
        <v>0</v>
      </c>
      <c r="CE769" s="431">
        <f>'Fiche info Avenant 8'!$BK$11</f>
        <v>0</v>
      </c>
      <c r="CF769" s="431">
        <f>'Fiche info Avenant 8'!$BL$11</f>
        <v>0</v>
      </c>
      <c r="ED769" s="16" t="str">
        <f t="shared" si="158"/>
        <v>Fiche info Avenant 8F</v>
      </c>
      <c r="EE769" s="16" t="str">
        <f t="shared" ref="EE769:EE832" si="159">B769</f>
        <v>Fiche info Avenant 8</v>
      </c>
      <c r="EF769" s="16" t="str">
        <f t="shared" ref="EF769:EF832" si="160">C769</f>
        <v>F</v>
      </c>
      <c r="EG769" s="16">
        <f t="shared" ref="EG769:EG832" si="161">D769</f>
        <v>5</v>
      </c>
      <c r="EH769" s="16" t="str">
        <f t="shared" ref="EH769:EH832" si="162">E769</f>
        <v>Vendredi</v>
      </c>
      <c r="EI769" s="16" t="str">
        <f t="shared" ref="EI769:EI832" si="163">F769</f>
        <v/>
      </c>
    </row>
    <row r="770" spans="1:139" x14ac:dyDescent="0.2">
      <c r="A770" s="16" t="str">
        <f t="shared" si="156"/>
        <v>Fiche info Avenant 8F6</v>
      </c>
      <c r="B770" s="16" t="str">
        <f t="shared" si="157"/>
        <v>Fiche info Avenant 8</v>
      </c>
      <c r="C770" s="27" t="s">
        <v>235</v>
      </c>
      <c r="D770" s="27">
        <v>6</v>
      </c>
      <c r="E770" s="16" t="s">
        <v>184</v>
      </c>
      <c r="F770" s="34" t="str">
        <f>+IF('Fiche info Avenant 8'!$BN$12=0,"",'Fiche info Avenant 8'!$BN$12)</f>
        <v/>
      </c>
      <c r="G770" s="16">
        <f t="shared" ref="G770:G833" si="164">+IF(OR(F770=0,F770=""),0,1)</f>
        <v>0</v>
      </c>
      <c r="BX770" s="16" t="str">
        <f t="shared" ref="BX770:BX833" si="165">A770</f>
        <v>Fiche info Avenant 8F6</v>
      </c>
      <c r="BY770" s="431">
        <f>'Fiche info Avenant 8'!$BE$12</f>
        <v>0</v>
      </c>
      <c r="BZ770" s="431">
        <f>'Fiche info Avenant 8'!$BF$12</f>
        <v>0</v>
      </c>
      <c r="CA770" s="431">
        <f>'Fiche info Avenant 8'!$BG$12</f>
        <v>0</v>
      </c>
      <c r="CB770" s="431">
        <f>'Fiche info Avenant 8'!$BH$12</f>
        <v>0</v>
      </c>
      <c r="CC770" s="431">
        <f>'Fiche info Avenant 8'!$BI$12</f>
        <v>0</v>
      </c>
      <c r="CD770" s="431">
        <f>'Fiche info Avenant 8'!$BJ$12</f>
        <v>0</v>
      </c>
      <c r="CE770" s="431">
        <f>'Fiche info Avenant 8'!$BK$12</f>
        <v>0</v>
      </c>
      <c r="CF770" s="431">
        <f>'Fiche info Avenant 8'!$BL$12</f>
        <v>0</v>
      </c>
      <c r="ED770" s="16" t="str">
        <f t="shared" si="158"/>
        <v>Fiche info Avenant 8F</v>
      </c>
      <c r="EE770" s="16" t="str">
        <f t="shared" si="159"/>
        <v>Fiche info Avenant 8</v>
      </c>
      <c r="EF770" s="16" t="str">
        <f t="shared" si="160"/>
        <v>F</v>
      </c>
      <c r="EG770" s="16">
        <f t="shared" si="161"/>
        <v>6</v>
      </c>
      <c r="EH770" s="16" t="str">
        <f t="shared" si="162"/>
        <v>Samedi</v>
      </c>
      <c r="EI770" s="16" t="str">
        <f t="shared" si="163"/>
        <v/>
      </c>
    </row>
    <row r="771" spans="1:139" x14ac:dyDescent="0.2">
      <c r="A771" s="16" t="str">
        <f t="shared" si="156"/>
        <v>Fiche info Avenant 8F7</v>
      </c>
      <c r="B771" s="16" t="str">
        <f t="shared" si="157"/>
        <v>Fiche info Avenant 8</v>
      </c>
      <c r="C771" s="27" t="s">
        <v>235</v>
      </c>
      <c r="D771" s="27">
        <v>7</v>
      </c>
      <c r="E771" s="16" t="s">
        <v>185</v>
      </c>
      <c r="F771" s="34" t="str">
        <f>+IF('Fiche info Avenant 8'!$BN$13=0,"",'Fiche info Avenant 8'!$BN$13)</f>
        <v/>
      </c>
      <c r="G771" s="16">
        <f t="shared" si="164"/>
        <v>0</v>
      </c>
      <c r="BX771" s="16" t="str">
        <f t="shared" si="165"/>
        <v>Fiche info Avenant 8F7</v>
      </c>
      <c r="BY771" s="431">
        <f>'Fiche info Avenant 8'!$BE$13</f>
        <v>0</v>
      </c>
      <c r="BZ771" s="431">
        <f>'Fiche info Avenant 8'!$BF$13</f>
        <v>0</v>
      </c>
      <c r="CA771" s="431">
        <f>'Fiche info Avenant 8'!$BG$13</f>
        <v>0</v>
      </c>
      <c r="CB771" s="431">
        <f>'Fiche info Avenant 8'!$BH$13</f>
        <v>0</v>
      </c>
      <c r="CC771" s="431">
        <f>'Fiche info Avenant 8'!$BI$13</f>
        <v>0</v>
      </c>
      <c r="CD771" s="431">
        <f>'Fiche info Avenant 8'!$BJ$13</f>
        <v>0</v>
      </c>
      <c r="CE771" s="431">
        <f>'Fiche info Avenant 8'!$BK$13</f>
        <v>0</v>
      </c>
      <c r="CF771" s="431">
        <f>'Fiche info Avenant 8'!$BL$13</f>
        <v>0</v>
      </c>
      <c r="ED771" s="16" t="str">
        <f t="shared" si="158"/>
        <v>Fiche info Avenant 8F</v>
      </c>
      <c r="EE771" s="16" t="str">
        <f t="shared" si="159"/>
        <v>Fiche info Avenant 8</v>
      </c>
      <c r="EF771" s="16" t="str">
        <f t="shared" si="160"/>
        <v>F</v>
      </c>
      <c r="EG771" s="16">
        <f t="shared" si="161"/>
        <v>7</v>
      </c>
      <c r="EH771" s="16" t="str">
        <f t="shared" si="162"/>
        <v>Dimanche</v>
      </c>
      <c r="EI771" s="16" t="str">
        <f t="shared" si="163"/>
        <v/>
      </c>
    </row>
    <row r="772" spans="1:139" x14ac:dyDescent="0.2">
      <c r="A772" s="16" t="str">
        <f t="shared" si="156"/>
        <v>Fiche info Avenant 8G1</v>
      </c>
      <c r="B772" s="16" t="str">
        <f t="shared" si="157"/>
        <v>Fiche info Avenant 8</v>
      </c>
      <c r="C772" s="27" t="s">
        <v>236</v>
      </c>
      <c r="D772" s="27">
        <v>1</v>
      </c>
      <c r="E772" s="16" t="s">
        <v>17</v>
      </c>
      <c r="F772" s="34" t="str">
        <f>+IF('Fiche info Avenant 8'!$BY$7=0,"",'Fiche info Avenant 8'!$BY$7)</f>
        <v/>
      </c>
      <c r="G772" s="16">
        <f t="shared" si="164"/>
        <v>0</v>
      </c>
      <c r="BX772" s="16" t="str">
        <f t="shared" si="165"/>
        <v>Fiche info Avenant 8G1</v>
      </c>
      <c r="BY772" s="431">
        <f>'Fiche info Avenant 8'!$BP$7</f>
        <v>0</v>
      </c>
      <c r="BZ772" s="431">
        <f>'Fiche info Avenant 8'!$BQ$7</f>
        <v>0</v>
      </c>
      <c r="CA772" s="431">
        <f>'Fiche info Avenant 8'!$BR$7</f>
        <v>0</v>
      </c>
      <c r="CB772" s="431">
        <f>'Fiche info Avenant 8'!$BS$7</f>
        <v>0</v>
      </c>
      <c r="CC772" s="431">
        <f>'Fiche info Avenant 8'!$BT$7</f>
        <v>0</v>
      </c>
      <c r="CD772" s="431">
        <f>'Fiche info Avenant 8'!$BU$7</f>
        <v>0</v>
      </c>
      <c r="CE772" s="431">
        <f>'Fiche info Avenant 8'!$BV$7</f>
        <v>0</v>
      </c>
      <c r="CF772" s="431">
        <f>'Fiche info Avenant 8'!$BW$7</f>
        <v>0</v>
      </c>
      <c r="ED772" s="16" t="str">
        <f t="shared" si="158"/>
        <v>Fiche info Avenant 8G</v>
      </c>
      <c r="EE772" s="16" t="str">
        <f t="shared" si="159"/>
        <v>Fiche info Avenant 8</v>
      </c>
      <c r="EF772" s="16" t="str">
        <f t="shared" si="160"/>
        <v>G</v>
      </c>
      <c r="EG772" s="16">
        <f t="shared" si="161"/>
        <v>1</v>
      </c>
      <c r="EH772" s="16" t="str">
        <f t="shared" si="162"/>
        <v>Lundi</v>
      </c>
      <c r="EI772" s="16" t="str">
        <f t="shared" si="163"/>
        <v/>
      </c>
    </row>
    <row r="773" spans="1:139" x14ac:dyDescent="0.2">
      <c r="A773" s="16" t="str">
        <f t="shared" si="156"/>
        <v>Fiche info Avenant 8G2</v>
      </c>
      <c r="B773" s="16" t="str">
        <f t="shared" si="157"/>
        <v>Fiche info Avenant 8</v>
      </c>
      <c r="C773" s="27" t="s">
        <v>236</v>
      </c>
      <c r="D773" s="27">
        <v>2</v>
      </c>
      <c r="E773" s="16" t="s">
        <v>18</v>
      </c>
      <c r="F773" s="34" t="str">
        <f>+IF('Fiche info Avenant 8'!$BY$8=0,"",'Fiche info Avenant 8'!$BY$8)</f>
        <v/>
      </c>
      <c r="G773" s="16">
        <f t="shared" si="164"/>
        <v>0</v>
      </c>
      <c r="BX773" s="16" t="str">
        <f t="shared" si="165"/>
        <v>Fiche info Avenant 8G2</v>
      </c>
      <c r="BY773" s="431">
        <f>'Fiche info Avenant 8'!$BP$8</f>
        <v>0</v>
      </c>
      <c r="BZ773" s="431">
        <f>'Fiche info Avenant 8'!$BQ$8</f>
        <v>0</v>
      </c>
      <c r="CA773" s="431">
        <f>'Fiche info Avenant 8'!$BR$8</f>
        <v>0</v>
      </c>
      <c r="CB773" s="431">
        <f>'Fiche info Avenant 8'!$BS$8</f>
        <v>0</v>
      </c>
      <c r="CC773" s="431">
        <f>'Fiche info Avenant 8'!$BT$8</f>
        <v>0</v>
      </c>
      <c r="CD773" s="431">
        <f>'Fiche info Avenant 8'!$BU$8</f>
        <v>0</v>
      </c>
      <c r="CE773" s="431">
        <f>'Fiche info Avenant 8'!$BV$8</f>
        <v>0</v>
      </c>
      <c r="CF773" s="431">
        <f>'Fiche info Avenant 8'!$BW$8</f>
        <v>0</v>
      </c>
      <c r="ED773" s="16" t="str">
        <f t="shared" si="158"/>
        <v>Fiche info Avenant 8G</v>
      </c>
      <c r="EE773" s="16" t="str">
        <f t="shared" si="159"/>
        <v>Fiche info Avenant 8</v>
      </c>
      <c r="EF773" s="16" t="str">
        <f t="shared" si="160"/>
        <v>G</v>
      </c>
      <c r="EG773" s="16">
        <f t="shared" si="161"/>
        <v>2</v>
      </c>
      <c r="EH773" s="16" t="str">
        <f t="shared" si="162"/>
        <v>Mardi</v>
      </c>
      <c r="EI773" s="16" t="str">
        <f t="shared" si="163"/>
        <v/>
      </c>
    </row>
    <row r="774" spans="1:139" x14ac:dyDescent="0.2">
      <c r="A774" s="16" t="str">
        <f t="shared" si="156"/>
        <v>Fiche info Avenant 8G3</v>
      </c>
      <c r="B774" s="16" t="str">
        <f t="shared" si="157"/>
        <v>Fiche info Avenant 8</v>
      </c>
      <c r="C774" s="27" t="s">
        <v>236</v>
      </c>
      <c r="D774" s="27">
        <v>3</v>
      </c>
      <c r="E774" s="16" t="s">
        <v>19</v>
      </c>
      <c r="F774" s="34" t="str">
        <f>+IF('Fiche info Avenant 8'!$BY$9=0,"",'Fiche info Avenant 8'!$BY$9)</f>
        <v/>
      </c>
      <c r="G774" s="16">
        <f t="shared" si="164"/>
        <v>0</v>
      </c>
      <c r="BX774" s="16" t="str">
        <f t="shared" si="165"/>
        <v>Fiche info Avenant 8G3</v>
      </c>
      <c r="BY774" s="431">
        <f>'Fiche info Avenant 8'!$BP$9</f>
        <v>0</v>
      </c>
      <c r="BZ774" s="431">
        <f>'Fiche info Avenant 8'!$BQ$9</f>
        <v>0</v>
      </c>
      <c r="CA774" s="431">
        <f>'Fiche info Avenant 8'!$BR$9</f>
        <v>0</v>
      </c>
      <c r="CB774" s="431">
        <f>'Fiche info Avenant 8'!$BS$9</f>
        <v>0</v>
      </c>
      <c r="CC774" s="431">
        <f>'Fiche info Avenant 8'!$BT$9</f>
        <v>0</v>
      </c>
      <c r="CD774" s="431">
        <f>'Fiche info Avenant 8'!$BU$9</f>
        <v>0</v>
      </c>
      <c r="CE774" s="431">
        <f>'Fiche info Avenant 8'!$BV$9</f>
        <v>0</v>
      </c>
      <c r="CF774" s="431">
        <f>'Fiche info Avenant 8'!$BW$9</f>
        <v>0</v>
      </c>
      <c r="ED774" s="16" t="str">
        <f t="shared" si="158"/>
        <v>Fiche info Avenant 8G</v>
      </c>
      <c r="EE774" s="16" t="str">
        <f t="shared" si="159"/>
        <v>Fiche info Avenant 8</v>
      </c>
      <c r="EF774" s="16" t="str">
        <f t="shared" si="160"/>
        <v>G</v>
      </c>
      <c r="EG774" s="16">
        <f t="shared" si="161"/>
        <v>3</v>
      </c>
      <c r="EH774" s="16" t="str">
        <f t="shared" si="162"/>
        <v>Mercredi</v>
      </c>
      <c r="EI774" s="16" t="str">
        <f t="shared" si="163"/>
        <v/>
      </c>
    </row>
    <row r="775" spans="1:139" x14ac:dyDescent="0.2">
      <c r="A775" s="16" t="str">
        <f t="shared" si="156"/>
        <v>Fiche info Avenant 8G4</v>
      </c>
      <c r="B775" s="16" t="str">
        <f t="shared" si="157"/>
        <v>Fiche info Avenant 8</v>
      </c>
      <c r="C775" s="27" t="s">
        <v>236</v>
      </c>
      <c r="D775" s="27">
        <v>4</v>
      </c>
      <c r="E775" s="16" t="s">
        <v>20</v>
      </c>
      <c r="F775" s="34" t="str">
        <f>+IF('Fiche info Avenant 8'!$BY$10=0,"",'Fiche info Avenant 8'!$BY$10)</f>
        <v/>
      </c>
      <c r="G775" s="16">
        <f t="shared" si="164"/>
        <v>0</v>
      </c>
      <c r="BX775" s="16" t="str">
        <f t="shared" si="165"/>
        <v>Fiche info Avenant 8G4</v>
      </c>
      <c r="BY775" s="431">
        <f>'Fiche info Avenant 8'!$BP$10</f>
        <v>0</v>
      </c>
      <c r="BZ775" s="431">
        <f>'Fiche info Avenant 8'!$BQ$10</f>
        <v>0</v>
      </c>
      <c r="CA775" s="431">
        <f>'Fiche info Avenant 8'!$BR$10</f>
        <v>0</v>
      </c>
      <c r="CB775" s="431">
        <f>'Fiche info Avenant 8'!$BS$10</f>
        <v>0</v>
      </c>
      <c r="CC775" s="431">
        <f>'Fiche info Avenant 8'!$BT$10</f>
        <v>0</v>
      </c>
      <c r="CD775" s="431">
        <f>'Fiche info Avenant 8'!$BU$10</f>
        <v>0</v>
      </c>
      <c r="CE775" s="431">
        <f>'Fiche info Avenant 8'!$BV$10</f>
        <v>0</v>
      </c>
      <c r="CF775" s="431">
        <f>'Fiche info Avenant 8'!$BW$10</f>
        <v>0</v>
      </c>
      <c r="ED775" s="16" t="str">
        <f t="shared" si="158"/>
        <v>Fiche info Avenant 8G</v>
      </c>
      <c r="EE775" s="16" t="str">
        <f t="shared" si="159"/>
        <v>Fiche info Avenant 8</v>
      </c>
      <c r="EF775" s="16" t="str">
        <f t="shared" si="160"/>
        <v>G</v>
      </c>
      <c r="EG775" s="16">
        <f t="shared" si="161"/>
        <v>4</v>
      </c>
      <c r="EH775" s="16" t="str">
        <f t="shared" si="162"/>
        <v>Jeudi</v>
      </c>
      <c r="EI775" s="16" t="str">
        <f t="shared" si="163"/>
        <v/>
      </c>
    </row>
    <row r="776" spans="1:139" x14ac:dyDescent="0.2">
      <c r="A776" s="16" t="str">
        <f t="shared" si="156"/>
        <v>Fiche info Avenant 8G5</v>
      </c>
      <c r="B776" s="16" t="str">
        <f t="shared" si="157"/>
        <v>Fiche info Avenant 8</v>
      </c>
      <c r="C776" s="27" t="s">
        <v>236</v>
      </c>
      <c r="D776" s="27">
        <v>5</v>
      </c>
      <c r="E776" s="16" t="s">
        <v>21</v>
      </c>
      <c r="F776" s="34" t="str">
        <f>+IF('Fiche info Avenant 8'!$BY$11=0,"",'Fiche info Avenant 8'!$BY$11)</f>
        <v/>
      </c>
      <c r="G776" s="16">
        <f t="shared" si="164"/>
        <v>0</v>
      </c>
      <c r="BX776" s="16" t="str">
        <f t="shared" si="165"/>
        <v>Fiche info Avenant 8G5</v>
      </c>
      <c r="BY776" s="431">
        <f>'Fiche info Avenant 8'!$BP$11</f>
        <v>0</v>
      </c>
      <c r="BZ776" s="431">
        <f>'Fiche info Avenant 8'!$BQ$11</f>
        <v>0</v>
      </c>
      <c r="CA776" s="431">
        <f>'Fiche info Avenant 8'!$BR$11</f>
        <v>0</v>
      </c>
      <c r="CB776" s="431">
        <f>'Fiche info Avenant 8'!$BS$11</f>
        <v>0</v>
      </c>
      <c r="CC776" s="431">
        <f>'Fiche info Avenant 8'!$BT$11</f>
        <v>0</v>
      </c>
      <c r="CD776" s="431">
        <f>'Fiche info Avenant 8'!$BU$11</f>
        <v>0</v>
      </c>
      <c r="CE776" s="431">
        <f>'Fiche info Avenant 8'!$BV$11</f>
        <v>0</v>
      </c>
      <c r="CF776" s="431">
        <f>'Fiche info Avenant 8'!$BW$11</f>
        <v>0</v>
      </c>
      <c r="ED776" s="16" t="str">
        <f t="shared" si="158"/>
        <v>Fiche info Avenant 8G</v>
      </c>
      <c r="EE776" s="16" t="str">
        <f t="shared" si="159"/>
        <v>Fiche info Avenant 8</v>
      </c>
      <c r="EF776" s="16" t="str">
        <f t="shared" si="160"/>
        <v>G</v>
      </c>
      <c r="EG776" s="16">
        <f t="shared" si="161"/>
        <v>5</v>
      </c>
      <c r="EH776" s="16" t="str">
        <f t="shared" si="162"/>
        <v>Vendredi</v>
      </c>
      <c r="EI776" s="16" t="str">
        <f t="shared" si="163"/>
        <v/>
      </c>
    </row>
    <row r="777" spans="1:139" x14ac:dyDescent="0.2">
      <c r="A777" s="16" t="str">
        <f t="shared" si="156"/>
        <v>Fiche info Avenant 8G6</v>
      </c>
      <c r="B777" s="16" t="str">
        <f t="shared" si="157"/>
        <v>Fiche info Avenant 8</v>
      </c>
      <c r="C777" s="27" t="s">
        <v>236</v>
      </c>
      <c r="D777" s="27">
        <v>6</v>
      </c>
      <c r="E777" s="16" t="s">
        <v>184</v>
      </c>
      <c r="F777" s="34" t="str">
        <f>+IF('Fiche info Avenant 8'!$BY$12=0,"",'Fiche info Avenant 8'!$BY$12)</f>
        <v/>
      </c>
      <c r="G777" s="16">
        <f t="shared" si="164"/>
        <v>0</v>
      </c>
      <c r="BX777" s="16" t="str">
        <f t="shared" si="165"/>
        <v>Fiche info Avenant 8G6</v>
      </c>
      <c r="BY777" s="431">
        <f>'Fiche info Avenant 8'!$BP$12</f>
        <v>0</v>
      </c>
      <c r="BZ777" s="431">
        <f>'Fiche info Avenant 8'!$BQ$12</f>
        <v>0</v>
      </c>
      <c r="CA777" s="431">
        <f>'Fiche info Avenant 8'!$BR$12</f>
        <v>0</v>
      </c>
      <c r="CB777" s="431">
        <f>'Fiche info Avenant 8'!$BS$12</f>
        <v>0</v>
      </c>
      <c r="CC777" s="431">
        <f>'Fiche info Avenant 8'!$BT$12</f>
        <v>0</v>
      </c>
      <c r="CD777" s="431">
        <f>'Fiche info Avenant 8'!$BU$12</f>
        <v>0</v>
      </c>
      <c r="CE777" s="431">
        <f>'Fiche info Avenant 8'!$BV$12</f>
        <v>0</v>
      </c>
      <c r="CF777" s="431">
        <f>'Fiche info Avenant 8'!$BW$12</f>
        <v>0</v>
      </c>
      <c r="ED777" s="16" t="str">
        <f t="shared" si="158"/>
        <v>Fiche info Avenant 8G</v>
      </c>
      <c r="EE777" s="16" t="str">
        <f t="shared" si="159"/>
        <v>Fiche info Avenant 8</v>
      </c>
      <c r="EF777" s="16" t="str">
        <f t="shared" si="160"/>
        <v>G</v>
      </c>
      <c r="EG777" s="16">
        <f t="shared" si="161"/>
        <v>6</v>
      </c>
      <c r="EH777" s="16" t="str">
        <f t="shared" si="162"/>
        <v>Samedi</v>
      </c>
      <c r="EI777" s="16" t="str">
        <f t="shared" si="163"/>
        <v/>
      </c>
    </row>
    <row r="778" spans="1:139" x14ac:dyDescent="0.2">
      <c r="A778" s="16" t="str">
        <f t="shared" si="156"/>
        <v>Fiche info Avenant 8G7</v>
      </c>
      <c r="B778" s="16" t="str">
        <f t="shared" si="157"/>
        <v>Fiche info Avenant 8</v>
      </c>
      <c r="C778" s="27" t="s">
        <v>236</v>
      </c>
      <c r="D778" s="27">
        <v>7</v>
      </c>
      <c r="E778" s="16" t="s">
        <v>185</v>
      </c>
      <c r="F778" s="34" t="str">
        <f>+IF('Fiche info Avenant 8'!$BY$13=0,"",'Fiche info Avenant 8'!$BY$13)</f>
        <v/>
      </c>
      <c r="G778" s="16">
        <f t="shared" si="164"/>
        <v>0</v>
      </c>
      <c r="BX778" s="16" t="str">
        <f t="shared" si="165"/>
        <v>Fiche info Avenant 8G7</v>
      </c>
      <c r="BY778" s="431">
        <f>'Fiche info Avenant 8'!$BP$13</f>
        <v>0</v>
      </c>
      <c r="BZ778" s="431">
        <f>'Fiche info Avenant 8'!$BQ$13</f>
        <v>0</v>
      </c>
      <c r="CA778" s="431">
        <f>'Fiche info Avenant 8'!$BR$13</f>
        <v>0</v>
      </c>
      <c r="CB778" s="431">
        <f>'Fiche info Avenant 8'!$BS$13</f>
        <v>0</v>
      </c>
      <c r="CC778" s="431">
        <f>'Fiche info Avenant 8'!$BT$13</f>
        <v>0</v>
      </c>
      <c r="CD778" s="431">
        <f>'Fiche info Avenant 8'!$BU$13</f>
        <v>0</v>
      </c>
      <c r="CE778" s="431">
        <f>'Fiche info Avenant 8'!$BV$13</f>
        <v>0</v>
      </c>
      <c r="CF778" s="431">
        <f>'Fiche info Avenant 8'!$BW$13</f>
        <v>0</v>
      </c>
      <c r="ED778" s="16" t="str">
        <f t="shared" si="158"/>
        <v>Fiche info Avenant 8G</v>
      </c>
      <c r="EE778" s="16" t="str">
        <f t="shared" si="159"/>
        <v>Fiche info Avenant 8</v>
      </c>
      <c r="EF778" s="16" t="str">
        <f t="shared" si="160"/>
        <v>G</v>
      </c>
      <c r="EG778" s="16">
        <f t="shared" si="161"/>
        <v>7</v>
      </c>
      <c r="EH778" s="16" t="str">
        <f t="shared" si="162"/>
        <v>Dimanche</v>
      </c>
      <c r="EI778" s="16" t="str">
        <f t="shared" si="163"/>
        <v/>
      </c>
    </row>
    <row r="779" spans="1:139" x14ac:dyDescent="0.2">
      <c r="A779" s="16" t="str">
        <f t="shared" si="156"/>
        <v>Fiche info Avenant 8H1</v>
      </c>
      <c r="B779" s="16" t="str">
        <f t="shared" si="157"/>
        <v>Fiche info Avenant 8</v>
      </c>
      <c r="C779" s="27" t="s">
        <v>237</v>
      </c>
      <c r="D779" s="27">
        <v>1</v>
      </c>
      <c r="E779" s="16" t="s">
        <v>17</v>
      </c>
      <c r="F779" s="34" t="str">
        <f>+IF('Fiche info Avenant 8'!$CJ$7=0,"",'Fiche info Avenant 8'!$CJ$7)</f>
        <v/>
      </c>
      <c r="G779" s="16">
        <f t="shared" si="164"/>
        <v>0</v>
      </c>
      <c r="BX779" s="16" t="str">
        <f t="shared" si="165"/>
        <v>Fiche info Avenant 8H1</v>
      </c>
      <c r="BY779" s="431">
        <f>'Fiche info Avenant 8'!$CA$7</f>
        <v>0</v>
      </c>
      <c r="BZ779" s="431">
        <f>'Fiche info Avenant 8'!$CB$7</f>
        <v>0</v>
      </c>
      <c r="CA779" s="431">
        <f>'Fiche info Avenant 8'!$CC$7</f>
        <v>0</v>
      </c>
      <c r="CB779" s="431">
        <f>'Fiche info Avenant 8'!$CD$7</f>
        <v>0</v>
      </c>
      <c r="CC779" s="431">
        <f>'Fiche info Avenant 8'!$CE$7</f>
        <v>0</v>
      </c>
      <c r="CD779" s="431">
        <f>'Fiche info Avenant 8'!$CF$7</f>
        <v>0</v>
      </c>
      <c r="CE779" s="431">
        <f>'Fiche info Avenant 8'!$CG$7</f>
        <v>0</v>
      </c>
      <c r="CF779" s="431">
        <f>'Fiche info Avenant 8'!$CH$7</f>
        <v>0</v>
      </c>
      <c r="ED779" s="16" t="str">
        <f t="shared" si="158"/>
        <v>Fiche info Avenant 8H</v>
      </c>
      <c r="EE779" s="16" t="str">
        <f t="shared" si="159"/>
        <v>Fiche info Avenant 8</v>
      </c>
      <c r="EF779" s="16" t="str">
        <f t="shared" si="160"/>
        <v>H</v>
      </c>
      <c r="EG779" s="16">
        <f t="shared" si="161"/>
        <v>1</v>
      </c>
      <c r="EH779" s="16" t="str">
        <f t="shared" si="162"/>
        <v>Lundi</v>
      </c>
      <c r="EI779" s="16" t="str">
        <f t="shared" si="163"/>
        <v/>
      </c>
    </row>
    <row r="780" spans="1:139" x14ac:dyDescent="0.2">
      <c r="A780" s="16" t="str">
        <f t="shared" si="156"/>
        <v>Fiche info Avenant 8H2</v>
      </c>
      <c r="B780" s="16" t="str">
        <f t="shared" si="157"/>
        <v>Fiche info Avenant 8</v>
      </c>
      <c r="C780" s="27" t="s">
        <v>237</v>
      </c>
      <c r="D780" s="27">
        <v>2</v>
      </c>
      <c r="E780" s="16" t="s">
        <v>18</v>
      </c>
      <c r="F780" s="34" t="str">
        <f>+IF('Fiche info Avenant 8'!$CJ$8=0,"",'Fiche info Avenant 8'!$CJ$8)</f>
        <v/>
      </c>
      <c r="G780" s="16">
        <f t="shared" si="164"/>
        <v>0</v>
      </c>
      <c r="BX780" s="16" t="str">
        <f t="shared" si="165"/>
        <v>Fiche info Avenant 8H2</v>
      </c>
      <c r="BY780" s="431">
        <f>'Fiche info Avenant 8'!$CA$8</f>
        <v>0</v>
      </c>
      <c r="BZ780" s="431">
        <f>'Fiche info Avenant 8'!$CB$8</f>
        <v>0</v>
      </c>
      <c r="CA780" s="431">
        <f>'Fiche info Avenant 8'!$CC$8</f>
        <v>0</v>
      </c>
      <c r="CB780" s="431">
        <f>'Fiche info Avenant 8'!$CD$8</f>
        <v>0</v>
      </c>
      <c r="CC780" s="431">
        <f>'Fiche info Avenant 8'!$CE$8</f>
        <v>0</v>
      </c>
      <c r="CD780" s="431">
        <f>'Fiche info Avenant 8'!$CF$8</f>
        <v>0</v>
      </c>
      <c r="CE780" s="431">
        <f>'Fiche info Avenant 8'!$CG$8</f>
        <v>0</v>
      </c>
      <c r="CF780" s="431">
        <f>'Fiche info Avenant 8'!$CH$8</f>
        <v>0</v>
      </c>
      <c r="ED780" s="16" t="str">
        <f t="shared" si="158"/>
        <v>Fiche info Avenant 8H</v>
      </c>
      <c r="EE780" s="16" t="str">
        <f t="shared" si="159"/>
        <v>Fiche info Avenant 8</v>
      </c>
      <c r="EF780" s="16" t="str">
        <f t="shared" si="160"/>
        <v>H</v>
      </c>
      <c r="EG780" s="16">
        <f t="shared" si="161"/>
        <v>2</v>
      </c>
      <c r="EH780" s="16" t="str">
        <f t="shared" si="162"/>
        <v>Mardi</v>
      </c>
      <c r="EI780" s="16" t="str">
        <f t="shared" si="163"/>
        <v/>
      </c>
    </row>
    <row r="781" spans="1:139" x14ac:dyDescent="0.2">
      <c r="A781" s="16" t="str">
        <f t="shared" si="156"/>
        <v>Fiche info Avenant 8H3</v>
      </c>
      <c r="B781" s="16" t="str">
        <f t="shared" si="157"/>
        <v>Fiche info Avenant 8</v>
      </c>
      <c r="C781" s="27" t="s">
        <v>237</v>
      </c>
      <c r="D781" s="27">
        <v>3</v>
      </c>
      <c r="E781" s="16" t="s">
        <v>19</v>
      </c>
      <c r="F781" s="34" t="str">
        <f>+IF('Fiche info Avenant 8'!$CJ$9=0,"",'Fiche info Avenant 8'!$CJ$9)</f>
        <v/>
      </c>
      <c r="G781" s="16">
        <f t="shared" si="164"/>
        <v>0</v>
      </c>
      <c r="BX781" s="16" t="str">
        <f t="shared" si="165"/>
        <v>Fiche info Avenant 8H3</v>
      </c>
      <c r="BY781" s="431">
        <f>'Fiche info Avenant 8'!$CA$9</f>
        <v>0</v>
      </c>
      <c r="BZ781" s="431">
        <f>'Fiche info Avenant 8'!$CB$9</f>
        <v>0</v>
      </c>
      <c r="CA781" s="431">
        <f>'Fiche info Avenant 8'!$CC$9</f>
        <v>0</v>
      </c>
      <c r="CB781" s="431">
        <f>'Fiche info Avenant 8'!$CD$9</f>
        <v>0</v>
      </c>
      <c r="CC781" s="431">
        <f>'Fiche info Avenant 8'!$CE$9</f>
        <v>0</v>
      </c>
      <c r="CD781" s="431">
        <f>'Fiche info Avenant 8'!$CF$9</f>
        <v>0</v>
      </c>
      <c r="CE781" s="431">
        <f>'Fiche info Avenant 8'!$CG$9</f>
        <v>0</v>
      </c>
      <c r="CF781" s="431">
        <f>'Fiche info Avenant 8'!$CH$9</f>
        <v>0</v>
      </c>
      <c r="ED781" s="16" t="str">
        <f t="shared" si="158"/>
        <v>Fiche info Avenant 8H</v>
      </c>
      <c r="EE781" s="16" t="str">
        <f t="shared" si="159"/>
        <v>Fiche info Avenant 8</v>
      </c>
      <c r="EF781" s="16" t="str">
        <f t="shared" si="160"/>
        <v>H</v>
      </c>
      <c r="EG781" s="16">
        <f t="shared" si="161"/>
        <v>3</v>
      </c>
      <c r="EH781" s="16" t="str">
        <f t="shared" si="162"/>
        <v>Mercredi</v>
      </c>
      <c r="EI781" s="16" t="str">
        <f t="shared" si="163"/>
        <v/>
      </c>
    </row>
    <row r="782" spans="1:139" x14ac:dyDescent="0.2">
      <c r="A782" s="16" t="str">
        <f t="shared" si="156"/>
        <v>Fiche info Avenant 8H4</v>
      </c>
      <c r="B782" s="16" t="str">
        <f t="shared" si="157"/>
        <v>Fiche info Avenant 8</v>
      </c>
      <c r="C782" s="27" t="s">
        <v>237</v>
      </c>
      <c r="D782" s="27">
        <v>4</v>
      </c>
      <c r="E782" s="16" t="s">
        <v>20</v>
      </c>
      <c r="F782" s="34" t="str">
        <f>+IF('Fiche info Avenant 8'!$CJ$10=0,"",'Fiche info Avenant 8'!$CJ$10)</f>
        <v/>
      </c>
      <c r="G782" s="16">
        <f t="shared" si="164"/>
        <v>0</v>
      </c>
      <c r="BX782" s="16" t="str">
        <f t="shared" si="165"/>
        <v>Fiche info Avenant 8H4</v>
      </c>
      <c r="BY782" s="431">
        <f>'Fiche info Avenant 8'!$CA$10</f>
        <v>0</v>
      </c>
      <c r="BZ782" s="431">
        <f>'Fiche info Avenant 8'!$CB$10</f>
        <v>0</v>
      </c>
      <c r="CA782" s="431">
        <f>'Fiche info Avenant 8'!$CC$10</f>
        <v>0</v>
      </c>
      <c r="CB782" s="431">
        <f>'Fiche info Avenant 8'!$CD$10</f>
        <v>0</v>
      </c>
      <c r="CC782" s="431">
        <f>'Fiche info Avenant 8'!$CE$10</f>
        <v>0</v>
      </c>
      <c r="CD782" s="431">
        <f>'Fiche info Avenant 8'!$CF$10</f>
        <v>0</v>
      </c>
      <c r="CE782" s="431">
        <f>'Fiche info Avenant 8'!$CG$10</f>
        <v>0</v>
      </c>
      <c r="CF782" s="431">
        <f>'Fiche info Avenant 8'!$CH$10</f>
        <v>0</v>
      </c>
      <c r="ED782" s="16" t="str">
        <f t="shared" si="158"/>
        <v>Fiche info Avenant 8H</v>
      </c>
      <c r="EE782" s="16" t="str">
        <f t="shared" si="159"/>
        <v>Fiche info Avenant 8</v>
      </c>
      <c r="EF782" s="16" t="str">
        <f t="shared" si="160"/>
        <v>H</v>
      </c>
      <c r="EG782" s="16">
        <f t="shared" si="161"/>
        <v>4</v>
      </c>
      <c r="EH782" s="16" t="str">
        <f t="shared" si="162"/>
        <v>Jeudi</v>
      </c>
      <c r="EI782" s="16" t="str">
        <f t="shared" si="163"/>
        <v/>
      </c>
    </row>
    <row r="783" spans="1:139" x14ac:dyDescent="0.2">
      <c r="A783" s="16" t="str">
        <f t="shared" si="156"/>
        <v>Fiche info Avenant 8H5</v>
      </c>
      <c r="B783" s="16" t="str">
        <f t="shared" si="157"/>
        <v>Fiche info Avenant 8</v>
      </c>
      <c r="C783" s="27" t="s">
        <v>237</v>
      </c>
      <c r="D783" s="27">
        <v>5</v>
      </c>
      <c r="E783" s="16" t="s">
        <v>21</v>
      </c>
      <c r="F783" s="34" t="str">
        <f>+IF('Fiche info Avenant 8'!$CJ$11=0,"",'Fiche info Avenant 8'!$CJ$11)</f>
        <v/>
      </c>
      <c r="G783" s="16">
        <f t="shared" si="164"/>
        <v>0</v>
      </c>
      <c r="BX783" s="16" t="str">
        <f t="shared" si="165"/>
        <v>Fiche info Avenant 8H5</v>
      </c>
      <c r="BY783" s="431">
        <f>'Fiche info Avenant 8'!$CA$11</f>
        <v>0</v>
      </c>
      <c r="BZ783" s="431">
        <f>'Fiche info Avenant 8'!$CB$11</f>
        <v>0</v>
      </c>
      <c r="CA783" s="431">
        <f>'Fiche info Avenant 8'!$CC$11</f>
        <v>0</v>
      </c>
      <c r="CB783" s="431">
        <f>'Fiche info Avenant 8'!$CD$11</f>
        <v>0</v>
      </c>
      <c r="CC783" s="431">
        <f>'Fiche info Avenant 8'!$CE$11</f>
        <v>0</v>
      </c>
      <c r="CD783" s="431">
        <f>'Fiche info Avenant 8'!$CF$11</f>
        <v>0</v>
      </c>
      <c r="CE783" s="431">
        <f>'Fiche info Avenant 8'!$CG$11</f>
        <v>0</v>
      </c>
      <c r="CF783" s="431">
        <f>'Fiche info Avenant 8'!$CH$11</f>
        <v>0</v>
      </c>
      <c r="ED783" s="16" t="str">
        <f t="shared" si="158"/>
        <v>Fiche info Avenant 8H</v>
      </c>
      <c r="EE783" s="16" t="str">
        <f t="shared" si="159"/>
        <v>Fiche info Avenant 8</v>
      </c>
      <c r="EF783" s="16" t="str">
        <f t="shared" si="160"/>
        <v>H</v>
      </c>
      <c r="EG783" s="16">
        <f t="shared" si="161"/>
        <v>5</v>
      </c>
      <c r="EH783" s="16" t="str">
        <f t="shared" si="162"/>
        <v>Vendredi</v>
      </c>
      <c r="EI783" s="16" t="str">
        <f t="shared" si="163"/>
        <v/>
      </c>
    </row>
    <row r="784" spans="1:139" x14ac:dyDescent="0.2">
      <c r="A784" s="16" t="str">
        <f t="shared" si="156"/>
        <v>Fiche info Avenant 8H6</v>
      </c>
      <c r="B784" s="16" t="str">
        <f t="shared" si="157"/>
        <v>Fiche info Avenant 8</v>
      </c>
      <c r="C784" s="27" t="s">
        <v>237</v>
      </c>
      <c r="D784" s="27">
        <v>6</v>
      </c>
      <c r="E784" s="16" t="s">
        <v>184</v>
      </c>
      <c r="F784" s="34" t="str">
        <f>+IF('Fiche info Avenant 8'!$CJ$12=0,"",'Fiche info Avenant 8'!$CJ$12)</f>
        <v/>
      </c>
      <c r="G784" s="16">
        <f t="shared" si="164"/>
        <v>0</v>
      </c>
      <c r="BX784" s="16" t="str">
        <f t="shared" si="165"/>
        <v>Fiche info Avenant 8H6</v>
      </c>
      <c r="BY784" s="431">
        <f>'Fiche info Avenant 8'!$CA$12</f>
        <v>0</v>
      </c>
      <c r="BZ784" s="431">
        <f>'Fiche info Avenant 8'!$CB$12</f>
        <v>0</v>
      </c>
      <c r="CA784" s="431">
        <f>'Fiche info Avenant 8'!$CC$12</f>
        <v>0</v>
      </c>
      <c r="CB784" s="431">
        <f>'Fiche info Avenant 8'!$CD$12</f>
        <v>0</v>
      </c>
      <c r="CC784" s="431">
        <f>'Fiche info Avenant 8'!$CE$12</f>
        <v>0</v>
      </c>
      <c r="CD784" s="431">
        <f>'Fiche info Avenant 8'!$CF$12</f>
        <v>0</v>
      </c>
      <c r="CE784" s="431">
        <f>'Fiche info Avenant 8'!$CG$12</f>
        <v>0</v>
      </c>
      <c r="CF784" s="431">
        <f>'Fiche info Avenant 8'!$CH$12</f>
        <v>0</v>
      </c>
      <c r="ED784" s="16" t="str">
        <f t="shared" si="158"/>
        <v>Fiche info Avenant 8H</v>
      </c>
      <c r="EE784" s="16" t="str">
        <f t="shared" si="159"/>
        <v>Fiche info Avenant 8</v>
      </c>
      <c r="EF784" s="16" t="str">
        <f t="shared" si="160"/>
        <v>H</v>
      </c>
      <c r="EG784" s="16">
        <f t="shared" si="161"/>
        <v>6</v>
      </c>
      <c r="EH784" s="16" t="str">
        <f t="shared" si="162"/>
        <v>Samedi</v>
      </c>
      <c r="EI784" s="16" t="str">
        <f t="shared" si="163"/>
        <v/>
      </c>
    </row>
    <row r="785" spans="1:139" x14ac:dyDescent="0.2">
      <c r="A785" s="16" t="str">
        <f t="shared" si="156"/>
        <v>Fiche info Avenant 8H7</v>
      </c>
      <c r="B785" s="16" t="str">
        <f t="shared" si="157"/>
        <v>Fiche info Avenant 8</v>
      </c>
      <c r="C785" s="27" t="s">
        <v>237</v>
      </c>
      <c r="D785" s="27">
        <v>7</v>
      </c>
      <c r="E785" s="16" t="s">
        <v>185</v>
      </c>
      <c r="F785" s="34" t="str">
        <f>+IF('Fiche info'!$CJ$13=0,"",'Fiche info'!$CJ$13)</f>
        <v/>
      </c>
      <c r="G785" s="16">
        <f t="shared" si="164"/>
        <v>0</v>
      </c>
      <c r="BX785" s="16" t="str">
        <f t="shared" si="165"/>
        <v>Fiche info Avenant 8H7</v>
      </c>
      <c r="BY785" s="431">
        <f>'Fiche info Avenant 8'!$CA$13</f>
        <v>0</v>
      </c>
      <c r="BZ785" s="431">
        <f>'Fiche info Avenant 8'!$CB$13</f>
        <v>0</v>
      </c>
      <c r="CA785" s="431">
        <f>'Fiche info Avenant 8'!$CC$13</f>
        <v>0</v>
      </c>
      <c r="CB785" s="431">
        <f>'Fiche info Avenant 8'!$CD$13</f>
        <v>0</v>
      </c>
      <c r="CC785" s="431">
        <f>'Fiche info Avenant 8'!$CE$13</f>
        <v>0</v>
      </c>
      <c r="CD785" s="431">
        <f>'Fiche info Avenant 8'!$CF$13</f>
        <v>0</v>
      </c>
      <c r="CE785" s="431">
        <f>'Fiche info Avenant 8'!$CG$13</f>
        <v>0</v>
      </c>
      <c r="CF785" s="431">
        <f>'Fiche info Avenant 8'!$CH$13</f>
        <v>0</v>
      </c>
      <c r="ED785" s="16" t="str">
        <f t="shared" si="158"/>
        <v>Fiche info Avenant 8H</v>
      </c>
      <c r="EE785" s="16" t="str">
        <f t="shared" si="159"/>
        <v>Fiche info Avenant 8</v>
      </c>
      <c r="EF785" s="16" t="str">
        <f t="shared" si="160"/>
        <v>H</v>
      </c>
      <c r="EG785" s="16">
        <f t="shared" si="161"/>
        <v>7</v>
      </c>
      <c r="EH785" s="16" t="str">
        <f t="shared" si="162"/>
        <v>Dimanche</v>
      </c>
      <c r="EI785" s="16" t="str">
        <f t="shared" si="163"/>
        <v/>
      </c>
    </row>
    <row r="786" spans="1:139" x14ac:dyDescent="0.2">
      <c r="A786" s="16" t="str">
        <f t="shared" si="156"/>
        <v>Fiche info Avenant 9A1</v>
      </c>
      <c r="B786" s="16" t="str">
        <f>+$P$16</f>
        <v>Fiche info Avenant 9</v>
      </c>
      <c r="C786" s="27" t="s">
        <v>226</v>
      </c>
      <c r="D786" s="27">
        <v>1</v>
      </c>
      <c r="E786" s="16" t="s">
        <v>17</v>
      </c>
      <c r="F786" s="34" t="str">
        <f>IF('Fiche info Avenant 9'!$K$7=0,"",'Fiche info Avenant 9'!$K$7)</f>
        <v/>
      </c>
      <c r="G786" s="16">
        <f t="shared" si="164"/>
        <v>0</v>
      </c>
      <c r="BX786" s="16" t="str">
        <f t="shared" si="165"/>
        <v>Fiche info Avenant 9A1</v>
      </c>
      <c r="BY786" s="431">
        <f>'Fiche info Avenant 9'!$B$7</f>
        <v>0</v>
      </c>
      <c r="BZ786" s="431">
        <f>'Fiche info Avenant 9'!$C$7</f>
        <v>0</v>
      </c>
      <c r="CA786" s="431">
        <f>'Fiche info Avenant 9'!$D$7</f>
        <v>0</v>
      </c>
      <c r="CB786" s="431">
        <f>'Fiche info Avenant 9'!$E$7</f>
        <v>0</v>
      </c>
      <c r="CC786" s="431">
        <f>'Fiche info Avenant 9'!$F$7</f>
        <v>0</v>
      </c>
      <c r="CD786" s="431">
        <f>'Fiche info Avenant 9'!$G$7</f>
        <v>0</v>
      </c>
      <c r="CE786" s="431">
        <f>'Fiche info Avenant 9'!$H$7</f>
        <v>0</v>
      </c>
      <c r="CF786" s="431">
        <f>'Fiche info Avenant 9'!$I$7</f>
        <v>0</v>
      </c>
      <c r="ED786" s="16" t="str">
        <f t="shared" si="158"/>
        <v>Fiche info Avenant 9A</v>
      </c>
      <c r="EE786" s="16" t="str">
        <f t="shared" si="159"/>
        <v>Fiche info Avenant 9</v>
      </c>
      <c r="EF786" s="16" t="str">
        <f t="shared" si="160"/>
        <v>A</v>
      </c>
      <c r="EG786" s="16">
        <f t="shared" si="161"/>
        <v>1</v>
      </c>
      <c r="EH786" s="16" t="str">
        <f t="shared" si="162"/>
        <v>Lundi</v>
      </c>
      <c r="EI786" s="16" t="str">
        <f t="shared" si="163"/>
        <v/>
      </c>
    </row>
    <row r="787" spans="1:139" x14ac:dyDescent="0.2">
      <c r="A787" s="16" t="str">
        <f t="shared" ref="A787:A842" si="166">+B787&amp;C787&amp;D787</f>
        <v>Fiche info Avenant 9A2</v>
      </c>
      <c r="B787" s="16" t="str">
        <f t="shared" ref="B787:B841" si="167">+$P$16</f>
        <v>Fiche info Avenant 9</v>
      </c>
      <c r="C787" s="27" t="s">
        <v>226</v>
      </c>
      <c r="D787" s="27">
        <v>2</v>
      </c>
      <c r="E787" s="16" t="s">
        <v>18</v>
      </c>
      <c r="F787" s="34" t="str">
        <f>IF('Fiche info Avenant 9'!$K$8=0,"",'Fiche info Avenant 9'!$K$8)</f>
        <v/>
      </c>
      <c r="G787" s="16">
        <f t="shared" si="164"/>
        <v>0</v>
      </c>
      <c r="BX787" s="16" t="str">
        <f t="shared" si="165"/>
        <v>Fiche info Avenant 9A2</v>
      </c>
      <c r="BY787" s="431">
        <f>'Fiche info Avenant 9'!$B$8</f>
        <v>0</v>
      </c>
      <c r="BZ787" s="431">
        <f>'Fiche info Avenant 9'!$C$8</f>
        <v>0</v>
      </c>
      <c r="CA787" s="431">
        <f>'Fiche info Avenant 9'!$D$8</f>
        <v>0</v>
      </c>
      <c r="CB787" s="431">
        <f>'Fiche info Avenant 9'!$E$8</f>
        <v>0</v>
      </c>
      <c r="CC787" s="431">
        <f>'Fiche info Avenant 9'!$F$8</f>
        <v>0</v>
      </c>
      <c r="CD787" s="431">
        <f>'Fiche info Avenant 9'!$G$8</f>
        <v>0</v>
      </c>
      <c r="CE787" s="431">
        <f>'Fiche info Avenant 9'!$H$8</f>
        <v>0</v>
      </c>
      <c r="CF787" s="431">
        <f>'Fiche info Avenant 9'!$I$8</f>
        <v>0</v>
      </c>
      <c r="ED787" s="16" t="str">
        <f t="shared" si="158"/>
        <v>Fiche info Avenant 9A</v>
      </c>
      <c r="EE787" s="16" t="str">
        <f t="shared" si="159"/>
        <v>Fiche info Avenant 9</v>
      </c>
      <c r="EF787" s="16" t="str">
        <f t="shared" si="160"/>
        <v>A</v>
      </c>
      <c r="EG787" s="16">
        <f t="shared" si="161"/>
        <v>2</v>
      </c>
      <c r="EH787" s="16" t="str">
        <f t="shared" si="162"/>
        <v>Mardi</v>
      </c>
      <c r="EI787" s="16" t="str">
        <f t="shared" si="163"/>
        <v/>
      </c>
    </row>
    <row r="788" spans="1:139" x14ac:dyDescent="0.2">
      <c r="A788" s="16" t="str">
        <f t="shared" si="166"/>
        <v>Fiche info Avenant 9A3</v>
      </c>
      <c r="B788" s="16" t="str">
        <f t="shared" si="167"/>
        <v>Fiche info Avenant 9</v>
      </c>
      <c r="C788" s="27" t="s">
        <v>226</v>
      </c>
      <c r="D788" s="27">
        <v>3</v>
      </c>
      <c r="E788" s="16" t="s">
        <v>19</v>
      </c>
      <c r="F788" s="34" t="str">
        <f>IF('Fiche info Avenant 9'!$K$9=0,"",'Fiche info Avenant 9'!$K$9)</f>
        <v/>
      </c>
      <c r="G788" s="16">
        <f t="shared" si="164"/>
        <v>0</v>
      </c>
      <c r="BX788" s="16" t="str">
        <f t="shared" si="165"/>
        <v>Fiche info Avenant 9A3</v>
      </c>
      <c r="BY788" s="431">
        <f>'Fiche info Avenant 9'!$B$9</f>
        <v>0</v>
      </c>
      <c r="BZ788" s="431">
        <f>'Fiche info Avenant 9'!$C$9</f>
        <v>0</v>
      </c>
      <c r="CA788" s="431">
        <f>'Fiche info Avenant 9'!$D$9</f>
        <v>0</v>
      </c>
      <c r="CB788" s="431">
        <f>'Fiche info Avenant 9'!$E$9</f>
        <v>0</v>
      </c>
      <c r="CC788" s="431">
        <f>'Fiche info Avenant 9'!$F$9</f>
        <v>0</v>
      </c>
      <c r="CD788" s="431">
        <f>'Fiche info Avenant 9'!$G$9</f>
        <v>0</v>
      </c>
      <c r="CE788" s="431">
        <f>'Fiche info Avenant 9'!$H$9</f>
        <v>0</v>
      </c>
      <c r="CF788" s="431">
        <f>'Fiche info Avenant 9'!$I$9</f>
        <v>0</v>
      </c>
      <c r="ED788" s="16" t="str">
        <f t="shared" si="158"/>
        <v>Fiche info Avenant 9A</v>
      </c>
      <c r="EE788" s="16" t="str">
        <f t="shared" si="159"/>
        <v>Fiche info Avenant 9</v>
      </c>
      <c r="EF788" s="16" t="str">
        <f t="shared" si="160"/>
        <v>A</v>
      </c>
      <c r="EG788" s="16">
        <f t="shared" si="161"/>
        <v>3</v>
      </c>
      <c r="EH788" s="16" t="str">
        <f t="shared" si="162"/>
        <v>Mercredi</v>
      </c>
      <c r="EI788" s="16" t="str">
        <f t="shared" si="163"/>
        <v/>
      </c>
    </row>
    <row r="789" spans="1:139" x14ac:dyDescent="0.2">
      <c r="A789" s="16" t="str">
        <f t="shared" si="166"/>
        <v>Fiche info Avenant 9A4</v>
      </c>
      <c r="B789" s="16" t="str">
        <f t="shared" si="167"/>
        <v>Fiche info Avenant 9</v>
      </c>
      <c r="C789" s="27" t="s">
        <v>226</v>
      </c>
      <c r="D789" s="27">
        <v>4</v>
      </c>
      <c r="E789" s="16" t="s">
        <v>20</v>
      </c>
      <c r="F789" s="34" t="str">
        <f>IF('Fiche info Avenant 9'!$K$10=0,"",'Fiche info Avenant 9'!$K$10)</f>
        <v/>
      </c>
      <c r="G789" s="16">
        <f t="shared" si="164"/>
        <v>0</v>
      </c>
      <c r="BX789" s="16" t="str">
        <f t="shared" si="165"/>
        <v>Fiche info Avenant 9A4</v>
      </c>
      <c r="BY789" s="431">
        <f>'Fiche info Avenant 9'!$B$10</f>
        <v>0</v>
      </c>
      <c r="BZ789" s="431">
        <f>'Fiche info Avenant 9'!$C$10</f>
        <v>0</v>
      </c>
      <c r="CA789" s="431">
        <f>'Fiche info Avenant 9'!$D$10</f>
        <v>0</v>
      </c>
      <c r="CB789" s="431">
        <f>'Fiche info Avenant 9'!$E$10</f>
        <v>0</v>
      </c>
      <c r="CC789" s="431">
        <f>'Fiche info Avenant 9'!$F$10</f>
        <v>0</v>
      </c>
      <c r="CD789" s="431">
        <f>'Fiche info Avenant 9'!$G$10</f>
        <v>0</v>
      </c>
      <c r="CE789" s="431">
        <f>'Fiche info Avenant 9'!$H$10</f>
        <v>0</v>
      </c>
      <c r="CF789" s="431">
        <f>'Fiche info Avenant 9'!$I$10</f>
        <v>0</v>
      </c>
      <c r="ED789" s="16" t="str">
        <f t="shared" si="158"/>
        <v>Fiche info Avenant 9A</v>
      </c>
      <c r="EE789" s="16" t="str">
        <f t="shared" si="159"/>
        <v>Fiche info Avenant 9</v>
      </c>
      <c r="EF789" s="16" t="str">
        <f t="shared" si="160"/>
        <v>A</v>
      </c>
      <c r="EG789" s="16">
        <f t="shared" si="161"/>
        <v>4</v>
      </c>
      <c r="EH789" s="16" t="str">
        <f t="shared" si="162"/>
        <v>Jeudi</v>
      </c>
      <c r="EI789" s="16" t="str">
        <f t="shared" si="163"/>
        <v/>
      </c>
    </row>
    <row r="790" spans="1:139" x14ac:dyDescent="0.2">
      <c r="A790" s="16" t="str">
        <f t="shared" si="166"/>
        <v>Fiche info Avenant 9A5</v>
      </c>
      <c r="B790" s="16" t="str">
        <f t="shared" si="167"/>
        <v>Fiche info Avenant 9</v>
      </c>
      <c r="C790" s="27" t="s">
        <v>226</v>
      </c>
      <c r="D790" s="27">
        <v>5</v>
      </c>
      <c r="E790" s="16" t="s">
        <v>21</v>
      </c>
      <c r="F790" s="34" t="str">
        <f>IF('Fiche info Avenant 9'!$K$11=0,"",'Fiche info Avenant 9'!$K$11)</f>
        <v/>
      </c>
      <c r="G790" s="16">
        <f t="shared" si="164"/>
        <v>0</v>
      </c>
      <c r="BX790" s="16" t="str">
        <f t="shared" si="165"/>
        <v>Fiche info Avenant 9A5</v>
      </c>
      <c r="BY790" s="431">
        <f>'Fiche info Avenant 9'!$B$11</f>
        <v>0</v>
      </c>
      <c r="BZ790" s="431">
        <f>'Fiche info Avenant 9'!$C$11</f>
        <v>0</v>
      </c>
      <c r="CA790" s="431">
        <f>'Fiche info Avenant 9'!$D$11</f>
        <v>0</v>
      </c>
      <c r="CB790" s="431">
        <f>'Fiche info Avenant 9'!$E$11</f>
        <v>0</v>
      </c>
      <c r="CC790" s="431">
        <f>'Fiche info Avenant 9'!$F$11</f>
        <v>0</v>
      </c>
      <c r="CD790" s="431">
        <f>'Fiche info Avenant 9'!$G$11</f>
        <v>0</v>
      </c>
      <c r="CE790" s="431">
        <f>'Fiche info Avenant 9'!$H$11</f>
        <v>0</v>
      </c>
      <c r="CF790" s="431">
        <f>'Fiche info Avenant 9'!$I$11</f>
        <v>0</v>
      </c>
      <c r="ED790" s="16" t="str">
        <f t="shared" si="158"/>
        <v>Fiche info Avenant 9A</v>
      </c>
      <c r="EE790" s="16" t="str">
        <f t="shared" si="159"/>
        <v>Fiche info Avenant 9</v>
      </c>
      <c r="EF790" s="16" t="str">
        <f t="shared" si="160"/>
        <v>A</v>
      </c>
      <c r="EG790" s="16">
        <f t="shared" si="161"/>
        <v>5</v>
      </c>
      <c r="EH790" s="16" t="str">
        <f t="shared" si="162"/>
        <v>Vendredi</v>
      </c>
      <c r="EI790" s="16" t="str">
        <f t="shared" si="163"/>
        <v/>
      </c>
    </row>
    <row r="791" spans="1:139" x14ac:dyDescent="0.2">
      <c r="A791" s="16" t="str">
        <f t="shared" si="166"/>
        <v>Fiche info Avenant 9A6</v>
      </c>
      <c r="B791" s="16" t="str">
        <f t="shared" si="167"/>
        <v>Fiche info Avenant 9</v>
      </c>
      <c r="C791" s="27" t="s">
        <v>226</v>
      </c>
      <c r="D791" s="27">
        <v>6</v>
      </c>
      <c r="E791" s="16" t="s">
        <v>184</v>
      </c>
      <c r="F791" s="34" t="str">
        <f>IF('Fiche info Avenant 9'!$K$12=0,"",'Fiche info Avenant 9'!$K$12)</f>
        <v/>
      </c>
      <c r="G791" s="16">
        <f t="shared" si="164"/>
        <v>0</v>
      </c>
      <c r="BX791" s="16" t="str">
        <f t="shared" si="165"/>
        <v>Fiche info Avenant 9A6</v>
      </c>
      <c r="BY791" s="431">
        <f>'Fiche info Avenant 9'!$B$12</f>
        <v>0</v>
      </c>
      <c r="BZ791" s="431">
        <f>'Fiche info Avenant 9'!$C$12</f>
        <v>0</v>
      </c>
      <c r="CA791" s="431">
        <f>'Fiche info Avenant 9'!$D$12</f>
        <v>0</v>
      </c>
      <c r="CB791" s="431">
        <f>'Fiche info Avenant 9'!$E$12</f>
        <v>0</v>
      </c>
      <c r="CC791" s="431">
        <f>'Fiche info Avenant 9'!$F$12</f>
        <v>0</v>
      </c>
      <c r="CD791" s="431">
        <f>'Fiche info Avenant 9'!$G$12</f>
        <v>0</v>
      </c>
      <c r="CE791" s="431">
        <f>'Fiche info Avenant 9'!$H$12</f>
        <v>0</v>
      </c>
      <c r="CF791" s="431">
        <f>'Fiche info Avenant 9'!$I$12</f>
        <v>0</v>
      </c>
      <c r="ED791" s="16" t="str">
        <f t="shared" si="158"/>
        <v>Fiche info Avenant 9A</v>
      </c>
      <c r="EE791" s="16" t="str">
        <f t="shared" si="159"/>
        <v>Fiche info Avenant 9</v>
      </c>
      <c r="EF791" s="16" t="str">
        <f t="shared" si="160"/>
        <v>A</v>
      </c>
      <c r="EG791" s="16">
        <f t="shared" si="161"/>
        <v>6</v>
      </c>
      <c r="EH791" s="16" t="str">
        <f t="shared" si="162"/>
        <v>Samedi</v>
      </c>
      <c r="EI791" s="16" t="str">
        <f t="shared" si="163"/>
        <v/>
      </c>
    </row>
    <row r="792" spans="1:139" x14ac:dyDescent="0.2">
      <c r="A792" s="16" t="str">
        <f t="shared" si="166"/>
        <v>Fiche info Avenant 9A7</v>
      </c>
      <c r="B792" s="16" t="str">
        <f t="shared" si="167"/>
        <v>Fiche info Avenant 9</v>
      </c>
      <c r="C792" s="27" t="s">
        <v>226</v>
      </c>
      <c r="D792" s="27">
        <v>7</v>
      </c>
      <c r="E792" s="16" t="s">
        <v>185</v>
      </c>
      <c r="F792" s="34" t="str">
        <f>IF('Fiche info Avenant 9'!$K$13=0,"",'Fiche info Avenant 9'!$K$13)</f>
        <v/>
      </c>
      <c r="G792" s="16">
        <f t="shared" si="164"/>
        <v>0</v>
      </c>
      <c r="BX792" s="16" t="str">
        <f t="shared" si="165"/>
        <v>Fiche info Avenant 9A7</v>
      </c>
      <c r="BY792" s="431">
        <f>'Fiche info Avenant 9'!$B$13</f>
        <v>0</v>
      </c>
      <c r="BZ792" s="431">
        <f>'Fiche info Avenant 9'!$C$13</f>
        <v>0</v>
      </c>
      <c r="CA792" s="431">
        <f>'Fiche info Avenant 9'!$D$13</f>
        <v>0</v>
      </c>
      <c r="CB792" s="431">
        <f>'Fiche info Avenant 9'!$E$13</f>
        <v>0</v>
      </c>
      <c r="CC792" s="431">
        <f>'Fiche info Avenant 9'!$F$13</f>
        <v>0</v>
      </c>
      <c r="CD792" s="431">
        <f>'Fiche info Avenant 9'!$G$13</f>
        <v>0</v>
      </c>
      <c r="CE792" s="431">
        <f>'Fiche info Avenant 9'!$H$13</f>
        <v>0</v>
      </c>
      <c r="CF792" s="431">
        <f>'Fiche info Avenant 9'!$I$13</f>
        <v>0</v>
      </c>
      <c r="ED792" s="16" t="str">
        <f t="shared" si="158"/>
        <v>Fiche info Avenant 9A</v>
      </c>
      <c r="EE792" s="16" t="str">
        <f t="shared" si="159"/>
        <v>Fiche info Avenant 9</v>
      </c>
      <c r="EF792" s="16" t="str">
        <f t="shared" si="160"/>
        <v>A</v>
      </c>
      <c r="EG792" s="16">
        <f t="shared" si="161"/>
        <v>7</v>
      </c>
      <c r="EH792" s="16" t="str">
        <f t="shared" si="162"/>
        <v>Dimanche</v>
      </c>
      <c r="EI792" s="16" t="str">
        <f t="shared" si="163"/>
        <v/>
      </c>
    </row>
    <row r="793" spans="1:139" x14ac:dyDescent="0.2">
      <c r="A793" s="16" t="str">
        <f t="shared" si="166"/>
        <v>Fiche info Avenant 9B1</v>
      </c>
      <c r="B793" s="16" t="str">
        <f t="shared" si="167"/>
        <v>Fiche info Avenant 9</v>
      </c>
      <c r="C793" s="27" t="s">
        <v>227</v>
      </c>
      <c r="D793" s="27">
        <v>1</v>
      </c>
      <c r="E793" s="16" t="s">
        <v>17</v>
      </c>
      <c r="F793" s="34" t="str">
        <f>+IF('Fiche info Avenant 9'!$V$7=0,"",'Fiche info Avenant 9'!$V$7)</f>
        <v/>
      </c>
      <c r="G793" s="16">
        <f t="shared" si="164"/>
        <v>0</v>
      </c>
      <c r="BX793" s="16" t="str">
        <f t="shared" si="165"/>
        <v>Fiche info Avenant 9B1</v>
      </c>
      <c r="BY793" s="431">
        <f>'Fiche info Avenant 9'!$M$7</f>
        <v>0</v>
      </c>
      <c r="BZ793" s="431">
        <f>'Fiche info Avenant 9'!$N$7</f>
        <v>0</v>
      </c>
      <c r="CA793" s="431">
        <f>'Fiche info Avenant 9'!$O$7</f>
        <v>0</v>
      </c>
      <c r="CB793" s="431">
        <f>'Fiche info Avenant 9'!$P$7</f>
        <v>0</v>
      </c>
      <c r="CC793" s="431">
        <f>'Fiche info Avenant 9'!$Q$7</f>
        <v>0</v>
      </c>
      <c r="CD793" s="431">
        <f>'Fiche info Avenant 9'!$R$7</f>
        <v>0</v>
      </c>
      <c r="CE793" s="431">
        <f>'Fiche info Avenant 9'!$S$7</f>
        <v>0</v>
      </c>
      <c r="CF793" s="431">
        <f>'Fiche info Avenant 9'!$T$7</f>
        <v>0</v>
      </c>
      <c r="ED793" s="16" t="str">
        <f t="shared" si="158"/>
        <v>Fiche info Avenant 9B</v>
      </c>
      <c r="EE793" s="16" t="str">
        <f t="shared" si="159"/>
        <v>Fiche info Avenant 9</v>
      </c>
      <c r="EF793" s="16" t="str">
        <f t="shared" si="160"/>
        <v>B</v>
      </c>
      <c r="EG793" s="16">
        <f t="shared" si="161"/>
        <v>1</v>
      </c>
      <c r="EH793" s="16" t="str">
        <f t="shared" si="162"/>
        <v>Lundi</v>
      </c>
      <c r="EI793" s="16" t="str">
        <f t="shared" si="163"/>
        <v/>
      </c>
    </row>
    <row r="794" spans="1:139" x14ac:dyDescent="0.2">
      <c r="A794" s="16" t="str">
        <f t="shared" si="166"/>
        <v>Fiche info Avenant 9B2</v>
      </c>
      <c r="B794" s="16" t="str">
        <f t="shared" si="167"/>
        <v>Fiche info Avenant 9</v>
      </c>
      <c r="C794" s="27" t="s">
        <v>227</v>
      </c>
      <c r="D794" s="27">
        <v>2</v>
      </c>
      <c r="E794" s="16" t="s">
        <v>18</v>
      </c>
      <c r="F794" s="34" t="str">
        <f>+IF('Fiche info Avenant 9'!$V$8=0,"",'Fiche info Avenant 9'!$V$8)</f>
        <v/>
      </c>
      <c r="G794" s="16">
        <f t="shared" si="164"/>
        <v>0</v>
      </c>
      <c r="BX794" s="16" t="str">
        <f t="shared" si="165"/>
        <v>Fiche info Avenant 9B2</v>
      </c>
      <c r="BY794" s="431">
        <f>'Fiche info Avenant 9'!$M$8</f>
        <v>0</v>
      </c>
      <c r="BZ794" s="431">
        <f>'Fiche info Avenant 9'!$N$8</f>
        <v>0</v>
      </c>
      <c r="CA794" s="431">
        <f>'Fiche info Avenant 9'!$O$8</f>
        <v>0</v>
      </c>
      <c r="CB794" s="431">
        <f>'Fiche info Avenant 9'!$P$8</f>
        <v>0</v>
      </c>
      <c r="CC794" s="431">
        <f>'Fiche info Avenant 9'!$Q$8</f>
        <v>0</v>
      </c>
      <c r="CD794" s="431">
        <f>'Fiche info Avenant 9'!$R$8</f>
        <v>0</v>
      </c>
      <c r="CE794" s="431">
        <f>'Fiche info Avenant 9'!$S$8</f>
        <v>0</v>
      </c>
      <c r="CF794" s="431">
        <f>'Fiche info Avenant 9'!$T$8</f>
        <v>0</v>
      </c>
      <c r="ED794" s="16" t="str">
        <f t="shared" si="158"/>
        <v>Fiche info Avenant 9B</v>
      </c>
      <c r="EE794" s="16" t="str">
        <f t="shared" si="159"/>
        <v>Fiche info Avenant 9</v>
      </c>
      <c r="EF794" s="16" t="str">
        <f t="shared" si="160"/>
        <v>B</v>
      </c>
      <c r="EG794" s="16">
        <f t="shared" si="161"/>
        <v>2</v>
      </c>
      <c r="EH794" s="16" t="str">
        <f t="shared" si="162"/>
        <v>Mardi</v>
      </c>
      <c r="EI794" s="16" t="str">
        <f t="shared" si="163"/>
        <v/>
      </c>
    </row>
    <row r="795" spans="1:139" x14ac:dyDescent="0.2">
      <c r="A795" s="16" t="str">
        <f t="shared" si="166"/>
        <v>Fiche info Avenant 9B3</v>
      </c>
      <c r="B795" s="16" t="str">
        <f t="shared" si="167"/>
        <v>Fiche info Avenant 9</v>
      </c>
      <c r="C795" s="27" t="s">
        <v>227</v>
      </c>
      <c r="D795" s="27">
        <v>3</v>
      </c>
      <c r="E795" s="16" t="s">
        <v>19</v>
      </c>
      <c r="F795" s="34" t="str">
        <f>+IF('Fiche info Avenant 9'!$V$9=0,"",'Fiche info Avenant 9'!$V$9)</f>
        <v/>
      </c>
      <c r="G795" s="16">
        <f t="shared" si="164"/>
        <v>0</v>
      </c>
      <c r="BX795" s="16" t="str">
        <f t="shared" si="165"/>
        <v>Fiche info Avenant 9B3</v>
      </c>
      <c r="BY795" s="431">
        <f>'Fiche info Avenant 9'!$M$9</f>
        <v>0</v>
      </c>
      <c r="BZ795" s="431">
        <f>'Fiche info Avenant 9'!$N$9</f>
        <v>0</v>
      </c>
      <c r="CA795" s="431">
        <f>'Fiche info Avenant 9'!$O$9</f>
        <v>0</v>
      </c>
      <c r="CB795" s="431">
        <f>'Fiche info Avenant 9'!$P$9</f>
        <v>0</v>
      </c>
      <c r="CC795" s="431">
        <f>'Fiche info Avenant 9'!$Q$9</f>
        <v>0</v>
      </c>
      <c r="CD795" s="431">
        <f>'Fiche info Avenant 9'!$R$9</f>
        <v>0</v>
      </c>
      <c r="CE795" s="431">
        <f>'Fiche info Avenant 9'!$S$9</f>
        <v>0</v>
      </c>
      <c r="CF795" s="431">
        <f>'Fiche info Avenant 9'!$T$9</f>
        <v>0</v>
      </c>
      <c r="ED795" s="16" t="str">
        <f t="shared" si="158"/>
        <v>Fiche info Avenant 9B</v>
      </c>
      <c r="EE795" s="16" t="str">
        <f t="shared" si="159"/>
        <v>Fiche info Avenant 9</v>
      </c>
      <c r="EF795" s="16" t="str">
        <f t="shared" si="160"/>
        <v>B</v>
      </c>
      <c r="EG795" s="16">
        <f t="shared" si="161"/>
        <v>3</v>
      </c>
      <c r="EH795" s="16" t="str">
        <f t="shared" si="162"/>
        <v>Mercredi</v>
      </c>
      <c r="EI795" s="16" t="str">
        <f t="shared" si="163"/>
        <v/>
      </c>
    </row>
    <row r="796" spans="1:139" x14ac:dyDescent="0.2">
      <c r="A796" s="16" t="str">
        <f t="shared" si="166"/>
        <v>Fiche info Avenant 9B4</v>
      </c>
      <c r="B796" s="16" t="str">
        <f t="shared" si="167"/>
        <v>Fiche info Avenant 9</v>
      </c>
      <c r="C796" s="27" t="s">
        <v>227</v>
      </c>
      <c r="D796" s="27">
        <v>4</v>
      </c>
      <c r="E796" s="16" t="s">
        <v>20</v>
      </c>
      <c r="F796" s="34" t="str">
        <f>+IF('Fiche info Avenant 9'!$V$10=0,"",'Fiche info Avenant 9'!$V$10)</f>
        <v/>
      </c>
      <c r="G796" s="16">
        <f t="shared" si="164"/>
        <v>0</v>
      </c>
      <c r="BX796" s="16" t="str">
        <f t="shared" si="165"/>
        <v>Fiche info Avenant 9B4</v>
      </c>
      <c r="BY796" s="431">
        <f>'Fiche info Avenant 9'!$M$10</f>
        <v>0</v>
      </c>
      <c r="BZ796" s="431">
        <f>'Fiche info Avenant 9'!$N$10</f>
        <v>0</v>
      </c>
      <c r="CA796" s="431">
        <f>'Fiche info Avenant 9'!$O$10</f>
        <v>0</v>
      </c>
      <c r="CB796" s="431">
        <f>'Fiche info Avenant 9'!$P$10</f>
        <v>0</v>
      </c>
      <c r="CC796" s="431">
        <f>'Fiche info Avenant 9'!$Q$10</f>
        <v>0</v>
      </c>
      <c r="CD796" s="431">
        <f>'Fiche info Avenant 9'!$R$10</f>
        <v>0</v>
      </c>
      <c r="CE796" s="431">
        <f>'Fiche info Avenant 9'!$S$10</f>
        <v>0</v>
      </c>
      <c r="CF796" s="431">
        <f>'Fiche info Avenant 9'!$T$10</f>
        <v>0</v>
      </c>
      <c r="ED796" s="16" t="str">
        <f t="shared" si="158"/>
        <v>Fiche info Avenant 9B</v>
      </c>
      <c r="EE796" s="16" t="str">
        <f t="shared" si="159"/>
        <v>Fiche info Avenant 9</v>
      </c>
      <c r="EF796" s="16" t="str">
        <f t="shared" si="160"/>
        <v>B</v>
      </c>
      <c r="EG796" s="16">
        <f t="shared" si="161"/>
        <v>4</v>
      </c>
      <c r="EH796" s="16" t="str">
        <f t="shared" si="162"/>
        <v>Jeudi</v>
      </c>
      <c r="EI796" s="16" t="str">
        <f t="shared" si="163"/>
        <v/>
      </c>
    </row>
    <row r="797" spans="1:139" x14ac:dyDescent="0.2">
      <c r="A797" s="16" t="str">
        <f t="shared" si="166"/>
        <v>Fiche info Avenant 9B5</v>
      </c>
      <c r="B797" s="16" t="str">
        <f t="shared" si="167"/>
        <v>Fiche info Avenant 9</v>
      </c>
      <c r="C797" s="27" t="s">
        <v>227</v>
      </c>
      <c r="D797" s="27">
        <v>5</v>
      </c>
      <c r="E797" s="16" t="s">
        <v>21</v>
      </c>
      <c r="F797" s="34" t="str">
        <f>+IF('Fiche info Avenant 9'!$V$11=0,"",'Fiche info Avenant 9'!$V$11)</f>
        <v/>
      </c>
      <c r="G797" s="16">
        <f t="shared" si="164"/>
        <v>0</v>
      </c>
      <c r="BX797" s="16" t="str">
        <f t="shared" si="165"/>
        <v>Fiche info Avenant 9B5</v>
      </c>
      <c r="BY797" s="431">
        <f>'Fiche info Avenant 9'!$M$11</f>
        <v>0</v>
      </c>
      <c r="BZ797" s="431">
        <f>'Fiche info Avenant 9'!$N$11</f>
        <v>0</v>
      </c>
      <c r="CA797" s="431">
        <f>'Fiche info Avenant 9'!$O$11</f>
        <v>0</v>
      </c>
      <c r="CB797" s="431">
        <f>'Fiche info Avenant 9'!$P$11</f>
        <v>0</v>
      </c>
      <c r="CC797" s="431">
        <f>'Fiche info Avenant 9'!$Q$11</f>
        <v>0</v>
      </c>
      <c r="CD797" s="431">
        <f>'Fiche info Avenant 9'!$R$11</f>
        <v>0</v>
      </c>
      <c r="CE797" s="431">
        <f>'Fiche info Avenant 9'!$S$11</f>
        <v>0</v>
      </c>
      <c r="CF797" s="431">
        <f>'Fiche info Avenant 9'!$T$11</f>
        <v>0</v>
      </c>
      <c r="ED797" s="16" t="str">
        <f t="shared" si="158"/>
        <v>Fiche info Avenant 9B</v>
      </c>
      <c r="EE797" s="16" t="str">
        <f t="shared" si="159"/>
        <v>Fiche info Avenant 9</v>
      </c>
      <c r="EF797" s="16" t="str">
        <f t="shared" si="160"/>
        <v>B</v>
      </c>
      <c r="EG797" s="16">
        <f t="shared" si="161"/>
        <v>5</v>
      </c>
      <c r="EH797" s="16" t="str">
        <f t="shared" si="162"/>
        <v>Vendredi</v>
      </c>
      <c r="EI797" s="16" t="str">
        <f t="shared" si="163"/>
        <v/>
      </c>
    </row>
    <row r="798" spans="1:139" x14ac:dyDescent="0.2">
      <c r="A798" s="16" t="str">
        <f t="shared" si="166"/>
        <v>Fiche info Avenant 9B6</v>
      </c>
      <c r="B798" s="16" t="str">
        <f t="shared" si="167"/>
        <v>Fiche info Avenant 9</v>
      </c>
      <c r="C798" s="27" t="s">
        <v>227</v>
      </c>
      <c r="D798" s="27">
        <v>6</v>
      </c>
      <c r="E798" s="16" t="s">
        <v>184</v>
      </c>
      <c r="F798" s="34" t="str">
        <f>+IF('Fiche info Avenant 9'!$V$12=0,"",'Fiche info Avenant 9'!$V$12)</f>
        <v/>
      </c>
      <c r="G798" s="16">
        <f t="shared" si="164"/>
        <v>0</v>
      </c>
      <c r="BX798" s="16" t="str">
        <f t="shared" si="165"/>
        <v>Fiche info Avenant 9B6</v>
      </c>
      <c r="BY798" s="431">
        <f>'Fiche info Avenant 9'!$M$12</f>
        <v>0</v>
      </c>
      <c r="BZ798" s="431">
        <f>'Fiche info Avenant 9'!$N$12</f>
        <v>0</v>
      </c>
      <c r="CA798" s="431">
        <f>'Fiche info Avenant 9'!$O$12</f>
        <v>0</v>
      </c>
      <c r="CB798" s="431">
        <f>'Fiche info Avenant 9'!$P$12</f>
        <v>0</v>
      </c>
      <c r="CC798" s="431">
        <f>'Fiche info Avenant 9'!$Q$12</f>
        <v>0</v>
      </c>
      <c r="CD798" s="431">
        <f>'Fiche info Avenant 9'!$R$12</f>
        <v>0</v>
      </c>
      <c r="CE798" s="431">
        <f>'Fiche info Avenant 9'!$S$12</f>
        <v>0</v>
      </c>
      <c r="CF798" s="431">
        <f>'Fiche info Avenant 9'!$T$12</f>
        <v>0</v>
      </c>
      <c r="ED798" s="16" t="str">
        <f t="shared" si="158"/>
        <v>Fiche info Avenant 9B</v>
      </c>
      <c r="EE798" s="16" t="str">
        <f t="shared" si="159"/>
        <v>Fiche info Avenant 9</v>
      </c>
      <c r="EF798" s="16" t="str">
        <f t="shared" si="160"/>
        <v>B</v>
      </c>
      <c r="EG798" s="16">
        <f t="shared" si="161"/>
        <v>6</v>
      </c>
      <c r="EH798" s="16" t="str">
        <f t="shared" si="162"/>
        <v>Samedi</v>
      </c>
      <c r="EI798" s="16" t="str">
        <f t="shared" si="163"/>
        <v/>
      </c>
    </row>
    <row r="799" spans="1:139" x14ac:dyDescent="0.2">
      <c r="A799" s="16" t="str">
        <f t="shared" si="166"/>
        <v>Fiche info Avenant 9B7</v>
      </c>
      <c r="B799" s="16" t="str">
        <f t="shared" si="167"/>
        <v>Fiche info Avenant 9</v>
      </c>
      <c r="C799" s="27" t="s">
        <v>227</v>
      </c>
      <c r="D799" s="27">
        <v>7</v>
      </c>
      <c r="E799" s="16" t="s">
        <v>185</v>
      </c>
      <c r="F799" s="34" t="str">
        <f>+IF('Fiche info Avenant 9'!$V$13=0,"",'Fiche info Avenant 9'!$V$13)</f>
        <v/>
      </c>
      <c r="G799" s="16">
        <f t="shared" si="164"/>
        <v>0</v>
      </c>
      <c r="BX799" s="16" t="str">
        <f t="shared" si="165"/>
        <v>Fiche info Avenant 9B7</v>
      </c>
      <c r="BY799" s="431">
        <f>'Fiche info Avenant 9'!$M$13</f>
        <v>0</v>
      </c>
      <c r="BZ799" s="431">
        <f>'Fiche info Avenant 9'!$N$13</f>
        <v>0</v>
      </c>
      <c r="CA799" s="431">
        <f>'Fiche info Avenant 9'!$O$13</f>
        <v>0</v>
      </c>
      <c r="CB799" s="431">
        <f>'Fiche info Avenant 9'!$P$13</f>
        <v>0</v>
      </c>
      <c r="CC799" s="431">
        <f>'Fiche info Avenant 9'!$Q$13</f>
        <v>0</v>
      </c>
      <c r="CD799" s="431">
        <f>'Fiche info Avenant 9'!$R$13</f>
        <v>0</v>
      </c>
      <c r="CE799" s="431">
        <f>'Fiche info Avenant 9'!$S$13</f>
        <v>0</v>
      </c>
      <c r="CF799" s="431">
        <f>'Fiche info Avenant 9'!$T$13</f>
        <v>0</v>
      </c>
      <c r="ED799" s="16" t="str">
        <f t="shared" si="158"/>
        <v>Fiche info Avenant 9B</v>
      </c>
      <c r="EE799" s="16" t="str">
        <f t="shared" si="159"/>
        <v>Fiche info Avenant 9</v>
      </c>
      <c r="EF799" s="16" t="str">
        <f t="shared" si="160"/>
        <v>B</v>
      </c>
      <c r="EG799" s="16">
        <f t="shared" si="161"/>
        <v>7</v>
      </c>
      <c r="EH799" s="16" t="str">
        <f t="shared" si="162"/>
        <v>Dimanche</v>
      </c>
      <c r="EI799" s="16" t="str">
        <f t="shared" si="163"/>
        <v/>
      </c>
    </row>
    <row r="800" spans="1:139" x14ac:dyDescent="0.2">
      <c r="A800" s="16" t="str">
        <f t="shared" si="166"/>
        <v>Fiche info Avenant 9C1</v>
      </c>
      <c r="B800" s="16" t="str">
        <f t="shared" si="167"/>
        <v>Fiche info Avenant 9</v>
      </c>
      <c r="C800" s="27" t="s">
        <v>232</v>
      </c>
      <c r="D800" s="27">
        <v>1</v>
      </c>
      <c r="E800" s="16" t="s">
        <v>17</v>
      </c>
      <c r="F800" s="34" t="str">
        <f>+IF('Fiche info Avenant 9'!$AG$7=0,"",'Fiche info Avenant 9'!$AG$7)</f>
        <v/>
      </c>
      <c r="G800" s="16">
        <f t="shared" si="164"/>
        <v>0</v>
      </c>
      <c r="BX800" s="16" t="str">
        <f t="shared" si="165"/>
        <v>Fiche info Avenant 9C1</v>
      </c>
      <c r="BY800" s="431">
        <f>'Fiche info Avenant 9'!$X$7</f>
        <v>0</v>
      </c>
      <c r="BZ800" s="431">
        <f>'Fiche info Avenant 9'!$Y$7</f>
        <v>0</v>
      </c>
      <c r="CA800" s="431">
        <f>'Fiche info Avenant 9'!$Z$7</f>
        <v>0</v>
      </c>
      <c r="CB800" s="431">
        <f>'Fiche info Avenant 9'!$AA$7</f>
        <v>0</v>
      </c>
      <c r="CC800" s="431">
        <f>'Fiche info Avenant 9'!$AB$7</f>
        <v>0</v>
      </c>
      <c r="CD800" s="431">
        <f>'Fiche info Avenant 9'!$AC$7</f>
        <v>0</v>
      </c>
      <c r="CE800" s="431">
        <f>'Fiche info Avenant 9'!$AD$7</f>
        <v>0</v>
      </c>
      <c r="CF800" s="431">
        <f>'Fiche info Avenant 9'!$AE$7</f>
        <v>0</v>
      </c>
      <c r="ED800" s="16" t="str">
        <f t="shared" si="158"/>
        <v>Fiche info Avenant 9C</v>
      </c>
      <c r="EE800" s="16" t="str">
        <f t="shared" si="159"/>
        <v>Fiche info Avenant 9</v>
      </c>
      <c r="EF800" s="16" t="str">
        <f t="shared" si="160"/>
        <v>C</v>
      </c>
      <c r="EG800" s="16">
        <f t="shared" si="161"/>
        <v>1</v>
      </c>
      <c r="EH800" s="16" t="str">
        <f t="shared" si="162"/>
        <v>Lundi</v>
      </c>
      <c r="EI800" s="16" t="str">
        <f t="shared" si="163"/>
        <v/>
      </c>
    </row>
    <row r="801" spans="1:139" x14ac:dyDescent="0.2">
      <c r="A801" s="16" t="str">
        <f t="shared" si="166"/>
        <v>Fiche info Avenant 9C2</v>
      </c>
      <c r="B801" s="16" t="str">
        <f t="shared" si="167"/>
        <v>Fiche info Avenant 9</v>
      </c>
      <c r="C801" s="27" t="s">
        <v>232</v>
      </c>
      <c r="D801" s="27">
        <v>2</v>
      </c>
      <c r="E801" s="16" t="s">
        <v>18</v>
      </c>
      <c r="F801" s="34" t="str">
        <f>+IF('Fiche info Avenant 9'!$AG$8=0,"",'Fiche info Avenant 9'!$AG$8)</f>
        <v/>
      </c>
      <c r="G801" s="16">
        <f t="shared" si="164"/>
        <v>0</v>
      </c>
      <c r="BX801" s="16" t="str">
        <f t="shared" si="165"/>
        <v>Fiche info Avenant 9C2</v>
      </c>
      <c r="BY801" s="431">
        <f>'Fiche info Avenant 9'!$X$8</f>
        <v>0</v>
      </c>
      <c r="BZ801" s="431">
        <f>'Fiche info Avenant 9'!$Y$8</f>
        <v>0</v>
      </c>
      <c r="CA801" s="431">
        <f>'Fiche info Avenant 9'!$Z$8</f>
        <v>0</v>
      </c>
      <c r="CB801" s="431">
        <f>'Fiche info Avenant 9'!$AA$8</f>
        <v>0</v>
      </c>
      <c r="CC801" s="431">
        <f>'Fiche info Avenant 9'!$AB$8</f>
        <v>0</v>
      </c>
      <c r="CD801" s="431">
        <f>'Fiche info Avenant 9'!$AC$8</f>
        <v>0</v>
      </c>
      <c r="CE801" s="431">
        <f>'Fiche info Avenant 9'!$AD$8</f>
        <v>0</v>
      </c>
      <c r="CF801" s="431">
        <f>'Fiche info Avenant 9'!$AE$8</f>
        <v>0</v>
      </c>
      <c r="ED801" s="16" t="str">
        <f t="shared" si="158"/>
        <v>Fiche info Avenant 9C</v>
      </c>
      <c r="EE801" s="16" t="str">
        <f t="shared" si="159"/>
        <v>Fiche info Avenant 9</v>
      </c>
      <c r="EF801" s="16" t="str">
        <f t="shared" si="160"/>
        <v>C</v>
      </c>
      <c r="EG801" s="16">
        <f t="shared" si="161"/>
        <v>2</v>
      </c>
      <c r="EH801" s="16" t="str">
        <f t="shared" si="162"/>
        <v>Mardi</v>
      </c>
      <c r="EI801" s="16" t="str">
        <f t="shared" si="163"/>
        <v/>
      </c>
    </row>
    <row r="802" spans="1:139" x14ac:dyDescent="0.2">
      <c r="A802" s="16" t="str">
        <f t="shared" si="166"/>
        <v>Fiche info Avenant 9C3</v>
      </c>
      <c r="B802" s="16" t="str">
        <f t="shared" si="167"/>
        <v>Fiche info Avenant 9</v>
      </c>
      <c r="C802" s="27" t="s">
        <v>232</v>
      </c>
      <c r="D802" s="27">
        <v>3</v>
      </c>
      <c r="E802" s="16" t="s">
        <v>19</v>
      </c>
      <c r="F802" s="34" t="str">
        <f>+IF('Fiche info Avenant 9'!$AG$9=0,"",'Fiche info Avenant 9'!$AG$9)</f>
        <v/>
      </c>
      <c r="G802" s="16">
        <f t="shared" si="164"/>
        <v>0</v>
      </c>
      <c r="BX802" s="16" t="str">
        <f t="shared" si="165"/>
        <v>Fiche info Avenant 9C3</v>
      </c>
      <c r="BY802" s="431">
        <f>'Fiche info Avenant 9'!$X$9</f>
        <v>0</v>
      </c>
      <c r="BZ802" s="431">
        <f>'Fiche info Avenant 9'!$Y$9</f>
        <v>0</v>
      </c>
      <c r="CA802" s="431">
        <f>'Fiche info Avenant 9'!$Z$9</f>
        <v>0</v>
      </c>
      <c r="CB802" s="431">
        <f>'Fiche info Avenant 9'!$AA$9</f>
        <v>0</v>
      </c>
      <c r="CC802" s="431">
        <f>'Fiche info Avenant 9'!$AB$9</f>
        <v>0</v>
      </c>
      <c r="CD802" s="431">
        <f>'Fiche info Avenant 9'!$AC$9</f>
        <v>0</v>
      </c>
      <c r="CE802" s="431">
        <f>'Fiche info Avenant 9'!$AD$9</f>
        <v>0</v>
      </c>
      <c r="CF802" s="431">
        <f>'Fiche info Avenant 9'!$AE$9</f>
        <v>0</v>
      </c>
      <c r="ED802" s="16" t="str">
        <f t="shared" si="158"/>
        <v>Fiche info Avenant 9C</v>
      </c>
      <c r="EE802" s="16" t="str">
        <f t="shared" si="159"/>
        <v>Fiche info Avenant 9</v>
      </c>
      <c r="EF802" s="16" t="str">
        <f t="shared" si="160"/>
        <v>C</v>
      </c>
      <c r="EG802" s="16">
        <f t="shared" si="161"/>
        <v>3</v>
      </c>
      <c r="EH802" s="16" t="str">
        <f t="shared" si="162"/>
        <v>Mercredi</v>
      </c>
      <c r="EI802" s="16" t="str">
        <f t="shared" si="163"/>
        <v/>
      </c>
    </row>
    <row r="803" spans="1:139" x14ac:dyDescent="0.2">
      <c r="A803" s="16" t="str">
        <f t="shared" si="166"/>
        <v>Fiche info Avenant 9C4</v>
      </c>
      <c r="B803" s="16" t="str">
        <f t="shared" si="167"/>
        <v>Fiche info Avenant 9</v>
      </c>
      <c r="C803" s="27" t="s">
        <v>232</v>
      </c>
      <c r="D803" s="27">
        <v>4</v>
      </c>
      <c r="E803" s="16" t="s">
        <v>20</v>
      </c>
      <c r="F803" s="34" t="str">
        <f>+IF('Fiche info Avenant 9'!$AG$10=0,"",'Fiche info Avenant 9'!$AG$10)</f>
        <v/>
      </c>
      <c r="G803" s="16">
        <f t="shared" si="164"/>
        <v>0</v>
      </c>
      <c r="BX803" s="16" t="str">
        <f t="shared" si="165"/>
        <v>Fiche info Avenant 9C4</v>
      </c>
      <c r="BY803" s="431">
        <f>'Fiche info Avenant 9'!$X$10</f>
        <v>0</v>
      </c>
      <c r="BZ803" s="431">
        <f>'Fiche info Avenant 9'!$Y$10</f>
        <v>0</v>
      </c>
      <c r="CA803" s="431">
        <f>'Fiche info Avenant 9'!$Z$10</f>
        <v>0</v>
      </c>
      <c r="CB803" s="431">
        <f>'Fiche info Avenant 9'!$AA$10</f>
        <v>0</v>
      </c>
      <c r="CC803" s="431">
        <f>'Fiche info Avenant 9'!$AB$10</f>
        <v>0</v>
      </c>
      <c r="CD803" s="431">
        <f>'Fiche info Avenant 9'!$AC$10</f>
        <v>0</v>
      </c>
      <c r="CE803" s="431">
        <f>'Fiche info Avenant 9'!$AD$10</f>
        <v>0</v>
      </c>
      <c r="CF803" s="431">
        <f>'Fiche info Avenant 9'!$AE$10</f>
        <v>0</v>
      </c>
      <c r="ED803" s="16" t="str">
        <f t="shared" si="158"/>
        <v>Fiche info Avenant 9C</v>
      </c>
      <c r="EE803" s="16" t="str">
        <f t="shared" si="159"/>
        <v>Fiche info Avenant 9</v>
      </c>
      <c r="EF803" s="16" t="str">
        <f t="shared" si="160"/>
        <v>C</v>
      </c>
      <c r="EG803" s="16">
        <f t="shared" si="161"/>
        <v>4</v>
      </c>
      <c r="EH803" s="16" t="str">
        <f t="shared" si="162"/>
        <v>Jeudi</v>
      </c>
      <c r="EI803" s="16" t="str">
        <f t="shared" si="163"/>
        <v/>
      </c>
    </row>
    <row r="804" spans="1:139" x14ac:dyDescent="0.2">
      <c r="A804" s="16" t="str">
        <f t="shared" si="166"/>
        <v>Fiche info Avenant 9C5</v>
      </c>
      <c r="B804" s="16" t="str">
        <f t="shared" si="167"/>
        <v>Fiche info Avenant 9</v>
      </c>
      <c r="C804" s="27" t="s">
        <v>232</v>
      </c>
      <c r="D804" s="27">
        <v>5</v>
      </c>
      <c r="E804" s="16" t="s">
        <v>21</v>
      </c>
      <c r="F804" s="34" t="str">
        <f>+IF('Fiche info Avenant 9'!$AG$11=0,"",'Fiche info Avenant 9'!$AG$11)</f>
        <v/>
      </c>
      <c r="G804" s="16">
        <f t="shared" si="164"/>
        <v>0</v>
      </c>
      <c r="BX804" s="16" t="str">
        <f t="shared" si="165"/>
        <v>Fiche info Avenant 9C5</v>
      </c>
      <c r="BY804" s="431">
        <f>'Fiche info Avenant 9'!$X$11</f>
        <v>0</v>
      </c>
      <c r="BZ804" s="431">
        <f>'Fiche info Avenant 9'!$Y$11</f>
        <v>0</v>
      </c>
      <c r="CA804" s="431">
        <f>'Fiche info Avenant 9'!$Z$11</f>
        <v>0</v>
      </c>
      <c r="CB804" s="431">
        <f>'Fiche info Avenant 9'!$AA$11</f>
        <v>0</v>
      </c>
      <c r="CC804" s="431">
        <f>'Fiche info Avenant 9'!$AB$11</f>
        <v>0</v>
      </c>
      <c r="CD804" s="431">
        <f>'Fiche info Avenant 9'!$AC$11</f>
        <v>0</v>
      </c>
      <c r="CE804" s="431">
        <f>'Fiche info Avenant 9'!$AD$11</f>
        <v>0</v>
      </c>
      <c r="CF804" s="431">
        <f>'Fiche info Avenant 9'!$AE$11</f>
        <v>0</v>
      </c>
      <c r="ED804" s="16" t="str">
        <f t="shared" si="158"/>
        <v>Fiche info Avenant 9C</v>
      </c>
      <c r="EE804" s="16" t="str">
        <f t="shared" si="159"/>
        <v>Fiche info Avenant 9</v>
      </c>
      <c r="EF804" s="16" t="str">
        <f t="shared" si="160"/>
        <v>C</v>
      </c>
      <c r="EG804" s="16">
        <f t="shared" si="161"/>
        <v>5</v>
      </c>
      <c r="EH804" s="16" t="str">
        <f t="shared" si="162"/>
        <v>Vendredi</v>
      </c>
      <c r="EI804" s="16" t="str">
        <f t="shared" si="163"/>
        <v/>
      </c>
    </row>
    <row r="805" spans="1:139" x14ac:dyDescent="0.2">
      <c r="A805" s="16" t="str">
        <f t="shared" si="166"/>
        <v>Fiche info Avenant 9C6</v>
      </c>
      <c r="B805" s="16" t="str">
        <f t="shared" si="167"/>
        <v>Fiche info Avenant 9</v>
      </c>
      <c r="C805" s="27" t="s">
        <v>232</v>
      </c>
      <c r="D805" s="27">
        <v>6</v>
      </c>
      <c r="E805" s="16" t="s">
        <v>184</v>
      </c>
      <c r="F805" s="34" t="str">
        <f>+IF('Fiche info Avenant 9'!$AG$12=0,"",'Fiche info Avenant 9'!$AG$12)</f>
        <v/>
      </c>
      <c r="G805" s="16">
        <f t="shared" si="164"/>
        <v>0</v>
      </c>
      <c r="BX805" s="16" t="str">
        <f t="shared" si="165"/>
        <v>Fiche info Avenant 9C6</v>
      </c>
      <c r="BY805" s="431">
        <f>'Fiche info Avenant 9'!$X$12</f>
        <v>0</v>
      </c>
      <c r="BZ805" s="431">
        <f>'Fiche info Avenant 9'!$Y$12</f>
        <v>0</v>
      </c>
      <c r="CA805" s="431">
        <f>'Fiche info Avenant 9'!$Z$12</f>
        <v>0</v>
      </c>
      <c r="CB805" s="431">
        <f>'Fiche info Avenant 9'!$AA$12</f>
        <v>0</v>
      </c>
      <c r="CC805" s="431">
        <f>'Fiche info Avenant 9'!$AB$12</f>
        <v>0</v>
      </c>
      <c r="CD805" s="431">
        <f>'Fiche info Avenant 9'!$AC$12</f>
        <v>0</v>
      </c>
      <c r="CE805" s="431">
        <f>'Fiche info Avenant 9'!$AD$12</f>
        <v>0</v>
      </c>
      <c r="CF805" s="431">
        <f>'Fiche info Avenant 9'!$AE$12</f>
        <v>0</v>
      </c>
      <c r="ED805" s="16" t="str">
        <f t="shared" si="158"/>
        <v>Fiche info Avenant 9C</v>
      </c>
      <c r="EE805" s="16" t="str">
        <f t="shared" si="159"/>
        <v>Fiche info Avenant 9</v>
      </c>
      <c r="EF805" s="16" t="str">
        <f t="shared" si="160"/>
        <v>C</v>
      </c>
      <c r="EG805" s="16">
        <f t="shared" si="161"/>
        <v>6</v>
      </c>
      <c r="EH805" s="16" t="str">
        <f t="shared" si="162"/>
        <v>Samedi</v>
      </c>
      <c r="EI805" s="16" t="str">
        <f t="shared" si="163"/>
        <v/>
      </c>
    </row>
    <row r="806" spans="1:139" x14ac:dyDescent="0.2">
      <c r="A806" s="16" t="str">
        <f t="shared" si="166"/>
        <v>Fiche info Avenant 9C7</v>
      </c>
      <c r="B806" s="16" t="str">
        <f t="shared" si="167"/>
        <v>Fiche info Avenant 9</v>
      </c>
      <c r="C806" s="27" t="s">
        <v>232</v>
      </c>
      <c r="D806" s="27">
        <v>7</v>
      </c>
      <c r="E806" s="16" t="s">
        <v>185</v>
      </c>
      <c r="F806" s="34" t="str">
        <f>+IF('Fiche info Avenant 9'!$AG$13=0,"",'Fiche info Avenant 9'!$AG$13)</f>
        <v/>
      </c>
      <c r="G806" s="16">
        <f t="shared" si="164"/>
        <v>0</v>
      </c>
      <c r="BX806" s="16" t="str">
        <f t="shared" si="165"/>
        <v>Fiche info Avenant 9C7</v>
      </c>
      <c r="BY806" s="431">
        <f>'Fiche info Avenant 9'!$X$13</f>
        <v>0</v>
      </c>
      <c r="BZ806" s="431">
        <f>'Fiche info Avenant 9'!$Y$13</f>
        <v>0</v>
      </c>
      <c r="CA806" s="431">
        <f>'Fiche info Avenant 9'!$Z$13</f>
        <v>0</v>
      </c>
      <c r="CB806" s="431">
        <f>'Fiche info Avenant 9'!$AA$13</f>
        <v>0</v>
      </c>
      <c r="CC806" s="431">
        <f>'Fiche info Avenant 9'!$AB$13</f>
        <v>0</v>
      </c>
      <c r="CD806" s="431">
        <f>'Fiche info Avenant 9'!$AC$13</f>
        <v>0</v>
      </c>
      <c r="CE806" s="431">
        <f>'Fiche info Avenant 9'!$AD$13</f>
        <v>0</v>
      </c>
      <c r="CF806" s="431">
        <f>'Fiche info Avenant 9'!$AE$13</f>
        <v>0</v>
      </c>
      <c r="ED806" s="16" t="str">
        <f t="shared" si="158"/>
        <v>Fiche info Avenant 9C</v>
      </c>
      <c r="EE806" s="16" t="str">
        <f t="shared" si="159"/>
        <v>Fiche info Avenant 9</v>
      </c>
      <c r="EF806" s="16" t="str">
        <f t="shared" si="160"/>
        <v>C</v>
      </c>
      <c r="EG806" s="16">
        <f t="shared" si="161"/>
        <v>7</v>
      </c>
      <c r="EH806" s="16" t="str">
        <f t="shared" si="162"/>
        <v>Dimanche</v>
      </c>
      <c r="EI806" s="16" t="str">
        <f t="shared" si="163"/>
        <v/>
      </c>
    </row>
    <row r="807" spans="1:139" x14ac:dyDescent="0.2">
      <c r="A807" s="16" t="str">
        <f t="shared" si="166"/>
        <v>Fiche info Avenant 9D1</v>
      </c>
      <c r="B807" s="16" t="str">
        <f t="shared" si="167"/>
        <v>Fiche info Avenant 9</v>
      </c>
      <c r="C807" s="27" t="s">
        <v>233</v>
      </c>
      <c r="D807" s="27">
        <v>1</v>
      </c>
      <c r="E807" s="16" t="s">
        <v>17</v>
      </c>
      <c r="F807" s="34" t="str">
        <f>+IF('Fiche info Avenant 9'!$AR$7=0,"",'Fiche info Avenant 9'!$AR$7)</f>
        <v/>
      </c>
      <c r="G807" s="16">
        <f t="shared" si="164"/>
        <v>0</v>
      </c>
      <c r="BX807" s="16" t="str">
        <f t="shared" si="165"/>
        <v>Fiche info Avenant 9D1</v>
      </c>
      <c r="BY807" s="431">
        <f>'Fiche info Avenant 9'!$AI$7</f>
        <v>0</v>
      </c>
      <c r="BZ807" s="431">
        <f>'Fiche info Avenant 9'!$AJ$7</f>
        <v>0</v>
      </c>
      <c r="CA807" s="431">
        <f>'Fiche info Avenant 9'!$AK$7</f>
        <v>0</v>
      </c>
      <c r="CB807" s="431">
        <f>'Fiche info Avenant 9'!$AL$7</f>
        <v>0</v>
      </c>
      <c r="CC807" s="431">
        <f>'Fiche info Avenant 9'!$AM$7</f>
        <v>0</v>
      </c>
      <c r="CD807" s="431">
        <f>'Fiche info Avenant 9'!$AN$7</f>
        <v>0</v>
      </c>
      <c r="CE807" s="431">
        <f>'Fiche info Avenant 9'!$AO$7</f>
        <v>0</v>
      </c>
      <c r="CF807" s="431">
        <f>'Fiche info Avenant 9'!$AP$7</f>
        <v>0</v>
      </c>
      <c r="ED807" s="16" t="str">
        <f t="shared" si="158"/>
        <v>Fiche info Avenant 9D</v>
      </c>
      <c r="EE807" s="16" t="str">
        <f t="shared" si="159"/>
        <v>Fiche info Avenant 9</v>
      </c>
      <c r="EF807" s="16" t="str">
        <f t="shared" si="160"/>
        <v>D</v>
      </c>
      <c r="EG807" s="16">
        <f t="shared" si="161"/>
        <v>1</v>
      </c>
      <c r="EH807" s="16" t="str">
        <f t="shared" si="162"/>
        <v>Lundi</v>
      </c>
      <c r="EI807" s="16" t="str">
        <f t="shared" si="163"/>
        <v/>
      </c>
    </row>
    <row r="808" spans="1:139" x14ac:dyDescent="0.2">
      <c r="A808" s="16" t="str">
        <f t="shared" si="166"/>
        <v>Fiche info Avenant 9D2</v>
      </c>
      <c r="B808" s="16" t="str">
        <f t="shared" si="167"/>
        <v>Fiche info Avenant 9</v>
      </c>
      <c r="C808" s="27" t="s">
        <v>233</v>
      </c>
      <c r="D808" s="27">
        <v>2</v>
      </c>
      <c r="E808" s="16" t="s">
        <v>18</v>
      </c>
      <c r="F808" s="34" t="str">
        <f>IF(+'Fiche info Avenant 9'!$AR$8=0,"",'Fiche info Avenant 9'!$AR$8)</f>
        <v/>
      </c>
      <c r="G808" s="16">
        <f t="shared" si="164"/>
        <v>0</v>
      </c>
      <c r="BX808" s="16" t="str">
        <f t="shared" si="165"/>
        <v>Fiche info Avenant 9D2</v>
      </c>
      <c r="BY808" s="431">
        <f>'Fiche info Avenant 9'!$AI$8</f>
        <v>0</v>
      </c>
      <c r="BZ808" s="431">
        <f>'Fiche info Avenant 9'!$AJ$8</f>
        <v>0</v>
      </c>
      <c r="CA808" s="431">
        <f>'Fiche info Avenant 9'!$AK$8</f>
        <v>0</v>
      </c>
      <c r="CB808" s="431">
        <f>'Fiche info Avenant 9'!$AL$8</f>
        <v>0</v>
      </c>
      <c r="CC808" s="431">
        <f>'Fiche info Avenant 9'!$AM$8</f>
        <v>0</v>
      </c>
      <c r="CD808" s="431">
        <f>'Fiche info Avenant 9'!$AN$8</f>
        <v>0</v>
      </c>
      <c r="CE808" s="431">
        <f>'Fiche info Avenant 9'!$AO$8</f>
        <v>0</v>
      </c>
      <c r="CF808" s="431">
        <f>'Fiche info Avenant 9'!$AP$8</f>
        <v>0</v>
      </c>
      <c r="ED808" s="16" t="str">
        <f t="shared" si="158"/>
        <v>Fiche info Avenant 9D</v>
      </c>
      <c r="EE808" s="16" t="str">
        <f t="shared" si="159"/>
        <v>Fiche info Avenant 9</v>
      </c>
      <c r="EF808" s="16" t="str">
        <f t="shared" si="160"/>
        <v>D</v>
      </c>
      <c r="EG808" s="16">
        <f t="shared" si="161"/>
        <v>2</v>
      </c>
      <c r="EH808" s="16" t="str">
        <f t="shared" si="162"/>
        <v>Mardi</v>
      </c>
      <c r="EI808" s="16" t="str">
        <f t="shared" si="163"/>
        <v/>
      </c>
    </row>
    <row r="809" spans="1:139" x14ac:dyDescent="0.2">
      <c r="A809" s="16" t="str">
        <f t="shared" si="166"/>
        <v>Fiche info Avenant 9D3</v>
      </c>
      <c r="B809" s="16" t="str">
        <f t="shared" si="167"/>
        <v>Fiche info Avenant 9</v>
      </c>
      <c r="C809" s="27" t="s">
        <v>233</v>
      </c>
      <c r="D809" s="27">
        <v>3</v>
      </c>
      <c r="E809" s="16" t="s">
        <v>19</v>
      </c>
      <c r="F809" s="34" t="str">
        <f>IF(+'Fiche info Avenant 9'!$AR$9=0,"",'Fiche info Avenant 9'!$AR$9)</f>
        <v/>
      </c>
      <c r="G809" s="16">
        <f t="shared" si="164"/>
        <v>0</v>
      </c>
      <c r="BX809" s="16" t="str">
        <f t="shared" si="165"/>
        <v>Fiche info Avenant 9D3</v>
      </c>
      <c r="BY809" s="431">
        <f>'Fiche info Avenant 9'!$AI$9</f>
        <v>0</v>
      </c>
      <c r="BZ809" s="431">
        <f>'Fiche info Avenant 9'!$AJ$9</f>
        <v>0</v>
      </c>
      <c r="CA809" s="431">
        <f>'Fiche info Avenant 9'!$AK$9</f>
        <v>0</v>
      </c>
      <c r="CB809" s="431">
        <f>'Fiche info Avenant 9'!$AL$9</f>
        <v>0</v>
      </c>
      <c r="CC809" s="431">
        <f>'Fiche info Avenant 9'!$AM$9</f>
        <v>0</v>
      </c>
      <c r="CD809" s="431">
        <f>'Fiche info Avenant 9'!$AN$9</f>
        <v>0</v>
      </c>
      <c r="CE809" s="431">
        <f>'Fiche info Avenant 9'!$AO$9</f>
        <v>0</v>
      </c>
      <c r="CF809" s="431">
        <f>'Fiche info Avenant 9'!$AP$9</f>
        <v>0</v>
      </c>
      <c r="ED809" s="16" t="str">
        <f t="shared" si="158"/>
        <v>Fiche info Avenant 9D</v>
      </c>
      <c r="EE809" s="16" t="str">
        <f t="shared" si="159"/>
        <v>Fiche info Avenant 9</v>
      </c>
      <c r="EF809" s="16" t="str">
        <f t="shared" si="160"/>
        <v>D</v>
      </c>
      <c r="EG809" s="16">
        <f t="shared" si="161"/>
        <v>3</v>
      </c>
      <c r="EH809" s="16" t="str">
        <f t="shared" si="162"/>
        <v>Mercredi</v>
      </c>
      <c r="EI809" s="16" t="str">
        <f t="shared" si="163"/>
        <v/>
      </c>
    </row>
    <row r="810" spans="1:139" x14ac:dyDescent="0.2">
      <c r="A810" s="16" t="str">
        <f t="shared" si="166"/>
        <v>Fiche info Avenant 9D4</v>
      </c>
      <c r="B810" s="16" t="str">
        <f t="shared" si="167"/>
        <v>Fiche info Avenant 9</v>
      </c>
      <c r="C810" s="27" t="s">
        <v>233</v>
      </c>
      <c r="D810" s="27">
        <v>4</v>
      </c>
      <c r="E810" s="16" t="s">
        <v>20</v>
      </c>
      <c r="F810" s="34" t="str">
        <f>IF(+'Fiche info Avenant 9'!$AR$10=0,"",'Fiche info Avenant 9'!$AR$10)</f>
        <v/>
      </c>
      <c r="G810" s="16">
        <f t="shared" si="164"/>
        <v>0</v>
      </c>
      <c r="BX810" s="16" t="str">
        <f t="shared" si="165"/>
        <v>Fiche info Avenant 9D4</v>
      </c>
      <c r="BY810" s="431">
        <f>'Fiche info Avenant 9'!$AI$10</f>
        <v>0</v>
      </c>
      <c r="BZ810" s="431">
        <f>'Fiche info Avenant 9'!$AJ$10</f>
        <v>0</v>
      </c>
      <c r="CA810" s="431">
        <f>'Fiche info Avenant 9'!$AK$10</f>
        <v>0</v>
      </c>
      <c r="CB810" s="431">
        <f>'Fiche info Avenant 9'!$AL$10</f>
        <v>0</v>
      </c>
      <c r="CC810" s="431">
        <f>'Fiche info Avenant 9'!$AM$10</f>
        <v>0</v>
      </c>
      <c r="CD810" s="431">
        <f>'Fiche info Avenant 9'!$AN$10</f>
        <v>0</v>
      </c>
      <c r="CE810" s="431">
        <f>'Fiche info Avenant 9'!$AO$10</f>
        <v>0</v>
      </c>
      <c r="CF810" s="431">
        <f>'Fiche info Avenant 9'!$AP$10</f>
        <v>0</v>
      </c>
      <c r="ED810" s="16" t="str">
        <f t="shared" si="158"/>
        <v>Fiche info Avenant 9D</v>
      </c>
      <c r="EE810" s="16" t="str">
        <f t="shared" si="159"/>
        <v>Fiche info Avenant 9</v>
      </c>
      <c r="EF810" s="16" t="str">
        <f t="shared" si="160"/>
        <v>D</v>
      </c>
      <c r="EG810" s="16">
        <f t="shared" si="161"/>
        <v>4</v>
      </c>
      <c r="EH810" s="16" t="str">
        <f t="shared" si="162"/>
        <v>Jeudi</v>
      </c>
      <c r="EI810" s="16" t="str">
        <f t="shared" si="163"/>
        <v/>
      </c>
    </row>
    <row r="811" spans="1:139" x14ac:dyDescent="0.2">
      <c r="A811" s="16" t="str">
        <f t="shared" si="166"/>
        <v>Fiche info Avenant 9D5</v>
      </c>
      <c r="B811" s="16" t="str">
        <f t="shared" si="167"/>
        <v>Fiche info Avenant 9</v>
      </c>
      <c r="C811" s="27" t="s">
        <v>233</v>
      </c>
      <c r="D811" s="27">
        <v>5</v>
      </c>
      <c r="E811" s="16" t="s">
        <v>21</v>
      </c>
      <c r="F811" s="34" t="str">
        <f>IF(+'Fiche info Avenant 9'!$AR$11=0,"",'Fiche info Avenant 9'!$AR$11)</f>
        <v/>
      </c>
      <c r="G811" s="16">
        <f t="shared" si="164"/>
        <v>0</v>
      </c>
      <c r="BX811" s="16" t="str">
        <f t="shared" si="165"/>
        <v>Fiche info Avenant 9D5</v>
      </c>
      <c r="BY811" s="431">
        <f>'Fiche info Avenant 9'!$AI$11</f>
        <v>0</v>
      </c>
      <c r="BZ811" s="431">
        <f>'Fiche info Avenant 9'!$AJ$11</f>
        <v>0</v>
      </c>
      <c r="CA811" s="431">
        <f>'Fiche info Avenant 9'!$AK$11</f>
        <v>0</v>
      </c>
      <c r="CB811" s="431">
        <f>'Fiche info Avenant 9'!$AL$11</f>
        <v>0</v>
      </c>
      <c r="CC811" s="431">
        <f>'Fiche info Avenant 9'!$AM$11</f>
        <v>0</v>
      </c>
      <c r="CD811" s="431">
        <f>'Fiche info Avenant 9'!$AN$11</f>
        <v>0</v>
      </c>
      <c r="CE811" s="431">
        <f>'Fiche info Avenant 9'!$AO$11</f>
        <v>0</v>
      </c>
      <c r="CF811" s="431">
        <f>'Fiche info Avenant 9'!$AP$11</f>
        <v>0</v>
      </c>
      <c r="ED811" s="16" t="str">
        <f t="shared" si="158"/>
        <v>Fiche info Avenant 9D</v>
      </c>
      <c r="EE811" s="16" t="str">
        <f t="shared" si="159"/>
        <v>Fiche info Avenant 9</v>
      </c>
      <c r="EF811" s="16" t="str">
        <f t="shared" si="160"/>
        <v>D</v>
      </c>
      <c r="EG811" s="16">
        <f t="shared" si="161"/>
        <v>5</v>
      </c>
      <c r="EH811" s="16" t="str">
        <f t="shared" si="162"/>
        <v>Vendredi</v>
      </c>
      <c r="EI811" s="16" t="str">
        <f t="shared" si="163"/>
        <v/>
      </c>
    </row>
    <row r="812" spans="1:139" x14ac:dyDescent="0.2">
      <c r="A812" s="16" t="str">
        <f t="shared" si="166"/>
        <v>Fiche info Avenant 9D6</v>
      </c>
      <c r="B812" s="16" t="str">
        <f t="shared" si="167"/>
        <v>Fiche info Avenant 9</v>
      </c>
      <c r="C812" s="27" t="s">
        <v>233</v>
      </c>
      <c r="D812" s="27">
        <v>6</v>
      </c>
      <c r="E812" s="16" t="s">
        <v>184</v>
      </c>
      <c r="F812" s="34" t="str">
        <f>IF(+'Fiche info Avenant 9'!$AR$12=0,"",'Fiche info Avenant 9'!$AR$12)</f>
        <v/>
      </c>
      <c r="G812" s="16">
        <f t="shared" si="164"/>
        <v>0</v>
      </c>
      <c r="BX812" s="16" t="str">
        <f t="shared" si="165"/>
        <v>Fiche info Avenant 9D6</v>
      </c>
      <c r="BY812" s="431">
        <f>'Fiche info Avenant 9'!$AI$12</f>
        <v>0</v>
      </c>
      <c r="BZ812" s="431">
        <f>'Fiche info Avenant 9'!$AJ$12</f>
        <v>0</v>
      </c>
      <c r="CA812" s="431">
        <f>'Fiche info Avenant 9'!$AK$12</f>
        <v>0</v>
      </c>
      <c r="CB812" s="431">
        <f>'Fiche info Avenant 9'!$AL$12</f>
        <v>0</v>
      </c>
      <c r="CC812" s="431">
        <f>'Fiche info Avenant 9'!$AM$12</f>
        <v>0</v>
      </c>
      <c r="CD812" s="431">
        <f>'Fiche info Avenant 9'!$AN$12</f>
        <v>0</v>
      </c>
      <c r="CE812" s="431">
        <f>'Fiche info Avenant 9'!$AO$12</f>
        <v>0</v>
      </c>
      <c r="CF812" s="431">
        <f>'Fiche info Avenant 9'!$AP$12</f>
        <v>0</v>
      </c>
      <c r="ED812" s="16" t="str">
        <f t="shared" si="158"/>
        <v>Fiche info Avenant 9D</v>
      </c>
      <c r="EE812" s="16" t="str">
        <f t="shared" si="159"/>
        <v>Fiche info Avenant 9</v>
      </c>
      <c r="EF812" s="16" t="str">
        <f t="shared" si="160"/>
        <v>D</v>
      </c>
      <c r="EG812" s="16">
        <f t="shared" si="161"/>
        <v>6</v>
      </c>
      <c r="EH812" s="16" t="str">
        <f t="shared" si="162"/>
        <v>Samedi</v>
      </c>
      <c r="EI812" s="16" t="str">
        <f t="shared" si="163"/>
        <v/>
      </c>
    </row>
    <row r="813" spans="1:139" x14ac:dyDescent="0.2">
      <c r="A813" s="16" t="str">
        <f t="shared" si="166"/>
        <v>Fiche info Avenant 9D7</v>
      </c>
      <c r="B813" s="16" t="str">
        <f t="shared" si="167"/>
        <v>Fiche info Avenant 9</v>
      </c>
      <c r="C813" s="27" t="s">
        <v>233</v>
      </c>
      <c r="D813" s="27">
        <v>7</v>
      </c>
      <c r="E813" s="16" t="s">
        <v>185</v>
      </c>
      <c r="F813" s="34" t="str">
        <f>IF(+'Fiche info Avenant 9'!$AR$13=0,"",'Fiche info Avenant 9'!$AR$13)</f>
        <v/>
      </c>
      <c r="G813" s="16">
        <f t="shared" si="164"/>
        <v>0</v>
      </c>
      <c r="BX813" s="16" t="str">
        <f t="shared" si="165"/>
        <v>Fiche info Avenant 9D7</v>
      </c>
      <c r="BY813" s="431">
        <f>'Fiche info Avenant 9'!$AI$13</f>
        <v>0</v>
      </c>
      <c r="BZ813" s="431">
        <f>'Fiche info Avenant 9'!$AJ$13</f>
        <v>0</v>
      </c>
      <c r="CA813" s="431">
        <f>'Fiche info Avenant 9'!$AK$13</f>
        <v>0</v>
      </c>
      <c r="CB813" s="431">
        <f>'Fiche info Avenant 9'!$AL$13</f>
        <v>0</v>
      </c>
      <c r="CC813" s="431">
        <f>'Fiche info Avenant 9'!$AM$13</f>
        <v>0</v>
      </c>
      <c r="CD813" s="431">
        <f>'Fiche info Avenant 9'!$AN$13</f>
        <v>0</v>
      </c>
      <c r="CE813" s="431">
        <f>'Fiche info Avenant 9'!$AO$13</f>
        <v>0</v>
      </c>
      <c r="CF813" s="431">
        <f>'Fiche info Avenant 9'!$AP$13</f>
        <v>0</v>
      </c>
      <c r="ED813" s="16" t="str">
        <f t="shared" si="158"/>
        <v>Fiche info Avenant 9D</v>
      </c>
      <c r="EE813" s="16" t="str">
        <f t="shared" si="159"/>
        <v>Fiche info Avenant 9</v>
      </c>
      <c r="EF813" s="16" t="str">
        <f t="shared" si="160"/>
        <v>D</v>
      </c>
      <c r="EG813" s="16">
        <f t="shared" si="161"/>
        <v>7</v>
      </c>
      <c r="EH813" s="16" t="str">
        <f t="shared" si="162"/>
        <v>Dimanche</v>
      </c>
      <c r="EI813" s="16" t="str">
        <f t="shared" si="163"/>
        <v/>
      </c>
    </row>
    <row r="814" spans="1:139" x14ac:dyDescent="0.2">
      <c r="A814" s="16" t="str">
        <f t="shared" si="166"/>
        <v>Fiche info Avenant 9E1</v>
      </c>
      <c r="B814" s="16" t="str">
        <f t="shared" si="167"/>
        <v>Fiche info Avenant 9</v>
      </c>
      <c r="C814" s="27" t="s">
        <v>234</v>
      </c>
      <c r="D814" s="27">
        <v>1</v>
      </c>
      <c r="E814" s="16" t="s">
        <v>17</v>
      </c>
      <c r="F814" s="34" t="str">
        <f>IF(+'Fiche info Avenant 9'!$BC$7=0,"",'Fiche info Avenant 9'!$BC$7)</f>
        <v/>
      </c>
      <c r="G814" s="16">
        <f t="shared" si="164"/>
        <v>0</v>
      </c>
      <c r="BX814" s="16" t="str">
        <f t="shared" si="165"/>
        <v>Fiche info Avenant 9E1</v>
      </c>
      <c r="BY814" s="431">
        <f>'Fiche info Avenant 9'!$AT$7</f>
        <v>0</v>
      </c>
      <c r="BZ814" s="431">
        <f>'Fiche info Avenant 9'!$AU$7</f>
        <v>0</v>
      </c>
      <c r="CA814" s="431">
        <f>'Fiche info Avenant 9'!$AV$7</f>
        <v>0</v>
      </c>
      <c r="CB814" s="431">
        <f>'Fiche info Avenant 9'!$AW$7</f>
        <v>0</v>
      </c>
      <c r="CC814" s="431">
        <f>'Fiche info Avenant 9'!$AX$7</f>
        <v>0</v>
      </c>
      <c r="CD814" s="431">
        <f>'Fiche info Avenant 9'!$AY$7</f>
        <v>0</v>
      </c>
      <c r="CE814" s="431">
        <f>'Fiche info Avenant 9'!$AZ$7</f>
        <v>0</v>
      </c>
      <c r="CF814" s="431">
        <f>'Fiche info Avenant 9'!$BA$7</f>
        <v>0</v>
      </c>
      <c r="ED814" s="16" t="str">
        <f t="shared" si="158"/>
        <v>Fiche info Avenant 9E</v>
      </c>
      <c r="EE814" s="16" t="str">
        <f t="shared" si="159"/>
        <v>Fiche info Avenant 9</v>
      </c>
      <c r="EF814" s="16" t="str">
        <f t="shared" si="160"/>
        <v>E</v>
      </c>
      <c r="EG814" s="16">
        <f t="shared" si="161"/>
        <v>1</v>
      </c>
      <c r="EH814" s="16" t="str">
        <f t="shared" si="162"/>
        <v>Lundi</v>
      </c>
      <c r="EI814" s="16" t="str">
        <f t="shared" si="163"/>
        <v/>
      </c>
    </row>
    <row r="815" spans="1:139" x14ac:dyDescent="0.2">
      <c r="A815" s="16" t="str">
        <f t="shared" si="166"/>
        <v>Fiche info Avenant 9E2</v>
      </c>
      <c r="B815" s="16" t="str">
        <f t="shared" si="167"/>
        <v>Fiche info Avenant 9</v>
      </c>
      <c r="C815" s="27" t="s">
        <v>234</v>
      </c>
      <c r="D815" s="27">
        <v>2</v>
      </c>
      <c r="E815" s="16" t="s">
        <v>18</v>
      </c>
      <c r="F815" s="34" t="str">
        <f>IF(+'Fiche info Avenant 9'!$BC$8=0,"",'Fiche info Avenant 9'!$BC$8)</f>
        <v/>
      </c>
      <c r="G815" s="16">
        <f t="shared" si="164"/>
        <v>0</v>
      </c>
      <c r="BX815" s="16" t="str">
        <f t="shared" si="165"/>
        <v>Fiche info Avenant 9E2</v>
      </c>
      <c r="BY815" s="431">
        <f>'Fiche info Avenant 9'!$AT$8</f>
        <v>0</v>
      </c>
      <c r="BZ815" s="431">
        <f>'Fiche info Avenant 9'!$AU$8</f>
        <v>0</v>
      </c>
      <c r="CA815" s="431">
        <f>'Fiche info Avenant 9'!$AV$8</f>
        <v>0</v>
      </c>
      <c r="CB815" s="431">
        <f>'Fiche info Avenant 9'!$AW$8</f>
        <v>0</v>
      </c>
      <c r="CC815" s="431">
        <f>'Fiche info Avenant 9'!$AX$8</f>
        <v>0</v>
      </c>
      <c r="CD815" s="431">
        <f>'Fiche info Avenant 9'!$AY$8</f>
        <v>0</v>
      </c>
      <c r="CE815" s="431">
        <f>'Fiche info Avenant 9'!$AZ$8</f>
        <v>0</v>
      </c>
      <c r="CF815" s="431">
        <f>'Fiche info Avenant 9'!$BA$8</f>
        <v>0</v>
      </c>
      <c r="ED815" s="16" t="str">
        <f t="shared" si="158"/>
        <v>Fiche info Avenant 9E</v>
      </c>
      <c r="EE815" s="16" t="str">
        <f t="shared" si="159"/>
        <v>Fiche info Avenant 9</v>
      </c>
      <c r="EF815" s="16" t="str">
        <f t="shared" si="160"/>
        <v>E</v>
      </c>
      <c r="EG815" s="16">
        <f t="shared" si="161"/>
        <v>2</v>
      </c>
      <c r="EH815" s="16" t="str">
        <f t="shared" si="162"/>
        <v>Mardi</v>
      </c>
      <c r="EI815" s="16" t="str">
        <f t="shared" si="163"/>
        <v/>
      </c>
    </row>
    <row r="816" spans="1:139" x14ac:dyDescent="0.2">
      <c r="A816" s="16" t="str">
        <f t="shared" si="166"/>
        <v>Fiche info Avenant 9E3</v>
      </c>
      <c r="B816" s="16" t="str">
        <f t="shared" si="167"/>
        <v>Fiche info Avenant 9</v>
      </c>
      <c r="C816" s="27" t="s">
        <v>234</v>
      </c>
      <c r="D816" s="27">
        <v>3</v>
      </c>
      <c r="E816" s="16" t="s">
        <v>19</v>
      </c>
      <c r="F816" s="34" t="str">
        <f>IF(+'Fiche info Avenant 9'!$BC$9=0,"",'Fiche info Avenant 9'!$BC$9)</f>
        <v/>
      </c>
      <c r="G816" s="16">
        <f t="shared" si="164"/>
        <v>0</v>
      </c>
      <c r="BX816" s="16" t="str">
        <f t="shared" si="165"/>
        <v>Fiche info Avenant 9E3</v>
      </c>
      <c r="BY816" s="431">
        <f>'Fiche info Avenant 9'!$AT$9</f>
        <v>0</v>
      </c>
      <c r="BZ816" s="431">
        <f>'Fiche info Avenant 9'!$AU$9</f>
        <v>0</v>
      </c>
      <c r="CA816" s="431">
        <f>'Fiche info Avenant 9'!$AV$9</f>
        <v>0</v>
      </c>
      <c r="CB816" s="431">
        <f>'Fiche info Avenant 9'!$AW$9</f>
        <v>0</v>
      </c>
      <c r="CC816" s="431">
        <f>'Fiche info Avenant 9'!$AX$9</f>
        <v>0</v>
      </c>
      <c r="CD816" s="431">
        <f>'Fiche info Avenant 9'!$AY$9</f>
        <v>0</v>
      </c>
      <c r="CE816" s="431">
        <f>'Fiche info Avenant 9'!$AZ$9</f>
        <v>0</v>
      </c>
      <c r="CF816" s="431">
        <f>'Fiche info Avenant 9'!$BA$9</f>
        <v>0</v>
      </c>
      <c r="ED816" s="16" t="str">
        <f t="shared" si="158"/>
        <v>Fiche info Avenant 9E</v>
      </c>
      <c r="EE816" s="16" t="str">
        <f t="shared" si="159"/>
        <v>Fiche info Avenant 9</v>
      </c>
      <c r="EF816" s="16" t="str">
        <f t="shared" si="160"/>
        <v>E</v>
      </c>
      <c r="EG816" s="16">
        <f t="shared" si="161"/>
        <v>3</v>
      </c>
      <c r="EH816" s="16" t="str">
        <f t="shared" si="162"/>
        <v>Mercredi</v>
      </c>
      <c r="EI816" s="16" t="str">
        <f t="shared" si="163"/>
        <v/>
      </c>
    </row>
    <row r="817" spans="1:139" x14ac:dyDescent="0.2">
      <c r="A817" s="16" t="str">
        <f t="shared" si="166"/>
        <v>Fiche info Avenant 9E4</v>
      </c>
      <c r="B817" s="16" t="str">
        <f t="shared" si="167"/>
        <v>Fiche info Avenant 9</v>
      </c>
      <c r="C817" s="27" t="s">
        <v>234</v>
      </c>
      <c r="D817" s="27">
        <v>4</v>
      </c>
      <c r="E817" s="16" t="s">
        <v>20</v>
      </c>
      <c r="F817" s="34" t="str">
        <f>IF(+'Fiche info Avenant 9'!$BC$10=0,"",'Fiche info Avenant 9'!$BC$10)</f>
        <v/>
      </c>
      <c r="G817" s="16">
        <f t="shared" si="164"/>
        <v>0</v>
      </c>
      <c r="BX817" s="16" t="str">
        <f t="shared" si="165"/>
        <v>Fiche info Avenant 9E4</v>
      </c>
      <c r="BY817" s="431">
        <f>'Fiche info Avenant 9'!$AT$10</f>
        <v>0</v>
      </c>
      <c r="BZ817" s="431">
        <f>'Fiche info Avenant 9'!$AU$10</f>
        <v>0</v>
      </c>
      <c r="CA817" s="431">
        <f>'Fiche info Avenant 9'!$AV$10</f>
        <v>0</v>
      </c>
      <c r="CB817" s="431">
        <f>'Fiche info Avenant 9'!$AW$10</f>
        <v>0</v>
      </c>
      <c r="CC817" s="431">
        <f>'Fiche info Avenant 9'!$AX$10</f>
        <v>0</v>
      </c>
      <c r="CD817" s="431">
        <f>'Fiche info Avenant 9'!$AY$10</f>
        <v>0</v>
      </c>
      <c r="CE817" s="431">
        <f>'Fiche info Avenant 9'!$AZ$10</f>
        <v>0</v>
      </c>
      <c r="CF817" s="431">
        <f>'Fiche info Avenant 9'!$BA$10</f>
        <v>0</v>
      </c>
      <c r="ED817" s="16" t="str">
        <f t="shared" si="158"/>
        <v>Fiche info Avenant 9E</v>
      </c>
      <c r="EE817" s="16" t="str">
        <f t="shared" si="159"/>
        <v>Fiche info Avenant 9</v>
      </c>
      <c r="EF817" s="16" t="str">
        <f t="shared" si="160"/>
        <v>E</v>
      </c>
      <c r="EG817" s="16">
        <f t="shared" si="161"/>
        <v>4</v>
      </c>
      <c r="EH817" s="16" t="str">
        <f t="shared" si="162"/>
        <v>Jeudi</v>
      </c>
      <c r="EI817" s="16" t="str">
        <f t="shared" si="163"/>
        <v/>
      </c>
    </row>
    <row r="818" spans="1:139" x14ac:dyDescent="0.2">
      <c r="A818" s="16" t="str">
        <f t="shared" si="166"/>
        <v>Fiche info Avenant 9E5</v>
      </c>
      <c r="B818" s="16" t="str">
        <f t="shared" si="167"/>
        <v>Fiche info Avenant 9</v>
      </c>
      <c r="C818" s="27" t="s">
        <v>234</v>
      </c>
      <c r="D818" s="27">
        <v>5</v>
      </c>
      <c r="E818" s="16" t="s">
        <v>21</v>
      </c>
      <c r="F818" s="34" t="str">
        <f>IF(+'Fiche info Avenant 9'!$BC$11=0,"",'Fiche info Avenant 9'!$BC$11)</f>
        <v/>
      </c>
      <c r="G818" s="16">
        <f t="shared" si="164"/>
        <v>0</v>
      </c>
      <c r="BX818" s="16" t="str">
        <f t="shared" si="165"/>
        <v>Fiche info Avenant 9E5</v>
      </c>
      <c r="BY818" s="431">
        <f>'Fiche info Avenant 9'!$AT$11</f>
        <v>0</v>
      </c>
      <c r="BZ818" s="431">
        <f>'Fiche info Avenant 9'!$AU$11</f>
        <v>0</v>
      </c>
      <c r="CA818" s="431">
        <f>'Fiche info Avenant 9'!$AV$11</f>
        <v>0</v>
      </c>
      <c r="CB818" s="431">
        <f>'Fiche info Avenant 9'!$AW$11</f>
        <v>0</v>
      </c>
      <c r="CC818" s="431">
        <f>'Fiche info Avenant 9'!$AX$11</f>
        <v>0</v>
      </c>
      <c r="CD818" s="431">
        <f>'Fiche info Avenant 9'!$AY$11</f>
        <v>0</v>
      </c>
      <c r="CE818" s="431">
        <f>'Fiche info Avenant 9'!$AZ$11</f>
        <v>0</v>
      </c>
      <c r="CF818" s="431">
        <f>'Fiche info Avenant 9'!$BA$11</f>
        <v>0</v>
      </c>
      <c r="ED818" s="16" t="str">
        <f t="shared" si="158"/>
        <v>Fiche info Avenant 9E</v>
      </c>
      <c r="EE818" s="16" t="str">
        <f t="shared" si="159"/>
        <v>Fiche info Avenant 9</v>
      </c>
      <c r="EF818" s="16" t="str">
        <f t="shared" si="160"/>
        <v>E</v>
      </c>
      <c r="EG818" s="16">
        <f t="shared" si="161"/>
        <v>5</v>
      </c>
      <c r="EH818" s="16" t="str">
        <f t="shared" si="162"/>
        <v>Vendredi</v>
      </c>
      <c r="EI818" s="16" t="str">
        <f t="shared" si="163"/>
        <v/>
      </c>
    </row>
    <row r="819" spans="1:139" x14ac:dyDescent="0.2">
      <c r="A819" s="16" t="str">
        <f t="shared" si="166"/>
        <v>Fiche info Avenant 9E6</v>
      </c>
      <c r="B819" s="16" t="str">
        <f t="shared" si="167"/>
        <v>Fiche info Avenant 9</v>
      </c>
      <c r="C819" s="27" t="s">
        <v>234</v>
      </c>
      <c r="D819" s="27">
        <v>6</v>
      </c>
      <c r="E819" s="16" t="s">
        <v>184</v>
      </c>
      <c r="F819" s="34" t="str">
        <f>IF(+'Fiche info Avenant 9'!$BC$12=0,"",'Fiche info Avenant 9'!$BC$12)</f>
        <v/>
      </c>
      <c r="G819" s="16">
        <f t="shared" si="164"/>
        <v>0</v>
      </c>
      <c r="BX819" s="16" t="str">
        <f t="shared" si="165"/>
        <v>Fiche info Avenant 9E6</v>
      </c>
      <c r="BY819" s="431">
        <f>'Fiche info Avenant 9'!$AT$12</f>
        <v>0</v>
      </c>
      <c r="BZ819" s="431">
        <f>'Fiche info Avenant 9'!$AU$12</f>
        <v>0</v>
      </c>
      <c r="CA819" s="431">
        <f>'Fiche info Avenant 9'!$AV$12</f>
        <v>0</v>
      </c>
      <c r="CB819" s="431">
        <f>'Fiche info Avenant 9'!$AW$12</f>
        <v>0</v>
      </c>
      <c r="CC819" s="431">
        <f>'Fiche info Avenant 9'!$AX$12</f>
        <v>0</v>
      </c>
      <c r="CD819" s="431">
        <f>'Fiche info Avenant 9'!$AY$12</f>
        <v>0</v>
      </c>
      <c r="CE819" s="431">
        <f>'Fiche info Avenant 9'!$AZ$12</f>
        <v>0</v>
      </c>
      <c r="CF819" s="431">
        <f>'Fiche info Avenant 9'!$BA$12</f>
        <v>0</v>
      </c>
      <c r="ED819" s="16" t="str">
        <f t="shared" ref="ED819:ED882" si="168">+EE819&amp;EF819</f>
        <v>Fiche info Avenant 9E</v>
      </c>
      <c r="EE819" s="16" t="str">
        <f t="shared" si="159"/>
        <v>Fiche info Avenant 9</v>
      </c>
      <c r="EF819" s="16" t="str">
        <f t="shared" si="160"/>
        <v>E</v>
      </c>
      <c r="EG819" s="16">
        <f t="shared" si="161"/>
        <v>6</v>
      </c>
      <c r="EH819" s="16" t="str">
        <f t="shared" si="162"/>
        <v>Samedi</v>
      </c>
      <c r="EI819" s="16" t="str">
        <f t="shared" si="163"/>
        <v/>
      </c>
    </row>
    <row r="820" spans="1:139" x14ac:dyDescent="0.2">
      <c r="A820" s="16" t="str">
        <f t="shared" si="166"/>
        <v>Fiche info Avenant 9E7</v>
      </c>
      <c r="B820" s="16" t="str">
        <f t="shared" si="167"/>
        <v>Fiche info Avenant 9</v>
      </c>
      <c r="C820" s="27" t="s">
        <v>234</v>
      </c>
      <c r="D820" s="27">
        <v>7</v>
      </c>
      <c r="E820" s="16" t="s">
        <v>185</v>
      </c>
      <c r="F820" s="34" t="str">
        <f>IF(+'Fiche info Avenant 9'!$BC$13=0,"",'Fiche info Avenant 9'!$BC$13)</f>
        <v/>
      </c>
      <c r="G820" s="16">
        <f t="shared" si="164"/>
        <v>0</v>
      </c>
      <c r="BX820" s="16" t="str">
        <f t="shared" si="165"/>
        <v>Fiche info Avenant 9E7</v>
      </c>
      <c r="BY820" s="431">
        <f>'Fiche info Avenant 9'!$AT$13</f>
        <v>0</v>
      </c>
      <c r="BZ820" s="431">
        <f>'Fiche info Avenant 9'!$AU$13</f>
        <v>0</v>
      </c>
      <c r="CA820" s="431">
        <f>'Fiche info Avenant 9'!$AV$13</f>
        <v>0</v>
      </c>
      <c r="CB820" s="431">
        <f>'Fiche info Avenant 9'!$AW$13</f>
        <v>0</v>
      </c>
      <c r="CC820" s="431">
        <f>'Fiche info Avenant 9'!$AX$13</f>
        <v>0</v>
      </c>
      <c r="CD820" s="431">
        <f>'Fiche info Avenant 9'!$AY$13</f>
        <v>0</v>
      </c>
      <c r="CE820" s="431">
        <f>'Fiche info Avenant 9'!$AZ$13</f>
        <v>0</v>
      </c>
      <c r="CF820" s="431">
        <f>'Fiche info Avenant 9'!$BA$13</f>
        <v>0</v>
      </c>
      <c r="ED820" s="16" t="str">
        <f t="shared" si="168"/>
        <v>Fiche info Avenant 9E</v>
      </c>
      <c r="EE820" s="16" t="str">
        <f t="shared" si="159"/>
        <v>Fiche info Avenant 9</v>
      </c>
      <c r="EF820" s="16" t="str">
        <f t="shared" si="160"/>
        <v>E</v>
      </c>
      <c r="EG820" s="16">
        <f t="shared" si="161"/>
        <v>7</v>
      </c>
      <c r="EH820" s="16" t="str">
        <f t="shared" si="162"/>
        <v>Dimanche</v>
      </c>
      <c r="EI820" s="16" t="str">
        <f t="shared" si="163"/>
        <v/>
      </c>
    </row>
    <row r="821" spans="1:139" x14ac:dyDescent="0.2">
      <c r="A821" s="16" t="str">
        <f t="shared" si="166"/>
        <v>Fiche info Avenant 9F1</v>
      </c>
      <c r="B821" s="16" t="str">
        <f t="shared" si="167"/>
        <v>Fiche info Avenant 9</v>
      </c>
      <c r="C821" s="27" t="s">
        <v>235</v>
      </c>
      <c r="D821" s="27">
        <v>1</v>
      </c>
      <c r="E821" s="16" t="s">
        <v>17</v>
      </c>
      <c r="F821" s="34" t="str">
        <f>+IF('Fiche info Avenant 9'!$BN$7=0,"",'Fiche info Avenant 9'!$BN$7)</f>
        <v/>
      </c>
      <c r="G821" s="16">
        <f t="shared" si="164"/>
        <v>0</v>
      </c>
      <c r="BX821" s="16" t="str">
        <f t="shared" si="165"/>
        <v>Fiche info Avenant 9F1</v>
      </c>
      <c r="BY821" s="431">
        <f>'Fiche info Avenant 9'!$BE$7</f>
        <v>0</v>
      </c>
      <c r="BZ821" s="431">
        <f>'Fiche info Avenant 9'!$BF$7</f>
        <v>0</v>
      </c>
      <c r="CA821" s="431">
        <f>'Fiche info Avenant 9'!$BG$7</f>
        <v>0</v>
      </c>
      <c r="CB821" s="431">
        <f>'Fiche info Avenant 9'!$BH$7</f>
        <v>0</v>
      </c>
      <c r="CC821" s="431">
        <f>'Fiche info Avenant 9'!$BI$7</f>
        <v>0</v>
      </c>
      <c r="CD821" s="431">
        <f>'Fiche info Avenant 9'!$BJ$7</f>
        <v>0</v>
      </c>
      <c r="CE821" s="431">
        <f>'Fiche info Avenant 9'!$BK$7</f>
        <v>0</v>
      </c>
      <c r="CF821" s="431">
        <f>'Fiche info Avenant 9'!$BL$7</f>
        <v>0</v>
      </c>
      <c r="ED821" s="16" t="str">
        <f t="shared" si="168"/>
        <v>Fiche info Avenant 9F</v>
      </c>
      <c r="EE821" s="16" t="str">
        <f t="shared" si="159"/>
        <v>Fiche info Avenant 9</v>
      </c>
      <c r="EF821" s="16" t="str">
        <f t="shared" si="160"/>
        <v>F</v>
      </c>
      <c r="EG821" s="16">
        <f t="shared" si="161"/>
        <v>1</v>
      </c>
      <c r="EH821" s="16" t="str">
        <f t="shared" si="162"/>
        <v>Lundi</v>
      </c>
      <c r="EI821" s="16" t="str">
        <f t="shared" si="163"/>
        <v/>
      </c>
    </row>
    <row r="822" spans="1:139" x14ac:dyDescent="0.2">
      <c r="A822" s="16" t="str">
        <f t="shared" si="166"/>
        <v>Fiche info Avenant 9F2</v>
      </c>
      <c r="B822" s="16" t="str">
        <f t="shared" si="167"/>
        <v>Fiche info Avenant 9</v>
      </c>
      <c r="C822" s="27" t="s">
        <v>235</v>
      </c>
      <c r="D822" s="27">
        <v>2</v>
      </c>
      <c r="E822" s="16" t="s">
        <v>18</v>
      </c>
      <c r="F822" s="34" t="str">
        <f>+IF('Fiche info Avenant 9'!$BN$8=0,"",'Fiche info Avenant 9'!$BN$8)</f>
        <v/>
      </c>
      <c r="G822" s="16">
        <f t="shared" si="164"/>
        <v>0</v>
      </c>
      <c r="BX822" s="16" t="str">
        <f t="shared" si="165"/>
        <v>Fiche info Avenant 9F2</v>
      </c>
      <c r="BY822" s="431">
        <f>'Fiche info Avenant 9'!$BE$8</f>
        <v>0</v>
      </c>
      <c r="BZ822" s="431">
        <f>'Fiche info Avenant 9'!$BF$8</f>
        <v>0</v>
      </c>
      <c r="CA822" s="431">
        <f>'Fiche info Avenant 9'!$BG$8</f>
        <v>0</v>
      </c>
      <c r="CB822" s="431">
        <f>'Fiche info Avenant 9'!$BH$8</f>
        <v>0</v>
      </c>
      <c r="CC822" s="431">
        <f>'Fiche info Avenant 9'!$BI$8</f>
        <v>0</v>
      </c>
      <c r="CD822" s="431">
        <f>'Fiche info Avenant 9'!$BJ$8</f>
        <v>0</v>
      </c>
      <c r="CE822" s="431">
        <f>'Fiche info Avenant 9'!$BK$8</f>
        <v>0</v>
      </c>
      <c r="CF822" s="431">
        <f>'Fiche info Avenant 9'!$BL$8</f>
        <v>0</v>
      </c>
      <c r="ED822" s="16" t="str">
        <f t="shared" si="168"/>
        <v>Fiche info Avenant 9F</v>
      </c>
      <c r="EE822" s="16" t="str">
        <f t="shared" si="159"/>
        <v>Fiche info Avenant 9</v>
      </c>
      <c r="EF822" s="16" t="str">
        <f t="shared" si="160"/>
        <v>F</v>
      </c>
      <c r="EG822" s="16">
        <f t="shared" si="161"/>
        <v>2</v>
      </c>
      <c r="EH822" s="16" t="str">
        <f t="shared" si="162"/>
        <v>Mardi</v>
      </c>
      <c r="EI822" s="16" t="str">
        <f t="shared" si="163"/>
        <v/>
      </c>
    </row>
    <row r="823" spans="1:139" x14ac:dyDescent="0.2">
      <c r="A823" s="16" t="str">
        <f t="shared" si="166"/>
        <v>Fiche info Avenant 9F3</v>
      </c>
      <c r="B823" s="16" t="str">
        <f t="shared" si="167"/>
        <v>Fiche info Avenant 9</v>
      </c>
      <c r="C823" s="27" t="s">
        <v>235</v>
      </c>
      <c r="D823" s="27">
        <v>3</v>
      </c>
      <c r="E823" s="16" t="s">
        <v>19</v>
      </c>
      <c r="F823" s="34" t="str">
        <f>+IF('Fiche info Avenant 9'!$BN$9=0,"",'Fiche info Avenant 9'!$BN$9)</f>
        <v/>
      </c>
      <c r="G823" s="16">
        <f t="shared" si="164"/>
        <v>0</v>
      </c>
      <c r="BX823" s="16" t="str">
        <f t="shared" si="165"/>
        <v>Fiche info Avenant 9F3</v>
      </c>
      <c r="BY823" s="431">
        <f>'Fiche info Avenant 9'!$BE$9</f>
        <v>0</v>
      </c>
      <c r="BZ823" s="431">
        <f>'Fiche info Avenant 9'!$BF$9</f>
        <v>0</v>
      </c>
      <c r="CA823" s="431">
        <f>'Fiche info Avenant 9'!$BG$9</f>
        <v>0</v>
      </c>
      <c r="CB823" s="431">
        <f>'Fiche info Avenant 9'!$BH$9</f>
        <v>0</v>
      </c>
      <c r="CC823" s="431">
        <f>'Fiche info Avenant 9'!$BI$9</f>
        <v>0</v>
      </c>
      <c r="CD823" s="431">
        <f>'Fiche info Avenant 9'!$BJ$9</f>
        <v>0</v>
      </c>
      <c r="CE823" s="431">
        <f>'Fiche info Avenant 9'!$BK$9</f>
        <v>0</v>
      </c>
      <c r="CF823" s="431">
        <f>'Fiche info Avenant 9'!$BL$9</f>
        <v>0</v>
      </c>
      <c r="ED823" s="16" t="str">
        <f t="shared" si="168"/>
        <v>Fiche info Avenant 9F</v>
      </c>
      <c r="EE823" s="16" t="str">
        <f t="shared" si="159"/>
        <v>Fiche info Avenant 9</v>
      </c>
      <c r="EF823" s="16" t="str">
        <f t="shared" si="160"/>
        <v>F</v>
      </c>
      <c r="EG823" s="16">
        <f t="shared" si="161"/>
        <v>3</v>
      </c>
      <c r="EH823" s="16" t="str">
        <f t="shared" si="162"/>
        <v>Mercredi</v>
      </c>
      <c r="EI823" s="16" t="str">
        <f t="shared" si="163"/>
        <v/>
      </c>
    </row>
    <row r="824" spans="1:139" x14ac:dyDescent="0.2">
      <c r="A824" s="16" t="str">
        <f t="shared" si="166"/>
        <v>Fiche info Avenant 9F4</v>
      </c>
      <c r="B824" s="16" t="str">
        <f t="shared" si="167"/>
        <v>Fiche info Avenant 9</v>
      </c>
      <c r="C824" s="27" t="s">
        <v>235</v>
      </c>
      <c r="D824" s="27">
        <v>4</v>
      </c>
      <c r="E824" s="16" t="s">
        <v>20</v>
      </c>
      <c r="F824" s="34" t="str">
        <f>+IF('Fiche info Avenant 9'!$BN$10=0,"",'Fiche info Avenant 9'!$BN$10)</f>
        <v/>
      </c>
      <c r="G824" s="16">
        <f t="shared" si="164"/>
        <v>0</v>
      </c>
      <c r="BX824" s="16" t="str">
        <f t="shared" si="165"/>
        <v>Fiche info Avenant 9F4</v>
      </c>
      <c r="BY824" s="431">
        <f>'Fiche info Avenant 9'!$BE$10</f>
        <v>0</v>
      </c>
      <c r="BZ824" s="431">
        <f>'Fiche info Avenant 9'!$BF$10</f>
        <v>0</v>
      </c>
      <c r="CA824" s="431">
        <f>'Fiche info Avenant 9'!$BG$10</f>
        <v>0</v>
      </c>
      <c r="CB824" s="431">
        <f>'Fiche info Avenant 9'!$BH$10</f>
        <v>0</v>
      </c>
      <c r="CC824" s="431">
        <f>'Fiche info Avenant 9'!$BI$10</f>
        <v>0</v>
      </c>
      <c r="CD824" s="431">
        <f>'Fiche info Avenant 9'!$BJ$10</f>
        <v>0</v>
      </c>
      <c r="CE824" s="431">
        <f>'Fiche info Avenant 9'!$BK$10</f>
        <v>0</v>
      </c>
      <c r="CF824" s="431">
        <f>'Fiche info Avenant 9'!$BL$10</f>
        <v>0</v>
      </c>
      <c r="ED824" s="16" t="str">
        <f t="shared" si="168"/>
        <v>Fiche info Avenant 9F</v>
      </c>
      <c r="EE824" s="16" t="str">
        <f t="shared" si="159"/>
        <v>Fiche info Avenant 9</v>
      </c>
      <c r="EF824" s="16" t="str">
        <f t="shared" si="160"/>
        <v>F</v>
      </c>
      <c r="EG824" s="16">
        <f t="shared" si="161"/>
        <v>4</v>
      </c>
      <c r="EH824" s="16" t="str">
        <f t="shared" si="162"/>
        <v>Jeudi</v>
      </c>
      <c r="EI824" s="16" t="str">
        <f t="shared" si="163"/>
        <v/>
      </c>
    </row>
    <row r="825" spans="1:139" x14ac:dyDescent="0.2">
      <c r="A825" s="16" t="str">
        <f t="shared" si="166"/>
        <v>Fiche info Avenant 9F5</v>
      </c>
      <c r="B825" s="16" t="str">
        <f t="shared" si="167"/>
        <v>Fiche info Avenant 9</v>
      </c>
      <c r="C825" s="27" t="s">
        <v>235</v>
      </c>
      <c r="D825" s="27">
        <v>5</v>
      </c>
      <c r="E825" s="16" t="s">
        <v>21</v>
      </c>
      <c r="F825" s="34" t="str">
        <f>+IF('Fiche info Avenant 9'!$BN$11=0,"",'Fiche info Avenant 9'!$BN$11)</f>
        <v/>
      </c>
      <c r="G825" s="16">
        <f t="shared" si="164"/>
        <v>0</v>
      </c>
      <c r="BX825" s="16" t="str">
        <f t="shared" si="165"/>
        <v>Fiche info Avenant 9F5</v>
      </c>
      <c r="BY825" s="431">
        <f>'Fiche info Avenant 9'!$BE$11</f>
        <v>0</v>
      </c>
      <c r="BZ825" s="431">
        <f>'Fiche info Avenant 9'!$BF$11</f>
        <v>0</v>
      </c>
      <c r="CA825" s="431">
        <f>'Fiche info Avenant 9'!$BG$11</f>
        <v>0</v>
      </c>
      <c r="CB825" s="431">
        <f>'Fiche info Avenant 9'!$BH$11</f>
        <v>0</v>
      </c>
      <c r="CC825" s="431">
        <f>'Fiche info Avenant 9'!$BI$11</f>
        <v>0</v>
      </c>
      <c r="CD825" s="431">
        <f>'Fiche info Avenant 9'!$BJ$11</f>
        <v>0</v>
      </c>
      <c r="CE825" s="431">
        <f>'Fiche info Avenant 9'!$BK$11</f>
        <v>0</v>
      </c>
      <c r="CF825" s="431">
        <f>'Fiche info Avenant 9'!$BL$11</f>
        <v>0</v>
      </c>
      <c r="ED825" s="16" t="str">
        <f t="shared" si="168"/>
        <v>Fiche info Avenant 9F</v>
      </c>
      <c r="EE825" s="16" t="str">
        <f t="shared" si="159"/>
        <v>Fiche info Avenant 9</v>
      </c>
      <c r="EF825" s="16" t="str">
        <f t="shared" si="160"/>
        <v>F</v>
      </c>
      <c r="EG825" s="16">
        <f t="shared" si="161"/>
        <v>5</v>
      </c>
      <c r="EH825" s="16" t="str">
        <f t="shared" si="162"/>
        <v>Vendredi</v>
      </c>
      <c r="EI825" s="16" t="str">
        <f t="shared" si="163"/>
        <v/>
      </c>
    </row>
    <row r="826" spans="1:139" x14ac:dyDescent="0.2">
      <c r="A826" s="16" t="str">
        <f t="shared" si="166"/>
        <v>Fiche info Avenant 9F6</v>
      </c>
      <c r="B826" s="16" t="str">
        <f t="shared" si="167"/>
        <v>Fiche info Avenant 9</v>
      </c>
      <c r="C826" s="27" t="s">
        <v>235</v>
      </c>
      <c r="D826" s="27">
        <v>6</v>
      </c>
      <c r="E826" s="16" t="s">
        <v>184</v>
      </c>
      <c r="F826" s="34" t="str">
        <f>+IF('Fiche info Avenant 9'!$BN$12=0,"",'Fiche info Avenant 9'!$BN$12)</f>
        <v/>
      </c>
      <c r="G826" s="16">
        <f t="shared" si="164"/>
        <v>0</v>
      </c>
      <c r="BX826" s="16" t="str">
        <f t="shared" si="165"/>
        <v>Fiche info Avenant 9F6</v>
      </c>
      <c r="BY826" s="431">
        <f>'Fiche info Avenant 9'!$BE$12</f>
        <v>0</v>
      </c>
      <c r="BZ826" s="431">
        <f>'Fiche info Avenant 9'!$BF$12</f>
        <v>0</v>
      </c>
      <c r="CA826" s="431">
        <f>'Fiche info Avenant 9'!$BG$12</f>
        <v>0</v>
      </c>
      <c r="CB826" s="431">
        <f>'Fiche info Avenant 9'!$BH$12</f>
        <v>0</v>
      </c>
      <c r="CC826" s="431">
        <f>'Fiche info Avenant 9'!$BI$12</f>
        <v>0</v>
      </c>
      <c r="CD826" s="431">
        <f>'Fiche info Avenant 9'!$BJ$12</f>
        <v>0</v>
      </c>
      <c r="CE826" s="431">
        <f>'Fiche info Avenant 9'!$BK$12</f>
        <v>0</v>
      </c>
      <c r="CF826" s="431">
        <f>'Fiche info Avenant 9'!$BL$12</f>
        <v>0</v>
      </c>
      <c r="ED826" s="16" t="str">
        <f t="shared" si="168"/>
        <v>Fiche info Avenant 9F</v>
      </c>
      <c r="EE826" s="16" t="str">
        <f t="shared" si="159"/>
        <v>Fiche info Avenant 9</v>
      </c>
      <c r="EF826" s="16" t="str">
        <f t="shared" si="160"/>
        <v>F</v>
      </c>
      <c r="EG826" s="16">
        <f t="shared" si="161"/>
        <v>6</v>
      </c>
      <c r="EH826" s="16" t="str">
        <f t="shared" si="162"/>
        <v>Samedi</v>
      </c>
      <c r="EI826" s="16" t="str">
        <f t="shared" si="163"/>
        <v/>
      </c>
    </row>
    <row r="827" spans="1:139" x14ac:dyDescent="0.2">
      <c r="A827" s="16" t="str">
        <f t="shared" si="166"/>
        <v>Fiche info Avenant 9F7</v>
      </c>
      <c r="B827" s="16" t="str">
        <f t="shared" si="167"/>
        <v>Fiche info Avenant 9</v>
      </c>
      <c r="C827" s="27" t="s">
        <v>235</v>
      </c>
      <c r="D827" s="27">
        <v>7</v>
      </c>
      <c r="E827" s="16" t="s">
        <v>185</v>
      </c>
      <c r="F827" s="34" t="str">
        <f>+IF('Fiche info Avenant 9'!$BN$13=0,"",'Fiche info Avenant 9'!$BN$13)</f>
        <v/>
      </c>
      <c r="G827" s="16">
        <f t="shared" si="164"/>
        <v>0</v>
      </c>
      <c r="BX827" s="16" t="str">
        <f t="shared" si="165"/>
        <v>Fiche info Avenant 9F7</v>
      </c>
      <c r="BY827" s="431">
        <f>'Fiche info Avenant 9'!$BE$13</f>
        <v>0</v>
      </c>
      <c r="BZ827" s="431">
        <f>'Fiche info Avenant 9'!$BF$13</f>
        <v>0</v>
      </c>
      <c r="CA827" s="431">
        <f>'Fiche info Avenant 9'!$BG$13</f>
        <v>0</v>
      </c>
      <c r="CB827" s="431">
        <f>'Fiche info Avenant 9'!$BH$13</f>
        <v>0</v>
      </c>
      <c r="CC827" s="431">
        <f>'Fiche info Avenant 9'!$BI$13</f>
        <v>0</v>
      </c>
      <c r="CD827" s="431">
        <f>'Fiche info Avenant 9'!$BJ$13</f>
        <v>0</v>
      </c>
      <c r="CE827" s="431">
        <f>'Fiche info Avenant 9'!$BK$13</f>
        <v>0</v>
      </c>
      <c r="CF827" s="431">
        <f>'Fiche info Avenant 9'!$BL$13</f>
        <v>0</v>
      </c>
      <c r="ED827" s="16" t="str">
        <f t="shared" si="168"/>
        <v>Fiche info Avenant 9F</v>
      </c>
      <c r="EE827" s="16" t="str">
        <f t="shared" si="159"/>
        <v>Fiche info Avenant 9</v>
      </c>
      <c r="EF827" s="16" t="str">
        <f t="shared" si="160"/>
        <v>F</v>
      </c>
      <c r="EG827" s="16">
        <f t="shared" si="161"/>
        <v>7</v>
      </c>
      <c r="EH827" s="16" t="str">
        <f t="shared" si="162"/>
        <v>Dimanche</v>
      </c>
      <c r="EI827" s="16" t="str">
        <f t="shared" si="163"/>
        <v/>
      </c>
    </row>
    <row r="828" spans="1:139" x14ac:dyDescent="0.2">
      <c r="A828" s="16" t="str">
        <f t="shared" si="166"/>
        <v>Fiche info Avenant 9G1</v>
      </c>
      <c r="B828" s="16" t="str">
        <f t="shared" si="167"/>
        <v>Fiche info Avenant 9</v>
      </c>
      <c r="C828" s="27" t="s">
        <v>236</v>
      </c>
      <c r="D828" s="27">
        <v>1</v>
      </c>
      <c r="E828" s="16" t="s">
        <v>17</v>
      </c>
      <c r="F828" s="34" t="str">
        <f>+IF('Fiche info Avenant 9'!$BY$7=0,"",'Fiche info Avenant 9'!$BY$7)</f>
        <v/>
      </c>
      <c r="G828" s="16">
        <f t="shared" si="164"/>
        <v>0</v>
      </c>
      <c r="BX828" s="16" t="str">
        <f t="shared" si="165"/>
        <v>Fiche info Avenant 9G1</v>
      </c>
      <c r="BY828" s="431">
        <f>'Fiche info Avenant 9'!$BP$7</f>
        <v>0</v>
      </c>
      <c r="BZ828" s="431">
        <f>'Fiche info Avenant 9'!$BQ$7</f>
        <v>0</v>
      </c>
      <c r="CA828" s="431">
        <f>'Fiche info Avenant 9'!$BR$7</f>
        <v>0</v>
      </c>
      <c r="CB828" s="431">
        <f>'Fiche info Avenant 9'!$BS$7</f>
        <v>0</v>
      </c>
      <c r="CC828" s="431">
        <f>'Fiche info Avenant 9'!$BT$7</f>
        <v>0</v>
      </c>
      <c r="CD828" s="431">
        <f>'Fiche info Avenant 9'!$BU$7</f>
        <v>0</v>
      </c>
      <c r="CE828" s="431">
        <f>'Fiche info Avenant 9'!$BV$7</f>
        <v>0</v>
      </c>
      <c r="CF828" s="431">
        <f>'Fiche info Avenant 9'!$BW$7</f>
        <v>0</v>
      </c>
      <c r="ED828" s="16" t="str">
        <f t="shared" si="168"/>
        <v>Fiche info Avenant 9G</v>
      </c>
      <c r="EE828" s="16" t="str">
        <f t="shared" si="159"/>
        <v>Fiche info Avenant 9</v>
      </c>
      <c r="EF828" s="16" t="str">
        <f t="shared" si="160"/>
        <v>G</v>
      </c>
      <c r="EG828" s="16">
        <f t="shared" si="161"/>
        <v>1</v>
      </c>
      <c r="EH828" s="16" t="str">
        <f t="shared" si="162"/>
        <v>Lundi</v>
      </c>
      <c r="EI828" s="16" t="str">
        <f t="shared" si="163"/>
        <v/>
      </c>
    </row>
    <row r="829" spans="1:139" x14ac:dyDescent="0.2">
      <c r="A829" s="16" t="str">
        <f t="shared" si="166"/>
        <v>Fiche info Avenant 9G2</v>
      </c>
      <c r="B829" s="16" t="str">
        <f t="shared" si="167"/>
        <v>Fiche info Avenant 9</v>
      </c>
      <c r="C829" s="27" t="s">
        <v>236</v>
      </c>
      <c r="D829" s="27">
        <v>2</v>
      </c>
      <c r="E829" s="16" t="s">
        <v>18</v>
      </c>
      <c r="F829" s="34" t="str">
        <f>+IF('Fiche info Avenant 9'!$BY$8=0,"",'Fiche info Avenant 9'!$BY$8)</f>
        <v/>
      </c>
      <c r="G829" s="16">
        <f t="shared" si="164"/>
        <v>0</v>
      </c>
      <c r="BX829" s="16" t="str">
        <f t="shared" si="165"/>
        <v>Fiche info Avenant 9G2</v>
      </c>
      <c r="BY829" s="431">
        <f>'Fiche info Avenant 9'!$BP$8</f>
        <v>0</v>
      </c>
      <c r="BZ829" s="431">
        <f>'Fiche info Avenant 9'!$BQ$8</f>
        <v>0</v>
      </c>
      <c r="CA829" s="431">
        <f>'Fiche info Avenant 9'!$BR$8</f>
        <v>0</v>
      </c>
      <c r="CB829" s="431">
        <f>'Fiche info Avenant 9'!$BS$8</f>
        <v>0</v>
      </c>
      <c r="CC829" s="431">
        <f>'Fiche info Avenant 9'!$BT$8</f>
        <v>0</v>
      </c>
      <c r="CD829" s="431">
        <f>'Fiche info Avenant 9'!$BU$8</f>
        <v>0</v>
      </c>
      <c r="CE829" s="431">
        <f>'Fiche info Avenant 9'!$BV$8</f>
        <v>0</v>
      </c>
      <c r="CF829" s="431">
        <f>'Fiche info Avenant 9'!$BW$8</f>
        <v>0</v>
      </c>
      <c r="ED829" s="16" t="str">
        <f t="shared" si="168"/>
        <v>Fiche info Avenant 9G</v>
      </c>
      <c r="EE829" s="16" t="str">
        <f t="shared" si="159"/>
        <v>Fiche info Avenant 9</v>
      </c>
      <c r="EF829" s="16" t="str">
        <f t="shared" si="160"/>
        <v>G</v>
      </c>
      <c r="EG829" s="16">
        <f t="shared" si="161"/>
        <v>2</v>
      </c>
      <c r="EH829" s="16" t="str">
        <f t="shared" si="162"/>
        <v>Mardi</v>
      </c>
      <c r="EI829" s="16" t="str">
        <f t="shared" si="163"/>
        <v/>
      </c>
    </row>
    <row r="830" spans="1:139" x14ac:dyDescent="0.2">
      <c r="A830" s="16" t="str">
        <f t="shared" si="166"/>
        <v>Fiche info Avenant 9G3</v>
      </c>
      <c r="B830" s="16" t="str">
        <f t="shared" si="167"/>
        <v>Fiche info Avenant 9</v>
      </c>
      <c r="C830" s="27" t="s">
        <v>236</v>
      </c>
      <c r="D830" s="27">
        <v>3</v>
      </c>
      <c r="E830" s="16" t="s">
        <v>19</v>
      </c>
      <c r="F830" s="34" t="str">
        <f>+IF('Fiche info Avenant 9'!$BY$9=0,"",'Fiche info Avenant 9'!$BY$9)</f>
        <v/>
      </c>
      <c r="G830" s="16">
        <f t="shared" si="164"/>
        <v>0</v>
      </c>
      <c r="BX830" s="16" t="str">
        <f t="shared" si="165"/>
        <v>Fiche info Avenant 9G3</v>
      </c>
      <c r="BY830" s="431">
        <f>'Fiche info Avenant 9'!$BP$9</f>
        <v>0</v>
      </c>
      <c r="BZ830" s="431">
        <f>'Fiche info Avenant 9'!$BQ$9</f>
        <v>0</v>
      </c>
      <c r="CA830" s="431">
        <f>'Fiche info Avenant 9'!$BR$9</f>
        <v>0</v>
      </c>
      <c r="CB830" s="431">
        <f>'Fiche info Avenant 9'!$BS$9</f>
        <v>0</v>
      </c>
      <c r="CC830" s="431">
        <f>'Fiche info Avenant 9'!$BT$9</f>
        <v>0</v>
      </c>
      <c r="CD830" s="431">
        <f>'Fiche info Avenant 9'!$BU$9</f>
        <v>0</v>
      </c>
      <c r="CE830" s="431">
        <f>'Fiche info Avenant 9'!$BV$9</f>
        <v>0</v>
      </c>
      <c r="CF830" s="431">
        <f>'Fiche info Avenant 9'!$BW$9</f>
        <v>0</v>
      </c>
      <c r="ED830" s="16" t="str">
        <f t="shared" si="168"/>
        <v>Fiche info Avenant 9G</v>
      </c>
      <c r="EE830" s="16" t="str">
        <f t="shared" si="159"/>
        <v>Fiche info Avenant 9</v>
      </c>
      <c r="EF830" s="16" t="str">
        <f t="shared" si="160"/>
        <v>G</v>
      </c>
      <c r="EG830" s="16">
        <f t="shared" si="161"/>
        <v>3</v>
      </c>
      <c r="EH830" s="16" t="str">
        <f t="shared" si="162"/>
        <v>Mercredi</v>
      </c>
      <c r="EI830" s="16" t="str">
        <f t="shared" si="163"/>
        <v/>
      </c>
    </row>
    <row r="831" spans="1:139" x14ac:dyDescent="0.2">
      <c r="A831" s="16" t="str">
        <f t="shared" si="166"/>
        <v>Fiche info Avenant 9G4</v>
      </c>
      <c r="B831" s="16" t="str">
        <f t="shared" si="167"/>
        <v>Fiche info Avenant 9</v>
      </c>
      <c r="C831" s="27" t="s">
        <v>236</v>
      </c>
      <c r="D831" s="27">
        <v>4</v>
      </c>
      <c r="E831" s="16" t="s">
        <v>20</v>
      </c>
      <c r="F831" s="34" t="str">
        <f>+IF('Fiche info Avenant 9'!$BY$10=0,"",'Fiche info Avenant 9'!$BY$10)</f>
        <v/>
      </c>
      <c r="G831" s="16">
        <f t="shared" si="164"/>
        <v>0</v>
      </c>
      <c r="BX831" s="16" t="str">
        <f t="shared" si="165"/>
        <v>Fiche info Avenant 9G4</v>
      </c>
      <c r="BY831" s="431">
        <f>'Fiche info Avenant 9'!$BP$10</f>
        <v>0</v>
      </c>
      <c r="BZ831" s="431">
        <f>'Fiche info Avenant 9'!$BQ$10</f>
        <v>0</v>
      </c>
      <c r="CA831" s="431">
        <f>'Fiche info Avenant 9'!$BR$10</f>
        <v>0</v>
      </c>
      <c r="CB831" s="431">
        <f>'Fiche info Avenant 9'!$BS$10</f>
        <v>0</v>
      </c>
      <c r="CC831" s="431">
        <f>'Fiche info Avenant 9'!$BT$10</f>
        <v>0</v>
      </c>
      <c r="CD831" s="431">
        <f>'Fiche info Avenant 9'!$BU$10</f>
        <v>0</v>
      </c>
      <c r="CE831" s="431">
        <f>'Fiche info Avenant 9'!$BV$10</f>
        <v>0</v>
      </c>
      <c r="CF831" s="431">
        <f>'Fiche info Avenant 9'!$BW$10</f>
        <v>0</v>
      </c>
      <c r="ED831" s="16" t="str">
        <f t="shared" si="168"/>
        <v>Fiche info Avenant 9G</v>
      </c>
      <c r="EE831" s="16" t="str">
        <f t="shared" si="159"/>
        <v>Fiche info Avenant 9</v>
      </c>
      <c r="EF831" s="16" t="str">
        <f t="shared" si="160"/>
        <v>G</v>
      </c>
      <c r="EG831" s="16">
        <f t="shared" si="161"/>
        <v>4</v>
      </c>
      <c r="EH831" s="16" t="str">
        <f t="shared" si="162"/>
        <v>Jeudi</v>
      </c>
      <c r="EI831" s="16" t="str">
        <f t="shared" si="163"/>
        <v/>
      </c>
    </row>
    <row r="832" spans="1:139" x14ac:dyDescent="0.2">
      <c r="A832" s="16" t="str">
        <f t="shared" si="166"/>
        <v>Fiche info Avenant 9G5</v>
      </c>
      <c r="B832" s="16" t="str">
        <f t="shared" si="167"/>
        <v>Fiche info Avenant 9</v>
      </c>
      <c r="C832" s="27" t="s">
        <v>236</v>
      </c>
      <c r="D832" s="27">
        <v>5</v>
      </c>
      <c r="E832" s="16" t="s">
        <v>21</v>
      </c>
      <c r="F832" s="34" t="str">
        <f>+IF('Fiche info Avenant 9'!$BY$11=0,"",'Fiche info Avenant 9'!$BY$11)</f>
        <v/>
      </c>
      <c r="G832" s="16">
        <f t="shared" si="164"/>
        <v>0</v>
      </c>
      <c r="BX832" s="16" t="str">
        <f t="shared" si="165"/>
        <v>Fiche info Avenant 9G5</v>
      </c>
      <c r="BY832" s="431">
        <f>'Fiche info Avenant 9'!$BP$11</f>
        <v>0</v>
      </c>
      <c r="BZ832" s="431">
        <f>'Fiche info Avenant 9'!$BQ$11</f>
        <v>0</v>
      </c>
      <c r="CA832" s="431">
        <f>'Fiche info Avenant 9'!$BR$11</f>
        <v>0</v>
      </c>
      <c r="CB832" s="431">
        <f>'Fiche info Avenant 9'!$BS$11</f>
        <v>0</v>
      </c>
      <c r="CC832" s="431">
        <f>'Fiche info Avenant 9'!$BT$11</f>
        <v>0</v>
      </c>
      <c r="CD832" s="431">
        <f>'Fiche info Avenant 9'!$BU$11</f>
        <v>0</v>
      </c>
      <c r="CE832" s="431">
        <f>'Fiche info Avenant 9'!$BV$11</f>
        <v>0</v>
      </c>
      <c r="CF832" s="431">
        <f>'Fiche info Avenant 9'!$BW$11</f>
        <v>0</v>
      </c>
      <c r="ED832" s="16" t="str">
        <f t="shared" si="168"/>
        <v>Fiche info Avenant 9G</v>
      </c>
      <c r="EE832" s="16" t="str">
        <f t="shared" si="159"/>
        <v>Fiche info Avenant 9</v>
      </c>
      <c r="EF832" s="16" t="str">
        <f t="shared" si="160"/>
        <v>G</v>
      </c>
      <c r="EG832" s="16">
        <f t="shared" si="161"/>
        <v>5</v>
      </c>
      <c r="EH832" s="16" t="str">
        <f t="shared" si="162"/>
        <v>Vendredi</v>
      </c>
      <c r="EI832" s="16" t="str">
        <f t="shared" si="163"/>
        <v/>
      </c>
    </row>
    <row r="833" spans="1:139" x14ac:dyDescent="0.2">
      <c r="A833" s="16" t="str">
        <f t="shared" si="166"/>
        <v>Fiche info Avenant 9G6</v>
      </c>
      <c r="B833" s="16" t="str">
        <f t="shared" si="167"/>
        <v>Fiche info Avenant 9</v>
      </c>
      <c r="C833" s="27" t="s">
        <v>236</v>
      </c>
      <c r="D833" s="27">
        <v>6</v>
      </c>
      <c r="E833" s="16" t="s">
        <v>184</v>
      </c>
      <c r="F833" s="34" t="str">
        <f>+IF('Fiche info Avenant 9'!$BY$12=0,"",'Fiche info Avenant 9'!$BY$12)</f>
        <v/>
      </c>
      <c r="G833" s="16">
        <f t="shared" si="164"/>
        <v>0</v>
      </c>
      <c r="BX833" s="16" t="str">
        <f t="shared" si="165"/>
        <v>Fiche info Avenant 9G6</v>
      </c>
      <c r="BY833" s="431">
        <f>'Fiche info Avenant 9'!$BP$12</f>
        <v>0</v>
      </c>
      <c r="BZ833" s="431">
        <f>'Fiche info Avenant 9'!$BQ$12</f>
        <v>0</v>
      </c>
      <c r="CA833" s="431">
        <f>'Fiche info Avenant 9'!$BR$12</f>
        <v>0</v>
      </c>
      <c r="CB833" s="431">
        <f>'Fiche info Avenant 9'!$BS$12</f>
        <v>0</v>
      </c>
      <c r="CC833" s="431">
        <f>'Fiche info Avenant 9'!$BT$12</f>
        <v>0</v>
      </c>
      <c r="CD833" s="431">
        <f>'Fiche info Avenant 9'!$BU$12</f>
        <v>0</v>
      </c>
      <c r="CE833" s="431">
        <f>'Fiche info Avenant 9'!$BV$12</f>
        <v>0</v>
      </c>
      <c r="CF833" s="431">
        <f>'Fiche info Avenant 9'!$BW$12</f>
        <v>0</v>
      </c>
      <c r="ED833" s="16" t="str">
        <f t="shared" si="168"/>
        <v>Fiche info Avenant 9G</v>
      </c>
      <c r="EE833" s="16" t="str">
        <f t="shared" ref="EE833:EE896" si="169">B833</f>
        <v>Fiche info Avenant 9</v>
      </c>
      <c r="EF833" s="16" t="str">
        <f t="shared" ref="EF833:EF896" si="170">C833</f>
        <v>G</v>
      </c>
      <c r="EG833" s="16">
        <f t="shared" ref="EG833:EG896" si="171">D833</f>
        <v>6</v>
      </c>
      <c r="EH833" s="16" t="str">
        <f t="shared" ref="EH833:EH896" si="172">E833</f>
        <v>Samedi</v>
      </c>
      <c r="EI833" s="16" t="str">
        <f t="shared" ref="EI833:EI896" si="173">F833</f>
        <v/>
      </c>
    </row>
    <row r="834" spans="1:139" x14ac:dyDescent="0.2">
      <c r="A834" s="16" t="str">
        <f t="shared" si="166"/>
        <v>Fiche info Avenant 9G7</v>
      </c>
      <c r="B834" s="16" t="str">
        <f t="shared" si="167"/>
        <v>Fiche info Avenant 9</v>
      </c>
      <c r="C834" s="27" t="s">
        <v>236</v>
      </c>
      <c r="D834" s="27">
        <v>7</v>
      </c>
      <c r="E834" s="16" t="s">
        <v>185</v>
      </c>
      <c r="F834" s="34" t="str">
        <f>+IF('Fiche info Avenant 9'!$BY$13=0,"",'Fiche info Avenant 9'!$BY$13)</f>
        <v/>
      </c>
      <c r="G834" s="16">
        <f t="shared" ref="G834:G897" si="174">+IF(OR(F834=0,F834=""),0,1)</f>
        <v>0</v>
      </c>
      <c r="BX834" s="16" t="str">
        <f t="shared" ref="BX834:BX897" si="175">A834</f>
        <v>Fiche info Avenant 9G7</v>
      </c>
      <c r="BY834" s="431">
        <f>'Fiche info Avenant 9'!$BP$13</f>
        <v>0</v>
      </c>
      <c r="BZ834" s="431">
        <f>'Fiche info Avenant 9'!$BQ$13</f>
        <v>0</v>
      </c>
      <c r="CA834" s="431">
        <f>'Fiche info Avenant 9'!$BR$13</f>
        <v>0</v>
      </c>
      <c r="CB834" s="431">
        <f>'Fiche info Avenant 9'!$BS$13</f>
        <v>0</v>
      </c>
      <c r="CC834" s="431">
        <f>'Fiche info Avenant 9'!$BT$13</f>
        <v>0</v>
      </c>
      <c r="CD834" s="431">
        <f>'Fiche info Avenant 9'!$BU$13</f>
        <v>0</v>
      </c>
      <c r="CE834" s="431">
        <f>'Fiche info Avenant 9'!$BV$13</f>
        <v>0</v>
      </c>
      <c r="CF834" s="431">
        <f>'Fiche info Avenant 9'!$BW$13</f>
        <v>0</v>
      </c>
      <c r="ED834" s="16" t="str">
        <f t="shared" si="168"/>
        <v>Fiche info Avenant 9G</v>
      </c>
      <c r="EE834" s="16" t="str">
        <f t="shared" si="169"/>
        <v>Fiche info Avenant 9</v>
      </c>
      <c r="EF834" s="16" t="str">
        <f t="shared" si="170"/>
        <v>G</v>
      </c>
      <c r="EG834" s="16">
        <f t="shared" si="171"/>
        <v>7</v>
      </c>
      <c r="EH834" s="16" t="str">
        <f t="shared" si="172"/>
        <v>Dimanche</v>
      </c>
      <c r="EI834" s="16" t="str">
        <f t="shared" si="173"/>
        <v/>
      </c>
    </row>
    <row r="835" spans="1:139" x14ac:dyDescent="0.2">
      <c r="A835" s="16" t="str">
        <f t="shared" si="166"/>
        <v>Fiche info Avenant 9H1</v>
      </c>
      <c r="B835" s="16" t="str">
        <f t="shared" si="167"/>
        <v>Fiche info Avenant 9</v>
      </c>
      <c r="C835" s="27" t="s">
        <v>237</v>
      </c>
      <c r="D835" s="27">
        <v>1</v>
      </c>
      <c r="E835" s="16" t="s">
        <v>17</v>
      </c>
      <c r="F835" s="34" t="str">
        <f>+IF('Fiche info Avenant 9'!$CJ$7=0,"",'Fiche info Avenant 9'!$CJ$7)</f>
        <v/>
      </c>
      <c r="G835" s="16">
        <f t="shared" si="174"/>
        <v>0</v>
      </c>
      <c r="BX835" s="16" t="str">
        <f t="shared" si="175"/>
        <v>Fiche info Avenant 9H1</v>
      </c>
      <c r="BY835" s="431">
        <f>'Fiche info Avenant 9'!$CA$7</f>
        <v>0</v>
      </c>
      <c r="BZ835" s="431">
        <f>'Fiche info Avenant 9'!$CB$7</f>
        <v>0</v>
      </c>
      <c r="CA835" s="431">
        <f>'Fiche info Avenant 9'!$CC$7</f>
        <v>0</v>
      </c>
      <c r="CB835" s="431">
        <f>'Fiche info Avenant 9'!$CD$7</f>
        <v>0</v>
      </c>
      <c r="CC835" s="431">
        <f>'Fiche info Avenant 9'!$CE$7</f>
        <v>0</v>
      </c>
      <c r="CD835" s="431">
        <f>'Fiche info Avenant 9'!$CF$7</f>
        <v>0</v>
      </c>
      <c r="CE835" s="431">
        <f>'Fiche info Avenant 9'!$CG$7</f>
        <v>0</v>
      </c>
      <c r="CF835" s="431">
        <f>'Fiche info Avenant 9'!$CH$7</f>
        <v>0</v>
      </c>
      <c r="ED835" s="16" t="str">
        <f t="shared" si="168"/>
        <v>Fiche info Avenant 9H</v>
      </c>
      <c r="EE835" s="16" t="str">
        <f t="shared" si="169"/>
        <v>Fiche info Avenant 9</v>
      </c>
      <c r="EF835" s="16" t="str">
        <f t="shared" si="170"/>
        <v>H</v>
      </c>
      <c r="EG835" s="16">
        <f t="shared" si="171"/>
        <v>1</v>
      </c>
      <c r="EH835" s="16" t="str">
        <f t="shared" si="172"/>
        <v>Lundi</v>
      </c>
      <c r="EI835" s="16" t="str">
        <f t="shared" si="173"/>
        <v/>
      </c>
    </row>
    <row r="836" spans="1:139" x14ac:dyDescent="0.2">
      <c r="A836" s="16" t="str">
        <f t="shared" si="166"/>
        <v>Fiche info Avenant 9H2</v>
      </c>
      <c r="B836" s="16" t="str">
        <f t="shared" si="167"/>
        <v>Fiche info Avenant 9</v>
      </c>
      <c r="C836" s="27" t="s">
        <v>237</v>
      </c>
      <c r="D836" s="27">
        <v>2</v>
      </c>
      <c r="E836" s="16" t="s">
        <v>18</v>
      </c>
      <c r="F836" s="34" t="str">
        <f>+IF('Fiche info Avenant 9'!$CJ$8=0,"",'Fiche info Avenant 9'!$CJ$8)</f>
        <v/>
      </c>
      <c r="G836" s="16">
        <f t="shared" si="174"/>
        <v>0</v>
      </c>
      <c r="BX836" s="16" t="str">
        <f t="shared" si="175"/>
        <v>Fiche info Avenant 9H2</v>
      </c>
      <c r="BY836" s="431">
        <f>'Fiche info Avenant 9'!$CA$8</f>
        <v>0</v>
      </c>
      <c r="BZ836" s="431">
        <f>'Fiche info Avenant 9'!$CB$8</f>
        <v>0</v>
      </c>
      <c r="CA836" s="431">
        <f>'Fiche info Avenant 9'!$CC$8</f>
        <v>0</v>
      </c>
      <c r="CB836" s="431">
        <f>'Fiche info Avenant 9'!$CD$8</f>
        <v>0</v>
      </c>
      <c r="CC836" s="431">
        <f>'Fiche info Avenant 9'!$CE$8</f>
        <v>0</v>
      </c>
      <c r="CD836" s="431">
        <f>'Fiche info Avenant 9'!$CF$8</f>
        <v>0</v>
      </c>
      <c r="CE836" s="431">
        <f>'Fiche info Avenant 9'!$CG$8</f>
        <v>0</v>
      </c>
      <c r="CF836" s="431">
        <f>'Fiche info Avenant 9'!$CH$8</f>
        <v>0</v>
      </c>
      <c r="ED836" s="16" t="str">
        <f t="shared" si="168"/>
        <v>Fiche info Avenant 9H</v>
      </c>
      <c r="EE836" s="16" t="str">
        <f t="shared" si="169"/>
        <v>Fiche info Avenant 9</v>
      </c>
      <c r="EF836" s="16" t="str">
        <f t="shared" si="170"/>
        <v>H</v>
      </c>
      <c r="EG836" s="16">
        <f t="shared" si="171"/>
        <v>2</v>
      </c>
      <c r="EH836" s="16" t="str">
        <f t="shared" si="172"/>
        <v>Mardi</v>
      </c>
      <c r="EI836" s="16" t="str">
        <f t="shared" si="173"/>
        <v/>
      </c>
    </row>
    <row r="837" spans="1:139" x14ac:dyDescent="0.2">
      <c r="A837" s="16" t="str">
        <f t="shared" si="166"/>
        <v>Fiche info Avenant 9H3</v>
      </c>
      <c r="B837" s="16" t="str">
        <f t="shared" si="167"/>
        <v>Fiche info Avenant 9</v>
      </c>
      <c r="C837" s="27" t="s">
        <v>237</v>
      </c>
      <c r="D837" s="27">
        <v>3</v>
      </c>
      <c r="E837" s="16" t="s">
        <v>19</v>
      </c>
      <c r="F837" s="34" t="str">
        <f>+IF('Fiche info Avenant 9'!$CJ$9=0,"",'Fiche info Avenant 9'!$CJ$9)</f>
        <v/>
      </c>
      <c r="G837" s="16">
        <f t="shared" si="174"/>
        <v>0</v>
      </c>
      <c r="BX837" s="16" t="str">
        <f t="shared" si="175"/>
        <v>Fiche info Avenant 9H3</v>
      </c>
      <c r="BY837" s="431">
        <f>'Fiche info Avenant 9'!$CA$9</f>
        <v>0</v>
      </c>
      <c r="BZ837" s="431">
        <f>'Fiche info Avenant 9'!$CB$9</f>
        <v>0</v>
      </c>
      <c r="CA837" s="431">
        <f>'Fiche info Avenant 9'!$CC$9</f>
        <v>0</v>
      </c>
      <c r="CB837" s="431">
        <f>'Fiche info Avenant 9'!$CD$9</f>
        <v>0</v>
      </c>
      <c r="CC837" s="431">
        <f>'Fiche info Avenant 9'!$CE$9</f>
        <v>0</v>
      </c>
      <c r="CD837" s="431">
        <f>'Fiche info Avenant 9'!$CF$9</f>
        <v>0</v>
      </c>
      <c r="CE837" s="431">
        <f>'Fiche info Avenant 9'!$CG$9</f>
        <v>0</v>
      </c>
      <c r="CF837" s="431">
        <f>'Fiche info Avenant 9'!$CH$9</f>
        <v>0</v>
      </c>
      <c r="ED837" s="16" t="str">
        <f t="shared" si="168"/>
        <v>Fiche info Avenant 9H</v>
      </c>
      <c r="EE837" s="16" t="str">
        <f t="shared" si="169"/>
        <v>Fiche info Avenant 9</v>
      </c>
      <c r="EF837" s="16" t="str">
        <f t="shared" si="170"/>
        <v>H</v>
      </c>
      <c r="EG837" s="16">
        <f t="shared" si="171"/>
        <v>3</v>
      </c>
      <c r="EH837" s="16" t="str">
        <f t="shared" si="172"/>
        <v>Mercredi</v>
      </c>
      <c r="EI837" s="16" t="str">
        <f t="shared" si="173"/>
        <v/>
      </c>
    </row>
    <row r="838" spans="1:139" x14ac:dyDescent="0.2">
      <c r="A838" s="16" t="str">
        <f t="shared" si="166"/>
        <v>Fiche info Avenant 9H4</v>
      </c>
      <c r="B838" s="16" t="str">
        <f t="shared" si="167"/>
        <v>Fiche info Avenant 9</v>
      </c>
      <c r="C838" s="27" t="s">
        <v>237</v>
      </c>
      <c r="D838" s="27">
        <v>4</v>
      </c>
      <c r="E838" s="16" t="s">
        <v>20</v>
      </c>
      <c r="F838" s="34" t="str">
        <f>+IF('Fiche info Avenant 9'!$CJ$10=0,"",'Fiche info Avenant 9'!$CJ$10)</f>
        <v/>
      </c>
      <c r="G838" s="16">
        <f t="shared" si="174"/>
        <v>0</v>
      </c>
      <c r="BX838" s="16" t="str">
        <f t="shared" si="175"/>
        <v>Fiche info Avenant 9H4</v>
      </c>
      <c r="BY838" s="431">
        <f>'Fiche info Avenant 9'!$CA$10</f>
        <v>0</v>
      </c>
      <c r="BZ838" s="431">
        <f>'Fiche info Avenant 9'!$CB$10</f>
        <v>0</v>
      </c>
      <c r="CA838" s="431">
        <f>'Fiche info Avenant 9'!$CC$10</f>
        <v>0</v>
      </c>
      <c r="CB838" s="431">
        <f>'Fiche info Avenant 9'!$CD$10</f>
        <v>0</v>
      </c>
      <c r="CC838" s="431">
        <f>'Fiche info Avenant 9'!$CE$10</f>
        <v>0</v>
      </c>
      <c r="CD838" s="431">
        <f>'Fiche info Avenant 9'!$CF$10</f>
        <v>0</v>
      </c>
      <c r="CE838" s="431">
        <f>'Fiche info Avenant 9'!$CG$10</f>
        <v>0</v>
      </c>
      <c r="CF838" s="431">
        <f>'Fiche info Avenant 9'!$CH$10</f>
        <v>0</v>
      </c>
      <c r="ED838" s="16" t="str">
        <f t="shared" si="168"/>
        <v>Fiche info Avenant 9H</v>
      </c>
      <c r="EE838" s="16" t="str">
        <f t="shared" si="169"/>
        <v>Fiche info Avenant 9</v>
      </c>
      <c r="EF838" s="16" t="str">
        <f t="shared" si="170"/>
        <v>H</v>
      </c>
      <c r="EG838" s="16">
        <f t="shared" si="171"/>
        <v>4</v>
      </c>
      <c r="EH838" s="16" t="str">
        <f t="shared" si="172"/>
        <v>Jeudi</v>
      </c>
      <c r="EI838" s="16" t="str">
        <f t="shared" si="173"/>
        <v/>
      </c>
    </row>
    <row r="839" spans="1:139" x14ac:dyDescent="0.2">
      <c r="A839" s="16" t="str">
        <f t="shared" si="166"/>
        <v>Fiche info Avenant 9H5</v>
      </c>
      <c r="B839" s="16" t="str">
        <f t="shared" si="167"/>
        <v>Fiche info Avenant 9</v>
      </c>
      <c r="C839" s="27" t="s">
        <v>237</v>
      </c>
      <c r="D839" s="27">
        <v>5</v>
      </c>
      <c r="E839" s="16" t="s">
        <v>21</v>
      </c>
      <c r="F839" s="34" t="str">
        <f>+IF('Fiche info Avenant 9'!$CJ$11=0,"",'Fiche info Avenant 9'!$CJ$11)</f>
        <v/>
      </c>
      <c r="G839" s="16">
        <f t="shared" si="174"/>
        <v>0</v>
      </c>
      <c r="BX839" s="16" t="str">
        <f t="shared" si="175"/>
        <v>Fiche info Avenant 9H5</v>
      </c>
      <c r="BY839" s="431">
        <f>'Fiche info Avenant 9'!$CA$11</f>
        <v>0</v>
      </c>
      <c r="BZ839" s="431">
        <f>'Fiche info Avenant 9'!$CB$11</f>
        <v>0</v>
      </c>
      <c r="CA839" s="431">
        <f>'Fiche info Avenant 9'!$CC$11</f>
        <v>0</v>
      </c>
      <c r="CB839" s="431">
        <f>'Fiche info Avenant 9'!$CD$11</f>
        <v>0</v>
      </c>
      <c r="CC839" s="431">
        <f>'Fiche info Avenant 9'!$CE$11</f>
        <v>0</v>
      </c>
      <c r="CD839" s="431">
        <f>'Fiche info Avenant 9'!$CF$11</f>
        <v>0</v>
      </c>
      <c r="CE839" s="431">
        <f>'Fiche info Avenant 9'!$CG$11</f>
        <v>0</v>
      </c>
      <c r="CF839" s="431">
        <f>'Fiche info Avenant 9'!$CH$11</f>
        <v>0</v>
      </c>
      <c r="ED839" s="16" t="str">
        <f t="shared" si="168"/>
        <v>Fiche info Avenant 9H</v>
      </c>
      <c r="EE839" s="16" t="str">
        <f t="shared" si="169"/>
        <v>Fiche info Avenant 9</v>
      </c>
      <c r="EF839" s="16" t="str">
        <f t="shared" si="170"/>
        <v>H</v>
      </c>
      <c r="EG839" s="16">
        <f t="shared" si="171"/>
        <v>5</v>
      </c>
      <c r="EH839" s="16" t="str">
        <f t="shared" si="172"/>
        <v>Vendredi</v>
      </c>
      <c r="EI839" s="16" t="str">
        <f t="shared" si="173"/>
        <v/>
      </c>
    </row>
    <row r="840" spans="1:139" x14ac:dyDescent="0.2">
      <c r="A840" s="16" t="str">
        <f t="shared" si="166"/>
        <v>Fiche info Avenant 9H6</v>
      </c>
      <c r="B840" s="16" t="str">
        <f t="shared" si="167"/>
        <v>Fiche info Avenant 9</v>
      </c>
      <c r="C840" s="27" t="s">
        <v>237</v>
      </c>
      <c r="D840" s="27">
        <v>6</v>
      </c>
      <c r="E840" s="16" t="s">
        <v>184</v>
      </c>
      <c r="F840" s="34" t="str">
        <f>+IF('Fiche info Avenant 9'!$CJ$12=0,"",'Fiche info Avenant 9'!$CJ$12)</f>
        <v/>
      </c>
      <c r="G840" s="16">
        <f t="shared" si="174"/>
        <v>0</v>
      </c>
      <c r="BX840" s="16" t="str">
        <f t="shared" si="175"/>
        <v>Fiche info Avenant 9H6</v>
      </c>
      <c r="BY840" s="431">
        <f>'Fiche info Avenant 9'!$CA$12</f>
        <v>0</v>
      </c>
      <c r="BZ840" s="431">
        <f>'Fiche info Avenant 9'!$CB$12</f>
        <v>0</v>
      </c>
      <c r="CA840" s="431">
        <f>'Fiche info Avenant 9'!$CC$12</f>
        <v>0</v>
      </c>
      <c r="CB840" s="431">
        <f>'Fiche info Avenant 9'!$CD$12</f>
        <v>0</v>
      </c>
      <c r="CC840" s="431">
        <f>'Fiche info Avenant 9'!$CE$12</f>
        <v>0</v>
      </c>
      <c r="CD840" s="431">
        <f>'Fiche info Avenant 9'!$CF$12</f>
        <v>0</v>
      </c>
      <c r="CE840" s="431">
        <f>'Fiche info Avenant 9'!$CG$12</f>
        <v>0</v>
      </c>
      <c r="CF840" s="431">
        <f>'Fiche info Avenant 9'!$CH$12</f>
        <v>0</v>
      </c>
      <c r="ED840" s="16" t="str">
        <f t="shared" si="168"/>
        <v>Fiche info Avenant 9H</v>
      </c>
      <c r="EE840" s="16" t="str">
        <f t="shared" si="169"/>
        <v>Fiche info Avenant 9</v>
      </c>
      <c r="EF840" s="16" t="str">
        <f t="shared" si="170"/>
        <v>H</v>
      </c>
      <c r="EG840" s="16">
        <f t="shared" si="171"/>
        <v>6</v>
      </c>
      <c r="EH840" s="16" t="str">
        <f t="shared" si="172"/>
        <v>Samedi</v>
      </c>
      <c r="EI840" s="16" t="str">
        <f t="shared" si="173"/>
        <v/>
      </c>
    </row>
    <row r="841" spans="1:139" x14ac:dyDescent="0.2">
      <c r="A841" s="16" t="str">
        <f t="shared" si="166"/>
        <v>Fiche info Avenant 9H7</v>
      </c>
      <c r="B841" s="16" t="str">
        <f t="shared" si="167"/>
        <v>Fiche info Avenant 9</v>
      </c>
      <c r="C841" s="27" t="s">
        <v>237</v>
      </c>
      <c r="D841" s="27">
        <v>7</v>
      </c>
      <c r="E841" s="16" t="s">
        <v>185</v>
      </c>
      <c r="F841" s="34" t="str">
        <f>+IF('Fiche info'!$CJ$13=0,"",'Fiche info'!$CJ$13)</f>
        <v/>
      </c>
      <c r="G841" s="16">
        <f t="shared" si="174"/>
        <v>0</v>
      </c>
      <c r="BX841" s="16" t="str">
        <f t="shared" si="175"/>
        <v>Fiche info Avenant 9H7</v>
      </c>
      <c r="BY841" s="431">
        <f>'Fiche info Avenant 9'!$CA$13</f>
        <v>0</v>
      </c>
      <c r="BZ841" s="431">
        <f>'Fiche info Avenant 9'!$CB$13</f>
        <v>0</v>
      </c>
      <c r="CA841" s="431">
        <f>'Fiche info Avenant 9'!$CC$13</f>
        <v>0</v>
      </c>
      <c r="CB841" s="431">
        <f>'Fiche info Avenant 9'!$CD$13</f>
        <v>0</v>
      </c>
      <c r="CC841" s="431">
        <f>'Fiche info Avenant 9'!$CE$13</f>
        <v>0</v>
      </c>
      <c r="CD841" s="431">
        <f>'Fiche info Avenant 9'!$CF$13</f>
        <v>0</v>
      </c>
      <c r="CE841" s="431">
        <f>'Fiche info Avenant 9'!$CG$13</f>
        <v>0</v>
      </c>
      <c r="CF841" s="431">
        <f>'Fiche info Avenant 9'!$CH$13</f>
        <v>0</v>
      </c>
      <c r="ED841" s="16" t="str">
        <f t="shared" si="168"/>
        <v>Fiche info Avenant 9H</v>
      </c>
      <c r="EE841" s="16" t="str">
        <f t="shared" si="169"/>
        <v>Fiche info Avenant 9</v>
      </c>
      <c r="EF841" s="16" t="str">
        <f t="shared" si="170"/>
        <v>H</v>
      </c>
      <c r="EG841" s="16">
        <f t="shared" si="171"/>
        <v>7</v>
      </c>
      <c r="EH841" s="16" t="str">
        <f t="shared" si="172"/>
        <v>Dimanche</v>
      </c>
      <c r="EI841" s="16" t="str">
        <f t="shared" si="173"/>
        <v/>
      </c>
    </row>
    <row r="842" spans="1:139" x14ac:dyDescent="0.2">
      <c r="A842" s="16" t="str">
        <f t="shared" si="166"/>
        <v>Fiche info Avenant 10A1</v>
      </c>
      <c r="B842" s="16" t="str">
        <f>+$P$17</f>
        <v>Fiche info Avenant 10</v>
      </c>
      <c r="C842" s="27" t="s">
        <v>226</v>
      </c>
      <c r="D842" s="27">
        <v>1</v>
      </c>
      <c r="E842" s="16" t="s">
        <v>17</v>
      </c>
      <c r="F842" s="34" t="str">
        <f>IF('Fiche info Avenant 10'!$K$7=0,"",'Fiche info Avenant 10'!$K$7)</f>
        <v/>
      </c>
      <c r="G842" s="16">
        <f t="shared" si="174"/>
        <v>0</v>
      </c>
      <c r="BX842" s="16" t="str">
        <f t="shared" si="175"/>
        <v>Fiche info Avenant 10A1</v>
      </c>
      <c r="BY842" s="431">
        <f>'Fiche info Avenant 10'!$B$7</f>
        <v>0</v>
      </c>
      <c r="BZ842" s="431">
        <f>'Fiche info Avenant 10'!$C$7</f>
        <v>0</v>
      </c>
      <c r="CA842" s="431">
        <f>'Fiche info Avenant 10'!$D$7</f>
        <v>0</v>
      </c>
      <c r="CB842" s="431">
        <f>'Fiche info Avenant 10'!$E$7</f>
        <v>0</v>
      </c>
      <c r="CC842" s="431">
        <f>'Fiche info Avenant 10'!$F$7</f>
        <v>0</v>
      </c>
      <c r="CD842" s="431">
        <f>'Fiche info Avenant 10'!$G$7</f>
        <v>0</v>
      </c>
      <c r="CE842" s="431">
        <f>'Fiche info Avenant 10'!$H$7</f>
        <v>0</v>
      </c>
      <c r="CF842" s="431">
        <f>'Fiche info Avenant 10'!$I$7</f>
        <v>0</v>
      </c>
      <c r="ED842" s="16" t="str">
        <f t="shared" si="168"/>
        <v>Fiche info Avenant 10A</v>
      </c>
      <c r="EE842" s="16" t="str">
        <f t="shared" si="169"/>
        <v>Fiche info Avenant 10</v>
      </c>
      <c r="EF842" s="16" t="str">
        <f t="shared" si="170"/>
        <v>A</v>
      </c>
      <c r="EG842" s="16">
        <f t="shared" si="171"/>
        <v>1</v>
      </c>
      <c r="EH842" s="16" t="str">
        <f t="shared" si="172"/>
        <v>Lundi</v>
      </c>
      <c r="EI842" s="16" t="str">
        <f t="shared" si="173"/>
        <v/>
      </c>
    </row>
    <row r="843" spans="1:139" x14ac:dyDescent="0.2">
      <c r="A843" s="16" t="str">
        <f t="shared" ref="A843:A897" si="176">+B843&amp;C843&amp;D843</f>
        <v>Fiche info Avenant 10A2</v>
      </c>
      <c r="B843" s="16" t="str">
        <f t="shared" ref="B843:B897" si="177">+$P$17</f>
        <v>Fiche info Avenant 10</v>
      </c>
      <c r="C843" s="27" t="s">
        <v>226</v>
      </c>
      <c r="D843" s="27">
        <v>2</v>
      </c>
      <c r="E843" s="16" t="s">
        <v>18</v>
      </c>
      <c r="F843" s="34" t="str">
        <f>IF('Fiche info Avenant 10'!$K$8=0,"",'Fiche info Avenant 10'!$K$8)</f>
        <v/>
      </c>
      <c r="G843" s="16">
        <f t="shared" si="174"/>
        <v>0</v>
      </c>
      <c r="BX843" s="16" t="str">
        <f t="shared" si="175"/>
        <v>Fiche info Avenant 10A2</v>
      </c>
      <c r="BY843" s="431">
        <f>'Fiche info Avenant 10'!$B$8</f>
        <v>0</v>
      </c>
      <c r="BZ843" s="431">
        <f>'Fiche info Avenant 10'!$C$8</f>
        <v>0</v>
      </c>
      <c r="CA843" s="431">
        <f>'Fiche info Avenant 10'!$D$8</f>
        <v>0</v>
      </c>
      <c r="CB843" s="431">
        <f>'Fiche info Avenant 10'!$E$8</f>
        <v>0</v>
      </c>
      <c r="CC843" s="431">
        <f>'Fiche info Avenant 10'!$F$8</f>
        <v>0</v>
      </c>
      <c r="CD843" s="431">
        <f>'Fiche info Avenant 10'!$G$8</f>
        <v>0</v>
      </c>
      <c r="CE843" s="431">
        <f>'Fiche info Avenant 10'!$H$8</f>
        <v>0</v>
      </c>
      <c r="CF843" s="431">
        <f>'Fiche info Avenant 10'!$I$8</f>
        <v>0</v>
      </c>
      <c r="ED843" s="16" t="str">
        <f t="shared" si="168"/>
        <v>Fiche info Avenant 10A</v>
      </c>
      <c r="EE843" s="16" t="str">
        <f t="shared" si="169"/>
        <v>Fiche info Avenant 10</v>
      </c>
      <c r="EF843" s="16" t="str">
        <f t="shared" si="170"/>
        <v>A</v>
      </c>
      <c r="EG843" s="16">
        <f t="shared" si="171"/>
        <v>2</v>
      </c>
      <c r="EH843" s="16" t="str">
        <f t="shared" si="172"/>
        <v>Mardi</v>
      </c>
      <c r="EI843" s="16" t="str">
        <f t="shared" si="173"/>
        <v/>
      </c>
    </row>
    <row r="844" spans="1:139" x14ac:dyDescent="0.2">
      <c r="A844" s="16" t="str">
        <f t="shared" si="176"/>
        <v>Fiche info Avenant 10A3</v>
      </c>
      <c r="B844" s="16" t="str">
        <f t="shared" si="177"/>
        <v>Fiche info Avenant 10</v>
      </c>
      <c r="C844" s="27" t="s">
        <v>226</v>
      </c>
      <c r="D844" s="27">
        <v>3</v>
      </c>
      <c r="E844" s="16" t="s">
        <v>19</v>
      </c>
      <c r="F844" s="34" t="str">
        <f>IF('Fiche info Avenant 10'!$K$9=0,"",'Fiche info Avenant 10'!$K$9)</f>
        <v/>
      </c>
      <c r="G844" s="16">
        <f t="shared" si="174"/>
        <v>0</v>
      </c>
      <c r="BX844" s="16" t="str">
        <f t="shared" si="175"/>
        <v>Fiche info Avenant 10A3</v>
      </c>
      <c r="BY844" s="431">
        <f>'Fiche info Avenant 10'!$B$9</f>
        <v>0</v>
      </c>
      <c r="BZ844" s="431">
        <f>'Fiche info Avenant 10'!$C$9</f>
        <v>0</v>
      </c>
      <c r="CA844" s="431">
        <f>'Fiche info Avenant 10'!$D$9</f>
        <v>0</v>
      </c>
      <c r="CB844" s="431">
        <f>'Fiche info Avenant 10'!$E$9</f>
        <v>0</v>
      </c>
      <c r="CC844" s="431">
        <f>'Fiche info Avenant 10'!$F$9</f>
        <v>0</v>
      </c>
      <c r="CD844" s="431">
        <f>'Fiche info Avenant 10'!$G$9</f>
        <v>0</v>
      </c>
      <c r="CE844" s="431">
        <f>'Fiche info Avenant 10'!$H$9</f>
        <v>0</v>
      </c>
      <c r="CF844" s="431">
        <f>'Fiche info Avenant 10'!$I$9</f>
        <v>0</v>
      </c>
      <c r="ED844" s="16" t="str">
        <f t="shared" si="168"/>
        <v>Fiche info Avenant 10A</v>
      </c>
      <c r="EE844" s="16" t="str">
        <f t="shared" si="169"/>
        <v>Fiche info Avenant 10</v>
      </c>
      <c r="EF844" s="16" t="str">
        <f t="shared" si="170"/>
        <v>A</v>
      </c>
      <c r="EG844" s="16">
        <f t="shared" si="171"/>
        <v>3</v>
      </c>
      <c r="EH844" s="16" t="str">
        <f t="shared" si="172"/>
        <v>Mercredi</v>
      </c>
      <c r="EI844" s="16" t="str">
        <f t="shared" si="173"/>
        <v/>
      </c>
    </row>
    <row r="845" spans="1:139" x14ac:dyDescent="0.2">
      <c r="A845" s="16" t="str">
        <f t="shared" si="176"/>
        <v>Fiche info Avenant 10A4</v>
      </c>
      <c r="B845" s="16" t="str">
        <f t="shared" si="177"/>
        <v>Fiche info Avenant 10</v>
      </c>
      <c r="C845" s="27" t="s">
        <v>226</v>
      </c>
      <c r="D845" s="27">
        <v>4</v>
      </c>
      <c r="E845" s="16" t="s">
        <v>20</v>
      </c>
      <c r="F845" s="34" t="str">
        <f>IF('Fiche info Avenant 10'!$K$10=0,"",'Fiche info Avenant 10'!$K$10)</f>
        <v/>
      </c>
      <c r="G845" s="16">
        <f t="shared" si="174"/>
        <v>0</v>
      </c>
      <c r="BX845" s="16" t="str">
        <f t="shared" si="175"/>
        <v>Fiche info Avenant 10A4</v>
      </c>
      <c r="BY845" s="431">
        <f>'Fiche info Avenant 10'!$B$10</f>
        <v>0</v>
      </c>
      <c r="BZ845" s="431">
        <f>'Fiche info Avenant 10'!$C$10</f>
        <v>0</v>
      </c>
      <c r="CA845" s="431">
        <f>'Fiche info Avenant 10'!$D$10</f>
        <v>0</v>
      </c>
      <c r="CB845" s="431">
        <f>'Fiche info Avenant 10'!$E$10</f>
        <v>0</v>
      </c>
      <c r="CC845" s="431">
        <f>'Fiche info Avenant 10'!$F$10</f>
        <v>0</v>
      </c>
      <c r="CD845" s="431">
        <f>'Fiche info Avenant 10'!$G$10</f>
        <v>0</v>
      </c>
      <c r="CE845" s="431">
        <f>'Fiche info Avenant 10'!$H$10</f>
        <v>0</v>
      </c>
      <c r="CF845" s="431">
        <f>'Fiche info Avenant 10'!$I$10</f>
        <v>0</v>
      </c>
      <c r="ED845" s="16" t="str">
        <f t="shared" si="168"/>
        <v>Fiche info Avenant 10A</v>
      </c>
      <c r="EE845" s="16" t="str">
        <f t="shared" si="169"/>
        <v>Fiche info Avenant 10</v>
      </c>
      <c r="EF845" s="16" t="str">
        <f t="shared" si="170"/>
        <v>A</v>
      </c>
      <c r="EG845" s="16">
        <f t="shared" si="171"/>
        <v>4</v>
      </c>
      <c r="EH845" s="16" t="str">
        <f t="shared" si="172"/>
        <v>Jeudi</v>
      </c>
      <c r="EI845" s="16" t="str">
        <f t="shared" si="173"/>
        <v/>
      </c>
    </row>
    <row r="846" spans="1:139" x14ac:dyDescent="0.2">
      <c r="A846" s="16" t="str">
        <f t="shared" si="176"/>
        <v>Fiche info Avenant 10A5</v>
      </c>
      <c r="B846" s="16" t="str">
        <f t="shared" si="177"/>
        <v>Fiche info Avenant 10</v>
      </c>
      <c r="C846" s="27" t="s">
        <v>226</v>
      </c>
      <c r="D846" s="27">
        <v>5</v>
      </c>
      <c r="E846" s="16" t="s">
        <v>21</v>
      </c>
      <c r="F846" s="34" t="str">
        <f>IF('Fiche info Avenant 10'!$K$11=0,"",'Fiche info Avenant 10'!$K$11)</f>
        <v/>
      </c>
      <c r="G846" s="16">
        <f t="shared" si="174"/>
        <v>0</v>
      </c>
      <c r="BX846" s="16" t="str">
        <f t="shared" si="175"/>
        <v>Fiche info Avenant 10A5</v>
      </c>
      <c r="BY846" s="431">
        <f>'Fiche info Avenant 10'!$B$11</f>
        <v>0</v>
      </c>
      <c r="BZ846" s="431">
        <f>'Fiche info Avenant 10'!$C$11</f>
        <v>0</v>
      </c>
      <c r="CA846" s="431">
        <f>'Fiche info Avenant 10'!$D$11</f>
        <v>0</v>
      </c>
      <c r="CB846" s="431">
        <f>'Fiche info Avenant 10'!$E$11</f>
        <v>0</v>
      </c>
      <c r="CC846" s="431">
        <f>'Fiche info Avenant 10'!$F$11</f>
        <v>0</v>
      </c>
      <c r="CD846" s="431">
        <f>'Fiche info Avenant 10'!$G$11</f>
        <v>0</v>
      </c>
      <c r="CE846" s="431">
        <f>'Fiche info Avenant 10'!$H$11</f>
        <v>0</v>
      </c>
      <c r="CF846" s="431">
        <f>'Fiche info Avenant 10'!$I$11</f>
        <v>0</v>
      </c>
      <c r="ED846" s="16" t="str">
        <f t="shared" si="168"/>
        <v>Fiche info Avenant 10A</v>
      </c>
      <c r="EE846" s="16" t="str">
        <f t="shared" si="169"/>
        <v>Fiche info Avenant 10</v>
      </c>
      <c r="EF846" s="16" t="str">
        <f t="shared" si="170"/>
        <v>A</v>
      </c>
      <c r="EG846" s="16">
        <f t="shared" si="171"/>
        <v>5</v>
      </c>
      <c r="EH846" s="16" t="str">
        <f t="shared" si="172"/>
        <v>Vendredi</v>
      </c>
      <c r="EI846" s="16" t="str">
        <f t="shared" si="173"/>
        <v/>
      </c>
    </row>
    <row r="847" spans="1:139" x14ac:dyDescent="0.2">
      <c r="A847" s="16" t="str">
        <f t="shared" si="176"/>
        <v>Fiche info Avenant 10A6</v>
      </c>
      <c r="B847" s="16" t="str">
        <f t="shared" si="177"/>
        <v>Fiche info Avenant 10</v>
      </c>
      <c r="C847" s="27" t="s">
        <v>226</v>
      </c>
      <c r="D847" s="27">
        <v>6</v>
      </c>
      <c r="E847" s="16" t="s">
        <v>184</v>
      </c>
      <c r="F847" s="34" t="str">
        <f>IF('Fiche info Avenant 10'!$K$12=0,"",'Fiche info Avenant 10'!$K$12)</f>
        <v/>
      </c>
      <c r="G847" s="16">
        <f t="shared" si="174"/>
        <v>0</v>
      </c>
      <c r="BX847" s="16" t="str">
        <f t="shared" si="175"/>
        <v>Fiche info Avenant 10A6</v>
      </c>
      <c r="BY847" s="431">
        <f>'Fiche info Avenant 10'!$B$12</f>
        <v>0</v>
      </c>
      <c r="BZ847" s="431">
        <f>'Fiche info Avenant 10'!$C$12</f>
        <v>0</v>
      </c>
      <c r="CA847" s="431">
        <f>'Fiche info Avenant 10'!$D$12</f>
        <v>0</v>
      </c>
      <c r="CB847" s="431">
        <f>'Fiche info Avenant 10'!$E$12</f>
        <v>0</v>
      </c>
      <c r="CC847" s="431">
        <f>'Fiche info Avenant 10'!$F$12</f>
        <v>0</v>
      </c>
      <c r="CD847" s="431">
        <f>'Fiche info Avenant 10'!$G$12</f>
        <v>0</v>
      </c>
      <c r="CE847" s="431">
        <f>'Fiche info Avenant 10'!$H$12</f>
        <v>0</v>
      </c>
      <c r="CF847" s="431">
        <f>'Fiche info Avenant 10'!$I$12</f>
        <v>0</v>
      </c>
      <c r="ED847" s="16" t="str">
        <f t="shared" si="168"/>
        <v>Fiche info Avenant 10A</v>
      </c>
      <c r="EE847" s="16" t="str">
        <f t="shared" si="169"/>
        <v>Fiche info Avenant 10</v>
      </c>
      <c r="EF847" s="16" t="str">
        <f t="shared" si="170"/>
        <v>A</v>
      </c>
      <c r="EG847" s="16">
        <f t="shared" si="171"/>
        <v>6</v>
      </c>
      <c r="EH847" s="16" t="str">
        <f t="shared" si="172"/>
        <v>Samedi</v>
      </c>
      <c r="EI847" s="16" t="str">
        <f t="shared" si="173"/>
        <v/>
      </c>
    </row>
    <row r="848" spans="1:139" x14ac:dyDescent="0.2">
      <c r="A848" s="16" t="str">
        <f t="shared" si="176"/>
        <v>Fiche info Avenant 10A7</v>
      </c>
      <c r="B848" s="16" t="str">
        <f t="shared" si="177"/>
        <v>Fiche info Avenant 10</v>
      </c>
      <c r="C848" s="27" t="s">
        <v>226</v>
      </c>
      <c r="D848" s="27">
        <v>7</v>
      </c>
      <c r="E848" s="16" t="s">
        <v>185</v>
      </c>
      <c r="F848" s="34" t="str">
        <f>IF('Fiche info Avenant 10'!$K$13=0,"",'Fiche info Avenant 10'!$K$13)</f>
        <v/>
      </c>
      <c r="G848" s="16">
        <f t="shared" si="174"/>
        <v>0</v>
      </c>
      <c r="BX848" s="16" t="str">
        <f t="shared" si="175"/>
        <v>Fiche info Avenant 10A7</v>
      </c>
      <c r="BY848" s="431">
        <f>'Fiche info Avenant 10'!$B$13</f>
        <v>0</v>
      </c>
      <c r="BZ848" s="431">
        <f>'Fiche info Avenant 10'!$C$13</f>
        <v>0</v>
      </c>
      <c r="CA848" s="431">
        <f>'Fiche info Avenant 10'!$D$13</f>
        <v>0</v>
      </c>
      <c r="CB848" s="431">
        <f>'Fiche info Avenant 10'!$E$13</f>
        <v>0</v>
      </c>
      <c r="CC848" s="431">
        <f>'Fiche info Avenant 10'!$F$13</f>
        <v>0</v>
      </c>
      <c r="CD848" s="431">
        <f>'Fiche info Avenant 10'!$G$13</f>
        <v>0</v>
      </c>
      <c r="CE848" s="431">
        <f>'Fiche info Avenant 10'!$H$13</f>
        <v>0</v>
      </c>
      <c r="CF848" s="431">
        <f>'Fiche info Avenant 10'!$I$13</f>
        <v>0</v>
      </c>
      <c r="ED848" s="16" t="str">
        <f t="shared" si="168"/>
        <v>Fiche info Avenant 10A</v>
      </c>
      <c r="EE848" s="16" t="str">
        <f t="shared" si="169"/>
        <v>Fiche info Avenant 10</v>
      </c>
      <c r="EF848" s="16" t="str">
        <f t="shared" si="170"/>
        <v>A</v>
      </c>
      <c r="EG848" s="16">
        <f t="shared" si="171"/>
        <v>7</v>
      </c>
      <c r="EH848" s="16" t="str">
        <f t="shared" si="172"/>
        <v>Dimanche</v>
      </c>
      <c r="EI848" s="16" t="str">
        <f t="shared" si="173"/>
        <v/>
      </c>
    </row>
    <row r="849" spans="1:139" x14ac:dyDescent="0.2">
      <c r="A849" s="16" t="str">
        <f t="shared" si="176"/>
        <v>Fiche info Avenant 10B1</v>
      </c>
      <c r="B849" s="16" t="str">
        <f t="shared" si="177"/>
        <v>Fiche info Avenant 10</v>
      </c>
      <c r="C849" s="27" t="s">
        <v>227</v>
      </c>
      <c r="D849" s="27">
        <v>1</v>
      </c>
      <c r="E849" s="16" t="s">
        <v>17</v>
      </c>
      <c r="F849" s="34" t="str">
        <f>+IF('Fiche info Avenant 10'!$V$7=0,"",'Fiche info Avenant 10'!$V$7)</f>
        <v/>
      </c>
      <c r="G849" s="16">
        <f t="shared" si="174"/>
        <v>0</v>
      </c>
      <c r="BX849" s="16" t="str">
        <f t="shared" si="175"/>
        <v>Fiche info Avenant 10B1</v>
      </c>
      <c r="BY849" s="431">
        <f>'Fiche info Avenant 10'!$M$7</f>
        <v>0</v>
      </c>
      <c r="BZ849" s="431">
        <f>'Fiche info Avenant 10'!$N$7</f>
        <v>0</v>
      </c>
      <c r="CA849" s="431">
        <f>'Fiche info Avenant 10'!$O$7</f>
        <v>0</v>
      </c>
      <c r="CB849" s="431">
        <f>'Fiche info Avenant 10'!$P$7</f>
        <v>0</v>
      </c>
      <c r="CC849" s="431">
        <f>'Fiche info Avenant 10'!$Q$7</f>
        <v>0</v>
      </c>
      <c r="CD849" s="431">
        <f>'Fiche info Avenant 10'!$R$7</f>
        <v>0</v>
      </c>
      <c r="CE849" s="431">
        <f>'Fiche info Avenant 10'!$S$7</f>
        <v>0</v>
      </c>
      <c r="CF849" s="431">
        <f>'Fiche info Avenant 10'!$T$7</f>
        <v>0</v>
      </c>
      <c r="ED849" s="16" t="str">
        <f t="shared" si="168"/>
        <v>Fiche info Avenant 10B</v>
      </c>
      <c r="EE849" s="16" t="str">
        <f t="shared" si="169"/>
        <v>Fiche info Avenant 10</v>
      </c>
      <c r="EF849" s="16" t="str">
        <f t="shared" si="170"/>
        <v>B</v>
      </c>
      <c r="EG849" s="16">
        <f t="shared" si="171"/>
        <v>1</v>
      </c>
      <c r="EH849" s="16" t="str">
        <f t="shared" si="172"/>
        <v>Lundi</v>
      </c>
      <c r="EI849" s="16" t="str">
        <f t="shared" si="173"/>
        <v/>
      </c>
    </row>
    <row r="850" spans="1:139" x14ac:dyDescent="0.2">
      <c r="A850" s="16" t="str">
        <f t="shared" si="176"/>
        <v>Fiche info Avenant 10B2</v>
      </c>
      <c r="B850" s="16" t="str">
        <f t="shared" si="177"/>
        <v>Fiche info Avenant 10</v>
      </c>
      <c r="C850" s="27" t="s">
        <v>227</v>
      </c>
      <c r="D850" s="27">
        <v>2</v>
      </c>
      <c r="E850" s="16" t="s">
        <v>18</v>
      </c>
      <c r="F850" s="34" t="str">
        <f>+IF('Fiche info Avenant 10'!$V$8=0,"",'Fiche info Avenant 10'!$V$8)</f>
        <v/>
      </c>
      <c r="G850" s="16">
        <f t="shared" si="174"/>
        <v>0</v>
      </c>
      <c r="BX850" s="16" t="str">
        <f t="shared" si="175"/>
        <v>Fiche info Avenant 10B2</v>
      </c>
      <c r="BY850" s="431">
        <f>'Fiche info Avenant 10'!$M$8</f>
        <v>0</v>
      </c>
      <c r="BZ850" s="431">
        <f>'Fiche info Avenant 10'!$N$8</f>
        <v>0</v>
      </c>
      <c r="CA850" s="431">
        <f>'Fiche info Avenant 10'!$O$8</f>
        <v>0</v>
      </c>
      <c r="CB850" s="431">
        <f>'Fiche info Avenant 10'!$P$8</f>
        <v>0</v>
      </c>
      <c r="CC850" s="431">
        <f>'Fiche info Avenant 10'!$Q$8</f>
        <v>0</v>
      </c>
      <c r="CD850" s="431">
        <f>'Fiche info Avenant 10'!$R$8</f>
        <v>0</v>
      </c>
      <c r="CE850" s="431">
        <f>'Fiche info Avenant 10'!$S$8</f>
        <v>0</v>
      </c>
      <c r="CF850" s="431">
        <f>'Fiche info Avenant 10'!$T$8</f>
        <v>0</v>
      </c>
      <c r="ED850" s="16" t="str">
        <f t="shared" si="168"/>
        <v>Fiche info Avenant 10B</v>
      </c>
      <c r="EE850" s="16" t="str">
        <f t="shared" si="169"/>
        <v>Fiche info Avenant 10</v>
      </c>
      <c r="EF850" s="16" t="str">
        <f t="shared" si="170"/>
        <v>B</v>
      </c>
      <c r="EG850" s="16">
        <f t="shared" si="171"/>
        <v>2</v>
      </c>
      <c r="EH850" s="16" t="str">
        <f t="shared" si="172"/>
        <v>Mardi</v>
      </c>
      <c r="EI850" s="16" t="str">
        <f t="shared" si="173"/>
        <v/>
      </c>
    </row>
    <row r="851" spans="1:139" x14ac:dyDescent="0.2">
      <c r="A851" s="16" t="str">
        <f t="shared" si="176"/>
        <v>Fiche info Avenant 10B3</v>
      </c>
      <c r="B851" s="16" t="str">
        <f t="shared" si="177"/>
        <v>Fiche info Avenant 10</v>
      </c>
      <c r="C851" s="27" t="s">
        <v>227</v>
      </c>
      <c r="D851" s="27">
        <v>3</v>
      </c>
      <c r="E851" s="16" t="s">
        <v>19</v>
      </c>
      <c r="F851" s="34" t="str">
        <f>+IF('Fiche info Avenant 10'!$V$9=0,"",'Fiche info Avenant 10'!$V$9)</f>
        <v/>
      </c>
      <c r="G851" s="16">
        <f t="shared" si="174"/>
        <v>0</v>
      </c>
      <c r="BX851" s="16" t="str">
        <f t="shared" si="175"/>
        <v>Fiche info Avenant 10B3</v>
      </c>
      <c r="BY851" s="431">
        <f>'Fiche info Avenant 10'!$M$9</f>
        <v>0</v>
      </c>
      <c r="BZ851" s="431">
        <f>'Fiche info Avenant 10'!$N$9</f>
        <v>0</v>
      </c>
      <c r="CA851" s="431">
        <f>'Fiche info Avenant 10'!$O$9</f>
        <v>0</v>
      </c>
      <c r="CB851" s="431">
        <f>'Fiche info Avenant 10'!$P$9</f>
        <v>0</v>
      </c>
      <c r="CC851" s="431">
        <f>'Fiche info Avenant 10'!$Q$9</f>
        <v>0</v>
      </c>
      <c r="CD851" s="431">
        <f>'Fiche info Avenant 10'!$R$9</f>
        <v>0</v>
      </c>
      <c r="CE851" s="431">
        <f>'Fiche info Avenant 10'!$S$9</f>
        <v>0</v>
      </c>
      <c r="CF851" s="431">
        <f>'Fiche info Avenant 10'!$T$9</f>
        <v>0</v>
      </c>
      <c r="ED851" s="16" t="str">
        <f t="shared" si="168"/>
        <v>Fiche info Avenant 10B</v>
      </c>
      <c r="EE851" s="16" t="str">
        <f t="shared" si="169"/>
        <v>Fiche info Avenant 10</v>
      </c>
      <c r="EF851" s="16" t="str">
        <f t="shared" si="170"/>
        <v>B</v>
      </c>
      <c r="EG851" s="16">
        <f t="shared" si="171"/>
        <v>3</v>
      </c>
      <c r="EH851" s="16" t="str">
        <f t="shared" si="172"/>
        <v>Mercredi</v>
      </c>
      <c r="EI851" s="16" t="str">
        <f t="shared" si="173"/>
        <v/>
      </c>
    </row>
    <row r="852" spans="1:139" x14ac:dyDescent="0.2">
      <c r="A852" s="16" t="str">
        <f t="shared" si="176"/>
        <v>Fiche info Avenant 10B4</v>
      </c>
      <c r="B852" s="16" t="str">
        <f t="shared" si="177"/>
        <v>Fiche info Avenant 10</v>
      </c>
      <c r="C852" s="27" t="s">
        <v>227</v>
      </c>
      <c r="D852" s="27">
        <v>4</v>
      </c>
      <c r="E852" s="16" t="s">
        <v>20</v>
      </c>
      <c r="F852" s="34" t="str">
        <f>+IF('Fiche info Avenant 10'!$V$10=0,"",'Fiche info Avenant 10'!$V$10)</f>
        <v/>
      </c>
      <c r="G852" s="16">
        <f t="shared" si="174"/>
        <v>0</v>
      </c>
      <c r="BX852" s="16" t="str">
        <f t="shared" si="175"/>
        <v>Fiche info Avenant 10B4</v>
      </c>
      <c r="BY852" s="431">
        <f>'Fiche info Avenant 10'!$M$10</f>
        <v>0</v>
      </c>
      <c r="BZ852" s="431">
        <f>'Fiche info Avenant 10'!$N$10</f>
        <v>0</v>
      </c>
      <c r="CA852" s="431">
        <f>'Fiche info Avenant 10'!$O$10</f>
        <v>0</v>
      </c>
      <c r="CB852" s="431">
        <f>'Fiche info Avenant 10'!$P$10</f>
        <v>0</v>
      </c>
      <c r="CC852" s="431">
        <f>'Fiche info Avenant 10'!$Q$10</f>
        <v>0</v>
      </c>
      <c r="CD852" s="431">
        <f>'Fiche info Avenant 10'!$R$10</f>
        <v>0</v>
      </c>
      <c r="CE852" s="431">
        <f>'Fiche info Avenant 10'!$S$10</f>
        <v>0</v>
      </c>
      <c r="CF852" s="431">
        <f>'Fiche info Avenant 10'!$T$10</f>
        <v>0</v>
      </c>
      <c r="ED852" s="16" t="str">
        <f t="shared" si="168"/>
        <v>Fiche info Avenant 10B</v>
      </c>
      <c r="EE852" s="16" t="str">
        <f t="shared" si="169"/>
        <v>Fiche info Avenant 10</v>
      </c>
      <c r="EF852" s="16" t="str">
        <f t="shared" si="170"/>
        <v>B</v>
      </c>
      <c r="EG852" s="16">
        <f t="shared" si="171"/>
        <v>4</v>
      </c>
      <c r="EH852" s="16" t="str">
        <f t="shared" si="172"/>
        <v>Jeudi</v>
      </c>
      <c r="EI852" s="16" t="str">
        <f t="shared" si="173"/>
        <v/>
      </c>
    </row>
    <row r="853" spans="1:139" x14ac:dyDescent="0.2">
      <c r="A853" s="16" t="str">
        <f t="shared" si="176"/>
        <v>Fiche info Avenant 10B5</v>
      </c>
      <c r="B853" s="16" t="str">
        <f t="shared" si="177"/>
        <v>Fiche info Avenant 10</v>
      </c>
      <c r="C853" s="27" t="s">
        <v>227</v>
      </c>
      <c r="D853" s="27">
        <v>5</v>
      </c>
      <c r="E853" s="16" t="s">
        <v>21</v>
      </c>
      <c r="F853" s="34" t="str">
        <f>+IF('Fiche info Avenant 10'!$V$11=0,"",'Fiche info Avenant 10'!$V$11)</f>
        <v/>
      </c>
      <c r="G853" s="16">
        <f t="shared" si="174"/>
        <v>0</v>
      </c>
      <c r="BX853" s="16" t="str">
        <f t="shared" si="175"/>
        <v>Fiche info Avenant 10B5</v>
      </c>
      <c r="BY853" s="431">
        <f>'Fiche info Avenant 10'!$M$11</f>
        <v>0</v>
      </c>
      <c r="BZ853" s="431">
        <f>'Fiche info Avenant 10'!$N$11</f>
        <v>0</v>
      </c>
      <c r="CA853" s="431">
        <f>'Fiche info Avenant 10'!$O$11</f>
        <v>0</v>
      </c>
      <c r="CB853" s="431">
        <f>'Fiche info Avenant 10'!$P$11</f>
        <v>0</v>
      </c>
      <c r="CC853" s="431">
        <f>'Fiche info Avenant 10'!$Q$11</f>
        <v>0</v>
      </c>
      <c r="CD853" s="431">
        <f>'Fiche info Avenant 10'!$R$11</f>
        <v>0</v>
      </c>
      <c r="CE853" s="431">
        <f>'Fiche info Avenant 10'!$S$11</f>
        <v>0</v>
      </c>
      <c r="CF853" s="431">
        <f>'Fiche info Avenant 10'!$T$11</f>
        <v>0</v>
      </c>
      <c r="ED853" s="16" t="str">
        <f t="shared" si="168"/>
        <v>Fiche info Avenant 10B</v>
      </c>
      <c r="EE853" s="16" t="str">
        <f t="shared" si="169"/>
        <v>Fiche info Avenant 10</v>
      </c>
      <c r="EF853" s="16" t="str">
        <f t="shared" si="170"/>
        <v>B</v>
      </c>
      <c r="EG853" s="16">
        <f t="shared" si="171"/>
        <v>5</v>
      </c>
      <c r="EH853" s="16" t="str">
        <f t="shared" si="172"/>
        <v>Vendredi</v>
      </c>
      <c r="EI853" s="16" t="str">
        <f t="shared" si="173"/>
        <v/>
      </c>
    </row>
    <row r="854" spans="1:139" x14ac:dyDescent="0.2">
      <c r="A854" s="16" t="str">
        <f t="shared" si="176"/>
        <v>Fiche info Avenant 10B6</v>
      </c>
      <c r="B854" s="16" t="str">
        <f t="shared" si="177"/>
        <v>Fiche info Avenant 10</v>
      </c>
      <c r="C854" s="27" t="s">
        <v>227</v>
      </c>
      <c r="D854" s="27">
        <v>6</v>
      </c>
      <c r="E854" s="16" t="s">
        <v>184</v>
      </c>
      <c r="F854" s="34" t="str">
        <f>+IF('Fiche info Avenant 10'!$V$12=0,"",'Fiche info Avenant 10'!$V$12)</f>
        <v/>
      </c>
      <c r="G854" s="16">
        <f t="shared" si="174"/>
        <v>0</v>
      </c>
      <c r="BX854" s="16" t="str">
        <f t="shared" si="175"/>
        <v>Fiche info Avenant 10B6</v>
      </c>
      <c r="BY854" s="431">
        <f>'Fiche info Avenant 10'!$M$12</f>
        <v>0</v>
      </c>
      <c r="BZ854" s="431">
        <f>'Fiche info Avenant 10'!$N$12</f>
        <v>0</v>
      </c>
      <c r="CA854" s="431">
        <f>'Fiche info Avenant 10'!$O$12</f>
        <v>0</v>
      </c>
      <c r="CB854" s="431">
        <f>'Fiche info Avenant 10'!$P$12</f>
        <v>0</v>
      </c>
      <c r="CC854" s="431">
        <f>'Fiche info Avenant 10'!$Q$12</f>
        <v>0</v>
      </c>
      <c r="CD854" s="431">
        <f>'Fiche info Avenant 10'!$R$12</f>
        <v>0</v>
      </c>
      <c r="CE854" s="431">
        <f>'Fiche info Avenant 10'!$S$12</f>
        <v>0</v>
      </c>
      <c r="CF854" s="431">
        <f>'Fiche info Avenant 10'!$T$12</f>
        <v>0</v>
      </c>
      <c r="ED854" s="16" t="str">
        <f t="shared" si="168"/>
        <v>Fiche info Avenant 10B</v>
      </c>
      <c r="EE854" s="16" t="str">
        <f t="shared" si="169"/>
        <v>Fiche info Avenant 10</v>
      </c>
      <c r="EF854" s="16" t="str">
        <f t="shared" si="170"/>
        <v>B</v>
      </c>
      <c r="EG854" s="16">
        <f t="shared" si="171"/>
        <v>6</v>
      </c>
      <c r="EH854" s="16" t="str">
        <f t="shared" si="172"/>
        <v>Samedi</v>
      </c>
      <c r="EI854" s="16" t="str">
        <f t="shared" si="173"/>
        <v/>
      </c>
    </row>
    <row r="855" spans="1:139" x14ac:dyDescent="0.2">
      <c r="A855" s="16" t="str">
        <f t="shared" si="176"/>
        <v>Fiche info Avenant 10B7</v>
      </c>
      <c r="B855" s="16" t="str">
        <f t="shared" si="177"/>
        <v>Fiche info Avenant 10</v>
      </c>
      <c r="C855" s="27" t="s">
        <v>227</v>
      </c>
      <c r="D855" s="27">
        <v>7</v>
      </c>
      <c r="E855" s="16" t="s">
        <v>185</v>
      </c>
      <c r="F855" s="34" t="str">
        <f>+IF('Fiche info Avenant 10'!$V$13=0,"",'Fiche info Avenant 10'!$V$13)</f>
        <v/>
      </c>
      <c r="G855" s="16">
        <f t="shared" si="174"/>
        <v>0</v>
      </c>
      <c r="BX855" s="16" t="str">
        <f t="shared" si="175"/>
        <v>Fiche info Avenant 10B7</v>
      </c>
      <c r="BY855" s="431">
        <f>'Fiche info Avenant 10'!$M$13</f>
        <v>0</v>
      </c>
      <c r="BZ855" s="431">
        <f>'Fiche info Avenant 10'!$N$13</f>
        <v>0</v>
      </c>
      <c r="CA855" s="431">
        <f>'Fiche info Avenant 10'!$O$13</f>
        <v>0</v>
      </c>
      <c r="CB855" s="431">
        <f>'Fiche info Avenant 10'!$P$13</f>
        <v>0</v>
      </c>
      <c r="CC855" s="431">
        <f>'Fiche info Avenant 10'!$Q$13</f>
        <v>0</v>
      </c>
      <c r="CD855" s="431">
        <f>'Fiche info Avenant 10'!$R$13</f>
        <v>0</v>
      </c>
      <c r="CE855" s="431">
        <f>'Fiche info Avenant 10'!$S$13</f>
        <v>0</v>
      </c>
      <c r="CF855" s="431">
        <f>'Fiche info Avenant 10'!$T$13</f>
        <v>0</v>
      </c>
      <c r="ED855" s="16" t="str">
        <f t="shared" si="168"/>
        <v>Fiche info Avenant 10B</v>
      </c>
      <c r="EE855" s="16" t="str">
        <f t="shared" si="169"/>
        <v>Fiche info Avenant 10</v>
      </c>
      <c r="EF855" s="16" t="str">
        <f t="shared" si="170"/>
        <v>B</v>
      </c>
      <c r="EG855" s="16">
        <f t="shared" si="171"/>
        <v>7</v>
      </c>
      <c r="EH855" s="16" t="str">
        <f t="shared" si="172"/>
        <v>Dimanche</v>
      </c>
      <c r="EI855" s="16" t="str">
        <f t="shared" si="173"/>
        <v/>
      </c>
    </row>
    <row r="856" spans="1:139" x14ac:dyDescent="0.2">
      <c r="A856" s="16" t="str">
        <f t="shared" si="176"/>
        <v>Fiche info Avenant 10C1</v>
      </c>
      <c r="B856" s="16" t="str">
        <f t="shared" si="177"/>
        <v>Fiche info Avenant 10</v>
      </c>
      <c r="C856" s="27" t="s">
        <v>232</v>
      </c>
      <c r="D856" s="27">
        <v>1</v>
      </c>
      <c r="E856" s="16" t="s">
        <v>17</v>
      </c>
      <c r="F856" s="34" t="str">
        <f>+IF('Fiche info Avenant 10'!$AG$7=0,"",'Fiche info Avenant 10'!$AG$7)</f>
        <v/>
      </c>
      <c r="G856" s="16">
        <f t="shared" si="174"/>
        <v>0</v>
      </c>
      <c r="BX856" s="16" t="str">
        <f t="shared" si="175"/>
        <v>Fiche info Avenant 10C1</v>
      </c>
      <c r="BY856" s="431">
        <f>'Fiche info Avenant 10'!$X$7</f>
        <v>0</v>
      </c>
      <c r="BZ856" s="431">
        <f>'Fiche info Avenant 10'!$Y$7</f>
        <v>0</v>
      </c>
      <c r="CA856" s="431">
        <f>'Fiche info Avenant 10'!$Z$7</f>
        <v>0</v>
      </c>
      <c r="CB856" s="431">
        <f>'Fiche info Avenant 10'!$AA$7</f>
        <v>0</v>
      </c>
      <c r="CC856" s="431">
        <f>'Fiche info Avenant 10'!$AB$7</f>
        <v>0</v>
      </c>
      <c r="CD856" s="431">
        <f>'Fiche info Avenant 10'!$AC$7</f>
        <v>0</v>
      </c>
      <c r="CE856" s="431">
        <f>'Fiche info Avenant 10'!$AD$7</f>
        <v>0</v>
      </c>
      <c r="CF856" s="431">
        <f>'Fiche info Avenant 10'!$AE$7</f>
        <v>0</v>
      </c>
      <c r="ED856" s="16" t="str">
        <f t="shared" si="168"/>
        <v>Fiche info Avenant 10C</v>
      </c>
      <c r="EE856" s="16" t="str">
        <f t="shared" si="169"/>
        <v>Fiche info Avenant 10</v>
      </c>
      <c r="EF856" s="16" t="str">
        <f t="shared" si="170"/>
        <v>C</v>
      </c>
      <c r="EG856" s="16">
        <f t="shared" si="171"/>
        <v>1</v>
      </c>
      <c r="EH856" s="16" t="str">
        <f t="shared" si="172"/>
        <v>Lundi</v>
      </c>
      <c r="EI856" s="16" t="str">
        <f t="shared" si="173"/>
        <v/>
      </c>
    </row>
    <row r="857" spans="1:139" x14ac:dyDescent="0.2">
      <c r="A857" s="16" t="str">
        <f t="shared" si="176"/>
        <v>Fiche info Avenant 10C2</v>
      </c>
      <c r="B857" s="16" t="str">
        <f t="shared" si="177"/>
        <v>Fiche info Avenant 10</v>
      </c>
      <c r="C857" s="27" t="s">
        <v>232</v>
      </c>
      <c r="D857" s="27">
        <v>2</v>
      </c>
      <c r="E857" s="16" t="s">
        <v>18</v>
      </c>
      <c r="F857" s="34" t="str">
        <f>+IF('Fiche info Avenant 10'!$AG$8=0,"",'Fiche info Avenant 10'!$AG$8)</f>
        <v/>
      </c>
      <c r="G857" s="16">
        <f t="shared" si="174"/>
        <v>0</v>
      </c>
      <c r="BX857" s="16" t="str">
        <f t="shared" si="175"/>
        <v>Fiche info Avenant 10C2</v>
      </c>
      <c r="BY857" s="431">
        <f>'Fiche info Avenant 10'!$X$8</f>
        <v>0</v>
      </c>
      <c r="BZ857" s="431">
        <f>'Fiche info Avenant 10'!$Y$8</f>
        <v>0</v>
      </c>
      <c r="CA857" s="431">
        <f>'Fiche info Avenant 10'!$Z$8</f>
        <v>0</v>
      </c>
      <c r="CB857" s="431">
        <f>'Fiche info Avenant 10'!$AA$8</f>
        <v>0</v>
      </c>
      <c r="CC857" s="431">
        <f>'Fiche info Avenant 10'!$AB$8</f>
        <v>0</v>
      </c>
      <c r="CD857" s="431">
        <f>'Fiche info Avenant 10'!$AC$8</f>
        <v>0</v>
      </c>
      <c r="CE857" s="431">
        <f>'Fiche info Avenant 10'!$AD$8</f>
        <v>0</v>
      </c>
      <c r="CF857" s="431">
        <f>'Fiche info Avenant 10'!$AE$8</f>
        <v>0</v>
      </c>
      <c r="ED857" s="16" t="str">
        <f t="shared" si="168"/>
        <v>Fiche info Avenant 10C</v>
      </c>
      <c r="EE857" s="16" t="str">
        <f t="shared" si="169"/>
        <v>Fiche info Avenant 10</v>
      </c>
      <c r="EF857" s="16" t="str">
        <f t="shared" si="170"/>
        <v>C</v>
      </c>
      <c r="EG857" s="16">
        <f t="shared" si="171"/>
        <v>2</v>
      </c>
      <c r="EH857" s="16" t="str">
        <f t="shared" si="172"/>
        <v>Mardi</v>
      </c>
      <c r="EI857" s="16" t="str">
        <f t="shared" si="173"/>
        <v/>
      </c>
    </row>
    <row r="858" spans="1:139" x14ac:dyDescent="0.2">
      <c r="A858" s="16" t="str">
        <f t="shared" si="176"/>
        <v>Fiche info Avenant 10C3</v>
      </c>
      <c r="B858" s="16" t="str">
        <f t="shared" si="177"/>
        <v>Fiche info Avenant 10</v>
      </c>
      <c r="C858" s="27" t="s">
        <v>232</v>
      </c>
      <c r="D858" s="27">
        <v>3</v>
      </c>
      <c r="E858" s="16" t="s">
        <v>19</v>
      </c>
      <c r="F858" s="34" t="str">
        <f>+IF('Fiche info Avenant 10'!$AG$9=0,"",'Fiche info Avenant 10'!$AG$9)</f>
        <v/>
      </c>
      <c r="G858" s="16">
        <f t="shared" si="174"/>
        <v>0</v>
      </c>
      <c r="BX858" s="16" t="str">
        <f t="shared" si="175"/>
        <v>Fiche info Avenant 10C3</v>
      </c>
      <c r="BY858" s="431">
        <f>'Fiche info Avenant 10'!$X$9</f>
        <v>0</v>
      </c>
      <c r="BZ858" s="431">
        <f>'Fiche info Avenant 10'!$Y$9</f>
        <v>0</v>
      </c>
      <c r="CA858" s="431">
        <f>'Fiche info Avenant 10'!$Z$9</f>
        <v>0</v>
      </c>
      <c r="CB858" s="431">
        <f>'Fiche info Avenant 10'!$AA$9</f>
        <v>0</v>
      </c>
      <c r="CC858" s="431">
        <f>'Fiche info Avenant 10'!$AB$9</f>
        <v>0</v>
      </c>
      <c r="CD858" s="431">
        <f>'Fiche info Avenant 10'!$AC$9</f>
        <v>0</v>
      </c>
      <c r="CE858" s="431">
        <f>'Fiche info Avenant 10'!$AD$9</f>
        <v>0</v>
      </c>
      <c r="CF858" s="431">
        <f>'Fiche info Avenant 10'!$AE$9</f>
        <v>0</v>
      </c>
      <c r="ED858" s="16" t="str">
        <f t="shared" si="168"/>
        <v>Fiche info Avenant 10C</v>
      </c>
      <c r="EE858" s="16" t="str">
        <f t="shared" si="169"/>
        <v>Fiche info Avenant 10</v>
      </c>
      <c r="EF858" s="16" t="str">
        <f t="shared" si="170"/>
        <v>C</v>
      </c>
      <c r="EG858" s="16">
        <f t="shared" si="171"/>
        <v>3</v>
      </c>
      <c r="EH858" s="16" t="str">
        <f t="shared" si="172"/>
        <v>Mercredi</v>
      </c>
      <c r="EI858" s="16" t="str">
        <f t="shared" si="173"/>
        <v/>
      </c>
    </row>
    <row r="859" spans="1:139" x14ac:dyDescent="0.2">
      <c r="A859" s="16" t="str">
        <f t="shared" si="176"/>
        <v>Fiche info Avenant 10C4</v>
      </c>
      <c r="B859" s="16" t="str">
        <f t="shared" si="177"/>
        <v>Fiche info Avenant 10</v>
      </c>
      <c r="C859" s="27" t="s">
        <v>232</v>
      </c>
      <c r="D859" s="27">
        <v>4</v>
      </c>
      <c r="E859" s="16" t="s">
        <v>20</v>
      </c>
      <c r="F859" s="34" t="str">
        <f>+IF('Fiche info Avenant 10'!$AG$10=0,"",'Fiche info Avenant 10'!$AG$10)</f>
        <v/>
      </c>
      <c r="G859" s="16">
        <f t="shared" si="174"/>
        <v>0</v>
      </c>
      <c r="BX859" s="16" t="str">
        <f t="shared" si="175"/>
        <v>Fiche info Avenant 10C4</v>
      </c>
      <c r="BY859" s="431">
        <f>'Fiche info Avenant 10'!$X$10</f>
        <v>0</v>
      </c>
      <c r="BZ859" s="431">
        <f>'Fiche info Avenant 10'!$Y$10</f>
        <v>0</v>
      </c>
      <c r="CA859" s="431">
        <f>'Fiche info Avenant 10'!$Z$10</f>
        <v>0</v>
      </c>
      <c r="CB859" s="431">
        <f>'Fiche info Avenant 10'!$AA$10</f>
        <v>0</v>
      </c>
      <c r="CC859" s="431">
        <f>'Fiche info Avenant 10'!$AB$10</f>
        <v>0</v>
      </c>
      <c r="CD859" s="431">
        <f>'Fiche info Avenant 10'!$AC$10</f>
        <v>0</v>
      </c>
      <c r="CE859" s="431">
        <f>'Fiche info Avenant 10'!$AD$10</f>
        <v>0</v>
      </c>
      <c r="CF859" s="431">
        <f>'Fiche info Avenant 10'!$AE$10</f>
        <v>0</v>
      </c>
      <c r="ED859" s="16" t="str">
        <f t="shared" si="168"/>
        <v>Fiche info Avenant 10C</v>
      </c>
      <c r="EE859" s="16" t="str">
        <f t="shared" si="169"/>
        <v>Fiche info Avenant 10</v>
      </c>
      <c r="EF859" s="16" t="str">
        <f t="shared" si="170"/>
        <v>C</v>
      </c>
      <c r="EG859" s="16">
        <f t="shared" si="171"/>
        <v>4</v>
      </c>
      <c r="EH859" s="16" t="str">
        <f t="shared" si="172"/>
        <v>Jeudi</v>
      </c>
      <c r="EI859" s="16" t="str">
        <f t="shared" si="173"/>
        <v/>
      </c>
    </row>
    <row r="860" spans="1:139" x14ac:dyDescent="0.2">
      <c r="A860" s="16" t="str">
        <f t="shared" si="176"/>
        <v>Fiche info Avenant 10C5</v>
      </c>
      <c r="B860" s="16" t="str">
        <f t="shared" si="177"/>
        <v>Fiche info Avenant 10</v>
      </c>
      <c r="C860" s="27" t="s">
        <v>232</v>
      </c>
      <c r="D860" s="27">
        <v>5</v>
      </c>
      <c r="E860" s="16" t="s">
        <v>21</v>
      </c>
      <c r="F860" s="34" t="str">
        <f>+IF('Fiche info Avenant 10'!$AG$11=0,"",'Fiche info Avenant 10'!$AG$11)</f>
        <v/>
      </c>
      <c r="G860" s="16">
        <f t="shared" si="174"/>
        <v>0</v>
      </c>
      <c r="BX860" s="16" t="str">
        <f t="shared" si="175"/>
        <v>Fiche info Avenant 10C5</v>
      </c>
      <c r="BY860" s="431">
        <f>'Fiche info Avenant 10'!$X$11</f>
        <v>0</v>
      </c>
      <c r="BZ860" s="431">
        <f>'Fiche info Avenant 10'!$Y$11</f>
        <v>0</v>
      </c>
      <c r="CA860" s="431">
        <f>'Fiche info Avenant 10'!$Z$11</f>
        <v>0</v>
      </c>
      <c r="CB860" s="431">
        <f>'Fiche info Avenant 10'!$AA$11</f>
        <v>0</v>
      </c>
      <c r="CC860" s="431">
        <f>'Fiche info Avenant 10'!$AB$11</f>
        <v>0</v>
      </c>
      <c r="CD860" s="431">
        <f>'Fiche info Avenant 10'!$AC$11</f>
        <v>0</v>
      </c>
      <c r="CE860" s="431">
        <f>'Fiche info Avenant 10'!$AD$11</f>
        <v>0</v>
      </c>
      <c r="CF860" s="431">
        <f>'Fiche info Avenant 10'!$AE$11</f>
        <v>0</v>
      </c>
      <c r="ED860" s="16" t="str">
        <f t="shared" si="168"/>
        <v>Fiche info Avenant 10C</v>
      </c>
      <c r="EE860" s="16" t="str">
        <f t="shared" si="169"/>
        <v>Fiche info Avenant 10</v>
      </c>
      <c r="EF860" s="16" t="str">
        <f t="shared" si="170"/>
        <v>C</v>
      </c>
      <c r="EG860" s="16">
        <f t="shared" si="171"/>
        <v>5</v>
      </c>
      <c r="EH860" s="16" t="str">
        <f t="shared" si="172"/>
        <v>Vendredi</v>
      </c>
      <c r="EI860" s="16" t="str">
        <f t="shared" si="173"/>
        <v/>
      </c>
    </row>
    <row r="861" spans="1:139" x14ac:dyDescent="0.2">
      <c r="A861" s="16" t="str">
        <f t="shared" si="176"/>
        <v>Fiche info Avenant 10C6</v>
      </c>
      <c r="B861" s="16" t="str">
        <f t="shared" si="177"/>
        <v>Fiche info Avenant 10</v>
      </c>
      <c r="C861" s="27" t="s">
        <v>232</v>
      </c>
      <c r="D861" s="27">
        <v>6</v>
      </c>
      <c r="E861" s="16" t="s">
        <v>184</v>
      </c>
      <c r="F861" s="34" t="str">
        <f>+IF('Fiche info Avenant 10'!$AG$12=0,"",'Fiche info Avenant 10'!$AG$12)</f>
        <v/>
      </c>
      <c r="G861" s="16">
        <f t="shared" si="174"/>
        <v>0</v>
      </c>
      <c r="BX861" s="16" t="str">
        <f t="shared" si="175"/>
        <v>Fiche info Avenant 10C6</v>
      </c>
      <c r="BY861" s="431">
        <f>'Fiche info Avenant 10'!$X$12</f>
        <v>0</v>
      </c>
      <c r="BZ861" s="431">
        <f>'Fiche info Avenant 10'!$Y$12</f>
        <v>0</v>
      </c>
      <c r="CA861" s="431">
        <f>'Fiche info Avenant 10'!$Z$12</f>
        <v>0</v>
      </c>
      <c r="CB861" s="431">
        <f>'Fiche info Avenant 10'!$AA$12</f>
        <v>0</v>
      </c>
      <c r="CC861" s="431">
        <f>'Fiche info Avenant 10'!$AB$12</f>
        <v>0</v>
      </c>
      <c r="CD861" s="431">
        <f>'Fiche info Avenant 10'!$AC$12</f>
        <v>0</v>
      </c>
      <c r="CE861" s="431">
        <f>'Fiche info Avenant 10'!$AD$12</f>
        <v>0</v>
      </c>
      <c r="CF861" s="431">
        <f>'Fiche info Avenant 10'!$AE$12</f>
        <v>0</v>
      </c>
      <c r="ED861" s="16" t="str">
        <f t="shared" si="168"/>
        <v>Fiche info Avenant 10C</v>
      </c>
      <c r="EE861" s="16" t="str">
        <f t="shared" si="169"/>
        <v>Fiche info Avenant 10</v>
      </c>
      <c r="EF861" s="16" t="str">
        <f t="shared" si="170"/>
        <v>C</v>
      </c>
      <c r="EG861" s="16">
        <f t="shared" si="171"/>
        <v>6</v>
      </c>
      <c r="EH861" s="16" t="str">
        <f t="shared" si="172"/>
        <v>Samedi</v>
      </c>
      <c r="EI861" s="16" t="str">
        <f t="shared" si="173"/>
        <v/>
      </c>
    </row>
    <row r="862" spans="1:139" x14ac:dyDescent="0.2">
      <c r="A862" s="16" t="str">
        <f t="shared" si="176"/>
        <v>Fiche info Avenant 10C7</v>
      </c>
      <c r="B862" s="16" t="str">
        <f t="shared" si="177"/>
        <v>Fiche info Avenant 10</v>
      </c>
      <c r="C862" s="27" t="s">
        <v>232</v>
      </c>
      <c r="D862" s="27">
        <v>7</v>
      </c>
      <c r="E862" s="16" t="s">
        <v>185</v>
      </c>
      <c r="F862" s="34" t="str">
        <f>+IF('Fiche info Avenant 10'!$AG$13=0,"",'Fiche info Avenant 10'!$AG$13)</f>
        <v/>
      </c>
      <c r="G862" s="16">
        <f t="shared" si="174"/>
        <v>0</v>
      </c>
      <c r="BX862" s="16" t="str">
        <f t="shared" si="175"/>
        <v>Fiche info Avenant 10C7</v>
      </c>
      <c r="BY862" s="431">
        <f>'Fiche info Avenant 10'!$X$13</f>
        <v>0</v>
      </c>
      <c r="BZ862" s="431">
        <f>'Fiche info Avenant 10'!$Y$13</f>
        <v>0</v>
      </c>
      <c r="CA862" s="431">
        <f>'Fiche info Avenant 10'!$Z$13</f>
        <v>0</v>
      </c>
      <c r="CB862" s="431">
        <f>'Fiche info Avenant 10'!$AA$13</f>
        <v>0</v>
      </c>
      <c r="CC862" s="431">
        <f>'Fiche info Avenant 10'!$AB$13</f>
        <v>0</v>
      </c>
      <c r="CD862" s="431">
        <f>'Fiche info Avenant 10'!$AC$13</f>
        <v>0</v>
      </c>
      <c r="CE862" s="431">
        <f>'Fiche info Avenant 10'!$AD$13</f>
        <v>0</v>
      </c>
      <c r="CF862" s="431">
        <f>'Fiche info Avenant 10'!$AE$13</f>
        <v>0</v>
      </c>
      <c r="ED862" s="16" t="str">
        <f t="shared" si="168"/>
        <v>Fiche info Avenant 10C</v>
      </c>
      <c r="EE862" s="16" t="str">
        <f t="shared" si="169"/>
        <v>Fiche info Avenant 10</v>
      </c>
      <c r="EF862" s="16" t="str">
        <f t="shared" si="170"/>
        <v>C</v>
      </c>
      <c r="EG862" s="16">
        <f t="shared" si="171"/>
        <v>7</v>
      </c>
      <c r="EH862" s="16" t="str">
        <f t="shared" si="172"/>
        <v>Dimanche</v>
      </c>
      <c r="EI862" s="16" t="str">
        <f t="shared" si="173"/>
        <v/>
      </c>
    </row>
    <row r="863" spans="1:139" x14ac:dyDescent="0.2">
      <c r="A863" s="16" t="str">
        <f t="shared" si="176"/>
        <v>Fiche info Avenant 10D1</v>
      </c>
      <c r="B863" s="16" t="str">
        <f t="shared" si="177"/>
        <v>Fiche info Avenant 10</v>
      </c>
      <c r="C863" s="27" t="s">
        <v>233</v>
      </c>
      <c r="D863" s="27">
        <v>1</v>
      </c>
      <c r="E863" s="16" t="s">
        <v>17</v>
      </c>
      <c r="F863" s="34" t="str">
        <f>+IF('Fiche info Avenant 10'!$AR$7=0,"",'Fiche info Avenant 10'!$AR$7)</f>
        <v/>
      </c>
      <c r="G863" s="16">
        <f t="shared" si="174"/>
        <v>0</v>
      </c>
      <c r="BX863" s="16" t="str">
        <f t="shared" si="175"/>
        <v>Fiche info Avenant 10D1</v>
      </c>
      <c r="BY863" s="431">
        <f>'Fiche info Avenant 10'!$AI$7</f>
        <v>0</v>
      </c>
      <c r="BZ863" s="431">
        <f>'Fiche info Avenant 10'!$AJ$7</f>
        <v>0</v>
      </c>
      <c r="CA863" s="431">
        <f>'Fiche info Avenant 10'!$AK$7</f>
        <v>0</v>
      </c>
      <c r="CB863" s="431">
        <f>'Fiche info Avenant 10'!$AL$7</f>
        <v>0</v>
      </c>
      <c r="CC863" s="431">
        <f>'Fiche info Avenant 10'!$AM$7</f>
        <v>0</v>
      </c>
      <c r="CD863" s="431">
        <f>'Fiche info Avenant 10'!$AN$7</f>
        <v>0</v>
      </c>
      <c r="CE863" s="431">
        <f>'Fiche info Avenant 10'!$AO$7</f>
        <v>0</v>
      </c>
      <c r="CF863" s="431">
        <f>'Fiche info Avenant 10'!$AP$7</f>
        <v>0</v>
      </c>
      <c r="ED863" s="16" t="str">
        <f t="shared" si="168"/>
        <v>Fiche info Avenant 10D</v>
      </c>
      <c r="EE863" s="16" t="str">
        <f t="shared" si="169"/>
        <v>Fiche info Avenant 10</v>
      </c>
      <c r="EF863" s="16" t="str">
        <f t="shared" si="170"/>
        <v>D</v>
      </c>
      <c r="EG863" s="16">
        <f t="shared" si="171"/>
        <v>1</v>
      </c>
      <c r="EH863" s="16" t="str">
        <f t="shared" si="172"/>
        <v>Lundi</v>
      </c>
      <c r="EI863" s="16" t="str">
        <f t="shared" si="173"/>
        <v/>
      </c>
    </row>
    <row r="864" spans="1:139" x14ac:dyDescent="0.2">
      <c r="A864" s="16" t="str">
        <f t="shared" si="176"/>
        <v>Fiche info Avenant 10D2</v>
      </c>
      <c r="B864" s="16" t="str">
        <f t="shared" si="177"/>
        <v>Fiche info Avenant 10</v>
      </c>
      <c r="C864" s="27" t="s">
        <v>233</v>
      </c>
      <c r="D864" s="27">
        <v>2</v>
      </c>
      <c r="E864" s="16" t="s">
        <v>18</v>
      </c>
      <c r="F864" s="34" t="str">
        <f>IF(+'Fiche info Avenant 10'!$AR$8=0,"",'Fiche info Avenant 10'!$AR$8)</f>
        <v/>
      </c>
      <c r="G864" s="16">
        <f t="shared" si="174"/>
        <v>0</v>
      </c>
      <c r="BX864" s="16" t="str">
        <f t="shared" si="175"/>
        <v>Fiche info Avenant 10D2</v>
      </c>
      <c r="BY864" s="431">
        <f>'Fiche info Avenant 10'!$AI$8</f>
        <v>0</v>
      </c>
      <c r="BZ864" s="431">
        <f>'Fiche info Avenant 10'!$AJ$8</f>
        <v>0</v>
      </c>
      <c r="CA864" s="431">
        <f>'Fiche info Avenant 10'!$AK$8</f>
        <v>0</v>
      </c>
      <c r="CB864" s="431">
        <f>'Fiche info Avenant 10'!$AL$8</f>
        <v>0</v>
      </c>
      <c r="CC864" s="431">
        <f>'Fiche info Avenant 10'!$AM$8</f>
        <v>0</v>
      </c>
      <c r="CD864" s="431">
        <f>'Fiche info Avenant 10'!$AN$8</f>
        <v>0</v>
      </c>
      <c r="CE864" s="431">
        <f>'Fiche info Avenant 10'!$AO$8</f>
        <v>0</v>
      </c>
      <c r="CF864" s="431">
        <f>'Fiche info Avenant 10'!$AP$8</f>
        <v>0</v>
      </c>
      <c r="ED864" s="16" t="str">
        <f t="shared" si="168"/>
        <v>Fiche info Avenant 10D</v>
      </c>
      <c r="EE864" s="16" t="str">
        <f t="shared" si="169"/>
        <v>Fiche info Avenant 10</v>
      </c>
      <c r="EF864" s="16" t="str">
        <f t="shared" si="170"/>
        <v>D</v>
      </c>
      <c r="EG864" s="16">
        <f t="shared" si="171"/>
        <v>2</v>
      </c>
      <c r="EH864" s="16" t="str">
        <f t="shared" si="172"/>
        <v>Mardi</v>
      </c>
      <c r="EI864" s="16" t="str">
        <f t="shared" si="173"/>
        <v/>
      </c>
    </row>
    <row r="865" spans="1:139" x14ac:dyDescent="0.2">
      <c r="A865" s="16" t="str">
        <f t="shared" si="176"/>
        <v>Fiche info Avenant 10D3</v>
      </c>
      <c r="B865" s="16" t="str">
        <f t="shared" si="177"/>
        <v>Fiche info Avenant 10</v>
      </c>
      <c r="C865" s="27" t="s">
        <v>233</v>
      </c>
      <c r="D865" s="27">
        <v>3</v>
      </c>
      <c r="E865" s="16" t="s">
        <v>19</v>
      </c>
      <c r="F865" s="34" t="str">
        <f>IF(+'Fiche info Avenant 10'!$AR$9=0,"",'Fiche info Avenant 10'!$AR$9)</f>
        <v/>
      </c>
      <c r="G865" s="16">
        <f t="shared" si="174"/>
        <v>0</v>
      </c>
      <c r="BX865" s="16" t="str">
        <f t="shared" si="175"/>
        <v>Fiche info Avenant 10D3</v>
      </c>
      <c r="BY865" s="431">
        <f>'Fiche info Avenant 10'!$AI$9</f>
        <v>0</v>
      </c>
      <c r="BZ865" s="431">
        <f>'Fiche info Avenant 10'!$AJ$9</f>
        <v>0</v>
      </c>
      <c r="CA865" s="431">
        <f>'Fiche info Avenant 10'!$AK$9</f>
        <v>0</v>
      </c>
      <c r="CB865" s="431">
        <f>'Fiche info Avenant 10'!$AL$9</f>
        <v>0</v>
      </c>
      <c r="CC865" s="431">
        <f>'Fiche info Avenant 10'!$AM$9</f>
        <v>0</v>
      </c>
      <c r="CD865" s="431">
        <f>'Fiche info Avenant 10'!$AN$9</f>
        <v>0</v>
      </c>
      <c r="CE865" s="431">
        <f>'Fiche info Avenant 10'!$AO$9</f>
        <v>0</v>
      </c>
      <c r="CF865" s="431">
        <f>'Fiche info Avenant 10'!$AP$9</f>
        <v>0</v>
      </c>
      <c r="ED865" s="16" t="str">
        <f t="shared" si="168"/>
        <v>Fiche info Avenant 10D</v>
      </c>
      <c r="EE865" s="16" t="str">
        <f t="shared" si="169"/>
        <v>Fiche info Avenant 10</v>
      </c>
      <c r="EF865" s="16" t="str">
        <f t="shared" si="170"/>
        <v>D</v>
      </c>
      <c r="EG865" s="16">
        <f t="shared" si="171"/>
        <v>3</v>
      </c>
      <c r="EH865" s="16" t="str">
        <f t="shared" si="172"/>
        <v>Mercredi</v>
      </c>
      <c r="EI865" s="16" t="str">
        <f t="shared" si="173"/>
        <v/>
      </c>
    </row>
    <row r="866" spans="1:139" x14ac:dyDescent="0.2">
      <c r="A866" s="16" t="str">
        <f t="shared" si="176"/>
        <v>Fiche info Avenant 10D4</v>
      </c>
      <c r="B866" s="16" t="str">
        <f t="shared" si="177"/>
        <v>Fiche info Avenant 10</v>
      </c>
      <c r="C866" s="27" t="s">
        <v>233</v>
      </c>
      <c r="D866" s="27">
        <v>4</v>
      </c>
      <c r="E866" s="16" t="s">
        <v>20</v>
      </c>
      <c r="F866" s="34" t="str">
        <f>IF(+'Fiche info Avenant 10'!$AR$10=0,"",'Fiche info Avenant 10'!$AR$10)</f>
        <v/>
      </c>
      <c r="G866" s="16">
        <f t="shared" si="174"/>
        <v>0</v>
      </c>
      <c r="BX866" s="16" t="str">
        <f t="shared" si="175"/>
        <v>Fiche info Avenant 10D4</v>
      </c>
      <c r="BY866" s="431">
        <f>'Fiche info Avenant 10'!$AI$10</f>
        <v>0</v>
      </c>
      <c r="BZ866" s="431">
        <f>'Fiche info Avenant 10'!$AJ$10</f>
        <v>0</v>
      </c>
      <c r="CA866" s="431">
        <f>'Fiche info Avenant 10'!$AK$10</f>
        <v>0</v>
      </c>
      <c r="CB866" s="431">
        <f>'Fiche info Avenant 10'!$AL$10</f>
        <v>0</v>
      </c>
      <c r="CC866" s="431">
        <f>'Fiche info Avenant 10'!$AM$10</f>
        <v>0</v>
      </c>
      <c r="CD866" s="431">
        <f>'Fiche info Avenant 10'!$AN$10</f>
        <v>0</v>
      </c>
      <c r="CE866" s="431">
        <f>'Fiche info Avenant 10'!$AO$10</f>
        <v>0</v>
      </c>
      <c r="CF866" s="431">
        <f>'Fiche info Avenant 10'!$AP$10</f>
        <v>0</v>
      </c>
      <c r="ED866" s="16" t="str">
        <f t="shared" si="168"/>
        <v>Fiche info Avenant 10D</v>
      </c>
      <c r="EE866" s="16" t="str">
        <f t="shared" si="169"/>
        <v>Fiche info Avenant 10</v>
      </c>
      <c r="EF866" s="16" t="str">
        <f t="shared" si="170"/>
        <v>D</v>
      </c>
      <c r="EG866" s="16">
        <f t="shared" si="171"/>
        <v>4</v>
      </c>
      <c r="EH866" s="16" t="str">
        <f t="shared" si="172"/>
        <v>Jeudi</v>
      </c>
      <c r="EI866" s="16" t="str">
        <f t="shared" si="173"/>
        <v/>
      </c>
    </row>
    <row r="867" spans="1:139" x14ac:dyDescent="0.2">
      <c r="A867" s="16" t="str">
        <f t="shared" si="176"/>
        <v>Fiche info Avenant 10D5</v>
      </c>
      <c r="B867" s="16" t="str">
        <f t="shared" si="177"/>
        <v>Fiche info Avenant 10</v>
      </c>
      <c r="C867" s="27" t="s">
        <v>233</v>
      </c>
      <c r="D867" s="27">
        <v>5</v>
      </c>
      <c r="E867" s="16" t="s">
        <v>21</v>
      </c>
      <c r="F867" s="34" t="str">
        <f>IF(+'Fiche info Avenant 10'!$AR$11=0,"",'Fiche info Avenant 10'!$AR$11)</f>
        <v/>
      </c>
      <c r="G867" s="16">
        <f t="shared" si="174"/>
        <v>0</v>
      </c>
      <c r="BX867" s="16" t="str">
        <f t="shared" si="175"/>
        <v>Fiche info Avenant 10D5</v>
      </c>
      <c r="BY867" s="431">
        <f>'Fiche info Avenant 10'!$AI$11</f>
        <v>0</v>
      </c>
      <c r="BZ867" s="431">
        <f>'Fiche info Avenant 10'!$AJ$11</f>
        <v>0</v>
      </c>
      <c r="CA867" s="431">
        <f>'Fiche info Avenant 10'!$AK$11</f>
        <v>0</v>
      </c>
      <c r="CB867" s="431">
        <f>'Fiche info Avenant 10'!$AL$11</f>
        <v>0</v>
      </c>
      <c r="CC867" s="431">
        <f>'Fiche info Avenant 10'!$AM$11</f>
        <v>0</v>
      </c>
      <c r="CD867" s="431">
        <f>'Fiche info Avenant 10'!$AN$11</f>
        <v>0</v>
      </c>
      <c r="CE867" s="431">
        <f>'Fiche info Avenant 10'!$AO$11</f>
        <v>0</v>
      </c>
      <c r="CF867" s="431">
        <f>'Fiche info Avenant 10'!$AP$11</f>
        <v>0</v>
      </c>
      <c r="ED867" s="16" t="str">
        <f t="shared" si="168"/>
        <v>Fiche info Avenant 10D</v>
      </c>
      <c r="EE867" s="16" t="str">
        <f t="shared" si="169"/>
        <v>Fiche info Avenant 10</v>
      </c>
      <c r="EF867" s="16" t="str">
        <f t="shared" si="170"/>
        <v>D</v>
      </c>
      <c r="EG867" s="16">
        <f t="shared" si="171"/>
        <v>5</v>
      </c>
      <c r="EH867" s="16" t="str">
        <f t="shared" si="172"/>
        <v>Vendredi</v>
      </c>
      <c r="EI867" s="16" t="str">
        <f t="shared" si="173"/>
        <v/>
      </c>
    </row>
    <row r="868" spans="1:139" x14ac:dyDescent="0.2">
      <c r="A868" s="16" t="str">
        <f t="shared" si="176"/>
        <v>Fiche info Avenant 10D6</v>
      </c>
      <c r="B868" s="16" t="str">
        <f t="shared" si="177"/>
        <v>Fiche info Avenant 10</v>
      </c>
      <c r="C868" s="27" t="s">
        <v>233</v>
      </c>
      <c r="D868" s="27">
        <v>6</v>
      </c>
      <c r="E868" s="16" t="s">
        <v>184</v>
      </c>
      <c r="F868" s="34" t="str">
        <f>IF(+'Fiche info Avenant 10'!$AR$12=0,"",'Fiche info Avenant 10'!$AR$12)</f>
        <v/>
      </c>
      <c r="G868" s="16">
        <f t="shared" si="174"/>
        <v>0</v>
      </c>
      <c r="BX868" s="16" t="str">
        <f t="shared" si="175"/>
        <v>Fiche info Avenant 10D6</v>
      </c>
      <c r="BY868" s="431">
        <f>'Fiche info Avenant 10'!$AI$12</f>
        <v>0</v>
      </c>
      <c r="BZ868" s="431">
        <f>'Fiche info Avenant 10'!$AJ$12</f>
        <v>0</v>
      </c>
      <c r="CA868" s="431">
        <f>'Fiche info Avenant 10'!$AK$12</f>
        <v>0</v>
      </c>
      <c r="CB868" s="431">
        <f>'Fiche info Avenant 10'!$AL$12</f>
        <v>0</v>
      </c>
      <c r="CC868" s="431">
        <f>'Fiche info Avenant 10'!$AM$12</f>
        <v>0</v>
      </c>
      <c r="CD868" s="431">
        <f>'Fiche info Avenant 10'!$AN$12</f>
        <v>0</v>
      </c>
      <c r="CE868" s="431">
        <f>'Fiche info Avenant 10'!$AO$12</f>
        <v>0</v>
      </c>
      <c r="CF868" s="431">
        <f>'Fiche info Avenant 10'!$AP$12</f>
        <v>0</v>
      </c>
      <c r="ED868" s="16" t="str">
        <f t="shared" si="168"/>
        <v>Fiche info Avenant 10D</v>
      </c>
      <c r="EE868" s="16" t="str">
        <f t="shared" si="169"/>
        <v>Fiche info Avenant 10</v>
      </c>
      <c r="EF868" s="16" t="str">
        <f t="shared" si="170"/>
        <v>D</v>
      </c>
      <c r="EG868" s="16">
        <f t="shared" si="171"/>
        <v>6</v>
      </c>
      <c r="EH868" s="16" t="str">
        <f t="shared" si="172"/>
        <v>Samedi</v>
      </c>
      <c r="EI868" s="16" t="str">
        <f t="shared" si="173"/>
        <v/>
      </c>
    </row>
    <row r="869" spans="1:139" x14ac:dyDescent="0.2">
      <c r="A869" s="16" t="str">
        <f t="shared" si="176"/>
        <v>Fiche info Avenant 10D7</v>
      </c>
      <c r="B869" s="16" t="str">
        <f t="shared" si="177"/>
        <v>Fiche info Avenant 10</v>
      </c>
      <c r="C869" s="27" t="s">
        <v>233</v>
      </c>
      <c r="D869" s="27">
        <v>7</v>
      </c>
      <c r="E869" s="16" t="s">
        <v>185</v>
      </c>
      <c r="F869" s="34" t="str">
        <f>IF(+'Fiche info Avenant 10'!$AR$13=0,"",'Fiche info Avenant 10'!$AR$13)</f>
        <v/>
      </c>
      <c r="G869" s="16">
        <f t="shared" si="174"/>
        <v>0</v>
      </c>
      <c r="BX869" s="16" t="str">
        <f t="shared" si="175"/>
        <v>Fiche info Avenant 10D7</v>
      </c>
      <c r="BY869" s="431">
        <f>'Fiche info Avenant 10'!$AI$13</f>
        <v>0</v>
      </c>
      <c r="BZ869" s="431">
        <f>'Fiche info Avenant 10'!$AJ$13</f>
        <v>0</v>
      </c>
      <c r="CA869" s="431">
        <f>'Fiche info Avenant 10'!$AK$13</f>
        <v>0</v>
      </c>
      <c r="CB869" s="431">
        <f>'Fiche info Avenant 10'!$AL$13</f>
        <v>0</v>
      </c>
      <c r="CC869" s="431">
        <f>'Fiche info Avenant 10'!$AM$13</f>
        <v>0</v>
      </c>
      <c r="CD869" s="431">
        <f>'Fiche info Avenant 10'!$AN$13</f>
        <v>0</v>
      </c>
      <c r="CE869" s="431">
        <f>'Fiche info Avenant 10'!$AO$13</f>
        <v>0</v>
      </c>
      <c r="CF869" s="431">
        <f>'Fiche info Avenant 10'!$AP$13</f>
        <v>0</v>
      </c>
      <c r="ED869" s="16" t="str">
        <f t="shared" si="168"/>
        <v>Fiche info Avenant 10D</v>
      </c>
      <c r="EE869" s="16" t="str">
        <f t="shared" si="169"/>
        <v>Fiche info Avenant 10</v>
      </c>
      <c r="EF869" s="16" t="str">
        <f t="shared" si="170"/>
        <v>D</v>
      </c>
      <c r="EG869" s="16">
        <f t="shared" si="171"/>
        <v>7</v>
      </c>
      <c r="EH869" s="16" t="str">
        <f t="shared" si="172"/>
        <v>Dimanche</v>
      </c>
      <c r="EI869" s="16" t="str">
        <f t="shared" si="173"/>
        <v/>
      </c>
    </row>
    <row r="870" spans="1:139" x14ac:dyDescent="0.2">
      <c r="A870" s="16" t="str">
        <f t="shared" si="176"/>
        <v>Fiche info Avenant 10E1</v>
      </c>
      <c r="B870" s="16" t="str">
        <f t="shared" si="177"/>
        <v>Fiche info Avenant 10</v>
      </c>
      <c r="C870" s="27" t="s">
        <v>234</v>
      </c>
      <c r="D870" s="27">
        <v>1</v>
      </c>
      <c r="E870" s="16" t="s">
        <v>17</v>
      </c>
      <c r="F870" s="34" t="str">
        <f>IF(+'Fiche info Avenant 10'!$BC$7=0,"",'Fiche info Avenant 10'!$BC$7)</f>
        <v/>
      </c>
      <c r="G870" s="16">
        <f t="shared" si="174"/>
        <v>0</v>
      </c>
      <c r="BX870" s="16" t="str">
        <f t="shared" si="175"/>
        <v>Fiche info Avenant 10E1</v>
      </c>
      <c r="BY870" s="431">
        <f>'Fiche info Avenant 10'!$AT$7</f>
        <v>0</v>
      </c>
      <c r="BZ870" s="431">
        <f>'Fiche info Avenant 10'!$AU$7</f>
        <v>0</v>
      </c>
      <c r="CA870" s="431">
        <f>'Fiche info Avenant 10'!$AV$7</f>
        <v>0</v>
      </c>
      <c r="CB870" s="431">
        <f>'Fiche info Avenant 10'!$AW$7</f>
        <v>0</v>
      </c>
      <c r="CC870" s="431">
        <f>'Fiche info Avenant 10'!$AX$7</f>
        <v>0</v>
      </c>
      <c r="CD870" s="431">
        <f>'Fiche info Avenant 10'!$AY$7</f>
        <v>0</v>
      </c>
      <c r="CE870" s="431">
        <f>'Fiche info Avenant 10'!$AZ$7</f>
        <v>0</v>
      </c>
      <c r="CF870" s="431">
        <f>'Fiche info Avenant 10'!$BA$7</f>
        <v>0</v>
      </c>
      <c r="ED870" s="16" t="str">
        <f t="shared" si="168"/>
        <v>Fiche info Avenant 10E</v>
      </c>
      <c r="EE870" s="16" t="str">
        <f t="shared" si="169"/>
        <v>Fiche info Avenant 10</v>
      </c>
      <c r="EF870" s="16" t="str">
        <f t="shared" si="170"/>
        <v>E</v>
      </c>
      <c r="EG870" s="16">
        <f t="shared" si="171"/>
        <v>1</v>
      </c>
      <c r="EH870" s="16" t="str">
        <f t="shared" si="172"/>
        <v>Lundi</v>
      </c>
      <c r="EI870" s="16" t="str">
        <f t="shared" si="173"/>
        <v/>
      </c>
    </row>
    <row r="871" spans="1:139" x14ac:dyDescent="0.2">
      <c r="A871" s="16" t="str">
        <f t="shared" si="176"/>
        <v>Fiche info Avenant 10E2</v>
      </c>
      <c r="B871" s="16" t="str">
        <f t="shared" si="177"/>
        <v>Fiche info Avenant 10</v>
      </c>
      <c r="C871" s="27" t="s">
        <v>234</v>
      </c>
      <c r="D871" s="27">
        <v>2</v>
      </c>
      <c r="E871" s="16" t="s">
        <v>18</v>
      </c>
      <c r="F871" s="34" t="str">
        <f>IF(+'Fiche info Avenant 10'!$BC$8=0,"",'Fiche info Avenant 10'!$BC$8)</f>
        <v/>
      </c>
      <c r="G871" s="16">
        <f t="shared" si="174"/>
        <v>0</v>
      </c>
      <c r="BX871" s="16" t="str">
        <f t="shared" si="175"/>
        <v>Fiche info Avenant 10E2</v>
      </c>
      <c r="BY871" s="431">
        <f>'Fiche info Avenant 10'!$AT$8</f>
        <v>0</v>
      </c>
      <c r="BZ871" s="431">
        <f>'Fiche info Avenant 10'!$AU$8</f>
        <v>0</v>
      </c>
      <c r="CA871" s="431">
        <f>'Fiche info Avenant 10'!$AV$8</f>
        <v>0</v>
      </c>
      <c r="CB871" s="431">
        <f>'Fiche info Avenant 10'!$AW$8</f>
        <v>0</v>
      </c>
      <c r="CC871" s="431">
        <f>'Fiche info Avenant 10'!$AX$8</f>
        <v>0</v>
      </c>
      <c r="CD871" s="431">
        <f>'Fiche info Avenant 10'!$AY$8</f>
        <v>0</v>
      </c>
      <c r="CE871" s="431">
        <f>'Fiche info Avenant 10'!$AZ$8</f>
        <v>0</v>
      </c>
      <c r="CF871" s="431">
        <f>'Fiche info Avenant 10'!$BA$8</f>
        <v>0</v>
      </c>
      <c r="ED871" s="16" t="str">
        <f t="shared" si="168"/>
        <v>Fiche info Avenant 10E</v>
      </c>
      <c r="EE871" s="16" t="str">
        <f t="shared" si="169"/>
        <v>Fiche info Avenant 10</v>
      </c>
      <c r="EF871" s="16" t="str">
        <f t="shared" si="170"/>
        <v>E</v>
      </c>
      <c r="EG871" s="16">
        <f t="shared" si="171"/>
        <v>2</v>
      </c>
      <c r="EH871" s="16" t="str">
        <f t="shared" si="172"/>
        <v>Mardi</v>
      </c>
      <c r="EI871" s="16" t="str">
        <f t="shared" si="173"/>
        <v/>
      </c>
    </row>
    <row r="872" spans="1:139" x14ac:dyDescent="0.2">
      <c r="A872" s="16" t="str">
        <f t="shared" si="176"/>
        <v>Fiche info Avenant 10E3</v>
      </c>
      <c r="B872" s="16" t="str">
        <f t="shared" si="177"/>
        <v>Fiche info Avenant 10</v>
      </c>
      <c r="C872" s="27" t="s">
        <v>234</v>
      </c>
      <c r="D872" s="27">
        <v>3</v>
      </c>
      <c r="E872" s="16" t="s">
        <v>19</v>
      </c>
      <c r="F872" s="34" t="str">
        <f>IF(+'Fiche info Avenant 10'!$BC$9=0,"",'Fiche info Avenant 10'!$BC$9)</f>
        <v/>
      </c>
      <c r="G872" s="16">
        <f t="shared" si="174"/>
        <v>0</v>
      </c>
      <c r="BX872" s="16" t="str">
        <f t="shared" si="175"/>
        <v>Fiche info Avenant 10E3</v>
      </c>
      <c r="BY872" s="431">
        <f>'Fiche info Avenant 10'!$AT$9</f>
        <v>0</v>
      </c>
      <c r="BZ872" s="431">
        <f>'Fiche info Avenant 10'!$AU$9</f>
        <v>0</v>
      </c>
      <c r="CA872" s="431">
        <f>'Fiche info Avenant 10'!$AV$9</f>
        <v>0</v>
      </c>
      <c r="CB872" s="431">
        <f>'Fiche info Avenant 10'!$AW$9</f>
        <v>0</v>
      </c>
      <c r="CC872" s="431">
        <f>'Fiche info Avenant 10'!$AX$9</f>
        <v>0</v>
      </c>
      <c r="CD872" s="431">
        <f>'Fiche info Avenant 10'!$AY$9</f>
        <v>0</v>
      </c>
      <c r="CE872" s="431">
        <f>'Fiche info Avenant 10'!$AZ$9</f>
        <v>0</v>
      </c>
      <c r="CF872" s="431">
        <f>'Fiche info Avenant 10'!$BA$9</f>
        <v>0</v>
      </c>
      <c r="ED872" s="16" t="str">
        <f t="shared" si="168"/>
        <v>Fiche info Avenant 10E</v>
      </c>
      <c r="EE872" s="16" t="str">
        <f t="shared" si="169"/>
        <v>Fiche info Avenant 10</v>
      </c>
      <c r="EF872" s="16" t="str">
        <f t="shared" si="170"/>
        <v>E</v>
      </c>
      <c r="EG872" s="16">
        <f t="shared" si="171"/>
        <v>3</v>
      </c>
      <c r="EH872" s="16" t="str">
        <f t="shared" si="172"/>
        <v>Mercredi</v>
      </c>
      <c r="EI872" s="16" t="str">
        <f t="shared" si="173"/>
        <v/>
      </c>
    </row>
    <row r="873" spans="1:139" x14ac:dyDescent="0.2">
      <c r="A873" s="16" t="str">
        <f t="shared" si="176"/>
        <v>Fiche info Avenant 10E4</v>
      </c>
      <c r="B873" s="16" t="str">
        <f t="shared" si="177"/>
        <v>Fiche info Avenant 10</v>
      </c>
      <c r="C873" s="27" t="s">
        <v>234</v>
      </c>
      <c r="D873" s="27">
        <v>4</v>
      </c>
      <c r="E873" s="16" t="s">
        <v>20</v>
      </c>
      <c r="F873" s="34" t="str">
        <f>IF(+'Fiche info Avenant 10'!$BC$10=0,"",'Fiche info Avenant 10'!$BC$10)</f>
        <v/>
      </c>
      <c r="G873" s="16">
        <f t="shared" si="174"/>
        <v>0</v>
      </c>
      <c r="BX873" s="16" t="str">
        <f t="shared" si="175"/>
        <v>Fiche info Avenant 10E4</v>
      </c>
      <c r="BY873" s="431">
        <f>'Fiche info Avenant 10'!$AT$10</f>
        <v>0</v>
      </c>
      <c r="BZ873" s="431">
        <f>'Fiche info Avenant 10'!$AU$10</f>
        <v>0</v>
      </c>
      <c r="CA873" s="431">
        <f>'Fiche info Avenant 10'!$AV$10</f>
        <v>0</v>
      </c>
      <c r="CB873" s="431">
        <f>'Fiche info Avenant 10'!$AW$10</f>
        <v>0</v>
      </c>
      <c r="CC873" s="431">
        <f>'Fiche info Avenant 10'!$AX$10</f>
        <v>0</v>
      </c>
      <c r="CD873" s="431">
        <f>'Fiche info Avenant 10'!$AY$10</f>
        <v>0</v>
      </c>
      <c r="CE873" s="431">
        <f>'Fiche info Avenant 10'!$AZ$10</f>
        <v>0</v>
      </c>
      <c r="CF873" s="431">
        <f>'Fiche info Avenant 10'!$BA$10</f>
        <v>0</v>
      </c>
      <c r="ED873" s="16" t="str">
        <f t="shared" si="168"/>
        <v>Fiche info Avenant 10E</v>
      </c>
      <c r="EE873" s="16" t="str">
        <f t="shared" si="169"/>
        <v>Fiche info Avenant 10</v>
      </c>
      <c r="EF873" s="16" t="str">
        <f t="shared" si="170"/>
        <v>E</v>
      </c>
      <c r="EG873" s="16">
        <f t="shared" si="171"/>
        <v>4</v>
      </c>
      <c r="EH873" s="16" t="str">
        <f t="shared" si="172"/>
        <v>Jeudi</v>
      </c>
      <c r="EI873" s="16" t="str">
        <f t="shared" si="173"/>
        <v/>
      </c>
    </row>
    <row r="874" spans="1:139" x14ac:dyDescent="0.2">
      <c r="A874" s="16" t="str">
        <f t="shared" si="176"/>
        <v>Fiche info Avenant 10E5</v>
      </c>
      <c r="B874" s="16" t="str">
        <f t="shared" si="177"/>
        <v>Fiche info Avenant 10</v>
      </c>
      <c r="C874" s="27" t="s">
        <v>234</v>
      </c>
      <c r="D874" s="27">
        <v>5</v>
      </c>
      <c r="E874" s="16" t="s">
        <v>21</v>
      </c>
      <c r="F874" s="34" t="str">
        <f>IF(+'Fiche info Avenant 10'!$BC$11=0,"",'Fiche info Avenant 10'!$BC$11)</f>
        <v/>
      </c>
      <c r="G874" s="16">
        <f t="shared" si="174"/>
        <v>0</v>
      </c>
      <c r="BX874" s="16" t="str">
        <f t="shared" si="175"/>
        <v>Fiche info Avenant 10E5</v>
      </c>
      <c r="BY874" s="431">
        <f>'Fiche info Avenant 10'!$AT$11</f>
        <v>0</v>
      </c>
      <c r="BZ874" s="431">
        <f>'Fiche info Avenant 10'!$AU$11</f>
        <v>0</v>
      </c>
      <c r="CA874" s="431">
        <f>'Fiche info Avenant 10'!$AV$11</f>
        <v>0</v>
      </c>
      <c r="CB874" s="431">
        <f>'Fiche info Avenant 10'!$AW$11</f>
        <v>0</v>
      </c>
      <c r="CC874" s="431">
        <f>'Fiche info Avenant 10'!$AX$11</f>
        <v>0</v>
      </c>
      <c r="CD874" s="431">
        <f>'Fiche info Avenant 10'!$AY$11</f>
        <v>0</v>
      </c>
      <c r="CE874" s="431">
        <f>'Fiche info Avenant 10'!$AZ$11</f>
        <v>0</v>
      </c>
      <c r="CF874" s="431">
        <f>'Fiche info Avenant 10'!$BA$11</f>
        <v>0</v>
      </c>
      <c r="ED874" s="16" t="str">
        <f t="shared" si="168"/>
        <v>Fiche info Avenant 10E</v>
      </c>
      <c r="EE874" s="16" t="str">
        <f t="shared" si="169"/>
        <v>Fiche info Avenant 10</v>
      </c>
      <c r="EF874" s="16" t="str">
        <f t="shared" si="170"/>
        <v>E</v>
      </c>
      <c r="EG874" s="16">
        <f t="shared" si="171"/>
        <v>5</v>
      </c>
      <c r="EH874" s="16" t="str">
        <f t="shared" si="172"/>
        <v>Vendredi</v>
      </c>
      <c r="EI874" s="16" t="str">
        <f t="shared" si="173"/>
        <v/>
      </c>
    </row>
    <row r="875" spans="1:139" x14ac:dyDescent="0.2">
      <c r="A875" s="16" t="str">
        <f t="shared" si="176"/>
        <v>Fiche info Avenant 10E6</v>
      </c>
      <c r="B875" s="16" t="str">
        <f t="shared" si="177"/>
        <v>Fiche info Avenant 10</v>
      </c>
      <c r="C875" s="27" t="s">
        <v>234</v>
      </c>
      <c r="D875" s="27">
        <v>6</v>
      </c>
      <c r="E875" s="16" t="s">
        <v>184</v>
      </c>
      <c r="F875" s="34" t="str">
        <f>IF(+'Fiche info Avenant 10'!$BC$12=0,"",'Fiche info Avenant 10'!$BC$12)</f>
        <v/>
      </c>
      <c r="G875" s="16">
        <f t="shared" si="174"/>
        <v>0</v>
      </c>
      <c r="BX875" s="16" t="str">
        <f t="shared" si="175"/>
        <v>Fiche info Avenant 10E6</v>
      </c>
      <c r="BY875" s="431">
        <f>'Fiche info Avenant 10'!$AT$12</f>
        <v>0</v>
      </c>
      <c r="BZ875" s="431">
        <f>'Fiche info Avenant 10'!$AU$12</f>
        <v>0</v>
      </c>
      <c r="CA875" s="431">
        <f>'Fiche info Avenant 10'!$AV$12</f>
        <v>0</v>
      </c>
      <c r="CB875" s="431">
        <f>'Fiche info Avenant 10'!$AW$12</f>
        <v>0</v>
      </c>
      <c r="CC875" s="431">
        <f>'Fiche info Avenant 10'!$AX$12</f>
        <v>0</v>
      </c>
      <c r="CD875" s="431">
        <f>'Fiche info Avenant 10'!$AY$12</f>
        <v>0</v>
      </c>
      <c r="CE875" s="431">
        <f>'Fiche info Avenant 10'!$AZ$12</f>
        <v>0</v>
      </c>
      <c r="CF875" s="431">
        <f>'Fiche info Avenant 10'!$BA$12</f>
        <v>0</v>
      </c>
      <c r="ED875" s="16" t="str">
        <f t="shared" si="168"/>
        <v>Fiche info Avenant 10E</v>
      </c>
      <c r="EE875" s="16" t="str">
        <f t="shared" si="169"/>
        <v>Fiche info Avenant 10</v>
      </c>
      <c r="EF875" s="16" t="str">
        <f t="shared" si="170"/>
        <v>E</v>
      </c>
      <c r="EG875" s="16">
        <f t="shared" si="171"/>
        <v>6</v>
      </c>
      <c r="EH875" s="16" t="str">
        <f t="shared" si="172"/>
        <v>Samedi</v>
      </c>
      <c r="EI875" s="16" t="str">
        <f t="shared" si="173"/>
        <v/>
      </c>
    </row>
    <row r="876" spans="1:139" x14ac:dyDescent="0.2">
      <c r="A876" s="16" t="str">
        <f t="shared" si="176"/>
        <v>Fiche info Avenant 10E7</v>
      </c>
      <c r="B876" s="16" t="str">
        <f t="shared" si="177"/>
        <v>Fiche info Avenant 10</v>
      </c>
      <c r="C876" s="27" t="s">
        <v>234</v>
      </c>
      <c r="D876" s="27">
        <v>7</v>
      </c>
      <c r="E876" s="16" t="s">
        <v>185</v>
      </c>
      <c r="F876" s="34" t="str">
        <f>IF(+'Fiche info Avenant 10'!$BC$13=0,"",'Fiche info Avenant 10'!$BC$13)</f>
        <v/>
      </c>
      <c r="G876" s="16">
        <f t="shared" si="174"/>
        <v>0</v>
      </c>
      <c r="BX876" s="16" t="str">
        <f t="shared" si="175"/>
        <v>Fiche info Avenant 10E7</v>
      </c>
      <c r="BY876" s="431">
        <f>'Fiche info Avenant 10'!$AT$13</f>
        <v>0</v>
      </c>
      <c r="BZ876" s="431">
        <f>'Fiche info Avenant 10'!$AU$13</f>
        <v>0</v>
      </c>
      <c r="CA876" s="431">
        <f>'Fiche info Avenant 10'!$AV$13</f>
        <v>0</v>
      </c>
      <c r="CB876" s="431">
        <f>'Fiche info Avenant 10'!$AW$13</f>
        <v>0</v>
      </c>
      <c r="CC876" s="431">
        <f>'Fiche info Avenant 10'!$AX$13</f>
        <v>0</v>
      </c>
      <c r="CD876" s="431">
        <f>'Fiche info Avenant 10'!$AY$13</f>
        <v>0</v>
      </c>
      <c r="CE876" s="431">
        <f>'Fiche info Avenant 10'!$AZ$13</f>
        <v>0</v>
      </c>
      <c r="CF876" s="431">
        <f>'Fiche info Avenant 10'!$BA$13</f>
        <v>0</v>
      </c>
      <c r="ED876" s="16" t="str">
        <f t="shared" si="168"/>
        <v>Fiche info Avenant 10E</v>
      </c>
      <c r="EE876" s="16" t="str">
        <f t="shared" si="169"/>
        <v>Fiche info Avenant 10</v>
      </c>
      <c r="EF876" s="16" t="str">
        <f t="shared" si="170"/>
        <v>E</v>
      </c>
      <c r="EG876" s="16">
        <f t="shared" si="171"/>
        <v>7</v>
      </c>
      <c r="EH876" s="16" t="str">
        <f t="shared" si="172"/>
        <v>Dimanche</v>
      </c>
      <c r="EI876" s="16" t="str">
        <f t="shared" si="173"/>
        <v/>
      </c>
    </row>
    <row r="877" spans="1:139" x14ac:dyDescent="0.2">
      <c r="A877" s="16" t="str">
        <f t="shared" si="176"/>
        <v>Fiche info Avenant 10F1</v>
      </c>
      <c r="B877" s="16" t="str">
        <f t="shared" si="177"/>
        <v>Fiche info Avenant 10</v>
      </c>
      <c r="C877" s="27" t="s">
        <v>235</v>
      </c>
      <c r="D877" s="27">
        <v>1</v>
      </c>
      <c r="E877" s="16" t="s">
        <v>17</v>
      </c>
      <c r="F877" s="34" t="str">
        <f>+IF('Fiche info Avenant 10'!$BN$7=0,"",'Fiche info Avenant 10'!$BN$7)</f>
        <v/>
      </c>
      <c r="G877" s="16">
        <f t="shared" si="174"/>
        <v>0</v>
      </c>
      <c r="BX877" s="16" t="str">
        <f t="shared" si="175"/>
        <v>Fiche info Avenant 10F1</v>
      </c>
      <c r="BY877" s="431">
        <f>'Fiche info Avenant 10'!$BE$7</f>
        <v>0</v>
      </c>
      <c r="BZ877" s="431">
        <f>'Fiche info Avenant 10'!$BF$7</f>
        <v>0</v>
      </c>
      <c r="CA877" s="431">
        <f>'Fiche info Avenant 10'!$BG$7</f>
        <v>0</v>
      </c>
      <c r="CB877" s="431">
        <f>'Fiche info Avenant 10'!$BH$7</f>
        <v>0</v>
      </c>
      <c r="CC877" s="431">
        <f>'Fiche info Avenant 10'!$BI$7</f>
        <v>0</v>
      </c>
      <c r="CD877" s="431">
        <f>'Fiche info Avenant 10'!$BJ$7</f>
        <v>0</v>
      </c>
      <c r="CE877" s="431">
        <f>'Fiche info Avenant 10'!$BK$7</f>
        <v>0</v>
      </c>
      <c r="CF877" s="431">
        <f>'Fiche info Avenant 10'!$BL$7</f>
        <v>0</v>
      </c>
      <c r="ED877" s="16" t="str">
        <f t="shared" si="168"/>
        <v>Fiche info Avenant 10F</v>
      </c>
      <c r="EE877" s="16" t="str">
        <f t="shared" si="169"/>
        <v>Fiche info Avenant 10</v>
      </c>
      <c r="EF877" s="16" t="str">
        <f t="shared" si="170"/>
        <v>F</v>
      </c>
      <c r="EG877" s="16">
        <f t="shared" si="171"/>
        <v>1</v>
      </c>
      <c r="EH877" s="16" t="str">
        <f t="shared" si="172"/>
        <v>Lundi</v>
      </c>
      <c r="EI877" s="16" t="str">
        <f t="shared" si="173"/>
        <v/>
      </c>
    </row>
    <row r="878" spans="1:139" x14ac:dyDescent="0.2">
      <c r="A878" s="16" t="str">
        <f t="shared" si="176"/>
        <v>Fiche info Avenant 10F2</v>
      </c>
      <c r="B878" s="16" t="str">
        <f t="shared" si="177"/>
        <v>Fiche info Avenant 10</v>
      </c>
      <c r="C878" s="27" t="s">
        <v>235</v>
      </c>
      <c r="D878" s="27">
        <v>2</v>
      </c>
      <c r="E878" s="16" t="s">
        <v>18</v>
      </c>
      <c r="F878" s="34" t="str">
        <f>+IF('Fiche info Avenant 10'!$BN$8=0,"",'Fiche info Avenant 10'!$BN$8)</f>
        <v/>
      </c>
      <c r="G878" s="16">
        <f t="shared" si="174"/>
        <v>0</v>
      </c>
      <c r="BX878" s="16" t="str">
        <f t="shared" si="175"/>
        <v>Fiche info Avenant 10F2</v>
      </c>
      <c r="BY878" s="431">
        <f>'Fiche info Avenant 10'!$BE$8</f>
        <v>0</v>
      </c>
      <c r="BZ878" s="431">
        <f>'Fiche info Avenant 10'!$BF$8</f>
        <v>0</v>
      </c>
      <c r="CA878" s="431">
        <f>'Fiche info Avenant 10'!$BG$8</f>
        <v>0</v>
      </c>
      <c r="CB878" s="431">
        <f>'Fiche info Avenant 10'!$BH$8</f>
        <v>0</v>
      </c>
      <c r="CC878" s="431">
        <f>'Fiche info Avenant 10'!$BI$8</f>
        <v>0</v>
      </c>
      <c r="CD878" s="431">
        <f>'Fiche info Avenant 10'!$BJ$8</f>
        <v>0</v>
      </c>
      <c r="CE878" s="431">
        <f>'Fiche info Avenant 10'!$BK$8</f>
        <v>0</v>
      </c>
      <c r="CF878" s="431">
        <f>'Fiche info Avenant 10'!$BL$8</f>
        <v>0</v>
      </c>
      <c r="ED878" s="16" t="str">
        <f t="shared" si="168"/>
        <v>Fiche info Avenant 10F</v>
      </c>
      <c r="EE878" s="16" t="str">
        <f t="shared" si="169"/>
        <v>Fiche info Avenant 10</v>
      </c>
      <c r="EF878" s="16" t="str">
        <f t="shared" si="170"/>
        <v>F</v>
      </c>
      <c r="EG878" s="16">
        <f t="shared" si="171"/>
        <v>2</v>
      </c>
      <c r="EH878" s="16" t="str">
        <f t="shared" si="172"/>
        <v>Mardi</v>
      </c>
      <c r="EI878" s="16" t="str">
        <f t="shared" si="173"/>
        <v/>
      </c>
    </row>
    <row r="879" spans="1:139" x14ac:dyDescent="0.2">
      <c r="A879" s="16" t="str">
        <f t="shared" si="176"/>
        <v>Fiche info Avenant 10F3</v>
      </c>
      <c r="B879" s="16" t="str">
        <f t="shared" si="177"/>
        <v>Fiche info Avenant 10</v>
      </c>
      <c r="C879" s="27" t="s">
        <v>235</v>
      </c>
      <c r="D879" s="27">
        <v>3</v>
      </c>
      <c r="E879" s="16" t="s">
        <v>19</v>
      </c>
      <c r="F879" s="34" t="str">
        <f>+IF('Fiche info Avenant 10'!$BN$9=0,"",'Fiche info Avenant 10'!$BN$9)</f>
        <v/>
      </c>
      <c r="G879" s="16">
        <f t="shared" si="174"/>
        <v>0</v>
      </c>
      <c r="BX879" s="16" t="str">
        <f t="shared" si="175"/>
        <v>Fiche info Avenant 10F3</v>
      </c>
      <c r="BY879" s="431">
        <f>'Fiche info Avenant 10'!$BE$9</f>
        <v>0</v>
      </c>
      <c r="BZ879" s="431">
        <f>'Fiche info Avenant 10'!$BF$9</f>
        <v>0</v>
      </c>
      <c r="CA879" s="431">
        <f>'Fiche info Avenant 10'!$BG$9</f>
        <v>0</v>
      </c>
      <c r="CB879" s="431">
        <f>'Fiche info Avenant 10'!$BH$9</f>
        <v>0</v>
      </c>
      <c r="CC879" s="431">
        <f>'Fiche info Avenant 10'!$BI$9</f>
        <v>0</v>
      </c>
      <c r="CD879" s="431">
        <f>'Fiche info Avenant 10'!$BJ$9</f>
        <v>0</v>
      </c>
      <c r="CE879" s="431">
        <f>'Fiche info Avenant 10'!$BK$9</f>
        <v>0</v>
      </c>
      <c r="CF879" s="431">
        <f>'Fiche info Avenant 10'!$BL$9</f>
        <v>0</v>
      </c>
      <c r="ED879" s="16" t="str">
        <f t="shared" si="168"/>
        <v>Fiche info Avenant 10F</v>
      </c>
      <c r="EE879" s="16" t="str">
        <f t="shared" si="169"/>
        <v>Fiche info Avenant 10</v>
      </c>
      <c r="EF879" s="16" t="str">
        <f t="shared" si="170"/>
        <v>F</v>
      </c>
      <c r="EG879" s="16">
        <f t="shared" si="171"/>
        <v>3</v>
      </c>
      <c r="EH879" s="16" t="str">
        <f t="shared" si="172"/>
        <v>Mercredi</v>
      </c>
      <c r="EI879" s="16" t="str">
        <f t="shared" si="173"/>
        <v/>
      </c>
    </row>
    <row r="880" spans="1:139" x14ac:dyDescent="0.2">
      <c r="A880" s="16" t="str">
        <f t="shared" si="176"/>
        <v>Fiche info Avenant 10F4</v>
      </c>
      <c r="B880" s="16" t="str">
        <f t="shared" si="177"/>
        <v>Fiche info Avenant 10</v>
      </c>
      <c r="C880" s="27" t="s">
        <v>235</v>
      </c>
      <c r="D880" s="27">
        <v>4</v>
      </c>
      <c r="E880" s="16" t="s">
        <v>20</v>
      </c>
      <c r="F880" s="34" t="str">
        <f>+IF('Fiche info Avenant 10'!$BN$10=0,"",'Fiche info Avenant 10'!$BN$10)</f>
        <v/>
      </c>
      <c r="G880" s="16">
        <f t="shared" si="174"/>
        <v>0</v>
      </c>
      <c r="BX880" s="16" t="str">
        <f t="shared" si="175"/>
        <v>Fiche info Avenant 10F4</v>
      </c>
      <c r="BY880" s="431">
        <f>'Fiche info Avenant 10'!$BE$10</f>
        <v>0</v>
      </c>
      <c r="BZ880" s="431">
        <f>'Fiche info Avenant 10'!$BF$10</f>
        <v>0</v>
      </c>
      <c r="CA880" s="431">
        <f>'Fiche info Avenant 10'!$BG$10</f>
        <v>0</v>
      </c>
      <c r="CB880" s="431">
        <f>'Fiche info Avenant 10'!$BH$10</f>
        <v>0</v>
      </c>
      <c r="CC880" s="431">
        <f>'Fiche info Avenant 10'!$BI$10</f>
        <v>0</v>
      </c>
      <c r="CD880" s="431">
        <f>'Fiche info Avenant 10'!$BJ$10</f>
        <v>0</v>
      </c>
      <c r="CE880" s="431">
        <f>'Fiche info Avenant 10'!$BK$10</f>
        <v>0</v>
      </c>
      <c r="CF880" s="431">
        <f>'Fiche info Avenant 10'!$BL$10</f>
        <v>0</v>
      </c>
      <c r="ED880" s="16" t="str">
        <f t="shared" si="168"/>
        <v>Fiche info Avenant 10F</v>
      </c>
      <c r="EE880" s="16" t="str">
        <f t="shared" si="169"/>
        <v>Fiche info Avenant 10</v>
      </c>
      <c r="EF880" s="16" t="str">
        <f t="shared" si="170"/>
        <v>F</v>
      </c>
      <c r="EG880" s="16">
        <f t="shared" si="171"/>
        <v>4</v>
      </c>
      <c r="EH880" s="16" t="str">
        <f t="shared" si="172"/>
        <v>Jeudi</v>
      </c>
      <c r="EI880" s="16" t="str">
        <f t="shared" si="173"/>
        <v/>
      </c>
    </row>
    <row r="881" spans="1:139" x14ac:dyDescent="0.2">
      <c r="A881" s="16" t="str">
        <f t="shared" si="176"/>
        <v>Fiche info Avenant 10F5</v>
      </c>
      <c r="B881" s="16" t="str">
        <f t="shared" si="177"/>
        <v>Fiche info Avenant 10</v>
      </c>
      <c r="C881" s="27" t="s">
        <v>235</v>
      </c>
      <c r="D881" s="27">
        <v>5</v>
      </c>
      <c r="E881" s="16" t="s">
        <v>21</v>
      </c>
      <c r="F881" s="34" t="str">
        <f>+IF('Fiche info Avenant 10'!$BN$11=0,"",'Fiche info Avenant 10'!$BN$11)</f>
        <v/>
      </c>
      <c r="G881" s="16">
        <f t="shared" si="174"/>
        <v>0</v>
      </c>
      <c r="BX881" s="16" t="str">
        <f t="shared" si="175"/>
        <v>Fiche info Avenant 10F5</v>
      </c>
      <c r="BY881" s="431">
        <f>'Fiche info Avenant 10'!$BE$11</f>
        <v>0</v>
      </c>
      <c r="BZ881" s="431">
        <f>'Fiche info Avenant 10'!$BF$11</f>
        <v>0</v>
      </c>
      <c r="CA881" s="431">
        <f>'Fiche info Avenant 10'!$BG$11</f>
        <v>0</v>
      </c>
      <c r="CB881" s="431">
        <f>'Fiche info Avenant 10'!$BH$11</f>
        <v>0</v>
      </c>
      <c r="CC881" s="431">
        <f>'Fiche info Avenant 10'!$BI$11</f>
        <v>0</v>
      </c>
      <c r="CD881" s="431">
        <f>'Fiche info Avenant 10'!$BJ$11</f>
        <v>0</v>
      </c>
      <c r="CE881" s="431">
        <f>'Fiche info Avenant 10'!$BK$11</f>
        <v>0</v>
      </c>
      <c r="CF881" s="431">
        <f>'Fiche info Avenant 10'!$BL$11</f>
        <v>0</v>
      </c>
      <c r="ED881" s="16" t="str">
        <f t="shared" si="168"/>
        <v>Fiche info Avenant 10F</v>
      </c>
      <c r="EE881" s="16" t="str">
        <f t="shared" si="169"/>
        <v>Fiche info Avenant 10</v>
      </c>
      <c r="EF881" s="16" t="str">
        <f t="shared" si="170"/>
        <v>F</v>
      </c>
      <c r="EG881" s="16">
        <f t="shared" si="171"/>
        <v>5</v>
      </c>
      <c r="EH881" s="16" t="str">
        <f t="shared" si="172"/>
        <v>Vendredi</v>
      </c>
      <c r="EI881" s="16" t="str">
        <f t="shared" si="173"/>
        <v/>
      </c>
    </row>
    <row r="882" spans="1:139" x14ac:dyDescent="0.2">
      <c r="A882" s="16" t="str">
        <f t="shared" si="176"/>
        <v>Fiche info Avenant 10F6</v>
      </c>
      <c r="B882" s="16" t="str">
        <f t="shared" si="177"/>
        <v>Fiche info Avenant 10</v>
      </c>
      <c r="C882" s="27" t="s">
        <v>235</v>
      </c>
      <c r="D882" s="27">
        <v>6</v>
      </c>
      <c r="E882" s="16" t="s">
        <v>184</v>
      </c>
      <c r="F882" s="34" t="str">
        <f>+IF('Fiche info Avenant 10'!$BN$12=0,"",'Fiche info Avenant 10'!$BN$12)</f>
        <v/>
      </c>
      <c r="G882" s="16">
        <f t="shared" si="174"/>
        <v>0</v>
      </c>
      <c r="BX882" s="16" t="str">
        <f t="shared" si="175"/>
        <v>Fiche info Avenant 10F6</v>
      </c>
      <c r="BY882" s="431">
        <f>'Fiche info Avenant 10'!$BE$12</f>
        <v>0</v>
      </c>
      <c r="BZ882" s="431">
        <f>'Fiche info Avenant 10'!$BF$12</f>
        <v>0</v>
      </c>
      <c r="CA882" s="431">
        <f>'Fiche info Avenant 10'!$BG$12</f>
        <v>0</v>
      </c>
      <c r="CB882" s="431">
        <f>'Fiche info Avenant 10'!$BH$12</f>
        <v>0</v>
      </c>
      <c r="CC882" s="431">
        <f>'Fiche info Avenant 10'!$BI$12</f>
        <v>0</v>
      </c>
      <c r="CD882" s="431">
        <f>'Fiche info Avenant 10'!$BJ$12</f>
        <v>0</v>
      </c>
      <c r="CE882" s="431">
        <f>'Fiche info Avenant 10'!$BK$12</f>
        <v>0</v>
      </c>
      <c r="CF882" s="431">
        <f>'Fiche info Avenant 10'!$BL$12</f>
        <v>0</v>
      </c>
      <c r="ED882" s="16" t="str">
        <f t="shared" si="168"/>
        <v>Fiche info Avenant 10F</v>
      </c>
      <c r="EE882" s="16" t="str">
        <f t="shared" si="169"/>
        <v>Fiche info Avenant 10</v>
      </c>
      <c r="EF882" s="16" t="str">
        <f t="shared" si="170"/>
        <v>F</v>
      </c>
      <c r="EG882" s="16">
        <f t="shared" si="171"/>
        <v>6</v>
      </c>
      <c r="EH882" s="16" t="str">
        <f t="shared" si="172"/>
        <v>Samedi</v>
      </c>
      <c r="EI882" s="16" t="str">
        <f t="shared" si="173"/>
        <v/>
      </c>
    </row>
    <row r="883" spans="1:139" x14ac:dyDescent="0.2">
      <c r="A883" s="16" t="str">
        <f t="shared" si="176"/>
        <v>Fiche info Avenant 10F7</v>
      </c>
      <c r="B883" s="16" t="str">
        <f t="shared" si="177"/>
        <v>Fiche info Avenant 10</v>
      </c>
      <c r="C883" s="27" t="s">
        <v>235</v>
      </c>
      <c r="D883" s="27">
        <v>7</v>
      </c>
      <c r="E883" s="16" t="s">
        <v>185</v>
      </c>
      <c r="F883" s="34" t="str">
        <f>+IF('Fiche info Avenant 10'!$BN$13=0,"",'Fiche info Avenant 10'!$BN$13)</f>
        <v/>
      </c>
      <c r="G883" s="16">
        <f t="shared" si="174"/>
        <v>0</v>
      </c>
      <c r="BX883" s="16" t="str">
        <f t="shared" si="175"/>
        <v>Fiche info Avenant 10F7</v>
      </c>
      <c r="BY883" s="431">
        <f>'Fiche info Avenant 10'!$BE$13</f>
        <v>0</v>
      </c>
      <c r="BZ883" s="431">
        <f>'Fiche info Avenant 10'!$BF$13</f>
        <v>0</v>
      </c>
      <c r="CA883" s="431">
        <f>'Fiche info Avenant 10'!$BG$13</f>
        <v>0</v>
      </c>
      <c r="CB883" s="431">
        <f>'Fiche info Avenant 10'!$BH$13</f>
        <v>0</v>
      </c>
      <c r="CC883" s="431">
        <f>'Fiche info Avenant 10'!$BI$13</f>
        <v>0</v>
      </c>
      <c r="CD883" s="431">
        <f>'Fiche info Avenant 10'!$BJ$13</f>
        <v>0</v>
      </c>
      <c r="CE883" s="431">
        <f>'Fiche info Avenant 10'!$BK$13</f>
        <v>0</v>
      </c>
      <c r="CF883" s="431">
        <f>'Fiche info Avenant 10'!$BL$13</f>
        <v>0</v>
      </c>
      <c r="ED883" s="16" t="str">
        <f t="shared" ref="ED883:ED897" si="178">+EE883&amp;EF883</f>
        <v>Fiche info Avenant 10F</v>
      </c>
      <c r="EE883" s="16" t="str">
        <f t="shared" si="169"/>
        <v>Fiche info Avenant 10</v>
      </c>
      <c r="EF883" s="16" t="str">
        <f t="shared" si="170"/>
        <v>F</v>
      </c>
      <c r="EG883" s="16">
        <f t="shared" si="171"/>
        <v>7</v>
      </c>
      <c r="EH883" s="16" t="str">
        <f t="shared" si="172"/>
        <v>Dimanche</v>
      </c>
      <c r="EI883" s="16" t="str">
        <f t="shared" si="173"/>
        <v/>
      </c>
    </row>
    <row r="884" spans="1:139" x14ac:dyDescent="0.2">
      <c r="A884" s="16" t="str">
        <f t="shared" si="176"/>
        <v>Fiche info Avenant 10G1</v>
      </c>
      <c r="B884" s="16" t="str">
        <f t="shared" si="177"/>
        <v>Fiche info Avenant 10</v>
      </c>
      <c r="C884" s="27" t="s">
        <v>236</v>
      </c>
      <c r="D884" s="27">
        <v>1</v>
      </c>
      <c r="E884" s="16" t="s">
        <v>17</v>
      </c>
      <c r="F884" s="34" t="str">
        <f>+IF('Fiche info Avenant 10'!$BY$7=0,"",'Fiche info Avenant 10'!$BY$7)</f>
        <v/>
      </c>
      <c r="G884" s="16">
        <f t="shared" si="174"/>
        <v>0</v>
      </c>
      <c r="BX884" s="16" t="str">
        <f t="shared" si="175"/>
        <v>Fiche info Avenant 10G1</v>
      </c>
      <c r="BY884" s="431">
        <f>'Fiche info Avenant 10'!$BP$7</f>
        <v>0</v>
      </c>
      <c r="BZ884" s="431">
        <f>'Fiche info Avenant 10'!$BQ$7</f>
        <v>0</v>
      </c>
      <c r="CA884" s="431">
        <f>'Fiche info Avenant 10'!$BR$7</f>
        <v>0</v>
      </c>
      <c r="CB884" s="431">
        <f>'Fiche info Avenant 10'!$BS$7</f>
        <v>0</v>
      </c>
      <c r="CC884" s="431">
        <f>'Fiche info Avenant 10'!$BT$7</f>
        <v>0</v>
      </c>
      <c r="CD884" s="431">
        <f>'Fiche info Avenant 10'!$BU$7</f>
        <v>0</v>
      </c>
      <c r="CE884" s="431">
        <f>'Fiche info Avenant 10'!$BV$7</f>
        <v>0</v>
      </c>
      <c r="CF884" s="431">
        <f>'Fiche info Avenant 10'!$BW$7</f>
        <v>0</v>
      </c>
      <c r="ED884" s="16" t="str">
        <f t="shared" si="178"/>
        <v>Fiche info Avenant 10G</v>
      </c>
      <c r="EE884" s="16" t="str">
        <f t="shared" si="169"/>
        <v>Fiche info Avenant 10</v>
      </c>
      <c r="EF884" s="16" t="str">
        <f t="shared" si="170"/>
        <v>G</v>
      </c>
      <c r="EG884" s="16">
        <f t="shared" si="171"/>
        <v>1</v>
      </c>
      <c r="EH884" s="16" t="str">
        <f t="shared" si="172"/>
        <v>Lundi</v>
      </c>
      <c r="EI884" s="16" t="str">
        <f t="shared" si="173"/>
        <v/>
      </c>
    </row>
    <row r="885" spans="1:139" x14ac:dyDescent="0.2">
      <c r="A885" s="16" t="str">
        <f t="shared" si="176"/>
        <v>Fiche info Avenant 10G2</v>
      </c>
      <c r="B885" s="16" t="str">
        <f t="shared" si="177"/>
        <v>Fiche info Avenant 10</v>
      </c>
      <c r="C885" s="27" t="s">
        <v>236</v>
      </c>
      <c r="D885" s="27">
        <v>2</v>
      </c>
      <c r="E885" s="16" t="s">
        <v>18</v>
      </c>
      <c r="F885" s="34" t="str">
        <f>+IF('Fiche info Avenant 10'!$BY$8=0,"",'Fiche info Avenant 10'!$BY$8)</f>
        <v/>
      </c>
      <c r="G885" s="16">
        <f t="shared" si="174"/>
        <v>0</v>
      </c>
      <c r="BX885" s="16" t="str">
        <f t="shared" si="175"/>
        <v>Fiche info Avenant 10G2</v>
      </c>
      <c r="BY885" s="431">
        <f>'Fiche info Avenant 10'!$BP$8</f>
        <v>0</v>
      </c>
      <c r="BZ885" s="431">
        <f>'Fiche info Avenant 10'!$BQ$8</f>
        <v>0</v>
      </c>
      <c r="CA885" s="431">
        <f>'Fiche info Avenant 10'!$BR$8</f>
        <v>0</v>
      </c>
      <c r="CB885" s="431">
        <f>'Fiche info Avenant 10'!$BS$8</f>
        <v>0</v>
      </c>
      <c r="CC885" s="431">
        <f>'Fiche info Avenant 10'!$BT$8</f>
        <v>0</v>
      </c>
      <c r="CD885" s="431">
        <f>'Fiche info Avenant 10'!$BU$8</f>
        <v>0</v>
      </c>
      <c r="CE885" s="431">
        <f>'Fiche info Avenant 10'!$BV$8</f>
        <v>0</v>
      </c>
      <c r="CF885" s="431">
        <f>'Fiche info Avenant 10'!$BW$8</f>
        <v>0</v>
      </c>
      <c r="ED885" s="16" t="str">
        <f t="shared" si="178"/>
        <v>Fiche info Avenant 10G</v>
      </c>
      <c r="EE885" s="16" t="str">
        <f t="shared" si="169"/>
        <v>Fiche info Avenant 10</v>
      </c>
      <c r="EF885" s="16" t="str">
        <f t="shared" si="170"/>
        <v>G</v>
      </c>
      <c r="EG885" s="16">
        <f t="shared" si="171"/>
        <v>2</v>
      </c>
      <c r="EH885" s="16" t="str">
        <f t="shared" si="172"/>
        <v>Mardi</v>
      </c>
      <c r="EI885" s="16" t="str">
        <f t="shared" si="173"/>
        <v/>
      </c>
    </row>
    <row r="886" spans="1:139" x14ac:dyDescent="0.2">
      <c r="A886" s="16" t="str">
        <f t="shared" si="176"/>
        <v>Fiche info Avenant 10G3</v>
      </c>
      <c r="B886" s="16" t="str">
        <f t="shared" si="177"/>
        <v>Fiche info Avenant 10</v>
      </c>
      <c r="C886" s="27" t="s">
        <v>236</v>
      </c>
      <c r="D886" s="27">
        <v>3</v>
      </c>
      <c r="E886" s="16" t="s">
        <v>19</v>
      </c>
      <c r="F886" s="34" t="str">
        <f>+IF('Fiche info Avenant 10'!$BY$9=0,"",'Fiche info Avenant 10'!$BY$9)</f>
        <v/>
      </c>
      <c r="G886" s="16">
        <f t="shared" si="174"/>
        <v>0</v>
      </c>
      <c r="BX886" s="16" t="str">
        <f t="shared" si="175"/>
        <v>Fiche info Avenant 10G3</v>
      </c>
      <c r="BY886" s="431">
        <f>'Fiche info Avenant 10'!$BP$9</f>
        <v>0</v>
      </c>
      <c r="BZ886" s="431">
        <f>'Fiche info Avenant 10'!$BQ$9</f>
        <v>0</v>
      </c>
      <c r="CA886" s="431">
        <f>'Fiche info Avenant 10'!$BR$9</f>
        <v>0</v>
      </c>
      <c r="CB886" s="431">
        <f>'Fiche info Avenant 10'!$BS$9</f>
        <v>0</v>
      </c>
      <c r="CC886" s="431">
        <f>'Fiche info Avenant 10'!$BT$9</f>
        <v>0</v>
      </c>
      <c r="CD886" s="431">
        <f>'Fiche info Avenant 10'!$BU$9</f>
        <v>0</v>
      </c>
      <c r="CE886" s="431">
        <f>'Fiche info Avenant 10'!$BV$9</f>
        <v>0</v>
      </c>
      <c r="CF886" s="431">
        <f>'Fiche info Avenant 10'!$BW$9</f>
        <v>0</v>
      </c>
      <c r="ED886" s="16" t="str">
        <f t="shared" si="178"/>
        <v>Fiche info Avenant 10G</v>
      </c>
      <c r="EE886" s="16" t="str">
        <f t="shared" si="169"/>
        <v>Fiche info Avenant 10</v>
      </c>
      <c r="EF886" s="16" t="str">
        <f t="shared" si="170"/>
        <v>G</v>
      </c>
      <c r="EG886" s="16">
        <f t="shared" si="171"/>
        <v>3</v>
      </c>
      <c r="EH886" s="16" t="str">
        <f t="shared" si="172"/>
        <v>Mercredi</v>
      </c>
      <c r="EI886" s="16" t="str">
        <f t="shared" si="173"/>
        <v/>
      </c>
    </row>
    <row r="887" spans="1:139" x14ac:dyDescent="0.2">
      <c r="A887" s="16" t="str">
        <f t="shared" si="176"/>
        <v>Fiche info Avenant 10G4</v>
      </c>
      <c r="B887" s="16" t="str">
        <f t="shared" si="177"/>
        <v>Fiche info Avenant 10</v>
      </c>
      <c r="C887" s="27" t="s">
        <v>236</v>
      </c>
      <c r="D887" s="27">
        <v>4</v>
      </c>
      <c r="E887" s="16" t="s">
        <v>20</v>
      </c>
      <c r="F887" s="34" t="str">
        <f>+IF('Fiche info Avenant 10'!$BY$10=0,"",'Fiche info Avenant 10'!$BY$10)</f>
        <v/>
      </c>
      <c r="G887" s="16">
        <f t="shared" si="174"/>
        <v>0</v>
      </c>
      <c r="BX887" s="16" t="str">
        <f t="shared" si="175"/>
        <v>Fiche info Avenant 10G4</v>
      </c>
      <c r="BY887" s="431">
        <f>'Fiche info Avenant 10'!$BP$10</f>
        <v>0</v>
      </c>
      <c r="BZ887" s="431">
        <f>'Fiche info Avenant 10'!$BQ$10</f>
        <v>0</v>
      </c>
      <c r="CA887" s="431">
        <f>'Fiche info Avenant 10'!$BR$10</f>
        <v>0</v>
      </c>
      <c r="CB887" s="431">
        <f>'Fiche info Avenant 10'!$BS$10</f>
        <v>0</v>
      </c>
      <c r="CC887" s="431">
        <f>'Fiche info Avenant 10'!$BT$10</f>
        <v>0</v>
      </c>
      <c r="CD887" s="431">
        <f>'Fiche info Avenant 10'!$BU$10</f>
        <v>0</v>
      </c>
      <c r="CE887" s="431">
        <f>'Fiche info Avenant 10'!$BV$10</f>
        <v>0</v>
      </c>
      <c r="CF887" s="431">
        <f>'Fiche info Avenant 10'!$BW$10</f>
        <v>0</v>
      </c>
      <c r="ED887" s="16" t="str">
        <f t="shared" si="178"/>
        <v>Fiche info Avenant 10G</v>
      </c>
      <c r="EE887" s="16" t="str">
        <f t="shared" si="169"/>
        <v>Fiche info Avenant 10</v>
      </c>
      <c r="EF887" s="16" t="str">
        <f t="shared" si="170"/>
        <v>G</v>
      </c>
      <c r="EG887" s="16">
        <f t="shared" si="171"/>
        <v>4</v>
      </c>
      <c r="EH887" s="16" t="str">
        <f t="shared" si="172"/>
        <v>Jeudi</v>
      </c>
      <c r="EI887" s="16" t="str">
        <f t="shared" si="173"/>
        <v/>
      </c>
    </row>
    <row r="888" spans="1:139" x14ac:dyDescent="0.2">
      <c r="A888" s="16" t="str">
        <f t="shared" si="176"/>
        <v>Fiche info Avenant 10G5</v>
      </c>
      <c r="B888" s="16" t="str">
        <f t="shared" si="177"/>
        <v>Fiche info Avenant 10</v>
      </c>
      <c r="C888" s="27" t="s">
        <v>236</v>
      </c>
      <c r="D888" s="27">
        <v>5</v>
      </c>
      <c r="E888" s="16" t="s">
        <v>21</v>
      </c>
      <c r="F888" s="34" t="str">
        <f>+IF('Fiche info Avenant 10'!$BY$11=0,"",'Fiche info Avenant 10'!$BY$11)</f>
        <v/>
      </c>
      <c r="G888" s="16">
        <f t="shared" si="174"/>
        <v>0</v>
      </c>
      <c r="BX888" s="16" t="str">
        <f t="shared" si="175"/>
        <v>Fiche info Avenant 10G5</v>
      </c>
      <c r="BY888" s="431">
        <f>'Fiche info Avenant 10'!$BP$11</f>
        <v>0</v>
      </c>
      <c r="BZ888" s="431">
        <f>'Fiche info Avenant 10'!$BQ$11</f>
        <v>0</v>
      </c>
      <c r="CA888" s="431">
        <f>'Fiche info Avenant 10'!$BR$11</f>
        <v>0</v>
      </c>
      <c r="CB888" s="431">
        <f>'Fiche info Avenant 10'!$BS$11</f>
        <v>0</v>
      </c>
      <c r="CC888" s="431">
        <f>'Fiche info Avenant 10'!$BT$11</f>
        <v>0</v>
      </c>
      <c r="CD888" s="431">
        <f>'Fiche info Avenant 10'!$BU$11</f>
        <v>0</v>
      </c>
      <c r="CE888" s="431">
        <f>'Fiche info Avenant 10'!$BV$11</f>
        <v>0</v>
      </c>
      <c r="CF888" s="431">
        <f>'Fiche info Avenant 10'!$BW$11</f>
        <v>0</v>
      </c>
      <c r="ED888" s="16" t="str">
        <f t="shared" si="178"/>
        <v>Fiche info Avenant 10G</v>
      </c>
      <c r="EE888" s="16" t="str">
        <f t="shared" si="169"/>
        <v>Fiche info Avenant 10</v>
      </c>
      <c r="EF888" s="16" t="str">
        <f t="shared" si="170"/>
        <v>G</v>
      </c>
      <c r="EG888" s="16">
        <f t="shared" si="171"/>
        <v>5</v>
      </c>
      <c r="EH888" s="16" t="str">
        <f t="shared" si="172"/>
        <v>Vendredi</v>
      </c>
      <c r="EI888" s="16" t="str">
        <f t="shared" si="173"/>
        <v/>
      </c>
    </row>
    <row r="889" spans="1:139" x14ac:dyDescent="0.2">
      <c r="A889" s="16" t="str">
        <f t="shared" si="176"/>
        <v>Fiche info Avenant 10G6</v>
      </c>
      <c r="B889" s="16" t="str">
        <f t="shared" si="177"/>
        <v>Fiche info Avenant 10</v>
      </c>
      <c r="C889" s="27" t="s">
        <v>236</v>
      </c>
      <c r="D889" s="27">
        <v>6</v>
      </c>
      <c r="E889" s="16" t="s">
        <v>184</v>
      </c>
      <c r="F889" s="34" t="str">
        <f>+IF('Fiche info Avenant 10'!$BY$12=0,"",'Fiche info Avenant 10'!$BY$12)</f>
        <v/>
      </c>
      <c r="G889" s="16">
        <f t="shared" si="174"/>
        <v>0</v>
      </c>
      <c r="BX889" s="16" t="str">
        <f t="shared" si="175"/>
        <v>Fiche info Avenant 10G6</v>
      </c>
      <c r="BY889" s="431">
        <f>'Fiche info Avenant 10'!$BP$12</f>
        <v>0</v>
      </c>
      <c r="BZ889" s="431">
        <f>'Fiche info Avenant 10'!$BQ$12</f>
        <v>0</v>
      </c>
      <c r="CA889" s="431">
        <f>'Fiche info Avenant 10'!$BR$12</f>
        <v>0</v>
      </c>
      <c r="CB889" s="431">
        <f>'Fiche info Avenant 10'!$BS$12</f>
        <v>0</v>
      </c>
      <c r="CC889" s="431">
        <f>'Fiche info Avenant 10'!$BT$12</f>
        <v>0</v>
      </c>
      <c r="CD889" s="431">
        <f>'Fiche info Avenant 10'!$BU$12</f>
        <v>0</v>
      </c>
      <c r="CE889" s="431">
        <f>'Fiche info Avenant 10'!$BV$12</f>
        <v>0</v>
      </c>
      <c r="CF889" s="431">
        <f>'Fiche info Avenant 10'!$BW$12</f>
        <v>0</v>
      </c>
      <c r="ED889" s="16" t="str">
        <f t="shared" si="178"/>
        <v>Fiche info Avenant 10G</v>
      </c>
      <c r="EE889" s="16" t="str">
        <f t="shared" si="169"/>
        <v>Fiche info Avenant 10</v>
      </c>
      <c r="EF889" s="16" t="str">
        <f t="shared" si="170"/>
        <v>G</v>
      </c>
      <c r="EG889" s="16">
        <f t="shared" si="171"/>
        <v>6</v>
      </c>
      <c r="EH889" s="16" t="str">
        <f t="shared" si="172"/>
        <v>Samedi</v>
      </c>
      <c r="EI889" s="16" t="str">
        <f t="shared" si="173"/>
        <v/>
      </c>
    </row>
    <row r="890" spans="1:139" x14ac:dyDescent="0.2">
      <c r="A890" s="16" t="str">
        <f t="shared" si="176"/>
        <v>Fiche info Avenant 10G7</v>
      </c>
      <c r="B890" s="16" t="str">
        <f t="shared" si="177"/>
        <v>Fiche info Avenant 10</v>
      </c>
      <c r="C890" s="27" t="s">
        <v>236</v>
      </c>
      <c r="D890" s="27">
        <v>7</v>
      </c>
      <c r="E890" s="16" t="s">
        <v>185</v>
      </c>
      <c r="F890" s="34" t="str">
        <f>+IF('Fiche info Avenant 10'!$BY$13=0,"",'Fiche info Avenant 10'!$BY$13)</f>
        <v/>
      </c>
      <c r="G890" s="16">
        <f t="shared" si="174"/>
        <v>0</v>
      </c>
      <c r="BX890" s="16" t="str">
        <f t="shared" si="175"/>
        <v>Fiche info Avenant 10G7</v>
      </c>
      <c r="BY890" s="431">
        <f>'Fiche info Avenant 10'!$BP$13</f>
        <v>0</v>
      </c>
      <c r="BZ890" s="431">
        <f>'Fiche info Avenant 10'!$BQ$13</f>
        <v>0</v>
      </c>
      <c r="CA890" s="431">
        <f>'Fiche info Avenant 10'!$BR$13</f>
        <v>0</v>
      </c>
      <c r="CB890" s="431">
        <f>'Fiche info Avenant 10'!$BS$13</f>
        <v>0</v>
      </c>
      <c r="CC890" s="431">
        <f>'Fiche info Avenant 10'!$BT$13</f>
        <v>0</v>
      </c>
      <c r="CD890" s="431">
        <f>'Fiche info Avenant 10'!$BU$13</f>
        <v>0</v>
      </c>
      <c r="CE890" s="431">
        <f>'Fiche info Avenant 10'!$BV$13</f>
        <v>0</v>
      </c>
      <c r="CF890" s="431">
        <f>'Fiche info Avenant 10'!$BW$13</f>
        <v>0</v>
      </c>
      <c r="ED890" s="16" t="str">
        <f t="shared" si="178"/>
        <v>Fiche info Avenant 10G</v>
      </c>
      <c r="EE890" s="16" t="str">
        <f t="shared" si="169"/>
        <v>Fiche info Avenant 10</v>
      </c>
      <c r="EF890" s="16" t="str">
        <f t="shared" si="170"/>
        <v>G</v>
      </c>
      <c r="EG890" s="16">
        <f t="shared" si="171"/>
        <v>7</v>
      </c>
      <c r="EH890" s="16" t="str">
        <f t="shared" si="172"/>
        <v>Dimanche</v>
      </c>
      <c r="EI890" s="16" t="str">
        <f t="shared" si="173"/>
        <v/>
      </c>
    </row>
    <row r="891" spans="1:139" x14ac:dyDescent="0.2">
      <c r="A891" s="16" t="str">
        <f t="shared" si="176"/>
        <v>Fiche info Avenant 10H1</v>
      </c>
      <c r="B891" s="16" t="str">
        <f t="shared" si="177"/>
        <v>Fiche info Avenant 10</v>
      </c>
      <c r="C891" s="27" t="s">
        <v>237</v>
      </c>
      <c r="D891" s="27">
        <v>1</v>
      </c>
      <c r="E891" s="16" t="s">
        <v>17</v>
      </c>
      <c r="F891" s="34" t="str">
        <f>+IF('Fiche info Avenant 10'!$CJ$7=0,"",'Fiche info Avenant 10'!$CJ$7)</f>
        <v/>
      </c>
      <c r="G891" s="16">
        <f t="shared" si="174"/>
        <v>0</v>
      </c>
      <c r="BX891" s="16" t="str">
        <f t="shared" si="175"/>
        <v>Fiche info Avenant 10H1</v>
      </c>
      <c r="BY891" s="431">
        <f>'Fiche info Avenant 10'!$CA$7</f>
        <v>0</v>
      </c>
      <c r="BZ891" s="431">
        <f>'Fiche info Avenant 10'!$CB$7</f>
        <v>0</v>
      </c>
      <c r="CA891" s="431">
        <f>'Fiche info Avenant 10'!$CC$7</f>
        <v>0</v>
      </c>
      <c r="CB891" s="431">
        <f>'Fiche info Avenant 10'!$CD$7</f>
        <v>0</v>
      </c>
      <c r="CC891" s="431">
        <f>'Fiche info Avenant 10'!$CE$7</f>
        <v>0</v>
      </c>
      <c r="CD891" s="431">
        <f>'Fiche info Avenant 10'!$CF$7</f>
        <v>0</v>
      </c>
      <c r="CE891" s="431">
        <f>'Fiche info Avenant 10'!$CG$7</f>
        <v>0</v>
      </c>
      <c r="CF891" s="431">
        <f>'Fiche info Avenant 10'!$CH$7</f>
        <v>0</v>
      </c>
      <c r="ED891" s="16" t="str">
        <f t="shared" si="178"/>
        <v>Fiche info Avenant 10H</v>
      </c>
      <c r="EE891" s="16" t="str">
        <f t="shared" si="169"/>
        <v>Fiche info Avenant 10</v>
      </c>
      <c r="EF891" s="16" t="str">
        <f t="shared" si="170"/>
        <v>H</v>
      </c>
      <c r="EG891" s="16">
        <f t="shared" si="171"/>
        <v>1</v>
      </c>
      <c r="EH891" s="16" t="str">
        <f t="shared" si="172"/>
        <v>Lundi</v>
      </c>
      <c r="EI891" s="16" t="str">
        <f t="shared" si="173"/>
        <v/>
      </c>
    </row>
    <row r="892" spans="1:139" x14ac:dyDescent="0.2">
      <c r="A892" s="16" t="str">
        <f t="shared" si="176"/>
        <v>Fiche info Avenant 10H2</v>
      </c>
      <c r="B892" s="16" t="str">
        <f t="shared" si="177"/>
        <v>Fiche info Avenant 10</v>
      </c>
      <c r="C892" s="27" t="s">
        <v>237</v>
      </c>
      <c r="D892" s="27">
        <v>2</v>
      </c>
      <c r="E892" s="16" t="s">
        <v>18</v>
      </c>
      <c r="F892" s="34" t="str">
        <f>+IF('Fiche info Avenant 10'!$CJ$8=0,"",'Fiche info Avenant 10'!$CJ$8)</f>
        <v/>
      </c>
      <c r="G892" s="16">
        <f t="shared" si="174"/>
        <v>0</v>
      </c>
      <c r="BX892" s="16" t="str">
        <f t="shared" si="175"/>
        <v>Fiche info Avenant 10H2</v>
      </c>
      <c r="BY892" s="431">
        <f>'Fiche info Avenant 10'!$CA$8</f>
        <v>0</v>
      </c>
      <c r="BZ892" s="431">
        <f>'Fiche info Avenant 10'!$CB$8</f>
        <v>0</v>
      </c>
      <c r="CA892" s="431">
        <f>'Fiche info Avenant 10'!$CC$8</f>
        <v>0</v>
      </c>
      <c r="CB892" s="431">
        <f>'Fiche info Avenant 10'!$CD$8</f>
        <v>0</v>
      </c>
      <c r="CC892" s="431">
        <f>'Fiche info Avenant 10'!$CE$8</f>
        <v>0</v>
      </c>
      <c r="CD892" s="431">
        <f>'Fiche info Avenant 10'!$CF$8</f>
        <v>0</v>
      </c>
      <c r="CE892" s="431">
        <f>'Fiche info Avenant 10'!$CG$8</f>
        <v>0</v>
      </c>
      <c r="CF892" s="431">
        <f>'Fiche info Avenant 10'!$CH$8</f>
        <v>0</v>
      </c>
      <c r="ED892" s="16" t="str">
        <f t="shared" si="178"/>
        <v>Fiche info Avenant 10H</v>
      </c>
      <c r="EE892" s="16" t="str">
        <f t="shared" si="169"/>
        <v>Fiche info Avenant 10</v>
      </c>
      <c r="EF892" s="16" t="str">
        <f t="shared" si="170"/>
        <v>H</v>
      </c>
      <c r="EG892" s="16">
        <f t="shared" si="171"/>
        <v>2</v>
      </c>
      <c r="EH892" s="16" t="str">
        <f t="shared" si="172"/>
        <v>Mardi</v>
      </c>
      <c r="EI892" s="16" t="str">
        <f t="shared" si="173"/>
        <v/>
      </c>
    </row>
    <row r="893" spans="1:139" x14ac:dyDescent="0.2">
      <c r="A893" s="16" t="str">
        <f t="shared" si="176"/>
        <v>Fiche info Avenant 10H3</v>
      </c>
      <c r="B893" s="16" t="str">
        <f t="shared" si="177"/>
        <v>Fiche info Avenant 10</v>
      </c>
      <c r="C893" s="27" t="s">
        <v>237</v>
      </c>
      <c r="D893" s="27">
        <v>3</v>
      </c>
      <c r="E893" s="16" t="s">
        <v>19</v>
      </c>
      <c r="F893" s="34" t="str">
        <f>+IF('Fiche info Avenant 10'!$CJ$9=0,"",'Fiche info Avenant 10'!$CJ$9)</f>
        <v/>
      </c>
      <c r="G893" s="16">
        <f t="shared" si="174"/>
        <v>0</v>
      </c>
      <c r="BX893" s="16" t="str">
        <f t="shared" si="175"/>
        <v>Fiche info Avenant 10H3</v>
      </c>
      <c r="BY893" s="431">
        <f>'Fiche info Avenant 10'!$CA$9</f>
        <v>0</v>
      </c>
      <c r="BZ893" s="431">
        <f>'Fiche info Avenant 10'!$CB$9</f>
        <v>0</v>
      </c>
      <c r="CA893" s="431">
        <f>'Fiche info Avenant 10'!$CC$9</f>
        <v>0</v>
      </c>
      <c r="CB893" s="431">
        <f>'Fiche info Avenant 10'!$CD$9</f>
        <v>0</v>
      </c>
      <c r="CC893" s="431">
        <f>'Fiche info Avenant 10'!$CE$9</f>
        <v>0</v>
      </c>
      <c r="CD893" s="431">
        <f>'Fiche info Avenant 10'!$CF$9</f>
        <v>0</v>
      </c>
      <c r="CE893" s="431">
        <f>'Fiche info Avenant 10'!$CG$9</f>
        <v>0</v>
      </c>
      <c r="CF893" s="431">
        <f>'Fiche info Avenant 10'!$CH$9</f>
        <v>0</v>
      </c>
      <c r="ED893" s="16" t="str">
        <f t="shared" si="178"/>
        <v>Fiche info Avenant 10H</v>
      </c>
      <c r="EE893" s="16" t="str">
        <f t="shared" si="169"/>
        <v>Fiche info Avenant 10</v>
      </c>
      <c r="EF893" s="16" t="str">
        <f t="shared" si="170"/>
        <v>H</v>
      </c>
      <c r="EG893" s="16">
        <f t="shared" si="171"/>
        <v>3</v>
      </c>
      <c r="EH893" s="16" t="str">
        <f t="shared" si="172"/>
        <v>Mercredi</v>
      </c>
      <c r="EI893" s="16" t="str">
        <f t="shared" si="173"/>
        <v/>
      </c>
    </row>
    <row r="894" spans="1:139" x14ac:dyDescent="0.2">
      <c r="A894" s="16" t="str">
        <f t="shared" si="176"/>
        <v>Fiche info Avenant 10H4</v>
      </c>
      <c r="B894" s="16" t="str">
        <f t="shared" si="177"/>
        <v>Fiche info Avenant 10</v>
      </c>
      <c r="C894" s="27" t="s">
        <v>237</v>
      </c>
      <c r="D894" s="27">
        <v>4</v>
      </c>
      <c r="E894" s="16" t="s">
        <v>20</v>
      </c>
      <c r="F894" s="34" t="str">
        <f>+IF('Fiche info Avenant 10'!$CJ$10=0,"",'Fiche info Avenant 10'!$CJ$10)</f>
        <v/>
      </c>
      <c r="G894" s="16">
        <f t="shared" si="174"/>
        <v>0</v>
      </c>
      <c r="BX894" s="16" t="str">
        <f t="shared" si="175"/>
        <v>Fiche info Avenant 10H4</v>
      </c>
      <c r="BY894" s="431">
        <f>'Fiche info Avenant 10'!$CA$10</f>
        <v>0</v>
      </c>
      <c r="BZ894" s="431">
        <f>'Fiche info Avenant 10'!$CB$10</f>
        <v>0</v>
      </c>
      <c r="CA894" s="431">
        <f>'Fiche info Avenant 10'!$CC$10</f>
        <v>0</v>
      </c>
      <c r="CB894" s="431">
        <f>'Fiche info Avenant 10'!$CD$10</f>
        <v>0</v>
      </c>
      <c r="CC894" s="431">
        <f>'Fiche info Avenant 10'!$CE$10</f>
        <v>0</v>
      </c>
      <c r="CD894" s="431">
        <f>'Fiche info Avenant 10'!$CF$10</f>
        <v>0</v>
      </c>
      <c r="CE894" s="431">
        <f>'Fiche info Avenant 10'!$CG$10</f>
        <v>0</v>
      </c>
      <c r="CF894" s="431">
        <f>'Fiche info Avenant 10'!$CH$10</f>
        <v>0</v>
      </c>
      <c r="ED894" s="16" t="str">
        <f t="shared" si="178"/>
        <v>Fiche info Avenant 10H</v>
      </c>
      <c r="EE894" s="16" t="str">
        <f t="shared" si="169"/>
        <v>Fiche info Avenant 10</v>
      </c>
      <c r="EF894" s="16" t="str">
        <f t="shared" si="170"/>
        <v>H</v>
      </c>
      <c r="EG894" s="16">
        <f t="shared" si="171"/>
        <v>4</v>
      </c>
      <c r="EH894" s="16" t="str">
        <f t="shared" si="172"/>
        <v>Jeudi</v>
      </c>
      <c r="EI894" s="16" t="str">
        <f t="shared" si="173"/>
        <v/>
      </c>
    </row>
    <row r="895" spans="1:139" x14ac:dyDescent="0.2">
      <c r="A895" s="16" t="str">
        <f t="shared" si="176"/>
        <v>Fiche info Avenant 10H5</v>
      </c>
      <c r="B895" s="16" t="str">
        <f t="shared" si="177"/>
        <v>Fiche info Avenant 10</v>
      </c>
      <c r="C895" s="27" t="s">
        <v>237</v>
      </c>
      <c r="D895" s="27">
        <v>5</v>
      </c>
      <c r="E895" s="16" t="s">
        <v>21</v>
      </c>
      <c r="F895" s="34" t="str">
        <f>+IF('Fiche info Avenant 10'!$CJ$11=0,"",'Fiche info Avenant 10'!$CJ$11)</f>
        <v/>
      </c>
      <c r="G895" s="16">
        <f t="shared" si="174"/>
        <v>0</v>
      </c>
      <c r="BX895" s="16" t="str">
        <f t="shared" si="175"/>
        <v>Fiche info Avenant 10H5</v>
      </c>
      <c r="BY895" s="431">
        <f>'Fiche info Avenant 10'!$CA$11</f>
        <v>0</v>
      </c>
      <c r="BZ895" s="431">
        <f>'Fiche info Avenant 10'!$CB$11</f>
        <v>0</v>
      </c>
      <c r="CA895" s="431">
        <f>'Fiche info Avenant 10'!$CC$11</f>
        <v>0</v>
      </c>
      <c r="CB895" s="431">
        <f>'Fiche info Avenant 10'!$CD$11</f>
        <v>0</v>
      </c>
      <c r="CC895" s="431">
        <f>'Fiche info Avenant 10'!$CE$11</f>
        <v>0</v>
      </c>
      <c r="CD895" s="431">
        <f>'Fiche info Avenant 10'!$CF$11</f>
        <v>0</v>
      </c>
      <c r="CE895" s="431">
        <f>'Fiche info Avenant 10'!$CG$11</f>
        <v>0</v>
      </c>
      <c r="CF895" s="431">
        <f>'Fiche info Avenant 10'!$CH$11</f>
        <v>0</v>
      </c>
      <c r="ED895" s="16" t="str">
        <f t="shared" si="178"/>
        <v>Fiche info Avenant 10H</v>
      </c>
      <c r="EE895" s="16" t="str">
        <f t="shared" si="169"/>
        <v>Fiche info Avenant 10</v>
      </c>
      <c r="EF895" s="16" t="str">
        <f t="shared" si="170"/>
        <v>H</v>
      </c>
      <c r="EG895" s="16">
        <f t="shared" si="171"/>
        <v>5</v>
      </c>
      <c r="EH895" s="16" t="str">
        <f t="shared" si="172"/>
        <v>Vendredi</v>
      </c>
      <c r="EI895" s="16" t="str">
        <f t="shared" si="173"/>
        <v/>
      </c>
    </row>
    <row r="896" spans="1:139" x14ac:dyDescent="0.2">
      <c r="A896" s="16" t="str">
        <f t="shared" si="176"/>
        <v>Fiche info Avenant 10H6</v>
      </c>
      <c r="B896" s="16" t="str">
        <f t="shared" si="177"/>
        <v>Fiche info Avenant 10</v>
      </c>
      <c r="C896" s="27" t="s">
        <v>237</v>
      </c>
      <c r="D896" s="27">
        <v>6</v>
      </c>
      <c r="E896" s="16" t="s">
        <v>184</v>
      </c>
      <c r="F896" s="34" t="str">
        <f>+IF('Fiche info Avenant 10'!$CJ$12=0,"",'Fiche info Avenant 10'!$CJ$12)</f>
        <v/>
      </c>
      <c r="G896" s="16">
        <f t="shared" si="174"/>
        <v>0</v>
      </c>
      <c r="BX896" s="16" t="str">
        <f t="shared" si="175"/>
        <v>Fiche info Avenant 10H6</v>
      </c>
      <c r="BY896" s="431">
        <f>'Fiche info Avenant 10'!$CA$12</f>
        <v>0</v>
      </c>
      <c r="BZ896" s="431">
        <f>'Fiche info Avenant 10'!$CB$12</f>
        <v>0</v>
      </c>
      <c r="CA896" s="431">
        <f>'Fiche info Avenant 10'!$CC$12</f>
        <v>0</v>
      </c>
      <c r="CB896" s="431">
        <f>'Fiche info Avenant 10'!$CD$12</f>
        <v>0</v>
      </c>
      <c r="CC896" s="431">
        <f>'Fiche info Avenant 10'!$CE$12</f>
        <v>0</v>
      </c>
      <c r="CD896" s="431">
        <f>'Fiche info Avenant 10'!$CF$12</f>
        <v>0</v>
      </c>
      <c r="CE896" s="431">
        <f>'Fiche info Avenant 10'!$CG$12</f>
        <v>0</v>
      </c>
      <c r="CF896" s="431">
        <f>'Fiche info Avenant 10'!$CH$12</f>
        <v>0</v>
      </c>
      <c r="ED896" s="16" t="str">
        <f t="shared" si="178"/>
        <v>Fiche info Avenant 10H</v>
      </c>
      <c r="EE896" s="16" t="str">
        <f t="shared" si="169"/>
        <v>Fiche info Avenant 10</v>
      </c>
      <c r="EF896" s="16" t="str">
        <f t="shared" si="170"/>
        <v>H</v>
      </c>
      <c r="EG896" s="16">
        <f t="shared" si="171"/>
        <v>6</v>
      </c>
      <c r="EH896" s="16" t="str">
        <f t="shared" si="172"/>
        <v>Samedi</v>
      </c>
      <c r="EI896" s="16" t="str">
        <f t="shared" si="173"/>
        <v/>
      </c>
    </row>
    <row r="897" spans="1:139" x14ac:dyDescent="0.2">
      <c r="A897" s="16" t="str">
        <f t="shared" si="176"/>
        <v>Fiche info Avenant 10H7</v>
      </c>
      <c r="B897" s="16" t="str">
        <f t="shared" si="177"/>
        <v>Fiche info Avenant 10</v>
      </c>
      <c r="C897" s="27" t="s">
        <v>237</v>
      </c>
      <c r="D897" s="27">
        <v>7</v>
      </c>
      <c r="E897" s="16" t="s">
        <v>185</v>
      </c>
      <c r="F897" s="34" t="str">
        <f>+IF('Fiche info'!$CJ$13=0,"",'Fiche info'!$CJ$13)</f>
        <v/>
      </c>
      <c r="G897" s="16">
        <f t="shared" si="174"/>
        <v>0</v>
      </c>
      <c r="BX897" s="16" t="str">
        <f t="shared" si="175"/>
        <v>Fiche info Avenant 10H7</v>
      </c>
      <c r="BY897" s="431">
        <f>'Fiche info Avenant 10'!$CA$13</f>
        <v>0</v>
      </c>
      <c r="BZ897" s="431">
        <f>'Fiche info Avenant 10'!$CB$13</f>
        <v>0</v>
      </c>
      <c r="CA897" s="431">
        <f>'Fiche info Avenant 10'!$CC$13</f>
        <v>0</v>
      </c>
      <c r="CB897" s="431">
        <f>'Fiche info Avenant 10'!$CD$13</f>
        <v>0</v>
      </c>
      <c r="CC897" s="431">
        <f>'Fiche info Avenant 10'!$CE$13</f>
        <v>0</v>
      </c>
      <c r="CD897" s="431">
        <f>'Fiche info Avenant 10'!$CF$13</f>
        <v>0</v>
      </c>
      <c r="CE897" s="431">
        <f>'Fiche info Avenant 10'!$CG$13</f>
        <v>0</v>
      </c>
      <c r="CF897" s="431">
        <f>'Fiche info Avenant 10'!$CH$13</f>
        <v>0</v>
      </c>
      <c r="ED897" s="16" t="str">
        <f t="shared" si="178"/>
        <v>Fiche info Avenant 10H</v>
      </c>
      <c r="EE897" s="16" t="str">
        <f t="shared" ref="EE897" si="179">B897</f>
        <v>Fiche info Avenant 10</v>
      </c>
      <c r="EF897" s="16" t="str">
        <f t="shared" ref="EF897" si="180">C897</f>
        <v>H</v>
      </c>
      <c r="EG897" s="16">
        <f t="shared" ref="EG897" si="181">D897</f>
        <v>7</v>
      </c>
      <c r="EH897" s="16" t="str">
        <f t="shared" ref="EH897" si="182">E897</f>
        <v>Dimanche</v>
      </c>
      <c r="EI897" s="16" t="str">
        <f t="shared" ref="EI897" si="183">F897</f>
        <v/>
      </c>
    </row>
  </sheetData>
  <sheetProtection algorithmName="SHA-512" hashValue="hgs1drfMfayKDrbpXaABEm+/Pmiz7vFX1T5vOTKUHDrAGR881dXfRNvhfKnufbvu4W0yU70E5mkRWbiyDZfi7A==" saltValue="cNYvYgioy1Q93UnxnXAJ/Q==" spinCount="100000" sheet="1" objects="1" scenarios="1" formatCells="0" formatColumns="0" formatRows="0" insertColumns="0" insertRows="0" insertHyperlinks="0" sort="0" autoFilter="0" pivotTables="0"/>
  <dataConsolidate/>
  <pageMargins left="0.7" right="0.7" top="0.75" bottom="0.75"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K34"/>
  <sheetViews>
    <sheetView showGridLines="0" zoomScale="90" zoomScaleNormal="90" workbookViewId="0">
      <selection activeCell="A24" sqref="A24"/>
    </sheetView>
  </sheetViews>
  <sheetFormatPr baseColWidth="10" defaultRowHeight="12.75" x14ac:dyDescent="0.2"/>
  <cols>
    <col min="1" max="1" width="15.42578125" customWidth="1"/>
    <col min="2" max="2" width="41.140625" customWidth="1"/>
    <col min="3" max="3" width="71.140625" customWidth="1"/>
    <col min="4" max="4" width="18.28515625" customWidth="1"/>
    <col min="5" max="5" width="17.140625" bestFit="1" customWidth="1"/>
    <col min="6" max="6" width="38.42578125" customWidth="1"/>
    <col min="7" max="8" width="14.140625" customWidth="1"/>
    <col min="9" max="9" width="9.42578125" hidden="1" customWidth="1"/>
    <col min="10" max="10" width="11.42578125" hidden="1" customWidth="1"/>
    <col min="11" max="11" width="0" hidden="1" customWidth="1"/>
  </cols>
  <sheetData>
    <row r="1" spans="1:11" x14ac:dyDescent="0.2">
      <c r="A1" s="1210" t="s">
        <v>806</v>
      </c>
      <c r="B1" s="446"/>
    </row>
    <row r="2" spans="1:11" s="487" customFormat="1" x14ac:dyDescent="0.2">
      <c r="A2" s="487">
        <v>1</v>
      </c>
      <c r="B2" s="487">
        <v>2</v>
      </c>
      <c r="C2" s="487">
        <v>3</v>
      </c>
      <c r="D2" s="487">
        <v>4</v>
      </c>
      <c r="E2" s="487">
        <v>5</v>
      </c>
      <c r="F2" s="487">
        <v>6</v>
      </c>
      <c r="G2" s="487">
        <v>7</v>
      </c>
      <c r="I2" s="487">
        <v>8</v>
      </c>
      <c r="J2" s="487">
        <v>9</v>
      </c>
    </row>
    <row r="3" spans="1:11" ht="60.75" customHeight="1" x14ac:dyDescent="0.2">
      <c r="A3" s="1208" t="s">
        <v>807</v>
      </c>
      <c r="B3" s="1208" t="s">
        <v>808</v>
      </c>
      <c r="C3" s="1208" t="s">
        <v>809</v>
      </c>
      <c r="D3" s="1208" t="s">
        <v>974</v>
      </c>
      <c r="E3" s="1208" t="s">
        <v>973</v>
      </c>
      <c r="F3" s="1209" t="s">
        <v>1265</v>
      </c>
      <c r="G3" s="1208" t="s">
        <v>1629</v>
      </c>
      <c r="H3" s="1528" t="s">
        <v>1641</v>
      </c>
      <c r="I3" s="971" t="s">
        <v>1329</v>
      </c>
      <c r="J3" s="1518" t="s">
        <v>1630</v>
      </c>
      <c r="K3" s="1518" t="s">
        <v>1631</v>
      </c>
    </row>
    <row r="4" spans="1:11" x14ac:dyDescent="0.2">
      <c r="A4" s="515"/>
      <c r="B4" s="515" t="s">
        <v>425</v>
      </c>
      <c r="C4" s="515"/>
      <c r="D4" s="515"/>
      <c r="E4" s="515"/>
      <c r="F4" s="894"/>
      <c r="G4" s="515"/>
      <c r="H4" s="515"/>
      <c r="I4">
        <v>1</v>
      </c>
    </row>
    <row r="5" spans="1:11" x14ac:dyDescent="0.2">
      <c r="A5" s="1067" t="s">
        <v>810</v>
      </c>
      <c r="B5" s="515" t="s">
        <v>811</v>
      </c>
      <c r="C5" s="515" t="s">
        <v>812</v>
      </c>
      <c r="D5" s="11" t="s">
        <v>827</v>
      </c>
      <c r="E5" s="11" t="s">
        <v>137</v>
      </c>
      <c r="F5" s="894"/>
      <c r="G5" s="11" t="s">
        <v>429</v>
      </c>
      <c r="H5" s="11" t="s">
        <v>137</v>
      </c>
      <c r="I5">
        <v>1</v>
      </c>
      <c r="J5" s="1286" t="str">
        <f>+IF(AND(D5="NON",G5="OUI"),"OUI","")</f>
        <v/>
      </c>
      <c r="K5" t="str">
        <f>+IF(AND(D5="NON",H5="OUI"),"OUI","")</f>
        <v/>
      </c>
    </row>
    <row r="6" spans="1:11" x14ac:dyDescent="0.2">
      <c r="A6" s="1067" t="s">
        <v>813</v>
      </c>
      <c r="B6" s="515" t="s">
        <v>815</v>
      </c>
      <c r="C6" s="515" t="s">
        <v>816</v>
      </c>
      <c r="D6" s="11" t="s">
        <v>828</v>
      </c>
      <c r="E6" s="11" t="s">
        <v>429</v>
      </c>
      <c r="F6" s="894"/>
      <c r="G6" s="11" t="s">
        <v>137</v>
      </c>
      <c r="H6" s="11" t="s">
        <v>137</v>
      </c>
      <c r="I6">
        <v>1</v>
      </c>
      <c r="J6" s="1286" t="str">
        <f t="shared" ref="J6:J32" si="0">+IF(AND(D6="NON",G6="OUI"),"OUI","")</f>
        <v/>
      </c>
      <c r="K6" t="str">
        <f t="shared" ref="K6:K32" si="1">+IF(AND(D6="NON",H6="OUI"),"OUI","")</f>
        <v/>
      </c>
    </row>
    <row r="7" spans="1:11" x14ac:dyDescent="0.2">
      <c r="A7" s="1068" t="s">
        <v>1391</v>
      </c>
      <c r="B7" s="894" t="s">
        <v>1392</v>
      </c>
      <c r="C7" s="515" t="s">
        <v>812</v>
      </c>
      <c r="D7" s="11" t="s">
        <v>827</v>
      </c>
      <c r="E7" s="11" t="s">
        <v>137</v>
      </c>
      <c r="F7" s="894"/>
      <c r="G7" s="11" t="s">
        <v>429</v>
      </c>
      <c r="H7" s="11" t="s">
        <v>137</v>
      </c>
      <c r="I7">
        <v>1</v>
      </c>
      <c r="J7" s="1286" t="str">
        <f t="shared" si="0"/>
        <v/>
      </c>
      <c r="K7" t="str">
        <f t="shared" si="1"/>
        <v/>
      </c>
    </row>
    <row r="8" spans="1:11" x14ac:dyDescent="0.2">
      <c r="A8" s="1067" t="s">
        <v>814</v>
      </c>
      <c r="B8" s="515" t="s">
        <v>1269</v>
      </c>
      <c r="C8" s="515" t="s">
        <v>816</v>
      </c>
      <c r="D8" s="11" t="s">
        <v>828</v>
      </c>
      <c r="E8" s="11" t="s">
        <v>429</v>
      </c>
      <c r="F8" s="894" t="s">
        <v>1266</v>
      </c>
      <c r="G8" s="11" t="s">
        <v>137</v>
      </c>
      <c r="H8" s="11" t="s">
        <v>429</v>
      </c>
      <c r="I8">
        <v>1</v>
      </c>
      <c r="J8" s="1286" t="str">
        <f t="shared" si="0"/>
        <v/>
      </c>
      <c r="K8" t="str">
        <f t="shared" si="1"/>
        <v>OUI</v>
      </c>
    </row>
    <row r="9" spans="1:11" x14ac:dyDescent="0.2">
      <c r="A9" s="1288" t="s">
        <v>1493</v>
      </c>
      <c r="B9" s="515" t="s">
        <v>1494</v>
      </c>
      <c r="C9" s="515" t="s">
        <v>816</v>
      </c>
      <c r="D9" s="11" t="s">
        <v>828</v>
      </c>
      <c r="E9" s="11" t="s">
        <v>429</v>
      </c>
      <c r="F9" s="894" t="s">
        <v>1266</v>
      </c>
      <c r="G9" s="11" t="s">
        <v>429</v>
      </c>
      <c r="H9" s="11" t="s">
        <v>137</v>
      </c>
      <c r="I9">
        <v>1</v>
      </c>
      <c r="J9" s="1286" t="str">
        <f t="shared" si="0"/>
        <v>OUI</v>
      </c>
      <c r="K9" t="str">
        <f t="shared" si="1"/>
        <v/>
      </c>
    </row>
    <row r="10" spans="1:11" x14ac:dyDescent="0.2">
      <c r="A10" s="1067" t="s">
        <v>817</v>
      </c>
      <c r="B10" s="515" t="s">
        <v>1271</v>
      </c>
      <c r="C10" s="515" t="s">
        <v>816</v>
      </c>
      <c r="D10" s="11" t="s">
        <v>828</v>
      </c>
      <c r="E10" s="11" t="s">
        <v>429</v>
      </c>
      <c r="F10" s="894" t="s">
        <v>1264</v>
      </c>
      <c r="G10" s="11" t="s">
        <v>137</v>
      </c>
      <c r="H10" s="11" t="s">
        <v>137</v>
      </c>
      <c r="I10">
        <v>1</v>
      </c>
      <c r="J10" s="1286" t="str">
        <f t="shared" si="0"/>
        <v/>
      </c>
      <c r="K10" t="str">
        <f t="shared" si="1"/>
        <v/>
      </c>
    </row>
    <row r="11" spans="1:11" x14ac:dyDescent="0.2">
      <c r="A11" s="1068" t="s">
        <v>1403</v>
      </c>
      <c r="B11" s="894" t="s">
        <v>1404</v>
      </c>
      <c r="C11" s="515" t="s">
        <v>816</v>
      </c>
      <c r="D11" s="11" t="s">
        <v>828</v>
      </c>
      <c r="E11" s="11" t="s">
        <v>429</v>
      </c>
      <c r="F11" s="894" t="s">
        <v>1264</v>
      </c>
      <c r="G11" s="11" t="s">
        <v>137</v>
      </c>
      <c r="H11" s="11" t="s">
        <v>137</v>
      </c>
      <c r="I11">
        <v>1</v>
      </c>
      <c r="J11" s="1286" t="str">
        <f t="shared" si="0"/>
        <v/>
      </c>
      <c r="K11" t="str">
        <f t="shared" si="1"/>
        <v/>
      </c>
    </row>
    <row r="12" spans="1:11" x14ac:dyDescent="0.2">
      <c r="A12" s="1067" t="s">
        <v>818</v>
      </c>
      <c r="B12" s="515" t="s">
        <v>819</v>
      </c>
      <c r="C12" s="515" t="s">
        <v>812</v>
      </c>
      <c r="D12" s="11" t="s">
        <v>827</v>
      </c>
      <c r="E12" s="11" t="s">
        <v>137</v>
      </c>
      <c r="F12" s="894"/>
      <c r="G12" s="11" t="s">
        <v>429</v>
      </c>
      <c r="H12" s="11" t="s">
        <v>137</v>
      </c>
      <c r="I12">
        <v>1</v>
      </c>
      <c r="J12" s="1286" t="str">
        <f t="shared" si="0"/>
        <v/>
      </c>
      <c r="K12" t="str">
        <f t="shared" si="1"/>
        <v/>
      </c>
    </row>
    <row r="13" spans="1:11" x14ac:dyDescent="0.2">
      <c r="A13" s="1067" t="s">
        <v>829</v>
      </c>
      <c r="B13" s="515" t="s">
        <v>820</v>
      </c>
      <c r="C13" s="515" t="s">
        <v>816</v>
      </c>
      <c r="D13" s="11" t="s">
        <v>828</v>
      </c>
      <c r="E13" s="11" t="s">
        <v>429</v>
      </c>
      <c r="F13" s="894"/>
      <c r="G13" s="11" t="s">
        <v>137</v>
      </c>
      <c r="H13" s="11" t="s">
        <v>137</v>
      </c>
      <c r="I13">
        <v>1</v>
      </c>
      <c r="J13" s="1286" t="str">
        <f t="shared" si="0"/>
        <v/>
      </c>
      <c r="K13" t="str">
        <f t="shared" si="1"/>
        <v/>
      </c>
    </row>
    <row r="14" spans="1:11" x14ac:dyDescent="0.2">
      <c r="A14" s="1067" t="s">
        <v>821</v>
      </c>
      <c r="B14" s="515" t="s">
        <v>822</v>
      </c>
      <c r="C14" s="515" t="s">
        <v>823</v>
      </c>
      <c r="D14" s="11" t="s">
        <v>828</v>
      </c>
      <c r="E14" s="11" t="s">
        <v>137</v>
      </c>
      <c r="F14" s="894"/>
      <c r="G14" s="11" t="s">
        <v>137</v>
      </c>
      <c r="H14" s="11" t="s">
        <v>137</v>
      </c>
      <c r="I14">
        <v>1</v>
      </c>
      <c r="J14" s="1286" t="str">
        <f t="shared" si="0"/>
        <v/>
      </c>
      <c r="K14" t="str">
        <f t="shared" si="1"/>
        <v/>
      </c>
    </row>
    <row r="15" spans="1:11" x14ac:dyDescent="0.2">
      <c r="A15" s="1067" t="s">
        <v>824</v>
      </c>
      <c r="B15" s="515" t="s">
        <v>1366</v>
      </c>
      <c r="C15" s="515" t="s">
        <v>823</v>
      </c>
      <c r="D15" s="11" t="s">
        <v>828</v>
      </c>
      <c r="E15" s="11" t="s">
        <v>137</v>
      </c>
      <c r="F15" s="894"/>
      <c r="G15" s="11" t="s">
        <v>137</v>
      </c>
      <c r="H15" s="11" t="s">
        <v>137</v>
      </c>
      <c r="I15">
        <v>1</v>
      </c>
      <c r="J15" s="1286" t="str">
        <f t="shared" si="0"/>
        <v/>
      </c>
      <c r="K15" t="str">
        <f t="shared" si="1"/>
        <v/>
      </c>
    </row>
    <row r="16" spans="1:11" x14ac:dyDescent="0.2">
      <c r="A16" s="1067" t="s">
        <v>825</v>
      </c>
      <c r="B16" s="515" t="s">
        <v>1270</v>
      </c>
      <c r="C16" s="515" t="s">
        <v>823</v>
      </c>
      <c r="D16" s="11" t="s">
        <v>828</v>
      </c>
      <c r="E16" s="11" t="s">
        <v>137</v>
      </c>
      <c r="F16" s="894"/>
      <c r="G16" s="11" t="s">
        <v>137</v>
      </c>
      <c r="H16" s="11" t="s">
        <v>137</v>
      </c>
      <c r="I16">
        <v>1</v>
      </c>
      <c r="J16" s="1286" t="str">
        <f t="shared" si="0"/>
        <v/>
      </c>
      <c r="K16" t="str">
        <f t="shared" si="1"/>
        <v/>
      </c>
    </row>
    <row r="17" spans="1:11" x14ac:dyDescent="0.2">
      <c r="A17" s="1067" t="s">
        <v>830</v>
      </c>
      <c r="B17" s="515" t="s">
        <v>826</v>
      </c>
      <c r="C17" s="515" t="s">
        <v>816</v>
      </c>
      <c r="D17" s="11" t="s">
        <v>828</v>
      </c>
      <c r="E17" s="11" t="s">
        <v>429</v>
      </c>
      <c r="F17" s="894" t="s">
        <v>1266</v>
      </c>
      <c r="G17" s="11" t="s">
        <v>137</v>
      </c>
      <c r="H17" s="11" t="s">
        <v>137</v>
      </c>
      <c r="I17">
        <v>1</v>
      </c>
      <c r="J17" s="1286" t="str">
        <f t="shared" si="0"/>
        <v/>
      </c>
      <c r="K17" t="str">
        <f t="shared" si="1"/>
        <v/>
      </c>
    </row>
    <row r="18" spans="1:11" x14ac:dyDescent="0.2">
      <c r="A18" s="1067" t="s">
        <v>1093</v>
      </c>
      <c r="B18" s="515" t="s">
        <v>1030</v>
      </c>
      <c r="C18" s="515" t="s">
        <v>812</v>
      </c>
      <c r="D18" s="11" t="s">
        <v>827</v>
      </c>
      <c r="E18" s="11" t="s">
        <v>137</v>
      </c>
      <c r="F18" s="894"/>
      <c r="G18" s="11" t="s">
        <v>429</v>
      </c>
      <c r="H18" s="11" t="s">
        <v>137</v>
      </c>
      <c r="I18">
        <v>1</v>
      </c>
      <c r="J18" s="1286" t="str">
        <f t="shared" si="0"/>
        <v/>
      </c>
      <c r="K18" t="str">
        <f t="shared" si="1"/>
        <v/>
      </c>
    </row>
    <row r="19" spans="1:11" x14ac:dyDescent="0.2">
      <c r="A19" s="1068" t="s">
        <v>1249</v>
      </c>
      <c r="B19" s="894" t="s">
        <v>1250</v>
      </c>
      <c r="C19" s="515" t="s">
        <v>816</v>
      </c>
      <c r="D19" s="11" t="s">
        <v>828</v>
      </c>
      <c r="E19" s="11" t="s">
        <v>429</v>
      </c>
      <c r="F19" s="894" t="s">
        <v>1266</v>
      </c>
      <c r="G19" s="11" t="s">
        <v>429</v>
      </c>
      <c r="H19" s="11" t="s">
        <v>137</v>
      </c>
      <c r="I19">
        <v>1</v>
      </c>
      <c r="J19" s="1286" t="str">
        <f t="shared" si="0"/>
        <v>OUI</v>
      </c>
      <c r="K19" t="str">
        <f t="shared" si="1"/>
        <v/>
      </c>
    </row>
    <row r="20" spans="1:11" x14ac:dyDescent="0.2">
      <c r="A20" s="1068" t="s">
        <v>1251</v>
      </c>
      <c r="B20" s="894" t="s">
        <v>1252</v>
      </c>
      <c r="C20" s="515" t="s">
        <v>816</v>
      </c>
      <c r="D20" s="11" t="s">
        <v>828</v>
      </c>
      <c r="E20" s="11" t="s">
        <v>429</v>
      </c>
      <c r="F20" s="894" t="s">
        <v>1266</v>
      </c>
      <c r="G20" s="11" t="s">
        <v>429</v>
      </c>
      <c r="H20" s="11" t="s">
        <v>137</v>
      </c>
      <c r="I20">
        <v>1</v>
      </c>
      <c r="J20" s="1286" t="str">
        <f t="shared" si="0"/>
        <v>OUI</v>
      </c>
      <c r="K20" t="str">
        <f t="shared" si="1"/>
        <v/>
      </c>
    </row>
    <row r="21" spans="1:11" x14ac:dyDescent="0.2">
      <c r="A21" s="1068" t="s">
        <v>1254</v>
      </c>
      <c r="B21" s="894" t="s">
        <v>1253</v>
      </c>
      <c r="C21" s="515" t="s">
        <v>816</v>
      </c>
      <c r="D21" s="11" t="s">
        <v>828</v>
      </c>
      <c r="E21" s="11" t="s">
        <v>429</v>
      </c>
      <c r="F21" s="894" t="s">
        <v>1266</v>
      </c>
      <c r="G21" s="11" t="s">
        <v>429</v>
      </c>
      <c r="H21" s="11" t="s">
        <v>137</v>
      </c>
      <c r="I21">
        <v>1</v>
      </c>
      <c r="J21" s="1286" t="str">
        <f t="shared" si="0"/>
        <v>OUI</v>
      </c>
      <c r="K21" t="str">
        <f t="shared" si="1"/>
        <v/>
      </c>
    </row>
    <row r="22" spans="1:11" x14ac:dyDescent="0.2">
      <c r="A22" s="1068" t="s">
        <v>1419</v>
      </c>
      <c r="B22" s="894" t="s">
        <v>1422</v>
      </c>
      <c r="C22" s="515" t="s">
        <v>812</v>
      </c>
      <c r="D22" s="11" t="s">
        <v>827</v>
      </c>
      <c r="E22" s="11" t="s">
        <v>137</v>
      </c>
      <c r="F22" s="894"/>
      <c r="G22" s="11" t="s">
        <v>429</v>
      </c>
      <c r="H22" s="11" t="s">
        <v>137</v>
      </c>
      <c r="I22">
        <v>1</v>
      </c>
      <c r="J22" s="1286" t="str">
        <f t="shared" si="0"/>
        <v/>
      </c>
      <c r="K22" t="str">
        <f t="shared" si="1"/>
        <v/>
      </c>
    </row>
    <row r="23" spans="1:11" x14ac:dyDescent="0.2">
      <c r="A23" s="1067" t="s">
        <v>1094</v>
      </c>
      <c r="B23" s="515" t="s">
        <v>1365</v>
      </c>
      <c r="C23" s="515" t="s">
        <v>995</v>
      </c>
      <c r="D23" s="11" t="s">
        <v>827</v>
      </c>
      <c r="E23" s="11" t="s">
        <v>137</v>
      </c>
      <c r="F23" s="894"/>
      <c r="G23" s="11" t="s">
        <v>429</v>
      </c>
      <c r="H23" s="11" t="s">
        <v>137</v>
      </c>
      <c r="I23">
        <v>1</v>
      </c>
      <c r="J23" s="1286" t="str">
        <f t="shared" si="0"/>
        <v/>
      </c>
      <c r="K23" t="str">
        <f t="shared" si="1"/>
        <v/>
      </c>
    </row>
    <row r="24" spans="1:11" x14ac:dyDescent="0.2">
      <c r="A24" s="1067"/>
      <c r="B24" s="1067"/>
      <c r="C24" s="1067"/>
      <c r="D24" s="1069"/>
      <c r="E24" s="1069"/>
      <c r="F24" s="1068"/>
      <c r="G24" s="1069"/>
      <c r="H24" s="1069"/>
      <c r="I24">
        <v>1</v>
      </c>
      <c r="J24" s="1286" t="str">
        <f t="shared" si="0"/>
        <v/>
      </c>
      <c r="K24" t="str">
        <f t="shared" si="1"/>
        <v/>
      </c>
    </row>
    <row r="25" spans="1:11" x14ac:dyDescent="0.2">
      <c r="A25" s="1067"/>
      <c r="B25" s="1067"/>
      <c r="C25" s="1067"/>
      <c r="D25" s="1069"/>
      <c r="E25" s="1069"/>
      <c r="F25" s="1068"/>
      <c r="G25" s="1069"/>
      <c r="H25" s="1069"/>
      <c r="I25">
        <v>1</v>
      </c>
      <c r="J25" s="1286" t="str">
        <f t="shared" si="0"/>
        <v/>
      </c>
      <c r="K25" t="str">
        <f t="shared" si="1"/>
        <v/>
      </c>
    </row>
    <row r="26" spans="1:11" x14ac:dyDescent="0.2">
      <c r="A26" s="1067"/>
      <c r="B26" s="1067"/>
      <c r="C26" s="1067"/>
      <c r="D26" s="1069"/>
      <c r="E26" s="1069"/>
      <c r="F26" s="1068"/>
      <c r="G26" s="1069"/>
      <c r="H26" s="1069"/>
      <c r="I26">
        <v>1</v>
      </c>
      <c r="J26" s="1286" t="str">
        <f t="shared" si="0"/>
        <v/>
      </c>
      <c r="K26" t="str">
        <f t="shared" si="1"/>
        <v/>
      </c>
    </row>
    <row r="27" spans="1:11" x14ac:dyDescent="0.2">
      <c r="A27" s="1067"/>
      <c r="B27" s="1067"/>
      <c r="C27" s="1067"/>
      <c r="D27" s="1069"/>
      <c r="E27" s="1069"/>
      <c r="F27" s="1068"/>
      <c r="G27" s="1069"/>
      <c r="H27" s="1069"/>
      <c r="I27">
        <v>1</v>
      </c>
      <c r="J27" s="1286" t="str">
        <f t="shared" si="0"/>
        <v/>
      </c>
      <c r="K27" t="str">
        <f t="shared" si="1"/>
        <v/>
      </c>
    </row>
    <row r="28" spans="1:11" x14ac:dyDescent="0.2">
      <c r="A28" s="1067"/>
      <c r="B28" s="1067"/>
      <c r="C28" s="1067"/>
      <c r="D28" s="1069"/>
      <c r="E28" s="1069"/>
      <c r="F28" s="1068"/>
      <c r="G28" s="1069"/>
      <c r="H28" s="1069"/>
      <c r="I28">
        <v>1</v>
      </c>
      <c r="J28" s="1286" t="str">
        <f t="shared" si="0"/>
        <v/>
      </c>
      <c r="K28" t="str">
        <f t="shared" si="1"/>
        <v/>
      </c>
    </row>
    <row r="29" spans="1:11" x14ac:dyDescent="0.2">
      <c r="A29" s="1067"/>
      <c r="B29" s="1067"/>
      <c r="C29" s="1067"/>
      <c r="D29" s="1069"/>
      <c r="E29" s="1069"/>
      <c r="F29" s="1068"/>
      <c r="G29" s="1069"/>
      <c r="H29" s="1069"/>
      <c r="I29">
        <v>1</v>
      </c>
      <c r="J29" s="1286" t="str">
        <f t="shared" si="0"/>
        <v/>
      </c>
      <c r="K29" t="str">
        <f t="shared" si="1"/>
        <v/>
      </c>
    </row>
    <row r="30" spans="1:11" x14ac:dyDescent="0.2">
      <c r="A30" s="1067"/>
      <c r="B30" s="1067"/>
      <c r="C30" s="1067"/>
      <c r="D30" s="1069"/>
      <c r="E30" s="1069"/>
      <c r="F30" s="1068"/>
      <c r="G30" s="1069"/>
      <c r="H30" s="1069"/>
      <c r="I30">
        <v>1</v>
      </c>
      <c r="J30" s="1286" t="str">
        <f t="shared" si="0"/>
        <v/>
      </c>
      <c r="K30" t="str">
        <f t="shared" si="1"/>
        <v/>
      </c>
    </row>
    <row r="31" spans="1:11" x14ac:dyDescent="0.2">
      <c r="A31" s="1067"/>
      <c r="B31" s="1067"/>
      <c r="C31" s="1067"/>
      <c r="D31" s="1069"/>
      <c r="E31" s="1069"/>
      <c r="F31" s="1068"/>
      <c r="G31" s="1069"/>
      <c r="H31" s="1069"/>
      <c r="I31">
        <v>1</v>
      </c>
      <c r="J31" s="1286" t="str">
        <f t="shared" si="0"/>
        <v/>
      </c>
      <c r="K31" t="str">
        <f t="shared" si="1"/>
        <v/>
      </c>
    </row>
    <row r="32" spans="1:11" x14ac:dyDescent="0.2">
      <c r="A32" s="1067"/>
      <c r="B32" s="1067"/>
      <c r="C32" s="1067"/>
      <c r="D32" s="1069"/>
      <c r="E32" s="1069"/>
      <c r="F32" s="1068"/>
      <c r="G32" s="1069"/>
      <c r="H32" s="1069"/>
      <c r="I32">
        <v>1</v>
      </c>
      <c r="J32" s="1286" t="str">
        <f t="shared" si="0"/>
        <v/>
      </c>
      <c r="K32" t="str">
        <f t="shared" si="1"/>
        <v/>
      </c>
    </row>
    <row r="33" spans="1:2" hidden="1" x14ac:dyDescent="0.2">
      <c r="A33" t="str">
        <f>+S.CAL!BJ3</f>
        <v>CP Acq</v>
      </c>
      <c r="B33" t="s">
        <v>1420</v>
      </c>
    </row>
    <row r="34" spans="1:2" hidden="1" x14ac:dyDescent="0.2">
      <c r="A34" t="str">
        <f>+S.CAL!BJ4</f>
        <v>CP Ant</v>
      </c>
      <c r="B34" t="s">
        <v>1421</v>
      </c>
    </row>
  </sheetData>
  <sheetProtection algorithmName="SHA-512" hashValue="ACRD9usBJbO2BPqBJm8KjYD3xl2ozYcqZUJ+ExBnWa6nk5JULjrQ9f5vFEzXC8GUOzFwkF5I4zxft2MZczLDdw==" saltValue="BX6BCrQYhZ2+SGpAan7Mvg==" spinCount="100000" sheet="1" objects="1" scenarios="1" formatCells="0" formatColumns="0" formatRows="0" insertColumns="0" insertRows="0" insertHyperlinks="0" sort="0" autoFilter="0" pivotTables="0"/>
  <dataValidations disablePrompts="1" count="3">
    <dataValidation type="list" allowBlank="1" showInputMessage="1" sqref="D23:D32" xr:uid="{00000000-0002-0000-0500-000000000000}">
      <formula1>"oui,non"</formula1>
    </dataValidation>
    <dataValidation type="list" allowBlank="1" showInputMessage="1" sqref="E23:E32 G23:H32" xr:uid="{00000000-0002-0000-0500-000001000000}">
      <formula1>"OUI,NON"</formula1>
    </dataValidation>
    <dataValidation type="list" allowBlank="1" showInputMessage="1" sqref="F24:F32" xr:uid="{00000000-0002-0000-0500-000002000000}">
      <formula1>"Arrêt de Travail,Susp. du cont. de trav."</formula1>
    </dataValidation>
  </dataValidations>
  <pageMargins left="0.7" right="0.7" top="0.75" bottom="0.75" header="0.3" footer="0.3"/>
  <pageSetup paperSize="9" scale="44" orientation="portrait" horizontalDpi="1200" verticalDpi="1200"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3000000}">
          <x14:formula1>
            <xm:f>S.CAL!$EX$1:$EX$3</xm:f>
          </x14:formula1>
          <xm:sqref>F4:F23</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M137"/>
  <sheetViews>
    <sheetView zoomScale="90" zoomScaleNormal="90" workbookViewId="0">
      <pane xSplit="1" topLeftCell="B1" activePane="topRight" state="frozenSplit"/>
      <selection activeCell="HL2" sqref="HL2"/>
      <selection pane="topRight" activeCell="B10" sqref="B10"/>
    </sheetView>
  </sheetViews>
  <sheetFormatPr baseColWidth="10" defaultRowHeight="12.75" x14ac:dyDescent="0.2"/>
  <cols>
    <col min="1" max="1" width="32.28515625" customWidth="1"/>
    <col min="2" max="2" width="15.28515625" customWidth="1"/>
    <col min="3" max="13" width="14.85546875" customWidth="1"/>
    <col min="14" max="105" width="11.42578125" customWidth="1"/>
  </cols>
  <sheetData>
    <row r="1" spans="1:13" ht="18" x14ac:dyDescent="0.25">
      <c r="A1" s="992" t="str">
        <f>"TABLEAU DES COTISATIONS POUR "&amp;Identification!B60</f>
        <v>TABLEAU DES COTISATIONS POUR 2026</v>
      </c>
    </row>
    <row r="3" spans="1:13" x14ac:dyDescent="0.2">
      <c r="A3" s="446" t="s">
        <v>1534</v>
      </c>
    </row>
    <row r="5" spans="1:13" x14ac:dyDescent="0.2">
      <c r="B5" s="1418" t="s">
        <v>90</v>
      </c>
      <c r="C5" s="1419" t="s">
        <v>1338</v>
      </c>
      <c r="D5" s="1418" t="s">
        <v>92</v>
      </c>
      <c r="E5" s="1419" t="s">
        <v>93</v>
      </c>
      <c r="F5" s="1418" t="s">
        <v>94</v>
      </c>
      <c r="G5" s="1419" t="s">
        <v>95</v>
      </c>
      <c r="H5" s="1418" t="s">
        <v>96</v>
      </c>
      <c r="I5" s="1419" t="s">
        <v>97</v>
      </c>
      <c r="J5" s="1418" t="s">
        <v>98</v>
      </c>
      <c r="K5" s="1419" t="s">
        <v>99</v>
      </c>
      <c r="L5" s="1418" t="s">
        <v>100</v>
      </c>
      <c r="M5" s="1420" t="s">
        <v>101</v>
      </c>
    </row>
    <row r="6" spans="1:13" x14ac:dyDescent="0.2">
      <c r="A6" s="1286"/>
      <c r="B6" s="929">
        <f>+Identification!B61</f>
        <v>46023</v>
      </c>
      <c r="C6" s="929">
        <f t="shared" ref="C6:M6" si="0">+DATE(YEAR(B6),MONTH(B6)+1,1)</f>
        <v>46054</v>
      </c>
      <c r="D6" s="929">
        <f t="shared" si="0"/>
        <v>46082</v>
      </c>
      <c r="E6" s="929">
        <f t="shared" si="0"/>
        <v>46113</v>
      </c>
      <c r="F6" s="929">
        <f t="shared" si="0"/>
        <v>46143</v>
      </c>
      <c r="G6" s="929">
        <f t="shared" si="0"/>
        <v>46174</v>
      </c>
      <c r="H6" s="929">
        <f t="shared" si="0"/>
        <v>46204</v>
      </c>
      <c r="I6" s="929">
        <f t="shared" si="0"/>
        <v>46235</v>
      </c>
      <c r="J6" s="929">
        <f t="shared" si="0"/>
        <v>46266</v>
      </c>
      <c r="K6" s="929">
        <f t="shared" si="0"/>
        <v>46296</v>
      </c>
      <c r="L6" s="929">
        <f t="shared" si="0"/>
        <v>46327</v>
      </c>
      <c r="M6" s="929">
        <f t="shared" si="0"/>
        <v>46357</v>
      </c>
    </row>
    <row r="7" spans="1:13" ht="25.5" x14ac:dyDescent="0.2">
      <c r="B7" s="1421" t="s">
        <v>480</v>
      </c>
      <c r="C7" s="1421" t="s">
        <v>480</v>
      </c>
      <c r="D7" s="1421" t="s">
        <v>480</v>
      </c>
      <c r="E7" s="1421" t="s">
        <v>480</v>
      </c>
      <c r="F7" s="1421" t="s">
        <v>480</v>
      </c>
      <c r="G7" s="1421" t="s">
        <v>480</v>
      </c>
      <c r="H7" s="1421" t="s">
        <v>480</v>
      </c>
      <c r="I7" s="1421" t="s">
        <v>480</v>
      </c>
      <c r="J7" s="1421" t="s">
        <v>480</v>
      </c>
      <c r="K7" s="1421" t="s">
        <v>480</v>
      </c>
      <c r="L7" s="1421" t="s">
        <v>480</v>
      </c>
      <c r="M7" s="1421" t="s">
        <v>480</v>
      </c>
    </row>
    <row r="8" spans="1:13" x14ac:dyDescent="0.2">
      <c r="B8" s="1422" t="s">
        <v>41</v>
      </c>
      <c r="C8" s="1422" t="s">
        <v>41</v>
      </c>
      <c r="D8" s="1422" t="s">
        <v>41</v>
      </c>
      <c r="E8" s="1422" t="s">
        <v>41</v>
      </c>
      <c r="F8" s="1422" t="s">
        <v>41</v>
      </c>
      <c r="G8" s="1422" t="s">
        <v>41</v>
      </c>
      <c r="H8" s="1422" t="s">
        <v>41</v>
      </c>
      <c r="I8" s="1422" t="s">
        <v>41</v>
      </c>
      <c r="J8" s="1422" t="s">
        <v>41</v>
      </c>
      <c r="K8" s="1422" t="s">
        <v>41</v>
      </c>
      <c r="L8" s="1422" t="s">
        <v>41</v>
      </c>
      <c r="M8" s="1422" t="s">
        <v>41</v>
      </c>
    </row>
    <row r="9" spans="1:13" x14ac:dyDescent="0.2">
      <c r="A9" s="1423" t="s">
        <v>111</v>
      </c>
      <c r="B9" s="1424"/>
      <c r="C9" s="1424"/>
      <c r="D9" s="1424"/>
      <c r="E9" s="1424"/>
      <c r="F9" s="1424"/>
      <c r="G9" s="1424"/>
      <c r="H9" s="1424"/>
      <c r="I9" s="1424"/>
      <c r="J9" s="1424"/>
      <c r="K9" s="1424"/>
      <c r="L9" s="1424"/>
      <c r="M9" s="1424"/>
    </row>
    <row r="10" spans="1:13" x14ac:dyDescent="0.2">
      <c r="A10" s="12" t="s">
        <v>109</v>
      </c>
      <c r="B10" s="1638">
        <v>5.2200000000000003E-2</v>
      </c>
      <c r="C10" s="1608">
        <f>+B10</f>
        <v>5.2200000000000003E-2</v>
      </c>
      <c r="D10" s="1608">
        <f t="shared" ref="D10" si="1">+C10</f>
        <v>5.2200000000000003E-2</v>
      </c>
      <c r="E10" s="1608">
        <f t="shared" ref="E10" si="2">+D10</f>
        <v>5.2200000000000003E-2</v>
      </c>
      <c r="F10" s="1608">
        <f t="shared" ref="F10" si="3">+E10</f>
        <v>5.2200000000000003E-2</v>
      </c>
      <c r="G10" s="1608">
        <f t="shared" ref="G10" si="4">+F10</f>
        <v>5.2200000000000003E-2</v>
      </c>
      <c r="H10" s="1608">
        <f t="shared" ref="H10" si="5">+G10</f>
        <v>5.2200000000000003E-2</v>
      </c>
      <c r="I10" s="1608">
        <f t="shared" ref="I10" si="6">+H10</f>
        <v>5.2200000000000003E-2</v>
      </c>
      <c r="J10" s="1608">
        <f t="shared" ref="J10" si="7">+I10</f>
        <v>5.2200000000000003E-2</v>
      </c>
      <c r="K10" s="1608">
        <f t="shared" ref="K10" si="8">+J10</f>
        <v>5.2200000000000003E-2</v>
      </c>
      <c r="L10" s="1608">
        <f t="shared" ref="L10" si="9">+K10</f>
        <v>5.2200000000000003E-2</v>
      </c>
      <c r="M10" s="1608">
        <f t="shared" ref="M10" si="10">+L10</f>
        <v>5.2200000000000003E-2</v>
      </c>
    </row>
    <row r="11" spans="1:13" x14ac:dyDescent="0.2">
      <c r="A11" s="12" t="s">
        <v>1535</v>
      </c>
      <c r="B11" s="1638">
        <v>1.04E-2</v>
      </c>
      <c r="C11" s="1608">
        <f>+B11</f>
        <v>1.04E-2</v>
      </c>
      <c r="D11" s="1608">
        <f t="shared" ref="D11:M11" si="11">+C11</f>
        <v>1.04E-2</v>
      </c>
      <c r="E11" s="1608">
        <f t="shared" si="11"/>
        <v>1.04E-2</v>
      </c>
      <c r="F11" s="1608">
        <f t="shared" si="11"/>
        <v>1.04E-2</v>
      </c>
      <c r="G11" s="1608">
        <f t="shared" si="11"/>
        <v>1.04E-2</v>
      </c>
      <c r="H11" s="1608">
        <f t="shared" si="11"/>
        <v>1.04E-2</v>
      </c>
      <c r="I11" s="1608">
        <f t="shared" si="11"/>
        <v>1.04E-2</v>
      </c>
      <c r="J11" s="1608">
        <f t="shared" si="11"/>
        <v>1.04E-2</v>
      </c>
      <c r="K11" s="1608">
        <f t="shared" si="11"/>
        <v>1.04E-2</v>
      </c>
      <c r="L11" s="1608">
        <f t="shared" si="11"/>
        <v>1.04E-2</v>
      </c>
      <c r="M11" s="1608">
        <f t="shared" si="11"/>
        <v>1.04E-2</v>
      </c>
    </row>
    <row r="12" spans="1:13" x14ac:dyDescent="0.2">
      <c r="A12" s="12" t="s">
        <v>1536</v>
      </c>
      <c r="B12" s="1425"/>
      <c r="C12" s="1425"/>
      <c r="D12" s="1425"/>
      <c r="E12" s="1425"/>
      <c r="F12" s="1425"/>
      <c r="G12" s="1425"/>
      <c r="H12" s="1425"/>
      <c r="I12" s="1425"/>
      <c r="J12" s="1425"/>
      <c r="K12" s="1425"/>
      <c r="L12" s="1425"/>
      <c r="M12" s="1425"/>
    </row>
    <row r="13" spans="1:13" x14ac:dyDescent="0.2">
      <c r="A13" s="13" t="s">
        <v>113</v>
      </c>
      <c r="B13" s="1425"/>
      <c r="C13" s="1425"/>
      <c r="D13" s="1425"/>
      <c r="E13" s="1425"/>
      <c r="F13" s="1425"/>
      <c r="G13" s="1425"/>
      <c r="H13" s="1425"/>
      <c r="I13" s="1425"/>
      <c r="J13" s="1425"/>
      <c r="K13" s="1425"/>
      <c r="L13" s="1425"/>
      <c r="M13" s="1425"/>
    </row>
    <row r="14" spans="1:13" x14ac:dyDescent="0.2">
      <c r="A14" s="13" t="s">
        <v>110</v>
      </c>
      <c r="B14" s="1425"/>
      <c r="C14" s="1425"/>
      <c r="D14" s="1425"/>
      <c r="E14" s="1425"/>
      <c r="F14" s="1425"/>
      <c r="G14" s="1425"/>
      <c r="H14" s="1425"/>
      <c r="I14" s="1425"/>
      <c r="J14" s="1425"/>
      <c r="K14" s="1425"/>
      <c r="L14" s="1425"/>
      <c r="M14" s="1425"/>
    </row>
    <row r="15" spans="1:13" x14ac:dyDescent="0.2">
      <c r="A15" s="12" t="s">
        <v>1537</v>
      </c>
      <c r="B15" s="1608">
        <v>5.5399999999999998E-2</v>
      </c>
      <c r="C15" s="1608">
        <f t="shared" ref="C15:M23" si="12">+B15</f>
        <v>5.5399999999999998E-2</v>
      </c>
      <c r="D15" s="1608">
        <f t="shared" si="12"/>
        <v>5.5399999999999998E-2</v>
      </c>
      <c r="E15" s="1608">
        <f t="shared" si="12"/>
        <v>5.5399999999999998E-2</v>
      </c>
      <c r="F15" s="1608">
        <f t="shared" si="12"/>
        <v>5.5399999999999998E-2</v>
      </c>
      <c r="G15" s="1608">
        <f t="shared" si="12"/>
        <v>5.5399999999999998E-2</v>
      </c>
      <c r="H15" s="1608">
        <f t="shared" si="12"/>
        <v>5.5399999999999998E-2</v>
      </c>
      <c r="I15" s="1608">
        <f t="shared" si="12"/>
        <v>5.5399999999999998E-2</v>
      </c>
      <c r="J15" s="1608">
        <f t="shared" si="12"/>
        <v>5.5399999999999998E-2</v>
      </c>
      <c r="K15" s="1608">
        <f t="shared" si="12"/>
        <v>5.5399999999999998E-2</v>
      </c>
      <c r="L15" s="1608">
        <f t="shared" si="12"/>
        <v>5.5399999999999998E-2</v>
      </c>
      <c r="M15" s="1608">
        <f t="shared" si="12"/>
        <v>5.5399999999999998E-2</v>
      </c>
    </row>
    <row r="16" spans="1:13" x14ac:dyDescent="0.2">
      <c r="A16" s="12" t="s">
        <v>1538</v>
      </c>
      <c r="B16" s="1608">
        <v>0</v>
      </c>
      <c r="C16" s="1608">
        <f t="shared" si="12"/>
        <v>0</v>
      </c>
      <c r="D16" s="1608">
        <f t="shared" si="12"/>
        <v>0</v>
      </c>
      <c r="E16" s="1608">
        <f t="shared" si="12"/>
        <v>0</v>
      </c>
      <c r="F16" s="1608">
        <f t="shared" si="12"/>
        <v>0</v>
      </c>
      <c r="G16" s="1608">
        <f t="shared" si="12"/>
        <v>0</v>
      </c>
      <c r="H16" s="1608">
        <f t="shared" si="12"/>
        <v>0</v>
      </c>
      <c r="I16" s="1608">
        <f t="shared" si="12"/>
        <v>0</v>
      </c>
      <c r="J16" s="1608">
        <f t="shared" si="12"/>
        <v>0</v>
      </c>
      <c r="K16" s="1608">
        <f t="shared" si="12"/>
        <v>0</v>
      </c>
      <c r="L16" s="1608">
        <f t="shared" si="12"/>
        <v>0</v>
      </c>
      <c r="M16" s="1608">
        <f t="shared" si="12"/>
        <v>0</v>
      </c>
    </row>
    <row r="17" spans="1:13" x14ac:dyDescent="0.2">
      <c r="A17" s="12" t="s">
        <v>1539</v>
      </c>
      <c r="B17" s="1608">
        <v>0</v>
      </c>
      <c r="C17" s="1608">
        <f t="shared" si="12"/>
        <v>0</v>
      </c>
      <c r="D17" s="1608">
        <f t="shared" si="12"/>
        <v>0</v>
      </c>
      <c r="E17" s="1608">
        <f t="shared" si="12"/>
        <v>0</v>
      </c>
      <c r="F17" s="1608">
        <f t="shared" si="12"/>
        <v>0</v>
      </c>
      <c r="G17" s="1608">
        <f t="shared" si="12"/>
        <v>0</v>
      </c>
      <c r="H17" s="1608">
        <f t="shared" si="12"/>
        <v>0</v>
      </c>
      <c r="I17" s="1608">
        <f t="shared" si="12"/>
        <v>0</v>
      </c>
      <c r="J17" s="1608">
        <f t="shared" si="12"/>
        <v>0</v>
      </c>
      <c r="K17" s="1608">
        <f t="shared" si="12"/>
        <v>0</v>
      </c>
      <c r="L17" s="1608">
        <f t="shared" si="12"/>
        <v>0</v>
      </c>
      <c r="M17" s="1608">
        <f t="shared" si="12"/>
        <v>0</v>
      </c>
    </row>
    <row r="18" spans="1:13" x14ac:dyDescent="0.2">
      <c r="A18" s="12" t="s">
        <v>1540</v>
      </c>
      <c r="B18" s="1608">
        <v>0</v>
      </c>
      <c r="C18" s="1608">
        <f t="shared" si="12"/>
        <v>0</v>
      </c>
      <c r="D18" s="1608">
        <f t="shared" si="12"/>
        <v>0</v>
      </c>
      <c r="E18" s="1608">
        <f t="shared" si="12"/>
        <v>0</v>
      </c>
      <c r="F18" s="1608">
        <f t="shared" si="12"/>
        <v>0</v>
      </c>
      <c r="G18" s="1608">
        <f t="shared" si="12"/>
        <v>0</v>
      </c>
      <c r="H18" s="1608">
        <f t="shared" si="12"/>
        <v>0</v>
      </c>
      <c r="I18" s="1608">
        <f t="shared" si="12"/>
        <v>0</v>
      </c>
      <c r="J18" s="1608">
        <f t="shared" si="12"/>
        <v>0</v>
      </c>
      <c r="K18" s="1608">
        <f t="shared" si="12"/>
        <v>0</v>
      </c>
      <c r="L18" s="1608">
        <f t="shared" si="12"/>
        <v>0</v>
      </c>
      <c r="M18" s="1608">
        <f t="shared" si="12"/>
        <v>0</v>
      </c>
    </row>
    <row r="19" spans="1:13" x14ac:dyDescent="0.2">
      <c r="A19" s="12" t="str">
        <f>+A17&amp;" - "&amp;A18</f>
        <v>Retraite IRCEM T1 - CEG T1</v>
      </c>
      <c r="B19" s="1425">
        <f>SUM(B17:B18)</f>
        <v>0</v>
      </c>
      <c r="C19" s="1425">
        <f t="shared" si="12"/>
        <v>0</v>
      </c>
      <c r="D19" s="1425">
        <f t="shared" si="12"/>
        <v>0</v>
      </c>
      <c r="E19" s="1425">
        <f t="shared" si="12"/>
        <v>0</v>
      </c>
      <c r="F19" s="1425">
        <f t="shared" si="12"/>
        <v>0</v>
      </c>
      <c r="G19" s="1425">
        <f t="shared" si="12"/>
        <v>0</v>
      </c>
      <c r="H19" s="1425">
        <f t="shared" si="12"/>
        <v>0</v>
      </c>
      <c r="I19" s="1425">
        <f t="shared" si="12"/>
        <v>0</v>
      </c>
      <c r="J19" s="1425">
        <f t="shared" si="12"/>
        <v>0</v>
      </c>
      <c r="K19" s="1425">
        <f t="shared" si="12"/>
        <v>0</v>
      </c>
      <c r="L19" s="1425">
        <f t="shared" si="12"/>
        <v>0</v>
      </c>
      <c r="M19" s="1425">
        <f t="shared" si="12"/>
        <v>0</v>
      </c>
    </row>
    <row r="20" spans="1:13" x14ac:dyDescent="0.2">
      <c r="A20" s="12" t="s">
        <v>1541</v>
      </c>
      <c r="B20" s="1608">
        <v>0</v>
      </c>
      <c r="C20" s="1608">
        <f t="shared" si="12"/>
        <v>0</v>
      </c>
      <c r="D20" s="1608">
        <f t="shared" si="12"/>
        <v>0</v>
      </c>
      <c r="E20" s="1608">
        <f t="shared" si="12"/>
        <v>0</v>
      </c>
      <c r="F20" s="1608">
        <f t="shared" si="12"/>
        <v>0</v>
      </c>
      <c r="G20" s="1608">
        <f t="shared" si="12"/>
        <v>0</v>
      </c>
      <c r="H20" s="1608">
        <f t="shared" si="12"/>
        <v>0</v>
      </c>
      <c r="I20" s="1608">
        <f t="shared" si="12"/>
        <v>0</v>
      </c>
      <c r="J20" s="1608">
        <f t="shared" si="12"/>
        <v>0</v>
      </c>
      <c r="K20" s="1608">
        <f t="shared" si="12"/>
        <v>0</v>
      </c>
      <c r="L20" s="1608">
        <f t="shared" si="12"/>
        <v>0</v>
      </c>
      <c r="M20" s="1608">
        <f t="shared" si="12"/>
        <v>0</v>
      </c>
    </row>
    <row r="21" spans="1:13" x14ac:dyDescent="0.2">
      <c r="A21" s="12" t="s">
        <v>1542</v>
      </c>
      <c r="B21" s="1608">
        <v>0</v>
      </c>
      <c r="C21" s="1608">
        <f t="shared" si="12"/>
        <v>0</v>
      </c>
      <c r="D21" s="1608">
        <f t="shared" si="12"/>
        <v>0</v>
      </c>
      <c r="E21" s="1608">
        <f t="shared" si="12"/>
        <v>0</v>
      </c>
      <c r="F21" s="1608">
        <f t="shared" si="12"/>
        <v>0</v>
      </c>
      <c r="G21" s="1608">
        <f t="shared" si="12"/>
        <v>0</v>
      </c>
      <c r="H21" s="1608">
        <f t="shared" si="12"/>
        <v>0</v>
      </c>
      <c r="I21" s="1608">
        <f t="shared" si="12"/>
        <v>0</v>
      </c>
      <c r="J21" s="1608">
        <f t="shared" si="12"/>
        <v>0</v>
      </c>
      <c r="K21" s="1608">
        <f t="shared" si="12"/>
        <v>0</v>
      </c>
      <c r="L21" s="1608">
        <f t="shared" si="12"/>
        <v>0</v>
      </c>
      <c r="M21" s="1608">
        <f t="shared" si="12"/>
        <v>0</v>
      </c>
    </row>
    <row r="22" spans="1:13" x14ac:dyDescent="0.2">
      <c r="A22" s="12" t="s">
        <v>1543</v>
      </c>
      <c r="B22" s="1608">
        <v>0</v>
      </c>
      <c r="C22" s="1608">
        <f t="shared" si="12"/>
        <v>0</v>
      </c>
      <c r="D22" s="1608">
        <f t="shared" si="12"/>
        <v>0</v>
      </c>
      <c r="E22" s="1608">
        <f t="shared" si="12"/>
        <v>0</v>
      </c>
      <c r="F22" s="1608">
        <f t="shared" si="12"/>
        <v>0</v>
      </c>
      <c r="G22" s="1608">
        <f t="shared" si="12"/>
        <v>0</v>
      </c>
      <c r="H22" s="1608">
        <f t="shared" si="12"/>
        <v>0</v>
      </c>
      <c r="I22" s="1608">
        <f t="shared" si="12"/>
        <v>0</v>
      </c>
      <c r="J22" s="1608">
        <f t="shared" si="12"/>
        <v>0</v>
      </c>
      <c r="K22" s="1608">
        <f t="shared" si="12"/>
        <v>0</v>
      </c>
      <c r="L22" s="1608">
        <f t="shared" si="12"/>
        <v>0</v>
      </c>
      <c r="M22" s="1608">
        <f t="shared" si="12"/>
        <v>0</v>
      </c>
    </row>
    <row r="23" spans="1:13" x14ac:dyDescent="0.2">
      <c r="A23" s="12" t="str">
        <f>+A21&amp;" - "&amp;A22</f>
        <v>Retraite IRCEM T2 - CEG T2</v>
      </c>
      <c r="B23" s="1425">
        <f>SUM(B21:B22)</f>
        <v>0</v>
      </c>
      <c r="C23" s="1425">
        <f t="shared" si="12"/>
        <v>0</v>
      </c>
      <c r="D23" s="1425">
        <f t="shared" si="12"/>
        <v>0</v>
      </c>
      <c r="E23" s="1425">
        <f t="shared" si="12"/>
        <v>0</v>
      </c>
      <c r="F23" s="1425">
        <f t="shared" si="12"/>
        <v>0</v>
      </c>
      <c r="G23" s="1425">
        <f t="shared" si="12"/>
        <v>0</v>
      </c>
      <c r="H23" s="1425">
        <f t="shared" si="12"/>
        <v>0</v>
      </c>
      <c r="I23" s="1425">
        <f t="shared" si="12"/>
        <v>0</v>
      </c>
      <c r="J23" s="1425">
        <f t="shared" si="12"/>
        <v>0</v>
      </c>
      <c r="K23" s="1425">
        <f t="shared" si="12"/>
        <v>0</v>
      </c>
      <c r="L23" s="1425">
        <f t="shared" si="12"/>
        <v>0</v>
      </c>
      <c r="M23" s="1425">
        <f t="shared" si="12"/>
        <v>0</v>
      </c>
    </row>
    <row r="24" spans="1:13" x14ac:dyDescent="0.2">
      <c r="A24" s="13" t="s">
        <v>112</v>
      </c>
      <c r="B24" s="1425"/>
      <c r="C24" s="1425"/>
      <c r="D24" s="1425"/>
      <c r="E24" s="1425"/>
      <c r="F24" s="1425"/>
      <c r="G24" s="1425"/>
      <c r="H24" s="1425"/>
      <c r="I24" s="1425"/>
      <c r="J24" s="1425"/>
      <c r="K24" s="1425"/>
      <c r="L24" s="1425"/>
      <c r="M24" s="1425"/>
    </row>
    <row r="25" spans="1:13" x14ac:dyDescent="0.2">
      <c r="A25" s="13" t="s">
        <v>114</v>
      </c>
      <c r="B25" s="1425"/>
      <c r="C25" s="1425"/>
      <c r="D25" s="1425"/>
      <c r="E25" s="1425"/>
      <c r="F25" s="1425"/>
      <c r="G25" s="1425"/>
      <c r="H25" s="1425"/>
      <c r="I25" s="1425"/>
      <c r="J25" s="1425"/>
      <c r="K25" s="1425"/>
      <c r="L25" s="1425"/>
      <c r="M25" s="1425"/>
    </row>
    <row r="26" spans="1:13" x14ac:dyDescent="0.2">
      <c r="A26" s="13" t="s">
        <v>1700</v>
      </c>
      <c r="B26" s="1425"/>
      <c r="C26" s="1425"/>
      <c r="D26" s="1425"/>
      <c r="E26" s="1425"/>
      <c r="F26" s="1425"/>
      <c r="G26" s="1425"/>
      <c r="H26" s="1425"/>
      <c r="I26" s="1425"/>
      <c r="J26" s="1425"/>
      <c r="K26" s="1425"/>
      <c r="L26" s="1425"/>
      <c r="M26" s="1425"/>
    </row>
    <row r="27" spans="1:13" x14ac:dyDescent="0.2">
      <c r="A27" s="14" t="s">
        <v>128</v>
      </c>
      <c r="B27" s="1609"/>
      <c r="C27" s="1609"/>
      <c r="D27" s="1609"/>
      <c r="E27" s="1609"/>
      <c r="F27" s="1609"/>
      <c r="G27" s="1609"/>
      <c r="H27" s="1609"/>
      <c r="I27" s="1609"/>
      <c r="J27" s="1609"/>
      <c r="K27" s="1609"/>
      <c r="L27" s="1609"/>
      <c r="M27" s="1609"/>
    </row>
    <row r="28" spans="1:13" x14ac:dyDescent="0.2">
      <c r="A28" s="14" t="s">
        <v>1544</v>
      </c>
      <c r="B28" s="1609"/>
      <c r="C28" s="1609"/>
      <c r="D28" s="1609"/>
      <c r="E28" s="1609"/>
      <c r="F28" s="1609"/>
      <c r="G28" s="1609"/>
      <c r="H28" s="1609"/>
      <c r="I28" s="1609"/>
      <c r="J28" s="1609"/>
      <c r="K28" s="1609"/>
      <c r="L28" s="1609"/>
      <c r="M28" s="1609"/>
    </row>
    <row r="29" spans="1:13" x14ac:dyDescent="0.2">
      <c r="A29" s="10" t="s">
        <v>115</v>
      </c>
      <c r="B29" s="1608">
        <v>0</v>
      </c>
      <c r="C29" s="1608">
        <f t="shared" ref="C29:M29" si="13">+B29</f>
        <v>0</v>
      </c>
      <c r="D29" s="1608">
        <f t="shared" si="13"/>
        <v>0</v>
      </c>
      <c r="E29" s="1608">
        <f t="shared" si="13"/>
        <v>0</v>
      </c>
      <c r="F29" s="1608">
        <f t="shared" si="13"/>
        <v>0</v>
      </c>
      <c r="G29" s="1608">
        <f t="shared" si="13"/>
        <v>0</v>
      </c>
      <c r="H29" s="1608">
        <f t="shared" si="13"/>
        <v>0</v>
      </c>
      <c r="I29" s="1608">
        <f t="shared" si="13"/>
        <v>0</v>
      </c>
      <c r="J29" s="1608">
        <f t="shared" si="13"/>
        <v>0</v>
      </c>
      <c r="K29" s="1608">
        <f t="shared" si="13"/>
        <v>0</v>
      </c>
      <c r="L29" s="1608">
        <f t="shared" si="13"/>
        <v>0</v>
      </c>
      <c r="M29" s="1608">
        <f t="shared" si="13"/>
        <v>0</v>
      </c>
    </row>
    <row r="30" spans="1:13" x14ac:dyDescent="0.2">
      <c r="A30" s="10" t="s">
        <v>116</v>
      </c>
      <c r="B30" s="1608">
        <v>0</v>
      </c>
      <c r="C30" s="1608">
        <f t="shared" ref="C30:M30" si="14">+B30</f>
        <v>0</v>
      </c>
      <c r="D30" s="1608">
        <f t="shared" si="14"/>
        <v>0</v>
      </c>
      <c r="E30" s="1608">
        <f t="shared" si="14"/>
        <v>0</v>
      </c>
      <c r="F30" s="1608">
        <f t="shared" si="14"/>
        <v>0</v>
      </c>
      <c r="G30" s="1608">
        <f t="shared" si="14"/>
        <v>0</v>
      </c>
      <c r="H30" s="1608">
        <f t="shared" si="14"/>
        <v>0</v>
      </c>
      <c r="I30" s="1608">
        <f t="shared" si="14"/>
        <v>0</v>
      </c>
      <c r="J30" s="1608">
        <f t="shared" si="14"/>
        <v>0</v>
      </c>
      <c r="K30" s="1608">
        <f t="shared" si="14"/>
        <v>0</v>
      </c>
      <c r="L30" s="1608">
        <f t="shared" si="14"/>
        <v>0</v>
      </c>
      <c r="M30" s="1608">
        <f t="shared" si="14"/>
        <v>0</v>
      </c>
    </row>
    <row r="31" spans="1:13" x14ac:dyDescent="0.2">
      <c r="A31" s="10" t="s">
        <v>117</v>
      </c>
      <c r="B31" s="1608">
        <v>0</v>
      </c>
      <c r="C31" s="1608">
        <f t="shared" ref="C31:M31" si="15">+B31</f>
        <v>0</v>
      </c>
      <c r="D31" s="1608">
        <f t="shared" si="15"/>
        <v>0</v>
      </c>
      <c r="E31" s="1608">
        <f t="shared" si="15"/>
        <v>0</v>
      </c>
      <c r="F31" s="1608">
        <f t="shared" si="15"/>
        <v>0</v>
      </c>
      <c r="G31" s="1608">
        <f t="shared" si="15"/>
        <v>0</v>
      </c>
      <c r="H31" s="1608">
        <f t="shared" si="15"/>
        <v>0</v>
      </c>
      <c r="I31" s="1608">
        <f t="shared" si="15"/>
        <v>0</v>
      </c>
      <c r="J31" s="1608">
        <f t="shared" si="15"/>
        <v>0</v>
      </c>
      <c r="K31" s="1608">
        <f t="shared" si="15"/>
        <v>0</v>
      </c>
      <c r="L31" s="1608">
        <f t="shared" si="15"/>
        <v>0</v>
      </c>
      <c r="M31" s="1608">
        <f t="shared" si="15"/>
        <v>0</v>
      </c>
    </row>
    <row r="32" spans="1:13" x14ac:dyDescent="0.2">
      <c r="A32" s="1596" t="s">
        <v>53</v>
      </c>
      <c r="B32" s="1610">
        <v>0</v>
      </c>
      <c r="C32" s="1610">
        <f t="shared" ref="C32:M32" si="16">+B32</f>
        <v>0</v>
      </c>
      <c r="D32" s="1610">
        <f t="shared" si="16"/>
        <v>0</v>
      </c>
      <c r="E32" s="1610">
        <f t="shared" si="16"/>
        <v>0</v>
      </c>
      <c r="F32" s="1610">
        <f t="shared" si="16"/>
        <v>0</v>
      </c>
      <c r="G32" s="1610">
        <f t="shared" si="16"/>
        <v>0</v>
      </c>
      <c r="H32" s="1610">
        <f t="shared" si="16"/>
        <v>0</v>
      </c>
      <c r="I32" s="1610">
        <f t="shared" si="16"/>
        <v>0</v>
      </c>
      <c r="J32" s="1610">
        <f t="shared" si="16"/>
        <v>0</v>
      </c>
      <c r="K32" s="1610">
        <f t="shared" si="16"/>
        <v>0</v>
      </c>
      <c r="L32" s="1610">
        <f t="shared" si="16"/>
        <v>0</v>
      </c>
      <c r="M32" s="1610">
        <f t="shared" si="16"/>
        <v>0</v>
      </c>
    </row>
    <row r="33" spans="1:13" x14ac:dyDescent="0.2">
      <c r="A33" s="1427"/>
      <c r="B33" s="1427"/>
      <c r="C33" s="1427"/>
      <c r="D33" s="1427"/>
      <c r="E33" s="1427"/>
      <c r="F33" s="1427"/>
      <c r="G33" s="1427"/>
      <c r="H33" s="1427"/>
      <c r="I33" s="1427"/>
      <c r="J33" s="1427"/>
      <c r="K33" s="1427"/>
      <c r="L33" s="1427"/>
      <c r="M33" s="1427"/>
    </row>
    <row r="34" spans="1:13" x14ac:dyDescent="0.2">
      <c r="B34" s="1631">
        <f t="shared" ref="B34:M34" si="17">SUM(B9:B31)</f>
        <v>0.11799999999999999</v>
      </c>
      <c r="C34" s="1631">
        <f t="shared" si="17"/>
        <v>0.11799999999999999</v>
      </c>
      <c r="D34" s="1631">
        <f t="shared" si="17"/>
        <v>0.11799999999999999</v>
      </c>
      <c r="E34" s="1631">
        <f t="shared" si="17"/>
        <v>0.11799999999999999</v>
      </c>
      <c r="F34" s="1631">
        <f t="shared" si="17"/>
        <v>0.11799999999999999</v>
      </c>
      <c r="G34" s="1631">
        <f t="shared" si="17"/>
        <v>0.11799999999999999</v>
      </c>
      <c r="H34" s="1631">
        <f t="shared" si="17"/>
        <v>0.11799999999999999</v>
      </c>
      <c r="I34" s="1631">
        <f t="shared" si="17"/>
        <v>0.11799999999999999</v>
      </c>
      <c r="J34" s="1631">
        <f t="shared" si="17"/>
        <v>0.11799999999999999</v>
      </c>
      <c r="K34" s="1631">
        <f t="shared" si="17"/>
        <v>0.11799999999999999</v>
      </c>
      <c r="L34" s="1631">
        <f t="shared" si="17"/>
        <v>0.11799999999999999</v>
      </c>
      <c r="M34" s="1631">
        <f t="shared" si="17"/>
        <v>0.11799999999999999</v>
      </c>
    </row>
    <row r="36" spans="1:13" x14ac:dyDescent="0.2">
      <c r="A36" s="446" t="s">
        <v>1545</v>
      </c>
    </row>
    <row r="38" spans="1:13" x14ac:dyDescent="0.2">
      <c r="B38" s="1418" t="s">
        <v>90</v>
      </c>
      <c r="C38" s="1419" t="s">
        <v>1338</v>
      </c>
      <c r="D38" s="1418" t="s">
        <v>92</v>
      </c>
      <c r="E38" s="1419" t="s">
        <v>93</v>
      </c>
      <c r="F38" s="1418" t="s">
        <v>94</v>
      </c>
      <c r="G38" s="1419" t="s">
        <v>95</v>
      </c>
      <c r="H38" s="1418" t="s">
        <v>96</v>
      </c>
      <c r="I38" s="1419" t="s">
        <v>97</v>
      </c>
      <c r="J38" s="1418" t="s">
        <v>98</v>
      </c>
      <c r="K38" s="1419" t="s">
        <v>99</v>
      </c>
      <c r="L38" s="1418" t="s">
        <v>100</v>
      </c>
      <c r="M38" s="1420" t="s">
        <v>101</v>
      </c>
    </row>
    <row r="39" spans="1:13" x14ac:dyDescent="0.2">
      <c r="B39" s="929">
        <f>+B6</f>
        <v>46023</v>
      </c>
      <c r="C39" s="929">
        <f t="shared" ref="C39:M39" si="18">+C6</f>
        <v>46054</v>
      </c>
      <c r="D39" s="929">
        <f t="shared" si="18"/>
        <v>46082</v>
      </c>
      <c r="E39" s="929">
        <f t="shared" si="18"/>
        <v>46113</v>
      </c>
      <c r="F39" s="929">
        <f t="shared" si="18"/>
        <v>46143</v>
      </c>
      <c r="G39" s="929">
        <f t="shared" si="18"/>
        <v>46174</v>
      </c>
      <c r="H39" s="929">
        <f t="shared" si="18"/>
        <v>46204</v>
      </c>
      <c r="I39" s="929">
        <f t="shared" si="18"/>
        <v>46235</v>
      </c>
      <c r="J39" s="929">
        <f t="shared" si="18"/>
        <v>46266</v>
      </c>
      <c r="K39" s="929">
        <f t="shared" si="18"/>
        <v>46296</v>
      </c>
      <c r="L39" s="929">
        <f t="shared" si="18"/>
        <v>46327</v>
      </c>
      <c r="M39" s="929">
        <f t="shared" si="18"/>
        <v>46357</v>
      </c>
    </row>
    <row r="40" spans="1:13" ht="25.5" x14ac:dyDescent="0.2">
      <c r="B40" s="1597" t="s">
        <v>481</v>
      </c>
      <c r="C40" s="1597" t="s">
        <v>481</v>
      </c>
      <c r="D40" s="1597" t="s">
        <v>481</v>
      </c>
      <c r="E40" s="1597" t="s">
        <v>481</v>
      </c>
      <c r="F40" s="1597" t="s">
        <v>481</v>
      </c>
      <c r="G40" s="1597" t="s">
        <v>481</v>
      </c>
      <c r="H40" s="1597" t="s">
        <v>481</v>
      </c>
      <c r="I40" s="1597" t="s">
        <v>481</v>
      </c>
      <c r="J40" s="1597" t="s">
        <v>481</v>
      </c>
      <c r="K40" s="1597" t="s">
        <v>481</v>
      </c>
      <c r="L40" s="1597" t="s">
        <v>481</v>
      </c>
      <c r="M40" s="1597" t="s">
        <v>481</v>
      </c>
    </row>
    <row r="41" spans="1:13" x14ac:dyDescent="0.2">
      <c r="B41" s="1598" t="s">
        <v>41</v>
      </c>
      <c r="C41" s="1598" t="s">
        <v>41</v>
      </c>
      <c r="D41" s="1598" t="s">
        <v>41</v>
      </c>
      <c r="E41" s="1598" t="s">
        <v>41</v>
      </c>
      <c r="F41" s="1598" t="s">
        <v>41</v>
      </c>
      <c r="G41" s="1598" t="s">
        <v>41</v>
      </c>
      <c r="H41" s="1598" t="s">
        <v>41</v>
      </c>
      <c r="I41" s="1598" t="s">
        <v>41</v>
      </c>
      <c r="J41" s="1598" t="s">
        <v>41</v>
      </c>
      <c r="K41" s="1598" t="s">
        <v>41</v>
      </c>
      <c r="L41" s="1598" t="s">
        <v>41</v>
      </c>
      <c r="M41" s="1598" t="s">
        <v>41</v>
      </c>
    </row>
    <row r="42" spans="1:13" x14ac:dyDescent="0.2">
      <c r="A42" s="1423" t="str">
        <f t="shared" ref="A42:A56" si="19">A9</f>
        <v>Santé :</v>
      </c>
      <c r="B42" s="1599"/>
      <c r="C42" s="1599"/>
      <c r="D42" s="1599"/>
      <c r="E42" s="1599"/>
      <c r="F42" s="1599"/>
      <c r="G42" s="1599"/>
      <c r="H42" s="1599"/>
      <c r="I42" s="1599"/>
      <c r="J42" s="1599"/>
      <c r="K42" s="1599"/>
      <c r="L42" s="1599"/>
      <c r="M42" s="1599"/>
    </row>
    <row r="43" spans="1:13" x14ac:dyDescent="0.2">
      <c r="A43" s="12" t="str">
        <f t="shared" si="19"/>
        <v>Séc. Soc. Maladie invalidité</v>
      </c>
      <c r="B43" s="1611">
        <v>5.8000000000000003E-2</v>
      </c>
      <c r="C43" s="1611">
        <f>+B43</f>
        <v>5.8000000000000003E-2</v>
      </c>
      <c r="D43" s="1611">
        <f t="shared" ref="D43:M46" si="20">+C43</f>
        <v>5.8000000000000003E-2</v>
      </c>
      <c r="E43" s="1611">
        <f t="shared" si="20"/>
        <v>5.8000000000000003E-2</v>
      </c>
      <c r="F43" s="1611">
        <f t="shared" si="20"/>
        <v>5.8000000000000003E-2</v>
      </c>
      <c r="G43" s="1611">
        <f t="shared" si="20"/>
        <v>5.8000000000000003E-2</v>
      </c>
      <c r="H43" s="1611">
        <f t="shared" si="20"/>
        <v>5.8000000000000003E-2</v>
      </c>
      <c r="I43" s="1611">
        <f t="shared" si="20"/>
        <v>5.8000000000000003E-2</v>
      </c>
      <c r="J43" s="1611">
        <f t="shared" si="20"/>
        <v>5.8000000000000003E-2</v>
      </c>
      <c r="K43" s="1611">
        <f t="shared" si="20"/>
        <v>5.8000000000000003E-2</v>
      </c>
      <c r="L43" s="1611">
        <f t="shared" si="20"/>
        <v>5.8000000000000003E-2</v>
      </c>
      <c r="M43" s="1611">
        <f t="shared" si="20"/>
        <v>5.8000000000000003E-2</v>
      </c>
    </row>
    <row r="44" spans="1:13" x14ac:dyDescent="0.2">
      <c r="A44" s="12" t="str">
        <f t="shared" si="19"/>
        <v>Prévoyance T1</v>
      </c>
      <c r="B44" s="1611">
        <v>2.4500000000000001E-2</v>
      </c>
      <c r="C44" s="1611">
        <f>+B44</f>
        <v>2.4500000000000001E-2</v>
      </c>
      <c r="D44" s="1611">
        <f t="shared" si="20"/>
        <v>2.4500000000000001E-2</v>
      </c>
      <c r="E44" s="1611">
        <f t="shared" si="20"/>
        <v>2.4500000000000001E-2</v>
      </c>
      <c r="F44" s="1611">
        <f t="shared" si="20"/>
        <v>2.4500000000000001E-2</v>
      </c>
      <c r="G44" s="1611">
        <f t="shared" si="20"/>
        <v>2.4500000000000001E-2</v>
      </c>
      <c r="H44" s="1611">
        <f t="shared" si="20"/>
        <v>2.4500000000000001E-2</v>
      </c>
      <c r="I44" s="1611">
        <f t="shared" si="20"/>
        <v>2.4500000000000001E-2</v>
      </c>
      <c r="J44" s="1611">
        <f t="shared" si="20"/>
        <v>2.4500000000000001E-2</v>
      </c>
      <c r="K44" s="1611">
        <f t="shared" si="20"/>
        <v>2.4500000000000001E-2</v>
      </c>
      <c r="L44" s="1611">
        <f t="shared" si="20"/>
        <v>2.4500000000000001E-2</v>
      </c>
      <c r="M44" s="1611">
        <f t="shared" si="20"/>
        <v>2.4500000000000001E-2</v>
      </c>
    </row>
    <row r="45" spans="1:13" x14ac:dyDescent="0.2">
      <c r="A45" s="12" t="str">
        <f t="shared" si="19"/>
        <v>Prévoyance T2</v>
      </c>
      <c r="B45" s="1611">
        <v>1.2500000000000001E-2</v>
      </c>
      <c r="C45" s="1611">
        <f>+B45</f>
        <v>1.2500000000000001E-2</v>
      </c>
      <c r="D45" s="1611">
        <f t="shared" si="20"/>
        <v>1.2500000000000001E-2</v>
      </c>
      <c r="E45" s="1611">
        <f t="shared" si="20"/>
        <v>1.2500000000000001E-2</v>
      </c>
      <c r="F45" s="1611">
        <f t="shared" si="20"/>
        <v>1.2500000000000001E-2</v>
      </c>
      <c r="G45" s="1611">
        <f t="shared" si="20"/>
        <v>1.2500000000000001E-2</v>
      </c>
      <c r="H45" s="1611">
        <f t="shared" si="20"/>
        <v>1.2500000000000001E-2</v>
      </c>
      <c r="I45" s="1611">
        <f t="shared" si="20"/>
        <v>1.2500000000000001E-2</v>
      </c>
      <c r="J45" s="1611">
        <f t="shared" si="20"/>
        <v>1.2500000000000001E-2</v>
      </c>
      <c r="K45" s="1611">
        <f t="shared" si="20"/>
        <v>1.2500000000000001E-2</v>
      </c>
      <c r="L45" s="1611">
        <f t="shared" si="20"/>
        <v>1.2500000000000001E-2</v>
      </c>
      <c r="M45" s="1611">
        <f t="shared" si="20"/>
        <v>1.2500000000000001E-2</v>
      </c>
    </row>
    <row r="46" spans="1:13" x14ac:dyDescent="0.2">
      <c r="A46" s="13" t="str">
        <f t="shared" si="19"/>
        <v>Accident du travail :</v>
      </c>
      <c r="B46" s="1611">
        <v>9.1000000000000004E-3</v>
      </c>
      <c r="C46" s="1611">
        <f>+B46</f>
        <v>9.1000000000000004E-3</v>
      </c>
      <c r="D46" s="1611">
        <f t="shared" si="20"/>
        <v>9.1000000000000004E-3</v>
      </c>
      <c r="E46" s="1611">
        <f t="shared" si="20"/>
        <v>9.1000000000000004E-3</v>
      </c>
      <c r="F46" s="1611">
        <f>+E46</f>
        <v>9.1000000000000004E-3</v>
      </c>
      <c r="G46" s="1611">
        <f t="shared" si="20"/>
        <v>9.1000000000000004E-3</v>
      </c>
      <c r="H46" s="1611">
        <f t="shared" si="20"/>
        <v>9.1000000000000004E-3</v>
      </c>
      <c r="I46" s="1611">
        <f t="shared" si="20"/>
        <v>9.1000000000000004E-3</v>
      </c>
      <c r="J46" s="1611">
        <f t="shared" si="20"/>
        <v>9.1000000000000004E-3</v>
      </c>
      <c r="K46" s="1611">
        <f t="shared" si="20"/>
        <v>9.1000000000000004E-3</v>
      </c>
      <c r="L46" s="1611">
        <f t="shared" si="20"/>
        <v>9.1000000000000004E-3</v>
      </c>
      <c r="M46" s="1611">
        <f t="shared" si="20"/>
        <v>9.1000000000000004E-3</v>
      </c>
    </row>
    <row r="47" spans="1:13" x14ac:dyDescent="0.2">
      <c r="A47" s="13" t="str">
        <f t="shared" si="19"/>
        <v>Retraite :</v>
      </c>
      <c r="B47" s="1612"/>
      <c r="C47" s="1612"/>
      <c r="D47" s="1612"/>
      <c r="E47" s="1612"/>
      <c r="F47" s="1612"/>
      <c r="G47" s="1612"/>
      <c r="H47" s="1612"/>
      <c r="I47" s="1612"/>
      <c r="J47" s="1612"/>
      <c r="K47" s="1612"/>
      <c r="L47" s="1612"/>
      <c r="M47" s="1612"/>
    </row>
    <row r="48" spans="1:13" x14ac:dyDescent="0.2">
      <c r="A48" s="12" t="str">
        <f t="shared" si="19"/>
        <v>Retraite SS T1</v>
      </c>
      <c r="B48" s="1611">
        <v>9.9000000000000005E-2</v>
      </c>
      <c r="C48" s="1611">
        <f t="shared" ref="C48:M56" si="21">+B48</f>
        <v>9.9000000000000005E-2</v>
      </c>
      <c r="D48" s="1611">
        <f t="shared" si="21"/>
        <v>9.9000000000000005E-2</v>
      </c>
      <c r="E48" s="1611">
        <f t="shared" si="21"/>
        <v>9.9000000000000005E-2</v>
      </c>
      <c r="F48" s="1611">
        <f t="shared" si="21"/>
        <v>9.9000000000000005E-2</v>
      </c>
      <c r="G48" s="1611">
        <f t="shared" si="21"/>
        <v>9.9000000000000005E-2</v>
      </c>
      <c r="H48" s="1611">
        <f t="shared" si="21"/>
        <v>9.9000000000000005E-2</v>
      </c>
      <c r="I48" s="1611">
        <f t="shared" si="21"/>
        <v>9.9000000000000005E-2</v>
      </c>
      <c r="J48" s="1611">
        <f t="shared" si="21"/>
        <v>9.9000000000000005E-2</v>
      </c>
      <c r="K48" s="1611">
        <f t="shared" si="21"/>
        <v>9.9000000000000005E-2</v>
      </c>
      <c r="L48" s="1611">
        <f t="shared" si="21"/>
        <v>9.9000000000000005E-2</v>
      </c>
      <c r="M48" s="1611">
        <f t="shared" si="21"/>
        <v>9.9000000000000005E-2</v>
      </c>
    </row>
    <row r="49" spans="1:13" x14ac:dyDescent="0.2">
      <c r="A49" s="12" t="str">
        <f t="shared" si="19"/>
        <v>Retraite SS Totalité</v>
      </c>
      <c r="B49" s="1611">
        <v>0</v>
      </c>
      <c r="C49" s="1611">
        <f t="shared" si="21"/>
        <v>0</v>
      </c>
      <c r="D49" s="1611">
        <f t="shared" si="21"/>
        <v>0</v>
      </c>
      <c r="E49" s="1611">
        <f t="shared" si="21"/>
        <v>0</v>
      </c>
      <c r="F49" s="1611">
        <f t="shared" si="21"/>
        <v>0</v>
      </c>
      <c r="G49" s="1611">
        <f t="shared" si="21"/>
        <v>0</v>
      </c>
      <c r="H49" s="1611">
        <f t="shared" si="21"/>
        <v>0</v>
      </c>
      <c r="I49" s="1611">
        <f t="shared" si="21"/>
        <v>0</v>
      </c>
      <c r="J49" s="1611">
        <f t="shared" si="21"/>
        <v>0</v>
      </c>
      <c r="K49" s="1611">
        <f t="shared" si="21"/>
        <v>0</v>
      </c>
      <c r="L49" s="1611">
        <f t="shared" si="21"/>
        <v>0</v>
      </c>
      <c r="M49" s="1611">
        <f t="shared" si="21"/>
        <v>0</v>
      </c>
    </row>
    <row r="50" spans="1:13" x14ac:dyDescent="0.2">
      <c r="A50" s="12" t="str">
        <f t="shared" si="19"/>
        <v>Retraite IRCEM T1</v>
      </c>
      <c r="B50" s="1611">
        <v>0</v>
      </c>
      <c r="C50" s="1611">
        <f t="shared" si="21"/>
        <v>0</v>
      </c>
      <c r="D50" s="1611">
        <f t="shared" si="21"/>
        <v>0</v>
      </c>
      <c r="E50" s="1611">
        <f t="shared" si="21"/>
        <v>0</v>
      </c>
      <c r="F50" s="1611">
        <f t="shared" si="21"/>
        <v>0</v>
      </c>
      <c r="G50" s="1611">
        <f t="shared" si="21"/>
        <v>0</v>
      </c>
      <c r="H50" s="1611">
        <f t="shared" si="21"/>
        <v>0</v>
      </c>
      <c r="I50" s="1611">
        <f t="shared" si="21"/>
        <v>0</v>
      </c>
      <c r="J50" s="1611">
        <f t="shared" si="21"/>
        <v>0</v>
      </c>
      <c r="K50" s="1611">
        <f t="shared" si="21"/>
        <v>0</v>
      </c>
      <c r="L50" s="1611">
        <f t="shared" si="21"/>
        <v>0</v>
      </c>
      <c r="M50" s="1611">
        <f t="shared" si="21"/>
        <v>0</v>
      </c>
    </row>
    <row r="51" spans="1:13" x14ac:dyDescent="0.2">
      <c r="A51" s="12" t="str">
        <f t="shared" si="19"/>
        <v>CEG T1</v>
      </c>
      <c r="B51" s="1611">
        <v>0</v>
      </c>
      <c r="C51" s="1611">
        <f t="shared" si="21"/>
        <v>0</v>
      </c>
      <c r="D51" s="1611">
        <f t="shared" si="21"/>
        <v>0</v>
      </c>
      <c r="E51" s="1611">
        <f t="shared" si="21"/>
        <v>0</v>
      </c>
      <c r="F51" s="1611">
        <f t="shared" si="21"/>
        <v>0</v>
      </c>
      <c r="G51" s="1611">
        <f t="shared" si="21"/>
        <v>0</v>
      </c>
      <c r="H51" s="1611">
        <f t="shared" si="21"/>
        <v>0</v>
      </c>
      <c r="I51" s="1611">
        <f t="shared" si="21"/>
        <v>0</v>
      </c>
      <c r="J51" s="1611">
        <f t="shared" si="21"/>
        <v>0</v>
      </c>
      <c r="K51" s="1611">
        <f t="shared" si="21"/>
        <v>0</v>
      </c>
      <c r="L51" s="1611">
        <f t="shared" si="21"/>
        <v>0</v>
      </c>
      <c r="M51" s="1611">
        <f t="shared" si="21"/>
        <v>0</v>
      </c>
    </row>
    <row r="52" spans="1:13" x14ac:dyDescent="0.2">
      <c r="A52" s="12" t="str">
        <f t="shared" si="19"/>
        <v>Retraite IRCEM T1 - CEG T1</v>
      </c>
      <c r="B52" s="1612">
        <f>+B51+B50</f>
        <v>0</v>
      </c>
      <c r="C52" s="1612">
        <f t="shared" si="21"/>
        <v>0</v>
      </c>
      <c r="D52" s="1612">
        <f t="shared" si="21"/>
        <v>0</v>
      </c>
      <c r="E52" s="1612">
        <f t="shared" si="21"/>
        <v>0</v>
      </c>
      <c r="F52" s="1612">
        <f t="shared" si="21"/>
        <v>0</v>
      </c>
      <c r="G52" s="1612">
        <f t="shared" si="21"/>
        <v>0</v>
      </c>
      <c r="H52" s="1612">
        <f t="shared" si="21"/>
        <v>0</v>
      </c>
      <c r="I52" s="1612">
        <f t="shared" si="21"/>
        <v>0</v>
      </c>
      <c r="J52" s="1612">
        <f t="shared" si="21"/>
        <v>0</v>
      </c>
      <c r="K52" s="1612">
        <f t="shared" si="21"/>
        <v>0</v>
      </c>
      <c r="L52" s="1612">
        <f t="shared" si="21"/>
        <v>0</v>
      </c>
      <c r="M52" s="1612">
        <f t="shared" si="21"/>
        <v>0</v>
      </c>
    </row>
    <row r="53" spans="1:13" x14ac:dyDescent="0.2">
      <c r="A53" s="12" t="str">
        <f t="shared" si="19"/>
        <v>CET si plafond SS atteint</v>
      </c>
      <c r="B53" s="1611">
        <v>0</v>
      </c>
      <c r="C53" s="1611">
        <f t="shared" si="21"/>
        <v>0</v>
      </c>
      <c r="D53" s="1611">
        <f t="shared" si="21"/>
        <v>0</v>
      </c>
      <c r="E53" s="1611">
        <f t="shared" si="21"/>
        <v>0</v>
      </c>
      <c r="F53" s="1611">
        <f t="shared" si="21"/>
        <v>0</v>
      </c>
      <c r="G53" s="1611">
        <f t="shared" si="21"/>
        <v>0</v>
      </c>
      <c r="H53" s="1611">
        <f t="shared" si="21"/>
        <v>0</v>
      </c>
      <c r="I53" s="1611">
        <f t="shared" si="21"/>
        <v>0</v>
      </c>
      <c r="J53" s="1611">
        <f t="shared" si="21"/>
        <v>0</v>
      </c>
      <c r="K53" s="1611">
        <f t="shared" si="21"/>
        <v>0</v>
      </c>
      <c r="L53" s="1611">
        <f t="shared" si="21"/>
        <v>0</v>
      </c>
      <c r="M53" s="1611">
        <f t="shared" si="21"/>
        <v>0</v>
      </c>
    </row>
    <row r="54" spans="1:13" x14ac:dyDescent="0.2">
      <c r="A54" s="12" t="str">
        <f t="shared" si="19"/>
        <v>Retraite IRCEM T2</v>
      </c>
      <c r="B54" s="1611">
        <v>0</v>
      </c>
      <c r="C54" s="1611">
        <f t="shared" si="21"/>
        <v>0</v>
      </c>
      <c r="D54" s="1611">
        <f t="shared" si="21"/>
        <v>0</v>
      </c>
      <c r="E54" s="1611">
        <f t="shared" si="21"/>
        <v>0</v>
      </c>
      <c r="F54" s="1611">
        <f t="shared" si="21"/>
        <v>0</v>
      </c>
      <c r="G54" s="1611">
        <f t="shared" si="21"/>
        <v>0</v>
      </c>
      <c r="H54" s="1611">
        <f t="shared" si="21"/>
        <v>0</v>
      </c>
      <c r="I54" s="1611">
        <f t="shared" si="21"/>
        <v>0</v>
      </c>
      <c r="J54" s="1611">
        <f t="shared" si="21"/>
        <v>0</v>
      </c>
      <c r="K54" s="1611">
        <f t="shared" si="21"/>
        <v>0</v>
      </c>
      <c r="L54" s="1611">
        <f t="shared" si="21"/>
        <v>0</v>
      </c>
      <c r="M54" s="1611">
        <f t="shared" si="21"/>
        <v>0</v>
      </c>
    </row>
    <row r="55" spans="1:13" x14ac:dyDescent="0.2">
      <c r="A55" s="12" t="str">
        <f t="shared" si="19"/>
        <v>CEG T2</v>
      </c>
      <c r="B55" s="1611">
        <v>0</v>
      </c>
      <c r="C55" s="1611">
        <f t="shared" si="21"/>
        <v>0</v>
      </c>
      <c r="D55" s="1611">
        <f t="shared" si="21"/>
        <v>0</v>
      </c>
      <c r="E55" s="1611">
        <f t="shared" si="21"/>
        <v>0</v>
      </c>
      <c r="F55" s="1611">
        <f t="shared" si="21"/>
        <v>0</v>
      </c>
      <c r="G55" s="1611">
        <f t="shared" si="21"/>
        <v>0</v>
      </c>
      <c r="H55" s="1611">
        <f t="shared" si="21"/>
        <v>0</v>
      </c>
      <c r="I55" s="1611">
        <f t="shared" si="21"/>
        <v>0</v>
      </c>
      <c r="J55" s="1611">
        <f t="shared" si="21"/>
        <v>0</v>
      </c>
      <c r="K55" s="1611">
        <f t="shared" si="21"/>
        <v>0</v>
      </c>
      <c r="L55" s="1611">
        <f t="shared" si="21"/>
        <v>0</v>
      </c>
      <c r="M55" s="1611">
        <f t="shared" si="21"/>
        <v>0</v>
      </c>
    </row>
    <row r="56" spans="1:13" x14ac:dyDescent="0.2">
      <c r="A56" s="12" t="str">
        <f t="shared" si="19"/>
        <v>Retraite IRCEM T2 - CEG T2</v>
      </c>
      <c r="B56" s="1612">
        <f>+B54+B55</f>
        <v>0</v>
      </c>
      <c r="C56" s="1612">
        <f t="shared" si="21"/>
        <v>0</v>
      </c>
      <c r="D56" s="1612">
        <f t="shared" si="21"/>
        <v>0</v>
      </c>
      <c r="E56" s="1612">
        <f t="shared" si="21"/>
        <v>0</v>
      </c>
      <c r="F56" s="1612">
        <f t="shared" si="21"/>
        <v>0</v>
      </c>
      <c r="G56" s="1612">
        <f t="shared" si="21"/>
        <v>0</v>
      </c>
      <c r="H56" s="1612">
        <f t="shared" si="21"/>
        <v>0</v>
      </c>
      <c r="I56" s="1612">
        <f t="shared" si="21"/>
        <v>0</v>
      </c>
      <c r="J56" s="1612">
        <f t="shared" si="21"/>
        <v>0</v>
      </c>
      <c r="K56" s="1612">
        <f t="shared" si="21"/>
        <v>0</v>
      </c>
      <c r="L56" s="1612">
        <f t="shared" si="21"/>
        <v>0</v>
      </c>
      <c r="M56" s="1612">
        <f t="shared" si="21"/>
        <v>0</v>
      </c>
    </row>
    <row r="57" spans="1:13" x14ac:dyDescent="0.2">
      <c r="A57" s="13" t="str">
        <f>A24</f>
        <v>Famille</v>
      </c>
      <c r="B57" s="1611">
        <v>5.3999999999999999E-2</v>
      </c>
      <c r="C57" s="1611">
        <f>+B57</f>
        <v>5.3999999999999999E-2</v>
      </c>
      <c r="D57" s="1611">
        <f t="shared" ref="D57:M57" si="22">+C57</f>
        <v>5.3999999999999999E-2</v>
      </c>
      <c r="E57" s="1611">
        <f t="shared" si="22"/>
        <v>5.3999999999999999E-2</v>
      </c>
      <c r="F57" s="1611">
        <f t="shared" si="22"/>
        <v>5.3999999999999999E-2</v>
      </c>
      <c r="G57" s="1611">
        <f t="shared" si="22"/>
        <v>5.3999999999999999E-2</v>
      </c>
      <c r="H57" s="1611">
        <f t="shared" si="22"/>
        <v>5.3999999999999999E-2</v>
      </c>
      <c r="I57" s="1611">
        <f t="shared" si="22"/>
        <v>5.3999999999999999E-2</v>
      </c>
      <c r="J57" s="1611">
        <f t="shared" si="22"/>
        <v>5.3999999999999999E-2</v>
      </c>
      <c r="K57" s="1611">
        <f t="shared" si="22"/>
        <v>5.3999999999999999E-2</v>
      </c>
      <c r="L57" s="1611">
        <f t="shared" si="22"/>
        <v>5.3999999999999999E-2</v>
      </c>
      <c r="M57" s="1611">
        <f t="shared" si="22"/>
        <v>5.3999999999999999E-2</v>
      </c>
    </row>
    <row r="58" spans="1:13" x14ac:dyDescent="0.2">
      <c r="A58" s="13" t="str">
        <f>A25</f>
        <v>Assurance Chômage</v>
      </c>
      <c r="B58" s="1611">
        <v>2.8000000000000001E-2</v>
      </c>
      <c r="C58" s="1611">
        <f>+B58</f>
        <v>2.8000000000000001E-2</v>
      </c>
      <c r="D58" s="1611">
        <f t="shared" ref="D58:M58" si="23">+C58</f>
        <v>2.8000000000000001E-2</v>
      </c>
      <c r="E58" s="1611">
        <f t="shared" si="23"/>
        <v>2.8000000000000001E-2</v>
      </c>
      <c r="F58" s="1611">
        <f>+E58</f>
        <v>2.8000000000000001E-2</v>
      </c>
      <c r="G58" s="1611">
        <f t="shared" si="23"/>
        <v>2.8000000000000001E-2</v>
      </c>
      <c r="H58" s="1611">
        <f t="shared" si="23"/>
        <v>2.8000000000000001E-2</v>
      </c>
      <c r="I58" s="1611">
        <f t="shared" si="23"/>
        <v>2.8000000000000001E-2</v>
      </c>
      <c r="J58" s="1611">
        <f t="shared" si="23"/>
        <v>2.8000000000000001E-2</v>
      </c>
      <c r="K58" s="1611">
        <f t="shared" si="23"/>
        <v>2.8000000000000001E-2</v>
      </c>
      <c r="L58" s="1611">
        <f t="shared" si="23"/>
        <v>2.8000000000000001E-2</v>
      </c>
      <c r="M58" s="1611">
        <f t="shared" si="23"/>
        <v>2.8000000000000001E-2</v>
      </c>
    </row>
    <row r="59" spans="1:13" x14ac:dyDescent="0.2">
      <c r="A59" s="13" t="str">
        <f>+A26</f>
        <v>Contribution Santé au Travail</v>
      </c>
      <c r="B59" s="1611">
        <v>2.7E-2</v>
      </c>
      <c r="C59" s="1611">
        <f>+B59</f>
        <v>2.7E-2</v>
      </c>
      <c r="D59" s="1611">
        <f t="shared" ref="D59:M59" si="24">+C59</f>
        <v>2.7E-2</v>
      </c>
      <c r="E59" s="1611">
        <f t="shared" si="24"/>
        <v>2.7E-2</v>
      </c>
      <c r="F59" s="1611">
        <f t="shared" si="24"/>
        <v>2.7E-2</v>
      </c>
      <c r="G59" s="1611">
        <f t="shared" si="24"/>
        <v>2.7E-2</v>
      </c>
      <c r="H59" s="1611">
        <f t="shared" si="24"/>
        <v>2.7E-2</v>
      </c>
      <c r="I59" s="1611">
        <f t="shared" si="24"/>
        <v>2.7E-2</v>
      </c>
      <c r="J59" s="1611">
        <f t="shared" si="24"/>
        <v>2.7E-2</v>
      </c>
      <c r="K59" s="1611">
        <f t="shared" si="24"/>
        <v>2.7E-2</v>
      </c>
      <c r="L59" s="1611">
        <f t="shared" si="24"/>
        <v>2.7E-2</v>
      </c>
      <c r="M59" s="1611">
        <f t="shared" si="24"/>
        <v>2.7E-2</v>
      </c>
    </row>
    <row r="60" spans="1:13" x14ac:dyDescent="0.2">
      <c r="A60" s="14" t="str">
        <f t="shared" ref="A60:A65" si="25">A27</f>
        <v>Autres cotisations patronales</v>
      </c>
      <c r="B60" s="1613">
        <v>8.6599999999999993E-3</v>
      </c>
      <c r="C60" s="1611">
        <f>+B60</f>
        <v>8.6599999999999993E-3</v>
      </c>
      <c r="D60" s="1611">
        <f t="shared" ref="D60" si="26">+C60</f>
        <v>8.6599999999999993E-3</v>
      </c>
      <c r="E60" s="1611">
        <f t="shared" ref="E60" si="27">+D60</f>
        <v>8.6599999999999993E-3</v>
      </c>
      <c r="F60" s="1611">
        <f t="shared" ref="F60" si="28">+E60</f>
        <v>8.6599999999999993E-3</v>
      </c>
      <c r="G60" s="1611">
        <f t="shared" ref="G60" si="29">+F60</f>
        <v>8.6599999999999993E-3</v>
      </c>
      <c r="H60" s="1611">
        <f t="shared" ref="H60" si="30">+G60</f>
        <v>8.6599999999999993E-3</v>
      </c>
      <c r="I60" s="1611">
        <f t="shared" ref="I60" si="31">+H60</f>
        <v>8.6599999999999993E-3</v>
      </c>
      <c r="J60" s="1611">
        <f t="shared" ref="J60" si="32">+I60</f>
        <v>8.6599999999999993E-3</v>
      </c>
      <c r="K60" s="1611">
        <f t="shared" ref="K60" si="33">+J60</f>
        <v>8.6599999999999993E-3</v>
      </c>
      <c r="L60" s="1611">
        <f t="shared" ref="L60" si="34">+K60</f>
        <v>8.6599999999999993E-3</v>
      </c>
      <c r="M60" s="1611">
        <f t="shared" ref="M60" si="35">+L60</f>
        <v>8.6599999999999993E-3</v>
      </c>
    </row>
    <row r="61" spans="1:13" x14ac:dyDescent="0.2">
      <c r="A61" s="14" t="str">
        <f t="shared" si="25"/>
        <v>Autres cotisations patronales T1</v>
      </c>
      <c r="B61" s="1613">
        <v>1E-3</v>
      </c>
      <c r="C61" s="1613">
        <f>+B61</f>
        <v>1E-3</v>
      </c>
      <c r="D61" s="1613">
        <f t="shared" ref="D61:M61" si="36">+C61</f>
        <v>1E-3</v>
      </c>
      <c r="E61" s="1613">
        <f t="shared" si="36"/>
        <v>1E-3</v>
      </c>
      <c r="F61" s="1613">
        <f t="shared" si="36"/>
        <v>1E-3</v>
      </c>
      <c r="G61" s="1613">
        <f t="shared" si="36"/>
        <v>1E-3</v>
      </c>
      <c r="H61" s="1613">
        <f t="shared" si="36"/>
        <v>1E-3</v>
      </c>
      <c r="I61" s="1613">
        <f t="shared" si="36"/>
        <v>1E-3</v>
      </c>
      <c r="J61" s="1613">
        <f t="shared" si="36"/>
        <v>1E-3</v>
      </c>
      <c r="K61" s="1613">
        <f t="shared" si="36"/>
        <v>1E-3</v>
      </c>
      <c r="L61" s="1613">
        <f t="shared" si="36"/>
        <v>1E-3</v>
      </c>
      <c r="M61" s="1613">
        <f t="shared" si="36"/>
        <v>1E-3</v>
      </c>
    </row>
    <row r="62" spans="1:13" x14ac:dyDescent="0.2">
      <c r="A62" s="10" t="str">
        <f t="shared" si="25"/>
        <v>CSG déductible de l'IR</v>
      </c>
      <c r="B62" s="1612"/>
      <c r="C62" s="1600"/>
      <c r="D62" s="1600"/>
      <c r="E62" s="1600"/>
      <c r="F62" s="1600"/>
      <c r="G62" s="1600"/>
      <c r="H62" s="1600"/>
      <c r="I62" s="1600"/>
      <c r="J62" s="1600"/>
      <c r="K62" s="1600"/>
      <c r="L62" s="1600"/>
      <c r="M62" s="1600"/>
    </row>
    <row r="63" spans="1:13" x14ac:dyDescent="0.2">
      <c r="A63" s="10" t="str">
        <f t="shared" si="25"/>
        <v>CSG/RDS non déductible de l'IR</v>
      </c>
      <c r="B63" s="1600"/>
      <c r="C63" s="1600"/>
      <c r="D63" s="1600"/>
      <c r="E63" s="1600"/>
      <c r="F63" s="1600"/>
      <c r="G63" s="1600"/>
      <c r="H63" s="1600"/>
      <c r="I63" s="1600"/>
      <c r="J63" s="1600"/>
      <c r="K63" s="1600"/>
      <c r="L63" s="1600"/>
      <c r="M63" s="1600"/>
    </row>
    <row r="64" spans="1:13" x14ac:dyDescent="0.2">
      <c r="A64" s="10" t="str">
        <f t="shared" si="25"/>
        <v>CSG/RDS non déd sur rev non imp</v>
      </c>
      <c r="B64" s="1600"/>
      <c r="C64" s="1600"/>
      <c r="D64" s="1600"/>
      <c r="E64" s="1600"/>
      <c r="F64" s="1600"/>
      <c r="G64" s="1600"/>
      <c r="H64" s="1600"/>
      <c r="I64" s="1600"/>
      <c r="J64" s="1600"/>
      <c r="K64" s="1600"/>
      <c r="L64" s="1600"/>
      <c r="M64" s="1600"/>
    </row>
    <row r="65" spans="1:13" x14ac:dyDescent="0.2">
      <c r="A65" s="1594" t="str">
        <f t="shared" si="25"/>
        <v>Réduction cot. HC et HS</v>
      </c>
      <c r="B65" s="1601"/>
      <c r="C65" s="1601"/>
      <c r="D65" s="1601"/>
      <c r="E65" s="1601"/>
      <c r="F65" s="1601"/>
      <c r="G65" s="1601"/>
      <c r="H65" s="1601"/>
      <c r="I65" s="1601"/>
      <c r="J65" s="1601"/>
      <c r="K65" s="1601"/>
      <c r="L65" s="1601"/>
      <c r="M65" s="1601"/>
    </row>
    <row r="66" spans="1:13" x14ac:dyDescent="0.2">
      <c r="A66" s="1427"/>
      <c r="B66" s="1427"/>
      <c r="C66" s="1427"/>
      <c r="D66" s="1427"/>
      <c r="E66" s="1427"/>
      <c r="F66" s="1427"/>
      <c r="G66" s="1427"/>
      <c r="H66" s="1427"/>
      <c r="I66" s="1427"/>
      <c r="J66" s="1427"/>
      <c r="K66" s="1427"/>
      <c r="L66" s="1427"/>
      <c r="M66" s="1427"/>
    </row>
    <row r="67" spans="1:13" x14ac:dyDescent="0.2">
      <c r="B67" s="1631">
        <f t="shared" ref="B67:M67" si="37">SUM(B42:B65)</f>
        <v>0.32176000000000005</v>
      </c>
      <c r="C67" s="1631">
        <f t="shared" si="37"/>
        <v>0.32176000000000005</v>
      </c>
      <c r="D67" s="1631">
        <f t="shared" si="37"/>
        <v>0.32176000000000005</v>
      </c>
      <c r="E67" s="1631">
        <f t="shared" si="37"/>
        <v>0.32176000000000005</v>
      </c>
      <c r="F67" s="1631">
        <f t="shared" si="37"/>
        <v>0.32176000000000005</v>
      </c>
      <c r="G67" s="1631">
        <f t="shared" si="37"/>
        <v>0.32176000000000005</v>
      </c>
      <c r="H67" s="1631">
        <f t="shared" si="37"/>
        <v>0.32176000000000005</v>
      </c>
      <c r="I67" s="1631">
        <f t="shared" si="37"/>
        <v>0.32176000000000005</v>
      </c>
      <c r="J67" s="1631">
        <f t="shared" si="37"/>
        <v>0.32176000000000005</v>
      </c>
      <c r="K67" s="1631">
        <f t="shared" si="37"/>
        <v>0.32176000000000005</v>
      </c>
      <c r="L67" s="1631">
        <f t="shared" si="37"/>
        <v>0.32176000000000005</v>
      </c>
      <c r="M67" s="1631">
        <f t="shared" si="37"/>
        <v>0.32176000000000005</v>
      </c>
    </row>
    <row r="71" spans="1:13" x14ac:dyDescent="0.2">
      <c r="A71" s="446" t="s">
        <v>1546</v>
      </c>
    </row>
    <row r="74" spans="1:13" x14ac:dyDescent="0.2">
      <c r="A74" s="1286"/>
      <c r="B74" s="1418" t="s">
        <v>90</v>
      </c>
      <c r="C74" s="1419" t="s">
        <v>1338</v>
      </c>
      <c r="D74" s="1418" t="s">
        <v>92</v>
      </c>
      <c r="E74" s="1419" t="s">
        <v>93</v>
      </c>
      <c r="F74" s="1418" t="s">
        <v>94</v>
      </c>
      <c r="G74" s="1419" t="s">
        <v>95</v>
      </c>
      <c r="H74" s="1418" t="s">
        <v>96</v>
      </c>
      <c r="I74" s="1419" t="s">
        <v>97</v>
      </c>
      <c r="J74" s="1418" t="s">
        <v>98</v>
      </c>
      <c r="K74" s="1419" t="s">
        <v>99</v>
      </c>
      <c r="L74" s="1418" t="s">
        <v>100</v>
      </c>
      <c r="M74" s="1420" t="s">
        <v>101</v>
      </c>
    </row>
    <row r="75" spans="1:13" x14ac:dyDescent="0.2">
      <c r="A75" s="1286"/>
      <c r="B75" s="929">
        <f>+B39</f>
        <v>46023</v>
      </c>
      <c r="C75" s="929">
        <f t="shared" ref="C75:M75" si="38">+C39</f>
        <v>46054</v>
      </c>
      <c r="D75" s="929">
        <f t="shared" si="38"/>
        <v>46082</v>
      </c>
      <c r="E75" s="929">
        <f t="shared" si="38"/>
        <v>46113</v>
      </c>
      <c r="F75" s="929">
        <f t="shared" si="38"/>
        <v>46143</v>
      </c>
      <c r="G75" s="929">
        <f t="shared" si="38"/>
        <v>46174</v>
      </c>
      <c r="H75" s="929">
        <f t="shared" si="38"/>
        <v>46204</v>
      </c>
      <c r="I75" s="929">
        <f t="shared" si="38"/>
        <v>46235</v>
      </c>
      <c r="J75" s="929">
        <f t="shared" si="38"/>
        <v>46266</v>
      </c>
      <c r="K75" s="929">
        <f t="shared" si="38"/>
        <v>46296</v>
      </c>
      <c r="L75" s="929">
        <f t="shared" si="38"/>
        <v>46327</v>
      </c>
      <c r="M75" s="929">
        <f t="shared" si="38"/>
        <v>46357</v>
      </c>
    </row>
    <row r="76" spans="1:13" ht="25.5" x14ac:dyDescent="0.2">
      <c r="B76" s="1421" t="s">
        <v>480</v>
      </c>
      <c r="C76" s="1421" t="s">
        <v>480</v>
      </c>
      <c r="D76" s="1421" t="s">
        <v>480</v>
      </c>
      <c r="E76" s="1421" t="s">
        <v>480</v>
      </c>
      <c r="F76" s="1421" t="s">
        <v>480</v>
      </c>
      <c r="G76" s="1421" t="s">
        <v>480</v>
      </c>
      <c r="H76" s="1421" t="s">
        <v>480</v>
      </c>
      <c r="I76" s="1421" t="s">
        <v>480</v>
      </c>
      <c r="J76" s="1421" t="s">
        <v>480</v>
      </c>
      <c r="K76" s="1421" t="s">
        <v>480</v>
      </c>
      <c r="L76" s="1421" t="s">
        <v>480</v>
      </c>
      <c r="M76" s="1421" t="s">
        <v>480</v>
      </c>
    </row>
    <row r="77" spans="1:13" x14ac:dyDescent="0.2">
      <c r="B77" s="1598" t="s">
        <v>482</v>
      </c>
      <c r="C77" s="1598" t="s">
        <v>482</v>
      </c>
      <c r="D77" s="1598" t="s">
        <v>482</v>
      </c>
      <c r="E77" s="1598" t="s">
        <v>482</v>
      </c>
      <c r="F77" s="1598" t="s">
        <v>482</v>
      </c>
      <c r="G77" s="1598" t="s">
        <v>482</v>
      </c>
      <c r="H77" s="1598" t="s">
        <v>482</v>
      </c>
      <c r="I77" s="1598" t="s">
        <v>482</v>
      </c>
      <c r="J77" s="1598" t="s">
        <v>482</v>
      </c>
      <c r="K77" s="1598" t="s">
        <v>482</v>
      </c>
      <c r="L77" s="1598" t="s">
        <v>482</v>
      </c>
      <c r="M77" s="1598" t="s">
        <v>482</v>
      </c>
    </row>
    <row r="78" spans="1:13" x14ac:dyDescent="0.2">
      <c r="A78" s="1423" t="str">
        <f t="shared" ref="A78:A92" si="39">A9</f>
        <v>Santé :</v>
      </c>
      <c r="B78" s="1602"/>
      <c r="C78" s="1602"/>
      <c r="D78" s="1602"/>
      <c r="E78" s="1602"/>
      <c r="F78" s="1602"/>
      <c r="G78" s="1602"/>
      <c r="H78" s="1602"/>
      <c r="I78" s="1602"/>
      <c r="J78" s="1602"/>
      <c r="K78" s="1602"/>
      <c r="L78" s="1602"/>
      <c r="M78" s="1602"/>
    </row>
    <row r="79" spans="1:13" x14ac:dyDescent="0.2">
      <c r="A79" s="12" t="str">
        <f t="shared" si="39"/>
        <v>Séc. Soc. Maladie invalidité</v>
      </c>
      <c r="B79" s="1603">
        <v>1</v>
      </c>
      <c r="C79" s="1603">
        <f>+B79</f>
        <v>1</v>
      </c>
      <c r="D79" s="1603">
        <f t="shared" ref="D79:M80" si="40">+C79</f>
        <v>1</v>
      </c>
      <c r="E79" s="1603">
        <f t="shared" si="40"/>
        <v>1</v>
      </c>
      <c r="F79" s="1603">
        <f t="shared" si="40"/>
        <v>1</v>
      </c>
      <c r="G79" s="1603">
        <f t="shared" si="40"/>
        <v>1</v>
      </c>
      <c r="H79" s="1603">
        <f t="shared" si="40"/>
        <v>1</v>
      </c>
      <c r="I79" s="1603">
        <f t="shared" si="40"/>
        <v>1</v>
      </c>
      <c r="J79" s="1603">
        <f t="shared" si="40"/>
        <v>1</v>
      </c>
      <c r="K79" s="1603">
        <f t="shared" si="40"/>
        <v>1</v>
      </c>
      <c r="L79" s="1603">
        <f t="shared" si="40"/>
        <v>1</v>
      </c>
      <c r="M79" s="1603">
        <f t="shared" si="40"/>
        <v>1</v>
      </c>
    </row>
    <row r="80" spans="1:13" x14ac:dyDescent="0.2">
      <c r="A80" s="12" t="str">
        <f t="shared" si="39"/>
        <v>Prévoyance T1</v>
      </c>
      <c r="B80" s="1603">
        <v>1</v>
      </c>
      <c r="C80" s="1603">
        <f>+B80</f>
        <v>1</v>
      </c>
      <c r="D80" s="1603">
        <f t="shared" si="40"/>
        <v>1</v>
      </c>
      <c r="E80" s="1603">
        <f t="shared" si="40"/>
        <v>1</v>
      </c>
      <c r="F80" s="1603">
        <f t="shared" si="40"/>
        <v>1</v>
      </c>
      <c r="G80" s="1603">
        <f t="shared" si="40"/>
        <v>1</v>
      </c>
      <c r="H80" s="1603">
        <f t="shared" si="40"/>
        <v>1</v>
      </c>
      <c r="I80" s="1603">
        <f t="shared" si="40"/>
        <v>1</v>
      </c>
      <c r="J80" s="1603">
        <f t="shared" si="40"/>
        <v>1</v>
      </c>
      <c r="K80" s="1603">
        <f t="shared" si="40"/>
        <v>1</v>
      </c>
      <c r="L80" s="1603">
        <f t="shared" si="40"/>
        <v>1</v>
      </c>
      <c r="M80" s="1603">
        <f t="shared" si="40"/>
        <v>1</v>
      </c>
    </row>
    <row r="81" spans="1:13" x14ac:dyDescent="0.2">
      <c r="A81" s="12" t="str">
        <f t="shared" si="39"/>
        <v>Prévoyance T2</v>
      </c>
      <c r="B81" s="1426"/>
      <c r="C81" s="1426"/>
      <c r="D81" s="1426"/>
      <c r="E81" s="1426"/>
      <c r="F81" s="1426"/>
      <c r="G81" s="1426"/>
      <c r="H81" s="1426"/>
      <c r="I81" s="1426"/>
      <c r="J81" s="1426"/>
      <c r="K81" s="1426"/>
      <c r="L81" s="1426"/>
      <c r="M81" s="1426"/>
    </row>
    <row r="82" spans="1:13" x14ac:dyDescent="0.2">
      <c r="A82" s="13" t="str">
        <f t="shared" si="39"/>
        <v>Accident du travail :</v>
      </c>
      <c r="B82" s="1426"/>
      <c r="C82" s="1426"/>
      <c r="D82" s="1426"/>
      <c r="E82" s="1426"/>
      <c r="F82" s="1426"/>
      <c r="G82" s="1426"/>
      <c r="H82" s="1426"/>
      <c r="I82" s="1426"/>
      <c r="J82" s="1426"/>
      <c r="K82" s="1426"/>
      <c r="L82" s="1426"/>
      <c r="M82" s="1426"/>
    </row>
    <row r="83" spans="1:13" x14ac:dyDescent="0.2">
      <c r="A83" s="13" t="str">
        <f t="shared" si="39"/>
        <v>Retraite :</v>
      </c>
      <c r="B83" s="1426"/>
      <c r="C83" s="1426"/>
      <c r="D83" s="1426"/>
      <c r="E83" s="1426"/>
      <c r="F83" s="1426"/>
      <c r="G83" s="1426"/>
      <c r="H83" s="1426"/>
      <c r="I83" s="1426"/>
      <c r="J83" s="1426"/>
      <c r="K83" s="1426"/>
      <c r="L83" s="1426"/>
      <c r="M83" s="1426"/>
    </row>
    <row r="84" spans="1:13" x14ac:dyDescent="0.2">
      <c r="A84" s="12" t="str">
        <f t="shared" si="39"/>
        <v>Retraite SS T1</v>
      </c>
      <c r="B84" s="1603">
        <v>1</v>
      </c>
      <c r="C84" s="1603">
        <f t="shared" ref="C84:M92" si="41">+B84</f>
        <v>1</v>
      </c>
      <c r="D84" s="1603">
        <f t="shared" si="41"/>
        <v>1</v>
      </c>
      <c r="E84" s="1603">
        <f t="shared" si="41"/>
        <v>1</v>
      </c>
      <c r="F84" s="1603">
        <f t="shared" si="41"/>
        <v>1</v>
      </c>
      <c r="G84" s="1603">
        <f t="shared" si="41"/>
        <v>1</v>
      </c>
      <c r="H84" s="1603">
        <f t="shared" si="41"/>
        <v>1</v>
      </c>
      <c r="I84" s="1603">
        <f t="shared" si="41"/>
        <v>1</v>
      </c>
      <c r="J84" s="1603">
        <f t="shared" si="41"/>
        <v>1</v>
      </c>
      <c r="K84" s="1603">
        <f t="shared" si="41"/>
        <v>1</v>
      </c>
      <c r="L84" s="1603">
        <f t="shared" si="41"/>
        <v>1</v>
      </c>
      <c r="M84" s="1603">
        <f t="shared" si="41"/>
        <v>1</v>
      </c>
    </row>
    <row r="85" spans="1:13" x14ac:dyDescent="0.2">
      <c r="A85" s="12" t="str">
        <f t="shared" si="39"/>
        <v>Retraite SS Totalité</v>
      </c>
      <c r="B85" s="1603">
        <v>1</v>
      </c>
      <c r="C85" s="1603">
        <f t="shared" si="41"/>
        <v>1</v>
      </c>
      <c r="D85" s="1603">
        <f t="shared" si="41"/>
        <v>1</v>
      </c>
      <c r="E85" s="1603">
        <f t="shared" si="41"/>
        <v>1</v>
      </c>
      <c r="F85" s="1603">
        <f t="shared" si="41"/>
        <v>1</v>
      </c>
      <c r="G85" s="1603">
        <f t="shared" si="41"/>
        <v>1</v>
      </c>
      <c r="H85" s="1603">
        <f t="shared" si="41"/>
        <v>1</v>
      </c>
      <c r="I85" s="1603">
        <f t="shared" si="41"/>
        <v>1</v>
      </c>
      <c r="J85" s="1603">
        <f t="shared" si="41"/>
        <v>1</v>
      </c>
      <c r="K85" s="1603">
        <f t="shared" si="41"/>
        <v>1</v>
      </c>
      <c r="L85" s="1603">
        <f t="shared" si="41"/>
        <v>1</v>
      </c>
      <c r="M85" s="1603">
        <f t="shared" si="41"/>
        <v>1</v>
      </c>
    </row>
    <row r="86" spans="1:13" x14ac:dyDescent="0.2">
      <c r="A86" s="12" t="str">
        <f t="shared" si="39"/>
        <v>Retraite IRCEM T1</v>
      </c>
      <c r="B86" s="1603">
        <v>1</v>
      </c>
      <c r="C86" s="1603">
        <f t="shared" si="41"/>
        <v>1</v>
      </c>
      <c r="D86" s="1603">
        <f t="shared" si="41"/>
        <v>1</v>
      </c>
      <c r="E86" s="1603">
        <f t="shared" si="41"/>
        <v>1</v>
      </c>
      <c r="F86" s="1603">
        <f t="shared" si="41"/>
        <v>1</v>
      </c>
      <c r="G86" s="1603">
        <f t="shared" si="41"/>
        <v>1</v>
      </c>
      <c r="H86" s="1603">
        <f t="shared" si="41"/>
        <v>1</v>
      </c>
      <c r="I86" s="1603">
        <f t="shared" si="41"/>
        <v>1</v>
      </c>
      <c r="J86" s="1603">
        <f t="shared" si="41"/>
        <v>1</v>
      </c>
      <c r="K86" s="1603">
        <f t="shared" si="41"/>
        <v>1</v>
      </c>
      <c r="L86" s="1603">
        <f t="shared" si="41"/>
        <v>1</v>
      </c>
      <c r="M86" s="1603">
        <f t="shared" si="41"/>
        <v>1</v>
      </c>
    </row>
    <row r="87" spans="1:13" x14ac:dyDescent="0.2">
      <c r="A87" s="12" t="str">
        <f t="shared" si="39"/>
        <v>CEG T1</v>
      </c>
      <c r="B87" s="1603">
        <v>1</v>
      </c>
      <c r="C87" s="1603">
        <f t="shared" si="41"/>
        <v>1</v>
      </c>
      <c r="D87" s="1603">
        <f t="shared" si="41"/>
        <v>1</v>
      </c>
      <c r="E87" s="1603">
        <f t="shared" si="41"/>
        <v>1</v>
      </c>
      <c r="F87" s="1603">
        <f t="shared" si="41"/>
        <v>1</v>
      </c>
      <c r="G87" s="1603">
        <f t="shared" si="41"/>
        <v>1</v>
      </c>
      <c r="H87" s="1603">
        <f t="shared" si="41"/>
        <v>1</v>
      </c>
      <c r="I87" s="1603">
        <f t="shared" si="41"/>
        <v>1</v>
      </c>
      <c r="J87" s="1603">
        <f t="shared" si="41"/>
        <v>1</v>
      </c>
      <c r="K87" s="1603">
        <f t="shared" si="41"/>
        <v>1</v>
      </c>
      <c r="L87" s="1603">
        <f t="shared" si="41"/>
        <v>1</v>
      </c>
      <c r="M87" s="1603">
        <f t="shared" si="41"/>
        <v>1</v>
      </c>
    </row>
    <row r="88" spans="1:13" x14ac:dyDescent="0.2">
      <c r="A88" s="12" t="str">
        <f t="shared" si="39"/>
        <v>Retraite IRCEM T1 - CEG T1</v>
      </c>
      <c r="B88" s="1426">
        <f>+AVERAGE(B86:B87)</f>
        <v>1</v>
      </c>
      <c r="C88" s="1426">
        <f t="shared" si="41"/>
        <v>1</v>
      </c>
      <c r="D88" s="1426">
        <f t="shared" si="41"/>
        <v>1</v>
      </c>
      <c r="E88" s="1426">
        <f t="shared" si="41"/>
        <v>1</v>
      </c>
      <c r="F88" s="1426">
        <f t="shared" si="41"/>
        <v>1</v>
      </c>
      <c r="G88" s="1426">
        <f t="shared" si="41"/>
        <v>1</v>
      </c>
      <c r="H88" s="1426">
        <f t="shared" si="41"/>
        <v>1</v>
      </c>
      <c r="I88" s="1426">
        <f t="shared" si="41"/>
        <v>1</v>
      </c>
      <c r="J88" s="1426">
        <f t="shared" si="41"/>
        <v>1</v>
      </c>
      <c r="K88" s="1426">
        <f t="shared" si="41"/>
        <v>1</v>
      </c>
      <c r="L88" s="1426">
        <f t="shared" si="41"/>
        <v>1</v>
      </c>
      <c r="M88" s="1426">
        <f t="shared" si="41"/>
        <v>1</v>
      </c>
    </row>
    <row r="89" spans="1:13" x14ac:dyDescent="0.2">
      <c r="A89" s="12" t="str">
        <f t="shared" si="39"/>
        <v>CET si plafond SS atteint</v>
      </c>
      <c r="B89" s="1603">
        <v>1</v>
      </c>
      <c r="C89" s="1603">
        <f t="shared" si="41"/>
        <v>1</v>
      </c>
      <c r="D89" s="1603">
        <f t="shared" si="41"/>
        <v>1</v>
      </c>
      <c r="E89" s="1603">
        <f t="shared" si="41"/>
        <v>1</v>
      </c>
      <c r="F89" s="1603">
        <f t="shared" si="41"/>
        <v>1</v>
      </c>
      <c r="G89" s="1603">
        <f t="shared" si="41"/>
        <v>1</v>
      </c>
      <c r="H89" s="1603">
        <f t="shared" si="41"/>
        <v>1</v>
      </c>
      <c r="I89" s="1603">
        <f t="shared" si="41"/>
        <v>1</v>
      </c>
      <c r="J89" s="1603">
        <f t="shared" si="41"/>
        <v>1</v>
      </c>
      <c r="K89" s="1603">
        <f t="shared" si="41"/>
        <v>1</v>
      </c>
      <c r="L89" s="1603">
        <f t="shared" si="41"/>
        <v>1</v>
      </c>
      <c r="M89" s="1603">
        <f t="shared" si="41"/>
        <v>1</v>
      </c>
    </row>
    <row r="90" spans="1:13" x14ac:dyDescent="0.2">
      <c r="A90" s="12" t="str">
        <f t="shared" si="39"/>
        <v>Retraite IRCEM T2</v>
      </c>
      <c r="B90" s="1603">
        <v>1</v>
      </c>
      <c r="C90" s="1603">
        <f t="shared" si="41"/>
        <v>1</v>
      </c>
      <c r="D90" s="1603">
        <f t="shared" si="41"/>
        <v>1</v>
      </c>
      <c r="E90" s="1603">
        <f t="shared" si="41"/>
        <v>1</v>
      </c>
      <c r="F90" s="1603">
        <f t="shared" si="41"/>
        <v>1</v>
      </c>
      <c r="G90" s="1603">
        <f t="shared" si="41"/>
        <v>1</v>
      </c>
      <c r="H90" s="1603">
        <f t="shared" si="41"/>
        <v>1</v>
      </c>
      <c r="I90" s="1603">
        <f t="shared" si="41"/>
        <v>1</v>
      </c>
      <c r="J90" s="1603">
        <f t="shared" si="41"/>
        <v>1</v>
      </c>
      <c r="K90" s="1603">
        <f t="shared" si="41"/>
        <v>1</v>
      </c>
      <c r="L90" s="1603">
        <f t="shared" si="41"/>
        <v>1</v>
      </c>
      <c r="M90" s="1603">
        <f t="shared" si="41"/>
        <v>1</v>
      </c>
    </row>
    <row r="91" spans="1:13" x14ac:dyDescent="0.2">
      <c r="A91" s="12" t="str">
        <f t="shared" si="39"/>
        <v>CEG T2</v>
      </c>
      <c r="B91" s="1603">
        <v>1</v>
      </c>
      <c r="C91" s="1603">
        <f t="shared" si="41"/>
        <v>1</v>
      </c>
      <c r="D91" s="1603">
        <f t="shared" si="41"/>
        <v>1</v>
      </c>
      <c r="E91" s="1603">
        <f t="shared" si="41"/>
        <v>1</v>
      </c>
      <c r="F91" s="1603">
        <f t="shared" si="41"/>
        <v>1</v>
      </c>
      <c r="G91" s="1603">
        <f t="shared" si="41"/>
        <v>1</v>
      </c>
      <c r="H91" s="1603">
        <f t="shared" si="41"/>
        <v>1</v>
      </c>
      <c r="I91" s="1603">
        <f t="shared" si="41"/>
        <v>1</v>
      </c>
      <c r="J91" s="1603">
        <f t="shared" si="41"/>
        <v>1</v>
      </c>
      <c r="K91" s="1603">
        <f t="shared" si="41"/>
        <v>1</v>
      </c>
      <c r="L91" s="1603">
        <f t="shared" si="41"/>
        <v>1</v>
      </c>
      <c r="M91" s="1603">
        <f t="shared" si="41"/>
        <v>1</v>
      </c>
    </row>
    <row r="92" spans="1:13" x14ac:dyDescent="0.2">
      <c r="A92" s="12" t="str">
        <f t="shared" si="39"/>
        <v>Retraite IRCEM T2 - CEG T2</v>
      </c>
      <c r="B92" s="1426">
        <f>+AVERAGE(B90:B91)</f>
        <v>1</v>
      </c>
      <c r="C92" s="1426">
        <f t="shared" si="41"/>
        <v>1</v>
      </c>
      <c r="D92" s="1426">
        <f t="shared" si="41"/>
        <v>1</v>
      </c>
      <c r="E92" s="1426">
        <f t="shared" si="41"/>
        <v>1</v>
      </c>
      <c r="F92" s="1426">
        <f t="shared" si="41"/>
        <v>1</v>
      </c>
      <c r="G92" s="1426">
        <f t="shared" si="41"/>
        <v>1</v>
      </c>
      <c r="H92" s="1426">
        <f t="shared" si="41"/>
        <v>1</v>
      </c>
      <c r="I92" s="1426">
        <f t="shared" si="41"/>
        <v>1</v>
      </c>
      <c r="J92" s="1426">
        <f t="shared" si="41"/>
        <v>1</v>
      </c>
      <c r="K92" s="1426">
        <f t="shared" si="41"/>
        <v>1</v>
      </c>
      <c r="L92" s="1426">
        <f t="shared" si="41"/>
        <v>1</v>
      </c>
      <c r="M92" s="1426">
        <f t="shared" si="41"/>
        <v>1</v>
      </c>
    </row>
    <row r="93" spans="1:13" x14ac:dyDescent="0.2">
      <c r="A93" s="13" t="str">
        <f>A24</f>
        <v>Famille</v>
      </c>
      <c r="B93" s="1426"/>
      <c r="C93" s="1426"/>
      <c r="D93" s="1426"/>
      <c r="E93" s="1426"/>
      <c r="F93" s="1426"/>
      <c r="G93" s="1426"/>
      <c r="H93" s="1426"/>
      <c r="I93" s="1426"/>
      <c r="J93" s="1426"/>
      <c r="K93" s="1426"/>
      <c r="L93" s="1426"/>
      <c r="M93" s="1426"/>
    </row>
    <row r="94" spans="1:13" x14ac:dyDescent="0.2">
      <c r="A94" s="13" t="str">
        <f>A25</f>
        <v>Assurance Chômage</v>
      </c>
      <c r="B94" s="1426"/>
      <c r="C94" s="1426"/>
      <c r="D94" s="1426"/>
      <c r="E94" s="1426"/>
      <c r="F94" s="1426"/>
      <c r="G94" s="1426"/>
      <c r="H94" s="1426"/>
      <c r="I94" s="1426"/>
      <c r="J94" s="1426"/>
      <c r="K94" s="1426"/>
      <c r="L94" s="1426"/>
      <c r="M94" s="1426"/>
    </row>
    <row r="95" spans="1:13" x14ac:dyDescent="0.2">
      <c r="A95" s="13" t="str">
        <f>+A59</f>
        <v>Contribution Santé au Travail</v>
      </c>
      <c r="B95" s="1426"/>
      <c r="C95" s="1426"/>
      <c r="D95" s="1426"/>
      <c r="E95" s="1426"/>
      <c r="F95" s="1426"/>
      <c r="G95" s="1426"/>
      <c r="H95" s="1426"/>
      <c r="I95" s="1426"/>
      <c r="J95" s="1426"/>
      <c r="K95" s="1426"/>
      <c r="L95" s="1426"/>
      <c r="M95" s="1426"/>
    </row>
    <row r="96" spans="1:13" x14ac:dyDescent="0.2">
      <c r="A96" s="14" t="str">
        <f t="shared" ref="A96:A101" si="42">A27</f>
        <v>Autres cotisations patronales</v>
      </c>
      <c r="B96" s="1426"/>
      <c r="C96" s="1426"/>
      <c r="D96" s="1426"/>
      <c r="E96" s="1426"/>
      <c r="F96" s="1426"/>
      <c r="G96" s="1426"/>
      <c r="H96" s="1426"/>
      <c r="I96" s="1426"/>
      <c r="J96" s="1426"/>
      <c r="K96" s="1426"/>
      <c r="L96" s="1426"/>
      <c r="M96" s="1426"/>
    </row>
    <row r="97" spans="1:13" x14ac:dyDescent="0.2">
      <c r="A97" s="14" t="str">
        <f t="shared" si="42"/>
        <v>Autres cotisations patronales T1</v>
      </c>
      <c r="B97" s="1426"/>
      <c r="C97" s="1426"/>
      <c r="D97" s="1426"/>
      <c r="E97" s="1426"/>
      <c r="F97" s="1426"/>
      <c r="G97" s="1426"/>
      <c r="H97" s="1426"/>
      <c r="I97" s="1426"/>
      <c r="J97" s="1426"/>
      <c r="K97" s="1426"/>
      <c r="L97" s="1426"/>
      <c r="M97" s="1426"/>
    </row>
    <row r="98" spans="1:13" x14ac:dyDescent="0.2">
      <c r="A98" s="10" t="str">
        <f t="shared" si="42"/>
        <v>CSG déductible de l'IR</v>
      </c>
      <c r="B98" s="1603">
        <v>0</v>
      </c>
      <c r="C98" s="1603">
        <f>+B98</f>
        <v>0</v>
      </c>
      <c r="D98" s="1603">
        <f t="shared" ref="D98:M100" si="43">+C98</f>
        <v>0</v>
      </c>
      <c r="E98" s="1603">
        <f t="shared" si="43"/>
        <v>0</v>
      </c>
      <c r="F98" s="1603">
        <f t="shared" si="43"/>
        <v>0</v>
      </c>
      <c r="G98" s="1603">
        <f t="shared" si="43"/>
        <v>0</v>
      </c>
      <c r="H98" s="1603">
        <f t="shared" si="43"/>
        <v>0</v>
      </c>
      <c r="I98" s="1603">
        <f t="shared" si="43"/>
        <v>0</v>
      </c>
      <c r="J98" s="1603">
        <f t="shared" si="43"/>
        <v>0</v>
      </c>
      <c r="K98" s="1603">
        <f t="shared" si="43"/>
        <v>0</v>
      </c>
      <c r="L98" s="1603">
        <f t="shared" si="43"/>
        <v>0</v>
      </c>
      <c r="M98" s="1603">
        <f t="shared" si="43"/>
        <v>0</v>
      </c>
    </row>
    <row r="99" spans="1:13" x14ac:dyDescent="0.2">
      <c r="A99" s="10" t="str">
        <f t="shared" si="42"/>
        <v>CSG/RDS non déductible de l'IR</v>
      </c>
      <c r="B99" s="1603">
        <v>0</v>
      </c>
      <c r="C99" s="1603">
        <f>+B99</f>
        <v>0</v>
      </c>
      <c r="D99" s="1603">
        <f t="shared" si="43"/>
        <v>0</v>
      </c>
      <c r="E99" s="1603">
        <f t="shared" si="43"/>
        <v>0</v>
      </c>
      <c r="F99" s="1603">
        <f t="shared" si="43"/>
        <v>0</v>
      </c>
      <c r="G99" s="1603">
        <f t="shared" si="43"/>
        <v>0</v>
      </c>
      <c r="H99" s="1603">
        <f t="shared" si="43"/>
        <v>0</v>
      </c>
      <c r="I99" s="1603">
        <f t="shared" si="43"/>
        <v>0</v>
      </c>
      <c r="J99" s="1603">
        <f t="shared" si="43"/>
        <v>0</v>
      </c>
      <c r="K99" s="1603">
        <f t="shared" si="43"/>
        <v>0</v>
      </c>
      <c r="L99" s="1603">
        <f t="shared" si="43"/>
        <v>0</v>
      </c>
      <c r="M99" s="1603">
        <f t="shared" si="43"/>
        <v>0</v>
      </c>
    </row>
    <row r="100" spans="1:13" x14ac:dyDescent="0.2">
      <c r="A100" s="10" t="str">
        <f t="shared" si="42"/>
        <v>CSG/RDS non déd sur rev non imp</v>
      </c>
      <c r="B100" s="1603">
        <v>0</v>
      </c>
      <c r="C100" s="1603">
        <f>+B100</f>
        <v>0</v>
      </c>
      <c r="D100" s="1603">
        <f t="shared" si="43"/>
        <v>0</v>
      </c>
      <c r="E100" s="1603">
        <f t="shared" si="43"/>
        <v>0</v>
      </c>
      <c r="F100" s="1603">
        <f t="shared" si="43"/>
        <v>0</v>
      </c>
      <c r="G100" s="1603">
        <f t="shared" si="43"/>
        <v>0</v>
      </c>
      <c r="H100" s="1603">
        <f t="shared" si="43"/>
        <v>0</v>
      </c>
      <c r="I100" s="1603">
        <f t="shared" si="43"/>
        <v>0</v>
      </c>
      <c r="J100" s="1603">
        <f t="shared" si="43"/>
        <v>0</v>
      </c>
      <c r="K100" s="1603">
        <f t="shared" si="43"/>
        <v>0</v>
      </c>
      <c r="L100" s="1603">
        <f t="shared" si="43"/>
        <v>0</v>
      </c>
      <c r="M100" s="1603">
        <f t="shared" si="43"/>
        <v>0</v>
      </c>
    </row>
    <row r="101" spans="1:13" x14ac:dyDescent="0.2">
      <c r="A101" s="1594" t="str">
        <f t="shared" si="42"/>
        <v>Réduction cot. HC et HS</v>
      </c>
      <c r="B101" s="1595"/>
      <c r="C101" s="1595"/>
      <c r="D101" s="1595"/>
      <c r="E101" s="1595"/>
      <c r="F101" s="1595"/>
      <c r="G101" s="1595"/>
      <c r="H101" s="1595"/>
      <c r="I101" s="1595"/>
      <c r="J101" s="1595"/>
      <c r="K101" s="1595"/>
      <c r="L101" s="1595"/>
      <c r="M101" s="1595"/>
    </row>
    <row r="102" spans="1:13" x14ac:dyDescent="0.2">
      <c r="A102" s="1427"/>
      <c r="B102" s="1427"/>
      <c r="C102" s="1427"/>
      <c r="D102" s="1427"/>
      <c r="E102" s="1427"/>
      <c r="F102" s="1427"/>
      <c r="G102" s="1427"/>
      <c r="H102" s="1427"/>
      <c r="I102" s="1427"/>
      <c r="J102" s="1427"/>
      <c r="K102" s="1427"/>
      <c r="L102" s="1427"/>
      <c r="M102" s="1427"/>
    </row>
    <row r="107" spans="1:13" x14ac:dyDescent="0.2">
      <c r="A107" s="446" t="s">
        <v>1547</v>
      </c>
    </row>
    <row r="109" spans="1:13" x14ac:dyDescent="0.2">
      <c r="B109" s="1418" t="s">
        <v>90</v>
      </c>
      <c r="C109" s="1419" t="s">
        <v>1338</v>
      </c>
      <c r="D109" s="1418" t="s">
        <v>92</v>
      </c>
      <c r="E109" s="1419" t="s">
        <v>93</v>
      </c>
      <c r="F109" s="1418" t="s">
        <v>94</v>
      </c>
      <c r="G109" s="1419" t="s">
        <v>95</v>
      </c>
      <c r="H109" s="1418" t="s">
        <v>96</v>
      </c>
      <c r="I109" s="1419" t="s">
        <v>97</v>
      </c>
      <c r="J109" s="1418" t="s">
        <v>98</v>
      </c>
      <c r="K109" s="1419" t="s">
        <v>99</v>
      </c>
      <c r="L109" s="1418" t="s">
        <v>100</v>
      </c>
      <c r="M109" s="1420" t="s">
        <v>101</v>
      </c>
    </row>
    <row r="110" spans="1:13" x14ac:dyDescent="0.2">
      <c r="A110" s="1286"/>
      <c r="B110" s="1286">
        <f>+B75</f>
        <v>46023</v>
      </c>
      <c r="C110" s="929">
        <f t="shared" ref="C110:M110" si="44">+C75</f>
        <v>46054</v>
      </c>
      <c r="D110" s="929">
        <f t="shared" si="44"/>
        <v>46082</v>
      </c>
      <c r="E110" s="929">
        <f t="shared" si="44"/>
        <v>46113</v>
      </c>
      <c r="F110" s="929">
        <f t="shared" si="44"/>
        <v>46143</v>
      </c>
      <c r="G110" s="929">
        <f t="shared" si="44"/>
        <v>46174</v>
      </c>
      <c r="H110" s="929">
        <f t="shared" si="44"/>
        <v>46204</v>
      </c>
      <c r="I110" s="929">
        <f t="shared" si="44"/>
        <v>46235</v>
      </c>
      <c r="J110" s="929">
        <f t="shared" si="44"/>
        <v>46266</v>
      </c>
      <c r="K110" s="929">
        <f t="shared" si="44"/>
        <v>46296</v>
      </c>
      <c r="L110" s="929">
        <f t="shared" si="44"/>
        <v>46327</v>
      </c>
      <c r="M110" s="929">
        <f t="shared" si="44"/>
        <v>46357</v>
      </c>
    </row>
    <row r="111" spans="1:13" ht="25.5" x14ac:dyDescent="0.2">
      <c r="B111" s="1597" t="s">
        <v>481</v>
      </c>
      <c r="C111" s="1597" t="s">
        <v>481</v>
      </c>
      <c r="D111" s="1597" t="s">
        <v>481</v>
      </c>
      <c r="E111" s="1597" t="s">
        <v>481</v>
      </c>
      <c r="F111" s="1597" t="s">
        <v>481</v>
      </c>
      <c r="G111" s="1597" t="s">
        <v>481</v>
      </c>
      <c r="H111" s="1597" t="s">
        <v>481</v>
      </c>
      <c r="I111" s="1597" t="s">
        <v>481</v>
      </c>
      <c r="J111" s="1597" t="s">
        <v>481</v>
      </c>
      <c r="K111" s="1597" t="s">
        <v>481</v>
      </c>
      <c r="L111" s="1597" t="s">
        <v>481</v>
      </c>
      <c r="M111" s="1597" t="s">
        <v>481</v>
      </c>
    </row>
    <row r="112" spans="1:13" x14ac:dyDescent="0.2">
      <c r="B112" s="1598" t="s">
        <v>482</v>
      </c>
      <c r="C112" s="1598" t="s">
        <v>482</v>
      </c>
      <c r="D112" s="1598" t="s">
        <v>482</v>
      </c>
      <c r="E112" s="1598" t="s">
        <v>482</v>
      </c>
      <c r="F112" s="1598" t="s">
        <v>482</v>
      </c>
      <c r="G112" s="1598" t="s">
        <v>482</v>
      </c>
      <c r="H112" s="1598" t="s">
        <v>482</v>
      </c>
      <c r="I112" s="1598" t="s">
        <v>482</v>
      </c>
      <c r="J112" s="1598" t="s">
        <v>482</v>
      </c>
      <c r="K112" s="1598" t="s">
        <v>482</v>
      </c>
      <c r="L112" s="1598" t="s">
        <v>482</v>
      </c>
      <c r="M112" s="1598" t="s">
        <v>482</v>
      </c>
    </row>
    <row r="113" spans="1:13" x14ac:dyDescent="0.2">
      <c r="A113" s="1423" t="str">
        <f t="shared" ref="A113:A127" si="45">A9</f>
        <v>Santé :</v>
      </c>
      <c r="B113" s="1602"/>
      <c r="C113" s="1602"/>
      <c r="D113" s="1602"/>
      <c r="E113" s="1602"/>
      <c r="F113" s="1602"/>
      <c r="G113" s="1602"/>
      <c r="H113" s="1602"/>
      <c r="I113" s="1602"/>
      <c r="J113" s="1602"/>
      <c r="K113" s="1602"/>
      <c r="L113" s="1602"/>
      <c r="M113" s="1602"/>
    </row>
    <row r="114" spans="1:13" x14ac:dyDescent="0.2">
      <c r="A114" s="12" t="str">
        <f t="shared" si="45"/>
        <v>Séc. Soc. Maladie invalidité</v>
      </c>
      <c r="B114" s="1603">
        <v>1</v>
      </c>
      <c r="C114" s="1603">
        <f>B114</f>
        <v>1</v>
      </c>
      <c r="D114" s="1603">
        <f t="shared" ref="D114:M117" si="46">C114</f>
        <v>1</v>
      </c>
      <c r="E114" s="1603">
        <f t="shared" si="46"/>
        <v>1</v>
      </c>
      <c r="F114" s="1603">
        <f t="shared" si="46"/>
        <v>1</v>
      </c>
      <c r="G114" s="1603">
        <f t="shared" si="46"/>
        <v>1</v>
      </c>
      <c r="H114" s="1603">
        <f t="shared" si="46"/>
        <v>1</v>
      </c>
      <c r="I114" s="1603">
        <f t="shared" si="46"/>
        <v>1</v>
      </c>
      <c r="J114" s="1603">
        <f t="shared" si="46"/>
        <v>1</v>
      </c>
      <c r="K114" s="1603">
        <f t="shared" si="46"/>
        <v>1</v>
      </c>
      <c r="L114" s="1603">
        <f t="shared" si="46"/>
        <v>1</v>
      </c>
      <c r="M114" s="1603">
        <f t="shared" si="46"/>
        <v>1</v>
      </c>
    </row>
    <row r="115" spans="1:13" x14ac:dyDescent="0.2">
      <c r="A115" s="12" t="str">
        <f t="shared" si="45"/>
        <v>Prévoyance T1</v>
      </c>
      <c r="B115" s="1603">
        <v>1</v>
      </c>
      <c r="C115" s="1603">
        <f>B115</f>
        <v>1</v>
      </c>
      <c r="D115" s="1603">
        <f t="shared" si="46"/>
        <v>1</v>
      </c>
      <c r="E115" s="1603">
        <f t="shared" si="46"/>
        <v>1</v>
      </c>
      <c r="F115" s="1603">
        <f t="shared" si="46"/>
        <v>1</v>
      </c>
      <c r="G115" s="1603">
        <f t="shared" si="46"/>
        <v>1</v>
      </c>
      <c r="H115" s="1603">
        <f t="shared" si="46"/>
        <v>1</v>
      </c>
      <c r="I115" s="1603">
        <f t="shared" si="46"/>
        <v>1</v>
      </c>
      <c r="J115" s="1603">
        <f t="shared" si="46"/>
        <v>1</v>
      </c>
      <c r="K115" s="1603">
        <f t="shared" si="46"/>
        <v>1</v>
      </c>
      <c r="L115" s="1603">
        <f t="shared" si="46"/>
        <v>1</v>
      </c>
      <c r="M115" s="1603">
        <f t="shared" si="46"/>
        <v>1</v>
      </c>
    </row>
    <row r="116" spans="1:13" x14ac:dyDescent="0.2">
      <c r="A116" s="12" t="str">
        <f t="shared" si="45"/>
        <v>Prévoyance T2</v>
      </c>
      <c r="B116" s="1603">
        <v>1</v>
      </c>
      <c r="C116" s="1603">
        <f>B116</f>
        <v>1</v>
      </c>
      <c r="D116" s="1603">
        <f t="shared" si="46"/>
        <v>1</v>
      </c>
      <c r="E116" s="1603">
        <f t="shared" si="46"/>
        <v>1</v>
      </c>
      <c r="F116" s="1603">
        <f t="shared" si="46"/>
        <v>1</v>
      </c>
      <c r="G116" s="1603">
        <f t="shared" si="46"/>
        <v>1</v>
      </c>
      <c r="H116" s="1603">
        <f t="shared" si="46"/>
        <v>1</v>
      </c>
      <c r="I116" s="1603">
        <f t="shared" si="46"/>
        <v>1</v>
      </c>
      <c r="J116" s="1603">
        <f t="shared" si="46"/>
        <v>1</v>
      </c>
      <c r="K116" s="1603">
        <f t="shared" si="46"/>
        <v>1</v>
      </c>
      <c r="L116" s="1603">
        <f t="shared" si="46"/>
        <v>1</v>
      </c>
      <c r="M116" s="1603">
        <f t="shared" si="46"/>
        <v>1</v>
      </c>
    </row>
    <row r="117" spans="1:13" x14ac:dyDescent="0.2">
      <c r="A117" s="13" t="str">
        <f t="shared" si="45"/>
        <v>Accident du travail :</v>
      </c>
      <c r="B117" s="1603">
        <v>1</v>
      </c>
      <c r="C117" s="1603">
        <f>B117</f>
        <v>1</v>
      </c>
      <c r="D117" s="1603">
        <f t="shared" si="46"/>
        <v>1</v>
      </c>
      <c r="E117" s="1603">
        <f t="shared" si="46"/>
        <v>1</v>
      </c>
      <c r="F117" s="1603">
        <f t="shared" si="46"/>
        <v>1</v>
      </c>
      <c r="G117" s="1603">
        <f t="shared" si="46"/>
        <v>1</v>
      </c>
      <c r="H117" s="1603">
        <f t="shared" si="46"/>
        <v>1</v>
      </c>
      <c r="I117" s="1603">
        <f t="shared" si="46"/>
        <v>1</v>
      </c>
      <c r="J117" s="1603">
        <f t="shared" si="46"/>
        <v>1</v>
      </c>
      <c r="K117" s="1603">
        <f t="shared" si="46"/>
        <v>1</v>
      </c>
      <c r="L117" s="1603">
        <f t="shared" si="46"/>
        <v>1</v>
      </c>
      <c r="M117" s="1603">
        <f t="shared" si="46"/>
        <v>1</v>
      </c>
    </row>
    <row r="118" spans="1:13" x14ac:dyDescent="0.2">
      <c r="A118" s="13" t="str">
        <f t="shared" si="45"/>
        <v>Retraite :</v>
      </c>
      <c r="B118" s="1426"/>
      <c r="C118" s="1426"/>
      <c r="D118" s="1426"/>
      <c r="E118" s="1426"/>
      <c r="F118" s="1426"/>
      <c r="G118" s="1426"/>
      <c r="H118" s="1426"/>
      <c r="I118" s="1426"/>
      <c r="J118" s="1426"/>
      <c r="K118" s="1426"/>
      <c r="L118" s="1426"/>
      <c r="M118" s="1426"/>
    </row>
    <row r="119" spans="1:13" x14ac:dyDescent="0.2">
      <c r="A119" s="12" t="str">
        <f t="shared" si="45"/>
        <v>Retraite SS T1</v>
      </c>
      <c r="B119" s="1603">
        <v>1</v>
      </c>
      <c r="C119" s="1603">
        <f t="shared" ref="C119:M127" si="47">B119</f>
        <v>1</v>
      </c>
      <c r="D119" s="1603">
        <f t="shared" si="47"/>
        <v>1</v>
      </c>
      <c r="E119" s="1603">
        <f t="shared" si="47"/>
        <v>1</v>
      </c>
      <c r="F119" s="1603">
        <f t="shared" si="47"/>
        <v>1</v>
      </c>
      <c r="G119" s="1603">
        <f t="shared" si="47"/>
        <v>1</v>
      </c>
      <c r="H119" s="1603">
        <f t="shared" si="47"/>
        <v>1</v>
      </c>
      <c r="I119" s="1603">
        <f t="shared" si="47"/>
        <v>1</v>
      </c>
      <c r="J119" s="1603">
        <f t="shared" si="47"/>
        <v>1</v>
      </c>
      <c r="K119" s="1603">
        <f t="shared" si="47"/>
        <v>1</v>
      </c>
      <c r="L119" s="1603">
        <f t="shared" si="47"/>
        <v>1</v>
      </c>
      <c r="M119" s="1603">
        <f t="shared" si="47"/>
        <v>1</v>
      </c>
    </row>
    <row r="120" spans="1:13" x14ac:dyDescent="0.2">
      <c r="A120" s="12" t="str">
        <f t="shared" si="45"/>
        <v>Retraite SS Totalité</v>
      </c>
      <c r="B120" s="1603">
        <v>1</v>
      </c>
      <c r="C120" s="1603">
        <f t="shared" si="47"/>
        <v>1</v>
      </c>
      <c r="D120" s="1603">
        <f t="shared" si="47"/>
        <v>1</v>
      </c>
      <c r="E120" s="1603">
        <f t="shared" si="47"/>
        <v>1</v>
      </c>
      <c r="F120" s="1603">
        <f t="shared" si="47"/>
        <v>1</v>
      </c>
      <c r="G120" s="1603">
        <f t="shared" si="47"/>
        <v>1</v>
      </c>
      <c r="H120" s="1603">
        <f t="shared" si="47"/>
        <v>1</v>
      </c>
      <c r="I120" s="1603">
        <f t="shared" si="47"/>
        <v>1</v>
      </c>
      <c r="J120" s="1603">
        <f t="shared" si="47"/>
        <v>1</v>
      </c>
      <c r="K120" s="1603">
        <f t="shared" si="47"/>
        <v>1</v>
      </c>
      <c r="L120" s="1603">
        <f t="shared" si="47"/>
        <v>1</v>
      </c>
      <c r="M120" s="1603">
        <f t="shared" si="47"/>
        <v>1</v>
      </c>
    </row>
    <row r="121" spans="1:13" x14ac:dyDescent="0.2">
      <c r="A121" s="12" t="str">
        <f t="shared" si="45"/>
        <v>Retraite IRCEM T1</v>
      </c>
      <c r="B121" s="1603">
        <v>1</v>
      </c>
      <c r="C121" s="1603">
        <f t="shared" si="47"/>
        <v>1</v>
      </c>
      <c r="D121" s="1603">
        <f t="shared" si="47"/>
        <v>1</v>
      </c>
      <c r="E121" s="1603">
        <f t="shared" si="47"/>
        <v>1</v>
      </c>
      <c r="F121" s="1603">
        <f t="shared" si="47"/>
        <v>1</v>
      </c>
      <c r="G121" s="1603">
        <f t="shared" si="47"/>
        <v>1</v>
      </c>
      <c r="H121" s="1603">
        <f t="shared" si="47"/>
        <v>1</v>
      </c>
      <c r="I121" s="1603">
        <f t="shared" si="47"/>
        <v>1</v>
      </c>
      <c r="J121" s="1603">
        <f t="shared" si="47"/>
        <v>1</v>
      </c>
      <c r="K121" s="1603">
        <f t="shared" si="47"/>
        <v>1</v>
      </c>
      <c r="L121" s="1603">
        <f t="shared" si="47"/>
        <v>1</v>
      </c>
      <c r="M121" s="1603">
        <f t="shared" si="47"/>
        <v>1</v>
      </c>
    </row>
    <row r="122" spans="1:13" x14ac:dyDescent="0.2">
      <c r="A122" s="12" t="str">
        <f t="shared" si="45"/>
        <v>CEG T1</v>
      </c>
      <c r="B122" s="1603">
        <v>1</v>
      </c>
      <c r="C122" s="1603">
        <f t="shared" si="47"/>
        <v>1</v>
      </c>
      <c r="D122" s="1603">
        <f t="shared" si="47"/>
        <v>1</v>
      </c>
      <c r="E122" s="1603">
        <f t="shared" si="47"/>
        <v>1</v>
      </c>
      <c r="F122" s="1603">
        <f t="shared" si="47"/>
        <v>1</v>
      </c>
      <c r="G122" s="1603">
        <f t="shared" si="47"/>
        <v>1</v>
      </c>
      <c r="H122" s="1603">
        <f t="shared" si="47"/>
        <v>1</v>
      </c>
      <c r="I122" s="1603">
        <f t="shared" si="47"/>
        <v>1</v>
      </c>
      <c r="J122" s="1603">
        <f t="shared" si="47"/>
        <v>1</v>
      </c>
      <c r="K122" s="1603">
        <f t="shared" si="47"/>
        <v>1</v>
      </c>
      <c r="L122" s="1603">
        <f t="shared" si="47"/>
        <v>1</v>
      </c>
      <c r="M122" s="1603">
        <f t="shared" si="47"/>
        <v>1</v>
      </c>
    </row>
    <row r="123" spans="1:13" x14ac:dyDescent="0.2">
      <c r="A123" s="12" t="str">
        <f t="shared" si="45"/>
        <v>Retraite IRCEM T1 - CEG T1</v>
      </c>
      <c r="B123" s="1426">
        <f>+AVERAGE(B121:B122)</f>
        <v>1</v>
      </c>
      <c r="C123" s="1426">
        <f t="shared" si="47"/>
        <v>1</v>
      </c>
      <c r="D123" s="1426">
        <f t="shared" si="47"/>
        <v>1</v>
      </c>
      <c r="E123" s="1426">
        <f t="shared" si="47"/>
        <v>1</v>
      </c>
      <c r="F123" s="1426">
        <f t="shared" si="47"/>
        <v>1</v>
      </c>
      <c r="G123" s="1426">
        <f t="shared" si="47"/>
        <v>1</v>
      </c>
      <c r="H123" s="1426">
        <f t="shared" si="47"/>
        <v>1</v>
      </c>
      <c r="I123" s="1426">
        <f t="shared" si="47"/>
        <v>1</v>
      </c>
      <c r="J123" s="1426">
        <f t="shared" si="47"/>
        <v>1</v>
      </c>
      <c r="K123" s="1426">
        <f t="shared" si="47"/>
        <v>1</v>
      </c>
      <c r="L123" s="1426">
        <f t="shared" si="47"/>
        <v>1</v>
      </c>
      <c r="M123" s="1426">
        <f t="shared" si="47"/>
        <v>1</v>
      </c>
    </row>
    <row r="124" spans="1:13" x14ac:dyDescent="0.2">
      <c r="A124" s="12" t="str">
        <f t="shared" si="45"/>
        <v>CET si plafond SS atteint</v>
      </c>
      <c r="B124" s="1603">
        <v>1</v>
      </c>
      <c r="C124" s="1603">
        <f t="shared" si="47"/>
        <v>1</v>
      </c>
      <c r="D124" s="1603">
        <f t="shared" si="47"/>
        <v>1</v>
      </c>
      <c r="E124" s="1603">
        <f t="shared" si="47"/>
        <v>1</v>
      </c>
      <c r="F124" s="1603">
        <f t="shared" si="47"/>
        <v>1</v>
      </c>
      <c r="G124" s="1603">
        <f t="shared" si="47"/>
        <v>1</v>
      </c>
      <c r="H124" s="1603">
        <f t="shared" si="47"/>
        <v>1</v>
      </c>
      <c r="I124" s="1603">
        <f t="shared" si="47"/>
        <v>1</v>
      </c>
      <c r="J124" s="1603">
        <f t="shared" si="47"/>
        <v>1</v>
      </c>
      <c r="K124" s="1603">
        <f t="shared" si="47"/>
        <v>1</v>
      </c>
      <c r="L124" s="1603">
        <f t="shared" si="47"/>
        <v>1</v>
      </c>
      <c r="M124" s="1603">
        <f t="shared" si="47"/>
        <v>1</v>
      </c>
    </row>
    <row r="125" spans="1:13" x14ac:dyDescent="0.2">
      <c r="A125" s="12" t="str">
        <f t="shared" si="45"/>
        <v>Retraite IRCEM T2</v>
      </c>
      <c r="B125" s="1603">
        <v>1</v>
      </c>
      <c r="C125" s="1603">
        <f t="shared" si="47"/>
        <v>1</v>
      </c>
      <c r="D125" s="1603">
        <f t="shared" si="47"/>
        <v>1</v>
      </c>
      <c r="E125" s="1603">
        <f t="shared" si="47"/>
        <v>1</v>
      </c>
      <c r="F125" s="1603">
        <f t="shared" si="47"/>
        <v>1</v>
      </c>
      <c r="G125" s="1603">
        <f t="shared" si="47"/>
        <v>1</v>
      </c>
      <c r="H125" s="1603">
        <f t="shared" si="47"/>
        <v>1</v>
      </c>
      <c r="I125" s="1603">
        <f t="shared" si="47"/>
        <v>1</v>
      </c>
      <c r="J125" s="1603">
        <f t="shared" si="47"/>
        <v>1</v>
      </c>
      <c r="K125" s="1603">
        <f t="shared" si="47"/>
        <v>1</v>
      </c>
      <c r="L125" s="1603">
        <f t="shared" si="47"/>
        <v>1</v>
      </c>
      <c r="M125" s="1603">
        <f t="shared" si="47"/>
        <v>1</v>
      </c>
    </row>
    <row r="126" spans="1:13" x14ac:dyDescent="0.2">
      <c r="A126" s="12" t="str">
        <f t="shared" si="45"/>
        <v>CEG T2</v>
      </c>
      <c r="B126" s="1603">
        <v>1</v>
      </c>
      <c r="C126" s="1603">
        <f t="shared" si="47"/>
        <v>1</v>
      </c>
      <c r="D126" s="1603">
        <f t="shared" si="47"/>
        <v>1</v>
      </c>
      <c r="E126" s="1603">
        <f t="shared" si="47"/>
        <v>1</v>
      </c>
      <c r="F126" s="1603">
        <f t="shared" si="47"/>
        <v>1</v>
      </c>
      <c r="G126" s="1603">
        <f t="shared" si="47"/>
        <v>1</v>
      </c>
      <c r="H126" s="1603">
        <f t="shared" si="47"/>
        <v>1</v>
      </c>
      <c r="I126" s="1603">
        <f t="shared" si="47"/>
        <v>1</v>
      </c>
      <c r="J126" s="1603">
        <f t="shared" si="47"/>
        <v>1</v>
      </c>
      <c r="K126" s="1603">
        <f t="shared" si="47"/>
        <v>1</v>
      </c>
      <c r="L126" s="1603">
        <f t="shared" si="47"/>
        <v>1</v>
      </c>
      <c r="M126" s="1603">
        <f t="shared" si="47"/>
        <v>1</v>
      </c>
    </row>
    <row r="127" spans="1:13" x14ac:dyDescent="0.2">
      <c r="A127" s="12" t="str">
        <f t="shared" si="45"/>
        <v>Retraite IRCEM T2 - CEG T2</v>
      </c>
      <c r="B127" s="1426">
        <f>+AVERAGE(B125:B126)</f>
        <v>1</v>
      </c>
      <c r="C127" s="1426">
        <f t="shared" si="47"/>
        <v>1</v>
      </c>
      <c r="D127" s="1426">
        <f t="shared" si="47"/>
        <v>1</v>
      </c>
      <c r="E127" s="1426">
        <f t="shared" si="47"/>
        <v>1</v>
      </c>
      <c r="F127" s="1426">
        <f t="shared" si="47"/>
        <v>1</v>
      </c>
      <c r="G127" s="1426">
        <f t="shared" si="47"/>
        <v>1</v>
      </c>
      <c r="H127" s="1426">
        <f t="shared" si="47"/>
        <v>1</v>
      </c>
      <c r="I127" s="1426">
        <f t="shared" si="47"/>
        <v>1</v>
      </c>
      <c r="J127" s="1426">
        <f t="shared" si="47"/>
        <v>1</v>
      </c>
      <c r="K127" s="1426">
        <f t="shared" si="47"/>
        <v>1</v>
      </c>
      <c r="L127" s="1426">
        <f t="shared" si="47"/>
        <v>1</v>
      </c>
      <c r="M127" s="1426">
        <f t="shared" si="47"/>
        <v>1</v>
      </c>
    </row>
    <row r="128" spans="1:13" x14ac:dyDescent="0.2">
      <c r="A128" s="13" t="str">
        <f>A24</f>
        <v>Famille</v>
      </c>
      <c r="B128" s="1603">
        <v>1</v>
      </c>
      <c r="C128" s="1603">
        <f>B128</f>
        <v>1</v>
      </c>
      <c r="D128" s="1603">
        <f t="shared" ref="D128:M128" si="48">C128</f>
        <v>1</v>
      </c>
      <c r="E128" s="1603">
        <f t="shared" si="48"/>
        <v>1</v>
      </c>
      <c r="F128" s="1603">
        <f t="shared" si="48"/>
        <v>1</v>
      </c>
      <c r="G128" s="1603">
        <f t="shared" si="48"/>
        <v>1</v>
      </c>
      <c r="H128" s="1603">
        <f t="shared" si="48"/>
        <v>1</v>
      </c>
      <c r="I128" s="1603">
        <f t="shared" si="48"/>
        <v>1</v>
      </c>
      <c r="J128" s="1603">
        <f t="shared" si="48"/>
        <v>1</v>
      </c>
      <c r="K128" s="1603">
        <f t="shared" si="48"/>
        <v>1</v>
      </c>
      <c r="L128" s="1603">
        <f t="shared" si="48"/>
        <v>1</v>
      </c>
      <c r="M128" s="1603">
        <f t="shared" si="48"/>
        <v>1</v>
      </c>
    </row>
    <row r="129" spans="1:13" x14ac:dyDescent="0.2">
      <c r="A129" s="13" t="str">
        <f>A25</f>
        <v>Assurance Chômage</v>
      </c>
      <c r="B129" s="1603">
        <v>1</v>
      </c>
      <c r="C129" s="1603">
        <f>B129</f>
        <v>1</v>
      </c>
      <c r="D129" s="1603">
        <f t="shared" ref="D129:M129" si="49">C129</f>
        <v>1</v>
      </c>
      <c r="E129" s="1603">
        <f t="shared" si="49"/>
        <v>1</v>
      </c>
      <c r="F129" s="1603">
        <f t="shared" si="49"/>
        <v>1</v>
      </c>
      <c r="G129" s="1603">
        <f t="shared" si="49"/>
        <v>1</v>
      </c>
      <c r="H129" s="1603">
        <f t="shared" si="49"/>
        <v>1</v>
      </c>
      <c r="I129" s="1603">
        <f t="shared" si="49"/>
        <v>1</v>
      </c>
      <c r="J129" s="1603">
        <f t="shared" si="49"/>
        <v>1</v>
      </c>
      <c r="K129" s="1603">
        <f t="shared" si="49"/>
        <v>1</v>
      </c>
      <c r="L129" s="1603">
        <f t="shared" si="49"/>
        <v>1</v>
      </c>
      <c r="M129" s="1603">
        <f t="shared" si="49"/>
        <v>1</v>
      </c>
    </row>
    <row r="130" spans="1:13" x14ac:dyDescent="0.2">
      <c r="A130" s="13" t="str">
        <f>+A95</f>
        <v>Contribution Santé au Travail</v>
      </c>
      <c r="B130" s="1603">
        <v>1</v>
      </c>
      <c r="C130" s="1603">
        <f>B130</f>
        <v>1</v>
      </c>
      <c r="D130" s="1603">
        <f t="shared" ref="D130:M130" si="50">C130</f>
        <v>1</v>
      </c>
      <c r="E130" s="1603">
        <f t="shared" si="50"/>
        <v>1</v>
      </c>
      <c r="F130" s="1603">
        <f t="shared" si="50"/>
        <v>1</v>
      </c>
      <c r="G130" s="1603">
        <f t="shared" si="50"/>
        <v>1</v>
      </c>
      <c r="H130" s="1603">
        <f t="shared" si="50"/>
        <v>1</v>
      </c>
      <c r="I130" s="1603">
        <f t="shared" si="50"/>
        <v>1</v>
      </c>
      <c r="J130" s="1603">
        <f t="shared" si="50"/>
        <v>1</v>
      </c>
      <c r="K130" s="1603">
        <f t="shared" si="50"/>
        <v>1</v>
      </c>
      <c r="L130" s="1603">
        <f t="shared" si="50"/>
        <v>1</v>
      </c>
      <c r="M130" s="1603">
        <f t="shared" si="50"/>
        <v>1</v>
      </c>
    </row>
    <row r="131" spans="1:13" x14ac:dyDescent="0.2">
      <c r="A131" s="14" t="str">
        <f t="shared" ref="A131:A136" si="51">A27</f>
        <v>Autres cotisations patronales</v>
      </c>
      <c r="B131" s="1603">
        <v>1</v>
      </c>
      <c r="C131" s="1603">
        <f>B131</f>
        <v>1</v>
      </c>
      <c r="D131" s="1603">
        <f t="shared" ref="D131:M132" si="52">C131</f>
        <v>1</v>
      </c>
      <c r="E131" s="1603">
        <f t="shared" si="52"/>
        <v>1</v>
      </c>
      <c r="F131" s="1603">
        <f t="shared" si="52"/>
        <v>1</v>
      </c>
      <c r="G131" s="1603">
        <f t="shared" si="52"/>
        <v>1</v>
      </c>
      <c r="H131" s="1603">
        <f t="shared" si="52"/>
        <v>1</v>
      </c>
      <c r="I131" s="1603">
        <f t="shared" si="52"/>
        <v>1</v>
      </c>
      <c r="J131" s="1603">
        <f t="shared" si="52"/>
        <v>1</v>
      </c>
      <c r="K131" s="1603">
        <f t="shared" si="52"/>
        <v>1</v>
      </c>
      <c r="L131" s="1603">
        <f t="shared" si="52"/>
        <v>1</v>
      </c>
      <c r="M131" s="1603">
        <f t="shared" si="52"/>
        <v>1</v>
      </c>
    </row>
    <row r="132" spans="1:13" x14ac:dyDescent="0.2">
      <c r="A132" s="14" t="str">
        <f t="shared" si="51"/>
        <v>Autres cotisations patronales T1</v>
      </c>
      <c r="B132" s="1603">
        <v>1</v>
      </c>
      <c r="C132" s="1603">
        <f>B132</f>
        <v>1</v>
      </c>
      <c r="D132" s="1603">
        <f t="shared" si="52"/>
        <v>1</v>
      </c>
      <c r="E132" s="1603">
        <f t="shared" si="52"/>
        <v>1</v>
      </c>
      <c r="F132" s="1603">
        <f t="shared" si="52"/>
        <v>1</v>
      </c>
      <c r="G132" s="1603">
        <f t="shared" si="52"/>
        <v>1</v>
      </c>
      <c r="H132" s="1603">
        <f t="shared" si="52"/>
        <v>1</v>
      </c>
      <c r="I132" s="1603">
        <f t="shared" si="52"/>
        <v>1</v>
      </c>
      <c r="J132" s="1603">
        <f t="shared" si="52"/>
        <v>1</v>
      </c>
      <c r="K132" s="1603">
        <f t="shared" si="52"/>
        <v>1</v>
      </c>
      <c r="L132" s="1603">
        <f t="shared" si="52"/>
        <v>1</v>
      </c>
      <c r="M132" s="1603">
        <f t="shared" si="52"/>
        <v>1</v>
      </c>
    </row>
    <row r="133" spans="1:13" x14ac:dyDescent="0.2">
      <c r="A133" s="10" t="str">
        <f t="shared" si="51"/>
        <v>CSG déductible de l'IR</v>
      </c>
      <c r="B133" s="1426"/>
      <c r="C133" s="1426"/>
      <c r="D133" s="1426"/>
      <c r="E133" s="1426"/>
      <c r="F133" s="1426"/>
      <c r="G133" s="1426"/>
      <c r="H133" s="1426"/>
      <c r="I133" s="1426"/>
      <c r="J133" s="1426"/>
      <c r="K133" s="1426"/>
      <c r="L133" s="1426"/>
      <c r="M133" s="1426"/>
    </row>
    <row r="134" spans="1:13" x14ac:dyDescent="0.2">
      <c r="A134" s="10" t="str">
        <f t="shared" si="51"/>
        <v>CSG/RDS non déductible de l'IR</v>
      </c>
      <c r="B134" s="1426"/>
      <c r="C134" s="1426"/>
      <c r="D134" s="1426"/>
      <c r="E134" s="1426"/>
      <c r="F134" s="1426"/>
      <c r="G134" s="1426"/>
      <c r="H134" s="1426"/>
      <c r="I134" s="1426"/>
      <c r="J134" s="1426"/>
      <c r="K134" s="1426"/>
      <c r="L134" s="1426"/>
      <c r="M134" s="1426"/>
    </row>
    <row r="135" spans="1:13" x14ac:dyDescent="0.2">
      <c r="A135" s="10" t="str">
        <f t="shared" si="51"/>
        <v>CSG/RDS non déd sur rev non imp</v>
      </c>
      <c r="B135" s="1426"/>
      <c r="C135" s="1426"/>
      <c r="D135" s="1426"/>
      <c r="E135" s="1426"/>
      <c r="F135" s="1426"/>
      <c r="G135" s="1426"/>
      <c r="H135" s="1426"/>
      <c r="I135" s="1426"/>
      <c r="J135" s="1426"/>
      <c r="K135" s="1426"/>
      <c r="L135" s="1426"/>
      <c r="M135" s="1426"/>
    </row>
    <row r="136" spans="1:13" x14ac:dyDescent="0.2">
      <c r="A136" s="1594" t="str">
        <f t="shared" si="51"/>
        <v>Réduction cot. HC et HS</v>
      </c>
      <c r="B136" s="1595"/>
      <c r="C136" s="1595"/>
      <c r="D136" s="1595"/>
      <c r="E136" s="1595"/>
      <c r="F136" s="1595"/>
      <c r="G136" s="1595"/>
      <c r="H136" s="1595"/>
      <c r="I136" s="1595"/>
      <c r="J136" s="1595"/>
      <c r="K136" s="1595"/>
      <c r="L136" s="1595"/>
      <c r="M136" s="1595"/>
    </row>
    <row r="137" spans="1:13" x14ac:dyDescent="0.2">
      <c r="A137" s="1427"/>
      <c r="B137" s="1427"/>
      <c r="C137" s="1427"/>
      <c r="D137" s="1427"/>
      <c r="E137" s="1427"/>
      <c r="F137" s="1427"/>
      <c r="G137" s="1427"/>
      <c r="H137" s="1427"/>
      <c r="I137" s="1427"/>
      <c r="J137" s="1427"/>
      <c r="K137" s="1427"/>
      <c r="L137" s="1427"/>
      <c r="M137" s="1427"/>
    </row>
  </sheetData>
  <sheetProtection algorithmName="SHA-512" hashValue="VNNp/WCdSVjUG2UfOz40o+98sp+MjJMSQDxfme5BtoElmcHQ4AWRDHHcFcI9+SNtQi8h1WBpJR3c0TAOfiohLQ==" saltValue="8VF7/ytVMhq4tppUvIY5lA=="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54"/>
  <sheetViews>
    <sheetView topLeftCell="O12" workbookViewId="0">
      <selection activeCell="HL2" sqref="HL2"/>
    </sheetView>
  </sheetViews>
  <sheetFormatPr baseColWidth="10" defaultColWidth="10.7109375" defaultRowHeight="12.75" outlineLevelCol="1" x14ac:dyDescent="0.2"/>
  <cols>
    <col min="1" max="1" width="45.5703125" style="1" hidden="1" customWidth="1" outlineLevel="1"/>
    <col min="2" max="13" width="13" style="1" hidden="1" customWidth="1" outlineLevel="1"/>
    <col min="14" max="14" width="10.7109375" style="1" hidden="1" customWidth="1" outlineLevel="1"/>
    <col min="15" max="15" width="10.7109375" style="1" customWidth="1" collapsed="1"/>
    <col min="16" max="157" width="10.7109375" style="1" customWidth="1"/>
    <col min="158" max="16384" width="10.7109375" style="1"/>
  </cols>
  <sheetData>
    <row r="1" spans="1:13" x14ac:dyDescent="0.2">
      <c r="A1" s="7" t="s">
        <v>198</v>
      </c>
    </row>
    <row r="3" spans="1:13" x14ac:dyDescent="0.2">
      <c r="A3" s="1" t="str">
        <f>+"ENFANT : "&amp;Identification!B25</f>
        <v>ENFANT : 0</v>
      </c>
    </row>
    <row r="5" spans="1:13" s="2" customFormat="1" x14ac:dyDescent="0.2">
      <c r="A5" s="2" t="s">
        <v>89</v>
      </c>
      <c r="B5" s="3" t="s">
        <v>97</v>
      </c>
      <c r="C5" s="3" t="s">
        <v>93</v>
      </c>
      <c r="D5" s="3" t="s">
        <v>101</v>
      </c>
      <c r="E5" s="3" t="s">
        <v>91</v>
      </c>
      <c r="F5" s="3" t="s">
        <v>90</v>
      </c>
      <c r="G5" s="3" t="s">
        <v>96</v>
      </c>
      <c r="H5" s="3" t="s">
        <v>95</v>
      </c>
      <c r="I5" s="3" t="s">
        <v>94</v>
      </c>
      <c r="J5" s="3" t="s">
        <v>92</v>
      </c>
      <c r="K5" s="3" t="s">
        <v>100</v>
      </c>
      <c r="L5" s="3" t="s">
        <v>99</v>
      </c>
      <c r="M5" s="3" t="s">
        <v>98</v>
      </c>
    </row>
    <row r="6" spans="1:13" x14ac:dyDescent="0.2">
      <c r="A6" s="1" t="s">
        <v>57</v>
      </c>
      <c r="B6" s="4">
        <f>+ROUND(Aout!$BZ$68,Identification!B121)</f>
        <v>0</v>
      </c>
      <c r="C6" s="4">
        <f>+ROUND(Avril!$BZ$68,Identification!B121)</f>
        <v>0</v>
      </c>
      <c r="D6" s="4">
        <f>ROUND(+Décembre!$BZ$68,Identification!B121)</f>
        <v>0</v>
      </c>
      <c r="E6" s="4">
        <f>ROUND(+Février!$BZ$68,Identification!B121)</f>
        <v>0</v>
      </c>
      <c r="F6" s="4">
        <f>+ROUND(Janvier!$BZ$68,Identification!B121)</f>
        <v>0</v>
      </c>
      <c r="G6" s="4">
        <f>ROUND(+Juillet!$BZ$68,Identification!B121)</f>
        <v>0</v>
      </c>
      <c r="H6" s="4">
        <f>+ROUND(Juin!$BZ$68,Identification!B121)</f>
        <v>0</v>
      </c>
      <c r="I6" s="4">
        <f>ROUND(+Mai!$BZ$68,Identification!B121)</f>
        <v>0</v>
      </c>
      <c r="J6" s="4">
        <f>ROUND(+Mars!$BZ$68,Identification!B121)</f>
        <v>0</v>
      </c>
      <c r="K6" s="4">
        <f>ROUND(+Novembre!$BZ$68,Identification!B121)</f>
        <v>0</v>
      </c>
      <c r="L6" s="4">
        <f>ROUND(+Octobre!$BZ$68,Identification!B121)</f>
        <v>0</v>
      </c>
      <c r="M6" s="4">
        <f>ROUND(+Septembre!$BZ$68,Identification!B121)</f>
        <v>0</v>
      </c>
    </row>
    <row r="7" spans="1:13" x14ac:dyDescent="0.2">
      <c r="A7" s="1" t="s">
        <v>58</v>
      </c>
      <c r="B7" s="1">
        <f>+Aout!$BZ$75</f>
        <v>0</v>
      </c>
      <c r="C7" s="1">
        <f>+Avril!$BZ$75</f>
        <v>0</v>
      </c>
      <c r="D7" s="1">
        <f>+Décembre!$BZ$75</f>
        <v>0</v>
      </c>
      <c r="E7" s="1">
        <f>+Février!$BZ$75</f>
        <v>0</v>
      </c>
      <c r="F7" s="1">
        <f>+Janvier!$BZ$75</f>
        <v>0</v>
      </c>
      <c r="G7" s="1">
        <f>+Juillet!$BZ$75</f>
        <v>0</v>
      </c>
      <c r="H7" s="1">
        <f>+Juin!$BZ$75</f>
        <v>0</v>
      </c>
      <c r="I7" s="1">
        <f>+Mai!$BZ$75</f>
        <v>0</v>
      </c>
      <c r="J7" s="1">
        <f>+Mars!$BZ$75</f>
        <v>0</v>
      </c>
      <c r="K7" s="1">
        <f>+Novembre!$BZ$75</f>
        <v>0</v>
      </c>
      <c r="L7" s="1">
        <f>+Octobre!$BZ$75</f>
        <v>0</v>
      </c>
      <c r="M7" s="1">
        <f>+Septembre!$BZ$75</f>
        <v>0</v>
      </c>
    </row>
    <row r="8" spans="1:13" x14ac:dyDescent="0.2">
      <c r="A8" s="1" t="s">
        <v>64</v>
      </c>
      <c r="B8" s="1">
        <f>+Aout!$BZ$77</f>
        <v>0</v>
      </c>
      <c r="C8" s="1">
        <f>+Avril!$BZ$77</f>
        <v>0</v>
      </c>
      <c r="D8" s="1">
        <f>+Décembre!$BZ$77</f>
        <v>0</v>
      </c>
      <c r="E8" s="1">
        <f>+Février!$BZ$77</f>
        <v>0</v>
      </c>
      <c r="F8" s="1">
        <f>+Janvier!$BZ$77</f>
        <v>0</v>
      </c>
      <c r="G8" s="1">
        <f>+Juillet!$BZ$77</f>
        <v>0</v>
      </c>
      <c r="H8" s="1">
        <f ca="1">+Juin!$BZ$77</f>
        <v>0</v>
      </c>
      <c r="I8" s="1">
        <f>+Mai!$BZ$77</f>
        <v>0</v>
      </c>
      <c r="J8" s="1">
        <f>+Mars!$BZ$77</f>
        <v>0</v>
      </c>
      <c r="K8" s="1">
        <f>+Novembre!$BZ$77</f>
        <v>0</v>
      </c>
      <c r="L8" s="1">
        <f>+Octobre!$BZ$77</f>
        <v>0</v>
      </c>
      <c r="M8" s="1">
        <f>+Septembre!$BZ$77</f>
        <v>0</v>
      </c>
    </row>
    <row r="9" spans="1:13" x14ac:dyDescent="0.2">
      <c r="A9" s="1" t="s">
        <v>1349</v>
      </c>
      <c r="B9" s="5">
        <f>+Aout!$BZ$79</f>
        <v>0</v>
      </c>
      <c r="C9" s="5">
        <f>+Avril!$BZ$79</f>
        <v>0</v>
      </c>
      <c r="D9" s="5">
        <f>+Décembre!$BZ$79</f>
        <v>0</v>
      </c>
      <c r="E9" s="5">
        <f>+Février!$BZ$79</f>
        <v>0</v>
      </c>
      <c r="F9" s="5">
        <f>+Janvier!$BZ$79</f>
        <v>0</v>
      </c>
      <c r="G9" s="5">
        <f>+Juillet!$BZ$79</f>
        <v>0</v>
      </c>
      <c r="H9" s="5">
        <f>+Juin!$BZ$79</f>
        <v>0</v>
      </c>
      <c r="I9" s="5">
        <f>+Mai!$BZ$79</f>
        <v>0</v>
      </c>
      <c r="J9" s="5">
        <f>+Mars!$BZ$79</f>
        <v>0</v>
      </c>
      <c r="K9" s="5">
        <f>+Novembre!$BZ$79</f>
        <v>0</v>
      </c>
      <c r="L9" s="5">
        <f>+Octobre!$BZ$79</f>
        <v>0</v>
      </c>
      <c r="M9" s="5">
        <f>+Septembre!$BZ$79</f>
        <v>0</v>
      </c>
    </row>
    <row r="10" spans="1:13" x14ac:dyDescent="0.2">
      <c r="A10" s="1" t="s">
        <v>70</v>
      </c>
      <c r="B10" s="1" t="e">
        <f>+Aout!$BZ$81</f>
        <v>#DIV/0!</v>
      </c>
      <c r="C10" s="1" t="e">
        <f>+Avril!$BZ$81</f>
        <v>#DIV/0!</v>
      </c>
      <c r="D10" s="1" t="e">
        <f>+Décembre!$BZ$81</f>
        <v>#DIV/0!</v>
      </c>
      <c r="E10" s="1" t="e">
        <f>+Février!$BZ$81</f>
        <v>#DIV/0!</v>
      </c>
      <c r="F10" s="1" t="e">
        <f ca="1">+Janvier!$BZ$81</f>
        <v>#DIV/0!</v>
      </c>
      <c r="G10" s="1" t="e">
        <f>+Juillet!$BZ$81</f>
        <v>#DIV/0!</v>
      </c>
      <c r="H10" s="1" t="e">
        <f>+Juin!$BZ$81</f>
        <v>#DIV/0!</v>
      </c>
      <c r="I10" s="1" t="e">
        <f>+Mai!$BZ$81</f>
        <v>#DIV/0!</v>
      </c>
      <c r="J10" s="1" t="e">
        <f>+Mars!$BZ$81</f>
        <v>#DIV/0!</v>
      </c>
      <c r="K10" s="1" t="e">
        <f>+Novembre!$BZ$81</f>
        <v>#DIV/0!</v>
      </c>
      <c r="L10" s="1" t="e">
        <f>+Octobre!$BZ$81</f>
        <v>#DIV/0!</v>
      </c>
      <c r="M10" s="1" t="e">
        <f>+Septembre!$BZ$81</f>
        <v>#DIV/0!</v>
      </c>
    </row>
    <row r="11" spans="1:13" x14ac:dyDescent="0.2">
      <c r="A11" s="1" t="s">
        <v>72</v>
      </c>
      <c r="B11" s="1">
        <f>+Aout!$BZ$84</f>
        <v>0</v>
      </c>
      <c r="C11" s="1">
        <f>+Avril!$BZ$84</f>
        <v>0</v>
      </c>
      <c r="D11" s="1">
        <f>+Décembre!$BZ$84</f>
        <v>0</v>
      </c>
      <c r="E11" s="1">
        <f>+Février!$BZ$84</f>
        <v>0</v>
      </c>
      <c r="F11" s="1">
        <f>+Janvier!$BZ$84</f>
        <v>0</v>
      </c>
      <c r="G11" s="1">
        <f>+Juillet!$BZ$84</f>
        <v>0</v>
      </c>
      <c r="H11" s="1">
        <f>+Juin!$BZ$84</f>
        <v>0</v>
      </c>
      <c r="I11" s="1">
        <f>+Mai!$BZ$84</f>
        <v>0</v>
      </c>
      <c r="J11" s="1">
        <f>+Mars!$BZ$84</f>
        <v>0</v>
      </c>
      <c r="K11" s="1">
        <f>+Novembre!$BZ$84</f>
        <v>0</v>
      </c>
      <c r="L11" s="1">
        <f>+Octobre!$BZ$84</f>
        <v>0</v>
      </c>
      <c r="M11" s="1">
        <f>+Septembre!$BZ$84</f>
        <v>0</v>
      </c>
    </row>
    <row r="12" spans="1:13" x14ac:dyDescent="0.2">
      <c r="A12" s="1" t="s">
        <v>1350</v>
      </c>
      <c r="B12" s="6">
        <f>+Aout!$BZ$86</f>
        <v>0</v>
      </c>
      <c r="C12" s="6">
        <f>+Avril!$BZ$86</f>
        <v>0</v>
      </c>
      <c r="D12" s="6">
        <f>+Décembre!$BZ$86</f>
        <v>0</v>
      </c>
      <c r="E12" s="6">
        <f>+Février!$BZ$86</f>
        <v>0</v>
      </c>
      <c r="F12" s="6">
        <f ca="1">+Janvier!$BZ$86</f>
        <v>0</v>
      </c>
      <c r="G12" s="6">
        <f>+Juillet!$BZ$86</f>
        <v>0</v>
      </c>
      <c r="H12" s="6">
        <f ca="1">+Juin!$BZ$86</f>
        <v>0</v>
      </c>
      <c r="I12" s="6">
        <f>+Mai!$BZ$86</f>
        <v>0</v>
      </c>
      <c r="J12" s="6">
        <f>+Mars!$BZ$86</f>
        <v>0</v>
      </c>
      <c r="K12" s="6">
        <f>+Novembre!$BZ$86</f>
        <v>0</v>
      </c>
      <c r="L12" s="6">
        <f>+Octobre!$BZ$86</f>
        <v>0</v>
      </c>
      <c r="M12" s="6">
        <f>+Septembre!$BZ$86</f>
        <v>0</v>
      </c>
    </row>
    <row r="13" spans="1:13" x14ac:dyDescent="0.2">
      <c r="A13" s="1" t="s">
        <v>77</v>
      </c>
      <c r="B13" s="6">
        <f>+Aout!$BZ$88</f>
        <v>0</v>
      </c>
      <c r="C13" s="6">
        <f>+Avril!$BZ$88</f>
        <v>0</v>
      </c>
      <c r="D13" s="6">
        <f>+Décembre!$BZ$88</f>
        <v>0</v>
      </c>
      <c r="E13" s="6">
        <f>+Février!$BZ$88</f>
        <v>0</v>
      </c>
      <c r="F13" s="6">
        <f>+Janvier!$BZ$88</f>
        <v>0</v>
      </c>
      <c r="G13" s="6">
        <f>+Juillet!$BZ$88</f>
        <v>0</v>
      </c>
      <c r="H13" s="6">
        <f>+Juin!$BZ$88</f>
        <v>0</v>
      </c>
      <c r="I13" s="6">
        <f>+Mai!$BZ$88</f>
        <v>0</v>
      </c>
      <c r="J13" s="6">
        <f>+Mars!$BZ$88</f>
        <v>0</v>
      </c>
      <c r="K13" s="6">
        <f>+Novembre!$BZ$88</f>
        <v>0</v>
      </c>
      <c r="L13" s="6">
        <f>+Octobre!$BZ$88</f>
        <v>0</v>
      </c>
      <c r="M13" s="6">
        <f>+Septembre!$BZ$88</f>
        <v>0</v>
      </c>
    </row>
    <row r="14" spans="1:13" x14ac:dyDescent="0.2">
      <c r="A14" s="1" t="s">
        <v>79</v>
      </c>
      <c r="B14" s="6">
        <f>+Aout!$BZ$90</f>
        <v>0</v>
      </c>
      <c r="C14" s="6">
        <f>+Avril!$BZ$90</f>
        <v>0</v>
      </c>
      <c r="D14" s="6">
        <f>+Décembre!$BZ$90</f>
        <v>0</v>
      </c>
      <c r="E14" s="6">
        <f>+Février!$BZ$90</f>
        <v>0</v>
      </c>
      <c r="F14" s="6">
        <f>+Janvier!$BZ$90</f>
        <v>0</v>
      </c>
      <c r="G14" s="6">
        <f>+Juillet!$BZ$90</f>
        <v>0</v>
      </c>
      <c r="H14" s="6">
        <f>+Juin!$BZ$90</f>
        <v>0</v>
      </c>
      <c r="I14" s="6">
        <f>+Mai!$BZ$90</f>
        <v>0</v>
      </c>
      <c r="J14" s="6">
        <f>+Mars!$BZ$90</f>
        <v>0</v>
      </c>
      <c r="K14" s="6">
        <f>+Novembre!$BZ$90</f>
        <v>0</v>
      </c>
      <c r="L14" s="6">
        <f>+Octobre!$BZ$90</f>
        <v>0</v>
      </c>
      <c r="M14" s="6">
        <f>+Septembre!$BZ$90</f>
        <v>0</v>
      </c>
    </row>
    <row r="15" spans="1:13" x14ac:dyDescent="0.2">
      <c r="A15" s="1" t="s">
        <v>80</v>
      </c>
      <c r="B15" s="6">
        <f>+Aout!$BZ$92</f>
        <v>0</v>
      </c>
      <c r="C15" s="6">
        <f>+Avril!$BZ$92</f>
        <v>0</v>
      </c>
      <c r="D15" s="6">
        <f>+Décembre!$BZ$92</f>
        <v>0</v>
      </c>
      <c r="E15" s="6">
        <f>+Février!$BZ$92</f>
        <v>0</v>
      </c>
      <c r="F15" s="6">
        <f>+Janvier!$BZ$92</f>
        <v>0</v>
      </c>
      <c r="G15" s="6">
        <f>+Juillet!$BZ$92</f>
        <v>0</v>
      </c>
      <c r="H15" s="6">
        <f>+Juin!$BZ$92</f>
        <v>0</v>
      </c>
      <c r="I15" s="6">
        <f>+Mai!$BZ$92</f>
        <v>0</v>
      </c>
      <c r="J15" s="6">
        <f>+Mars!$BZ$92</f>
        <v>0</v>
      </c>
      <c r="K15" s="6">
        <f>+Novembre!$BZ$92</f>
        <v>0</v>
      </c>
      <c r="L15" s="6">
        <f>+Octobre!$BZ$92</f>
        <v>0</v>
      </c>
      <c r="M15" s="6">
        <f>+Septembre!$BZ$92</f>
        <v>0</v>
      </c>
    </row>
    <row r="16" spans="1:13" x14ac:dyDescent="0.2">
      <c r="A16" s="1" t="s">
        <v>466</v>
      </c>
      <c r="B16" s="6">
        <f>+Aout!$BZ$94</f>
        <v>0</v>
      </c>
      <c r="C16" s="6">
        <f>+Avril!$BZ$94</f>
        <v>0</v>
      </c>
      <c r="D16" s="6">
        <f>+Décembre!$BZ$94</f>
        <v>0</v>
      </c>
      <c r="E16" s="6">
        <f>+Février!$BZ$94</f>
        <v>0</v>
      </c>
      <c r="F16" s="6">
        <f>+Janvier!$BZ$94</f>
        <v>0</v>
      </c>
      <c r="G16" s="6">
        <f>+Juillet!$BZ$94</f>
        <v>0</v>
      </c>
      <c r="H16" s="6">
        <f>+Juin!$BZ$94</f>
        <v>0</v>
      </c>
      <c r="I16" s="6">
        <f>+Mai!$BZ$94</f>
        <v>0</v>
      </c>
      <c r="J16" s="6">
        <f>+Mars!$BZ$94</f>
        <v>0</v>
      </c>
      <c r="K16" s="6">
        <f>+Novembre!$BZ$94</f>
        <v>0</v>
      </c>
      <c r="L16" s="6">
        <f>+Octobre!$BZ$94</f>
        <v>0</v>
      </c>
      <c r="M16" s="6">
        <f>+Septembre!$BZ$94</f>
        <v>0</v>
      </c>
    </row>
    <row r="17" spans="1:13" x14ac:dyDescent="0.2">
      <c r="A17" s="1" t="s">
        <v>467</v>
      </c>
      <c r="B17" s="6">
        <f>+Aout!$BZ$96</f>
        <v>0</v>
      </c>
      <c r="C17" s="6">
        <f>+Avril!$BZ$96</f>
        <v>0</v>
      </c>
      <c r="D17" s="6">
        <f>+Décembre!$BZ$96</f>
        <v>0</v>
      </c>
      <c r="E17" s="6">
        <f>+Février!$BZ$96</f>
        <v>0</v>
      </c>
      <c r="F17" s="6">
        <f>+Janvier!$BZ$96</f>
        <v>0</v>
      </c>
      <c r="G17" s="6">
        <f>+Juillet!$BZ$96</f>
        <v>0</v>
      </c>
      <c r="H17" s="6">
        <f>+Juin!$BZ$96</f>
        <v>0</v>
      </c>
      <c r="I17" s="6">
        <f>+Mai!$BZ$96</f>
        <v>0</v>
      </c>
      <c r="J17" s="6">
        <f>+Mars!$BZ$96</f>
        <v>0</v>
      </c>
      <c r="K17" s="6">
        <f>+Novembre!$BZ$96</f>
        <v>0</v>
      </c>
      <c r="L17" s="6">
        <f>+Octobre!$BZ$96</f>
        <v>0</v>
      </c>
      <c r="M17" s="6">
        <f>+Septembre!$BZ$96</f>
        <v>0</v>
      </c>
    </row>
    <row r="18" spans="1:13" x14ac:dyDescent="0.2">
      <c r="A18" s="1" t="s">
        <v>468</v>
      </c>
      <c r="B18" s="6">
        <f>+Aout!$BZ$98</f>
        <v>0</v>
      </c>
      <c r="C18" s="6">
        <f>+Avril!$BZ$98</f>
        <v>0</v>
      </c>
      <c r="D18" s="6">
        <f>+Décembre!$BZ$98</f>
        <v>0</v>
      </c>
      <c r="E18" s="6">
        <f>+Février!$BZ$98</f>
        <v>0</v>
      </c>
      <c r="F18" s="6">
        <f>+Janvier!$BZ$98</f>
        <v>0</v>
      </c>
      <c r="G18" s="6">
        <f>+Juillet!$BZ$98</f>
        <v>0</v>
      </c>
      <c r="H18" s="6">
        <f>+Juin!$BZ$98</f>
        <v>0</v>
      </c>
      <c r="I18" s="6">
        <f>+Mai!$BZ$98</f>
        <v>0</v>
      </c>
      <c r="J18" s="6">
        <f>+Mars!$BZ$98</f>
        <v>0</v>
      </c>
      <c r="K18" s="6">
        <f>+Novembre!$BZ$98</f>
        <v>0</v>
      </c>
      <c r="L18" s="6">
        <f>+Octobre!$BZ$98</f>
        <v>0</v>
      </c>
      <c r="M18" s="6">
        <f>+Septembre!$BZ$98</f>
        <v>0</v>
      </c>
    </row>
    <row r="19" spans="1:13" x14ac:dyDescent="0.2">
      <c r="A19" s="1" t="s">
        <v>81</v>
      </c>
      <c r="B19" s="6">
        <f>+Aout!$BZ$100</f>
        <v>0</v>
      </c>
      <c r="C19" s="6">
        <f>+Avril!$BZ$100</f>
        <v>0</v>
      </c>
      <c r="D19" s="6">
        <f>+Décembre!$BZ$100</f>
        <v>0</v>
      </c>
      <c r="E19" s="6">
        <f>+Février!$BZ$100</f>
        <v>0</v>
      </c>
      <c r="F19" s="6">
        <f>+Janvier!$BZ$100</f>
        <v>0</v>
      </c>
      <c r="G19" s="6">
        <f>+Juillet!$BZ$100</f>
        <v>0</v>
      </c>
      <c r="H19" s="6">
        <f>+Juin!$BZ$100</f>
        <v>0</v>
      </c>
      <c r="I19" s="6">
        <f>+Mai!$BZ$100</f>
        <v>0</v>
      </c>
      <c r="J19" s="6">
        <f>+Mars!$BZ$100</f>
        <v>0</v>
      </c>
      <c r="K19" s="6">
        <f>+Novembre!$BZ$100</f>
        <v>0</v>
      </c>
      <c r="L19" s="6">
        <f>+Octobre!$BZ$100</f>
        <v>0</v>
      </c>
      <c r="M19" s="6">
        <f>+Septembre!$BZ$100</f>
        <v>0</v>
      </c>
    </row>
    <row r="20" spans="1:13" x14ac:dyDescent="0.2">
      <c r="A20" s="1" t="s">
        <v>469</v>
      </c>
      <c r="B20" s="6">
        <f>+Aout!$BZ$102</f>
        <v>0</v>
      </c>
      <c r="C20" s="6">
        <f>+Avril!$BZ$102</f>
        <v>0</v>
      </c>
      <c r="D20" s="6">
        <f>+Décembre!$BZ$102</f>
        <v>0</v>
      </c>
      <c r="E20" s="6">
        <f>+Février!$BZ$102</f>
        <v>0</v>
      </c>
      <c r="F20" s="6">
        <f>+Janvier!$BZ$102</f>
        <v>0</v>
      </c>
      <c r="G20" s="6">
        <f>+Juillet!$BZ$102</f>
        <v>0</v>
      </c>
      <c r="H20" s="6">
        <f>+Juin!$BZ$102</f>
        <v>0</v>
      </c>
      <c r="I20" s="6">
        <f>+Mai!$BZ$102</f>
        <v>0</v>
      </c>
      <c r="J20" s="6">
        <f>+Mars!$BZ$102</f>
        <v>0</v>
      </c>
      <c r="K20" s="6">
        <f>+Novembre!$BZ$102</f>
        <v>0</v>
      </c>
      <c r="L20" s="6">
        <f>+Octobre!$BZ$102</f>
        <v>0</v>
      </c>
      <c r="M20" s="6">
        <f>+Septembre!$BZ$102</f>
        <v>0</v>
      </c>
    </row>
    <row r="21" spans="1:13" x14ac:dyDescent="0.2">
      <c r="A21" s="1" t="s">
        <v>470</v>
      </c>
      <c r="B21" s="6">
        <f>+Aout!$CB$78</f>
        <v>0</v>
      </c>
      <c r="C21" s="6">
        <f>+Avril!$CB$78</f>
        <v>0</v>
      </c>
      <c r="D21" s="6">
        <f>+Décembre!$CB$78</f>
        <v>0</v>
      </c>
      <c r="E21" s="6">
        <f>+Février!$CB$78</f>
        <v>0</v>
      </c>
      <c r="F21" s="6">
        <f>+Janvier!$CB$78</f>
        <v>0</v>
      </c>
      <c r="G21" s="6">
        <f>+Juillet!$CB$78</f>
        <v>0</v>
      </c>
      <c r="H21" s="6">
        <f>+Juin!$CB$78</f>
        <v>0</v>
      </c>
      <c r="I21" s="6">
        <f>+Mai!$CB$78</f>
        <v>0</v>
      </c>
      <c r="J21" s="6">
        <f>+Mars!$CB$78</f>
        <v>0</v>
      </c>
      <c r="K21" s="6">
        <f>+Novembre!$CB$78</f>
        <v>0</v>
      </c>
      <c r="L21" s="6">
        <f>+Octobre!$CB$78</f>
        <v>0</v>
      </c>
      <c r="M21" s="6">
        <f>+Septembre!$CB$78</f>
        <v>0</v>
      </c>
    </row>
    <row r="22" spans="1:13" x14ac:dyDescent="0.2">
      <c r="A22" s="1" t="s">
        <v>476</v>
      </c>
      <c r="B22" s="9">
        <f>+Aout!$F$87</f>
        <v>46265</v>
      </c>
      <c r="C22" s="9">
        <f>+Avril!$F$87</f>
        <v>46142</v>
      </c>
      <c r="D22" s="9">
        <f>+Décembre!$F$87</f>
        <v>46387</v>
      </c>
      <c r="E22" s="9">
        <f>+Février!$F$87</f>
        <v>46081</v>
      </c>
      <c r="F22" s="9">
        <f>+Janvier!$F$87</f>
        <v>46053</v>
      </c>
      <c r="G22" s="9">
        <f>+Juillet!$F$87</f>
        <v>46234</v>
      </c>
      <c r="H22" s="9">
        <f>+Juin!$F$87</f>
        <v>46203</v>
      </c>
      <c r="I22" s="9">
        <f>+Mai!$F$87</f>
        <v>46173</v>
      </c>
      <c r="J22" s="9">
        <f>+Mars!$F$87</f>
        <v>46112</v>
      </c>
      <c r="K22" s="9">
        <f>+Novembre!$F$87</f>
        <v>46356</v>
      </c>
      <c r="L22" s="9">
        <f>+Octobre!$F$87</f>
        <v>46326</v>
      </c>
      <c r="M22" s="9">
        <f>+Septembre!$F$87</f>
        <v>46295</v>
      </c>
    </row>
    <row r="23" spans="1:13" x14ac:dyDescent="0.2">
      <c r="A23" s="1" t="s">
        <v>170</v>
      </c>
      <c r="B23" s="6">
        <f>+IF(Identification!B126="Net",SUM(B12:B20),+IF(Identification!B126="Brut",Aout!Q76,0))</f>
        <v>0</v>
      </c>
      <c r="C23" s="6">
        <f>+IF(Identification!B126="Net",SUM(C12:C20),+IF(Identification!B126="Brut",Avril!Q76,0))</f>
        <v>0</v>
      </c>
      <c r="D23" s="6">
        <f>+IF(Identification!$B$126="Net",SUM(D12:D20),+IF(Identification!$B$126="Brut",Décembre!$Q$76,0))</f>
        <v>0</v>
      </c>
      <c r="E23" s="6">
        <f>+IF(Identification!$B$126="Net",SUM(E12:E20),+IF(Identification!$B$126="Brut",Février!$Q$76,0))</f>
        <v>0</v>
      </c>
      <c r="F23" s="6">
        <f ca="1">+IF(Identification!$B$126="Net",SUM(F12:F20),+IF(Identification!$B$126="Brut",Janvier!$Q$76,0))</f>
        <v>0</v>
      </c>
      <c r="G23" s="6">
        <f>+IF(Identification!$B$126="Net",SUM(G12:G20),+IF(Identification!$B$126="Brut",Juillet!$Q$76,0))</f>
        <v>0</v>
      </c>
      <c r="H23" s="6">
        <f ca="1">+IF(Identification!$B$126="Net",SUM(H12:H20),+IF(Identification!$B$126="Brut",Juin!$Q$76,0))</f>
        <v>0</v>
      </c>
      <c r="I23" s="6">
        <f>+IF(Identification!$B$126="Net",SUM(I12:I20),+IF(Identification!$B$126="Brut",Mai!$Q$76,0))</f>
        <v>0</v>
      </c>
      <c r="J23" s="6">
        <f>+IF(Identification!$B$126="Net",SUM(J12:J20),+IF(Identification!$B$126="Brut",Mars!$Q$76,0))</f>
        <v>0</v>
      </c>
      <c r="K23" s="6">
        <f>+IF(Identification!$B$126="Net",SUM(K12:K20),+IF(Identification!$B$126="Brut",Novembre!$Q$76,0))</f>
        <v>0</v>
      </c>
      <c r="L23" s="6">
        <f>+IF(Identification!$B$126="Net",SUM(L12:L20),+IF(Identification!$B$126="Brut",Octobre!$Q$76,0))</f>
        <v>0</v>
      </c>
      <c r="M23" s="6">
        <f>+IF(Identification!$B$126="Net",SUM(M12:M20),+IF(Identification!$B$126="Brut",Septembre!$Q$76,0))</f>
        <v>0</v>
      </c>
    </row>
    <row r="24" spans="1:13" x14ac:dyDescent="0.2">
      <c r="A24" s="1" t="s">
        <v>1304</v>
      </c>
      <c r="B24" s="6">
        <f>+IF(Identification!B126="Net",+Aout!$DK$32,0)</f>
        <v>0</v>
      </c>
      <c r="C24" s="6">
        <f>+IF(Identification!B126="Net",+Avril!$DK$32,0)</f>
        <v>0</v>
      </c>
      <c r="D24" s="6">
        <f>+IF(Identification!B126="Net",+Décembre!$DK$32,0)</f>
        <v>0</v>
      </c>
      <c r="E24" s="6">
        <f>+IF(Identification!B126="Net",+Février!$DK$32,0)</f>
        <v>0</v>
      </c>
      <c r="F24" s="6">
        <f>+IF(Identification!B126="Net",+Janvier!$DK$32,0)</f>
        <v>0</v>
      </c>
      <c r="G24" s="6">
        <f>+IF(Identification!B126="Net",+Juillet!$DK$32,0)</f>
        <v>0</v>
      </c>
      <c r="H24" s="6">
        <f>+IF(Identification!B126="Net",+Juin!$DK$32,0)</f>
        <v>0</v>
      </c>
      <c r="I24" s="6">
        <f>+IF(Identification!B126="Net",+Mai!$DK$32,0)</f>
        <v>0</v>
      </c>
      <c r="J24" s="6">
        <f>+IF(Identification!B126="Net",+Mars!$DK$32,0)</f>
        <v>0</v>
      </c>
      <c r="K24" s="6">
        <f>+IF(Identification!B126="Net",+Novembre!$DK$32,0)</f>
        <v>0</v>
      </c>
      <c r="L24" s="6">
        <f>+IF(Identification!B126="Net",+Octobre!$DK$32,0)</f>
        <v>0</v>
      </c>
      <c r="M24" s="6">
        <f>+IF(Identification!B126="Net",+Septembre!$DK$32,0)</f>
        <v>0</v>
      </c>
    </row>
    <row r="25" spans="1:13" x14ac:dyDescent="0.2">
      <c r="A25" s="1" t="s">
        <v>1305</v>
      </c>
      <c r="B25" s="6">
        <f>+Aout!$Q$78</f>
        <v>0</v>
      </c>
      <c r="C25" s="6">
        <f>+Avril!$Q$78</f>
        <v>0</v>
      </c>
      <c r="D25" s="6">
        <f>+Décembre!$Q$78</f>
        <v>0</v>
      </c>
      <c r="E25" s="6">
        <f>+Février!$Q$78</f>
        <v>0</v>
      </c>
      <c r="F25" s="6">
        <f ca="1">+Janvier!$Q$78</f>
        <v>0</v>
      </c>
      <c r="G25" s="6">
        <f>+Juillet!$Q$78</f>
        <v>0</v>
      </c>
      <c r="H25" s="6">
        <f ca="1">+Juin!$Q$78</f>
        <v>0</v>
      </c>
      <c r="I25" s="6">
        <f>+Mai!$Q$78</f>
        <v>0</v>
      </c>
      <c r="J25" s="6">
        <f>+Mars!$Q$78</f>
        <v>0</v>
      </c>
      <c r="K25" s="6">
        <f>+Novembre!$Q$78</f>
        <v>0</v>
      </c>
      <c r="L25" s="6">
        <f>+Octobre!$Q$78</f>
        <v>0</v>
      </c>
      <c r="M25" s="6">
        <f>+Septembre!$Q$78</f>
        <v>0</v>
      </c>
    </row>
    <row r="26" spans="1:13" x14ac:dyDescent="0.2">
      <c r="A26" s="1" t="s">
        <v>1306</v>
      </c>
      <c r="B26" s="6">
        <f>+B23+B24+B25</f>
        <v>0</v>
      </c>
      <c r="C26" s="6">
        <f t="shared" ref="C26:M26" si="0">+C23+C24+C25</f>
        <v>0</v>
      </c>
      <c r="D26" s="6">
        <f t="shared" si="0"/>
        <v>0</v>
      </c>
      <c r="E26" s="6">
        <f t="shared" si="0"/>
        <v>0</v>
      </c>
      <c r="F26" s="6">
        <f t="shared" ca="1" si="0"/>
        <v>0</v>
      </c>
      <c r="G26" s="6">
        <f t="shared" si="0"/>
        <v>0</v>
      </c>
      <c r="H26" s="6">
        <f t="shared" ca="1" si="0"/>
        <v>0</v>
      </c>
      <c r="I26" s="6">
        <f t="shared" si="0"/>
        <v>0</v>
      </c>
      <c r="J26" s="6">
        <f t="shared" si="0"/>
        <v>0</v>
      </c>
      <c r="K26" s="6">
        <f t="shared" si="0"/>
        <v>0</v>
      </c>
      <c r="L26" s="6">
        <f t="shared" si="0"/>
        <v>0</v>
      </c>
      <c r="M26" s="6">
        <f t="shared" si="0"/>
        <v>0</v>
      </c>
    </row>
    <row r="27" spans="1:13" x14ac:dyDescent="0.2">
      <c r="A27" s="1" t="s">
        <v>920</v>
      </c>
      <c r="B27" s="6">
        <f>+Aout!$Q$82</f>
        <v>0</v>
      </c>
      <c r="C27" s="6">
        <f>+Avril!$Q$82</f>
        <v>0</v>
      </c>
      <c r="D27" s="6">
        <f>+Décembre!$Q$82</f>
        <v>0</v>
      </c>
      <c r="E27" s="6">
        <f>+Février!$Q$82</f>
        <v>0</v>
      </c>
      <c r="F27" s="6">
        <f>+Janvier!$Q$82</f>
        <v>0</v>
      </c>
      <c r="G27" s="6">
        <f>+Juillet!$Q$82</f>
        <v>0</v>
      </c>
      <c r="H27" s="6">
        <f>+Juin!$Q$82</f>
        <v>0</v>
      </c>
      <c r="I27" s="6">
        <f>+Mai!$Q$82</f>
        <v>0</v>
      </c>
      <c r="J27" s="6">
        <f>+Mars!$Q$82</f>
        <v>0</v>
      </c>
      <c r="K27" s="6">
        <f>+Novembre!$Q$82</f>
        <v>0</v>
      </c>
      <c r="L27" s="6">
        <f>+Octobre!$Q$82</f>
        <v>0</v>
      </c>
      <c r="M27" s="6">
        <f>+Septembre!$Q$82</f>
        <v>0</v>
      </c>
    </row>
    <row r="28" spans="1:13" x14ac:dyDescent="0.2">
      <c r="A28" s="1" t="s">
        <v>921</v>
      </c>
      <c r="B28" s="6">
        <f>+Aout!$Q$83</f>
        <v>0</v>
      </c>
      <c r="C28" s="6">
        <f>+Avril!$Q$83</f>
        <v>0</v>
      </c>
      <c r="D28" s="6">
        <f>+Décembre!$Q$83</f>
        <v>0</v>
      </c>
      <c r="E28" s="6">
        <f>+Février!$Q$83</f>
        <v>0</v>
      </c>
      <c r="F28" s="6">
        <f>+Janvier!$Q$83</f>
        <v>0</v>
      </c>
      <c r="G28" s="6">
        <f>+Juillet!$Q$83</f>
        <v>0</v>
      </c>
      <c r="H28" s="6">
        <f>+Juin!$Q$83</f>
        <v>0</v>
      </c>
      <c r="I28" s="6">
        <f>+Mai!$Q$83</f>
        <v>0</v>
      </c>
      <c r="J28" s="6">
        <f>+Mars!$Q$83</f>
        <v>0</v>
      </c>
      <c r="K28" s="6">
        <f>+Novembre!$Q$83</f>
        <v>0</v>
      </c>
      <c r="L28" s="6">
        <f>+Octobre!$Q$83</f>
        <v>0</v>
      </c>
      <c r="M28" s="6">
        <f>+Septembre!$Q$83</f>
        <v>0</v>
      </c>
    </row>
    <row r="29" spans="1:13" x14ac:dyDescent="0.2">
      <c r="A29" s="1" t="s">
        <v>1324</v>
      </c>
      <c r="B29" s="6">
        <f>+B26+B27+B28</f>
        <v>0</v>
      </c>
      <c r="C29" s="6">
        <f t="shared" ref="C29:M29" si="1">+C26+C27+C28</f>
        <v>0</v>
      </c>
      <c r="D29" s="6">
        <f t="shared" si="1"/>
        <v>0</v>
      </c>
      <c r="E29" s="6">
        <f t="shared" si="1"/>
        <v>0</v>
      </c>
      <c r="F29" s="6">
        <f t="shared" ca="1" si="1"/>
        <v>0</v>
      </c>
      <c r="G29" s="6">
        <f t="shared" si="1"/>
        <v>0</v>
      </c>
      <c r="H29" s="6">
        <f t="shared" ca="1" si="1"/>
        <v>0</v>
      </c>
      <c r="I29" s="6">
        <f t="shared" si="1"/>
        <v>0</v>
      </c>
      <c r="J29" s="6">
        <f t="shared" si="1"/>
        <v>0</v>
      </c>
      <c r="K29" s="6">
        <f t="shared" si="1"/>
        <v>0</v>
      </c>
      <c r="L29" s="6">
        <f t="shared" si="1"/>
        <v>0</v>
      </c>
      <c r="M29" s="6">
        <f t="shared" si="1"/>
        <v>0</v>
      </c>
    </row>
    <row r="30" spans="1:13" ht="46.5" customHeight="1" x14ac:dyDescent="0.2">
      <c r="A30" s="1" t="s">
        <v>1513</v>
      </c>
      <c r="B30" s="1354" t="str">
        <f>+Aout!CA68</f>
        <v>(Détail du calcul : ( 0 + 0 + 0 - 0 - 0 + 0 +  + 0 + 0 + 0 ) / 0 € )</v>
      </c>
      <c r="C30" s="1354" t="str">
        <f>+Avril!CA68</f>
        <v>(Détail du calcul : ( 0 + 0 + 0 - 0 - 0 + 0 +  + 0 + 0 + 0 ) / 0 € )</v>
      </c>
      <c r="D30" s="1354" t="str">
        <f>+Décembre!CA68</f>
        <v>(Détail du calcul : ( 0 + 0 + 0 - 0 - 0 + 0 +  + 0 + 0 + 0 ) / 0 € )</v>
      </c>
      <c r="E30" s="1354" t="str">
        <f>+Février!CA68</f>
        <v>(Détail du calcul : ( 0 + 0 + 0 - 0 - 0 + 0 +  + 0 + 0 + 0 ) / 0 € )</v>
      </c>
      <c r="F30" s="1354" t="str">
        <f>+Janvier!CA68</f>
        <v>(Détail du calcul : ( 0 + 0 + 0 - 0 - 0 + 0 +  + 0 + 0 + 0 ) / 0 € )</v>
      </c>
      <c r="G30" s="1354" t="str">
        <f>+Juillet!CA68</f>
        <v>(Détail du calcul : ( 0 + 0 + 0 - 0 - 0 + 0 +  + 0 + 0 + 0 ) / 0 € )</v>
      </c>
      <c r="H30" s="1354" t="str">
        <f ca="1">+Juin!CA68</f>
        <v>(Détail du calcul : ( 0 + 0 + 0 - 0 - 0 + 0 +  + 0 + 0 + 0 ) / 0 € )</v>
      </c>
      <c r="I30" s="1354" t="str">
        <f>+Mai!CA68</f>
        <v>(Détail du calcul : ( 0 + 0 + 0 - 0 - 0 + 0 +  + 0 + 0 + 0 ) / 0 € )</v>
      </c>
      <c r="J30" s="1354" t="str">
        <f>+Mars!CA68</f>
        <v>(Détail du calcul : ( 0 + 0 + 0 - 0 - 0 + 0 +  + 0 + 0 + 0 ) / 0 € )</v>
      </c>
      <c r="K30" s="1354" t="str">
        <f>+Novembre!CA68</f>
        <v>(Détail du calcul : ( 0 + 0 + 0 - 0 - 0 + 0 +  + 0 + 0 + 0 ) / 0 € )</v>
      </c>
      <c r="L30" s="1354" t="str">
        <f>+Octobre!CA68</f>
        <v>(Détail du calcul : ( 0 + 0 + 0 - 0 - 0 + 0 +  + 0 + 0 + 0 ) / 0 € )</v>
      </c>
      <c r="M30" s="1354" t="str">
        <f>+Septembre!CA68</f>
        <v>(Détail du calcul : ( 0 + 0 + 0 - 0 - 0 + 0 +  + 0 + 0 + 0 ) / 0 € )</v>
      </c>
    </row>
    <row r="31" spans="1:13" ht="77.25" customHeight="1" x14ac:dyDescent="0.2">
      <c r="A31" s="1" t="s">
        <v>1514</v>
      </c>
      <c r="B31" s="1354" t="str">
        <f>+Aout!CC75</f>
        <v>Détail : Nbre jours d'activité = jrs activités mensualisés (0 jrs) + jrs rajoutés (régul…) (0 jrs) - jrs déduits (0 jrs * (0 hrs / 0 hrs) + 0 jrs)</v>
      </c>
      <c r="C31" s="1354" t="str">
        <f>+Avril!CC75</f>
        <v>Détail : Nbre jours d'activité = jrs activités mensualisés (0 jrs) + jrs rajoutés (régul…) (0 jrs) - jrs déduits (0 jrs * (0 hrs / 0 hrs) + 0 jrs)</v>
      </c>
      <c r="D31" s="1354" t="str">
        <f>+Décembre!CC75</f>
        <v>Détail : Nbre jours d'activité = jrs activités mensualisés (0 jrs) + jrs rajoutés (régul…) (0 jrs) - jrs déduits (0 jrs * (0 hrs / 0 hrs) + 0 jrs)</v>
      </c>
      <c r="E31" s="1354" t="str">
        <f>+Février!CC75</f>
        <v>Détail : Nbre jours d'activité = jrs activités mensualisés (0 jrs) + jrs rajoutés (régul…) (0 jrs) - jrs déduits (0 jrs * (0 hrs / 0 hrs) + 0 jrs)</v>
      </c>
      <c r="F31" s="1354" t="str">
        <f>+Janvier!CC75</f>
        <v>Détail : Nbre jours d'activité = jrs activités mensualisés (0 jrs) + jrs rajoutés (régul…) (0 jrs) - jrs déduits (0 jrs * (0 hrs / 0 hrs) + 0 jrs)</v>
      </c>
      <c r="G31" s="1354" t="str">
        <f>+Juillet!CC75</f>
        <v>Détail : Nbre jours d'activité = jrs activités mensualisés (0 jrs) + jrs rajoutés (régul…) (0 jrs) - jrs déduits (0 jrs * (0 hrs / 0 hrs) + 0 jrs)</v>
      </c>
      <c r="H31" s="1354" t="str">
        <f>+Juin!CC75</f>
        <v>Détail : Nbre jours d'activité = jrs activités mensualisés (0 jrs) + jrs rajoutés (régul…) (0 jrs) - jrs déduits (0 jrs * (0 hrs / 0 hrs) + 0 jrs)</v>
      </c>
      <c r="I31" s="1354" t="str">
        <f>+Mai!CC75</f>
        <v>Détail : Nbre jours d'activité = jrs activités mensualisés (0 jrs) + jrs rajoutés (régul…) (0 jrs) - jrs déduits (0 jrs * (0 hrs / 0 hrs) + 0 jrs)</v>
      </c>
      <c r="J31" s="1354" t="str">
        <f>+Mars!CC75</f>
        <v>Détail : Nbre jours d'activité = jrs activités mensualisés (0 jrs) + jrs rajoutés (régul…) (0 jrs) - jrs déduits (0 jrs * (0 hrs / 0 hrs) + 0 jrs)</v>
      </c>
      <c r="K31" s="1354" t="str">
        <f>+Novembre!CC75</f>
        <v>Détail : Nbre jours d'activité = jrs activités mensualisés (0 jrs) + jrs rajoutés (régul…) (0 jrs) - jrs déduits (0 jrs * (0 hrs / 0 hrs) + 0 jrs)</v>
      </c>
      <c r="L31" s="1354" t="str">
        <f>+Octobre!CC75</f>
        <v>Détail : Nbre jours d'activité = jrs activités mensualisés (0 jrs) + jrs rajoutés (régul…) (0 jrs) - jrs déduits (0 jrs * (0 hrs / 0 hrs) + 0 jrs)</v>
      </c>
      <c r="M31" s="1354" t="str">
        <f>+Septembre!CC75</f>
        <v>Détail : Nbre jours d'activité = jrs activités mensualisés (0 jrs) + jrs rajoutés (régul…) (0 jrs) - jrs déduits (0 jrs * (0 hrs / 0 hrs) + 0 jrs)</v>
      </c>
    </row>
    <row r="32" spans="1:13" x14ac:dyDescent="0.2">
      <c r="A32" s="1" t="s">
        <v>1573</v>
      </c>
      <c r="B32" s="6" t="str">
        <f>+Aout!$BY$8</f>
        <v>NON</v>
      </c>
      <c r="C32" s="6" t="str">
        <f>+Avril!$BY$8</f>
        <v>NON</v>
      </c>
      <c r="D32" s="6" t="str">
        <f>+Décembre!$BY$8</f>
        <v>NON</v>
      </c>
      <c r="E32" s="6" t="str">
        <f>+Février!$BY$8</f>
        <v>NON</v>
      </c>
      <c r="F32" s="6" t="str">
        <f>+Janvier!$BY$8</f>
        <v>NON</v>
      </c>
      <c r="G32" s="6" t="str">
        <f>+Juillet!$BY$8</f>
        <v>NON</v>
      </c>
      <c r="H32" s="6" t="str">
        <f>+Juin!$BY$8</f>
        <v>NON</v>
      </c>
      <c r="I32" s="6" t="str">
        <f>+Mai!$BY$8</f>
        <v>NON</v>
      </c>
      <c r="J32" s="6" t="str">
        <f>+Mars!$BY$8</f>
        <v>NON</v>
      </c>
      <c r="K32" s="6" t="str">
        <f>+Novembre!$BY$8</f>
        <v>NON</v>
      </c>
      <c r="L32" s="6" t="str">
        <f>+Octobre!$BY$8</f>
        <v>NON</v>
      </c>
      <c r="M32" s="6" t="str">
        <f>+Septembre!$BY$8</f>
        <v>NON</v>
      </c>
    </row>
    <row r="33" spans="1:13" x14ac:dyDescent="0.2">
      <c r="A33" s="1" t="s">
        <v>1261</v>
      </c>
      <c r="B33" s="9">
        <f>+Aout!$X$5</f>
        <v>46235</v>
      </c>
      <c r="C33" s="9">
        <f>+Avril!$X$5</f>
        <v>46113</v>
      </c>
      <c r="D33" s="9">
        <f>+Décembre!$X$5</f>
        <v>46357</v>
      </c>
      <c r="E33" s="9">
        <f>+Février!$X$5</f>
        <v>46054</v>
      </c>
      <c r="F33" s="9">
        <f>+Janvier!$X$5</f>
        <v>46023</v>
      </c>
      <c r="G33" s="9">
        <f>+Juillet!$X$5</f>
        <v>46204</v>
      </c>
      <c r="H33" s="9">
        <f>+Juin!$X$5</f>
        <v>46174</v>
      </c>
      <c r="I33" s="9">
        <f>+Mai!$X$5</f>
        <v>46143</v>
      </c>
      <c r="J33" s="9">
        <f>+Mars!$X$5</f>
        <v>46082</v>
      </c>
      <c r="K33" s="9">
        <f>+Novembre!$X$5</f>
        <v>46327</v>
      </c>
      <c r="L33" s="9">
        <f>+Octobre!$X$5</f>
        <v>46296</v>
      </c>
      <c r="M33" s="9">
        <f>+Septembre!$X$5</f>
        <v>46266</v>
      </c>
    </row>
    <row r="34" spans="1:13" x14ac:dyDescent="0.2">
      <c r="A34" s="1" t="s">
        <v>657</v>
      </c>
      <c r="B34" s="9">
        <f>+Aout!$AB$5</f>
        <v>46265</v>
      </c>
      <c r="C34" s="9">
        <f>+Avril!$AB$5</f>
        <v>46142</v>
      </c>
      <c r="D34" s="9">
        <f>+Décembre!$AB$5</f>
        <v>46387</v>
      </c>
      <c r="E34" s="9">
        <f>+Février!$AB$5</f>
        <v>46081</v>
      </c>
      <c r="F34" s="9">
        <f>+Janvier!$AB$5</f>
        <v>46053</v>
      </c>
      <c r="G34" s="9">
        <f>+Juillet!$AB$5</f>
        <v>46234</v>
      </c>
      <c r="H34" s="9">
        <f>+Juin!$AB$5</f>
        <v>46203</v>
      </c>
      <c r="I34" s="9">
        <f>+Mai!$AB$5</f>
        <v>46173</v>
      </c>
      <c r="J34" s="9">
        <f>+Mars!$AB$5</f>
        <v>46112</v>
      </c>
      <c r="K34" s="9">
        <f>+Novembre!$AB$5</f>
        <v>46356</v>
      </c>
      <c r="L34" s="9">
        <f>+Octobre!$AB$5</f>
        <v>46326</v>
      </c>
      <c r="M34" s="9">
        <f>+Septembre!$AB$5</f>
        <v>46295</v>
      </c>
    </row>
    <row r="35" spans="1:13" x14ac:dyDescent="0.2">
      <c r="A35" s="1" t="s">
        <v>1688</v>
      </c>
      <c r="B35" s="1">
        <f>+IF(Aout!$AJ$131="Oui",0,Aout!$N$70)</f>
        <v>0</v>
      </c>
      <c r="C35" s="1">
        <f>+IF(Avril!$AJ$131="Oui",0,Avril!$N$70)</f>
        <v>0</v>
      </c>
      <c r="D35" s="1">
        <f>+IF(Décembre!$AJ$131="Oui",0,Décembre!$N$70)</f>
        <v>0</v>
      </c>
      <c r="E35" s="1">
        <f>+IF(Février!$AJ$131="Oui",0,Février!$N$70)</f>
        <v>0</v>
      </c>
      <c r="F35" s="1">
        <f>+IF(Janvier!$AJ$131="Oui",0,Janvier!$N$70)</f>
        <v>0</v>
      </c>
      <c r="G35" s="1">
        <f>+IF(Juillet!$AJ$131="Oui",0,Juillet!$N$70)</f>
        <v>0</v>
      </c>
      <c r="H35" s="1">
        <f>+IF(Juin!$AJ$131="Oui",0,Juin!$N$70)</f>
        <v>0</v>
      </c>
      <c r="I35" s="1">
        <f>+IF(Mai!$AJ$131="Oui",0,Mai!$N$70)</f>
        <v>0</v>
      </c>
      <c r="J35" s="1">
        <f>+IF(Mars!$AJ$131="Oui",0,Mars!$N$70)</f>
        <v>0</v>
      </c>
      <c r="K35" s="1">
        <f>+IF(Novembre!$AJ$131="Oui",0,Novembre!$N$70)</f>
        <v>0</v>
      </c>
      <c r="L35" s="1">
        <f>+IF(Octobre!$AJ$131="Oui",0,Octobre!$N$70)</f>
        <v>0</v>
      </c>
      <c r="M35" s="1">
        <f>+IF(Septembre!$AJ$131="Oui",0,Septembre!$N$70)</f>
        <v>0</v>
      </c>
    </row>
    <row r="36" spans="1:13" x14ac:dyDescent="0.2">
      <c r="A36" s="1" t="s">
        <v>1689</v>
      </c>
      <c r="B36" s="1586" t="str">
        <f>+Aout!$AJ$131</f>
        <v>Oui</v>
      </c>
      <c r="C36" s="1586" t="str">
        <f>+Avril!$AJ$131</f>
        <v>Oui</v>
      </c>
      <c r="D36" s="1586" t="str">
        <f>+Décembre!$AJ$131</f>
        <v>Oui</v>
      </c>
      <c r="E36" s="1586" t="str">
        <f>+Février!$AJ$131</f>
        <v>Oui</v>
      </c>
      <c r="F36" s="1586" t="str">
        <f>+Janvier!$AJ$131</f>
        <v>Oui</v>
      </c>
      <c r="G36" s="1586" t="str">
        <f>+Juillet!$AJ$131</f>
        <v>Oui</v>
      </c>
      <c r="H36" s="1586" t="str">
        <f>+Juin!$AJ$131</f>
        <v>Oui</v>
      </c>
      <c r="I36" s="1586" t="str">
        <f>+Mai!$AJ$131</f>
        <v>Oui</v>
      </c>
      <c r="J36" s="1586" t="str">
        <f>+Mars!$AJ$131</f>
        <v>Oui</v>
      </c>
      <c r="K36" s="1586" t="str">
        <f>+Novembre!$AJ$131</f>
        <v>Oui</v>
      </c>
      <c r="L36" s="1586" t="str">
        <f>+Octobre!$AJ$131</f>
        <v>Oui</v>
      </c>
      <c r="M36" s="1586" t="str">
        <f>+Septembre!$AJ$131</f>
        <v>Oui</v>
      </c>
    </row>
    <row r="37" spans="1:13" x14ac:dyDescent="0.2">
      <c r="B37" s="6"/>
      <c r="C37" s="6"/>
      <c r="D37" s="6"/>
      <c r="E37" s="6"/>
      <c r="F37" s="6"/>
      <c r="G37" s="6"/>
      <c r="H37" s="6"/>
      <c r="I37" s="6"/>
      <c r="J37" s="6"/>
      <c r="K37" s="6"/>
      <c r="L37" s="6"/>
      <c r="M37" s="6"/>
    </row>
    <row r="38" spans="1:13" x14ac:dyDescent="0.2">
      <c r="B38" s="6"/>
      <c r="C38" s="6"/>
      <c r="D38" s="6"/>
      <c r="E38" s="6"/>
      <c r="F38" s="6"/>
      <c r="G38" s="6"/>
      <c r="H38" s="6"/>
      <c r="I38" s="6"/>
      <c r="J38" s="6"/>
      <c r="K38" s="6"/>
      <c r="L38" s="6"/>
      <c r="M38" s="6"/>
    </row>
    <row r="39" spans="1:13" x14ac:dyDescent="0.2">
      <c r="B39" s="6"/>
      <c r="C39" s="6"/>
      <c r="D39" s="6"/>
      <c r="E39" s="6"/>
      <c r="F39" s="6"/>
      <c r="G39" s="6"/>
      <c r="H39" s="6"/>
      <c r="I39" s="6"/>
      <c r="J39" s="6"/>
      <c r="K39" s="6"/>
      <c r="L39" s="6"/>
      <c r="M39" s="6"/>
    </row>
    <row r="40" spans="1:13" x14ac:dyDescent="0.2">
      <c r="B40" s="6"/>
      <c r="C40" s="6"/>
      <c r="D40" s="6"/>
      <c r="E40" s="6"/>
      <c r="F40" s="6"/>
      <c r="G40" s="6"/>
      <c r="H40" s="6"/>
      <c r="I40" s="6"/>
      <c r="J40" s="6"/>
      <c r="K40" s="6"/>
      <c r="L40" s="6"/>
      <c r="M40" s="6"/>
    </row>
    <row r="42" spans="1:13" x14ac:dyDescent="0.2">
      <c r="A42" s="1" t="s">
        <v>448</v>
      </c>
    </row>
    <row r="43" spans="1:13" x14ac:dyDescent="0.2">
      <c r="A43" s="8" t="s">
        <v>90</v>
      </c>
    </row>
    <row r="44" spans="1:13" x14ac:dyDescent="0.2">
      <c r="A44" s="8" t="s">
        <v>91</v>
      </c>
    </row>
    <row r="45" spans="1:13" x14ac:dyDescent="0.2">
      <c r="A45" s="8" t="s">
        <v>92</v>
      </c>
    </row>
    <row r="46" spans="1:13" x14ac:dyDescent="0.2">
      <c r="A46" s="8" t="s">
        <v>93</v>
      </c>
    </row>
    <row r="47" spans="1:13" x14ac:dyDescent="0.2">
      <c r="A47" s="8" t="s">
        <v>94</v>
      </c>
    </row>
    <row r="48" spans="1:13" x14ac:dyDescent="0.2">
      <c r="A48" s="8" t="s">
        <v>95</v>
      </c>
    </row>
    <row r="49" spans="1:1" x14ac:dyDescent="0.2">
      <c r="A49" s="8" t="s">
        <v>96</v>
      </c>
    </row>
    <row r="50" spans="1:1" x14ac:dyDescent="0.2">
      <c r="A50" s="8" t="s">
        <v>97</v>
      </c>
    </row>
    <row r="51" spans="1:1" x14ac:dyDescent="0.2">
      <c r="A51" s="8" t="s">
        <v>98</v>
      </c>
    </row>
    <row r="52" spans="1:1" x14ac:dyDescent="0.2">
      <c r="A52" s="8" t="s">
        <v>99</v>
      </c>
    </row>
    <row r="53" spans="1:1" x14ac:dyDescent="0.2">
      <c r="A53" s="8" t="s">
        <v>100</v>
      </c>
    </row>
    <row r="54" spans="1:1" x14ac:dyDescent="0.2">
      <c r="A54" s="8" t="s">
        <v>101</v>
      </c>
    </row>
  </sheetData>
  <sheetProtection algorithmName="SHA-512" hashValue="3M4Wi9N/fzeF0PqsXBlADA7PpmgT+CwF2/iOFT4YLfvXhgUpQZH8/R72AIOwHfNlRLF0D5iRY/g6oU1yP3yy+A==" saltValue="Z/uzyV0fIJBAcKTt1WqXyg==" spinCount="100000" sheet="1" objects="1" scenarios="1" formatCells="0" formatColumns="0" formatRows="0" insertColumns="0" insertRows="0" insertHyperlinks="0" sort="0" autoFilter="0" pivotTables="0"/>
  <sortState xmlns:xlrd2="http://schemas.microsoft.com/office/spreadsheetml/2017/richdata2" columnSort="1" ref="B5:M27">
    <sortCondition ref="B5:M5"/>
  </sortState>
  <dataConsolidate/>
  <pageMargins left="0.70866141732283472" right="0.70866141732283472" top="0.74803149606299213" bottom="0.74803149606299213" header="0.51181102362204722" footer="0.51181102362204722"/>
  <pageSetup firstPageNumber="0"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E32"/>
  <sheetViews>
    <sheetView showGridLines="0" topLeftCell="I1" zoomScale="90" zoomScaleNormal="90" workbookViewId="0">
      <selection activeCell="HL2" sqref="HL2"/>
    </sheetView>
  </sheetViews>
  <sheetFormatPr baseColWidth="10" defaultColWidth="11.42578125" defaultRowHeight="12.75" x14ac:dyDescent="0.2"/>
  <cols>
    <col min="1" max="1" width="21" style="16" hidden="1" customWidth="1"/>
    <col min="2" max="2" width="20.28515625" style="16" hidden="1" customWidth="1"/>
    <col min="3" max="3" width="0" style="16" hidden="1" customWidth="1"/>
    <col min="4" max="4" width="16" style="16" hidden="1" customWidth="1"/>
    <col min="5" max="5" width="18.7109375" style="16" hidden="1" customWidth="1"/>
    <col min="6" max="8" width="0" style="16" hidden="1" customWidth="1"/>
    <col min="9" max="16384" width="11.42578125" style="16"/>
  </cols>
  <sheetData>
    <row r="2" spans="1:5" ht="18" x14ac:dyDescent="0.25">
      <c r="A2" s="17" t="s">
        <v>204</v>
      </c>
    </row>
    <row r="5" spans="1:5" x14ac:dyDescent="0.2">
      <c r="A5" s="16" t="s">
        <v>205</v>
      </c>
    </row>
    <row r="7" spans="1:5" x14ac:dyDescent="0.2">
      <c r="A7" s="18" t="s">
        <v>211</v>
      </c>
    </row>
    <row r="9" spans="1:5" x14ac:dyDescent="0.2">
      <c r="A9" s="19" t="s">
        <v>209</v>
      </c>
    </row>
    <row r="11" spans="1:5" x14ac:dyDescent="0.2">
      <c r="A11" s="2477" t="s">
        <v>206</v>
      </c>
      <c r="B11" s="2479"/>
      <c r="D11" s="2477" t="s">
        <v>207</v>
      </c>
      <c r="E11" s="2479"/>
    </row>
    <row r="12" spans="1:5" x14ac:dyDescent="0.2">
      <c r="A12" s="20" t="s">
        <v>26</v>
      </c>
      <c r="B12" s="21" t="s">
        <v>208</v>
      </c>
      <c r="D12" s="20" t="s">
        <v>26</v>
      </c>
      <c r="E12" s="21" t="s">
        <v>208</v>
      </c>
    </row>
    <row r="13" spans="1:5" x14ac:dyDescent="0.2">
      <c r="A13" s="16" t="str">
        <f>+"Janvier "&amp; Identification!B60</f>
        <v>Janvier 2026</v>
      </c>
      <c r="B13" s="22">
        <f ca="1">+Janvier!T35-Janvier!HO16-Janvier!T30-Janvier!T32-Janvier!T27-Janvier!T28</f>
        <v>0</v>
      </c>
      <c r="D13" s="16" t="str">
        <f>+"Juin "&amp; Identification!B60</f>
        <v>Juin 2026</v>
      </c>
      <c r="E13" s="22">
        <f ca="1">+Juin!T35-Juin!HO16-Juin!T30-Juin!T32-Juin!T27-Juin!T28</f>
        <v>0</v>
      </c>
    </row>
    <row r="14" spans="1:5" x14ac:dyDescent="0.2">
      <c r="A14" s="16" t="str">
        <f>+"Février "&amp; Identification!B60</f>
        <v>Février 2026</v>
      </c>
      <c r="B14" s="22">
        <f>+Février!T35-Février!HO16-Février!T30-Février!T32-Février!T27-Février!T28</f>
        <v>0</v>
      </c>
      <c r="D14" s="16" t="str">
        <f>+"Juillet  "&amp; Identification!B60</f>
        <v>Juillet  2026</v>
      </c>
      <c r="E14" s="22">
        <f>+Juillet!T35-Juillet!HO16-Juillet!T30-Juillet!T32-Juillet!T27-Juillet!T28</f>
        <v>0</v>
      </c>
    </row>
    <row r="15" spans="1:5" x14ac:dyDescent="0.2">
      <c r="A15" s="16" t="str">
        <f>+"Mars "&amp; Identification!B60</f>
        <v>Mars 2026</v>
      </c>
      <c r="B15" s="22">
        <f>+Mars!T35-Mars!HO16-Mars!T30-Mars!T32-Mars!T27-Mars!T28</f>
        <v>0</v>
      </c>
      <c r="D15" s="16" t="str">
        <f>+"Août "&amp; Identification!B60</f>
        <v>Août 2026</v>
      </c>
      <c r="E15" s="22">
        <f>+Aout!T35-Aout!HO16-Aout!T30-Aout!T32-Aout!T27-Aout!T28</f>
        <v>0</v>
      </c>
    </row>
    <row r="16" spans="1:5" x14ac:dyDescent="0.2">
      <c r="A16" s="16" t="str">
        <f>+"Avril "&amp; Identification!B60</f>
        <v>Avril 2026</v>
      </c>
      <c r="B16" s="22">
        <f>+Avril!T35-Avril!HO16-Avril!T30-Avril!T32-Avril!T27-Avril!T28</f>
        <v>0</v>
      </c>
      <c r="D16" s="16" t="str">
        <f>+"Septembre "&amp; Identification!B60</f>
        <v>Septembre 2026</v>
      </c>
      <c r="E16" s="22">
        <f>+Septembre!T35-Septembre!HO16-Septembre!T30-Septembre!T32-Septembre!T27-Septembre!T28</f>
        <v>0</v>
      </c>
    </row>
    <row r="17" spans="1:5" x14ac:dyDescent="0.2">
      <c r="A17" s="16" t="str">
        <f>+"Mai "&amp; Identification!B60</f>
        <v>Mai 2026</v>
      </c>
      <c r="B17" s="22">
        <f>+Mai!T35-Mai!HO16-Mai!T30-Mai!T32-Mai!T27-Mai!T38</f>
        <v>0</v>
      </c>
      <c r="D17" s="16" t="str">
        <f>+"Octobre "&amp; Identification!B60</f>
        <v>Octobre 2026</v>
      </c>
      <c r="E17" s="22">
        <f>+Octobre!T35-Octobre!HO16-Octobre!T30-Octobre!T32-Octobre!T27-Octobre!T28</f>
        <v>0</v>
      </c>
    </row>
    <row r="18" spans="1:5" x14ac:dyDescent="0.2">
      <c r="D18" s="16" t="str">
        <f>+"Novembre "&amp; Identification!B60</f>
        <v>Novembre 2026</v>
      </c>
      <c r="E18" s="22">
        <f>+Novembre!T35-Novembre!HO16-Novembre!T30-Novembre!T32-Novembre!T27-Novembre!T28</f>
        <v>0</v>
      </c>
    </row>
    <row r="19" spans="1:5" x14ac:dyDescent="0.2">
      <c r="D19" s="16" t="str">
        <f>+"Décembre "&amp; Identification!B60</f>
        <v>Décembre 2026</v>
      </c>
      <c r="E19" s="22">
        <f>+Décembre!T35-Décembre!HO16-Décembre!T30-Décembre!T32-Décembre!T27-Décembre!T28</f>
        <v>0</v>
      </c>
    </row>
    <row r="22" spans="1:5" x14ac:dyDescent="0.2">
      <c r="A22" s="19" t="s">
        <v>515</v>
      </c>
    </row>
    <row r="24" spans="1:5" x14ac:dyDescent="0.2">
      <c r="A24" s="2477" t="s">
        <v>206</v>
      </c>
      <c r="B24" s="2479"/>
      <c r="D24" s="2477" t="s">
        <v>207</v>
      </c>
      <c r="E24" s="2479"/>
    </row>
    <row r="25" spans="1:5" x14ac:dyDescent="0.2">
      <c r="A25" s="20" t="s">
        <v>26</v>
      </c>
      <c r="B25" s="21" t="s">
        <v>208</v>
      </c>
      <c r="D25" s="20" t="s">
        <v>26</v>
      </c>
      <c r="E25" s="21" t="s">
        <v>208</v>
      </c>
    </row>
    <row r="26" spans="1:5" x14ac:dyDescent="0.2">
      <c r="A26" s="16" t="str">
        <f>+"Janvier "&amp; Identification!B60</f>
        <v>Janvier 2026</v>
      </c>
      <c r="B26" s="22">
        <f>+Janvier!HO16</f>
        <v>0</v>
      </c>
      <c r="D26" s="16" t="str">
        <f>+"Juin "&amp; Identification!B60</f>
        <v>Juin 2026</v>
      </c>
      <c r="E26" s="22">
        <f>+Juin!HO16</f>
        <v>0</v>
      </c>
    </row>
    <row r="27" spans="1:5" x14ac:dyDescent="0.2">
      <c r="A27" s="16" t="str">
        <f>+"Février "&amp; Identification!B60</f>
        <v>Février 2026</v>
      </c>
      <c r="B27" s="22">
        <f>+Février!HO16</f>
        <v>0</v>
      </c>
      <c r="D27" s="16" t="str">
        <f>+"Juillet  "&amp; Identification!B60</f>
        <v>Juillet  2026</v>
      </c>
      <c r="E27" s="22">
        <f>+Juillet!HO16</f>
        <v>0</v>
      </c>
    </row>
    <row r="28" spans="1:5" x14ac:dyDescent="0.2">
      <c r="A28" s="16" t="str">
        <f>+"Mars "&amp; Identification!B60</f>
        <v>Mars 2026</v>
      </c>
      <c r="B28" s="22">
        <f>+Mars!HO16</f>
        <v>0</v>
      </c>
      <c r="D28" s="16" t="str">
        <f>+"Août "&amp; Identification!B60</f>
        <v>Août 2026</v>
      </c>
      <c r="E28" s="22">
        <f>+Aout!HO16</f>
        <v>0</v>
      </c>
    </row>
    <row r="29" spans="1:5" x14ac:dyDescent="0.2">
      <c r="A29" s="16" t="str">
        <f>+"Avril "&amp; Identification!B60</f>
        <v>Avril 2026</v>
      </c>
      <c r="B29" s="22">
        <f>+Avril!HO16</f>
        <v>0</v>
      </c>
      <c r="D29" s="16" t="str">
        <f>+"Septembre "&amp; Identification!B60</f>
        <v>Septembre 2026</v>
      </c>
      <c r="E29" s="22">
        <f>+Septembre!HO16</f>
        <v>0</v>
      </c>
    </row>
    <row r="30" spans="1:5" x14ac:dyDescent="0.2">
      <c r="A30" s="16" t="str">
        <f>+"Mai "&amp; Identification!B60</f>
        <v>Mai 2026</v>
      </c>
      <c r="B30" s="22">
        <f>+Mai!HO16</f>
        <v>0</v>
      </c>
      <c r="D30" s="16" t="str">
        <f>+"Octobre "&amp; Identification!B60</f>
        <v>Octobre 2026</v>
      </c>
      <c r="E30" s="22">
        <f>+Octobre!HO16</f>
        <v>0</v>
      </c>
    </row>
    <row r="31" spans="1:5" x14ac:dyDescent="0.2">
      <c r="D31" s="16" t="str">
        <f>+"Novembre "&amp; Identification!B60</f>
        <v>Novembre 2026</v>
      </c>
      <c r="E31" s="22">
        <f>+Novembre!HO16</f>
        <v>0</v>
      </c>
    </row>
    <row r="32" spans="1:5" x14ac:dyDescent="0.2">
      <c r="D32" s="16" t="str">
        <f>+"Décembre "&amp; Identification!B60</f>
        <v>Décembre 2026</v>
      </c>
      <c r="E32" s="22">
        <f>+Décembre!HO16</f>
        <v>0</v>
      </c>
    </row>
  </sheetData>
  <sheetProtection algorithmName="SHA-512" hashValue="vrewj9eFGhVFn+DQjrnvP2l0n/qAHumZamueQmeff5GxjWvKNfDP47rVFAQDrbsFtLgVu2I7jYWwPFR5rC8KFQ==" saltValue="/BvEdqRvhHwSB80u4E24yQ==" spinCount="100000" sheet="1" objects="1" scenarios="1" formatCells="0" formatColumns="0" formatRows="0" insertColumns="0" insertRows="0" insertHyperlinks="0" sort="0" autoFilter="0" pivotTables="0"/>
  <mergeCells count="4">
    <mergeCell ref="A11:B11"/>
    <mergeCell ref="D11:E11"/>
    <mergeCell ref="A24:B24"/>
    <mergeCell ref="D24:E24"/>
  </mergeCells>
  <pageMargins left="0.7" right="0.7" top="0.75" bottom="0.75" header="0.3" footer="0.3"/>
  <pageSetup paperSize="9" orientation="portrait" horizontalDpi="1200" verticalDpi="12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J21"/>
  <sheetViews>
    <sheetView topLeftCell="J1" workbookViewId="0">
      <selection activeCell="HL2" sqref="HL2"/>
    </sheetView>
  </sheetViews>
  <sheetFormatPr baseColWidth="10" defaultRowHeight="12.75" outlineLevelCol="1" x14ac:dyDescent="0.2"/>
  <cols>
    <col min="1" max="1" width="17.140625" hidden="1" customWidth="1" outlineLevel="1"/>
    <col min="2" max="2" width="10.140625" hidden="1" customWidth="1" outlineLevel="1"/>
    <col min="3" max="9" width="11.42578125" hidden="1" customWidth="1" outlineLevel="1"/>
    <col min="10" max="10" width="11.42578125" customWidth="1" collapsed="1"/>
    <col min="11" max="157" width="11.42578125" customWidth="1"/>
  </cols>
  <sheetData>
    <row r="1" spans="1:2" x14ac:dyDescent="0.2">
      <c r="A1" t="s">
        <v>12</v>
      </c>
      <c r="B1">
        <f>+Identification!B60</f>
        <v>2026</v>
      </c>
    </row>
    <row r="2" spans="1:2" x14ac:dyDescent="0.2">
      <c r="A2" t="s">
        <v>1060</v>
      </c>
      <c r="B2" s="558">
        <f>DATE(B1,1,1)</f>
        <v>46023</v>
      </c>
    </row>
    <row r="3" spans="1:2" x14ac:dyDescent="0.2">
      <c r="A3" t="s">
        <v>1061</v>
      </c>
      <c r="B3" s="558">
        <f>ROUND(DATE(B1,4,MOD(234-11*MOD(B1,19),30))/7,0)*7-6</f>
        <v>46117</v>
      </c>
    </row>
    <row r="4" spans="1:2" x14ac:dyDescent="0.2">
      <c r="A4" t="s">
        <v>1062</v>
      </c>
      <c r="B4" s="558">
        <f>B3+1</f>
        <v>46118</v>
      </c>
    </row>
    <row r="5" spans="1:2" x14ac:dyDescent="0.2">
      <c r="A5" t="s">
        <v>1063</v>
      </c>
      <c r="B5" s="558">
        <f>DATE(B1,5,1)</f>
        <v>46143</v>
      </c>
    </row>
    <row r="6" spans="1:2" x14ac:dyDescent="0.2">
      <c r="A6" t="s">
        <v>1064</v>
      </c>
      <c r="B6" s="558">
        <f>DATE(B1,5,8)</f>
        <v>46150</v>
      </c>
    </row>
    <row r="7" spans="1:2" x14ac:dyDescent="0.2">
      <c r="A7" t="s">
        <v>1065</v>
      </c>
      <c r="B7" s="558">
        <f>B3+39</f>
        <v>46156</v>
      </c>
    </row>
    <row r="8" spans="1:2" x14ac:dyDescent="0.2">
      <c r="A8" t="s">
        <v>1066</v>
      </c>
      <c r="B8" s="558">
        <f>B3+49</f>
        <v>46166</v>
      </c>
    </row>
    <row r="9" spans="1:2" x14ac:dyDescent="0.2">
      <c r="A9" t="s">
        <v>1067</v>
      </c>
      <c r="B9" s="558">
        <f>B3+50</f>
        <v>46167</v>
      </c>
    </row>
    <row r="10" spans="1:2" x14ac:dyDescent="0.2">
      <c r="A10" t="s">
        <v>1068</v>
      </c>
      <c r="B10" s="558">
        <f>DATE(B1,7,14)</f>
        <v>46217</v>
      </c>
    </row>
    <row r="11" spans="1:2" x14ac:dyDescent="0.2">
      <c r="A11" t="s">
        <v>1069</v>
      </c>
      <c r="B11" s="558">
        <f>DATE(B1,8,15)</f>
        <v>46249</v>
      </c>
    </row>
    <row r="12" spans="1:2" x14ac:dyDescent="0.2">
      <c r="A12" t="s">
        <v>1070</v>
      </c>
      <c r="B12" s="558">
        <f>DATE(B1,11,1)</f>
        <v>46327</v>
      </c>
    </row>
    <row r="13" spans="1:2" x14ac:dyDescent="0.2">
      <c r="A13" t="s">
        <v>1071</v>
      </c>
      <c r="B13" s="558">
        <f>DATE(B1,11,11)</f>
        <v>46337</v>
      </c>
    </row>
    <row r="14" spans="1:2" x14ac:dyDescent="0.2">
      <c r="A14" t="s">
        <v>1072</v>
      </c>
      <c r="B14" s="558">
        <f>DATE(B1,12,25)</f>
        <v>46381</v>
      </c>
    </row>
    <row r="15" spans="1:2" x14ac:dyDescent="0.2">
      <c r="B15" s="558"/>
    </row>
    <row r="16" spans="1:2" x14ac:dyDescent="0.2">
      <c r="B16" s="558"/>
    </row>
    <row r="17" spans="2:2" x14ac:dyDescent="0.2">
      <c r="B17" s="558"/>
    </row>
    <row r="18" spans="2:2" x14ac:dyDescent="0.2">
      <c r="B18" s="558"/>
    </row>
    <row r="19" spans="2:2" x14ac:dyDescent="0.2">
      <c r="B19" s="558"/>
    </row>
    <row r="20" spans="2:2" x14ac:dyDescent="0.2">
      <c r="B20" s="558"/>
    </row>
    <row r="21" spans="2:2" x14ac:dyDescent="0.2">
      <c r="B21" s="558"/>
    </row>
  </sheetData>
  <sheetProtection algorithmName="SHA-512" hashValue="tJmf/k6uBwYXl3eTYG8ziKZFvcrQMCBUn77NojmToj/qJcVkFkqrGKmQQVa52WdXLItUeuup9PXE89ogyr8P+A==" saltValue="2+fx2Y7Kfzx1R0+L6SLNfA==" spinCount="100000" sheet="1" objects="1" scenarios="1" formatCells="0" formatColumns="0" formatRows="0" insertColumns="0" insertRows="0" insertHyperlinks="0" sort="0" autoFilter="0" pivotTables="0"/>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FB422"/>
  <sheetViews>
    <sheetView topLeftCell="FB1" workbookViewId="0">
      <selection activeCell="HL2" sqref="HL2"/>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5703125" style="16" hidden="1" customWidth="1" outlineLevel="1"/>
    <col min="4" max="4" width="16.28515625" style="16" hidden="1" customWidth="1" outlineLevel="1"/>
    <col min="5" max="5" width="16.5703125" style="16" hidden="1" customWidth="1" outlineLevel="1"/>
    <col min="6" max="6" width="16.28515625" style="16" hidden="1" customWidth="1" outlineLevel="1"/>
    <col min="7" max="7" width="20.5703125" style="16" hidden="1" customWidth="1" outlineLevel="1"/>
    <col min="8" max="8" width="20.28515625" style="16" hidden="1" customWidth="1" outlineLevel="1"/>
    <col min="9" max="9" width="21.5703125" style="16" hidden="1" customWidth="1" outlineLevel="1"/>
    <col min="10" max="11" width="23.140625" style="16" hidden="1" customWidth="1" outlineLevel="1"/>
    <col min="12" max="12" width="19.28515625" style="16" hidden="1" customWidth="1" outlineLevel="1"/>
    <col min="13" max="15" width="25.7109375" style="16" hidden="1" customWidth="1" outlineLevel="1"/>
    <col min="16" max="16" width="10.7109375" style="16" hidden="1" customWidth="1" outlineLevel="1"/>
    <col min="17" max="17" width="5.42578125" style="16" hidden="1" customWidth="1" outlineLevel="1"/>
    <col min="18" max="157" width="11.42578125" style="16" hidden="1" customWidth="1" outlineLevel="1"/>
    <col min="158" max="158" width="11.42578125" style="16" customWidth="1" collapsed="1"/>
    <col min="159" max="159" width="11.42578125" style="16" customWidth="1"/>
    <col min="160" max="16384" width="11.42578125" style="16"/>
  </cols>
  <sheetData>
    <row r="1" spans="1:17" s="27" customFormat="1" x14ac:dyDescent="0.2">
      <c r="A1" s="27">
        <v>1</v>
      </c>
      <c r="B1" s="27">
        <v>2</v>
      </c>
      <c r="C1" s="27">
        <v>3</v>
      </c>
      <c r="D1" s="27">
        <v>4</v>
      </c>
      <c r="E1" s="27">
        <v>5</v>
      </c>
      <c r="F1" s="27">
        <v>6</v>
      </c>
      <c r="G1" s="27">
        <v>7</v>
      </c>
      <c r="H1" s="27">
        <v>8</v>
      </c>
      <c r="I1" s="27">
        <v>9</v>
      </c>
      <c r="J1" s="27">
        <v>10</v>
      </c>
      <c r="K1" s="27">
        <v>11</v>
      </c>
      <c r="L1" s="27">
        <v>12</v>
      </c>
      <c r="M1" s="27">
        <v>13</v>
      </c>
      <c r="N1" s="27">
        <v>14</v>
      </c>
      <c r="O1" s="27">
        <v>15</v>
      </c>
    </row>
    <row r="2" spans="1:17" s="27" customFormat="1" ht="37.5" customHeight="1" x14ac:dyDescent="0.2">
      <c r="A2" s="452" t="s">
        <v>880</v>
      </c>
      <c r="B2" s="452" t="s">
        <v>27</v>
      </c>
      <c r="C2" s="452" t="s">
        <v>881</v>
      </c>
      <c r="D2" s="452" t="s">
        <v>882</v>
      </c>
      <c r="E2" s="452" t="s">
        <v>883</v>
      </c>
      <c r="F2" s="452" t="s">
        <v>884</v>
      </c>
      <c r="G2" s="452" t="s">
        <v>885</v>
      </c>
      <c r="H2" s="452" t="s">
        <v>886</v>
      </c>
      <c r="I2" s="452" t="s">
        <v>887</v>
      </c>
      <c r="J2" s="452" t="s">
        <v>888</v>
      </c>
      <c r="K2" s="452" t="s">
        <v>889</v>
      </c>
      <c r="L2" s="452" t="s">
        <v>890</v>
      </c>
      <c r="M2" s="452" t="s">
        <v>893</v>
      </c>
      <c r="N2" s="452" t="s">
        <v>1479</v>
      </c>
      <c r="O2" s="452" t="s">
        <v>1669</v>
      </c>
      <c r="P2" s="27" t="s">
        <v>891</v>
      </c>
      <c r="Q2" s="27" t="s">
        <v>892</v>
      </c>
    </row>
    <row r="3" spans="1:17" x14ac:dyDescent="0.2">
      <c r="A3" s="453">
        <f>+B3</f>
        <v>42005</v>
      </c>
      <c r="B3" s="30">
        <v>42005</v>
      </c>
      <c r="C3" s="16">
        <f t="shared" ref="C3:C66" si="0">IFERROR(+VLOOKUP(B3,BDD,41,FALSE),0)</f>
        <v>0</v>
      </c>
      <c r="D3" s="16">
        <f t="shared" ref="D3:D66" si="1">IFERROR(+VLOOKUP(B3,BDD,42,FALSE),0)</f>
        <v>0</v>
      </c>
      <c r="E3" s="16">
        <f t="shared" ref="E3:E66" si="2">IFERROR(+VLOOKUP(B3,BDD,43,FALSE),0)</f>
        <v>0</v>
      </c>
      <c r="F3" s="16">
        <f t="shared" ref="F3:F66" si="3">IFERROR(+VLOOKUP(B3,BDD,44,FALSE),0)</f>
        <v>0</v>
      </c>
      <c r="G3" s="16">
        <f t="shared" ref="G3:G66" si="4">IFERROR(+VLOOKUP(B3,BDD,45,FALSE),0)</f>
        <v>0</v>
      </c>
      <c r="H3" s="16">
        <f t="shared" ref="H3:H66" si="5">IFERROR(+VLOOKUP(B3,BDD,46,FALSE),0)</f>
        <v>0</v>
      </c>
      <c r="I3" s="16">
        <f t="shared" ref="I3:I66" si="6">IFERROR(+VLOOKUP(B3,BDD,47,FALSE),0)</f>
        <v>0</v>
      </c>
      <c r="J3" s="16">
        <f t="shared" ref="J3:J66" si="7">IFERROR(+VLOOKUP(B3,BDD,48,FALSE),0)</f>
        <v>0</v>
      </c>
      <c r="K3" s="16">
        <f t="shared" ref="K3:K66" si="8">IFERROR(+VLOOKUP(B3,BDD,49,FALSE),0)</f>
        <v>0</v>
      </c>
      <c r="L3" s="16">
        <f t="shared" ref="L3:L66" si="9">IFERROR(+VLOOKUP(B3,BDD,50,FALSE),0)</f>
        <v>0</v>
      </c>
      <c r="M3" s="16">
        <f t="shared" ref="M3:M66" si="10">IFERROR(+VLOOKUP(B3,BDD,51,FALSE),0)</f>
        <v>0</v>
      </c>
      <c r="N3" s="16">
        <f t="shared" ref="N3:N66" si="11">IFERROR(+VLOOKUP(B3,BDD,22,FALSE),0)</f>
        <v>0</v>
      </c>
      <c r="O3" s="16">
        <f t="shared" ref="O3:O66" si="12">IFERROR(+VLOOKUP(B3,BDD,101,FALSE),0)</f>
        <v>0</v>
      </c>
      <c r="P3" s="16" t="str">
        <f>+IF(AND(B3&gt;='Relevé de la Régularisation'!$C$9,B3&lt;='Relevé de la Régularisation'!$D$14),"OUI","NON")</f>
        <v>OUI</v>
      </c>
      <c r="Q3" s="16">
        <f t="array" ref="Q3">IF(P3="OUI",MAX($Q$2:Q2)+1,"")</f>
        <v>1</v>
      </c>
    </row>
    <row r="4" spans="1:17" x14ac:dyDescent="0.2">
      <c r="A4" s="453">
        <f t="shared" ref="A4:A67" si="13">+B4</f>
        <v>42036</v>
      </c>
      <c r="B4" s="30">
        <v>42036</v>
      </c>
      <c r="C4" s="16">
        <f t="shared" si="0"/>
        <v>0</v>
      </c>
      <c r="D4" s="16">
        <f t="shared" si="1"/>
        <v>0</v>
      </c>
      <c r="E4" s="16">
        <f t="shared" si="2"/>
        <v>0</v>
      </c>
      <c r="F4" s="16">
        <f t="shared" si="3"/>
        <v>0</v>
      </c>
      <c r="G4" s="16">
        <f t="shared" si="4"/>
        <v>0</v>
      </c>
      <c r="H4" s="16">
        <f t="shared" si="5"/>
        <v>0</v>
      </c>
      <c r="I4" s="16">
        <f t="shared" si="6"/>
        <v>0</v>
      </c>
      <c r="J4" s="16">
        <f t="shared" si="7"/>
        <v>0</v>
      </c>
      <c r="K4" s="16">
        <f t="shared" si="8"/>
        <v>0</v>
      </c>
      <c r="L4" s="16">
        <f t="shared" si="9"/>
        <v>0</v>
      </c>
      <c r="M4" s="16">
        <f t="shared" si="10"/>
        <v>0</v>
      </c>
      <c r="N4" s="16">
        <f t="shared" si="11"/>
        <v>0</v>
      </c>
      <c r="O4" s="16">
        <f t="shared" si="12"/>
        <v>0</v>
      </c>
      <c r="P4" s="16" t="str">
        <f>+IF(AND(B4&gt;='Relevé de la Régularisation'!$C$9,B4&lt;='Relevé de la Régularisation'!$D$14),"OUI","NON")</f>
        <v>OUI</v>
      </c>
      <c r="Q4" s="16">
        <f t="array" ref="Q4">IF(P4="OUI",MAX($Q$2:Q3)+1,"")</f>
        <v>2</v>
      </c>
    </row>
    <row r="5" spans="1:17" x14ac:dyDescent="0.2">
      <c r="A5" s="453">
        <f t="shared" si="13"/>
        <v>42064</v>
      </c>
      <c r="B5" s="30">
        <v>42064</v>
      </c>
      <c r="C5" s="16">
        <f t="shared" si="0"/>
        <v>0</v>
      </c>
      <c r="D5" s="16">
        <f t="shared" si="1"/>
        <v>0</v>
      </c>
      <c r="E5" s="16">
        <f t="shared" si="2"/>
        <v>0</v>
      </c>
      <c r="F5" s="16">
        <f t="shared" si="3"/>
        <v>0</v>
      </c>
      <c r="G5" s="16">
        <f t="shared" si="4"/>
        <v>0</v>
      </c>
      <c r="H5" s="16">
        <f t="shared" si="5"/>
        <v>0</v>
      </c>
      <c r="I5" s="16">
        <f t="shared" si="6"/>
        <v>0</v>
      </c>
      <c r="J5" s="16">
        <f t="shared" si="7"/>
        <v>0</v>
      </c>
      <c r="K5" s="16">
        <f t="shared" si="8"/>
        <v>0</v>
      </c>
      <c r="L5" s="16">
        <f t="shared" si="9"/>
        <v>0</v>
      </c>
      <c r="M5" s="16">
        <f t="shared" si="10"/>
        <v>0</v>
      </c>
      <c r="N5" s="16">
        <f t="shared" si="11"/>
        <v>0</v>
      </c>
      <c r="O5" s="16">
        <f t="shared" si="12"/>
        <v>0</v>
      </c>
      <c r="P5" s="16" t="str">
        <f>+IF(AND(B5&gt;='Relevé de la Régularisation'!$C$9,B5&lt;='Relevé de la Régularisation'!$D$14),"OUI","NON")</f>
        <v>OUI</v>
      </c>
      <c r="Q5" s="16">
        <f t="array" ref="Q5">IF(P5="OUI",MAX($Q$2:Q4)+1,"")</f>
        <v>3</v>
      </c>
    </row>
    <row r="6" spans="1:17" x14ac:dyDescent="0.2">
      <c r="A6" s="453">
        <f t="shared" si="13"/>
        <v>42095</v>
      </c>
      <c r="B6" s="30">
        <v>42095</v>
      </c>
      <c r="C6" s="16">
        <f t="shared" si="0"/>
        <v>0</v>
      </c>
      <c r="D6" s="16">
        <f t="shared" si="1"/>
        <v>0</v>
      </c>
      <c r="E6" s="16">
        <f t="shared" si="2"/>
        <v>0</v>
      </c>
      <c r="F6" s="16">
        <f t="shared" si="3"/>
        <v>0</v>
      </c>
      <c r="G6" s="16">
        <f t="shared" si="4"/>
        <v>0</v>
      </c>
      <c r="H6" s="16">
        <f t="shared" si="5"/>
        <v>0</v>
      </c>
      <c r="I6" s="16">
        <f t="shared" si="6"/>
        <v>0</v>
      </c>
      <c r="J6" s="16">
        <f t="shared" si="7"/>
        <v>0</v>
      </c>
      <c r="K6" s="16">
        <f t="shared" si="8"/>
        <v>0</v>
      </c>
      <c r="L6" s="16">
        <f t="shared" si="9"/>
        <v>0</v>
      </c>
      <c r="M6" s="16">
        <f t="shared" si="10"/>
        <v>0</v>
      </c>
      <c r="N6" s="16">
        <f t="shared" si="11"/>
        <v>0</v>
      </c>
      <c r="O6" s="16">
        <f t="shared" si="12"/>
        <v>0</v>
      </c>
      <c r="P6" s="16" t="str">
        <f>+IF(AND(B6&gt;='Relevé de la Régularisation'!$C$9,B6&lt;='Relevé de la Régularisation'!$D$14),"OUI","NON")</f>
        <v>OUI</v>
      </c>
      <c r="Q6" s="16">
        <f t="array" ref="Q6">IF(P6="OUI",MAX($Q$2:Q5)+1,"")</f>
        <v>4</v>
      </c>
    </row>
    <row r="7" spans="1:17" x14ac:dyDescent="0.2">
      <c r="A7" s="453">
        <f t="shared" si="13"/>
        <v>42125</v>
      </c>
      <c r="B7" s="30">
        <v>42125</v>
      </c>
      <c r="C7" s="16">
        <f t="shared" si="0"/>
        <v>0</v>
      </c>
      <c r="D7" s="16">
        <f t="shared" si="1"/>
        <v>0</v>
      </c>
      <c r="E7" s="16">
        <f t="shared" si="2"/>
        <v>0</v>
      </c>
      <c r="F7" s="16">
        <f t="shared" si="3"/>
        <v>0</v>
      </c>
      <c r="G7" s="16">
        <f t="shared" si="4"/>
        <v>0</v>
      </c>
      <c r="H7" s="16">
        <f t="shared" si="5"/>
        <v>0</v>
      </c>
      <c r="I7" s="16">
        <f t="shared" si="6"/>
        <v>0</v>
      </c>
      <c r="J7" s="16">
        <f t="shared" si="7"/>
        <v>0</v>
      </c>
      <c r="K7" s="16">
        <f t="shared" si="8"/>
        <v>0</v>
      </c>
      <c r="L7" s="16">
        <f t="shared" si="9"/>
        <v>0</v>
      </c>
      <c r="M7" s="16">
        <f t="shared" si="10"/>
        <v>0</v>
      </c>
      <c r="N7" s="16">
        <f t="shared" si="11"/>
        <v>0</v>
      </c>
      <c r="O7" s="16">
        <f t="shared" si="12"/>
        <v>0</v>
      </c>
      <c r="P7" s="16" t="str">
        <f>+IF(AND(B7&gt;='Relevé de la Régularisation'!$C$9,B7&lt;='Relevé de la Régularisation'!$D$14),"OUI","NON")</f>
        <v>OUI</v>
      </c>
      <c r="Q7" s="16">
        <f t="array" ref="Q7">IF(P7="OUI",MAX($Q$2:Q6)+1,"")</f>
        <v>5</v>
      </c>
    </row>
    <row r="8" spans="1:17" x14ac:dyDescent="0.2">
      <c r="A8" s="453">
        <f t="shared" si="13"/>
        <v>42156</v>
      </c>
      <c r="B8" s="30">
        <v>42156</v>
      </c>
      <c r="C8" s="16">
        <f t="shared" si="0"/>
        <v>0</v>
      </c>
      <c r="D8" s="16">
        <f t="shared" si="1"/>
        <v>0</v>
      </c>
      <c r="E8" s="16">
        <f t="shared" si="2"/>
        <v>0</v>
      </c>
      <c r="F8" s="16">
        <f t="shared" si="3"/>
        <v>0</v>
      </c>
      <c r="G8" s="16">
        <f t="shared" si="4"/>
        <v>0</v>
      </c>
      <c r="H8" s="16">
        <f t="shared" si="5"/>
        <v>0</v>
      </c>
      <c r="I8" s="16">
        <f t="shared" si="6"/>
        <v>0</v>
      </c>
      <c r="J8" s="16">
        <f t="shared" si="7"/>
        <v>0</v>
      </c>
      <c r="K8" s="16">
        <f t="shared" si="8"/>
        <v>0</v>
      </c>
      <c r="L8" s="16">
        <f t="shared" si="9"/>
        <v>0</v>
      </c>
      <c r="M8" s="16">
        <f t="shared" si="10"/>
        <v>0</v>
      </c>
      <c r="N8" s="16">
        <f t="shared" si="11"/>
        <v>0</v>
      </c>
      <c r="O8" s="16">
        <f t="shared" si="12"/>
        <v>0</v>
      </c>
      <c r="P8" s="16" t="str">
        <f>+IF(AND(B8&gt;='Relevé de la Régularisation'!$C$9,B8&lt;='Relevé de la Régularisation'!$D$14),"OUI","NON")</f>
        <v>OUI</v>
      </c>
      <c r="Q8" s="16">
        <f t="array" ref="Q8">IF(P8="OUI",MAX($Q$2:Q7)+1,"")</f>
        <v>6</v>
      </c>
    </row>
    <row r="9" spans="1:17" x14ac:dyDescent="0.2">
      <c r="A9" s="453">
        <f t="shared" si="13"/>
        <v>42186</v>
      </c>
      <c r="B9" s="30">
        <v>42186</v>
      </c>
      <c r="C9" s="16">
        <f t="shared" si="0"/>
        <v>0</v>
      </c>
      <c r="D9" s="16">
        <f t="shared" si="1"/>
        <v>0</v>
      </c>
      <c r="E9" s="16">
        <f t="shared" si="2"/>
        <v>0</v>
      </c>
      <c r="F9" s="16">
        <f t="shared" si="3"/>
        <v>0</v>
      </c>
      <c r="G9" s="16">
        <f t="shared" si="4"/>
        <v>0</v>
      </c>
      <c r="H9" s="16">
        <f t="shared" si="5"/>
        <v>0</v>
      </c>
      <c r="I9" s="16">
        <f t="shared" si="6"/>
        <v>0</v>
      </c>
      <c r="J9" s="16">
        <f t="shared" si="7"/>
        <v>0</v>
      </c>
      <c r="K9" s="16">
        <f t="shared" si="8"/>
        <v>0</v>
      </c>
      <c r="L9" s="16">
        <f t="shared" si="9"/>
        <v>0</v>
      </c>
      <c r="M9" s="16">
        <f t="shared" si="10"/>
        <v>0</v>
      </c>
      <c r="N9" s="16">
        <f t="shared" si="11"/>
        <v>0</v>
      </c>
      <c r="O9" s="16">
        <f t="shared" si="12"/>
        <v>0</v>
      </c>
      <c r="P9" s="16" t="str">
        <f>+IF(AND(B9&gt;='Relevé de la Régularisation'!$C$9,B9&lt;='Relevé de la Régularisation'!$D$14),"OUI","NON")</f>
        <v>OUI</v>
      </c>
      <c r="Q9" s="16">
        <f t="array" ref="Q9">IF(P9="OUI",MAX($Q$2:Q8)+1,"")</f>
        <v>7</v>
      </c>
    </row>
    <row r="10" spans="1:17" x14ac:dyDescent="0.2">
      <c r="A10" s="453">
        <f t="shared" si="13"/>
        <v>42217</v>
      </c>
      <c r="B10" s="30">
        <v>42217</v>
      </c>
      <c r="C10" s="16">
        <f t="shared" si="0"/>
        <v>0</v>
      </c>
      <c r="D10" s="16">
        <f t="shared" si="1"/>
        <v>0</v>
      </c>
      <c r="E10" s="16">
        <f t="shared" si="2"/>
        <v>0</v>
      </c>
      <c r="F10" s="16">
        <f t="shared" si="3"/>
        <v>0</v>
      </c>
      <c r="G10" s="16">
        <f t="shared" si="4"/>
        <v>0</v>
      </c>
      <c r="H10" s="16">
        <f t="shared" si="5"/>
        <v>0</v>
      </c>
      <c r="I10" s="16">
        <f t="shared" si="6"/>
        <v>0</v>
      </c>
      <c r="J10" s="16">
        <f t="shared" si="7"/>
        <v>0</v>
      </c>
      <c r="K10" s="16">
        <f t="shared" si="8"/>
        <v>0</v>
      </c>
      <c r="L10" s="16">
        <f t="shared" si="9"/>
        <v>0</v>
      </c>
      <c r="M10" s="16">
        <f t="shared" si="10"/>
        <v>0</v>
      </c>
      <c r="N10" s="16">
        <f t="shared" si="11"/>
        <v>0</v>
      </c>
      <c r="O10" s="16">
        <f t="shared" si="12"/>
        <v>0</v>
      </c>
      <c r="P10" s="16" t="str">
        <f>+IF(AND(B10&gt;='Relevé de la Régularisation'!$C$9,B10&lt;='Relevé de la Régularisation'!$D$14),"OUI","NON")</f>
        <v>OUI</v>
      </c>
      <c r="Q10" s="16">
        <f t="array" ref="Q10">IF(P10="OUI",MAX($Q$2:Q9)+1,"")</f>
        <v>8</v>
      </c>
    </row>
    <row r="11" spans="1:17" x14ac:dyDescent="0.2">
      <c r="A11" s="453">
        <f t="shared" si="13"/>
        <v>42248</v>
      </c>
      <c r="B11" s="30">
        <v>42248</v>
      </c>
      <c r="C11" s="16">
        <f t="shared" si="0"/>
        <v>0</v>
      </c>
      <c r="D11" s="16">
        <f t="shared" si="1"/>
        <v>0</v>
      </c>
      <c r="E11" s="16">
        <f t="shared" si="2"/>
        <v>0</v>
      </c>
      <c r="F11" s="16">
        <f t="shared" si="3"/>
        <v>0</v>
      </c>
      <c r="G11" s="16">
        <f t="shared" si="4"/>
        <v>0</v>
      </c>
      <c r="H11" s="16">
        <f t="shared" si="5"/>
        <v>0</v>
      </c>
      <c r="I11" s="16">
        <f t="shared" si="6"/>
        <v>0</v>
      </c>
      <c r="J11" s="16">
        <f t="shared" si="7"/>
        <v>0</v>
      </c>
      <c r="K11" s="16">
        <f t="shared" si="8"/>
        <v>0</v>
      </c>
      <c r="L11" s="16">
        <f t="shared" si="9"/>
        <v>0</v>
      </c>
      <c r="M11" s="16">
        <f t="shared" si="10"/>
        <v>0</v>
      </c>
      <c r="N11" s="16">
        <f t="shared" si="11"/>
        <v>0</v>
      </c>
      <c r="O11" s="16">
        <f t="shared" si="12"/>
        <v>0</v>
      </c>
      <c r="P11" s="16" t="str">
        <f>+IF(AND(B11&gt;='Relevé de la Régularisation'!$C$9,B11&lt;='Relevé de la Régularisation'!$D$14),"OUI","NON")</f>
        <v>OUI</v>
      </c>
      <c r="Q11" s="16">
        <f t="array" ref="Q11">IF(P11="OUI",MAX($Q$2:Q10)+1,"")</f>
        <v>9</v>
      </c>
    </row>
    <row r="12" spans="1:17" x14ac:dyDescent="0.2">
      <c r="A12" s="453">
        <f t="shared" si="13"/>
        <v>42278</v>
      </c>
      <c r="B12" s="30">
        <v>42278</v>
      </c>
      <c r="C12" s="16">
        <f t="shared" si="0"/>
        <v>0</v>
      </c>
      <c r="D12" s="16">
        <f t="shared" si="1"/>
        <v>0</v>
      </c>
      <c r="E12" s="16">
        <f t="shared" si="2"/>
        <v>0</v>
      </c>
      <c r="F12" s="16">
        <f t="shared" si="3"/>
        <v>0</v>
      </c>
      <c r="G12" s="16">
        <f t="shared" si="4"/>
        <v>0</v>
      </c>
      <c r="H12" s="16">
        <f t="shared" si="5"/>
        <v>0</v>
      </c>
      <c r="I12" s="16">
        <f t="shared" si="6"/>
        <v>0</v>
      </c>
      <c r="J12" s="16">
        <f t="shared" si="7"/>
        <v>0</v>
      </c>
      <c r="K12" s="16">
        <f t="shared" si="8"/>
        <v>0</v>
      </c>
      <c r="L12" s="16">
        <f t="shared" si="9"/>
        <v>0</v>
      </c>
      <c r="M12" s="16">
        <f t="shared" si="10"/>
        <v>0</v>
      </c>
      <c r="N12" s="16">
        <f t="shared" si="11"/>
        <v>0</v>
      </c>
      <c r="O12" s="16">
        <f t="shared" si="12"/>
        <v>0</v>
      </c>
      <c r="P12" s="16" t="str">
        <f>+IF(AND(B12&gt;='Relevé de la Régularisation'!$C$9,B12&lt;='Relevé de la Régularisation'!$D$14),"OUI","NON")</f>
        <v>OUI</v>
      </c>
      <c r="Q12" s="16">
        <f t="array" ref="Q12">IF(P12="OUI",MAX($Q$2:Q11)+1,"")</f>
        <v>10</v>
      </c>
    </row>
    <row r="13" spans="1:17" x14ac:dyDescent="0.2">
      <c r="A13" s="453">
        <f t="shared" si="13"/>
        <v>42309</v>
      </c>
      <c r="B13" s="30">
        <v>42309</v>
      </c>
      <c r="C13" s="16">
        <f t="shared" si="0"/>
        <v>0</v>
      </c>
      <c r="D13" s="16">
        <f t="shared" si="1"/>
        <v>0</v>
      </c>
      <c r="E13" s="16">
        <f t="shared" si="2"/>
        <v>0</v>
      </c>
      <c r="F13" s="16">
        <f t="shared" si="3"/>
        <v>0</v>
      </c>
      <c r="G13" s="16">
        <f t="shared" si="4"/>
        <v>0</v>
      </c>
      <c r="H13" s="16">
        <f t="shared" si="5"/>
        <v>0</v>
      </c>
      <c r="I13" s="16">
        <f t="shared" si="6"/>
        <v>0</v>
      </c>
      <c r="J13" s="16">
        <f t="shared" si="7"/>
        <v>0</v>
      </c>
      <c r="K13" s="16">
        <f t="shared" si="8"/>
        <v>0</v>
      </c>
      <c r="L13" s="16">
        <f t="shared" si="9"/>
        <v>0</v>
      </c>
      <c r="M13" s="16">
        <f t="shared" si="10"/>
        <v>0</v>
      </c>
      <c r="N13" s="16">
        <f t="shared" si="11"/>
        <v>0</v>
      </c>
      <c r="O13" s="16">
        <f t="shared" si="12"/>
        <v>0</v>
      </c>
      <c r="P13" s="16" t="str">
        <f>+IF(AND(B13&gt;='Relevé de la Régularisation'!$C$9,B13&lt;='Relevé de la Régularisation'!$D$14),"OUI","NON")</f>
        <v>OUI</v>
      </c>
      <c r="Q13" s="16">
        <f t="array" ref="Q13">IF(P13="OUI",MAX($Q$2:Q12)+1,"")</f>
        <v>11</v>
      </c>
    </row>
    <row r="14" spans="1:17" x14ac:dyDescent="0.2">
      <c r="A14" s="453">
        <f t="shared" si="13"/>
        <v>42339</v>
      </c>
      <c r="B14" s="30">
        <v>42339</v>
      </c>
      <c r="C14" s="16">
        <f t="shared" si="0"/>
        <v>0</v>
      </c>
      <c r="D14" s="16">
        <f t="shared" si="1"/>
        <v>0</v>
      </c>
      <c r="E14" s="16">
        <f t="shared" si="2"/>
        <v>0</v>
      </c>
      <c r="F14" s="16">
        <f t="shared" si="3"/>
        <v>0</v>
      </c>
      <c r="G14" s="16">
        <f t="shared" si="4"/>
        <v>0</v>
      </c>
      <c r="H14" s="16">
        <f t="shared" si="5"/>
        <v>0</v>
      </c>
      <c r="I14" s="16">
        <f t="shared" si="6"/>
        <v>0</v>
      </c>
      <c r="J14" s="16">
        <f t="shared" si="7"/>
        <v>0</v>
      </c>
      <c r="K14" s="16">
        <f t="shared" si="8"/>
        <v>0</v>
      </c>
      <c r="L14" s="16">
        <f t="shared" si="9"/>
        <v>0</v>
      </c>
      <c r="M14" s="16">
        <f t="shared" si="10"/>
        <v>0</v>
      </c>
      <c r="N14" s="16">
        <f t="shared" si="11"/>
        <v>0</v>
      </c>
      <c r="O14" s="16">
        <f t="shared" si="12"/>
        <v>0</v>
      </c>
      <c r="P14" s="16" t="str">
        <f>+IF(AND(B14&gt;='Relevé de la Régularisation'!$C$9,B14&lt;='Relevé de la Régularisation'!$D$14),"OUI","NON")</f>
        <v>OUI</v>
      </c>
      <c r="Q14" s="16">
        <f t="array" ref="Q14">IF(P14="OUI",MAX($Q$2:Q13)+1,"")</f>
        <v>12</v>
      </c>
    </row>
    <row r="15" spans="1:17" x14ac:dyDescent="0.2">
      <c r="A15" s="453">
        <f t="shared" si="13"/>
        <v>42370</v>
      </c>
      <c r="B15" s="30">
        <v>42370</v>
      </c>
      <c r="C15" s="16">
        <f t="shared" si="0"/>
        <v>0</v>
      </c>
      <c r="D15" s="16">
        <f t="shared" si="1"/>
        <v>0</v>
      </c>
      <c r="E15" s="16">
        <f t="shared" si="2"/>
        <v>0</v>
      </c>
      <c r="F15" s="16">
        <f t="shared" si="3"/>
        <v>0</v>
      </c>
      <c r="G15" s="16">
        <f t="shared" si="4"/>
        <v>0</v>
      </c>
      <c r="H15" s="16">
        <f t="shared" si="5"/>
        <v>0</v>
      </c>
      <c r="I15" s="16">
        <f t="shared" si="6"/>
        <v>0</v>
      </c>
      <c r="J15" s="16">
        <f t="shared" si="7"/>
        <v>0</v>
      </c>
      <c r="K15" s="16">
        <f t="shared" si="8"/>
        <v>0</v>
      </c>
      <c r="L15" s="16">
        <f t="shared" si="9"/>
        <v>0</v>
      </c>
      <c r="M15" s="16">
        <f t="shared" si="10"/>
        <v>0</v>
      </c>
      <c r="N15" s="16">
        <f t="shared" si="11"/>
        <v>0</v>
      </c>
      <c r="O15" s="16">
        <f t="shared" si="12"/>
        <v>0</v>
      </c>
      <c r="P15" s="16" t="str">
        <f>+IF(AND(B15&gt;='Relevé de la Régularisation'!$C$9,B15&lt;='Relevé de la Régularisation'!$D$14),"OUI","NON")</f>
        <v>OUI</v>
      </c>
      <c r="Q15" s="16">
        <f t="array" ref="Q15">IF(P15="OUI",MAX($Q$2:Q14)+1,"")</f>
        <v>13</v>
      </c>
    </row>
    <row r="16" spans="1:17" x14ac:dyDescent="0.2">
      <c r="A16" s="453">
        <f t="shared" si="13"/>
        <v>42401</v>
      </c>
      <c r="B16" s="30">
        <v>42401</v>
      </c>
      <c r="C16" s="16">
        <f t="shared" si="0"/>
        <v>0</v>
      </c>
      <c r="D16" s="16">
        <f t="shared" si="1"/>
        <v>0</v>
      </c>
      <c r="E16" s="16">
        <f t="shared" si="2"/>
        <v>0</v>
      </c>
      <c r="F16" s="16">
        <f t="shared" si="3"/>
        <v>0</v>
      </c>
      <c r="G16" s="16">
        <f t="shared" si="4"/>
        <v>0</v>
      </c>
      <c r="H16" s="16">
        <f t="shared" si="5"/>
        <v>0</v>
      </c>
      <c r="I16" s="16">
        <f t="shared" si="6"/>
        <v>0</v>
      </c>
      <c r="J16" s="16">
        <f t="shared" si="7"/>
        <v>0</v>
      </c>
      <c r="K16" s="16">
        <f t="shared" si="8"/>
        <v>0</v>
      </c>
      <c r="L16" s="16">
        <f t="shared" si="9"/>
        <v>0</v>
      </c>
      <c r="M16" s="16">
        <f t="shared" si="10"/>
        <v>0</v>
      </c>
      <c r="N16" s="16">
        <f t="shared" si="11"/>
        <v>0</v>
      </c>
      <c r="O16" s="16">
        <f t="shared" si="12"/>
        <v>0</v>
      </c>
      <c r="P16" s="16" t="str">
        <f>+IF(AND(B16&gt;='Relevé de la Régularisation'!$C$9,B16&lt;='Relevé de la Régularisation'!$D$14),"OUI","NON")</f>
        <v>OUI</v>
      </c>
      <c r="Q16" s="16">
        <f t="array" ref="Q16">IF(P16="OUI",MAX($Q$2:Q15)+1,"")</f>
        <v>14</v>
      </c>
    </row>
    <row r="17" spans="1:17" x14ac:dyDescent="0.2">
      <c r="A17" s="453">
        <f t="shared" si="13"/>
        <v>42430</v>
      </c>
      <c r="B17" s="30">
        <v>42430</v>
      </c>
      <c r="C17" s="16">
        <f t="shared" si="0"/>
        <v>0</v>
      </c>
      <c r="D17" s="16">
        <f t="shared" si="1"/>
        <v>0</v>
      </c>
      <c r="E17" s="16">
        <f t="shared" si="2"/>
        <v>0</v>
      </c>
      <c r="F17" s="16">
        <f t="shared" si="3"/>
        <v>0</v>
      </c>
      <c r="G17" s="16">
        <f t="shared" si="4"/>
        <v>0</v>
      </c>
      <c r="H17" s="16">
        <f t="shared" si="5"/>
        <v>0</v>
      </c>
      <c r="I17" s="16">
        <f t="shared" si="6"/>
        <v>0</v>
      </c>
      <c r="J17" s="16">
        <f t="shared" si="7"/>
        <v>0</v>
      </c>
      <c r="K17" s="16">
        <f t="shared" si="8"/>
        <v>0</v>
      </c>
      <c r="L17" s="16">
        <f t="shared" si="9"/>
        <v>0</v>
      </c>
      <c r="M17" s="16">
        <f t="shared" si="10"/>
        <v>0</v>
      </c>
      <c r="N17" s="16">
        <f t="shared" si="11"/>
        <v>0</v>
      </c>
      <c r="O17" s="16">
        <f t="shared" si="12"/>
        <v>0</v>
      </c>
      <c r="P17" s="16" t="str">
        <f>+IF(AND(B17&gt;='Relevé de la Régularisation'!$C$9,B17&lt;='Relevé de la Régularisation'!$D$14),"OUI","NON")</f>
        <v>OUI</v>
      </c>
      <c r="Q17" s="16">
        <f t="array" ref="Q17">IF(P17="OUI",MAX($Q$2:Q16)+1,"")</f>
        <v>15</v>
      </c>
    </row>
    <row r="18" spans="1:17" x14ac:dyDescent="0.2">
      <c r="A18" s="453">
        <f t="shared" si="13"/>
        <v>42461</v>
      </c>
      <c r="B18" s="30">
        <v>42461</v>
      </c>
      <c r="C18" s="16">
        <f t="shared" si="0"/>
        <v>0</v>
      </c>
      <c r="D18" s="16">
        <f t="shared" si="1"/>
        <v>0</v>
      </c>
      <c r="E18" s="16">
        <f t="shared" si="2"/>
        <v>0</v>
      </c>
      <c r="F18" s="16">
        <f t="shared" si="3"/>
        <v>0</v>
      </c>
      <c r="G18" s="16">
        <f t="shared" si="4"/>
        <v>0</v>
      </c>
      <c r="H18" s="16">
        <f t="shared" si="5"/>
        <v>0</v>
      </c>
      <c r="I18" s="16">
        <f t="shared" si="6"/>
        <v>0</v>
      </c>
      <c r="J18" s="16">
        <f t="shared" si="7"/>
        <v>0</v>
      </c>
      <c r="K18" s="16">
        <f t="shared" si="8"/>
        <v>0</v>
      </c>
      <c r="L18" s="16">
        <f t="shared" si="9"/>
        <v>0</v>
      </c>
      <c r="M18" s="16">
        <f t="shared" si="10"/>
        <v>0</v>
      </c>
      <c r="N18" s="16">
        <f t="shared" si="11"/>
        <v>0</v>
      </c>
      <c r="O18" s="16">
        <f t="shared" si="12"/>
        <v>0</v>
      </c>
      <c r="P18" s="16" t="str">
        <f>+IF(AND(B18&gt;='Relevé de la Régularisation'!$C$9,B18&lt;='Relevé de la Régularisation'!$D$14),"OUI","NON")</f>
        <v>OUI</v>
      </c>
      <c r="Q18" s="16">
        <f t="array" ref="Q18">IF(P18="OUI",MAX($Q$2:Q17)+1,"")</f>
        <v>16</v>
      </c>
    </row>
    <row r="19" spans="1:17" x14ac:dyDescent="0.2">
      <c r="A19" s="453">
        <f t="shared" si="13"/>
        <v>42491</v>
      </c>
      <c r="B19" s="30">
        <v>42491</v>
      </c>
      <c r="C19" s="16">
        <f t="shared" si="0"/>
        <v>0</v>
      </c>
      <c r="D19" s="16">
        <f t="shared" si="1"/>
        <v>0</v>
      </c>
      <c r="E19" s="16">
        <f t="shared" si="2"/>
        <v>0</v>
      </c>
      <c r="F19" s="16">
        <f t="shared" si="3"/>
        <v>0</v>
      </c>
      <c r="G19" s="16">
        <f t="shared" si="4"/>
        <v>0</v>
      </c>
      <c r="H19" s="16">
        <f t="shared" si="5"/>
        <v>0</v>
      </c>
      <c r="I19" s="16">
        <f t="shared" si="6"/>
        <v>0</v>
      </c>
      <c r="J19" s="16">
        <f t="shared" si="7"/>
        <v>0</v>
      </c>
      <c r="K19" s="16">
        <f t="shared" si="8"/>
        <v>0</v>
      </c>
      <c r="L19" s="16">
        <f t="shared" si="9"/>
        <v>0</v>
      </c>
      <c r="M19" s="16">
        <f t="shared" si="10"/>
        <v>0</v>
      </c>
      <c r="N19" s="16">
        <f t="shared" si="11"/>
        <v>0</v>
      </c>
      <c r="O19" s="16">
        <f t="shared" si="12"/>
        <v>0</v>
      </c>
      <c r="P19" s="16" t="str">
        <f>+IF(AND(B19&gt;='Relevé de la Régularisation'!$C$9,B19&lt;='Relevé de la Régularisation'!$D$14),"OUI","NON")</f>
        <v>OUI</v>
      </c>
      <c r="Q19" s="16">
        <f t="array" ref="Q19">IF(P19="OUI",MAX($Q$2:Q18)+1,"")</f>
        <v>17</v>
      </c>
    </row>
    <row r="20" spans="1:17" x14ac:dyDescent="0.2">
      <c r="A20" s="453">
        <f t="shared" si="13"/>
        <v>42522</v>
      </c>
      <c r="B20" s="30">
        <v>42522</v>
      </c>
      <c r="C20" s="16">
        <f t="shared" si="0"/>
        <v>0</v>
      </c>
      <c r="D20" s="16">
        <f t="shared" si="1"/>
        <v>0</v>
      </c>
      <c r="E20" s="16">
        <f t="shared" si="2"/>
        <v>0</v>
      </c>
      <c r="F20" s="16">
        <f t="shared" si="3"/>
        <v>0</v>
      </c>
      <c r="G20" s="16">
        <f t="shared" si="4"/>
        <v>0</v>
      </c>
      <c r="H20" s="16">
        <f t="shared" si="5"/>
        <v>0</v>
      </c>
      <c r="I20" s="16">
        <f t="shared" si="6"/>
        <v>0</v>
      </c>
      <c r="J20" s="16">
        <f t="shared" si="7"/>
        <v>0</v>
      </c>
      <c r="K20" s="16">
        <f t="shared" si="8"/>
        <v>0</v>
      </c>
      <c r="L20" s="16">
        <f t="shared" si="9"/>
        <v>0</v>
      </c>
      <c r="M20" s="16">
        <f t="shared" si="10"/>
        <v>0</v>
      </c>
      <c r="N20" s="16">
        <f t="shared" si="11"/>
        <v>0</v>
      </c>
      <c r="O20" s="16">
        <f t="shared" si="12"/>
        <v>0</v>
      </c>
      <c r="P20" s="16" t="str">
        <f>+IF(AND(B20&gt;='Relevé de la Régularisation'!$C$9,B20&lt;='Relevé de la Régularisation'!$D$14),"OUI","NON")</f>
        <v>OUI</v>
      </c>
      <c r="Q20" s="16">
        <f t="array" ref="Q20">IF(P20="OUI",MAX($Q$2:Q19)+1,"")</f>
        <v>18</v>
      </c>
    </row>
    <row r="21" spans="1:17" x14ac:dyDescent="0.2">
      <c r="A21" s="453">
        <f t="shared" si="13"/>
        <v>42552</v>
      </c>
      <c r="B21" s="30">
        <v>42552</v>
      </c>
      <c r="C21" s="16">
        <f t="shared" si="0"/>
        <v>0</v>
      </c>
      <c r="D21" s="16">
        <f t="shared" si="1"/>
        <v>0</v>
      </c>
      <c r="E21" s="16">
        <f t="shared" si="2"/>
        <v>0</v>
      </c>
      <c r="F21" s="16">
        <f t="shared" si="3"/>
        <v>0</v>
      </c>
      <c r="G21" s="16">
        <f t="shared" si="4"/>
        <v>0</v>
      </c>
      <c r="H21" s="16">
        <f t="shared" si="5"/>
        <v>0</v>
      </c>
      <c r="I21" s="16">
        <f t="shared" si="6"/>
        <v>0</v>
      </c>
      <c r="J21" s="16">
        <f t="shared" si="7"/>
        <v>0</v>
      </c>
      <c r="K21" s="16">
        <f t="shared" si="8"/>
        <v>0</v>
      </c>
      <c r="L21" s="16">
        <f t="shared" si="9"/>
        <v>0</v>
      </c>
      <c r="M21" s="16">
        <f t="shared" si="10"/>
        <v>0</v>
      </c>
      <c r="N21" s="16">
        <f t="shared" si="11"/>
        <v>0</v>
      </c>
      <c r="O21" s="16">
        <f t="shared" si="12"/>
        <v>0</v>
      </c>
      <c r="P21" s="16" t="str">
        <f>+IF(AND(B21&gt;='Relevé de la Régularisation'!$C$9,B21&lt;='Relevé de la Régularisation'!$D$14),"OUI","NON")</f>
        <v>OUI</v>
      </c>
      <c r="Q21" s="16">
        <f t="array" ref="Q21">IF(P21="OUI",MAX($Q$2:Q20)+1,"")</f>
        <v>19</v>
      </c>
    </row>
    <row r="22" spans="1:17" x14ac:dyDescent="0.2">
      <c r="A22" s="453">
        <f t="shared" si="13"/>
        <v>42583</v>
      </c>
      <c r="B22" s="30">
        <v>42583</v>
      </c>
      <c r="C22" s="16">
        <f t="shared" si="0"/>
        <v>0</v>
      </c>
      <c r="D22" s="16">
        <f t="shared" si="1"/>
        <v>0</v>
      </c>
      <c r="E22" s="16">
        <f t="shared" si="2"/>
        <v>0</v>
      </c>
      <c r="F22" s="16">
        <f t="shared" si="3"/>
        <v>0</v>
      </c>
      <c r="G22" s="16">
        <f t="shared" si="4"/>
        <v>0</v>
      </c>
      <c r="H22" s="16">
        <f t="shared" si="5"/>
        <v>0</v>
      </c>
      <c r="I22" s="16">
        <f t="shared" si="6"/>
        <v>0</v>
      </c>
      <c r="J22" s="16">
        <f t="shared" si="7"/>
        <v>0</v>
      </c>
      <c r="K22" s="16">
        <f t="shared" si="8"/>
        <v>0</v>
      </c>
      <c r="L22" s="16">
        <f t="shared" si="9"/>
        <v>0</v>
      </c>
      <c r="M22" s="16">
        <f t="shared" si="10"/>
        <v>0</v>
      </c>
      <c r="N22" s="16">
        <f t="shared" si="11"/>
        <v>0</v>
      </c>
      <c r="O22" s="16">
        <f t="shared" si="12"/>
        <v>0</v>
      </c>
      <c r="P22" s="16" t="str">
        <f>+IF(AND(B22&gt;='Relevé de la Régularisation'!$C$9,B22&lt;='Relevé de la Régularisation'!$D$14),"OUI","NON")</f>
        <v>OUI</v>
      </c>
      <c r="Q22" s="16">
        <f t="array" ref="Q22">IF(P22="OUI",MAX($Q$2:Q21)+1,"")</f>
        <v>20</v>
      </c>
    </row>
    <row r="23" spans="1:17" x14ac:dyDescent="0.2">
      <c r="A23" s="453">
        <f t="shared" si="13"/>
        <v>42614</v>
      </c>
      <c r="B23" s="30">
        <v>42614</v>
      </c>
      <c r="C23" s="16">
        <f t="shared" si="0"/>
        <v>0</v>
      </c>
      <c r="D23" s="16">
        <f t="shared" si="1"/>
        <v>0</v>
      </c>
      <c r="E23" s="16">
        <f t="shared" si="2"/>
        <v>0</v>
      </c>
      <c r="F23" s="16">
        <f t="shared" si="3"/>
        <v>0</v>
      </c>
      <c r="G23" s="16">
        <f t="shared" si="4"/>
        <v>0</v>
      </c>
      <c r="H23" s="16">
        <f t="shared" si="5"/>
        <v>0</v>
      </c>
      <c r="I23" s="16">
        <f t="shared" si="6"/>
        <v>0</v>
      </c>
      <c r="J23" s="16">
        <f t="shared" si="7"/>
        <v>0</v>
      </c>
      <c r="K23" s="16">
        <f t="shared" si="8"/>
        <v>0</v>
      </c>
      <c r="L23" s="16">
        <f t="shared" si="9"/>
        <v>0</v>
      </c>
      <c r="M23" s="16">
        <f t="shared" si="10"/>
        <v>0</v>
      </c>
      <c r="N23" s="16">
        <f t="shared" si="11"/>
        <v>0</v>
      </c>
      <c r="O23" s="16">
        <f t="shared" si="12"/>
        <v>0</v>
      </c>
      <c r="P23" s="16" t="str">
        <f>+IF(AND(B23&gt;='Relevé de la Régularisation'!$C$9,B23&lt;='Relevé de la Régularisation'!$D$14),"OUI","NON")</f>
        <v>OUI</v>
      </c>
      <c r="Q23" s="16">
        <f t="array" ref="Q23">IF(P23="OUI",MAX($Q$2:Q22)+1,"")</f>
        <v>21</v>
      </c>
    </row>
    <row r="24" spans="1:17" x14ac:dyDescent="0.2">
      <c r="A24" s="453">
        <f t="shared" si="13"/>
        <v>42644</v>
      </c>
      <c r="B24" s="30">
        <v>42644</v>
      </c>
      <c r="C24" s="16">
        <f t="shared" si="0"/>
        <v>0</v>
      </c>
      <c r="D24" s="16">
        <f t="shared" si="1"/>
        <v>0</v>
      </c>
      <c r="E24" s="16">
        <f t="shared" si="2"/>
        <v>0</v>
      </c>
      <c r="F24" s="16">
        <f t="shared" si="3"/>
        <v>0</v>
      </c>
      <c r="G24" s="16">
        <f t="shared" si="4"/>
        <v>0</v>
      </c>
      <c r="H24" s="16">
        <f t="shared" si="5"/>
        <v>0</v>
      </c>
      <c r="I24" s="16">
        <f t="shared" si="6"/>
        <v>0</v>
      </c>
      <c r="J24" s="16">
        <f t="shared" si="7"/>
        <v>0</v>
      </c>
      <c r="K24" s="16">
        <f t="shared" si="8"/>
        <v>0</v>
      </c>
      <c r="L24" s="16">
        <f t="shared" si="9"/>
        <v>0</v>
      </c>
      <c r="M24" s="16">
        <f t="shared" si="10"/>
        <v>0</v>
      </c>
      <c r="N24" s="16">
        <f t="shared" si="11"/>
        <v>0</v>
      </c>
      <c r="O24" s="16">
        <f t="shared" si="12"/>
        <v>0</v>
      </c>
      <c r="P24" s="16" t="str">
        <f>+IF(AND(B24&gt;='Relevé de la Régularisation'!$C$9,B24&lt;='Relevé de la Régularisation'!$D$14),"OUI","NON")</f>
        <v>OUI</v>
      </c>
      <c r="Q24" s="16">
        <f t="array" ref="Q24">IF(P24="OUI",MAX($Q$2:Q23)+1,"")</f>
        <v>22</v>
      </c>
    </row>
    <row r="25" spans="1:17" x14ac:dyDescent="0.2">
      <c r="A25" s="453">
        <f t="shared" si="13"/>
        <v>42675</v>
      </c>
      <c r="B25" s="30">
        <v>42675</v>
      </c>
      <c r="C25" s="16">
        <f t="shared" si="0"/>
        <v>0</v>
      </c>
      <c r="D25" s="16">
        <f t="shared" si="1"/>
        <v>0</v>
      </c>
      <c r="E25" s="16">
        <f t="shared" si="2"/>
        <v>0</v>
      </c>
      <c r="F25" s="16">
        <f t="shared" si="3"/>
        <v>0</v>
      </c>
      <c r="G25" s="16">
        <f t="shared" si="4"/>
        <v>0</v>
      </c>
      <c r="H25" s="16">
        <f t="shared" si="5"/>
        <v>0</v>
      </c>
      <c r="I25" s="16">
        <f t="shared" si="6"/>
        <v>0</v>
      </c>
      <c r="J25" s="16">
        <f t="shared" si="7"/>
        <v>0</v>
      </c>
      <c r="K25" s="16">
        <f t="shared" si="8"/>
        <v>0</v>
      </c>
      <c r="L25" s="16">
        <f t="shared" si="9"/>
        <v>0</v>
      </c>
      <c r="M25" s="16">
        <f t="shared" si="10"/>
        <v>0</v>
      </c>
      <c r="N25" s="16">
        <f t="shared" si="11"/>
        <v>0</v>
      </c>
      <c r="O25" s="16">
        <f t="shared" si="12"/>
        <v>0</v>
      </c>
      <c r="P25" s="16" t="str">
        <f>+IF(AND(B25&gt;='Relevé de la Régularisation'!$C$9,B25&lt;='Relevé de la Régularisation'!$D$14),"OUI","NON")</f>
        <v>OUI</v>
      </c>
      <c r="Q25" s="16">
        <f t="array" ref="Q25">IF(P25="OUI",MAX($Q$2:Q24)+1,"")</f>
        <v>23</v>
      </c>
    </row>
    <row r="26" spans="1:17" x14ac:dyDescent="0.2">
      <c r="A26" s="453">
        <f t="shared" si="13"/>
        <v>42705</v>
      </c>
      <c r="B26" s="30">
        <v>42705</v>
      </c>
      <c r="C26" s="16">
        <f t="shared" si="0"/>
        <v>0</v>
      </c>
      <c r="D26" s="16">
        <f t="shared" si="1"/>
        <v>0</v>
      </c>
      <c r="E26" s="16">
        <f t="shared" si="2"/>
        <v>0</v>
      </c>
      <c r="F26" s="16">
        <f t="shared" si="3"/>
        <v>0</v>
      </c>
      <c r="G26" s="16">
        <f t="shared" si="4"/>
        <v>0</v>
      </c>
      <c r="H26" s="16">
        <f t="shared" si="5"/>
        <v>0</v>
      </c>
      <c r="I26" s="16">
        <f t="shared" si="6"/>
        <v>0</v>
      </c>
      <c r="J26" s="16">
        <f t="shared" si="7"/>
        <v>0</v>
      </c>
      <c r="K26" s="16">
        <f t="shared" si="8"/>
        <v>0</v>
      </c>
      <c r="L26" s="16">
        <f t="shared" si="9"/>
        <v>0</v>
      </c>
      <c r="M26" s="16">
        <f t="shared" si="10"/>
        <v>0</v>
      </c>
      <c r="N26" s="16">
        <f t="shared" si="11"/>
        <v>0</v>
      </c>
      <c r="O26" s="16">
        <f t="shared" si="12"/>
        <v>0</v>
      </c>
      <c r="P26" s="16" t="str">
        <f>+IF(AND(B26&gt;='Relevé de la Régularisation'!$C$9,B26&lt;='Relevé de la Régularisation'!$D$14),"OUI","NON")</f>
        <v>OUI</v>
      </c>
      <c r="Q26" s="16">
        <f t="array" ref="Q26">IF(P26="OUI",MAX($Q$2:Q25)+1,"")</f>
        <v>24</v>
      </c>
    </row>
    <row r="27" spans="1:17" x14ac:dyDescent="0.2">
      <c r="A27" s="453">
        <f t="shared" si="13"/>
        <v>42736</v>
      </c>
      <c r="B27" s="30">
        <v>42736</v>
      </c>
      <c r="C27" s="16">
        <f t="shared" si="0"/>
        <v>0</v>
      </c>
      <c r="D27" s="16">
        <f t="shared" si="1"/>
        <v>0</v>
      </c>
      <c r="E27" s="16">
        <f t="shared" si="2"/>
        <v>0</v>
      </c>
      <c r="F27" s="16">
        <f t="shared" si="3"/>
        <v>0</v>
      </c>
      <c r="G27" s="16">
        <f t="shared" si="4"/>
        <v>0</v>
      </c>
      <c r="H27" s="16">
        <f t="shared" si="5"/>
        <v>0</v>
      </c>
      <c r="I27" s="16">
        <f t="shared" si="6"/>
        <v>0</v>
      </c>
      <c r="J27" s="16">
        <f t="shared" si="7"/>
        <v>0</v>
      </c>
      <c r="K27" s="16">
        <f t="shared" si="8"/>
        <v>0</v>
      </c>
      <c r="L27" s="16">
        <f t="shared" si="9"/>
        <v>0</v>
      </c>
      <c r="M27" s="16">
        <f t="shared" si="10"/>
        <v>0</v>
      </c>
      <c r="N27" s="16">
        <f t="shared" si="11"/>
        <v>0</v>
      </c>
      <c r="O27" s="16">
        <f t="shared" si="12"/>
        <v>0</v>
      </c>
      <c r="P27" s="16" t="str">
        <f>+IF(AND(B27&gt;='Relevé de la Régularisation'!$C$9,B27&lt;='Relevé de la Régularisation'!$D$14),"OUI","NON")</f>
        <v>OUI</v>
      </c>
      <c r="Q27" s="16">
        <f t="array" ref="Q27">IF(P27="OUI",MAX($Q$2:Q26)+1,"")</f>
        <v>25</v>
      </c>
    </row>
    <row r="28" spans="1:17" x14ac:dyDescent="0.2">
      <c r="A28" s="453">
        <f t="shared" si="13"/>
        <v>42767</v>
      </c>
      <c r="B28" s="30">
        <v>42767</v>
      </c>
      <c r="C28" s="16">
        <f t="shared" si="0"/>
        <v>0</v>
      </c>
      <c r="D28" s="16">
        <f t="shared" si="1"/>
        <v>0</v>
      </c>
      <c r="E28" s="16">
        <f t="shared" si="2"/>
        <v>0</v>
      </c>
      <c r="F28" s="16">
        <f t="shared" si="3"/>
        <v>0</v>
      </c>
      <c r="G28" s="16">
        <f t="shared" si="4"/>
        <v>0</v>
      </c>
      <c r="H28" s="16">
        <f t="shared" si="5"/>
        <v>0</v>
      </c>
      <c r="I28" s="16">
        <f t="shared" si="6"/>
        <v>0</v>
      </c>
      <c r="J28" s="16">
        <f t="shared" si="7"/>
        <v>0</v>
      </c>
      <c r="K28" s="16">
        <f t="shared" si="8"/>
        <v>0</v>
      </c>
      <c r="L28" s="16">
        <f t="shared" si="9"/>
        <v>0</v>
      </c>
      <c r="M28" s="16">
        <f t="shared" si="10"/>
        <v>0</v>
      </c>
      <c r="N28" s="16">
        <f t="shared" si="11"/>
        <v>0</v>
      </c>
      <c r="O28" s="16">
        <f t="shared" si="12"/>
        <v>0</v>
      </c>
      <c r="P28" s="16" t="str">
        <f>+IF(AND(B28&gt;='Relevé de la Régularisation'!$C$9,B28&lt;='Relevé de la Régularisation'!$D$14),"OUI","NON")</f>
        <v>OUI</v>
      </c>
      <c r="Q28" s="16">
        <f t="array" ref="Q28">IF(P28="OUI",MAX($Q$2:Q27)+1,"")</f>
        <v>26</v>
      </c>
    </row>
    <row r="29" spans="1:17" x14ac:dyDescent="0.2">
      <c r="A29" s="453">
        <f t="shared" si="13"/>
        <v>42795</v>
      </c>
      <c r="B29" s="30">
        <v>42795</v>
      </c>
      <c r="C29" s="16">
        <f t="shared" si="0"/>
        <v>0</v>
      </c>
      <c r="D29" s="16">
        <f t="shared" si="1"/>
        <v>0</v>
      </c>
      <c r="E29" s="16">
        <f t="shared" si="2"/>
        <v>0</v>
      </c>
      <c r="F29" s="16">
        <f t="shared" si="3"/>
        <v>0</v>
      </c>
      <c r="G29" s="16">
        <f t="shared" si="4"/>
        <v>0</v>
      </c>
      <c r="H29" s="16">
        <f t="shared" si="5"/>
        <v>0</v>
      </c>
      <c r="I29" s="16">
        <f t="shared" si="6"/>
        <v>0</v>
      </c>
      <c r="J29" s="16">
        <f t="shared" si="7"/>
        <v>0</v>
      </c>
      <c r="K29" s="16">
        <f t="shared" si="8"/>
        <v>0</v>
      </c>
      <c r="L29" s="16">
        <f t="shared" si="9"/>
        <v>0</v>
      </c>
      <c r="M29" s="16">
        <f t="shared" si="10"/>
        <v>0</v>
      </c>
      <c r="N29" s="16">
        <f t="shared" si="11"/>
        <v>0</v>
      </c>
      <c r="O29" s="16">
        <f t="shared" si="12"/>
        <v>0</v>
      </c>
      <c r="P29" s="16" t="str">
        <f>+IF(AND(B29&gt;='Relevé de la Régularisation'!$C$9,B29&lt;='Relevé de la Régularisation'!$D$14),"OUI","NON")</f>
        <v>OUI</v>
      </c>
      <c r="Q29" s="16">
        <f t="array" ref="Q29">IF(P29="OUI",MAX($Q$2:Q28)+1,"")</f>
        <v>27</v>
      </c>
    </row>
    <row r="30" spans="1:17" x14ac:dyDescent="0.2">
      <c r="A30" s="453">
        <f t="shared" si="13"/>
        <v>42826</v>
      </c>
      <c r="B30" s="30">
        <v>42826</v>
      </c>
      <c r="C30" s="16">
        <f t="shared" si="0"/>
        <v>0</v>
      </c>
      <c r="D30" s="16">
        <f t="shared" si="1"/>
        <v>0</v>
      </c>
      <c r="E30" s="16">
        <f t="shared" si="2"/>
        <v>0</v>
      </c>
      <c r="F30" s="16">
        <f t="shared" si="3"/>
        <v>0</v>
      </c>
      <c r="G30" s="16">
        <f t="shared" si="4"/>
        <v>0</v>
      </c>
      <c r="H30" s="16">
        <f t="shared" si="5"/>
        <v>0</v>
      </c>
      <c r="I30" s="16">
        <f t="shared" si="6"/>
        <v>0</v>
      </c>
      <c r="J30" s="16">
        <f t="shared" si="7"/>
        <v>0</v>
      </c>
      <c r="K30" s="16">
        <f t="shared" si="8"/>
        <v>0</v>
      </c>
      <c r="L30" s="16">
        <f t="shared" si="9"/>
        <v>0</v>
      </c>
      <c r="M30" s="16">
        <f t="shared" si="10"/>
        <v>0</v>
      </c>
      <c r="N30" s="16">
        <f t="shared" si="11"/>
        <v>0</v>
      </c>
      <c r="O30" s="16">
        <f t="shared" si="12"/>
        <v>0</v>
      </c>
      <c r="P30" s="16" t="str">
        <f>+IF(AND(B30&gt;='Relevé de la Régularisation'!$C$9,B30&lt;='Relevé de la Régularisation'!$D$14),"OUI","NON")</f>
        <v>OUI</v>
      </c>
      <c r="Q30" s="16">
        <f t="array" ref="Q30">IF(P30="OUI",MAX($Q$2:Q29)+1,"")</f>
        <v>28</v>
      </c>
    </row>
    <row r="31" spans="1:17" x14ac:dyDescent="0.2">
      <c r="A31" s="453">
        <f t="shared" si="13"/>
        <v>42856</v>
      </c>
      <c r="B31" s="30">
        <v>42856</v>
      </c>
      <c r="C31" s="16">
        <f t="shared" si="0"/>
        <v>0</v>
      </c>
      <c r="D31" s="16">
        <f t="shared" si="1"/>
        <v>0</v>
      </c>
      <c r="E31" s="16">
        <f t="shared" si="2"/>
        <v>0</v>
      </c>
      <c r="F31" s="16">
        <f t="shared" si="3"/>
        <v>0</v>
      </c>
      <c r="G31" s="16">
        <f t="shared" si="4"/>
        <v>0</v>
      </c>
      <c r="H31" s="16">
        <f t="shared" si="5"/>
        <v>0</v>
      </c>
      <c r="I31" s="16">
        <f t="shared" si="6"/>
        <v>0</v>
      </c>
      <c r="J31" s="16">
        <f t="shared" si="7"/>
        <v>0</v>
      </c>
      <c r="K31" s="16">
        <f t="shared" si="8"/>
        <v>0</v>
      </c>
      <c r="L31" s="16">
        <f t="shared" si="9"/>
        <v>0</v>
      </c>
      <c r="M31" s="16">
        <f t="shared" si="10"/>
        <v>0</v>
      </c>
      <c r="N31" s="16">
        <f t="shared" si="11"/>
        <v>0</v>
      </c>
      <c r="O31" s="16">
        <f t="shared" si="12"/>
        <v>0</v>
      </c>
      <c r="P31" s="16" t="str">
        <f>+IF(AND(B31&gt;='Relevé de la Régularisation'!$C$9,B31&lt;='Relevé de la Régularisation'!$D$14),"OUI","NON")</f>
        <v>OUI</v>
      </c>
      <c r="Q31" s="16">
        <f t="array" ref="Q31">IF(P31="OUI",MAX($Q$2:Q30)+1,"")</f>
        <v>29</v>
      </c>
    </row>
    <row r="32" spans="1:17" x14ac:dyDescent="0.2">
      <c r="A32" s="453">
        <f t="shared" si="13"/>
        <v>42887</v>
      </c>
      <c r="B32" s="30">
        <v>42887</v>
      </c>
      <c r="C32" s="16">
        <f t="shared" si="0"/>
        <v>0</v>
      </c>
      <c r="D32" s="16">
        <f t="shared" si="1"/>
        <v>0</v>
      </c>
      <c r="E32" s="16">
        <f t="shared" si="2"/>
        <v>0</v>
      </c>
      <c r="F32" s="16">
        <f t="shared" si="3"/>
        <v>0</v>
      </c>
      <c r="G32" s="16">
        <f t="shared" si="4"/>
        <v>0</v>
      </c>
      <c r="H32" s="16">
        <f t="shared" si="5"/>
        <v>0</v>
      </c>
      <c r="I32" s="16">
        <f t="shared" si="6"/>
        <v>0</v>
      </c>
      <c r="J32" s="16">
        <f t="shared" si="7"/>
        <v>0</v>
      </c>
      <c r="K32" s="16">
        <f t="shared" si="8"/>
        <v>0</v>
      </c>
      <c r="L32" s="16">
        <f t="shared" si="9"/>
        <v>0</v>
      </c>
      <c r="M32" s="16">
        <f t="shared" si="10"/>
        <v>0</v>
      </c>
      <c r="N32" s="16">
        <f t="shared" si="11"/>
        <v>0</v>
      </c>
      <c r="O32" s="16">
        <f t="shared" si="12"/>
        <v>0</v>
      </c>
      <c r="P32" s="16" t="str">
        <f>+IF(AND(B32&gt;='Relevé de la Régularisation'!$C$9,B32&lt;='Relevé de la Régularisation'!$D$14),"OUI","NON")</f>
        <v>OUI</v>
      </c>
      <c r="Q32" s="16">
        <f t="array" ref="Q32">IF(P32="OUI",MAX($Q$2:Q31)+1,"")</f>
        <v>30</v>
      </c>
    </row>
    <row r="33" spans="1:17" x14ac:dyDescent="0.2">
      <c r="A33" s="453">
        <f t="shared" si="13"/>
        <v>42917</v>
      </c>
      <c r="B33" s="30">
        <v>42917</v>
      </c>
      <c r="C33" s="16">
        <f t="shared" si="0"/>
        <v>0</v>
      </c>
      <c r="D33" s="16">
        <f t="shared" si="1"/>
        <v>0</v>
      </c>
      <c r="E33" s="16">
        <f t="shared" si="2"/>
        <v>0</v>
      </c>
      <c r="F33" s="16">
        <f t="shared" si="3"/>
        <v>0</v>
      </c>
      <c r="G33" s="16">
        <f t="shared" si="4"/>
        <v>0</v>
      </c>
      <c r="H33" s="16">
        <f t="shared" si="5"/>
        <v>0</v>
      </c>
      <c r="I33" s="16">
        <f t="shared" si="6"/>
        <v>0</v>
      </c>
      <c r="J33" s="16">
        <f t="shared" si="7"/>
        <v>0</v>
      </c>
      <c r="K33" s="16">
        <f t="shared" si="8"/>
        <v>0</v>
      </c>
      <c r="L33" s="16">
        <f t="shared" si="9"/>
        <v>0</v>
      </c>
      <c r="M33" s="16">
        <f t="shared" si="10"/>
        <v>0</v>
      </c>
      <c r="N33" s="16">
        <f t="shared" si="11"/>
        <v>0</v>
      </c>
      <c r="O33" s="16">
        <f t="shared" si="12"/>
        <v>0</v>
      </c>
      <c r="P33" s="16" t="str">
        <f>+IF(AND(B33&gt;='Relevé de la Régularisation'!$C$9,B33&lt;='Relevé de la Régularisation'!$D$14),"OUI","NON")</f>
        <v>OUI</v>
      </c>
      <c r="Q33" s="16">
        <f t="array" ref="Q33">IF(P33="OUI",MAX($Q$2:Q32)+1,"")</f>
        <v>31</v>
      </c>
    </row>
    <row r="34" spans="1:17" x14ac:dyDescent="0.2">
      <c r="A34" s="453">
        <f t="shared" si="13"/>
        <v>42948</v>
      </c>
      <c r="B34" s="30">
        <v>42948</v>
      </c>
      <c r="C34" s="16">
        <f t="shared" si="0"/>
        <v>0</v>
      </c>
      <c r="D34" s="16">
        <f t="shared" si="1"/>
        <v>0</v>
      </c>
      <c r="E34" s="16">
        <f t="shared" si="2"/>
        <v>0</v>
      </c>
      <c r="F34" s="16">
        <f t="shared" si="3"/>
        <v>0</v>
      </c>
      <c r="G34" s="16">
        <f t="shared" si="4"/>
        <v>0</v>
      </c>
      <c r="H34" s="16">
        <f t="shared" si="5"/>
        <v>0</v>
      </c>
      <c r="I34" s="16">
        <f t="shared" si="6"/>
        <v>0</v>
      </c>
      <c r="J34" s="16">
        <f t="shared" si="7"/>
        <v>0</v>
      </c>
      <c r="K34" s="16">
        <f t="shared" si="8"/>
        <v>0</v>
      </c>
      <c r="L34" s="16">
        <f t="shared" si="9"/>
        <v>0</v>
      </c>
      <c r="M34" s="16">
        <f t="shared" si="10"/>
        <v>0</v>
      </c>
      <c r="N34" s="16">
        <f t="shared" si="11"/>
        <v>0</v>
      </c>
      <c r="O34" s="16">
        <f t="shared" si="12"/>
        <v>0</v>
      </c>
      <c r="P34" s="16" t="str">
        <f>+IF(AND(B34&gt;='Relevé de la Régularisation'!$C$9,B34&lt;='Relevé de la Régularisation'!$D$14),"OUI","NON")</f>
        <v>OUI</v>
      </c>
      <c r="Q34" s="16">
        <f t="array" ref="Q34">IF(P34="OUI",MAX($Q$2:Q33)+1,"")</f>
        <v>32</v>
      </c>
    </row>
    <row r="35" spans="1:17" x14ac:dyDescent="0.2">
      <c r="A35" s="453">
        <f t="shared" si="13"/>
        <v>42979</v>
      </c>
      <c r="B35" s="30">
        <v>42979</v>
      </c>
      <c r="C35" s="16">
        <f t="shared" si="0"/>
        <v>0</v>
      </c>
      <c r="D35" s="16">
        <f t="shared" si="1"/>
        <v>0</v>
      </c>
      <c r="E35" s="16">
        <f t="shared" si="2"/>
        <v>0</v>
      </c>
      <c r="F35" s="16">
        <f t="shared" si="3"/>
        <v>0</v>
      </c>
      <c r="G35" s="16">
        <f t="shared" si="4"/>
        <v>0</v>
      </c>
      <c r="H35" s="16">
        <f t="shared" si="5"/>
        <v>0</v>
      </c>
      <c r="I35" s="16">
        <f t="shared" si="6"/>
        <v>0</v>
      </c>
      <c r="J35" s="16">
        <f t="shared" si="7"/>
        <v>0</v>
      </c>
      <c r="K35" s="16">
        <f t="shared" si="8"/>
        <v>0</v>
      </c>
      <c r="L35" s="16">
        <f t="shared" si="9"/>
        <v>0</v>
      </c>
      <c r="M35" s="16">
        <f t="shared" si="10"/>
        <v>0</v>
      </c>
      <c r="N35" s="16">
        <f t="shared" si="11"/>
        <v>0</v>
      </c>
      <c r="O35" s="16">
        <f t="shared" si="12"/>
        <v>0</v>
      </c>
      <c r="P35" s="16" t="str">
        <f>+IF(AND(B35&gt;='Relevé de la Régularisation'!$C$9,B35&lt;='Relevé de la Régularisation'!$D$14),"OUI","NON")</f>
        <v>OUI</v>
      </c>
      <c r="Q35" s="16">
        <f t="array" ref="Q35">IF(P35="OUI",MAX($Q$2:Q34)+1,"")</f>
        <v>33</v>
      </c>
    </row>
    <row r="36" spans="1:17" x14ac:dyDescent="0.2">
      <c r="A36" s="453">
        <f t="shared" si="13"/>
        <v>43009</v>
      </c>
      <c r="B36" s="30">
        <v>43009</v>
      </c>
      <c r="C36" s="16">
        <f t="shared" si="0"/>
        <v>0</v>
      </c>
      <c r="D36" s="16">
        <f t="shared" si="1"/>
        <v>0</v>
      </c>
      <c r="E36" s="16">
        <f t="shared" si="2"/>
        <v>0</v>
      </c>
      <c r="F36" s="16">
        <f t="shared" si="3"/>
        <v>0</v>
      </c>
      <c r="G36" s="16">
        <f t="shared" si="4"/>
        <v>0</v>
      </c>
      <c r="H36" s="16">
        <f t="shared" si="5"/>
        <v>0</v>
      </c>
      <c r="I36" s="16">
        <f t="shared" si="6"/>
        <v>0</v>
      </c>
      <c r="J36" s="16">
        <f t="shared" si="7"/>
        <v>0</v>
      </c>
      <c r="K36" s="16">
        <f t="shared" si="8"/>
        <v>0</v>
      </c>
      <c r="L36" s="16">
        <f t="shared" si="9"/>
        <v>0</v>
      </c>
      <c r="M36" s="16">
        <f t="shared" si="10"/>
        <v>0</v>
      </c>
      <c r="N36" s="16">
        <f t="shared" si="11"/>
        <v>0</v>
      </c>
      <c r="O36" s="16">
        <f t="shared" si="12"/>
        <v>0</v>
      </c>
      <c r="P36" s="16" t="str">
        <f>+IF(AND(B36&gt;='Relevé de la Régularisation'!$C$9,B36&lt;='Relevé de la Régularisation'!$D$14),"OUI","NON")</f>
        <v>OUI</v>
      </c>
      <c r="Q36" s="16">
        <f t="array" ref="Q36">IF(P36="OUI",MAX($Q$2:Q35)+1,"")</f>
        <v>34</v>
      </c>
    </row>
    <row r="37" spans="1:17" x14ac:dyDescent="0.2">
      <c r="A37" s="453">
        <f t="shared" si="13"/>
        <v>43040</v>
      </c>
      <c r="B37" s="30">
        <v>43040</v>
      </c>
      <c r="C37" s="16">
        <f t="shared" si="0"/>
        <v>0</v>
      </c>
      <c r="D37" s="16">
        <f t="shared" si="1"/>
        <v>0</v>
      </c>
      <c r="E37" s="16">
        <f t="shared" si="2"/>
        <v>0</v>
      </c>
      <c r="F37" s="16">
        <f t="shared" si="3"/>
        <v>0</v>
      </c>
      <c r="G37" s="16">
        <f t="shared" si="4"/>
        <v>0</v>
      </c>
      <c r="H37" s="16">
        <f t="shared" si="5"/>
        <v>0</v>
      </c>
      <c r="I37" s="16">
        <f t="shared" si="6"/>
        <v>0</v>
      </c>
      <c r="J37" s="16">
        <f t="shared" si="7"/>
        <v>0</v>
      </c>
      <c r="K37" s="16">
        <f t="shared" si="8"/>
        <v>0</v>
      </c>
      <c r="L37" s="16">
        <f t="shared" si="9"/>
        <v>0</v>
      </c>
      <c r="M37" s="16">
        <f t="shared" si="10"/>
        <v>0</v>
      </c>
      <c r="N37" s="16">
        <f t="shared" si="11"/>
        <v>0</v>
      </c>
      <c r="O37" s="16">
        <f t="shared" si="12"/>
        <v>0</v>
      </c>
      <c r="P37" s="16" t="str">
        <f>+IF(AND(B37&gt;='Relevé de la Régularisation'!$C$9,B37&lt;='Relevé de la Régularisation'!$D$14),"OUI","NON")</f>
        <v>OUI</v>
      </c>
      <c r="Q37" s="16">
        <f t="array" ref="Q37">IF(P37="OUI",MAX($Q$2:Q36)+1,"")</f>
        <v>35</v>
      </c>
    </row>
    <row r="38" spans="1:17" x14ac:dyDescent="0.2">
      <c r="A38" s="453">
        <f t="shared" si="13"/>
        <v>43070</v>
      </c>
      <c r="B38" s="30">
        <v>43070</v>
      </c>
      <c r="C38" s="16">
        <f t="shared" si="0"/>
        <v>0</v>
      </c>
      <c r="D38" s="16">
        <f t="shared" si="1"/>
        <v>0</v>
      </c>
      <c r="E38" s="16">
        <f t="shared" si="2"/>
        <v>0</v>
      </c>
      <c r="F38" s="16">
        <f t="shared" si="3"/>
        <v>0</v>
      </c>
      <c r="G38" s="16">
        <f t="shared" si="4"/>
        <v>0</v>
      </c>
      <c r="H38" s="16">
        <f t="shared" si="5"/>
        <v>0</v>
      </c>
      <c r="I38" s="16">
        <f t="shared" si="6"/>
        <v>0</v>
      </c>
      <c r="J38" s="16">
        <f t="shared" si="7"/>
        <v>0</v>
      </c>
      <c r="K38" s="16">
        <f t="shared" si="8"/>
        <v>0</v>
      </c>
      <c r="L38" s="16">
        <f t="shared" si="9"/>
        <v>0</v>
      </c>
      <c r="M38" s="16">
        <f t="shared" si="10"/>
        <v>0</v>
      </c>
      <c r="N38" s="16">
        <f t="shared" si="11"/>
        <v>0</v>
      </c>
      <c r="O38" s="16">
        <f t="shared" si="12"/>
        <v>0</v>
      </c>
      <c r="P38" s="16" t="str">
        <f>+IF(AND(B38&gt;='Relevé de la Régularisation'!$C$9,B38&lt;='Relevé de la Régularisation'!$D$14),"OUI","NON")</f>
        <v>OUI</v>
      </c>
      <c r="Q38" s="16">
        <f t="array" ref="Q38">IF(P38="OUI",MAX($Q$2:Q37)+1,"")</f>
        <v>36</v>
      </c>
    </row>
    <row r="39" spans="1:17" x14ac:dyDescent="0.2">
      <c r="A39" s="453">
        <f t="shared" si="13"/>
        <v>43101</v>
      </c>
      <c r="B39" s="30">
        <v>43101</v>
      </c>
      <c r="C39" s="16">
        <f t="shared" si="0"/>
        <v>0</v>
      </c>
      <c r="D39" s="16">
        <f t="shared" si="1"/>
        <v>0</v>
      </c>
      <c r="E39" s="16">
        <f t="shared" si="2"/>
        <v>0</v>
      </c>
      <c r="F39" s="16">
        <f t="shared" si="3"/>
        <v>0</v>
      </c>
      <c r="G39" s="16">
        <f t="shared" si="4"/>
        <v>0</v>
      </c>
      <c r="H39" s="16">
        <f t="shared" si="5"/>
        <v>0</v>
      </c>
      <c r="I39" s="16">
        <f t="shared" si="6"/>
        <v>0</v>
      </c>
      <c r="J39" s="16">
        <f t="shared" si="7"/>
        <v>0</v>
      </c>
      <c r="K39" s="16">
        <f t="shared" si="8"/>
        <v>0</v>
      </c>
      <c r="L39" s="16">
        <f t="shared" si="9"/>
        <v>0</v>
      </c>
      <c r="M39" s="16">
        <f t="shared" si="10"/>
        <v>0</v>
      </c>
      <c r="N39" s="16">
        <f t="shared" si="11"/>
        <v>0</v>
      </c>
      <c r="O39" s="16">
        <f t="shared" si="12"/>
        <v>0</v>
      </c>
      <c r="P39" s="16" t="str">
        <f>+IF(AND(B39&gt;='Relevé de la Régularisation'!$C$9,B39&lt;='Relevé de la Régularisation'!$D$14),"OUI","NON")</f>
        <v>OUI</v>
      </c>
      <c r="Q39" s="16">
        <f t="array" ref="Q39">IF(P39="OUI",MAX($Q$2:Q38)+1,"")</f>
        <v>37</v>
      </c>
    </row>
    <row r="40" spans="1:17" x14ac:dyDescent="0.2">
      <c r="A40" s="453">
        <f t="shared" si="13"/>
        <v>43132</v>
      </c>
      <c r="B40" s="30">
        <v>43132</v>
      </c>
      <c r="C40" s="16">
        <f t="shared" si="0"/>
        <v>0</v>
      </c>
      <c r="D40" s="16">
        <f t="shared" si="1"/>
        <v>0</v>
      </c>
      <c r="E40" s="16">
        <f t="shared" si="2"/>
        <v>0</v>
      </c>
      <c r="F40" s="16">
        <f t="shared" si="3"/>
        <v>0</v>
      </c>
      <c r="G40" s="16">
        <f t="shared" si="4"/>
        <v>0</v>
      </c>
      <c r="H40" s="16">
        <f t="shared" si="5"/>
        <v>0</v>
      </c>
      <c r="I40" s="16">
        <f t="shared" si="6"/>
        <v>0</v>
      </c>
      <c r="J40" s="16">
        <f t="shared" si="7"/>
        <v>0</v>
      </c>
      <c r="K40" s="16">
        <f t="shared" si="8"/>
        <v>0</v>
      </c>
      <c r="L40" s="16">
        <f t="shared" si="9"/>
        <v>0</v>
      </c>
      <c r="M40" s="16">
        <f t="shared" si="10"/>
        <v>0</v>
      </c>
      <c r="N40" s="16">
        <f t="shared" si="11"/>
        <v>0</v>
      </c>
      <c r="O40" s="16">
        <f t="shared" si="12"/>
        <v>0</v>
      </c>
      <c r="P40" s="16" t="str">
        <f>+IF(AND(B40&gt;='Relevé de la Régularisation'!$C$9,B40&lt;='Relevé de la Régularisation'!$D$14),"OUI","NON")</f>
        <v>OUI</v>
      </c>
      <c r="Q40" s="16">
        <f t="array" ref="Q40">IF(P40="OUI",MAX($Q$2:Q39)+1,"")</f>
        <v>38</v>
      </c>
    </row>
    <row r="41" spans="1:17" x14ac:dyDescent="0.2">
      <c r="A41" s="453">
        <f t="shared" si="13"/>
        <v>43160</v>
      </c>
      <c r="B41" s="30">
        <v>43160</v>
      </c>
      <c r="C41" s="16">
        <f t="shared" si="0"/>
        <v>0</v>
      </c>
      <c r="D41" s="16">
        <f t="shared" si="1"/>
        <v>0</v>
      </c>
      <c r="E41" s="16">
        <f t="shared" si="2"/>
        <v>0</v>
      </c>
      <c r="F41" s="16">
        <f t="shared" si="3"/>
        <v>0</v>
      </c>
      <c r="G41" s="16">
        <f t="shared" si="4"/>
        <v>0</v>
      </c>
      <c r="H41" s="16">
        <f t="shared" si="5"/>
        <v>0</v>
      </c>
      <c r="I41" s="16">
        <f t="shared" si="6"/>
        <v>0</v>
      </c>
      <c r="J41" s="16">
        <f t="shared" si="7"/>
        <v>0</v>
      </c>
      <c r="K41" s="16">
        <f t="shared" si="8"/>
        <v>0</v>
      </c>
      <c r="L41" s="16">
        <f t="shared" si="9"/>
        <v>0</v>
      </c>
      <c r="M41" s="16">
        <f t="shared" si="10"/>
        <v>0</v>
      </c>
      <c r="N41" s="16">
        <f t="shared" si="11"/>
        <v>0</v>
      </c>
      <c r="O41" s="16">
        <f t="shared" si="12"/>
        <v>0</v>
      </c>
      <c r="P41" s="16" t="str">
        <f>+IF(AND(B41&gt;='Relevé de la Régularisation'!$C$9,B41&lt;='Relevé de la Régularisation'!$D$14),"OUI","NON")</f>
        <v>OUI</v>
      </c>
      <c r="Q41" s="16">
        <f t="array" ref="Q41">IF(P41="OUI",MAX($Q$2:Q40)+1,"")</f>
        <v>39</v>
      </c>
    </row>
    <row r="42" spans="1:17" x14ac:dyDescent="0.2">
      <c r="A42" s="453">
        <f t="shared" si="13"/>
        <v>43191</v>
      </c>
      <c r="B42" s="30">
        <v>43191</v>
      </c>
      <c r="C42" s="16">
        <f t="shared" si="0"/>
        <v>0</v>
      </c>
      <c r="D42" s="16">
        <f t="shared" si="1"/>
        <v>0</v>
      </c>
      <c r="E42" s="16">
        <f t="shared" si="2"/>
        <v>0</v>
      </c>
      <c r="F42" s="16">
        <f t="shared" si="3"/>
        <v>0</v>
      </c>
      <c r="G42" s="16">
        <f t="shared" si="4"/>
        <v>0</v>
      </c>
      <c r="H42" s="16">
        <f t="shared" si="5"/>
        <v>0</v>
      </c>
      <c r="I42" s="16">
        <f t="shared" si="6"/>
        <v>0</v>
      </c>
      <c r="J42" s="16">
        <f t="shared" si="7"/>
        <v>0</v>
      </c>
      <c r="K42" s="16">
        <f t="shared" si="8"/>
        <v>0</v>
      </c>
      <c r="L42" s="16">
        <f t="shared" si="9"/>
        <v>0</v>
      </c>
      <c r="M42" s="16">
        <f t="shared" si="10"/>
        <v>0</v>
      </c>
      <c r="N42" s="16">
        <f t="shared" si="11"/>
        <v>0</v>
      </c>
      <c r="O42" s="16">
        <f t="shared" si="12"/>
        <v>0</v>
      </c>
      <c r="P42" s="16" t="str">
        <f>+IF(AND(B42&gt;='Relevé de la Régularisation'!$C$9,B42&lt;='Relevé de la Régularisation'!$D$14),"OUI","NON")</f>
        <v>OUI</v>
      </c>
      <c r="Q42" s="16">
        <f t="array" ref="Q42">IF(P42="OUI",MAX($Q$2:Q41)+1,"")</f>
        <v>40</v>
      </c>
    </row>
    <row r="43" spans="1:17" x14ac:dyDescent="0.2">
      <c r="A43" s="453">
        <f t="shared" si="13"/>
        <v>43221</v>
      </c>
      <c r="B43" s="30">
        <v>43221</v>
      </c>
      <c r="C43" s="16">
        <f t="shared" si="0"/>
        <v>0</v>
      </c>
      <c r="D43" s="16">
        <f t="shared" si="1"/>
        <v>0</v>
      </c>
      <c r="E43" s="16">
        <f t="shared" si="2"/>
        <v>0</v>
      </c>
      <c r="F43" s="16">
        <f t="shared" si="3"/>
        <v>0</v>
      </c>
      <c r="G43" s="16">
        <f t="shared" si="4"/>
        <v>0</v>
      </c>
      <c r="H43" s="16">
        <f t="shared" si="5"/>
        <v>0</v>
      </c>
      <c r="I43" s="16">
        <f t="shared" si="6"/>
        <v>0</v>
      </c>
      <c r="J43" s="16">
        <f t="shared" si="7"/>
        <v>0</v>
      </c>
      <c r="K43" s="16">
        <f t="shared" si="8"/>
        <v>0</v>
      </c>
      <c r="L43" s="16">
        <f t="shared" si="9"/>
        <v>0</v>
      </c>
      <c r="M43" s="16">
        <f t="shared" si="10"/>
        <v>0</v>
      </c>
      <c r="N43" s="16">
        <f t="shared" si="11"/>
        <v>0</v>
      </c>
      <c r="O43" s="16">
        <f t="shared" si="12"/>
        <v>0</v>
      </c>
      <c r="P43" s="16" t="str">
        <f>+IF(AND(B43&gt;='Relevé de la Régularisation'!$C$9,B43&lt;='Relevé de la Régularisation'!$D$14),"OUI","NON")</f>
        <v>OUI</v>
      </c>
      <c r="Q43" s="16">
        <f t="array" ref="Q43">IF(P43="OUI",MAX($Q$2:Q42)+1,"")</f>
        <v>41</v>
      </c>
    </row>
    <row r="44" spans="1:17" x14ac:dyDescent="0.2">
      <c r="A44" s="453">
        <f t="shared" si="13"/>
        <v>43252</v>
      </c>
      <c r="B44" s="30">
        <v>43252</v>
      </c>
      <c r="C44" s="16">
        <f t="shared" si="0"/>
        <v>0</v>
      </c>
      <c r="D44" s="16">
        <f t="shared" si="1"/>
        <v>0</v>
      </c>
      <c r="E44" s="16">
        <f t="shared" si="2"/>
        <v>0</v>
      </c>
      <c r="F44" s="16">
        <f t="shared" si="3"/>
        <v>0</v>
      </c>
      <c r="G44" s="16">
        <f t="shared" si="4"/>
        <v>0</v>
      </c>
      <c r="H44" s="16">
        <f t="shared" si="5"/>
        <v>0</v>
      </c>
      <c r="I44" s="16">
        <f t="shared" si="6"/>
        <v>0</v>
      </c>
      <c r="J44" s="16">
        <f t="shared" si="7"/>
        <v>0</v>
      </c>
      <c r="K44" s="16">
        <f t="shared" si="8"/>
        <v>0</v>
      </c>
      <c r="L44" s="16">
        <f t="shared" si="9"/>
        <v>0</v>
      </c>
      <c r="M44" s="16">
        <f t="shared" si="10"/>
        <v>0</v>
      </c>
      <c r="N44" s="16">
        <f t="shared" si="11"/>
        <v>0</v>
      </c>
      <c r="O44" s="16">
        <f t="shared" si="12"/>
        <v>0</v>
      </c>
      <c r="P44" s="16" t="str">
        <f>+IF(AND(B44&gt;='Relevé de la Régularisation'!$C$9,B44&lt;='Relevé de la Régularisation'!$D$14),"OUI","NON")</f>
        <v>OUI</v>
      </c>
      <c r="Q44" s="16">
        <f t="array" ref="Q44">IF(P44="OUI",MAX($Q$2:Q43)+1,"")</f>
        <v>42</v>
      </c>
    </row>
    <row r="45" spans="1:17" x14ac:dyDescent="0.2">
      <c r="A45" s="453">
        <f t="shared" si="13"/>
        <v>43282</v>
      </c>
      <c r="B45" s="30">
        <v>43282</v>
      </c>
      <c r="C45" s="16">
        <f t="shared" si="0"/>
        <v>0</v>
      </c>
      <c r="D45" s="16">
        <f t="shared" si="1"/>
        <v>0</v>
      </c>
      <c r="E45" s="16">
        <f t="shared" si="2"/>
        <v>0</v>
      </c>
      <c r="F45" s="16">
        <f t="shared" si="3"/>
        <v>0</v>
      </c>
      <c r="G45" s="16">
        <f t="shared" si="4"/>
        <v>0</v>
      </c>
      <c r="H45" s="16">
        <f t="shared" si="5"/>
        <v>0</v>
      </c>
      <c r="I45" s="16">
        <f t="shared" si="6"/>
        <v>0</v>
      </c>
      <c r="J45" s="16">
        <f t="shared" si="7"/>
        <v>0</v>
      </c>
      <c r="K45" s="16">
        <f t="shared" si="8"/>
        <v>0</v>
      </c>
      <c r="L45" s="16">
        <f t="shared" si="9"/>
        <v>0</v>
      </c>
      <c r="M45" s="16">
        <f t="shared" si="10"/>
        <v>0</v>
      </c>
      <c r="N45" s="16">
        <f t="shared" si="11"/>
        <v>0</v>
      </c>
      <c r="O45" s="16">
        <f t="shared" si="12"/>
        <v>0</v>
      </c>
      <c r="P45" s="16" t="str">
        <f>+IF(AND(B45&gt;='Relevé de la Régularisation'!$C$9,B45&lt;='Relevé de la Régularisation'!$D$14),"OUI","NON")</f>
        <v>OUI</v>
      </c>
      <c r="Q45" s="16">
        <f t="array" ref="Q45">IF(P45="OUI",MAX($Q$2:Q44)+1,"")</f>
        <v>43</v>
      </c>
    </row>
    <row r="46" spans="1:17" x14ac:dyDescent="0.2">
      <c r="A46" s="453">
        <f t="shared" si="13"/>
        <v>43313</v>
      </c>
      <c r="B46" s="30">
        <v>43313</v>
      </c>
      <c r="C46" s="16">
        <f t="shared" si="0"/>
        <v>0</v>
      </c>
      <c r="D46" s="16">
        <f t="shared" si="1"/>
        <v>0</v>
      </c>
      <c r="E46" s="16">
        <f t="shared" si="2"/>
        <v>0</v>
      </c>
      <c r="F46" s="16">
        <f t="shared" si="3"/>
        <v>0</v>
      </c>
      <c r="G46" s="16">
        <f t="shared" si="4"/>
        <v>0</v>
      </c>
      <c r="H46" s="16">
        <f t="shared" si="5"/>
        <v>0</v>
      </c>
      <c r="I46" s="16">
        <f t="shared" si="6"/>
        <v>0</v>
      </c>
      <c r="J46" s="16">
        <f t="shared" si="7"/>
        <v>0</v>
      </c>
      <c r="K46" s="16">
        <f t="shared" si="8"/>
        <v>0</v>
      </c>
      <c r="L46" s="16">
        <f t="shared" si="9"/>
        <v>0</v>
      </c>
      <c r="M46" s="16">
        <f t="shared" si="10"/>
        <v>0</v>
      </c>
      <c r="N46" s="16">
        <f t="shared" si="11"/>
        <v>0</v>
      </c>
      <c r="O46" s="16">
        <f t="shared" si="12"/>
        <v>0</v>
      </c>
      <c r="P46" s="16" t="str">
        <f>+IF(AND(B46&gt;='Relevé de la Régularisation'!$C$9,B46&lt;='Relevé de la Régularisation'!$D$14),"OUI","NON")</f>
        <v>OUI</v>
      </c>
      <c r="Q46" s="16">
        <f t="array" ref="Q46">IF(P46="OUI",MAX($Q$2:Q45)+1,"")</f>
        <v>44</v>
      </c>
    </row>
    <row r="47" spans="1:17" x14ac:dyDescent="0.2">
      <c r="A47" s="453">
        <f t="shared" si="13"/>
        <v>43344</v>
      </c>
      <c r="B47" s="30">
        <v>43344</v>
      </c>
      <c r="C47" s="16">
        <f t="shared" si="0"/>
        <v>0</v>
      </c>
      <c r="D47" s="16">
        <f t="shared" si="1"/>
        <v>0</v>
      </c>
      <c r="E47" s="16">
        <f t="shared" si="2"/>
        <v>0</v>
      </c>
      <c r="F47" s="16">
        <f t="shared" si="3"/>
        <v>0</v>
      </c>
      <c r="G47" s="16">
        <f t="shared" si="4"/>
        <v>0</v>
      </c>
      <c r="H47" s="16">
        <f t="shared" si="5"/>
        <v>0</v>
      </c>
      <c r="I47" s="16">
        <f t="shared" si="6"/>
        <v>0</v>
      </c>
      <c r="J47" s="16">
        <f t="shared" si="7"/>
        <v>0</v>
      </c>
      <c r="K47" s="16">
        <f t="shared" si="8"/>
        <v>0</v>
      </c>
      <c r="L47" s="16">
        <f t="shared" si="9"/>
        <v>0</v>
      </c>
      <c r="M47" s="16">
        <f t="shared" si="10"/>
        <v>0</v>
      </c>
      <c r="N47" s="16">
        <f t="shared" si="11"/>
        <v>0</v>
      </c>
      <c r="O47" s="16">
        <f t="shared" si="12"/>
        <v>0</v>
      </c>
      <c r="P47" s="16" t="str">
        <f>+IF(AND(B47&gt;='Relevé de la Régularisation'!$C$9,B47&lt;='Relevé de la Régularisation'!$D$14),"OUI","NON")</f>
        <v>OUI</v>
      </c>
      <c r="Q47" s="16">
        <f t="array" ref="Q47">IF(P47="OUI",MAX($Q$2:Q46)+1,"")</f>
        <v>45</v>
      </c>
    </row>
    <row r="48" spans="1:17" x14ac:dyDescent="0.2">
      <c r="A48" s="453">
        <f t="shared" si="13"/>
        <v>43374</v>
      </c>
      <c r="B48" s="30">
        <v>43374</v>
      </c>
      <c r="C48" s="16">
        <f t="shared" si="0"/>
        <v>0</v>
      </c>
      <c r="D48" s="16">
        <f t="shared" si="1"/>
        <v>0</v>
      </c>
      <c r="E48" s="16">
        <f t="shared" si="2"/>
        <v>0</v>
      </c>
      <c r="F48" s="16">
        <f t="shared" si="3"/>
        <v>0</v>
      </c>
      <c r="G48" s="16">
        <f t="shared" si="4"/>
        <v>0</v>
      </c>
      <c r="H48" s="16">
        <f t="shared" si="5"/>
        <v>0</v>
      </c>
      <c r="I48" s="16">
        <f t="shared" si="6"/>
        <v>0</v>
      </c>
      <c r="J48" s="16">
        <f t="shared" si="7"/>
        <v>0</v>
      </c>
      <c r="K48" s="16">
        <f t="shared" si="8"/>
        <v>0</v>
      </c>
      <c r="L48" s="16">
        <f t="shared" si="9"/>
        <v>0</v>
      </c>
      <c r="M48" s="16">
        <f t="shared" si="10"/>
        <v>0</v>
      </c>
      <c r="N48" s="16">
        <f t="shared" si="11"/>
        <v>0</v>
      </c>
      <c r="O48" s="16">
        <f t="shared" si="12"/>
        <v>0</v>
      </c>
      <c r="P48" s="16" t="str">
        <f>+IF(AND(B48&gt;='Relevé de la Régularisation'!$C$9,B48&lt;='Relevé de la Régularisation'!$D$14),"OUI","NON")</f>
        <v>OUI</v>
      </c>
      <c r="Q48" s="16">
        <f t="array" ref="Q48">IF(P48="OUI",MAX($Q$2:Q47)+1,"")</f>
        <v>46</v>
      </c>
    </row>
    <row r="49" spans="1:17" x14ac:dyDescent="0.2">
      <c r="A49" s="453">
        <f t="shared" si="13"/>
        <v>43405</v>
      </c>
      <c r="B49" s="30">
        <v>43405</v>
      </c>
      <c r="C49" s="16">
        <f t="shared" si="0"/>
        <v>0</v>
      </c>
      <c r="D49" s="16">
        <f t="shared" si="1"/>
        <v>0</v>
      </c>
      <c r="E49" s="16">
        <f t="shared" si="2"/>
        <v>0</v>
      </c>
      <c r="F49" s="16">
        <f t="shared" si="3"/>
        <v>0</v>
      </c>
      <c r="G49" s="16">
        <f t="shared" si="4"/>
        <v>0</v>
      </c>
      <c r="H49" s="16">
        <f t="shared" si="5"/>
        <v>0</v>
      </c>
      <c r="I49" s="16">
        <f t="shared" si="6"/>
        <v>0</v>
      </c>
      <c r="J49" s="16">
        <f t="shared" si="7"/>
        <v>0</v>
      </c>
      <c r="K49" s="16">
        <f t="shared" si="8"/>
        <v>0</v>
      </c>
      <c r="L49" s="16">
        <f t="shared" si="9"/>
        <v>0</v>
      </c>
      <c r="M49" s="16">
        <f t="shared" si="10"/>
        <v>0</v>
      </c>
      <c r="N49" s="16">
        <f t="shared" si="11"/>
        <v>0</v>
      </c>
      <c r="O49" s="16">
        <f t="shared" si="12"/>
        <v>0</v>
      </c>
      <c r="P49" s="16" t="str">
        <f>+IF(AND(B49&gt;='Relevé de la Régularisation'!$C$9,B49&lt;='Relevé de la Régularisation'!$D$14),"OUI","NON")</f>
        <v>OUI</v>
      </c>
      <c r="Q49" s="16">
        <f t="array" ref="Q49">IF(P49="OUI",MAX($Q$2:Q48)+1,"")</f>
        <v>47</v>
      </c>
    </row>
    <row r="50" spans="1:17" x14ac:dyDescent="0.2">
      <c r="A50" s="453">
        <f t="shared" si="13"/>
        <v>43435</v>
      </c>
      <c r="B50" s="30">
        <v>43435</v>
      </c>
      <c r="C50" s="16">
        <f t="shared" si="0"/>
        <v>0</v>
      </c>
      <c r="D50" s="16">
        <f t="shared" si="1"/>
        <v>0</v>
      </c>
      <c r="E50" s="16">
        <f t="shared" si="2"/>
        <v>0</v>
      </c>
      <c r="F50" s="16">
        <f t="shared" si="3"/>
        <v>0</v>
      </c>
      <c r="G50" s="16">
        <f t="shared" si="4"/>
        <v>0</v>
      </c>
      <c r="H50" s="16">
        <f t="shared" si="5"/>
        <v>0</v>
      </c>
      <c r="I50" s="16">
        <f t="shared" si="6"/>
        <v>0</v>
      </c>
      <c r="J50" s="16">
        <f t="shared" si="7"/>
        <v>0</v>
      </c>
      <c r="K50" s="16">
        <f t="shared" si="8"/>
        <v>0</v>
      </c>
      <c r="L50" s="16">
        <f t="shared" si="9"/>
        <v>0</v>
      </c>
      <c r="M50" s="16">
        <f t="shared" si="10"/>
        <v>0</v>
      </c>
      <c r="N50" s="16">
        <f t="shared" si="11"/>
        <v>0</v>
      </c>
      <c r="O50" s="16">
        <f t="shared" si="12"/>
        <v>0</v>
      </c>
      <c r="P50" s="16" t="str">
        <f>+IF(AND(B50&gt;='Relevé de la Régularisation'!$C$9,B50&lt;='Relevé de la Régularisation'!$D$14),"OUI","NON")</f>
        <v>OUI</v>
      </c>
      <c r="Q50" s="16">
        <f t="array" ref="Q50">IF(P50="OUI",MAX($Q$2:Q49)+1,"")</f>
        <v>48</v>
      </c>
    </row>
    <row r="51" spans="1:17" x14ac:dyDescent="0.2">
      <c r="A51" s="453">
        <f t="shared" si="13"/>
        <v>43466</v>
      </c>
      <c r="B51" s="30">
        <v>43466</v>
      </c>
      <c r="C51" s="16">
        <f t="shared" si="0"/>
        <v>0</v>
      </c>
      <c r="D51" s="16">
        <f t="shared" si="1"/>
        <v>0</v>
      </c>
      <c r="E51" s="16">
        <f t="shared" si="2"/>
        <v>0</v>
      </c>
      <c r="F51" s="16">
        <f t="shared" si="3"/>
        <v>0</v>
      </c>
      <c r="G51" s="16">
        <f t="shared" si="4"/>
        <v>0</v>
      </c>
      <c r="H51" s="16">
        <f t="shared" si="5"/>
        <v>0</v>
      </c>
      <c r="I51" s="16">
        <f t="shared" si="6"/>
        <v>0</v>
      </c>
      <c r="J51" s="16">
        <f t="shared" si="7"/>
        <v>0</v>
      </c>
      <c r="K51" s="16">
        <f t="shared" si="8"/>
        <v>0</v>
      </c>
      <c r="L51" s="16">
        <f t="shared" si="9"/>
        <v>0</v>
      </c>
      <c r="M51" s="16">
        <f t="shared" si="10"/>
        <v>0</v>
      </c>
      <c r="N51" s="16">
        <f t="shared" si="11"/>
        <v>0</v>
      </c>
      <c r="O51" s="16">
        <f t="shared" si="12"/>
        <v>0</v>
      </c>
      <c r="P51" s="16" t="str">
        <f>+IF(AND(B51&gt;='Relevé de la Régularisation'!$C$9,B51&lt;='Relevé de la Régularisation'!$D$14),"OUI","NON")</f>
        <v>OUI</v>
      </c>
      <c r="Q51" s="16">
        <f t="array" ref="Q51">IF(P51="OUI",MAX($Q$2:Q50)+1,"")</f>
        <v>49</v>
      </c>
    </row>
    <row r="52" spans="1:17" x14ac:dyDescent="0.2">
      <c r="A52" s="453">
        <f t="shared" si="13"/>
        <v>43497</v>
      </c>
      <c r="B52" s="30">
        <v>43497</v>
      </c>
      <c r="C52" s="16">
        <f t="shared" si="0"/>
        <v>0</v>
      </c>
      <c r="D52" s="16">
        <f t="shared" si="1"/>
        <v>0</v>
      </c>
      <c r="E52" s="16">
        <f t="shared" si="2"/>
        <v>0</v>
      </c>
      <c r="F52" s="16">
        <f t="shared" si="3"/>
        <v>0</v>
      </c>
      <c r="G52" s="16">
        <f t="shared" si="4"/>
        <v>0</v>
      </c>
      <c r="H52" s="16">
        <f t="shared" si="5"/>
        <v>0</v>
      </c>
      <c r="I52" s="16">
        <f t="shared" si="6"/>
        <v>0</v>
      </c>
      <c r="J52" s="16">
        <f t="shared" si="7"/>
        <v>0</v>
      </c>
      <c r="K52" s="16">
        <f t="shared" si="8"/>
        <v>0</v>
      </c>
      <c r="L52" s="16">
        <f t="shared" si="9"/>
        <v>0</v>
      </c>
      <c r="M52" s="16">
        <f t="shared" si="10"/>
        <v>0</v>
      </c>
      <c r="N52" s="16">
        <f t="shared" si="11"/>
        <v>0</v>
      </c>
      <c r="O52" s="16">
        <f t="shared" si="12"/>
        <v>0</v>
      </c>
      <c r="P52" s="16" t="str">
        <f>+IF(AND(B52&gt;='Relevé de la Régularisation'!$C$9,B52&lt;='Relevé de la Régularisation'!$D$14),"OUI","NON")</f>
        <v>OUI</v>
      </c>
      <c r="Q52" s="16">
        <f t="array" ref="Q52">IF(P52="OUI",MAX($Q$2:Q51)+1,"")</f>
        <v>50</v>
      </c>
    </row>
    <row r="53" spans="1:17" x14ac:dyDescent="0.2">
      <c r="A53" s="453">
        <f t="shared" si="13"/>
        <v>43525</v>
      </c>
      <c r="B53" s="30">
        <v>43525</v>
      </c>
      <c r="C53" s="16">
        <f t="shared" si="0"/>
        <v>0</v>
      </c>
      <c r="D53" s="16">
        <f t="shared" si="1"/>
        <v>0</v>
      </c>
      <c r="E53" s="16">
        <f t="shared" si="2"/>
        <v>0</v>
      </c>
      <c r="F53" s="16">
        <f t="shared" si="3"/>
        <v>0</v>
      </c>
      <c r="G53" s="16">
        <f t="shared" si="4"/>
        <v>0</v>
      </c>
      <c r="H53" s="16">
        <f t="shared" si="5"/>
        <v>0</v>
      </c>
      <c r="I53" s="16">
        <f t="shared" si="6"/>
        <v>0</v>
      </c>
      <c r="J53" s="16">
        <f t="shared" si="7"/>
        <v>0</v>
      </c>
      <c r="K53" s="16">
        <f t="shared" si="8"/>
        <v>0</v>
      </c>
      <c r="L53" s="16">
        <f t="shared" si="9"/>
        <v>0</v>
      </c>
      <c r="M53" s="16">
        <f t="shared" si="10"/>
        <v>0</v>
      </c>
      <c r="N53" s="16">
        <f t="shared" si="11"/>
        <v>0</v>
      </c>
      <c r="O53" s="16">
        <f t="shared" si="12"/>
        <v>0</v>
      </c>
      <c r="P53" s="16" t="str">
        <f>+IF(AND(B53&gt;='Relevé de la Régularisation'!$C$9,B53&lt;='Relevé de la Régularisation'!$D$14),"OUI","NON")</f>
        <v>OUI</v>
      </c>
      <c r="Q53" s="16">
        <f t="array" ref="Q53">IF(P53="OUI",MAX($Q$2:Q52)+1,"")</f>
        <v>51</v>
      </c>
    </row>
    <row r="54" spans="1:17" x14ac:dyDescent="0.2">
      <c r="A54" s="453">
        <f t="shared" si="13"/>
        <v>43556</v>
      </c>
      <c r="B54" s="30">
        <v>43556</v>
      </c>
      <c r="C54" s="16">
        <f t="shared" si="0"/>
        <v>0</v>
      </c>
      <c r="D54" s="16">
        <f t="shared" si="1"/>
        <v>0</v>
      </c>
      <c r="E54" s="16">
        <f t="shared" si="2"/>
        <v>0</v>
      </c>
      <c r="F54" s="16">
        <f t="shared" si="3"/>
        <v>0</v>
      </c>
      <c r="G54" s="16">
        <f t="shared" si="4"/>
        <v>0</v>
      </c>
      <c r="H54" s="16">
        <f t="shared" si="5"/>
        <v>0</v>
      </c>
      <c r="I54" s="16">
        <f t="shared" si="6"/>
        <v>0</v>
      </c>
      <c r="J54" s="16">
        <f t="shared" si="7"/>
        <v>0</v>
      </c>
      <c r="K54" s="16">
        <f t="shared" si="8"/>
        <v>0</v>
      </c>
      <c r="L54" s="16">
        <f t="shared" si="9"/>
        <v>0</v>
      </c>
      <c r="M54" s="16">
        <f t="shared" si="10"/>
        <v>0</v>
      </c>
      <c r="N54" s="16">
        <f t="shared" si="11"/>
        <v>0</v>
      </c>
      <c r="O54" s="16">
        <f t="shared" si="12"/>
        <v>0</v>
      </c>
      <c r="P54" s="16" t="str">
        <f>+IF(AND(B54&gt;='Relevé de la Régularisation'!$C$9,B54&lt;='Relevé de la Régularisation'!$D$14),"OUI","NON")</f>
        <v>OUI</v>
      </c>
      <c r="Q54" s="16">
        <f t="array" ref="Q54">IF(P54="OUI",MAX($Q$2:Q53)+1,"")</f>
        <v>52</v>
      </c>
    </row>
    <row r="55" spans="1:17" x14ac:dyDescent="0.2">
      <c r="A55" s="453">
        <f t="shared" si="13"/>
        <v>43586</v>
      </c>
      <c r="B55" s="30">
        <v>43586</v>
      </c>
      <c r="C55" s="16">
        <f t="shared" si="0"/>
        <v>0</v>
      </c>
      <c r="D55" s="16">
        <f t="shared" si="1"/>
        <v>0</v>
      </c>
      <c r="E55" s="16">
        <f t="shared" si="2"/>
        <v>0</v>
      </c>
      <c r="F55" s="16">
        <f t="shared" si="3"/>
        <v>0</v>
      </c>
      <c r="G55" s="16">
        <f t="shared" si="4"/>
        <v>0</v>
      </c>
      <c r="H55" s="16">
        <f t="shared" si="5"/>
        <v>0</v>
      </c>
      <c r="I55" s="16">
        <f t="shared" si="6"/>
        <v>0</v>
      </c>
      <c r="J55" s="16">
        <f t="shared" si="7"/>
        <v>0</v>
      </c>
      <c r="K55" s="16">
        <f t="shared" si="8"/>
        <v>0</v>
      </c>
      <c r="L55" s="16">
        <f t="shared" si="9"/>
        <v>0</v>
      </c>
      <c r="M55" s="16">
        <f t="shared" si="10"/>
        <v>0</v>
      </c>
      <c r="N55" s="16">
        <f t="shared" si="11"/>
        <v>0</v>
      </c>
      <c r="O55" s="16">
        <f t="shared" si="12"/>
        <v>0</v>
      </c>
      <c r="P55" s="16" t="str">
        <f>+IF(AND(B55&gt;='Relevé de la Régularisation'!$C$9,B55&lt;='Relevé de la Régularisation'!$D$14),"OUI","NON")</f>
        <v>OUI</v>
      </c>
      <c r="Q55" s="16">
        <f t="array" ref="Q55">IF(P55="OUI",MAX($Q$2:Q54)+1,"")</f>
        <v>53</v>
      </c>
    </row>
    <row r="56" spans="1:17" x14ac:dyDescent="0.2">
      <c r="A56" s="453">
        <f t="shared" si="13"/>
        <v>43617</v>
      </c>
      <c r="B56" s="30">
        <v>43617</v>
      </c>
      <c r="C56" s="16">
        <f t="shared" si="0"/>
        <v>0</v>
      </c>
      <c r="D56" s="16">
        <f t="shared" si="1"/>
        <v>0</v>
      </c>
      <c r="E56" s="16">
        <f t="shared" si="2"/>
        <v>0</v>
      </c>
      <c r="F56" s="16">
        <f t="shared" si="3"/>
        <v>0</v>
      </c>
      <c r="G56" s="16">
        <f t="shared" si="4"/>
        <v>0</v>
      </c>
      <c r="H56" s="16">
        <f t="shared" si="5"/>
        <v>0</v>
      </c>
      <c r="I56" s="16">
        <f t="shared" si="6"/>
        <v>0</v>
      </c>
      <c r="J56" s="16">
        <f t="shared" si="7"/>
        <v>0</v>
      </c>
      <c r="K56" s="16">
        <f t="shared" si="8"/>
        <v>0</v>
      </c>
      <c r="L56" s="16">
        <f t="shared" si="9"/>
        <v>0</v>
      </c>
      <c r="M56" s="16">
        <f t="shared" si="10"/>
        <v>0</v>
      </c>
      <c r="N56" s="16">
        <f t="shared" si="11"/>
        <v>0</v>
      </c>
      <c r="O56" s="16">
        <f t="shared" si="12"/>
        <v>0</v>
      </c>
      <c r="P56" s="16" t="str">
        <f>+IF(AND(B56&gt;='Relevé de la Régularisation'!$C$9,B56&lt;='Relevé de la Régularisation'!$D$14),"OUI","NON")</f>
        <v>OUI</v>
      </c>
      <c r="Q56" s="16">
        <f t="array" ref="Q56">IF(P56="OUI",MAX($Q$2:Q55)+1,"")</f>
        <v>54</v>
      </c>
    </row>
    <row r="57" spans="1:17" x14ac:dyDescent="0.2">
      <c r="A57" s="453">
        <f t="shared" si="13"/>
        <v>43647</v>
      </c>
      <c r="B57" s="30">
        <v>43647</v>
      </c>
      <c r="C57" s="16">
        <f t="shared" si="0"/>
        <v>0</v>
      </c>
      <c r="D57" s="16">
        <f t="shared" si="1"/>
        <v>0</v>
      </c>
      <c r="E57" s="16">
        <f t="shared" si="2"/>
        <v>0</v>
      </c>
      <c r="F57" s="16">
        <f t="shared" si="3"/>
        <v>0</v>
      </c>
      <c r="G57" s="16">
        <f t="shared" si="4"/>
        <v>0</v>
      </c>
      <c r="H57" s="16">
        <f t="shared" si="5"/>
        <v>0</v>
      </c>
      <c r="I57" s="16">
        <f t="shared" si="6"/>
        <v>0</v>
      </c>
      <c r="J57" s="16">
        <f t="shared" si="7"/>
        <v>0</v>
      </c>
      <c r="K57" s="16">
        <f t="shared" si="8"/>
        <v>0</v>
      </c>
      <c r="L57" s="16">
        <f t="shared" si="9"/>
        <v>0</v>
      </c>
      <c r="M57" s="16">
        <f t="shared" si="10"/>
        <v>0</v>
      </c>
      <c r="N57" s="16">
        <f t="shared" si="11"/>
        <v>0</v>
      </c>
      <c r="O57" s="16">
        <f t="shared" si="12"/>
        <v>0</v>
      </c>
      <c r="P57" s="16" t="str">
        <f>+IF(AND(B57&gt;='Relevé de la Régularisation'!$C$9,B57&lt;='Relevé de la Régularisation'!$D$14),"OUI","NON")</f>
        <v>OUI</v>
      </c>
      <c r="Q57" s="16">
        <f t="array" ref="Q57">IF(P57="OUI",MAX($Q$2:Q56)+1,"")</f>
        <v>55</v>
      </c>
    </row>
    <row r="58" spans="1:17" x14ac:dyDescent="0.2">
      <c r="A58" s="453">
        <f t="shared" si="13"/>
        <v>43678</v>
      </c>
      <c r="B58" s="30">
        <v>43678</v>
      </c>
      <c r="C58" s="16">
        <f t="shared" si="0"/>
        <v>0</v>
      </c>
      <c r="D58" s="16">
        <f t="shared" si="1"/>
        <v>0</v>
      </c>
      <c r="E58" s="16">
        <f t="shared" si="2"/>
        <v>0</v>
      </c>
      <c r="F58" s="16">
        <f t="shared" si="3"/>
        <v>0</v>
      </c>
      <c r="G58" s="16">
        <f t="shared" si="4"/>
        <v>0</v>
      </c>
      <c r="H58" s="16">
        <f t="shared" si="5"/>
        <v>0</v>
      </c>
      <c r="I58" s="16">
        <f t="shared" si="6"/>
        <v>0</v>
      </c>
      <c r="J58" s="16">
        <f t="shared" si="7"/>
        <v>0</v>
      </c>
      <c r="K58" s="16">
        <f t="shared" si="8"/>
        <v>0</v>
      </c>
      <c r="L58" s="16">
        <f t="shared" si="9"/>
        <v>0</v>
      </c>
      <c r="M58" s="16">
        <f t="shared" si="10"/>
        <v>0</v>
      </c>
      <c r="N58" s="16">
        <f t="shared" si="11"/>
        <v>0</v>
      </c>
      <c r="O58" s="16">
        <f t="shared" si="12"/>
        <v>0</v>
      </c>
      <c r="P58" s="16" t="str">
        <f>+IF(AND(B58&gt;='Relevé de la Régularisation'!$C$9,B58&lt;='Relevé de la Régularisation'!$D$14),"OUI","NON")</f>
        <v>OUI</v>
      </c>
      <c r="Q58" s="16">
        <f t="array" ref="Q58">IF(P58="OUI",MAX($Q$2:Q57)+1,"")</f>
        <v>56</v>
      </c>
    </row>
    <row r="59" spans="1:17" x14ac:dyDescent="0.2">
      <c r="A59" s="453">
        <f t="shared" si="13"/>
        <v>43709</v>
      </c>
      <c r="B59" s="30">
        <v>43709</v>
      </c>
      <c r="C59" s="16">
        <f t="shared" si="0"/>
        <v>0</v>
      </c>
      <c r="D59" s="16">
        <f t="shared" si="1"/>
        <v>0</v>
      </c>
      <c r="E59" s="16">
        <f t="shared" si="2"/>
        <v>0</v>
      </c>
      <c r="F59" s="16">
        <f t="shared" si="3"/>
        <v>0</v>
      </c>
      <c r="G59" s="16">
        <f t="shared" si="4"/>
        <v>0</v>
      </c>
      <c r="H59" s="16">
        <f t="shared" si="5"/>
        <v>0</v>
      </c>
      <c r="I59" s="16">
        <f t="shared" si="6"/>
        <v>0</v>
      </c>
      <c r="J59" s="16">
        <f t="shared" si="7"/>
        <v>0</v>
      </c>
      <c r="K59" s="16">
        <f t="shared" si="8"/>
        <v>0</v>
      </c>
      <c r="L59" s="16">
        <f t="shared" si="9"/>
        <v>0</v>
      </c>
      <c r="M59" s="16">
        <f t="shared" si="10"/>
        <v>0</v>
      </c>
      <c r="N59" s="16">
        <f t="shared" si="11"/>
        <v>0</v>
      </c>
      <c r="O59" s="16">
        <f t="shared" si="12"/>
        <v>0</v>
      </c>
      <c r="P59" s="16" t="str">
        <f>+IF(AND(B59&gt;='Relevé de la Régularisation'!$C$9,B59&lt;='Relevé de la Régularisation'!$D$14),"OUI","NON")</f>
        <v>OUI</v>
      </c>
      <c r="Q59" s="16">
        <f t="array" ref="Q59">IF(P59="OUI",MAX($Q$2:Q58)+1,"")</f>
        <v>57</v>
      </c>
    </row>
    <row r="60" spans="1:17" x14ac:dyDescent="0.2">
      <c r="A60" s="453">
        <f t="shared" si="13"/>
        <v>43739</v>
      </c>
      <c r="B60" s="30">
        <v>43739</v>
      </c>
      <c r="C60" s="16">
        <f t="shared" si="0"/>
        <v>0</v>
      </c>
      <c r="D60" s="16">
        <f t="shared" si="1"/>
        <v>0</v>
      </c>
      <c r="E60" s="16">
        <f t="shared" si="2"/>
        <v>0</v>
      </c>
      <c r="F60" s="16">
        <f t="shared" si="3"/>
        <v>0</v>
      </c>
      <c r="G60" s="16">
        <f t="shared" si="4"/>
        <v>0</v>
      </c>
      <c r="H60" s="16">
        <f t="shared" si="5"/>
        <v>0</v>
      </c>
      <c r="I60" s="16">
        <f t="shared" si="6"/>
        <v>0</v>
      </c>
      <c r="J60" s="16">
        <f t="shared" si="7"/>
        <v>0</v>
      </c>
      <c r="K60" s="16">
        <f t="shared" si="8"/>
        <v>0</v>
      </c>
      <c r="L60" s="16">
        <f t="shared" si="9"/>
        <v>0</v>
      </c>
      <c r="M60" s="16">
        <f t="shared" si="10"/>
        <v>0</v>
      </c>
      <c r="N60" s="16">
        <f t="shared" si="11"/>
        <v>0</v>
      </c>
      <c r="O60" s="16">
        <f t="shared" si="12"/>
        <v>0</v>
      </c>
      <c r="P60" s="16" t="str">
        <f>+IF(AND(B60&gt;='Relevé de la Régularisation'!$C$9,B60&lt;='Relevé de la Régularisation'!$D$14),"OUI","NON")</f>
        <v>OUI</v>
      </c>
      <c r="Q60" s="16">
        <f t="array" ref="Q60">IF(P60="OUI",MAX($Q$2:Q59)+1,"")</f>
        <v>58</v>
      </c>
    </row>
    <row r="61" spans="1:17" x14ac:dyDescent="0.2">
      <c r="A61" s="453">
        <f t="shared" si="13"/>
        <v>43770</v>
      </c>
      <c r="B61" s="30">
        <v>43770</v>
      </c>
      <c r="C61" s="16">
        <f t="shared" si="0"/>
        <v>0</v>
      </c>
      <c r="D61" s="16">
        <f t="shared" si="1"/>
        <v>0</v>
      </c>
      <c r="E61" s="16">
        <f t="shared" si="2"/>
        <v>0</v>
      </c>
      <c r="F61" s="16">
        <f t="shared" si="3"/>
        <v>0</v>
      </c>
      <c r="G61" s="16">
        <f t="shared" si="4"/>
        <v>0</v>
      </c>
      <c r="H61" s="16">
        <f t="shared" si="5"/>
        <v>0</v>
      </c>
      <c r="I61" s="16">
        <f t="shared" si="6"/>
        <v>0</v>
      </c>
      <c r="J61" s="16">
        <f t="shared" si="7"/>
        <v>0</v>
      </c>
      <c r="K61" s="16">
        <f t="shared" si="8"/>
        <v>0</v>
      </c>
      <c r="L61" s="16">
        <f t="shared" si="9"/>
        <v>0</v>
      </c>
      <c r="M61" s="16">
        <f t="shared" si="10"/>
        <v>0</v>
      </c>
      <c r="N61" s="16">
        <f t="shared" si="11"/>
        <v>0</v>
      </c>
      <c r="O61" s="16">
        <f t="shared" si="12"/>
        <v>0</v>
      </c>
      <c r="P61" s="16" t="str">
        <f>+IF(AND(B61&gt;='Relevé de la Régularisation'!$C$9,B61&lt;='Relevé de la Régularisation'!$D$14),"OUI","NON")</f>
        <v>OUI</v>
      </c>
      <c r="Q61" s="16">
        <f t="array" ref="Q61">IF(P61="OUI",MAX($Q$2:Q60)+1,"")</f>
        <v>59</v>
      </c>
    </row>
    <row r="62" spans="1:17" x14ac:dyDescent="0.2">
      <c r="A62" s="453">
        <f t="shared" si="13"/>
        <v>43800</v>
      </c>
      <c r="B62" s="30">
        <v>43800</v>
      </c>
      <c r="C62" s="16">
        <f t="shared" si="0"/>
        <v>0</v>
      </c>
      <c r="D62" s="16">
        <f t="shared" si="1"/>
        <v>0</v>
      </c>
      <c r="E62" s="16">
        <f t="shared" si="2"/>
        <v>0</v>
      </c>
      <c r="F62" s="16">
        <f t="shared" si="3"/>
        <v>0</v>
      </c>
      <c r="G62" s="16">
        <f t="shared" si="4"/>
        <v>0</v>
      </c>
      <c r="H62" s="16">
        <f t="shared" si="5"/>
        <v>0</v>
      </c>
      <c r="I62" s="16">
        <f t="shared" si="6"/>
        <v>0</v>
      </c>
      <c r="J62" s="16">
        <f t="shared" si="7"/>
        <v>0</v>
      </c>
      <c r="K62" s="16">
        <f t="shared" si="8"/>
        <v>0</v>
      </c>
      <c r="L62" s="16">
        <f t="shared" si="9"/>
        <v>0</v>
      </c>
      <c r="M62" s="16">
        <f t="shared" si="10"/>
        <v>0</v>
      </c>
      <c r="N62" s="16">
        <f t="shared" si="11"/>
        <v>0</v>
      </c>
      <c r="O62" s="16">
        <f t="shared" si="12"/>
        <v>0</v>
      </c>
      <c r="P62" s="16" t="str">
        <f>+IF(AND(B62&gt;='Relevé de la Régularisation'!$C$9,B62&lt;='Relevé de la Régularisation'!$D$14),"OUI","NON")</f>
        <v>OUI</v>
      </c>
      <c r="Q62" s="16">
        <f t="array" ref="Q62">IF(P62="OUI",MAX($Q$2:Q61)+1,"")</f>
        <v>60</v>
      </c>
    </row>
    <row r="63" spans="1:17" x14ac:dyDescent="0.2">
      <c r="A63" s="453">
        <f t="shared" si="13"/>
        <v>43831</v>
      </c>
      <c r="B63" s="30">
        <v>43831</v>
      </c>
      <c r="C63" s="16">
        <f t="shared" si="0"/>
        <v>0</v>
      </c>
      <c r="D63" s="16">
        <f t="shared" si="1"/>
        <v>0</v>
      </c>
      <c r="E63" s="16">
        <f t="shared" si="2"/>
        <v>0</v>
      </c>
      <c r="F63" s="16">
        <f t="shared" si="3"/>
        <v>0</v>
      </c>
      <c r="G63" s="16">
        <f t="shared" si="4"/>
        <v>0</v>
      </c>
      <c r="H63" s="16">
        <f t="shared" si="5"/>
        <v>0</v>
      </c>
      <c r="I63" s="16">
        <f t="shared" si="6"/>
        <v>0</v>
      </c>
      <c r="J63" s="16">
        <f t="shared" si="7"/>
        <v>0</v>
      </c>
      <c r="K63" s="16">
        <f t="shared" si="8"/>
        <v>0</v>
      </c>
      <c r="L63" s="16">
        <f t="shared" si="9"/>
        <v>0</v>
      </c>
      <c r="M63" s="16">
        <f t="shared" si="10"/>
        <v>0</v>
      </c>
      <c r="N63" s="16">
        <f t="shared" si="11"/>
        <v>0</v>
      </c>
      <c r="O63" s="16">
        <f t="shared" si="12"/>
        <v>0</v>
      </c>
      <c r="P63" s="16" t="str">
        <f>+IF(AND(B63&gt;='Relevé de la Régularisation'!$C$9,B63&lt;='Relevé de la Régularisation'!$D$14),"OUI","NON")</f>
        <v>OUI</v>
      </c>
      <c r="Q63" s="16">
        <f t="array" ref="Q63">IF(P63="OUI",MAX($Q$2:Q62)+1,"")</f>
        <v>61</v>
      </c>
    </row>
    <row r="64" spans="1:17" x14ac:dyDescent="0.2">
      <c r="A64" s="453">
        <f t="shared" si="13"/>
        <v>43862</v>
      </c>
      <c r="B64" s="30">
        <v>43862</v>
      </c>
      <c r="C64" s="16">
        <f t="shared" si="0"/>
        <v>0</v>
      </c>
      <c r="D64" s="16">
        <f t="shared" si="1"/>
        <v>0</v>
      </c>
      <c r="E64" s="16">
        <f t="shared" si="2"/>
        <v>0</v>
      </c>
      <c r="F64" s="16">
        <f t="shared" si="3"/>
        <v>0</v>
      </c>
      <c r="G64" s="16">
        <f t="shared" si="4"/>
        <v>0</v>
      </c>
      <c r="H64" s="16">
        <f t="shared" si="5"/>
        <v>0</v>
      </c>
      <c r="I64" s="16">
        <f t="shared" si="6"/>
        <v>0</v>
      </c>
      <c r="J64" s="16">
        <f t="shared" si="7"/>
        <v>0</v>
      </c>
      <c r="K64" s="16">
        <f t="shared" si="8"/>
        <v>0</v>
      </c>
      <c r="L64" s="16">
        <f t="shared" si="9"/>
        <v>0</v>
      </c>
      <c r="M64" s="16">
        <f t="shared" si="10"/>
        <v>0</v>
      </c>
      <c r="N64" s="16">
        <f t="shared" si="11"/>
        <v>0</v>
      </c>
      <c r="O64" s="16">
        <f t="shared" si="12"/>
        <v>0</v>
      </c>
      <c r="P64" s="16" t="str">
        <f>+IF(AND(B64&gt;='Relevé de la Régularisation'!$C$9,B64&lt;='Relevé de la Régularisation'!$D$14),"OUI","NON")</f>
        <v>OUI</v>
      </c>
      <c r="Q64" s="16">
        <f t="array" ref="Q64">IF(P64="OUI",MAX($Q$2:Q63)+1,"")</f>
        <v>62</v>
      </c>
    </row>
    <row r="65" spans="1:17" x14ac:dyDescent="0.2">
      <c r="A65" s="453">
        <f t="shared" si="13"/>
        <v>43891</v>
      </c>
      <c r="B65" s="30">
        <v>43891</v>
      </c>
      <c r="C65" s="16">
        <f t="shared" si="0"/>
        <v>0</v>
      </c>
      <c r="D65" s="16">
        <f t="shared" si="1"/>
        <v>0</v>
      </c>
      <c r="E65" s="16">
        <f t="shared" si="2"/>
        <v>0</v>
      </c>
      <c r="F65" s="16">
        <f t="shared" si="3"/>
        <v>0</v>
      </c>
      <c r="G65" s="16">
        <f t="shared" si="4"/>
        <v>0</v>
      </c>
      <c r="H65" s="16">
        <f t="shared" si="5"/>
        <v>0</v>
      </c>
      <c r="I65" s="16">
        <f t="shared" si="6"/>
        <v>0</v>
      </c>
      <c r="J65" s="16">
        <f t="shared" si="7"/>
        <v>0</v>
      </c>
      <c r="K65" s="16">
        <f t="shared" si="8"/>
        <v>0</v>
      </c>
      <c r="L65" s="16">
        <f t="shared" si="9"/>
        <v>0</v>
      </c>
      <c r="M65" s="16">
        <f t="shared" si="10"/>
        <v>0</v>
      </c>
      <c r="N65" s="16">
        <f t="shared" si="11"/>
        <v>0</v>
      </c>
      <c r="O65" s="16">
        <f t="shared" si="12"/>
        <v>0</v>
      </c>
      <c r="P65" s="16" t="str">
        <f>+IF(AND(B65&gt;='Relevé de la Régularisation'!$C$9,B65&lt;='Relevé de la Régularisation'!$D$14),"OUI","NON")</f>
        <v>OUI</v>
      </c>
      <c r="Q65" s="16">
        <f t="array" ref="Q65">IF(P65="OUI",MAX($Q$2:Q64)+1,"")</f>
        <v>63</v>
      </c>
    </row>
    <row r="66" spans="1:17" x14ac:dyDescent="0.2">
      <c r="A66" s="453">
        <f t="shared" si="13"/>
        <v>43922</v>
      </c>
      <c r="B66" s="30">
        <v>43922</v>
      </c>
      <c r="C66" s="16">
        <f t="shared" si="0"/>
        <v>0</v>
      </c>
      <c r="D66" s="16">
        <f t="shared" si="1"/>
        <v>0</v>
      </c>
      <c r="E66" s="16">
        <f t="shared" si="2"/>
        <v>0</v>
      </c>
      <c r="F66" s="16">
        <f t="shared" si="3"/>
        <v>0</v>
      </c>
      <c r="G66" s="16">
        <f t="shared" si="4"/>
        <v>0</v>
      </c>
      <c r="H66" s="16">
        <f t="shared" si="5"/>
        <v>0</v>
      </c>
      <c r="I66" s="16">
        <f t="shared" si="6"/>
        <v>0</v>
      </c>
      <c r="J66" s="16">
        <f t="shared" si="7"/>
        <v>0</v>
      </c>
      <c r="K66" s="16">
        <f t="shared" si="8"/>
        <v>0</v>
      </c>
      <c r="L66" s="16">
        <f t="shared" si="9"/>
        <v>0</v>
      </c>
      <c r="M66" s="16">
        <f t="shared" si="10"/>
        <v>0</v>
      </c>
      <c r="N66" s="16">
        <f t="shared" si="11"/>
        <v>0</v>
      </c>
      <c r="O66" s="16">
        <f t="shared" si="12"/>
        <v>0</v>
      </c>
      <c r="P66" s="16" t="str">
        <f>+IF(AND(B66&gt;='Relevé de la Régularisation'!$C$9,B66&lt;='Relevé de la Régularisation'!$D$14),"OUI","NON")</f>
        <v>OUI</v>
      </c>
      <c r="Q66" s="16">
        <f t="array" ref="Q66">IF(P66="OUI",MAX($Q$2:Q65)+1,"")</f>
        <v>64</v>
      </c>
    </row>
    <row r="67" spans="1:17" x14ac:dyDescent="0.2">
      <c r="A67" s="453">
        <f t="shared" si="13"/>
        <v>43952</v>
      </c>
      <c r="B67" s="30">
        <v>43952</v>
      </c>
      <c r="C67" s="16">
        <f t="shared" ref="C67:C130" si="14">IFERROR(+VLOOKUP(B67,BDD,41,FALSE),0)</f>
        <v>0</v>
      </c>
      <c r="D67" s="16">
        <f t="shared" ref="D67:D130" si="15">IFERROR(+VLOOKUP(B67,BDD,42,FALSE),0)</f>
        <v>0</v>
      </c>
      <c r="E67" s="16">
        <f t="shared" ref="E67:E130" si="16">IFERROR(+VLOOKUP(B67,BDD,43,FALSE),0)</f>
        <v>0</v>
      </c>
      <c r="F67" s="16">
        <f t="shared" ref="F67:F130" si="17">IFERROR(+VLOOKUP(B67,BDD,44,FALSE),0)</f>
        <v>0</v>
      </c>
      <c r="G67" s="16">
        <f t="shared" ref="G67:G130" si="18">IFERROR(+VLOOKUP(B67,BDD,45,FALSE),0)</f>
        <v>0</v>
      </c>
      <c r="H67" s="16">
        <f t="shared" ref="H67:H130" si="19">IFERROR(+VLOOKUP(B67,BDD,46,FALSE),0)</f>
        <v>0</v>
      </c>
      <c r="I67" s="16">
        <f t="shared" ref="I67:I130" si="20">IFERROR(+VLOOKUP(B67,BDD,47,FALSE),0)</f>
        <v>0</v>
      </c>
      <c r="J67" s="16">
        <f t="shared" ref="J67:J130" si="21">IFERROR(+VLOOKUP(B67,BDD,48,FALSE),0)</f>
        <v>0</v>
      </c>
      <c r="K67" s="16">
        <f t="shared" ref="K67:K130" si="22">IFERROR(+VLOOKUP(B67,BDD,49,FALSE),0)</f>
        <v>0</v>
      </c>
      <c r="L67" s="16">
        <f t="shared" ref="L67:L130" si="23">IFERROR(+VLOOKUP(B67,BDD,50,FALSE),0)</f>
        <v>0</v>
      </c>
      <c r="M67" s="16">
        <f t="shared" ref="M67:M130" si="24">IFERROR(+VLOOKUP(B67,BDD,51,FALSE),0)</f>
        <v>0</v>
      </c>
      <c r="N67" s="16">
        <f t="shared" ref="N67:N130" si="25">IFERROR(+VLOOKUP(B67,BDD,22,FALSE),0)</f>
        <v>0</v>
      </c>
      <c r="O67" s="16">
        <f t="shared" ref="O67:O130" si="26">IFERROR(+VLOOKUP(B67,BDD,101,FALSE),0)</f>
        <v>0</v>
      </c>
      <c r="P67" s="16" t="str">
        <f>+IF(AND(B67&gt;='Relevé de la Régularisation'!$C$9,B67&lt;='Relevé de la Régularisation'!$D$14),"OUI","NON")</f>
        <v>OUI</v>
      </c>
      <c r="Q67" s="16">
        <f t="array" ref="Q67">IF(P67="OUI",MAX($Q$2:Q66)+1,"")</f>
        <v>65</v>
      </c>
    </row>
    <row r="68" spans="1:17" x14ac:dyDescent="0.2">
      <c r="A68" s="453">
        <f t="shared" ref="A68:A131" si="27">+B68</f>
        <v>43983</v>
      </c>
      <c r="B68" s="30">
        <v>43983</v>
      </c>
      <c r="C68" s="16">
        <f t="shared" si="14"/>
        <v>0</v>
      </c>
      <c r="D68" s="16">
        <f t="shared" si="15"/>
        <v>0</v>
      </c>
      <c r="E68" s="16">
        <f t="shared" si="16"/>
        <v>0</v>
      </c>
      <c r="F68" s="16">
        <f t="shared" si="17"/>
        <v>0</v>
      </c>
      <c r="G68" s="16">
        <f t="shared" si="18"/>
        <v>0</v>
      </c>
      <c r="H68" s="16">
        <f t="shared" si="19"/>
        <v>0</v>
      </c>
      <c r="I68" s="16">
        <f t="shared" si="20"/>
        <v>0</v>
      </c>
      <c r="J68" s="16">
        <f t="shared" si="21"/>
        <v>0</v>
      </c>
      <c r="K68" s="16">
        <f t="shared" si="22"/>
        <v>0</v>
      </c>
      <c r="L68" s="16">
        <f t="shared" si="23"/>
        <v>0</v>
      </c>
      <c r="M68" s="16">
        <f t="shared" si="24"/>
        <v>0</v>
      </c>
      <c r="N68" s="16">
        <f t="shared" si="25"/>
        <v>0</v>
      </c>
      <c r="O68" s="16">
        <f t="shared" si="26"/>
        <v>0</v>
      </c>
      <c r="P68" s="16" t="str">
        <f>+IF(AND(B68&gt;='Relevé de la Régularisation'!$C$9,B68&lt;='Relevé de la Régularisation'!$D$14),"OUI","NON")</f>
        <v>OUI</v>
      </c>
      <c r="Q68" s="16">
        <f t="array" ref="Q68">IF(P68="OUI",MAX($Q$2:Q67)+1,"")</f>
        <v>66</v>
      </c>
    </row>
    <row r="69" spans="1:17" x14ac:dyDescent="0.2">
      <c r="A69" s="453">
        <f t="shared" si="27"/>
        <v>44013</v>
      </c>
      <c r="B69" s="30">
        <v>44013</v>
      </c>
      <c r="C69" s="16">
        <f t="shared" si="14"/>
        <v>0</v>
      </c>
      <c r="D69" s="16">
        <f t="shared" si="15"/>
        <v>0</v>
      </c>
      <c r="E69" s="16">
        <f t="shared" si="16"/>
        <v>0</v>
      </c>
      <c r="F69" s="16">
        <f t="shared" si="17"/>
        <v>0</v>
      </c>
      <c r="G69" s="16">
        <f t="shared" si="18"/>
        <v>0</v>
      </c>
      <c r="H69" s="16">
        <f t="shared" si="19"/>
        <v>0</v>
      </c>
      <c r="I69" s="16">
        <f t="shared" si="20"/>
        <v>0</v>
      </c>
      <c r="J69" s="16">
        <f t="shared" si="21"/>
        <v>0</v>
      </c>
      <c r="K69" s="16">
        <f t="shared" si="22"/>
        <v>0</v>
      </c>
      <c r="L69" s="16">
        <f t="shared" si="23"/>
        <v>0</v>
      </c>
      <c r="M69" s="16">
        <f t="shared" si="24"/>
        <v>0</v>
      </c>
      <c r="N69" s="16">
        <f t="shared" si="25"/>
        <v>0</v>
      </c>
      <c r="O69" s="16">
        <f t="shared" si="26"/>
        <v>0</v>
      </c>
      <c r="P69" s="16" t="str">
        <f>+IF(AND(B69&gt;='Relevé de la Régularisation'!$C$9,B69&lt;='Relevé de la Régularisation'!$D$14),"OUI","NON")</f>
        <v>OUI</v>
      </c>
      <c r="Q69" s="16">
        <f t="array" ref="Q69">IF(P69="OUI",MAX($Q$2:Q68)+1,"")</f>
        <v>67</v>
      </c>
    </row>
    <row r="70" spans="1:17" x14ac:dyDescent="0.2">
      <c r="A70" s="453">
        <f t="shared" si="27"/>
        <v>44044</v>
      </c>
      <c r="B70" s="30">
        <v>44044</v>
      </c>
      <c r="C70" s="16">
        <f t="shared" si="14"/>
        <v>0</v>
      </c>
      <c r="D70" s="16">
        <f t="shared" si="15"/>
        <v>0</v>
      </c>
      <c r="E70" s="16">
        <f t="shared" si="16"/>
        <v>0</v>
      </c>
      <c r="F70" s="16">
        <f t="shared" si="17"/>
        <v>0</v>
      </c>
      <c r="G70" s="16">
        <f t="shared" si="18"/>
        <v>0</v>
      </c>
      <c r="H70" s="16">
        <f t="shared" si="19"/>
        <v>0</v>
      </c>
      <c r="I70" s="16">
        <f t="shared" si="20"/>
        <v>0</v>
      </c>
      <c r="J70" s="16">
        <f t="shared" si="21"/>
        <v>0</v>
      </c>
      <c r="K70" s="16">
        <f t="shared" si="22"/>
        <v>0</v>
      </c>
      <c r="L70" s="16">
        <f t="shared" si="23"/>
        <v>0</v>
      </c>
      <c r="M70" s="16">
        <f t="shared" si="24"/>
        <v>0</v>
      </c>
      <c r="N70" s="16">
        <f t="shared" si="25"/>
        <v>0</v>
      </c>
      <c r="O70" s="16">
        <f t="shared" si="26"/>
        <v>0</v>
      </c>
      <c r="P70" s="16" t="str">
        <f>+IF(AND(B70&gt;='Relevé de la Régularisation'!$C$9,B70&lt;='Relevé de la Régularisation'!$D$14),"OUI","NON")</f>
        <v>OUI</v>
      </c>
      <c r="Q70" s="16">
        <f t="array" ref="Q70">IF(P70="OUI",MAX($Q$2:Q69)+1,"")</f>
        <v>68</v>
      </c>
    </row>
    <row r="71" spans="1:17" x14ac:dyDescent="0.2">
      <c r="A71" s="453">
        <f t="shared" si="27"/>
        <v>44075</v>
      </c>
      <c r="B71" s="30">
        <v>44075</v>
      </c>
      <c r="C71" s="16">
        <f t="shared" si="14"/>
        <v>0</v>
      </c>
      <c r="D71" s="16">
        <f t="shared" si="15"/>
        <v>0</v>
      </c>
      <c r="E71" s="16">
        <f t="shared" si="16"/>
        <v>0</v>
      </c>
      <c r="F71" s="16">
        <f t="shared" si="17"/>
        <v>0</v>
      </c>
      <c r="G71" s="16">
        <f t="shared" si="18"/>
        <v>0</v>
      </c>
      <c r="H71" s="16">
        <f t="shared" si="19"/>
        <v>0</v>
      </c>
      <c r="I71" s="16">
        <f t="shared" si="20"/>
        <v>0</v>
      </c>
      <c r="J71" s="16">
        <f t="shared" si="21"/>
        <v>0</v>
      </c>
      <c r="K71" s="16">
        <f t="shared" si="22"/>
        <v>0</v>
      </c>
      <c r="L71" s="16">
        <f t="shared" si="23"/>
        <v>0</v>
      </c>
      <c r="M71" s="16">
        <f t="shared" si="24"/>
        <v>0</v>
      </c>
      <c r="N71" s="16">
        <f t="shared" si="25"/>
        <v>0</v>
      </c>
      <c r="O71" s="16">
        <f t="shared" si="26"/>
        <v>0</v>
      </c>
      <c r="P71" s="16" t="str">
        <f>+IF(AND(B71&gt;='Relevé de la Régularisation'!$C$9,B71&lt;='Relevé de la Régularisation'!$D$14),"OUI","NON")</f>
        <v>OUI</v>
      </c>
      <c r="Q71" s="16">
        <f t="array" ref="Q71">IF(P71="OUI",MAX($Q$2:Q70)+1,"")</f>
        <v>69</v>
      </c>
    </row>
    <row r="72" spans="1:17" x14ac:dyDescent="0.2">
      <c r="A72" s="453">
        <f t="shared" si="27"/>
        <v>44105</v>
      </c>
      <c r="B72" s="30">
        <v>44105</v>
      </c>
      <c r="C72" s="16">
        <f t="shared" si="14"/>
        <v>0</v>
      </c>
      <c r="D72" s="16">
        <f t="shared" si="15"/>
        <v>0</v>
      </c>
      <c r="E72" s="16">
        <f t="shared" si="16"/>
        <v>0</v>
      </c>
      <c r="F72" s="16">
        <f t="shared" si="17"/>
        <v>0</v>
      </c>
      <c r="G72" s="16">
        <f t="shared" si="18"/>
        <v>0</v>
      </c>
      <c r="H72" s="16">
        <f t="shared" si="19"/>
        <v>0</v>
      </c>
      <c r="I72" s="16">
        <f t="shared" si="20"/>
        <v>0</v>
      </c>
      <c r="J72" s="16">
        <f t="shared" si="21"/>
        <v>0</v>
      </c>
      <c r="K72" s="16">
        <f t="shared" si="22"/>
        <v>0</v>
      </c>
      <c r="L72" s="16">
        <f t="shared" si="23"/>
        <v>0</v>
      </c>
      <c r="M72" s="16">
        <f t="shared" si="24"/>
        <v>0</v>
      </c>
      <c r="N72" s="16">
        <f t="shared" si="25"/>
        <v>0</v>
      </c>
      <c r="O72" s="16">
        <f t="shared" si="26"/>
        <v>0</v>
      </c>
      <c r="P72" s="16" t="str">
        <f>+IF(AND(B72&gt;='Relevé de la Régularisation'!$C$9,B72&lt;='Relevé de la Régularisation'!$D$14),"OUI","NON")</f>
        <v>OUI</v>
      </c>
      <c r="Q72" s="16">
        <f t="array" ref="Q72">IF(P72="OUI",MAX($Q$2:Q71)+1,"")</f>
        <v>70</v>
      </c>
    </row>
    <row r="73" spans="1:17" x14ac:dyDescent="0.2">
      <c r="A73" s="453">
        <f t="shared" si="27"/>
        <v>44136</v>
      </c>
      <c r="B73" s="30">
        <v>44136</v>
      </c>
      <c r="C73" s="16">
        <f t="shared" si="14"/>
        <v>0</v>
      </c>
      <c r="D73" s="16">
        <f t="shared" si="15"/>
        <v>0</v>
      </c>
      <c r="E73" s="16">
        <f t="shared" si="16"/>
        <v>0</v>
      </c>
      <c r="F73" s="16">
        <f t="shared" si="17"/>
        <v>0</v>
      </c>
      <c r="G73" s="16">
        <f t="shared" si="18"/>
        <v>0</v>
      </c>
      <c r="H73" s="16">
        <f t="shared" si="19"/>
        <v>0</v>
      </c>
      <c r="I73" s="16">
        <f t="shared" si="20"/>
        <v>0</v>
      </c>
      <c r="J73" s="16">
        <f t="shared" si="21"/>
        <v>0</v>
      </c>
      <c r="K73" s="16">
        <f t="shared" si="22"/>
        <v>0</v>
      </c>
      <c r="L73" s="16">
        <f t="shared" si="23"/>
        <v>0</v>
      </c>
      <c r="M73" s="16">
        <f t="shared" si="24"/>
        <v>0</v>
      </c>
      <c r="N73" s="16">
        <f t="shared" si="25"/>
        <v>0</v>
      </c>
      <c r="O73" s="16">
        <f t="shared" si="26"/>
        <v>0</v>
      </c>
      <c r="P73" s="16" t="str">
        <f>+IF(AND(B73&gt;='Relevé de la Régularisation'!$C$9,B73&lt;='Relevé de la Régularisation'!$D$14),"OUI","NON")</f>
        <v>OUI</v>
      </c>
      <c r="Q73" s="16">
        <f t="array" ref="Q73">IF(P73="OUI",MAX($Q$2:Q72)+1,"")</f>
        <v>71</v>
      </c>
    </row>
    <row r="74" spans="1:17" x14ac:dyDescent="0.2">
      <c r="A74" s="453">
        <f t="shared" si="27"/>
        <v>44166</v>
      </c>
      <c r="B74" s="30">
        <v>44166</v>
      </c>
      <c r="C74" s="16">
        <f t="shared" si="14"/>
        <v>0</v>
      </c>
      <c r="D74" s="16">
        <f t="shared" si="15"/>
        <v>0</v>
      </c>
      <c r="E74" s="16">
        <f t="shared" si="16"/>
        <v>0</v>
      </c>
      <c r="F74" s="16">
        <f t="shared" si="17"/>
        <v>0</v>
      </c>
      <c r="G74" s="16">
        <f t="shared" si="18"/>
        <v>0</v>
      </c>
      <c r="H74" s="16">
        <f t="shared" si="19"/>
        <v>0</v>
      </c>
      <c r="I74" s="16">
        <f t="shared" si="20"/>
        <v>0</v>
      </c>
      <c r="J74" s="16">
        <f t="shared" si="21"/>
        <v>0</v>
      </c>
      <c r="K74" s="16">
        <f t="shared" si="22"/>
        <v>0</v>
      </c>
      <c r="L74" s="16">
        <f t="shared" si="23"/>
        <v>0</v>
      </c>
      <c r="M74" s="16">
        <f t="shared" si="24"/>
        <v>0</v>
      </c>
      <c r="N74" s="16">
        <f t="shared" si="25"/>
        <v>0</v>
      </c>
      <c r="O74" s="16">
        <f t="shared" si="26"/>
        <v>0</v>
      </c>
      <c r="P74" s="16" t="str">
        <f>+IF(AND(B74&gt;='Relevé de la Régularisation'!$C$9,B74&lt;='Relevé de la Régularisation'!$D$14),"OUI","NON")</f>
        <v>OUI</v>
      </c>
      <c r="Q74" s="16">
        <f t="array" ref="Q74">IF(P74="OUI",MAX($Q$2:Q73)+1,"")</f>
        <v>72</v>
      </c>
    </row>
    <row r="75" spans="1:17" x14ac:dyDescent="0.2">
      <c r="A75" s="453">
        <f t="shared" si="27"/>
        <v>44197</v>
      </c>
      <c r="B75" s="30">
        <v>44197</v>
      </c>
      <c r="C75" s="16">
        <f t="shared" si="14"/>
        <v>0</v>
      </c>
      <c r="D75" s="16">
        <f t="shared" si="15"/>
        <v>0</v>
      </c>
      <c r="E75" s="16">
        <f t="shared" si="16"/>
        <v>0</v>
      </c>
      <c r="F75" s="16">
        <f t="shared" si="17"/>
        <v>0</v>
      </c>
      <c r="G75" s="16">
        <f t="shared" si="18"/>
        <v>0</v>
      </c>
      <c r="H75" s="16">
        <f t="shared" si="19"/>
        <v>0</v>
      </c>
      <c r="I75" s="16">
        <f t="shared" si="20"/>
        <v>0</v>
      </c>
      <c r="J75" s="16">
        <f t="shared" si="21"/>
        <v>0</v>
      </c>
      <c r="K75" s="16">
        <f t="shared" si="22"/>
        <v>0</v>
      </c>
      <c r="L75" s="16">
        <f t="shared" si="23"/>
        <v>0</v>
      </c>
      <c r="M75" s="16">
        <f t="shared" si="24"/>
        <v>0</v>
      </c>
      <c r="N75" s="16">
        <f t="shared" si="25"/>
        <v>0</v>
      </c>
      <c r="O75" s="16">
        <f t="shared" si="26"/>
        <v>0</v>
      </c>
      <c r="P75" s="16" t="str">
        <f>+IF(AND(B75&gt;='Relevé de la Régularisation'!$C$9,B75&lt;='Relevé de la Régularisation'!$D$14),"OUI","NON")</f>
        <v>OUI</v>
      </c>
      <c r="Q75" s="16">
        <f t="array" ref="Q75">IF(P75="OUI",MAX($Q$2:Q74)+1,"")</f>
        <v>73</v>
      </c>
    </row>
    <row r="76" spans="1:17" x14ac:dyDescent="0.2">
      <c r="A76" s="453">
        <f t="shared" si="27"/>
        <v>44228</v>
      </c>
      <c r="B76" s="30">
        <v>44228</v>
      </c>
      <c r="C76" s="16">
        <f t="shared" si="14"/>
        <v>0</v>
      </c>
      <c r="D76" s="16">
        <f t="shared" si="15"/>
        <v>0</v>
      </c>
      <c r="E76" s="16">
        <f t="shared" si="16"/>
        <v>0</v>
      </c>
      <c r="F76" s="16">
        <f t="shared" si="17"/>
        <v>0</v>
      </c>
      <c r="G76" s="16">
        <f t="shared" si="18"/>
        <v>0</v>
      </c>
      <c r="H76" s="16">
        <f t="shared" si="19"/>
        <v>0</v>
      </c>
      <c r="I76" s="16">
        <f t="shared" si="20"/>
        <v>0</v>
      </c>
      <c r="J76" s="16">
        <f t="shared" si="21"/>
        <v>0</v>
      </c>
      <c r="K76" s="16">
        <f t="shared" si="22"/>
        <v>0</v>
      </c>
      <c r="L76" s="16">
        <f t="shared" si="23"/>
        <v>0</v>
      </c>
      <c r="M76" s="16">
        <f t="shared" si="24"/>
        <v>0</v>
      </c>
      <c r="N76" s="16">
        <f t="shared" si="25"/>
        <v>0</v>
      </c>
      <c r="O76" s="16">
        <f t="shared" si="26"/>
        <v>0</v>
      </c>
      <c r="P76" s="16" t="str">
        <f>+IF(AND(B76&gt;='Relevé de la Régularisation'!$C$9,B76&lt;='Relevé de la Régularisation'!$D$14),"OUI","NON")</f>
        <v>OUI</v>
      </c>
      <c r="Q76" s="16">
        <f t="array" ref="Q76">IF(P76="OUI",MAX($Q$2:Q75)+1,"")</f>
        <v>74</v>
      </c>
    </row>
    <row r="77" spans="1:17" x14ac:dyDescent="0.2">
      <c r="A77" s="453">
        <f t="shared" si="27"/>
        <v>44256</v>
      </c>
      <c r="B77" s="30">
        <v>44256</v>
      </c>
      <c r="C77" s="16">
        <f t="shared" si="14"/>
        <v>0</v>
      </c>
      <c r="D77" s="16">
        <f t="shared" si="15"/>
        <v>0</v>
      </c>
      <c r="E77" s="16">
        <f t="shared" si="16"/>
        <v>0</v>
      </c>
      <c r="F77" s="16">
        <f t="shared" si="17"/>
        <v>0</v>
      </c>
      <c r="G77" s="16">
        <f t="shared" si="18"/>
        <v>0</v>
      </c>
      <c r="H77" s="16">
        <f t="shared" si="19"/>
        <v>0</v>
      </c>
      <c r="I77" s="16">
        <f t="shared" si="20"/>
        <v>0</v>
      </c>
      <c r="J77" s="16">
        <f t="shared" si="21"/>
        <v>0</v>
      </c>
      <c r="K77" s="16">
        <f t="shared" si="22"/>
        <v>0</v>
      </c>
      <c r="L77" s="16">
        <f t="shared" si="23"/>
        <v>0</v>
      </c>
      <c r="M77" s="16">
        <f t="shared" si="24"/>
        <v>0</v>
      </c>
      <c r="N77" s="16">
        <f t="shared" si="25"/>
        <v>0</v>
      </c>
      <c r="O77" s="16">
        <f t="shared" si="26"/>
        <v>0</v>
      </c>
      <c r="P77" s="16" t="str">
        <f>+IF(AND(B77&gt;='Relevé de la Régularisation'!$C$9,B77&lt;='Relevé de la Régularisation'!$D$14),"OUI","NON")</f>
        <v>OUI</v>
      </c>
      <c r="Q77" s="16">
        <f t="array" ref="Q77">IF(P77="OUI",MAX($Q$2:Q76)+1,"")</f>
        <v>75</v>
      </c>
    </row>
    <row r="78" spans="1:17" x14ac:dyDescent="0.2">
      <c r="A78" s="453">
        <f t="shared" si="27"/>
        <v>44287</v>
      </c>
      <c r="B78" s="30">
        <v>44287</v>
      </c>
      <c r="C78" s="16">
        <f t="shared" si="14"/>
        <v>0</v>
      </c>
      <c r="D78" s="16">
        <f t="shared" si="15"/>
        <v>0</v>
      </c>
      <c r="E78" s="16">
        <f t="shared" si="16"/>
        <v>0</v>
      </c>
      <c r="F78" s="16">
        <f t="shared" si="17"/>
        <v>0</v>
      </c>
      <c r="G78" s="16">
        <f t="shared" si="18"/>
        <v>0</v>
      </c>
      <c r="H78" s="16">
        <f t="shared" si="19"/>
        <v>0</v>
      </c>
      <c r="I78" s="16">
        <f t="shared" si="20"/>
        <v>0</v>
      </c>
      <c r="J78" s="16">
        <f t="shared" si="21"/>
        <v>0</v>
      </c>
      <c r="K78" s="16">
        <f t="shared" si="22"/>
        <v>0</v>
      </c>
      <c r="L78" s="16">
        <f t="shared" si="23"/>
        <v>0</v>
      </c>
      <c r="M78" s="16">
        <f t="shared" si="24"/>
        <v>0</v>
      </c>
      <c r="N78" s="16">
        <f t="shared" si="25"/>
        <v>0</v>
      </c>
      <c r="O78" s="16">
        <f t="shared" si="26"/>
        <v>0</v>
      </c>
      <c r="P78" s="16" t="str">
        <f>+IF(AND(B78&gt;='Relevé de la Régularisation'!$C$9,B78&lt;='Relevé de la Régularisation'!$D$14),"OUI","NON")</f>
        <v>OUI</v>
      </c>
      <c r="Q78" s="16">
        <f t="array" ref="Q78">IF(P78="OUI",MAX($Q$2:Q77)+1,"")</f>
        <v>76</v>
      </c>
    </row>
    <row r="79" spans="1:17" x14ac:dyDescent="0.2">
      <c r="A79" s="453">
        <f t="shared" si="27"/>
        <v>44317</v>
      </c>
      <c r="B79" s="30">
        <v>44317</v>
      </c>
      <c r="C79" s="16">
        <f t="shared" si="14"/>
        <v>0</v>
      </c>
      <c r="D79" s="16">
        <f t="shared" si="15"/>
        <v>0</v>
      </c>
      <c r="E79" s="16">
        <f t="shared" si="16"/>
        <v>0</v>
      </c>
      <c r="F79" s="16">
        <f t="shared" si="17"/>
        <v>0</v>
      </c>
      <c r="G79" s="16">
        <f t="shared" si="18"/>
        <v>0</v>
      </c>
      <c r="H79" s="16">
        <f t="shared" si="19"/>
        <v>0</v>
      </c>
      <c r="I79" s="16">
        <f t="shared" si="20"/>
        <v>0</v>
      </c>
      <c r="J79" s="16">
        <f t="shared" si="21"/>
        <v>0</v>
      </c>
      <c r="K79" s="16">
        <f t="shared" si="22"/>
        <v>0</v>
      </c>
      <c r="L79" s="16">
        <f t="shared" si="23"/>
        <v>0</v>
      </c>
      <c r="M79" s="16">
        <f t="shared" si="24"/>
        <v>0</v>
      </c>
      <c r="N79" s="16">
        <f t="shared" si="25"/>
        <v>0</v>
      </c>
      <c r="O79" s="16">
        <f t="shared" si="26"/>
        <v>0</v>
      </c>
      <c r="P79" s="16" t="str">
        <f>+IF(AND(B79&gt;='Relevé de la Régularisation'!$C$9,B79&lt;='Relevé de la Régularisation'!$D$14),"OUI","NON")</f>
        <v>OUI</v>
      </c>
      <c r="Q79" s="16">
        <f t="array" ref="Q79">IF(P79="OUI",MAX($Q$2:Q78)+1,"")</f>
        <v>77</v>
      </c>
    </row>
    <row r="80" spans="1:17" x14ac:dyDescent="0.2">
      <c r="A80" s="453">
        <f t="shared" si="27"/>
        <v>44348</v>
      </c>
      <c r="B80" s="30">
        <v>44348</v>
      </c>
      <c r="C80" s="16">
        <f t="shared" si="14"/>
        <v>0</v>
      </c>
      <c r="D80" s="16">
        <f t="shared" si="15"/>
        <v>0</v>
      </c>
      <c r="E80" s="16">
        <f t="shared" si="16"/>
        <v>0</v>
      </c>
      <c r="F80" s="16">
        <f t="shared" si="17"/>
        <v>0</v>
      </c>
      <c r="G80" s="16">
        <f t="shared" si="18"/>
        <v>0</v>
      </c>
      <c r="H80" s="16">
        <f t="shared" si="19"/>
        <v>0</v>
      </c>
      <c r="I80" s="16">
        <f t="shared" si="20"/>
        <v>0</v>
      </c>
      <c r="J80" s="16">
        <f t="shared" si="21"/>
        <v>0</v>
      </c>
      <c r="K80" s="16">
        <f t="shared" si="22"/>
        <v>0</v>
      </c>
      <c r="L80" s="16">
        <f t="shared" si="23"/>
        <v>0</v>
      </c>
      <c r="M80" s="16">
        <f t="shared" si="24"/>
        <v>0</v>
      </c>
      <c r="N80" s="16">
        <f t="shared" si="25"/>
        <v>0</v>
      </c>
      <c r="O80" s="16">
        <f t="shared" si="26"/>
        <v>0</v>
      </c>
      <c r="P80" s="16" t="str">
        <f>+IF(AND(B80&gt;='Relevé de la Régularisation'!$C$9,B80&lt;='Relevé de la Régularisation'!$D$14),"OUI","NON")</f>
        <v>OUI</v>
      </c>
      <c r="Q80" s="16">
        <f t="array" ref="Q80">IF(P80="OUI",MAX($Q$2:Q79)+1,"")</f>
        <v>78</v>
      </c>
    </row>
    <row r="81" spans="1:17" x14ac:dyDescent="0.2">
      <c r="A81" s="453">
        <f t="shared" si="27"/>
        <v>44378</v>
      </c>
      <c r="B81" s="30">
        <v>44378</v>
      </c>
      <c r="C81" s="16">
        <f t="shared" si="14"/>
        <v>0</v>
      </c>
      <c r="D81" s="16">
        <f t="shared" si="15"/>
        <v>0</v>
      </c>
      <c r="E81" s="16">
        <f t="shared" si="16"/>
        <v>0</v>
      </c>
      <c r="F81" s="16">
        <f t="shared" si="17"/>
        <v>0</v>
      </c>
      <c r="G81" s="16">
        <f t="shared" si="18"/>
        <v>0</v>
      </c>
      <c r="H81" s="16">
        <f t="shared" si="19"/>
        <v>0</v>
      </c>
      <c r="I81" s="16">
        <f t="shared" si="20"/>
        <v>0</v>
      </c>
      <c r="J81" s="16">
        <f t="shared" si="21"/>
        <v>0</v>
      </c>
      <c r="K81" s="16">
        <f t="shared" si="22"/>
        <v>0</v>
      </c>
      <c r="L81" s="16">
        <f t="shared" si="23"/>
        <v>0</v>
      </c>
      <c r="M81" s="16">
        <f t="shared" si="24"/>
        <v>0</v>
      </c>
      <c r="N81" s="16">
        <f t="shared" si="25"/>
        <v>0</v>
      </c>
      <c r="O81" s="16">
        <f t="shared" si="26"/>
        <v>0</v>
      </c>
      <c r="P81" s="16" t="str">
        <f>+IF(AND(B81&gt;='Relevé de la Régularisation'!$C$9,B81&lt;='Relevé de la Régularisation'!$D$14),"OUI","NON")</f>
        <v>OUI</v>
      </c>
      <c r="Q81" s="16">
        <f t="array" ref="Q81">IF(P81="OUI",MAX($Q$2:Q80)+1,"")</f>
        <v>79</v>
      </c>
    </row>
    <row r="82" spans="1:17" x14ac:dyDescent="0.2">
      <c r="A82" s="453">
        <f t="shared" si="27"/>
        <v>44409</v>
      </c>
      <c r="B82" s="30">
        <v>44409</v>
      </c>
      <c r="C82" s="16">
        <f t="shared" si="14"/>
        <v>0</v>
      </c>
      <c r="D82" s="16">
        <f t="shared" si="15"/>
        <v>0</v>
      </c>
      <c r="E82" s="16">
        <f t="shared" si="16"/>
        <v>0</v>
      </c>
      <c r="F82" s="16">
        <f t="shared" si="17"/>
        <v>0</v>
      </c>
      <c r="G82" s="16">
        <f t="shared" si="18"/>
        <v>0</v>
      </c>
      <c r="H82" s="16">
        <f t="shared" si="19"/>
        <v>0</v>
      </c>
      <c r="I82" s="16">
        <f t="shared" si="20"/>
        <v>0</v>
      </c>
      <c r="J82" s="16">
        <f t="shared" si="21"/>
        <v>0</v>
      </c>
      <c r="K82" s="16">
        <f t="shared" si="22"/>
        <v>0</v>
      </c>
      <c r="L82" s="16">
        <f t="shared" si="23"/>
        <v>0</v>
      </c>
      <c r="M82" s="16">
        <f t="shared" si="24"/>
        <v>0</v>
      </c>
      <c r="N82" s="16">
        <f t="shared" si="25"/>
        <v>0</v>
      </c>
      <c r="O82" s="16">
        <f t="shared" si="26"/>
        <v>0</v>
      </c>
      <c r="P82" s="16" t="str">
        <f>+IF(AND(B82&gt;='Relevé de la Régularisation'!$C$9,B82&lt;='Relevé de la Régularisation'!$D$14),"OUI","NON")</f>
        <v>OUI</v>
      </c>
      <c r="Q82" s="16">
        <f t="array" ref="Q82">IF(P82="OUI",MAX($Q$2:Q81)+1,"")</f>
        <v>80</v>
      </c>
    </row>
    <row r="83" spans="1:17" x14ac:dyDescent="0.2">
      <c r="A83" s="453">
        <f t="shared" si="27"/>
        <v>44440</v>
      </c>
      <c r="B83" s="30">
        <v>44440</v>
      </c>
      <c r="C83" s="16">
        <f t="shared" si="14"/>
        <v>0</v>
      </c>
      <c r="D83" s="16">
        <f t="shared" si="15"/>
        <v>0</v>
      </c>
      <c r="E83" s="16">
        <f t="shared" si="16"/>
        <v>0</v>
      </c>
      <c r="F83" s="16">
        <f t="shared" si="17"/>
        <v>0</v>
      </c>
      <c r="G83" s="16">
        <f t="shared" si="18"/>
        <v>0</v>
      </c>
      <c r="H83" s="16">
        <f t="shared" si="19"/>
        <v>0</v>
      </c>
      <c r="I83" s="16">
        <f t="shared" si="20"/>
        <v>0</v>
      </c>
      <c r="J83" s="16">
        <f t="shared" si="21"/>
        <v>0</v>
      </c>
      <c r="K83" s="16">
        <f t="shared" si="22"/>
        <v>0</v>
      </c>
      <c r="L83" s="16">
        <f t="shared" si="23"/>
        <v>0</v>
      </c>
      <c r="M83" s="16">
        <f t="shared" si="24"/>
        <v>0</v>
      </c>
      <c r="N83" s="16">
        <f t="shared" si="25"/>
        <v>0</v>
      </c>
      <c r="O83" s="16">
        <f t="shared" si="26"/>
        <v>0</v>
      </c>
      <c r="P83" s="16" t="str">
        <f>+IF(AND(B83&gt;='Relevé de la Régularisation'!$C$9,B83&lt;='Relevé de la Régularisation'!$D$14),"OUI","NON")</f>
        <v>OUI</v>
      </c>
      <c r="Q83" s="16">
        <f t="array" ref="Q83">IF(P83="OUI",MAX($Q$2:Q82)+1,"")</f>
        <v>81</v>
      </c>
    </row>
    <row r="84" spans="1:17" x14ac:dyDescent="0.2">
      <c r="A84" s="453">
        <f t="shared" si="27"/>
        <v>44470</v>
      </c>
      <c r="B84" s="30">
        <v>44470</v>
      </c>
      <c r="C84" s="16">
        <f t="shared" si="14"/>
        <v>0</v>
      </c>
      <c r="D84" s="16">
        <f t="shared" si="15"/>
        <v>0</v>
      </c>
      <c r="E84" s="16">
        <f t="shared" si="16"/>
        <v>0</v>
      </c>
      <c r="F84" s="16">
        <f t="shared" si="17"/>
        <v>0</v>
      </c>
      <c r="G84" s="16">
        <f t="shared" si="18"/>
        <v>0</v>
      </c>
      <c r="H84" s="16">
        <f t="shared" si="19"/>
        <v>0</v>
      </c>
      <c r="I84" s="16">
        <f t="shared" si="20"/>
        <v>0</v>
      </c>
      <c r="J84" s="16">
        <f t="shared" si="21"/>
        <v>0</v>
      </c>
      <c r="K84" s="16">
        <f t="shared" si="22"/>
        <v>0</v>
      </c>
      <c r="L84" s="16">
        <f t="shared" si="23"/>
        <v>0</v>
      </c>
      <c r="M84" s="16">
        <f t="shared" si="24"/>
        <v>0</v>
      </c>
      <c r="N84" s="16">
        <f t="shared" si="25"/>
        <v>0</v>
      </c>
      <c r="O84" s="16">
        <f t="shared" si="26"/>
        <v>0</v>
      </c>
      <c r="P84" s="16" t="str">
        <f>+IF(AND(B84&gt;='Relevé de la Régularisation'!$C$9,B84&lt;='Relevé de la Régularisation'!$D$14),"OUI","NON")</f>
        <v>OUI</v>
      </c>
      <c r="Q84" s="16">
        <f t="array" ref="Q84">IF(P84="OUI",MAX($Q$2:Q83)+1,"")</f>
        <v>82</v>
      </c>
    </row>
    <row r="85" spans="1:17" x14ac:dyDescent="0.2">
      <c r="A85" s="453">
        <f t="shared" si="27"/>
        <v>44501</v>
      </c>
      <c r="B85" s="30">
        <v>44501</v>
      </c>
      <c r="C85" s="16">
        <f t="shared" si="14"/>
        <v>0</v>
      </c>
      <c r="D85" s="16">
        <f t="shared" si="15"/>
        <v>0</v>
      </c>
      <c r="E85" s="16">
        <f t="shared" si="16"/>
        <v>0</v>
      </c>
      <c r="F85" s="16">
        <f t="shared" si="17"/>
        <v>0</v>
      </c>
      <c r="G85" s="16">
        <f t="shared" si="18"/>
        <v>0</v>
      </c>
      <c r="H85" s="16">
        <f t="shared" si="19"/>
        <v>0</v>
      </c>
      <c r="I85" s="16">
        <f t="shared" si="20"/>
        <v>0</v>
      </c>
      <c r="J85" s="16">
        <f t="shared" si="21"/>
        <v>0</v>
      </c>
      <c r="K85" s="16">
        <f t="shared" si="22"/>
        <v>0</v>
      </c>
      <c r="L85" s="16">
        <f t="shared" si="23"/>
        <v>0</v>
      </c>
      <c r="M85" s="16">
        <f t="shared" si="24"/>
        <v>0</v>
      </c>
      <c r="N85" s="16">
        <f t="shared" si="25"/>
        <v>0</v>
      </c>
      <c r="O85" s="16">
        <f t="shared" si="26"/>
        <v>0</v>
      </c>
      <c r="P85" s="16" t="str">
        <f>+IF(AND(B85&gt;='Relevé de la Régularisation'!$C$9,B85&lt;='Relevé de la Régularisation'!$D$14),"OUI","NON")</f>
        <v>OUI</v>
      </c>
      <c r="Q85" s="16">
        <f t="array" ref="Q85">IF(P85="OUI",MAX($Q$2:Q84)+1,"")</f>
        <v>83</v>
      </c>
    </row>
    <row r="86" spans="1:17" x14ac:dyDescent="0.2">
      <c r="A86" s="453">
        <f t="shared" si="27"/>
        <v>44531</v>
      </c>
      <c r="B86" s="30">
        <v>44531</v>
      </c>
      <c r="C86" s="16">
        <f t="shared" si="14"/>
        <v>0</v>
      </c>
      <c r="D86" s="16">
        <f t="shared" si="15"/>
        <v>0</v>
      </c>
      <c r="E86" s="16">
        <f t="shared" si="16"/>
        <v>0</v>
      </c>
      <c r="F86" s="16">
        <f t="shared" si="17"/>
        <v>0</v>
      </c>
      <c r="G86" s="16">
        <f t="shared" si="18"/>
        <v>0</v>
      </c>
      <c r="H86" s="16">
        <f t="shared" si="19"/>
        <v>0</v>
      </c>
      <c r="I86" s="16">
        <f t="shared" si="20"/>
        <v>0</v>
      </c>
      <c r="J86" s="16">
        <f t="shared" si="21"/>
        <v>0</v>
      </c>
      <c r="K86" s="16">
        <f t="shared" si="22"/>
        <v>0</v>
      </c>
      <c r="L86" s="16">
        <f t="shared" si="23"/>
        <v>0</v>
      </c>
      <c r="M86" s="16">
        <f t="shared" si="24"/>
        <v>0</v>
      </c>
      <c r="N86" s="16">
        <f t="shared" si="25"/>
        <v>0</v>
      </c>
      <c r="O86" s="16">
        <f t="shared" si="26"/>
        <v>0</v>
      </c>
      <c r="P86" s="16" t="str">
        <f>+IF(AND(B86&gt;='Relevé de la Régularisation'!$C$9,B86&lt;='Relevé de la Régularisation'!$D$14),"OUI","NON")</f>
        <v>OUI</v>
      </c>
      <c r="Q86" s="16">
        <f t="array" ref="Q86">IF(P86="OUI",MAX($Q$2:Q85)+1,"")</f>
        <v>84</v>
      </c>
    </row>
    <row r="87" spans="1:17" x14ac:dyDescent="0.2">
      <c r="A87" s="453">
        <f t="shared" si="27"/>
        <v>44562</v>
      </c>
      <c r="B87" s="30">
        <v>44562</v>
      </c>
      <c r="C87" s="16">
        <f t="shared" si="14"/>
        <v>0</v>
      </c>
      <c r="D87" s="16">
        <f t="shared" si="15"/>
        <v>0</v>
      </c>
      <c r="E87" s="16">
        <f t="shared" si="16"/>
        <v>0</v>
      </c>
      <c r="F87" s="16">
        <f t="shared" si="17"/>
        <v>0</v>
      </c>
      <c r="G87" s="16">
        <f t="shared" si="18"/>
        <v>0</v>
      </c>
      <c r="H87" s="16">
        <f t="shared" si="19"/>
        <v>0</v>
      </c>
      <c r="I87" s="16">
        <f t="shared" si="20"/>
        <v>0</v>
      </c>
      <c r="J87" s="16">
        <f t="shared" si="21"/>
        <v>0</v>
      </c>
      <c r="K87" s="16">
        <f t="shared" si="22"/>
        <v>0</v>
      </c>
      <c r="L87" s="16">
        <f t="shared" si="23"/>
        <v>0</v>
      </c>
      <c r="M87" s="16">
        <f t="shared" si="24"/>
        <v>0</v>
      </c>
      <c r="N87" s="16">
        <f t="shared" si="25"/>
        <v>0</v>
      </c>
      <c r="O87" s="16">
        <f t="shared" si="26"/>
        <v>0</v>
      </c>
      <c r="P87" s="16" t="str">
        <f>+IF(AND(B87&gt;='Relevé de la Régularisation'!$C$9,B87&lt;='Relevé de la Régularisation'!$D$14),"OUI","NON")</f>
        <v>OUI</v>
      </c>
      <c r="Q87" s="16">
        <f t="array" ref="Q87">IF(P87="OUI",MAX($Q$2:Q86)+1,"")</f>
        <v>85</v>
      </c>
    </row>
    <row r="88" spans="1:17" x14ac:dyDescent="0.2">
      <c r="A88" s="453">
        <f t="shared" si="27"/>
        <v>44593</v>
      </c>
      <c r="B88" s="30">
        <v>44593</v>
      </c>
      <c r="C88" s="16">
        <f t="shared" si="14"/>
        <v>0</v>
      </c>
      <c r="D88" s="16">
        <f t="shared" si="15"/>
        <v>0</v>
      </c>
      <c r="E88" s="16">
        <f t="shared" si="16"/>
        <v>0</v>
      </c>
      <c r="F88" s="16">
        <f t="shared" si="17"/>
        <v>0</v>
      </c>
      <c r="G88" s="16">
        <f t="shared" si="18"/>
        <v>0</v>
      </c>
      <c r="H88" s="16">
        <f t="shared" si="19"/>
        <v>0</v>
      </c>
      <c r="I88" s="16">
        <f t="shared" si="20"/>
        <v>0</v>
      </c>
      <c r="J88" s="16">
        <f t="shared" si="21"/>
        <v>0</v>
      </c>
      <c r="K88" s="16">
        <f t="shared" si="22"/>
        <v>0</v>
      </c>
      <c r="L88" s="16">
        <f t="shared" si="23"/>
        <v>0</v>
      </c>
      <c r="M88" s="16">
        <f t="shared" si="24"/>
        <v>0</v>
      </c>
      <c r="N88" s="16">
        <f t="shared" si="25"/>
        <v>0</v>
      </c>
      <c r="O88" s="16">
        <f t="shared" si="26"/>
        <v>0</v>
      </c>
      <c r="P88" s="16" t="str">
        <f>+IF(AND(B88&gt;='Relevé de la Régularisation'!$C$9,B88&lt;='Relevé de la Régularisation'!$D$14),"OUI","NON")</f>
        <v>OUI</v>
      </c>
      <c r="Q88" s="16">
        <f t="array" ref="Q88">IF(P88="OUI",MAX($Q$2:Q87)+1,"")</f>
        <v>86</v>
      </c>
    </row>
    <row r="89" spans="1:17" x14ac:dyDescent="0.2">
      <c r="A89" s="453">
        <f t="shared" si="27"/>
        <v>44621</v>
      </c>
      <c r="B89" s="30">
        <v>44621</v>
      </c>
      <c r="C89" s="16">
        <f t="shared" si="14"/>
        <v>0</v>
      </c>
      <c r="D89" s="16">
        <f t="shared" si="15"/>
        <v>0</v>
      </c>
      <c r="E89" s="16">
        <f t="shared" si="16"/>
        <v>0</v>
      </c>
      <c r="F89" s="16">
        <f t="shared" si="17"/>
        <v>0</v>
      </c>
      <c r="G89" s="16">
        <f t="shared" si="18"/>
        <v>0</v>
      </c>
      <c r="H89" s="16">
        <f t="shared" si="19"/>
        <v>0</v>
      </c>
      <c r="I89" s="16">
        <f t="shared" si="20"/>
        <v>0</v>
      </c>
      <c r="J89" s="16">
        <f t="shared" si="21"/>
        <v>0</v>
      </c>
      <c r="K89" s="16">
        <f t="shared" si="22"/>
        <v>0</v>
      </c>
      <c r="L89" s="16">
        <f t="shared" si="23"/>
        <v>0</v>
      </c>
      <c r="M89" s="16">
        <f t="shared" si="24"/>
        <v>0</v>
      </c>
      <c r="N89" s="16">
        <f t="shared" si="25"/>
        <v>0</v>
      </c>
      <c r="O89" s="16">
        <f t="shared" si="26"/>
        <v>0</v>
      </c>
      <c r="P89" s="16" t="str">
        <f>+IF(AND(B89&gt;='Relevé de la Régularisation'!$C$9,B89&lt;='Relevé de la Régularisation'!$D$14),"OUI","NON")</f>
        <v>OUI</v>
      </c>
      <c r="Q89" s="16">
        <f t="array" ref="Q89">IF(P89="OUI",MAX($Q$2:Q88)+1,"")</f>
        <v>87</v>
      </c>
    </row>
    <row r="90" spans="1:17" x14ac:dyDescent="0.2">
      <c r="A90" s="453">
        <f t="shared" si="27"/>
        <v>44652</v>
      </c>
      <c r="B90" s="30">
        <v>44652</v>
      </c>
      <c r="C90" s="16">
        <f t="shared" si="14"/>
        <v>0</v>
      </c>
      <c r="D90" s="16">
        <f t="shared" si="15"/>
        <v>0</v>
      </c>
      <c r="E90" s="16">
        <f t="shared" si="16"/>
        <v>0</v>
      </c>
      <c r="F90" s="16">
        <f t="shared" si="17"/>
        <v>0</v>
      </c>
      <c r="G90" s="16">
        <f t="shared" si="18"/>
        <v>0</v>
      </c>
      <c r="H90" s="16">
        <f t="shared" si="19"/>
        <v>0</v>
      </c>
      <c r="I90" s="16">
        <f t="shared" si="20"/>
        <v>0</v>
      </c>
      <c r="J90" s="16">
        <f t="shared" si="21"/>
        <v>0</v>
      </c>
      <c r="K90" s="16">
        <f t="shared" si="22"/>
        <v>0</v>
      </c>
      <c r="L90" s="16">
        <f t="shared" si="23"/>
        <v>0</v>
      </c>
      <c r="M90" s="16">
        <f t="shared" si="24"/>
        <v>0</v>
      </c>
      <c r="N90" s="16">
        <f t="shared" si="25"/>
        <v>0</v>
      </c>
      <c r="O90" s="16">
        <f t="shared" si="26"/>
        <v>0</v>
      </c>
      <c r="P90" s="16" t="str">
        <f>+IF(AND(B90&gt;='Relevé de la Régularisation'!$C$9,B90&lt;='Relevé de la Régularisation'!$D$14),"OUI","NON")</f>
        <v>OUI</v>
      </c>
      <c r="Q90" s="16">
        <f t="array" ref="Q90">IF(P90="OUI",MAX($Q$2:Q89)+1,"")</f>
        <v>88</v>
      </c>
    </row>
    <row r="91" spans="1:17" x14ac:dyDescent="0.2">
      <c r="A91" s="453">
        <f t="shared" si="27"/>
        <v>44682</v>
      </c>
      <c r="B91" s="30">
        <v>44682</v>
      </c>
      <c r="C91" s="16">
        <f t="shared" si="14"/>
        <v>0</v>
      </c>
      <c r="D91" s="16">
        <f t="shared" si="15"/>
        <v>0</v>
      </c>
      <c r="E91" s="16">
        <f t="shared" si="16"/>
        <v>0</v>
      </c>
      <c r="F91" s="16">
        <f t="shared" si="17"/>
        <v>0</v>
      </c>
      <c r="G91" s="16">
        <f t="shared" si="18"/>
        <v>0</v>
      </c>
      <c r="H91" s="16">
        <f t="shared" si="19"/>
        <v>0</v>
      </c>
      <c r="I91" s="16">
        <f t="shared" si="20"/>
        <v>0</v>
      </c>
      <c r="J91" s="16">
        <f t="shared" si="21"/>
        <v>0</v>
      </c>
      <c r="K91" s="16">
        <f t="shared" si="22"/>
        <v>0</v>
      </c>
      <c r="L91" s="16">
        <f t="shared" si="23"/>
        <v>0</v>
      </c>
      <c r="M91" s="16">
        <f t="shared" si="24"/>
        <v>0</v>
      </c>
      <c r="N91" s="16">
        <f t="shared" si="25"/>
        <v>0</v>
      </c>
      <c r="O91" s="16">
        <f t="shared" si="26"/>
        <v>0</v>
      </c>
      <c r="P91" s="16" t="str">
        <f>+IF(AND(B91&gt;='Relevé de la Régularisation'!$C$9,B91&lt;='Relevé de la Régularisation'!$D$14),"OUI","NON")</f>
        <v>OUI</v>
      </c>
      <c r="Q91" s="16">
        <f t="array" ref="Q91">IF(P91="OUI",MAX($Q$2:Q90)+1,"")</f>
        <v>89</v>
      </c>
    </row>
    <row r="92" spans="1:17" x14ac:dyDescent="0.2">
      <c r="A92" s="453">
        <f t="shared" si="27"/>
        <v>44713</v>
      </c>
      <c r="B92" s="30">
        <v>44713</v>
      </c>
      <c r="C92" s="16">
        <f t="shared" si="14"/>
        <v>0</v>
      </c>
      <c r="D92" s="16">
        <f t="shared" si="15"/>
        <v>0</v>
      </c>
      <c r="E92" s="16">
        <f t="shared" si="16"/>
        <v>0</v>
      </c>
      <c r="F92" s="16">
        <f t="shared" si="17"/>
        <v>0</v>
      </c>
      <c r="G92" s="16">
        <f t="shared" si="18"/>
        <v>0</v>
      </c>
      <c r="H92" s="16">
        <f t="shared" si="19"/>
        <v>0</v>
      </c>
      <c r="I92" s="16">
        <f t="shared" si="20"/>
        <v>0</v>
      </c>
      <c r="J92" s="16">
        <f t="shared" si="21"/>
        <v>0</v>
      </c>
      <c r="K92" s="16">
        <f t="shared" si="22"/>
        <v>0</v>
      </c>
      <c r="L92" s="16">
        <f t="shared" si="23"/>
        <v>0</v>
      </c>
      <c r="M92" s="16">
        <f t="shared" si="24"/>
        <v>0</v>
      </c>
      <c r="N92" s="16">
        <f t="shared" si="25"/>
        <v>0</v>
      </c>
      <c r="O92" s="16">
        <f t="shared" si="26"/>
        <v>0</v>
      </c>
      <c r="P92" s="16" t="str">
        <f>+IF(AND(B92&gt;='Relevé de la Régularisation'!$C$9,B92&lt;='Relevé de la Régularisation'!$D$14),"OUI","NON")</f>
        <v>OUI</v>
      </c>
      <c r="Q92" s="16">
        <f t="array" ref="Q92">IF(P92="OUI",MAX($Q$2:Q91)+1,"")</f>
        <v>90</v>
      </c>
    </row>
    <row r="93" spans="1:17" x14ac:dyDescent="0.2">
      <c r="A93" s="453">
        <f t="shared" si="27"/>
        <v>44743</v>
      </c>
      <c r="B93" s="30">
        <v>44743</v>
      </c>
      <c r="C93" s="16">
        <f t="shared" si="14"/>
        <v>0</v>
      </c>
      <c r="D93" s="16">
        <f t="shared" si="15"/>
        <v>0</v>
      </c>
      <c r="E93" s="16">
        <f t="shared" si="16"/>
        <v>0</v>
      </c>
      <c r="F93" s="16">
        <f t="shared" si="17"/>
        <v>0</v>
      </c>
      <c r="G93" s="16">
        <f t="shared" si="18"/>
        <v>0</v>
      </c>
      <c r="H93" s="16">
        <f t="shared" si="19"/>
        <v>0</v>
      </c>
      <c r="I93" s="16">
        <f t="shared" si="20"/>
        <v>0</v>
      </c>
      <c r="J93" s="16">
        <f t="shared" si="21"/>
        <v>0</v>
      </c>
      <c r="K93" s="16">
        <f t="shared" si="22"/>
        <v>0</v>
      </c>
      <c r="L93" s="16">
        <f t="shared" si="23"/>
        <v>0</v>
      </c>
      <c r="M93" s="16">
        <f t="shared" si="24"/>
        <v>0</v>
      </c>
      <c r="N93" s="16">
        <f t="shared" si="25"/>
        <v>0</v>
      </c>
      <c r="O93" s="16">
        <f t="shared" si="26"/>
        <v>0</v>
      </c>
      <c r="P93" s="16" t="str">
        <f>+IF(AND(B93&gt;='Relevé de la Régularisation'!$C$9,B93&lt;='Relevé de la Régularisation'!$D$14),"OUI","NON")</f>
        <v>OUI</v>
      </c>
      <c r="Q93" s="16">
        <f t="array" ref="Q93">IF(P93="OUI",MAX($Q$2:Q92)+1,"")</f>
        <v>91</v>
      </c>
    </row>
    <row r="94" spans="1:17" x14ac:dyDescent="0.2">
      <c r="A94" s="453">
        <f t="shared" si="27"/>
        <v>44774</v>
      </c>
      <c r="B94" s="30">
        <v>44774</v>
      </c>
      <c r="C94" s="16">
        <f t="shared" si="14"/>
        <v>0</v>
      </c>
      <c r="D94" s="16">
        <f t="shared" si="15"/>
        <v>0</v>
      </c>
      <c r="E94" s="16">
        <f t="shared" si="16"/>
        <v>0</v>
      </c>
      <c r="F94" s="16">
        <f t="shared" si="17"/>
        <v>0</v>
      </c>
      <c r="G94" s="16">
        <f t="shared" si="18"/>
        <v>0</v>
      </c>
      <c r="H94" s="16">
        <f t="shared" si="19"/>
        <v>0</v>
      </c>
      <c r="I94" s="16">
        <f t="shared" si="20"/>
        <v>0</v>
      </c>
      <c r="J94" s="16">
        <f t="shared" si="21"/>
        <v>0</v>
      </c>
      <c r="K94" s="16">
        <f t="shared" si="22"/>
        <v>0</v>
      </c>
      <c r="L94" s="16">
        <f t="shared" si="23"/>
        <v>0</v>
      </c>
      <c r="M94" s="16">
        <f t="shared" si="24"/>
        <v>0</v>
      </c>
      <c r="N94" s="16">
        <f t="shared" si="25"/>
        <v>0</v>
      </c>
      <c r="O94" s="16">
        <f t="shared" si="26"/>
        <v>0</v>
      </c>
      <c r="P94" s="16" t="str">
        <f>+IF(AND(B94&gt;='Relevé de la Régularisation'!$C$9,B94&lt;='Relevé de la Régularisation'!$D$14),"OUI","NON")</f>
        <v>OUI</v>
      </c>
      <c r="Q94" s="16">
        <f t="array" ref="Q94">IF(P94="OUI",MAX($Q$2:Q93)+1,"")</f>
        <v>92</v>
      </c>
    </row>
    <row r="95" spans="1:17" x14ac:dyDescent="0.2">
      <c r="A95" s="453">
        <f t="shared" si="27"/>
        <v>44805</v>
      </c>
      <c r="B95" s="30">
        <v>44805</v>
      </c>
      <c r="C95" s="16">
        <f t="shared" si="14"/>
        <v>0</v>
      </c>
      <c r="D95" s="16">
        <f t="shared" si="15"/>
        <v>0</v>
      </c>
      <c r="E95" s="16">
        <f t="shared" si="16"/>
        <v>0</v>
      </c>
      <c r="F95" s="16">
        <f t="shared" si="17"/>
        <v>0</v>
      </c>
      <c r="G95" s="16">
        <f t="shared" si="18"/>
        <v>0</v>
      </c>
      <c r="H95" s="16">
        <f t="shared" si="19"/>
        <v>0</v>
      </c>
      <c r="I95" s="16">
        <f t="shared" si="20"/>
        <v>0</v>
      </c>
      <c r="J95" s="16">
        <f t="shared" si="21"/>
        <v>0</v>
      </c>
      <c r="K95" s="16">
        <f t="shared" si="22"/>
        <v>0</v>
      </c>
      <c r="L95" s="16">
        <f t="shared" si="23"/>
        <v>0</v>
      </c>
      <c r="M95" s="16">
        <f t="shared" si="24"/>
        <v>0</v>
      </c>
      <c r="N95" s="16">
        <f t="shared" si="25"/>
        <v>0</v>
      </c>
      <c r="O95" s="16">
        <f t="shared" si="26"/>
        <v>0</v>
      </c>
      <c r="P95" s="16" t="str">
        <f>+IF(AND(B95&gt;='Relevé de la Régularisation'!$C$9,B95&lt;='Relevé de la Régularisation'!$D$14),"OUI","NON")</f>
        <v>OUI</v>
      </c>
      <c r="Q95" s="16">
        <f t="array" ref="Q95">IF(P95="OUI",MAX($Q$2:Q94)+1,"")</f>
        <v>93</v>
      </c>
    </row>
    <row r="96" spans="1:17" x14ac:dyDescent="0.2">
      <c r="A96" s="453">
        <f t="shared" si="27"/>
        <v>44835</v>
      </c>
      <c r="B96" s="30">
        <v>44835</v>
      </c>
      <c r="C96" s="16">
        <f t="shared" si="14"/>
        <v>0</v>
      </c>
      <c r="D96" s="16">
        <f t="shared" si="15"/>
        <v>0</v>
      </c>
      <c r="E96" s="16">
        <f t="shared" si="16"/>
        <v>0</v>
      </c>
      <c r="F96" s="16">
        <f t="shared" si="17"/>
        <v>0</v>
      </c>
      <c r="G96" s="16">
        <f t="shared" si="18"/>
        <v>0</v>
      </c>
      <c r="H96" s="16">
        <f t="shared" si="19"/>
        <v>0</v>
      </c>
      <c r="I96" s="16">
        <f t="shared" si="20"/>
        <v>0</v>
      </c>
      <c r="J96" s="16">
        <f t="shared" si="21"/>
        <v>0</v>
      </c>
      <c r="K96" s="16">
        <f t="shared" si="22"/>
        <v>0</v>
      </c>
      <c r="L96" s="16">
        <f t="shared" si="23"/>
        <v>0</v>
      </c>
      <c r="M96" s="16">
        <f t="shared" si="24"/>
        <v>0</v>
      </c>
      <c r="N96" s="16">
        <f t="shared" si="25"/>
        <v>0</v>
      </c>
      <c r="O96" s="16">
        <f t="shared" si="26"/>
        <v>0</v>
      </c>
      <c r="P96" s="16" t="str">
        <f>+IF(AND(B96&gt;='Relevé de la Régularisation'!$C$9,B96&lt;='Relevé de la Régularisation'!$D$14),"OUI","NON")</f>
        <v>OUI</v>
      </c>
      <c r="Q96" s="16">
        <f t="array" ref="Q96">IF(P96="OUI",MAX($Q$2:Q95)+1,"")</f>
        <v>94</v>
      </c>
    </row>
    <row r="97" spans="1:17" x14ac:dyDescent="0.2">
      <c r="A97" s="453">
        <f t="shared" si="27"/>
        <v>44866</v>
      </c>
      <c r="B97" s="30">
        <v>44866</v>
      </c>
      <c r="C97" s="16">
        <f t="shared" si="14"/>
        <v>0</v>
      </c>
      <c r="D97" s="16">
        <f t="shared" si="15"/>
        <v>0</v>
      </c>
      <c r="E97" s="16">
        <f t="shared" si="16"/>
        <v>0</v>
      </c>
      <c r="F97" s="16">
        <f t="shared" si="17"/>
        <v>0</v>
      </c>
      <c r="G97" s="16">
        <f t="shared" si="18"/>
        <v>0</v>
      </c>
      <c r="H97" s="16">
        <f t="shared" si="19"/>
        <v>0</v>
      </c>
      <c r="I97" s="16">
        <f t="shared" si="20"/>
        <v>0</v>
      </c>
      <c r="J97" s="16">
        <f t="shared" si="21"/>
        <v>0</v>
      </c>
      <c r="K97" s="16">
        <f t="shared" si="22"/>
        <v>0</v>
      </c>
      <c r="L97" s="16">
        <f t="shared" si="23"/>
        <v>0</v>
      </c>
      <c r="M97" s="16">
        <f t="shared" si="24"/>
        <v>0</v>
      </c>
      <c r="N97" s="16">
        <f t="shared" si="25"/>
        <v>0</v>
      </c>
      <c r="O97" s="16">
        <f t="shared" si="26"/>
        <v>0</v>
      </c>
      <c r="P97" s="16" t="str">
        <f>+IF(AND(B97&gt;='Relevé de la Régularisation'!$C$9,B97&lt;='Relevé de la Régularisation'!$D$14),"OUI","NON")</f>
        <v>OUI</v>
      </c>
      <c r="Q97" s="16">
        <f t="array" ref="Q97">IF(P97="OUI",MAX($Q$2:Q96)+1,"")</f>
        <v>95</v>
      </c>
    </row>
    <row r="98" spans="1:17" x14ac:dyDescent="0.2">
      <c r="A98" s="453">
        <f t="shared" si="27"/>
        <v>44896</v>
      </c>
      <c r="B98" s="30">
        <v>44896</v>
      </c>
      <c r="C98" s="16">
        <f t="shared" si="14"/>
        <v>0</v>
      </c>
      <c r="D98" s="16">
        <f t="shared" si="15"/>
        <v>0</v>
      </c>
      <c r="E98" s="16">
        <f t="shared" si="16"/>
        <v>0</v>
      </c>
      <c r="F98" s="16">
        <f t="shared" si="17"/>
        <v>0</v>
      </c>
      <c r="G98" s="16">
        <f t="shared" si="18"/>
        <v>0</v>
      </c>
      <c r="H98" s="16">
        <f t="shared" si="19"/>
        <v>0</v>
      </c>
      <c r="I98" s="16">
        <f t="shared" si="20"/>
        <v>0</v>
      </c>
      <c r="J98" s="16">
        <f t="shared" si="21"/>
        <v>0</v>
      </c>
      <c r="K98" s="16">
        <f t="shared" si="22"/>
        <v>0</v>
      </c>
      <c r="L98" s="16">
        <f t="shared" si="23"/>
        <v>0</v>
      </c>
      <c r="M98" s="16">
        <f t="shared" si="24"/>
        <v>0</v>
      </c>
      <c r="N98" s="16">
        <f t="shared" si="25"/>
        <v>0</v>
      </c>
      <c r="O98" s="16">
        <f t="shared" si="26"/>
        <v>0</v>
      </c>
      <c r="P98" s="16" t="str">
        <f>+IF(AND(B98&gt;='Relevé de la Régularisation'!$C$9,B98&lt;='Relevé de la Régularisation'!$D$14),"OUI","NON")</f>
        <v>OUI</v>
      </c>
      <c r="Q98" s="16">
        <f t="array" ref="Q98">IF(P98="OUI",MAX($Q$2:Q97)+1,"")</f>
        <v>96</v>
      </c>
    </row>
    <row r="99" spans="1:17" x14ac:dyDescent="0.2">
      <c r="A99" s="453">
        <f t="shared" si="27"/>
        <v>44927</v>
      </c>
      <c r="B99" s="30">
        <v>44927</v>
      </c>
      <c r="C99" s="16">
        <f t="shared" si="14"/>
        <v>0</v>
      </c>
      <c r="D99" s="16">
        <f t="shared" si="15"/>
        <v>0</v>
      </c>
      <c r="E99" s="16">
        <f t="shared" si="16"/>
        <v>0</v>
      </c>
      <c r="F99" s="16">
        <f t="shared" si="17"/>
        <v>0</v>
      </c>
      <c r="G99" s="16">
        <f t="shared" si="18"/>
        <v>0</v>
      </c>
      <c r="H99" s="16">
        <f t="shared" si="19"/>
        <v>0</v>
      </c>
      <c r="I99" s="16">
        <f t="shared" si="20"/>
        <v>0</v>
      </c>
      <c r="J99" s="16">
        <f t="shared" si="21"/>
        <v>0</v>
      </c>
      <c r="K99" s="16">
        <f t="shared" si="22"/>
        <v>0</v>
      </c>
      <c r="L99" s="16">
        <f t="shared" si="23"/>
        <v>0</v>
      </c>
      <c r="M99" s="16">
        <f t="shared" si="24"/>
        <v>0</v>
      </c>
      <c r="N99" s="16">
        <f t="shared" si="25"/>
        <v>0</v>
      </c>
      <c r="O99" s="16">
        <f t="shared" si="26"/>
        <v>0</v>
      </c>
      <c r="P99" s="16" t="str">
        <f>+IF(AND(B99&gt;='Relevé de la Régularisation'!$C$9,B99&lt;='Relevé de la Régularisation'!$D$14),"OUI","NON")</f>
        <v>OUI</v>
      </c>
      <c r="Q99" s="16">
        <f t="array" ref="Q99">IF(P99="OUI",MAX($Q$2:Q98)+1,"")</f>
        <v>97</v>
      </c>
    </row>
    <row r="100" spans="1:17" x14ac:dyDescent="0.2">
      <c r="A100" s="453">
        <f t="shared" si="27"/>
        <v>44958</v>
      </c>
      <c r="B100" s="30">
        <v>44958</v>
      </c>
      <c r="C100" s="16">
        <f t="shared" si="14"/>
        <v>0</v>
      </c>
      <c r="D100" s="16">
        <f t="shared" si="15"/>
        <v>0</v>
      </c>
      <c r="E100" s="16">
        <f t="shared" si="16"/>
        <v>0</v>
      </c>
      <c r="F100" s="16">
        <f t="shared" si="17"/>
        <v>0</v>
      </c>
      <c r="G100" s="16">
        <f t="shared" si="18"/>
        <v>0</v>
      </c>
      <c r="H100" s="16">
        <f t="shared" si="19"/>
        <v>0</v>
      </c>
      <c r="I100" s="16">
        <f t="shared" si="20"/>
        <v>0</v>
      </c>
      <c r="J100" s="16">
        <f t="shared" si="21"/>
        <v>0</v>
      </c>
      <c r="K100" s="16">
        <f t="shared" si="22"/>
        <v>0</v>
      </c>
      <c r="L100" s="16">
        <f t="shared" si="23"/>
        <v>0</v>
      </c>
      <c r="M100" s="16">
        <f t="shared" si="24"/>
        <v>0</v>
      </c>
      <c r="N100" s="16">
        <f t="shared" si="25"/>
        <v>0</v>
      </c>
      <c r="O100" s="16">
        <f t="shared" si="26"/>
        <v>0</v>
      </c>
      <c r="P100" s="16" t="str">
        <f>+IF(AND(B100&gt;='Relevé de la Régularisation'!$C$9,B100&lt;='Relevé de la Régularisation'!$D$14),"OUI","NON")</f>
        <v>OUI</v>
      </c>
      <c r="Q100" s="16">
        <f t="array" ref="Q100">IF(P100="OUI",MAX($Q$2:Q99)+1,"")</f>
        <v>98</v>
      </c>
    </row>
    <row r="101" spans="1:17" x14ac:dyDescent="0.2">
      <c r="A101" s="453">
        <f t="shared" si="27"/>
        <v>44986</v>
      </c>
      <c r="B101" s="30">
        <v>44986</v>
      </c>
      <c r="C101" s="16">
        <f t="shared" si="14"/>
        <v>0</v>
      </c>
      <c r="D101" s="16">
        <f t="shared" si="15"/>
        <v>0</v>
      </c>
      <c r="E101" s="16">
        <f t="shared" si="16"/>
        <v>0</v>
      </c>
      <c r="F101" s="16">
        <f t="shared" si="17"/>
        <v>0</v>
      </c>
      <c r="G101" s="16">
        <f t="shared" si="18"/>
        <v>0</v>
      </c>
      <c r="H101" s="16">
        <f t="shared" si="19"/>
        <v>0</v>
      </c>
      <c r="I101" s="16">
        <f t="shared" si="20"/>
        <v>0</v>
      </c>
      <c r="J101" s="16">
        <f t="shared" si="21"/>
        <v>0</v>
      </c>
      <c r="K101" s="16">
        <f t="shared" si="22"/>
        <v>0</v>
      </c>
      <c r="L101" s="16">
        <f t="shared" si="23"/>
        <v>0</v>
      </c>
      <c r="M101" s="16">
        <f t="shared" si="24"/>
        <v>0</v>
      </c>
      <c r="N101" s="16">
        <f t="shared" si="25"/>
        <v>0</v>
      </c>
      <c r="O101" s="16">
        <f t="shared" si="26"/>
        <v>0</v>
      </c>
      <c r="P101" s="16" t="str">
        <f>+IF(AND(B101&gt;='Relevé de la Régularisation'!$C$9,B101&lt;='Relevé de la Régularisation'!$D$14),"OUI","NON")</f>
        <v>OUI</v>
      </c>
      <c r="Q101" s="16">
        <f t="array" ref="Q101">IF(P101="OUI",MAX($Q$2:Q100)+1,"")</f>
        <v>99</v>
      </c>
    </row>
    <row r="102" spans="1:17" x14ac:dyDescent="0.2">
      <c r="A102" s="453">
        <f t="shared" si="27"/>
        <v>45017</v>
      </c>
      <c r="B102" s="30">
        <v>45017</v>
      </c>
      <c r="C102" s="16">
        <f t="shared" si="14"/>
        <v>0</v>
      </c>
      <c r="D102" s="16">
        <f t="shared" si="15"/>
        <v>0</v>
      </c>
      <c r="E102" s="16">
        <f t="shared" si="16"/>
        <v>0</v>
      </c>
      <c r="F102" s="16">
        <f t="shared" si="17"/>
        <v>0</v>
      </c>
      <c r="G102" s="16">
        <f t="shared" si="18"/>
        <v>0</v>
      </c>
      <c r="H102" s="16">
        <f t="shared" si="19"/>
        <v>0</v>
      </c>
      <c r="I102" s="16">
        <f t="shared" si="20"/>
        <v>0</v>
      </c>
      <c r="J102" s="16">
        <f t="shared" si="21"/>
        <v>0</v>
      </c>
      <c r="K102" s="16">
        <f t="shared" si="22"/>
        <v>0</v>
      </c>
      <c r="L102" s="16">
        <f t="shared" si="23"/>
        <v>0</v>
      </c>
      <c r="M102" s="16">
        <f t="shared" si="24"/>
        <v>0</v>
      </c>
      <c r="N102" s="16">
        <f t="shared" si="25"/>
        <v>0</v>
      </c>
      <c r="O102" s="16">
        <f t="shared" si="26"/>
        <v>0</v>
      </c>
      <c r="P102" s="16" t="str">
        <f>+IF(AND(B102&gt;='Relevé de la Régularisation'!$C$9,B102&lt;='Relevé de la Régularisation'!$D$14),"OUI","NON")</f>
        <v>OUI</v>
      </c>
      <c r="Q102" s="16">
        <f t="array" ref="Q102">IF(P102="OUI",MAX($Q$2:Q101)+1,"")</f>
        <v>100</v>
      </c>
    </row>
    <row r="103" spans="1:17" x14ac:dyDescent="0.2">
      <c r="A103" s="453">
        <f t="shared" si="27"/>
        <v>45047</v>
      </c>
      <c r="B103" s="30">
        <v>45047</v>
      </c>
      <c r="C103" s="16">
        <f t="shared" si="14"/>
        <v>0</v>
      </c>
      <c r="D103" s="16">
        <f t="shared" si="15"/>
        <v>0</v>
      </c>
      <c r="E103" s="16">
        <f t="shared" si="16"/>
        <v>0</v>
      </c>
      <c r="F103" s="16">
        <f t="shared" si="17"/>
        <v>0</v>
      </c>
      <c r="G103" s="16">
        <f t="shared" si="18"/>
        <v>0</v>
      </c>
      <c r="H103" s="16">
        <f t="shared" si="19"/>
        <v>0</v>
      </c>
      <c r="I103" s="16">
        <f t="shared" si="20"/>
        <v>0</v>
      </c>
      <c r="J103" s="16">
        <f t="shared" si="21"/>
        <v>0</v>
      </c>
      <c r="K103" s="16">
        <f t="shared" si="22"/>
        <v>0</v>
      </c>
      <c r="L103" s="16">
        <f t="shared" si="23"/>
        <v>0</v>
      </c>
      <c r="M103" s="16">
        <f t="shared" si="24"/>
        <v>0</v>
      </c>
      <c r="N103" s="16">
        <f t="shared" si="25"/>
        <v>0</v>
      </c>
      <c r="O103" s="16">
        <f t="shared" si="26"/>
        <v>0</v>
      </c>
      <c r="P103" s="16" t="str">
        <f>+IF(AND(B103&gt;='Relevé de la Régularisation'!$C$9,B103&lt;='Relevé de la Régularisation'!$D$14),"OUI","NON")</f>
        <v>OUI</v>
      </c>
      <c r="Q103" s="16">
        <f t="array" ref="Q103">IF(P103="OUI",MAX($Q$2:Q102)+1,"")</f>
        <v>101</v>
      </c>
    </row>
    <row r="104" spans="1:17" x14ac:dyDescent="0.2">
      <c r="A104" s="453">
        <f t="shared" si="27"/>
        <v>45078</v>
      </c>
      <c r="B104" s="30">
        <v>45078</v>
      </c>
      <c r="C104" s="16">
        <f t="shared" si="14"/>
        <v>0</v>
      </c>
      <c r="D104" s="16">
        <f t="shared" si="15"/>
        <v>0</v>
      </c>
      <c r="E104" s="16">
        <f t="shared" si="16"/>
        <v>0</v>
      </c>
      <c r="F104" s="16">
        <f t="shared" si="17"/>
        <v>0</v>
      </c>
      <c r="G104" s="16">
        <f t="shared" si="18"/>
        <v>0</v>
      </c>
      <c r="H104" s="16">
        <f t="shared" si="19"/>
        <v>0</v>
      </c>
      <c r="I104" s="16">
        <f t="shared" si="20"/>
        <v>0</v>
      </c>
      <c r="J104" s="16">
        <f t="shared" si="21"/>
        <v>0</v>
      </c>
      <c r="K104" s="16">
        <f t="shared" si="22"/>
        <v>0</v>
      </c>
      <c r="L104" s="16">
        <f t="shared" si="23"/>
        <v>0</v>
      </c>
      <c r="M104" s="16">
        <f t="shared" si="24"/>
        <v>0</v>
      </c>
      <c r="N104" s="16">
        <f t="shared" si="25"/>
        <v>0</v>
      </c>
      <c r="O104" s="16">
        <f t="shared" si="26"/>
        <v>0</v>
      </c>
      <c r="P104" s="16" t="str">
        <f>+IF(AND(B104&gt;='Relevé de la Régularisation'!$C$9,B104&lt;='Relevé de la Régularisation'!$D$14),"OUI","NON")</f>
        <v>OUI</v>
      </c>
      <c r="Q104" s="16">
        <f t="array" ref="Q104">IF(P104="OUI",MAX($Q$2:Q103)+1,"")</f>
        <v>102</v>
      </c>
    </row>
    <row r="105" spans="1:17" x14ac:dyDescent="0.2">
      <c r="A105" s="453">
        <f t="shared" si="27"/>
        <v>45108</v>
      </c>
      <c r="B105" s="30">
        <v>45108</v>
      </c>
      <c r="C105" s="16">
        <f t="shared" si="14"/>
        <v>0</v>
      </c>
      <c r="D105" s="16">
        <f t="shared" si="15"/>
        <v>0</v>
      </c>
      <c r="E105" s="16">
        <f t="shared" si="16"/>
        <v>0</v>
      </c>
      <c r="F105" s="16">
        <f t="shared" si="17"/>
        <v>0</v>
      </c>
      <c r="G105" s="16">
        <f t="shared" si="18"/>
        <v>0</v>
      </c>
      <c r="H105" s="16">
        <f t="shared" si="19"/>
        <v>0</v>
      </c>
      <c r="I105" s="16">
        <f t="shared" si="20"/>
        <v>0</v>
      </c>
      <c r="J105" s="16">
        <f t="shared" si="21"/>
        <v>0</v>
      </c>
      <c r="K105" s="16">
        <f t="shared" si="22"/>
        <v>0</v>
      </c>
      <c r="L105" s="16">
        <f t="shared" si="23"/>
        <v>0</v>
      </c>
      <c r="M105" s="16">
        <f t="shared" si="24"/>
        <v>0</v>
      </c>
      <c r="N105" s="16">
        <f t="shared" si="25"/>
        <v>0</v>
      </c>
      <c r="O105" s="16">
        <f t="shared" si="26"/>
        <v>0</v>
      </c>
      <c r="P105" s="16" t="str">
        <f>+IF(AND(B105&gt;='Relevé de la Régularisation'!$C$9,B105&lt;='Relevé de la Régularisation'!$D$14),"OUI","NON")</f>
        <v>OUI</v>
      </c>
      <c r="Q105" s="16">
        <f t="array" ref="Q105">IF(P105="OUI",MAX($Q$2:Q104)+1,"")</f>
        <v>103</v>
      </c>
    </row>
    <row r="106" spans="1:17" x14ac:dyDescent="0.2">
      <c r="A106" s="453">
        <f t="shared" si="27"/>
        <v>45139</v>
      </c>
      <c r="B106" s="30">
        <v>45139</v>
      </c>
      <c r="C106" s="16">
        <f t="shared" si="14"/>
        <v>0</v>
      </c>
      <c r="D106" s="16">
        <f t="shared" si="15"/>
        <v>0</v>
      </c>
      <c r="E106" s="16">
        <f t="shared" si="16"/>
        <v>0</v>
      </c>
      <c r="F106" s="16">
        <f t="shared" si="17"/>
        <v>0</v>
      </c>
      <c r="G106" s="16">
        <f t="shared" si="18"/>
        <v>0</v>
      </c>
      <c r="H106" s="16">
        <f t="shared" si="19"/>
        <v>0</v>
      </c>
      <c r="I106" s="16">
        <f t="shared" si="20"/>
        <v>0</v>
      </c>
      <c r="J106" s="16">
        <f t="shared" si="21"/>
        <v>0</v>
      </c>
      <c r="K106" s="16">
        <f t="shared" si="22"/>
        <v>0</v>
      </c>
      <c r="L106" s="16">
        <f t="shared" si="23"/>
        <v>0</v>
      </c>
      <c r="M106" s="16">
        <f t="shared" si="24"/>
        <v>0</v>
      </c>
      <c r="N106" s="16">
        <f t="shared" si="25"/>
        <v>0</v>
      </c>
      <c r="O106" s="16">
        <f t="shared" si="26"/>
        <v>0</v>
      </c>
      <c r="P106" s="16" t="str">
        <f>+IF(AND(B106&gt;='Relevé de la Régularisation'!$C$9,B106&lt;='Relevé de la Régularisation'!$D$14),"OUI","NON")</f>
        <v>OUI</v>
      </c>
      <c r="Q106" s="16">
        <f t="array" ref="Q106">IF(P106="OUI",MAX($Q$2:Q105)+1,"")</f>
        <v>104</v>
      </c>
    </row>
    <row r="107" spans="1:17" x14ac:dyDescent="0.2">
      <c r="A107" s="453">
        <f t="shared" si="27"/>
        <v>45170</v>
      </c>
      <c r="B107" s="30">
        <v>45170</v>
      </c>
      <c r="C107" s="16">
        <f t="shared" si="14"/>
        <v>0</v>
      </c>
      <c r="D107" s="16">
        <f t="shared" si="15"/>
        <v>0</v>
      </c>
      <c r="E107" s="16">
        <f t="shared" si="16"/>
        <v>0</v>
      </c>
      <c r="F107" s="16">
        <f t="shared" si="17"/>
        <v>0</v>
      </c>
      <c r="G107" s="16">
        <f t="shared" si="18"/>
        <v>0</v>
      </c>
      <c r="H107" s="16">
        <f t="shared" si="19"/>
        <v>0</v>
      </c>
      <c r="I107" s="16">
        <f t="shared" si="20"/>
        <v>0</v>
      </c>
      <c r="J107" s="16">
        <f t="shared" si="21"/>
        <v>0</v>
      </c>
      <c r="K107" s="16">
        <f t="shared" si="22"/>
        <v>0</v>
      </c>
      <c r="L107" s="16">
        <f t="shared" si="23"/>
        <v>0</v>
      </c>
      <c r="M107" s="16">
        <f t="shared" si="24"/>
        <v>0</v>
      </c>
      <c r="N107" s="16">
        <f t="shared" si="25"/>
        <v>0</v>
      </c>
      <c r="O107" s="16">
        <f t="shared" si="26"/>
        <v>0</v>
      </c>
      <c r="P107" s="16" t="str">
        <f>+IF(AND(B107&gt;='Relevé de la Régularisation'!$C$9,B107&lt;='Relevé de la Régularisation'!$D$14),"OUI","NON")</f>
        <v>OUI</v>
      </c>
      <c r="Q107" s="16">
        <f t="array" ref="Q107">IF(P107="OUI",MAX($Q$2:Q106)+1,"")</f>
        <v>105</v>
      </c>
    </row>
    <row r="108" spans="1:17" x14ac:dyDescent="0.2">
      <c r="A108" s="453">
        <f t="shared" si="27"/>
        <v>45200</v>
      </c>
      <c r="B108" s="30">
        <v>45200</v>
      </c>
      <c r="C108" s="16">
        <f t="shared" si="14"/>
        <v>0</v>
      </c>
      <c r="D108" s="16">
        <f t="shared" si="15"/>
        <v>0</v>
      </c>
      <c r="E108" s="16">
        <f t="shared" si="16"/>
        <v>0</v>
      </c>
      <c r="F108" s="16">
        <f t="shared" si="17"/>
        <v>0</v>
      </c>
      <c r="G108" s="16">
        <f t="shared" si="18"/>
        <v>0</v>
      </c>
      <c r="H108" s="16">
        <f t="shared" si="19"/>
        <v>0</v>
      </c>
      <c r="I108" s="16">
        <f t="shared" si="20"/>
        <v>0</v>
      </c>
      <c r="J108" s="16">
        <f t="shared" si="21"/>
        <v>0</v>
      </c>
      <c r="K108" s="16">
        <f t="shared" si="22"/>
        <v>0</v>
      </c>
      <c r="L108" s="16">
        <f t="shared" si="23"/>
        <v>0</v>
      </c>
      <c r="M108" s="16">
        <f t="shared" si="24"/>
        <v>0</v>
      </c>
      <c r="N108" s="16">
        <f t="shared" si="25"/>
        <v>0</v>
      </c>
      <c r="O108" s="16">
        <f t="shared" si="26"/>
        <v>0</v>
      </c>
      <c r="P108" s="16" t="str">
        <f>+IF(AND(B108&gt;='Relevé de la Régularisation'!$C$9,B108&lt;='Relevé de la Régularisation'!$D$14),"OUI","NON")</f>
        <v>OUI</v>
      </c>
      <c r="Q108" s="16">
        <f t="array" ref="Q108">IF(P108="OUI",MAX($Q$2:Q107)+1,"")</f>
        <v>106</v>
      </c>
    </row>
    <row r="109" spans="1:17" x14ac:dyDescent="0.2">
      <c r="A109" s="453">
        <f t="shared" si="27"/>
        <v>45231</v>
      </c>
      <c r="B109" s="30">
        <v>45231</v>
      </c>
      <c r="C109" s="16">
        <f t="shared" si="14"/>
        <v>0</v>
      </c>
      <c r="D109" s="16">
        <f t="shared" si="15"/>
        <v>0</v>
      </c>
      <c r="E109" s="16">
        <f t="shared" si="16"/>
        <v>0</v>
      </c>
      <c r="F109" s="16">
        <f t="shared" si="17"/>
        <v>0</v>
      </c>
      <c r="G109" s="16">
        <f t="shared" si="18"/>
        <v>0</v>
      </c>
      <c r="H109" s="16">
        <f t="shared" si="19"/>
        <v>0</v>
      </c>
      <c r="I109" s="16">
        <f t="shared" si="20"/>
        <v>0</v>
      </c>
      <c r="J109" s="16">
        <f t="shared" si="21"/>
        <v>0</v>
      </c>
      <c r="K109" s="16">
        <f t="shared" si="22"/>
        <v>0</v>
      </c>
      <c r="L109" s="16">
        <f t="shared" si="23"/>
        <v>0</v>
      </c>
      <c r="M109" s="16">
        <f t="shared" si="24"/>
        <v>0</v>
      </c>
      <c r="N109" s="16">
        <f t="shared" si="25"/>
        <v>0</v>
      </c>
      <c r="O109" s="16">
        <f t="shared" si="26"/>
        <v>0</v>
      </c>
      <c r="P109" s="16" t="str">
        <f>+IF(AND(B109&gt;='Relevé de la Régularisation'!$C$9,B109&lt;='Relevé de la Régularisation'!$D$14),"OUI","NON")</f>
        <v>OUI</v>
      </c>
      <c r="Q109" s="16">
        <f t="array" ref="Q109">IF(P109="OUI",MAX($Q$2:Q108)+1,"")</f>
        <v>107</v>
      </c>
    </row>
    <row r="110" spans="1:17" x14ac:dyDescent="0.2">
      <c r="A110" s="453">
        <f t="shared" si="27"/>
        <v>45261</v>
      </c>
      <c r="B110" s="30">
        <v>45261</v>
      </c>
      <c r="C110" s="16">
        <f t="shared" si="14"/>
        <v>0</v>
      </c>
      <c r="D110" s="16">
        <f t="shared" si="15"/>
        <v>0</v>
      </c>
      <c r="E110" s="16">
        <f t="shared" si="16"/>
        <v>0</v>
      </c>
      <c r="F110" s="16">
        <f t="shared" si="17"/>
        <v>0</v>
      </c>
      <c r="G110" s="16">
        <f t="shared" si="18"/>
        <v>0</v>
      </c>
      <c r="H110" s="16">
        <f t="shared" si="19"/>
        <v>0</v>
      </c>
      <c r="I110" s="16">
        <f t="shared" si="20"/>
        <v>0</v>
      </c>
      <c r="J110" s="16">
        <f t="shared" si="21"/>
        <v>0</v>
      </c>
      <c r="K110" s="16">
        <f t="shared" si="22"/>
        <v>0</v>
      </c>
      <c r="L110" s="16">
        <f t="shared" si="23"/>
        <v>0</v>
      </c>
      <c r="M110" s="16">
        <f t="shared" si="24"/>
        <v>0</v>
      </c>
      <c r="N110" s="16">
        <f t="shared" si="25"/>
        <v>0</v>
      </c>
      <c r="O110" s="16">
        <f t="shared" si="26"/>
        <v>0</v>
      </c>
      <c r="P110" s="16" t="str">
        <f>+IF(AND(B110&gt;='Relevé de la Régularisation'!$C$9,B110&lt;='Relevé de la Régularisation'!$D$14),"OUI","NON")</f>
        <v>OUI</v>
      </c>
      <c r="Q110" s="16">
        <f t="array" ref="Q110">IF(P110="OUI",MAX($Q$2:Q109)+1,"")</f>
        <v>108</v>
      </c>
    </row>
    <row r="111" spans="1:17" x14ac:dyDescent="0.2">
      <c r="A111" s="453">
        <f t="shared" si="27"/>
        <v>45292</v>
      </c>
      <c r="B111" s="30">
        <v>45292</v>
      </c>
      <c r="C111" s="16">
        <f t="shared" si="14"/>
        <v>0</v>
      </c>
      <c r="D111" s="16">
        <f t="shared" si="15"/>
        <v>0</v>
      </c>
      <c r="E111" s="16">
        <f t="shared" si="16"/>
        <v>0</v>
      </c>
      <c r="F111" s="16">
        <f t="shared" si="17"/>
        <v>0</v>
      </c>
      <c r="G111" s="16">
        <f t="shared" si="18"/>
        <v>0</v>
      </c>
      <c r="H111" s="16">
        <f t="shared" si="19"/>
        <v>0</v>
      </c>
      <c r="I111" s="16">
        <f t="shared" si="20"/>
        <v>0</v>
      </c>
      <c r="J111" s="16">
        <f t="shared" si="21"/>
        <v>0</v>
      </c>
      <c r="K111" s="16">
        <f t="shared" si="22"/>
        <v>0</v>
      </c>
      <c r="L111" s="16">
        <f t="shared" si="23"/>
        <v>0</v>
      </c>
      <c r="M111" s="16">
        <f t="shared" si="24"/>
        <v>0</v>
      </c>
      <c r="N111" s="16">
        <f t="shared" si="25"/>
        <v>0</v>
      </c>
      <c r="O111" s="16">
        <f t="shared" si="26"/>
        <v>0</v>
      </c>
      <c r="P111" s="16" t="str">
        <f>+IF(AND(B111&gt;='Relevé de la Régularisation'!$C$9,B111&lt;='Relevé de la Régularisation'!$D$14),"OUI","NON")</f>
        <v>OUI</v>
      </c>
      <c r="Q111" s="16">
        <f t="array" ref="Q111">IF(P111="OUI",MAX($Q$2:Q110)+1,"")</f>
        <v>109</v>
      </c>
    </row>
    <row r="112" spans="1:17" x14ac:dyDescent="0.2">
      <c r="A112" s="453">
        <f t="shared" si="27"/>
        <v>45323</v>
      </c>
      <c r="B112" s="30">
        <v>45323</v>
      </c>
      <c r="C112" s="16">
        <f t="shared" si="14"/>
        <v>0</v>
      </c>
      <c r="D112" s="16">
        <f t="shared" si="15"/>
        <v>0</v>
      </c>
      <c r="E112" s="16">
        <f t="shared" si="16"/>
        <v>0</v>
      </c>
      <c r="F112" s="16">
        <f t="shared" si="17"/>
        <v>0</v>
      </c>
      <c r="G112" s="16">
        <f t="shared" si="18"/>
        <v>0</v>
      </c>
      <c r="H112" s="16">
        <f t="shared" si="19"/>
        <v>0</v>
      </c>
      <c r="I112" s="16">
        <f t="shared" si="20"/>
        <v>0</v>
      </c>
      <c r="J112" s="16">
        <f t="shared" si="21"/>
        <v>0</v>
      </c>
      <c r="K112" s="16">
        <f t="shared" si="22"/>
        <v>0</v>
      </c>
      <c r="L112" s="16">
        <f t="shared" si="23"/>
        <v>0</v>
      </c>
      <c r="M112" s="16">
        <f t="shared" si="24"/>
        <v>0</v>
      </c>
      <c r="N112" s="16">
        <f t="shared" si="25"/>
        <v>0</v>
      </c>
      <c r="O112" s="16">
        <f t="shared" si="26"/>
        <v>0</v>
      </c>
      <c r="P112" s="16" t="str">
        <f>+IF(AND(B112&gt;='Relevé de la Régularisation'!$C$9,B112&lt;='Relevé de la Régularisation'!$D$14),"OUI","NON")</f>
        <v>OUI</v>
      </c>
      <c r="Q112" s="16">
        <f t="array" ref="Q112">IF(P112="OUI",MAX($Q$2:Q111)+1,"")</f>
        <v>110</v>
      </c>
    </row>
    <row r="113" spans="1:17" x14ac:dyDescent="0.2">
      <c r="A113" s="453">
        <f t="shared" si="27"/>
        <v>45352</v>
      </c>
      <c r="B113" s="30">
        <v>45352</v>
      </c>
      <c r="C113" s="16">
        <f t="shared" si="14"/>
        <v>0</v>
      </c>
      <c r="D113" s="16">
        <f t="shared" si="15"/>
        <v>0</v>
      </c>
      <c r="E113" s="16">
        <f t="shared" si="16"/>
        <v>0</v>
      </c>
      <c r="F113" s="16">
        <f t="shared" si="17"/>
        <v>0</v>
      </c>
      <c r="G113" s="16">
        <f t="shared" si="18"/>
        <v>0</v>
      </c>
      <c r="H113" s="16">
        <f t="shared" si="19"/>
        <v>0</v>
      </c>
      <c r="I113" s="16">
        <f t="shared" si="20"/>
        <v>0</v>
      </c>
      <c r="J113" s="16">
        <f t="shared" si="21"/>
        <v>0</v>
      </c>
      <c r="K113" s="16">
        <f t="shared" si="22"/>
        <v>0</v>
      </c>
      <c r="L113" s="16">
        <f t="shared" si="23"/>
        <v>0</v>
      </c>
      <c r="M113" s="16">
        <f t="shared" si="24"/>
        <v>0</v>
      </c>
      <c r="N113" s="16">
        <f t="shared" si="25"/>
        <v>0</v>
      </c>
      <c r="O113" s="16">
        <f t="shared" si="26"/>
        <v>0</v>
      </c>
      <c r="P113" s="16" t="str">
        <f>+IF(AND(B113&gt;='Relevé de la Régularisation'!$C$9,B113&lt;='Relevé de la Régularisation'!$D$14),"OUI","NON")</f>
        <v>OUI</v>
      </c>
      <c r="Q113" s="16">
        <f t="array" ref="Q113">IF(P113="OUI",MAX($Q$2:Q112)+1,"")</f>
        <v>111</v>
      </c>
    </row>
    <row r="114" spans="1:17" x14ac:dyDescent="0.2">
      <c r="A114" s="453">
        <f t="shared" si="27"/>
        <v>45383</v>
      </c>
      <c r="B114" s="30">
        <v>45383</v>
      </c>
      <c r="C114" s="16">
        <f t="shared" si="14"/>
        <v>0</v>
      </c>
      <c r="D114" s="16">
        <f t="shared" si="15"/>
        <v>0</v>
      </c>
      <c r="E114" s="16">
        <f t="shared" si="16"/>
        <v>0</v>
      </c>
      <c r="F114" s="16">
        <f t="shared" si="17"/>
        <v>0</v>
      </c>
      <c r="G114" s="16">
        <f t="shared" si="18"/>
        <v>0</v>
      </c>
      <c r="H114" s="16">
        <f t="shared" si="19"/>
        <v>0</v>
      </c>
      <c r="I114" s="16">
        <f t="shared" si="20"/>
        <v>0</v>
      </c>
      <c r="J114" s="16">
        <f t="shared" si="21"/>
        <v>0</v>
      </c>
      <c r="K114" s="16">
        <f t="shared" si="22"/>
        <v>0</v>
      </c>
      <c r="L114" s="16">
        <f t="shared" si="23"/>
        <v>0</v>
      </c>
      <c r="M114" s="16">
        <f t="shared" si="24"/>
        <v>0</v>
      </c>
      <c r="N114" s="16">
        <f t="shared" si="25"/>
        <v>0</v>
      </c>
      <c r="O114" s="16">
        <f t="shared" si="26"/>
        <v>0</v>
      </c>
      <c r="P114" s="16" t="str">
        <f>+IF(AND(B114&gt;='Relevé de la Régularisation'!$C$9,B114&lt;='Relevé de la Régularisation'!$D$14),"OUI","NON")</f>
        <v>OUI</v>
      </c>
      <c r="Q114" s="16">
        <f t="array" ref="Q114">IF(P114="OUI",MAX($Q$2:Q113)+1,"")</f>
        <v>112</v>
      </c>
    </row>
    <row r="115" spans="1:17" x14ac:dyDescent="0.2">
      <c r="A115" s="453">
        <f t="shared" si="27"/>
        <v>45413</v>
      </c>
      <c r="B115" s="30">
        <v>45413</v>
      </c>
      <c r="C115" s="16">
        <f t="shared" si="14"/>
        <v>0</v>
      </c>
      <c r="D115" s="16">
        <f t="shared" si="15"/>
        <v>0</v>
      </c>
      <c r="E115" s="16">
        <f t="shared" si="16"/>
        <v>0</v>
      </c>
      <c r="F115" s="16">
        <f t="shared" si="17"/>
        <v>0</v>
      </c>
      <c r="G115" s="16">
        <f t="shared" si="18"/>
        <v>0</v>
      </c>
      <c r="H115" s="16">
        <f t="shared" si="19"/>
        <v>0</v>
      </c>
      <c r="I115" s="16">
        <f t="shared" si="20"/>
        <v>0</v>
      </c>
      <c r="J115" s="16">
        <f t="shared" si="21"/>
        <v>0</v>
      </c>
      <c r="K115" s="16">
        <f t="shared" si="22"/>
        <v>0</v>
      </c>
      <c r="L115" s="16">
        <f t="shared" si="23"/>
        <v>0</v>
      </c>
      <c r="M115" s="16">
        <f t="shared" si="24"/>
        <v>0</v>
      </c>
      <c r="N115" s="16">
        <f t="shared" si="25"/>
        <v>0</v>
      </c>
      <c r="O115" s="16">
        <f t="shared" si="26"/>
        <v>0</v>
      </c>
      <c r="P115" s="16" t="str">
        <f>+IF(AND(B115&gt;='Relevé de la Régularisation'!$C$9,B115&lt;='Relevé de la Régularisation'!$D$14),"OUI","NON")</f>
        <v>OUI</v>
      </c>
      <c r="Q115" s="16">
        <f t="array" ref="Q115">IF(P115="OUI",MAX($Q$2:Q114)+1,"")</f>
        <v>113</v>
      </c>
    </row>
    <row r="116" spans="1:17" x14ac:dyDescent="0.2">
      <c r="A116" s="453">
        <f t="shared" si="27"/>
        <v>45444</v>
      </c>
      <c r="B116" s="30">
        <v>45444</v>
      </c>
      <c r="C116" s="16">
        <f t="shared" si="14"/>
        <v>0</v>
      </c>
      <c r="D116" s="16">
        <f t="shared" si="15"/>
        <v>0</v>
      </c>
      <c r="E116" s="16">
        <f t="shared" si="16"/>
        <v>0</v>
      </c>
      <c r="F116" s="16">
        <f t="shared" si="17"/>
        <v>0</v>
      </c>
      <c r="G116" s="16">
        <f t="shared" si="18"/>
        <v>0</v>
      </c>
      <c r="H116" s="16">
        <f t="shared" si="19"/>
        <v>0</v>
      </c>
      <c r="I116" s="16">
        <f t="shared" si="20"/>
        <v>0</v>
      </c>
      <c r="J116" s="16">
        <f t="shared" si="21"/>
        <v>0</v>
      </c>
      <c r="K116" s="16">
        <f t="shared" si="22"/>
        <v>0</v>
      </c>
      <c r="L116" s="16">
        <f t="shared" si="23"/>
        <v>0</v>
      </c>
      <c r="M116" s="16">
        <f t="shared" si="24"/>
        <v>0</v>
      </c>
      <c r="N116" s="16">
        <f t="shared" si="25"/>
        <v>0</v>
      </c>
      <c r="O116" s="16">
        <f t="shared" si="26"/>
        <v>0</v>
      </c>
      <c r="P116" s="16" t="str">
        <f>+IF(AND(B116&gt;='Relevé de la Régularisation'!$C$9,B116&lt;='Relevé de la Régularisation'!$D$14),"OUI","NON")</f>
        <v>OUI</v>
      </c>
      <c r="Q116" s="16">
        <f t="array" ref="Q116">IF(P116="OUI",MAX($Q$2:Q115)+1,"")</f>
        <v>114</v>
      </c>
    </row>
    <row r="117" spans="1:17" x14ac:dyDescent="0.2">
      <c r="A117" s="453">
        <f t="shared" si="27"/>
        <v>45474</v>
      </c>
      <c r="B117" s="30">
        <v>45474</v>
      </c>
      <c r="C117" s="16">
        <f t="shared" si="14"/>
        <v>0</v>
      </c>
      <c r="D117" s="16">
        <f t="shared" si="15"/>
        <v>0</v>
      </c>
      <c r="E117" s="16">
        <f t="shared" si="16"/>
        <v>0</v>
      </c>
      <c r="F117" s="16">
        <f t="shared" si="17"/>
        <v>0</v>
      </c>
      <c r="G117" s="16">
        <f t="shared" si="18"/>
        <v>0</v>
      </c>
      <c r="H117" s="16">
        <f t="shared" si="19"/>
        <v>0</v>
      </c>
      <c r="I117" s="16">
        <f t="shared" si="20"/>
        <v>0</v>
      </c>
      <c r="J117" s="16">
        <f t="shared" si="21"/>
        <v>0</v>
      </c>
      <c r="K117" s="16">
        <f t="shared" si="22"/>
        <v>0</v>
      </c>
      <c r="L117" s="16">
        <f t="shared" si="23"/>
        <v>0</v>
      </c>
      <c r="M117" s="16">
        <f t="shared" si="24"/>
        <v>0</v>
      </c>
      <c r="N117" s="16">
        <f t="shared" si="25"/>
        <v>0</v>
      </c>
      <c r="O117" s="16">
        <f t="shared" si="26"/>
        <v>0</v>
      </c>
      <c r="P117" s="16" t="str">
        <f>+IF(AND(B117&gt;='Relevé de la Régularisation'!$C$9,B117&lt;='Relevé de la Régularisation'!$D$14),"OUI","NON")</f>
        <v>OUI</v>
      </c>
      <c r="Q117" s="16">
        <f t="array" ref="Q117">IF(P117="OUI",MAX($Q$2:Q116)+1,"")</f>
        <v>115</v>
      </c>
    </row>
    <row r="118" spans="1:17" x14ac:dyDescent="0.2">
      <c r="A118" s="453">
        <f t="shared" si="27"/>
        <v>45505</v>
      </c>
      <c r="B118" s="30">
        <v>45505</v>
      </c>
      <c r="C118" s="16">
        <f t="shared" si="14"/>
        <v>0</v>
      </c>
      <c r="D118" s="16">
        <f t="shared" si="15"/>
        <v>0</v>
      </c>
      <c r="E118" s="16">
        <f t="shared" si="16"/>
        <v>0</v>
      </c>
      <c r="F118" s="16">
        <f t="shared" si="17"/>
        <v>0</v>
      </c>
      <c r="G118" s="16">
        <f t="shared" si="18"/>
        <v>0</v>
      </c>
      <c r="H118" s="16">
        <f t="shared" si="19"/>
        <v>0</v>
      </c>
      <c r="I118" s="16">
        <f t="shared" si="20"/>
        <v>0</v>
      </c>
      <c r="J118" s="16">
        <f t="shared" si="21"/>
        <v>0</v>
      </c>
      <c r="K118" s="16">
        <f t="shared" si="22"/>
        <v>0</v>
      </c>
      <c r="L118" s="16">
        <f t="shared" si="23"/>
        <v>0</v>
      </c>
      <c r="M118" s="16">
        <f t="shared" si="24"/>
        <v>0</v>
      </c>
      <c r="N118" s="16">
        <f t="shared" si="25"/>
        <v>0</v>
      </c>
      <c r="O118" s="16">
        <f t="shared" si="26"/>
        <v>0</v>
      </c>
      <c r="P118" s="16" t="str">
        <f>+IF(AND(B118&gt;='Relevé de la Régularisation'!$C$9,B118&lt;='Relevé de la Régularisation'!$D$14),"OUI","NON")</f>
        <v>OUI</v>
      </c>
      <c r="Q118" s="16">
        <f t="array" ref="Q118">IF(P118="OUI",MAX($Q$2:Q117)+1,"")</f>
        <v>116</v>
      </c>
    </row>
    <row r="119" spans="1:17" x14ac:dyDescent="0.2">
      <c r="A119" s="453">
        <f t="shared" si="27"/>
        <v>45536</v>
      </c>
      <c r="B119" s="30">
        <v>45536</v>
      </c>
      <c r="C119" s="16">
        <f t="shared" si="14"/>
        <v>0</v>
      </c>
      <c r="D119" s="16">
        <f t="shared" si="15"/>
        <v>0</v>
      </c>
      <c r="E119" s="16">
        <f t="shared" si="16"/>
        <v>0</v>
      </c>
      <c r="F119" s="16">
        <f t="shared" si="17"/>
        <v>0</v>
      </c>
      <c r="G119" s="16">
        <f t="shared" si="18"/>
        <v>0</v>
      </c>
      <c r="H119" s="16">
        <f t="shared" si="19"/>
        <v>0</v>
      </c>
      <c r="I119" s="16">
        <f t="shared" si="20"/>
        <v>0</v>
      </c>
      <c r="J119" s="16">
        <f t="shared" si="21"/>
        <v>0</v>
      </c>
      <c r="K119" s="16">
        <f t="shared" si="22"/>
        <v>0</v>
      </c>
      <c r="L119" s="16">
        <f t="shared" si="23"/>
        <v>0</v>
      </c>
      <c r="M119" s="16">
        <f t="shared" si="24"/>
        <v>0</v>
      </c>
      <c r="N119" s="16">
        <f t="shared" si="25"/>
        <v>0</v>
      </c>
      <c r="O119" s="16">
        <f t="shared" si="26"/>
        <v>0</v>
      </c>
      <c r="P119" s="16" t="str">
        <f>+IF(AND(B119&gt;='Relevé de la Régularisation'!$C$9,B119&lt;='Relevé de la Régularisation'!$D$14),"OUI","NON")</f>
        <v>OUI</v>
      </c>
      <c r="Q119" s="16">
        <f t="array" ref="Q119">IF(P119="OUI",MAX($Q$2:Q118)+1,"")</f>
        <v>117</v>
      </c>
    </row>
    <row r="120" spans="1:17" x14ac:dyDescent="0.2">
      <c r="A120" s="453">
        <f t="shared" si="27"/>
        <v>45566</v>
      </c>
      <c r="B120" s="30">
        <v>45566</v>
      </c>
      <c r="C120" s="16">
        <f t="shared" si="14"/>
        <v>0</v>
      </c>
      <c r="D120" s="16">
        <f t="shared" si="15"/>
        <v>0</v>
      </c>
      <c r="E120" s="16">
        <f t="shared" si="16"/>
        <v>0</v>
      </c>
      <c r="F120" s="16">
        <f t="shared" si="17"/>
        <v>0</v>
      </c>
      <c r="G120" s="16">
        <f t="shared" si="18"/>
        <v>0</v>
      </c>
      <c r="H120" s="16">
        <f t="shared" si="19"/>
        <v>0</v>
      </c>
      <c r="I120" s="16">
        <f t="shared" si="20"/>
        <v>0</v>
      </c>
      <c r="J120" s="16">
        <f t="shared" si="21"/>
        <v>0</v>
      </c>
      <c r="K120" s="16">
        <f t="shared" si="22"/>
        <v>0</v>
      </c>
      <c r="L120" s="16">
        <f t="shared" si="23"/>
        <v>0</v>
      </c>
      <c r="M120" s="16">
        <f t="shared" si="24"/>
        <v>0</v>
      </c>
      <c r="N120" s="16">
        <f t="shared" si="25"/>
        <v>0</v>
      </c>
      <c r="O120" s="16">
        <f t="shared" si="26"/>
        <v>0</v>
      </c>
      <c r="P120" s="16" t="str">
        <f>+IF(AND(B120&gt;='Relevé de la Régularisation'!$C$9,B120&lt;='Relevé de la Régularisation'!$D$14),"OUI","NON")</f>
        <v>OUI</v>
      </c>
      <c r="Q120" s="16">
        <f t="array" ref="Q120">IF(P120="OUI",MAX($Q$2:Q119)+1,"")</f>
        <v>118</v>
      </c>
    </row>
    <row r="121" spans="1:17" x14ac:dyDescent="0.2">
      <c r="A121" s="453">
        <f t="shared" si="27"/>
        <v>45597</v>
      </c>
      <c r="B121" s="30">
        <v>45597</v>
      </c>
      <c r="C121" s="16">
        <f t="shared" si="14"/>
        <v>0</v>
      </c>
      <c r="D121" s="16">
        <f t="shared" si="15"/>
        <v>0</v>
      </c>
      <c r="E121" s="16">
        <f t="shared" si="16"/>
        <v>0</v>
      </c>
      <c r="F121" s="16">
        <f t="shared" si="17"/>
        <v>0</v>
      </c>
      <c r="G121" s="16">
        <f t="shared" si="18"/>
        <v>0</v>
      </c>
      <c r="H121" s="16">
        <f t="shared" si="19"/>
        <v>0</v>
      </c>
      <c r="I121" s="16">
        <f t="shared" si="20"/>
        <v>0</v>
      </c>
      <c r="J121" s="16">
        <f t="shared" si="21"/>
        <v>0</v>
      </c>
      <c r="K121" s="16">
        <f t="shared" si="22"/>
        <v>0</v>
      </c>
      <c r="L121" s="16">
        <f t="shared" si="23"/>
        <v>0</v>
      </c>
      <c r="M121" s="16">
        <f t="shared" si="24"/>
        <v>0</v>
      </c>
      <c r="N121" s="16">
        <f t="shared" si="25"/>
        <v>0</v>
      </c>
      <c r="O121" s="16">
        <f t="shared" si="26"/>
        <v>0</v>
      </c>
      <c r="P121" s="16" t="str">
        <f>+IF(AND(B121&gt;='Relevé de la Régularisation'!$C$9,B121&lt;='Relevé de la Régularisation'!$D$14),"OUI","NON")</f>
        <v>OUI</v>
      </c>
      <c r="Q121" s="16">
        <f t="array" ref="Q121">IF(P121="OUI",MAX($Q$2:Q120)+1,"")</f>
        <v>119</v>
      </c>
    </row>
    <row r="122" spans="1:17" x14ac:dyDescent="0.2">
      <c r="A122" s="453">
        <f t="shared" si="27"/>
        <v>45627</v>
      </c>
      <c r="B122" s="30">
        <v>45627</v>
      </c>
      <c r="C122" s="16">
        <f t="shared" si="14"/>
        <v>0</v>
      </c>
      <c r="D122" s="16">
        <f t="shared" si="15"/>
        <v>0</v>
      </c>
      <c r="E122" s="16">
        <f t="shared" si="16"/>
        <v>0</v>
      </c>
      <c r="F122" s="16">
        <f t="shared" si="17"/>
        <v>0</v>
      </c>
      <c r="G122" s="16">
        <f t="shared" si="18"/>
        <v>0</v>
      </c>
      <c r="H122" s="16">
        <f t="shared" si="19"/>
        <v>0</v>
      </c>
      <c r="I122" s="16">
        <f t="shared" si="20"/>
        <v>0</v>
      </c>
      <c r="J122" s="16">
        <f t="shared" si="21"/>
        <v>0</v>
      </c>
      <c r="K122" s="16">
        <f t="shared" si="22"/>
        <v>0</v>
      </c>
      <c r="L122" s="16">
        <f t="shared" si="23"/>
        <v>0</v>
      </c>
      <c r="M122" s="16">
        <f t="shared" si="24"/>
        <v>0</v>
      </c>
      <c r="N122" s="16">
        <f t="shared" si="25"/>
        <v>0</v>
      </c>
      <c r="O122" s="16">
        <f t="shared" si="26"/>
        <v>0</v>
      </c>
      <c r="P122" s="16" t="str">
        <f>+IF(AND(B122&gt;='Relevé de la Régularisation'!$C$9,B122&lt;='Relevé de la Régularisation'!$D$14),"OUI","NON")</f>
        <v>OUI</v>
      </c>
      <c r="Q122" s="16">
        <f t="array" ref="Q122">IF(P122="OUI",MAX($Q$2:Q121)+1,"")</f>
        <v>120</v>
      </c>
    </row>
    <row r="123" spans="1:17" x14ac:dyDescent="0.2">
      <c r="A123" s="453">
        <f t="shared" si="27"/>
        <v>45658</v>
      </c>
      <c r="B123" s="30">
        <v>45658</v>
      </c>
      <c r="C123" s="16">
        <f t="shared" si="14"/>
        <v>0</v>
      </c>
      <c r="D123" s="16">
        <f t="shared" si="15"/>
        <v>0</v>
      </c>
      <c r="E123" s="16">
        <f t="shared" si="16"/>
        <v>0</v>
      </c>
      <c r="F123" s="16">
        <f t="shared" si="17"/>
        <v>0</v>
      </c>
      <c r="G123" s="16">
        <f t="shared" si="18"/>
        <v>0</v>
      </c>
      <c r="H123" s="16">
        <f t="shared" si="19"/>
        <v>0</v>
      </c>
      <c r="I123" s="16">
        <f t="shared" si="20"/>
        <v>0</v>
      </c>
      <c r="J123" s="16">
        <f t="shared" si="21"/>
        <v>0</v>
      </c>
      <c r="K123" s="16">
        <f t="shared" si="22"/>
        <v>0</v>
      </c>
      <c r="L123" s="16">
        <f t="shared" si="23"/>
        <v>0</v>
      </c>
      <c r="M123" s="16">
        <f t="shared" si="24"/>
        <v>0</v>
      </c>
      <c r="N123" s="16">
        <f t="shared" si="25"/>
        <v>0</v>
      </c>
      <c r="O123" s="16">
        <f t="shared" si="26"/>
        <v>0</v>
      </c>
      <c r="P123" s="16" t="str">
        <f>+IF(AND(B123&gt;='Relevé de la Régularisation'!$C$9,B123&lt;='Relevé de la Régularisation'!$D$14),"OUI","NON")</f>
        <v>OUI</v>
      </c>
      <c r="Q123" s="16">
        <f t="array" ref="Q123">IF(P123="OUI",MAX($Q$2:Q122)+1,"")</f>
        <v>121</v>
      </c>
    </row>
    <row r="124" spans="1:17" x14ac:dyDescent="0.2">
      <c r="A124" s="453">
        <f t="shared" si="27"/>
        <v>45689</v>
      </c>
      <c r="B124" s="30">
        <v>45689</v>
      </c>
      <c r="C124" s="16">
        <f t="shared" si="14"/>
        <v>0</v>
      </c>
      <c r="D124" s="16">
        <f t="shared" si="15"/>
        <v>0</v>
      </c>
      <c r="E124" s="16">
        <f t="shared" si="16"/>
        <v>0</v>
      </c>
      <c r="F124" s="16">
        <f t="shared" si="17"/>
        <v>0</v>
      </c>
      <c r="G124" s="16">
        <f t="shared" si="18"/>
        <v>0</v>
      </c>
      <c r="H124" s="16">
        <f t="shared" si="19"/>
        <v>0</v>
      </c>
      <c r="I124" s="16">
        <f t="shared" si="20"/>
        <v>0</v>
      </c>
      <c r="J124" s="16">
        <f t="shared" si="21"/>
        <v>0</v>
      </c>
      <c r="K124" s="16">
        <f t="shared" si="22"/>
        <v>0</v>
      </c>
      <c r="L124" s="16">
        <f t="shared" si="23"/>
        <v>0</v>
      </c>
      <c r="M124" s="16">
        <f t="shared" si="24"/>
        <v>0</v>
      </c>
      <c r="N124" s="16">
        <f t="shared" si="25"/>
        <v>0</v>
      </c>
      <c r="O124" s="16">
        <f t="shared" si="26"/>
        <v>0</v>
      </c>
      <c r="P124" s="16" t="str">
        <f>+IF(AND(B124&gt;='Relevé de la Régularisation'!$C$9,B124&lt;='Relevé de la Régularisation'!$D$14),"OUI","NON")</f>
        <v>OUI</v>
      </c>
      <c r="Q124" s="16">
        <f t="array" ref="Q124">IF(P124="OUI",MAX($Q$2:Q123)+1,"")</f>
        <v>122</v>
      </c>
    </row>
    <row r="125" spans="1:17" x14ac:dyDescent="0.2">
      <c r="A125" s="453">
        <f t="shared" si="27"/>
        <v>45717</v>
      </c>
      <c r="B125" s="30">
        <v>45717</v>
      </c>
      <c r="C125" s="16">
        <f t="shared" si="14"/>
        <v>0</v>
      </c>
      <c r="D125" s="16">
        <f t="shared" si="15"/>
        <v>0</v>
      </c>
      <c r="E125" s="16">
        <f t="shared" si="16"/>
        <v>0</v>
      </c>
      <c r="F125" s="16">
        <f t="shared" si="17"/>
        <v>0</v>
      </c>
      <c r="G125" s="16">
        <f t="shared" si="18"/>
        <v>0</v>
      </c>
      <c r="H125" s="16">
        <f t="shared" si="19"/>
        <v>0</v>
      </c>
      <c r="I125" s="16">
        <f t="shared" si="20"/>
        <v>0</v>
      </c>
      <c r="J125" s="16">
        <f t="shared" si="21"/>
        <v>0</v>
      </c>
      <c r="K125" s="16">
        <f t="shared" si="22"/>
        <v>0</v>
      </c>
      <c r="L125" s="16">
        <f t="shared" si="23"/>
        <v>0</v>
      </c>
      <c r="M125" s="16">
        <f t="shared" si="24"/>
        <v>0</v>
      </c>
      <c r="N125" s="16">
        <f t="shared" si="25"/>
        <v>0</v>
      </c>
      <c r="O125" s="16">
        <f t="shared" si="26"/>
        <v>0</v>
      </c>
      <c r="P125" s="16" t="str">
        <f>+IF(AND(B125&gt;='Relevé de la Régularisation'!$C$9,B125&lt;='Relevé de la Régularisation'!$D$14),"OUI","NON")</f>
        <v>OUI</v>
      </c>
      <c r="Q125" s="16">
        <f t="array" ref="Q125">IF(P125="OUI",MAX($Q$2:Q124)+1,"")</f>
        <v>123</v>
      </c>
    </row>
    <row r="126" spans="1:17" x14ac:dyDescent="0.2">
      <c r="A126" s="453">
        <f t="shared" si="27"/>
        <v>45748</v>
      </c>
      <c r="B126" s="30">
        <v>45748</v>
      </c>
      <c r="C126" s="16">
        <f t="shared" si="14"/>
        <v>0</v>
      </c>
      <c r="D126" s="16">
        <f t="shared" si="15"/>
        <v>0</v>
      </c>
      <c r="E126" s="16">
        <f t="shared" si="16"/>
        <v>0</v>
      </c>
      <c r="F126" s="16">
        <f t="shared" si="17"/>
        <v>0</v>
      </c>
      <c r="G126" s="16">
        <f t="shared" si="18"/>
        <v>0</v>
      </c>
      <c r="H126" s="16">
        <f t="shared" si="19"/>
        <v>0</v>
      </c>
      <c r="I126" s="16">
        <f t="shared" si="20"/>
        <v>0</v>
      </c>
      <c r="J126" s="16">
        <f t="shared" si="21"/>
        <v>0</v>
      </c>
      <c r="K126" s="16">
        <f t="shared" si="22"/>
        <v>0</v>
      </c>
      <c r="L126" s="16">
        <f t="shared" si="23"/>
        <v>0</v>
      </c>
      <c r="M126" s="16">
        <f t="shared" si="24"/>
        <v>0</v>
      </c>
      <c r="N126" s="16">
        <f t="shared" si="25"/>
        <v>0</v>
      </c>
      <c r="O126" s="16">
        <f t="shared" si="26"/>
        <v>0</v>
      </c>
      <c r="P126" s="16" t="str">
        <f>+IF(AND(B126&gt;='Relevé de la Régularisation'!$C$9,B126&lt;='Relevé de la Régularisation'!$D$14),"OUI","NON")</f>
        <v>OUI</v>
      </c>
      <c r="Q126" s="16">
        <f t="array" ref="Q126">IF(P126="OUI",MAX($Q$2:Q125)+1,"")</f>
        <v>124</v>
      </c>
    </row>
    <row r="127" spans="1:17" x14ac:dyDescent="0.2">
      <c r="A127" s="453">
        <f t="shared" si="27"/>
        <v>45778</v>
      </c>
      <c r="B127" s="30">
        <v>45778</v>
      </c>
      <c r="C127" s="16">
        <f t="shared" si="14"/>
        <v>0</v>
      </c>
      <c r="D127" s="16">
        <f t="shared" si="15"/>
        <v>0</v>
      </c>
      <c r="E127" s="16">
        <f t="shared" si="16"/>
        <v>0</v>
      </c>
      <c r="F127" s="16">
        <f t="shared" si="17"/>
        <v>0</v>
      </c>
      <c r="G127" s="16">
        <f t="shared" si="18"/>
        <v>0</v>
      </c>
      <c r="H127" s="16">
        <f t="shared" si="19"/>
        <v>0</v>
      </c>
      <c r="I127" s="16">
        <f t="shared" si="20"/>
        <v>0</v>
      </c>
      <c r="J127" s="16">
        <f t="shared" si="21"/>
        <v>0</v>
      </c>
      <c r="K127" s="16">
        <f t="shared" si="22"/>
        <v>0</v>
      </c>
      <c r="L127" s="16">
        <f t="shared" si="23"/>
        <v>0</v>
      </c>
      <c r="M127" s="16">
        <f t="shared" si="24"/>
        <v>0</v>
      </c>
      <c r="N127" s="16">
        <f t="shared" si="25"/>
        <v>0</v>
      </c>
      <c r="O127" s="16">
        <f t="shared" si="26"/>
        <v>0</v>
      </c>
      <c r="P127" s="16" t="str">
        <f>+IF(AND(B127&gt;='Relevé de la Régularisation'!$C$9,B127&lt;='Relevé de la Régularisation'!$D$14),"OUI","NON")</f>
        <v>OUI</v>
      </c>
      <c r="Q127" s="16">
        <f t="array" ref="Q127">IF(P127="OUI",MAX($Q$2:Q126)+1,"")</f>
        <v>125</v>
      </c>
    </row>
    <row r="128" spans="1:17" x14ac:dyDescent="0.2">
      <c r="A128" s="453">
        <f t="shared" si="27"/>
        <v>45809</v>
      </c>
      <c r="B128" s="30">
        <v>45809</v>
      </c>
      <c r="C128" s="16">
        <f t="shared" si="14"/>
        <v>0</v>
      </c>
      <c r="D128" s="16">
        <f t="shared" si="15"/>
        <v>0</v>
      </c>
      <c r="E128" s="16">
        <f t="shared" si="16"/>
        <v>0</v>
      </c>
      <c r="F128" s="16">
        <f t="shared" si="17"/>
        <v>0</v>
      </c>
      <c r="G128" s="16">
        <f t="shared" si="18"/>
        <v>0</v>
      </c>
      <c r="H128" s="16">
        <f t="shared" si="19"/>
        <v>0</v>
      </c>
      <c r="I128" s="16">
        <f t="shared" si="20"/>
        <v>0</v>
      </c>
      <c r="J128" s="16">
        <f t="shared" si="21"/>
        <v>0</v>
      </c>
      <c r="K128" s="16">
        <f t="shared" si="22"/>
        <v>0</v>
      </c>
      <c r="L128" s="16">
        <f t="shared" si="23"/>
        <v>0</v>
      </c>
      <c r="M128" s="16">
        <f t="shared" si="24"/>
        <v>0</v>
      </c>
      <c r="N128" s="16">
        <f t="shared" si="25"/>
        <v>0</v>
      </c>
      <c r="O128" s="16">
        <f t="shared" si="26"/>
        <v>0</v>
      </c>
      <c r="P128" s="16" t="str">
        <f>+IF(AND(B128&gt;='Relevé de la Régularisation'!$C$9,B128&lt;='Relevé de la Régularisation'!$D$14),"OUI","NON")</f>
        <v>OUI</v>
      </c>
      <c r="Q128" s="16">
        <f t="array" ref="Q128">IF(P128="OUI",MAX($Q$2:Q127)+1,"")</f>
        <v>126</v>
      </c>
    </row>
    <row r="129" spans="1:17" x14ac:dyDescent="0.2">
      <c r="A129" s="453">
        <f t="shared" si="27"/>
        <v>45839</v>
      </c>
      <c r="B129" s="30">
        <v>45839</v>
      </c>
      <c r="C129" s="16">
        <f t="shared" si="14"/>
        <v>0</v>
      </c>
      <c r="D129" s="16">
        <f t="shared" si="15"/>
        <v>0</v>
      </c>
      <c r="E129" s="16">
        <f t="shared" si="16"/>
        <v>0</v>
      </c>
      <c r="F129" s="16">
        <f t="shared" si="17"/>
        <v>0</v>
      </c>
      <c r="G129" s="16">
        <f t="shared" si="18"/>
        <v>0</v>
      </c>
      <c r="H129" s="16">
        <f t="shared" si="19"/>
        <v>0</v>
      </c>
      <c r="I129" s="16">
        <f t="shared" si="20"/>
        <v>0</v>
      </c>
      <c r="J129" s="16">
        <f t="shared" si="21"/>
        <v>0</v>
      </c>
      <c r="K129" s="16">
        <f t="shared" si="22"/>
        <v>0</v>
      </c>
      <c r="L129" s="16">
        <f t="shared" si="23"/>
        <v>0</v>
      </c>
      <c r="M129" s="16">
        <f t="shared" si="24"/>
        <v>0</v>
      </c>
      <c r="N129" s="16">
        <f t="shared" si="25"/>
        <v>0</v>
      </c>
      <c r="O129" s="16">
        <f t="shared" si="26"/>
        <v>0</v>
      </c>
      <c r="P129" s="16" t="str">
        <f>+IF(AND(B129&gt;='Relevé de la Régularisation'!$C$9,B129&lt;='Relevé de la Régularisation'!$D$14),"OUI","NON")</f>
        <v>OUI</v>
      </c>
      <c r="Q129" s="16">
        <f t="array" ref="Q129">IF(P129="OUI",MAX($Q$2:Q128)+1,"")</f>
        <v>127</v>
      </c>
    </row>
    <row r="130" spans="1:17" x14ac:dyDescent="0.2">
      <c r="A130" s="453">
        <f t="shared" si="27"/>
        <v>45870</v>
      </c>
      <c r="B130" s="30">
        <v>45870</v>
      </c>
      <c r="C130" s="16">
        <f t="shared" si="14"/>
        <v>0</v>
      </c>
      <c r="D130" s="16">
        <f t="shared" si="15"/>
        <v>0</v>
      </c>
      <c r="E130" s="16">
        <f t="shared" si="16"/>
        <v>0</v>
      </c>
      <c r="F130" s="16">
        <f t="shared" si="17"/>
        <v>0</v>
      </c>
      <c r="G130" s="16">
        <f t="shared" si="18"/>
        <v>0</v>
      </c>
      <c r="H130" s="16">
        <f t="shared" si="19"/>
        <v>0</v>
      </c>
      <c r="I130" s="16">
        <f t="shared" si="20"/>
        <v>0</v>
      </c>
      <c r="J130" s="16">
        <f t="shared" si="21"/>
        <v>0</v>
      </c>
      <c r="K130" s="16">
        <f t="shared" si="22"/>
        <v>0</v>
      </c>
      <c r="L130" s="16">
        <f t="shared" si="23"/>
        <v>0</v>
      </c>
      <c r="M130" s="16">
        <f t="shared" si="24"/>
        <v>0</v>
      </c>
      <c r="N130" s="16">
        <f t="shared" si="25"/>
        <v>0</v>
      </c>
      <c r="O130" s="16">
        <f t="shared" si="26"/>
        <v>0</v>
      </c>
      <c r="P130" s="16" t="str">
        <f>+IF(AND(B130&gt;='Relevé de la Régularisation'!$C$9,B130&lt;='Relevé de la Régularisation'!$D$14),"OUI","NON")</f>
        <v>OUI</v>
      </c>
      <c r="Q130" s="16">
        <f t="array" ref="Q130">IF(P130="OUI",MAX($Q$2:Q129)+1,"")</f>
        <v>128</v>
      </c>
    </row>
    <row r="131" spans="1:17" x14ac:dyDescent="0.2">
      <c r="A131" s="453">
        <f t="shared" si="27"/>
        <v>45901</v>
      </c>
      <c r="B131" s="30">
        <v>45901</v>
      </c>
      <c r="C131" s="16">
        <f t="shared" ref="C131:C194" si="28">IFERROR(+VLOOKUP(B131,BDD,41,FALSE),0)</f>
        <v>0</v>
      </c>
      <c r="D131" s="16">
        <f t="shared" ref="D131:D194" si="29">IFERROR(+VLOOKUP(B131,BDD,42,FALSE),0)</f>
        <v>0</v>
      </c>
      <c r="E131" s="16">
        <f t="shared" ref="E131:E194" si="30">IFERROR(+VLOOKUP(B131,BDD,43,FALSE),0)</f>
        <v>0</v>
      </c>
      <c r="F131" s="16">
        <f t="shared" ref="F131:F194" si="31">IFERROR(+VLOOKUP(B131,BDD,44,FALSE),0)</f>
        <v>0</v>
      </c>
      <c r="G131" s="16">
        <f t="shared" ref="G131:G194" si="32">IFERROR(+VLOOKUP(B131,BDD,45,FALSE),0)</f>
        <v>0</v>
      </c>
      <c r="H131" s="16">
        <f t="shared" ref="H131:H194" si="33">IFERROR(+VLOOKUP(B131,BDD,46,FALSE),0)</f>
        <v>0</v>
      </c>
      <c r="I131" s="16">
        <f t="shared" ref="I131:I194" si="34">IFERROR(+VLOOKUP(B131,BDD,47,FALSE),0)</f>
        <v>0</v>
      </c>
      <c r="J131" s="16">
        <f t="shared" ref="J131:J194" si="35">IFERROR(+VLOOKUP(B131,BDD,48,FALSE),0)</f>
        <v>0</v>
      </c>
      <c r="K131" s="16">
        <f t="shared" ref="K131:K194" si="36">IFERROR(+VLOOKUP(B131,BDD,49,FALSE),0)</f>
        <v>0</v>
      </c>
      <c r="L131" s="16">
        <f t="shared" ref="L131:L194" si="37">IFERROR(+VLOOKUP(B131,BDD,50,FALSE),0)</f>
        <v>0</v>
      </c>
      <c r="M131" s="16">
        <f t="shared" ref="M131:M194" si="38">IFERROR(+VLOOKUP(B131,BDD,51,FALSE),0)</f>
        <v>0</v>
      </c>
      <c r="N131" s="16">
        <f t="shared" ref="N131:N194" si="39">IFERROR(+VLOOKUP(B131,BDD,22,FALSE),0)</f>
        <v>0</v>
      </c>
      <c r="O131" s="16">
        <f t="shared" ref="O131:O194" si="40">IFERROR(+VLOOKUP(B131,BDD,101,FALSE),0)</f>
        <v>0</v>
      </c>
      <c r="P131" s="16" t="str">
        <f>+IF(AND(B131&gt;='Relevé de la Régularisation'!$C$9,B131&lt;='Relevé de la Régularisation'!$D$14),"OUI","NON")</f>
        <v>OUI</v>
      </c>
      <c r="Q131" s="16">
        <f t="array" ref="Q131">IF(P131="OUI",MAX($Q$2:Q130)+1,"")</f>
        <v>129</v>
      </c>
    </row>
    <row r="132" spans="1:17" x14ac:dyDescent="0.2">
      <c r="A132" s="453">
        <f t="shared" ref="A132:A195" si="41">+B132</f>
        <v>45931</v>
      </c>
      <c r="B132" s="30">
        <v>45931</v>
      </c>
      <c r="C132" s="16">
        <f t="shared" si="28"/>
        <v>0</v>
      </c>
      <c r="D132" s="16">
        <f t="shared" si="29"/>
        <v>0</v>
      </c>
      <c r="E132" s="16">
        <f t="shared" si="30"/>
        <v>0</v>
      </c>
      <c r="F132" s="16">
        <f t="shared" si="31"/>
        <v>0</v>
      </c>
      <c r="G132" s="16">
        <f t="shared" si="32"/>
        <v>0</v>
      </c>
      <c r="H132" s="16">
        <f t="shared" si="33"/>
        <v>0</v>
      </c>
      <c r="I132" s="16">
        <f t="shared" si="34"/>
        <v>0</v>
      </c>
      <c r="J132" s="16">
        <f t="shared" si="35"/>
        <v>0</v>
      </c>
      <c r="K132" s="16">
        <f t="shared" si="36"/>
        <v>0</v>
      </c>
      <c r="L132" s="16">
        <f t="shared" si="37"/>
        <v>0</v>
      </c>
      <c r="M132" s="16">
        <f t="shared" si="38"/>
        <v>0</v>
      </c>
      <c r="N132" s="16">
        <f t="shared" si="39"/>
        <v>0</v>
      </c>
      <c r="O132" s="16">
        <f t="shared" si="40"/>
        <v>0</v>
      </c>
      <c r="P132" s="16" t="str">
        <f>+IF(AND(B132&gt;='Relevé de la Régularisation'!$C$9,B132&lt;='Relevé de la Régularisation'!$D$14),"OUI","NON")</f>
        <v>OUI</v>
      </c>
      <c r="Q132" s="16">
        <f t="array" ref="Q132">IF(P132="OUI",MAX($Q$2:Q131)+1,"")</f>
        <v>130</v>
      </c>
    </row>
    <row r="133" spans="1:17" x14ac:dyDescent="0.2">
      <c r="A133" s="453">
        <f t="shared" si="41"/>
        <v>45962</v>
      </c>
      <c r="B133" s="30">
        <v>45962</v>
      </c>
      <c r="C133" s="16">
        <f t="shared" si="28"/>
        <v>0</v>
      </c>
      <c r="D133" s="16">
        <f t="shared" si="29"/>
        <v>0</v>
      </c>
      <c r="E133" s="16">
        <f t="shared" si="30"/>
        <v>0</v>
      </c>
      <c r="F133" s="16">
        <f t="shared" si="31"/>
        <v>0</v>
      </c>
      <c r="G133" s="16">
        <f t="shared" si="32"/>
        <v>0</v>
      </c>
      <c r="H133" s="16">
        <f t="shared" si="33"/>
        <v>0</v>
      </c>
      <c r="I133" s="16">
        <f t="shared" si="34"/>
        <v>0</v>
      </c>
      <c r="J133" s="16">
        <f t="shared" si="35"/>
        <v>0</v>
      </c>
      <c r="K133" s="16">
        <f t="shared" si="36"/>
        <v>0</v>
      </c>
      <c r="L133" s="16">
        <f t="shared" si="37"/>
        <v>0</v>
      </c>
      <c r="M133" s="16">
        <f t="shared" si="38"/>
        <v>0</v>
      </c>
      <c r="N133" s="16">
        <f t="shared" si="39"/>
        <v>0</v>
      </c>
      <c r="O133" s="16">
        <f t="shared" si="40"/>
        <v>0</v>
      </c>
      <c r="P133" s="16" t="str">
        <f>+IF(AND(B133&gt;='Relevé de la Régularisation'!$C$9,B133&lt;='Relevé de la Régularisation'!$D$14),"OUI","NON")</f>
        <v>OUI</v>
      </c>
      <c r="Q133" s="16">
        <f t="array" ref="Q133">IF(P133="OUI",MAX($Q$2:Q132)+1,"")</f>
        <v>131</v>
      </c>
    </row>
    <row r="134" spans="1:17" x14ac:dyDescent="0.2">
      <c r="A134" s="453">
        <f t="shared" si="41"/>
        <v>45992</v>
      </c>
      <c r="B134" s="30">
        <v>45992</v>
      </c>
      <c r="C134" s="16">
        <f t="shared" si="28"/>
        <v>0</v>
      </c>
      <c r="D134" s="16">
        <f t="shared" si="29"/>
        <v>0</v>
      </c>
      <c r="E134" s="16">
        <f t="shared" si="30"/>
        <v>0</v>
      </c>
      <c r="F134" s="16">
        <f t="shared" si="31"/>
        <v>0</v>
      </c>
      <c r="G134" s="16">
        <f t="shared" si="32"/>
        <v>0</v>
      </c>
      <c r="H134" s="16">
        <f t="shared" si="33"/>
        <v>0</v>
      </c>
      <c r="I134" s="16">
        <f t="shared" si="34"/>
        <v>0</v>
      </c>
      <c r="J134" s="16">
        <f t="shared" si="35"/>
        <v>0</v>
      </c>
      <c r="K134" s="16">
        <f t="shared" si="36"/>
        <v>0</v>
      </c>
      <c r="L134" s="16">
        <f t="shared" si="37"/>
        <v>0</v>
      </c>
      <c r="M134" s="16">
        <f t="shared" si="38"/>
        <v>0</v>
      </c>
      <c r="N134" s="16">
        <f t="shared" si="39"/>
        <v>0</v>
      </c>
      <c r="O134" s="16">
        <f t="shared" si="40"/>
        <v>0</v>
      </c>
      <c r="P134" s="16" t="str">
        <f>+IF(AND(B134&gt;='Relevé de la Régularisation'!$C$9,B134&lt;='Relevé de la Régularisation'!$D$14),"OUI","NON")</f>
        <v>OUI</v>
      </c>
      <c r="Q134" s="16">
        <f t="array" ref="Q134">IF(P134="OUI",MAX($Q$2:Q133)+1,"")</f>
        <v>132</v>
      </c>
    </row>
    <row r="135" spans="1:17" x14ac:dyDescent="0.2">
      <c r="A135" s="453">
        <f t="shared" si="41"/>
        <v>46023</v>
      </c>
      <c r="B135" s="30">
        <v>46023</v>
      </c>
      <c r="C135" s="16">
        <f t="shared" ca="1" si="28"/>
        <v>0</v>
      </c>
      <c r="D135" s="16">
        <f t="shared" ca="1" si="29"/>
        <v>0</v>
      </c>
      <c r="E135" s="16">
        <f t="shared" si="30"/>
        <v>0</v>
      </c>
      <c r="F135" s="16">
        <f t="shared" si="31"/>
        <v>0</v>
      </c>
      <c r="G135" s="16">
        <f t="shared" ca="1" si="32"/>
        <v>0</v>
      </c>
      <c r="H135" s="16">
        <f t="shared" ca="1" si="33"/>
        <v>0</v>
      </c>
      <c r="I135" s="16">
        <f t="shared" ca="1" si="34"/>
        <v>0</v>
      </c>
      <c r="J135" s="16">
        <f t="shared" si="35"/>
        <v>0</v>
      </c>
      <c r="K135" s="16">
        <f t="shared" si="36"/>
        <v>0</v>
      </c>
      <c r="L135" s="16">
        <f t="shared" si="37"/>
        <v>0</v>
      </c>
      <c r="M135" s="16">
        <f t="shared" ca="1" si="38"/>
        <v>0</v>
      </c>
      <c r="N135" s="16">
        <f t="shared" si="39"/>
        <v>0</v>
      </c>
      <c r="O135" s="16">
        <f t="shared" si="40"/>
        <v>0</v>
      </c>
      <c r="P135" s="16" t="str">
        <f>+IF(AND(B135&gt;='Relevé de la Régularisation'!$C$9,B135&lt;='Relevé de la Régularisation'!$D$14),"OUI","NON")</f>
        <v>OUI</v>
      </c>
      <c r="Q135" s="16">
        <f t="array" ref="Q135">IF(P135="OUI",MAX($Q$2:Q134)+1,"")</f>
        <v>133</v>
      </c>
    </row>
    <row r="136" spans="1:17" x14ac:dyDescent="0.2">
      <c r="A136" s="453">
        <f t="shared" si="41"/>
        <v>46054</v>
      </c>
      <c r="B136" s="30">
        <v>46054</v>
      </c>
      <c r="C136" s="16">
        <f t="shared" si="28"/>
        <v>0</v>
      </c>
      <c r="D136" s="16">
        <f t="shared" si="29"/>
        <v>0</v>
      </c>
      <c r="E136" s="16">
        <f t="shared" si="30"/>
        <v>0</v>
      </c>
      <c r="F136" s="16">
        <f t="shared" si="31"/>
        <v>0</v>
      </c>
      <c r="G136" s="16">
        <f t="shared" si="32"/>
        <v>0</v>
      </c>
      <c r="H136" s="16">
        <f t="shared" si="33"/>
        <v>0</v>
      </c>
      <c r="I136" s="16">
        <f t="shared" si="34"/>
        <v>0</v>
      </c>
      <c r="J136" s="16">
        <f t="shared" si="35"/>
        <v>0</v>
      </c>
      <c r="K136" s="16">
        <f t="shared" si="36"/>
        <v>0</v>
      </c>
      <c r="L136" s="16">
        <f t="shared" si="37"/>
        <v>0</v>
      </c>
      <c r="M136" s="16">
        <f t="shared" si="38"/>
        <v>0</v>
      </c>
      <c r="N136" s="16">
        <f t="shared" si="39"/>
        <v>0</v>
      </c>
      <c r="O136" s="16">
        <f t="shared" si="40"/>
        <v>0</v>
      </c>
      <c r="P136" s="16" t="str">
        <f>+IF(AND(B136&gt;='Relevé de la Régularisation'!$C$9,B136&lt;='Relevé de la Régularisation'!$D$14),"OUI","NON")</f>
        <v>OUI</v>
      </c>
      <c r="Q136" s="16">
        <f t="array" ref="Q136">IF(P136="OUI",MAX($Q$2:Q135)+1,"")</f>
        <v>134</v>
      </c>
    </row>
    <row r="137" spans="1:17" x14ac:dyDescent="0.2">
      <c r="A137" s="453">
        <f t="shared" si="41"/>
        <v>46082</v>
      </c>
      <c r="B137" s="30">
        <v>46082</v>
      </c>
      <c r="C137" s="16">
        <f t="shared" si="28"/>
        <v>0</v>
      </c>
      <c r="D137" s="16">
        <f t="shared" si="29"/>
        <v>0</v>
      </c>
      <c r="E137" s="16">
        <f t="shared" si="30"/>
        <v>0</v>
      </c>
      <c r="F137" s="16">
        <f t="shared" si="31"/>
        <v>0</v>
      </c>
      <c r="G137" s="16">
        <f t="shared" si="32"/>
        <v>0</v>
      </c>
      <c r="H137" s="16">
        <f t="shared" si="33"/>
        <v>0</v>
      </c>
      <c r="I137" s="16">
        <f t="shared" si="34"/>
        <v>0</v>
      </c>
      <c r="J137" s="16">
        <f t="shared" si="35"/>
        <v>0</v>
      </c>
      <c r="K137" s="16">
        <f t="shared" si="36"/>
        <v>0</v>
      </c>
      <c r="L137" s="16">
        <f t="shared" si="37"/>
        <v>0</v>
      </c>
      <c r="M137" s="16">
        <f t="shared" si="38"/>
        <v>0</v>
      </c>
      <c r="N137" s="16">
        <f t="shared" si="39"/>
        <v>0</v>
      </c>
      <c r="O137" s="16">
        <f t="shared" si="40"/>
        <v>0</v>
      </c>
      <c r="P137" s="16" t="str">
        <f>+IF(AND(B137&gt;='Relevé de la Régularisation'!$C$9,B137&lt;='Relevé de la Régularisation'!$D$14),"OUI","NON")</f>
        <v>OUI</v>
      </c>
      <c r="Q137" s="16">
        <f t="array" ref="Q137">IF(P137="OUI",MAX($Q$2:Q136)+1,"")</f>
        <v>135</v>
      </c>
    </row>
    <row r="138" spans="1:17" x14ac:dyDescent="0.2">
      <c r="A138" s="453">
        <f t="shared" si="41"/>
        <v>46113</v>
      </c>
      <c r="B138" s="30">
        <v>46113</v>
      </c>
      <c r="C138" s="16">
        <f t="shared" si="28"/>
        <v>0</v>
      </c>
      <c r="D138" s="16">
        <f t="shared" si="29"/>
        <v>0</v>
      </c>
      <c r="E138" s="16">
        <f t="shared" si="30"/>
        <v>0</v>
      </c>
      <c r="F138" s="16">
        <f t="shared" si="31"/>
        <v>0</v>
      </c>
      <c r="G138" s="16">
        <f t="shared" si="32"/>
        <v>0</v>
      </c>
      <c r="H138" s="16">
        <f t="shared" si="33"/>
        <v>0</v>
      </c>
      <c r="I138" s="16">
        <f t="shared" si="34"/>
        <v>0</v>
      </c>
      <c r="J138" s="16">
        <f t="shared" si="35"/>
        <v>0</v>
      </c>
      <c r="K138" s="16">
        <f t="shared" si="36"/>
        <v>0</v>
      </c>
      <c r="L138" s="16">
        <f t="shared" si="37"/>
        <v>0</v>
      </c>
      <c r="M138" s="16">
        <f t="shared" si="38"/>
        <v>0</v>
      </c>
      <c r="N138" s="16">
        <f t="shared" si="39"/>
        <v>0</v>
      </c>
      <c r="O138" s="16">
        <f t="shared" si="40"/>
        <v>0</v>
      </c>
      <c r="P138" s="16" t="str">
        <f>+IF(AND(B138&gt;='Relevé de la Régularisation'!$C$9,B138&lt;='Relevé de la Régularisation'!$D$14),"OUI","NON")</f>
        <v>OUI</v>
      </c>
      <c r="Q138" s="16">
        <f t="array" ref="Q138">IF(P138="OUI",MAX($Q$2:Q137)+1,"")</f>
        <v>136</v>
      </c>
    </row>
    <row r="139" spans="1:17" x14ac:dyDescent="0.2">
      <c r="A139" s="453">
        <f t="shared" si="41"/>
        <v>46143</v>
      </c>
      <c r="B139" s="30">
        <v>46143</v>
      </c>
      <c r="C139" s="16">
        <f t="shared" si="28"/>
        <v>0</v>
      </c>
      <c r="D139" s="16">
        <f t="shared" si="29"/>
        <v>0</v>
      </c>
      <c r="E139" s="16">
        <f t="shared" si="30"/>
        <v>0</v>
      </c>
      <c r="F139" s="16">
        <f t="shared" si="31"/>
        <v>0</v>
      </c>
      <c r="G139" s="16">
        <f t="shared" si="32"/>
        <v>0</v>
      </c>
      <c r="H139" s="16">
        <f t="shared" si="33"/>
        <v>0</v>
      </c>
      <c r="I139" s="16">
        <f t="shared" si="34"/>
        <v>0</v>
      </c>
      <c r="J139" s="16">
        <f t="shared" si="35"/>
        <v>0</v>
      </c>
      <c r="K139" s="16">
        <f t="shared" si="36"/>
        <v>0</v>
      </c>
      <c r="L139" s="16">
        <f t="shared" si="37"/>
        <v>0</v>
      </c>
      <c r="M139" s="16">
        <f t="shared" si="38"/>
        <v>0</v>
      </c>
      <c r="N139" s="16">
        <f t="shared" si="39"/>
        <v>0</v>
      </c>
      <c r="O139" s="16">
        <f t="shared" si="40"/>
        <v>0</v>
      </c>
      <c r="P139" s="16" t="str">
        <f>+IF(AND(B139&gt;='Relevé de la Régularisation'!$C$9,B139&lt;='Relevé de la Régularisation'!$D$14),"OUI","NON")</f>
        <v>OUI</v>
      </c>
      <c r="Q139" s="16">
        <f t="array" ref="Q139">IF(P139="OUI",MAX($Q$2:Q138)+1,"")</f>
        <v>137</v>
      </c>
    </row>
    <row r="140" spans="1:17" x14ac:dyDescent="0.2">
      <c r="A140" s="453">
        <f t="shared" si="41"/>
        <v>46174</v>
      </c>
      <c r="B140" s="30">
        <v>46174</v>
      </c>
      <c r="C140" s="16">
        <f t="shared" si="28"/>
        <v>0</v>
      </c>
      <c r="D140" s="16">
        <f t="shared" si="29"/>
        <v>0</v>
      </c>
      <c r="E140" s="16">
        <f t="shared" si="30"/>
        <v>0</v>
      </c>
      <c r="F140" s="16">
        <f t="shared" si="31"/>
        <v>0</v>
      </c>
      <c r="G140" s="16">
        <f t="shared" si="32"/>
        <v>0</v>
      </c>
      <c r="H140" s="16">
        <f t="shared" si="33"/>
        <v>0</v>
      </c>
      <c r="I140" s="16">
        <f t="shared" si="34"/>
        <v>0</v>
      </c>
      <c r="J140" s="16">
        <f t="shared" si="35"/>
        <v>0</v>
      </c>
      <c r="K140" s="16">
        <f t="shared" si="36"/>
        <v>0</v>
      </c>
      <c r="L140" s="16">
        <f t="shared" si="37"/>
        <v>0</v>
      </c>
      <c r="M140" s="16">
        <f t="shared" si="38"/>
        <v>0</v>
      </c>
      <c r="N140" s="16">
        <f t="shared" si="39"/>
        <v>0</v>
      </c>
      <c r="O140" s="16">
        <f t="shared" si="40"/>
        <v>0</v>
      </c>
      <c r="P140" s="16" t="str">
        <f>+IF(AND(B140&gt;='Relevé de la Régularisation'!$C$9,B140&lt;='Relevé de la Régularisation'!$D$14),"OUI","NON")</f>
        <v>OUI</v>
      </c>
      <c r="Q140" s="16">
        <f t="array" ref="Q140">IF(P140="OUI",MAX($Q$2:Q139)+1,"")</f>
        <v>138</v>
      </c>
    </row>
    <row r="141" spans="1:17" x14ac:dyDescent="0.2">
      <c r="A141" s="453">
        <f t="shared" si="41"/>
        <v>46204</v>
      </c>
      <c r="B141" s="30">
        <v>46204</v>
      </c>
      <c r="C141" s="16">
        <f t="shared" si="28"/>
        <v>0</v>
      </c>
      <c r="D141" s="16">
        <f t="shared" si="29"/>
        <v>0</v>
      </c>
      <c r="E141" s="16">
        <f t="shared" si="30"/>
        <v>0</v>
      </c>
      <c r="F141" s="16">
        <f t="shared" si="31"/>
        <v>0</v>
      </c>
      <c r="G141" s="16">
        <f t="shared" si="32"/>
        <v>0</v>
      </c>
      <c r="H141" s="16">
        <f t="shared" si="33"/>
        <v>0</v>
      </c>
      <c r="I141" s="16">
        <f t="shared" si="34"/>
        <v>0</v>
      </c>
      <c r="J141" s="16">
        <f t="shared" si="35"/>
        <v>0</v>
      </c>
      <c r="K141" s="16">
        <f t="shared" si="36"/>
        <v>0</v>
      </c>
      <c r="L141" s="16">
        <f t="shared" si="37"/>
        <v>0</v>
      </c>
      <c r="M141" s="16">
        <f t="shared" si="38"/>
        <v>0</v>
      </c>
      <c r="N141" s="16">
        <f t="shared" si="39"/>
        <v>0</v>
      </c>
      <c r="O141" s="16">
        <f t="shared" si="40"/>
        <v>0</v>
      </c>
      <c r="P141" s="16" t="str">
        <f>+IF(AND(B141&gt;='Relevé de la Régularisation'!$C$9,B141&lt;='Relevé de la Régularisation'!$D$14),"OUI","NON")</f>
        <v>OUI</v>
      </c>
      <c r="Q141" s="16">
        <f t="array" ref="Q141">IF(P141="OUI",MAX($Q$2:Q140)+1,"")</f>
        <v>139</v>
      </c>
    </row>
    <row r="142" spans="1:17" x14ac:dyDescent="0.2">
      <c r="A142" s="453">
        <f t="shared" si="41"/>
        <v>46235</v>
      </c>
      <c r="B142" s="30">
        <v>46235</v>
      </c>
      <c r="C142" s="16">
        <f t="shared" si="28"/>
        <v>0</v>
      </c>
      <c r="D142" s="16">
        <f t="shared" si="29"/>
        <v>0</v>
      </c>
      <c r="E142" s="16">
        <f t="shared" si="30"/>
        <v>0</v>
      </c>
      <c r="F142" s="16">
        <f t="shared" si="31"/>
        <v>0</v>
      </c>
      <c r="G142" s="16">
        <f t="shared" si="32"/>
        <v>0</v>
      </c>
      <c r="H142" s="16">
        <f t="shared" si="33"/>
        <v>0</v>
      </c>
      <c r="I142" s="16">
        <f t="shared" si="34"/>
        <v>0</v>
      </c>
      <c r="J142" s="16">
        <f t="shared" si="35"/>
        <v>0</v>
      </c>
      <c r="K142" s="16">
        <f t="shared" si="36"/>
        <v>0</v>
      </c>
      <c r="L142" s="16">
        <f t="shared" si="37"/>
        <v>0</v>
      </c>
      <c r="M142" s="16">
        <f t="shared" si="38"/>
        <v>0</v>
      </c>
      <c r="N142" s="16">
        <f t="shared" si="39"/>
        <v>0</v>
      </c>
      <c r="O142" s="16">
        <f t="shared" si="40"/>
        <v>0</v>
      </c>
      <c r="P142" s="16" t="str">
        <f>+IF(AND(B142&gt;='Relevé de la Régularisation'!$C$9,B142&lt;='Relevé de la Régularisation'!$D$14),"OUI","NON")</f>
        <v>OUI</v>
      </c>
      <c r="Q142" s="16">
        <f t="array" ref="Q142">IF(P142="OUI",MAX($Q$2:Q141)+1,"")</f>
        <v>140</v>
      </c>
    </row>
    <row r="143" spans="1:17" x14ac:dyDescent="0.2">
      <c r="A143" s="453">
        <f t="shared" si="41"/>
        <v>46266</v>
      </c>
      <c r="B143" s="30">
        <v>46266</v>
      </c>
      <c r="C143" s="16">
        <f t="shared" si="28"/>
        <v>0</v>
      </c>
      <c r="D143" s="16">
        <f t="shared" si="29"/>
        <v>0</v>
      </c>
      <c r="E143" s="16">
        <f t="shared" si="30"/>
        <v>0</v>
      </c>
      <c r="F143" s="16">
        <f t="shared" si="31"/>
        <v>0</v>
      </c>
      <c r="G143" s="16">
        <f t="shared" si="32"/>
        <v>0</v>
      </c>
      <c r="H143" s="16">
        <f t="shared" si="33"/>
        <v>0</v>
      </c>
      <c r="I143" s="16">
        <f t="shared" si="34"/>
        <v>0</v>
      </c>
      <c r="J143" s="16">
        <f t="shared" si="35"/>
        <v>0</v>
      </c>
      <c r="K143" s="16">
        <f t="shared" si="36"/>
        <v>0</v>
      </c>
      <c r="L143" s="16">
        <f t="shared" si="37"/>
        <v>0</v>
      </c>
      <c r="M143" s="16">
        <f t="shared" si="38"/>
        <v>0</v>
      </c>
      <c r="N143" s="16">
        <f t="shared" si="39"/>
        <v>0</v>
      </c>
      <c r="O143" s="16">
        <f t="shared" si="40"/>
        <v>0</v>
      </c>
      <c r="P143" s="16" t="str">
        <f>+IF(AND(B143&gt;='Relevé de la Régularisation'!$C$9,B143&lt;='Relevé de la Régularisation'!$D$14),"OUI","NON")</f>
        <v>OUI</v>
      </c>
      <c r="Q143" s="16">
        <f t="array" ref="Q143">IF(P143="OUI",MAX($Q$2:Q142)+1,"")</f>
        <v>141</v>
      </c>
    </row>
    <row r="144" spans="1:17" x14ac:dyDescent="0.2">
      <c r="A144" s="453">
        <f t="shared" si="41"/>
        <v>46296</v>
      </c>
      <c r="B144" s="30">
        <v>46296</v>
      </c>
      <c r="C144" s="16">
        <f t="shared" si="28"/>
        <v>0</v>
      </c>
      <c r="D144" s="16">
        <f t="shared" si="29"/>
        <v>0</v>
      </c>
      <c r="E144" s="16">
        <f t="shared" si="30"/>
        <v>0</v>
      </c>
      <c r="F144" s="16">
        <f t="shared" si="31"/>
        <v>0</v>
      </c>
      <c r="G144" s="16">
        <f t="shared" si="32"/>
        <v>0</v>
      </c>
      <c r="H144" s="16">
        <f t="shared" si="33"/>
        <v>0</v>
      </c>
      <c r="I144" s="16">
        <f t="shared" si="34"/>
        <v>0</v>
      </c>
      <c r="J144" s="16">
        <f t="shared" si="35"/>
        <v>0</v>
      </c>
      <c r="K144" s="16">
        <f t="shared" si="36"/>
        <v>0</v>
      </c>
      <c r="L144" s="16">
        <f t="shared" si="37"/>
        <v>0</v>
      </c>
      <c r="M144" s="16">
        <f t="shared" si="38"/>
        <v>0</v>
      </c>
      <c r="N144" s="16">
        <f t="shared" si="39"/>
        <v>0</v>
      </c>
      <c r="O144" s="16">
        <f t="shared" si="40"/>
        <v>0</v>
      </c>
      <c r="P144" s="16" t="str">
        <f>+IF(AND(B144&gt;='Relevé de la Régularisation'!$C$9,B144&lt;='Relevé de la Régularisation'!$D$14),"OUI","NON")</f>
        <v>OUI</v>
      </c>
      <c r="Q144" s="16">
        <f t="array" ref="Q144">IF(P144="OUI",MAX($Q$2:Q143)+1,"")</f>
        <v>142</v>
      </c>
    </row>
    <row r="145" spans="1:17" x14ac:dyDescent="0.2">
      <c r="A145" s="453">
        <f t="shared" si="41"/>
        <v>46327</v>
      </c>
      <c r="B145" s="30">
        <v>46327</v>
      </c>
      <c r="C145" s="16">
        <f t="shared" si="28"/>
        <v>0</v>
      </c>
      <c r="D145" s="16">
        <f t="shared" si="29"/>
        <v>0</v>
      </c>
      <c r="E145" s="16">
        <f t="shared" si="30"/>
        <v>0</v>
      </c>
      <c r="F145" s="16">
        <f t="shared" si="31"/>
        <v>0</v>
      </c>
      <c r="G145" s="16">
        <f t="shared" si="32"/>
        <v>0</v>
      </c>
      <c r="H145" s="16">
        <f t="shared" si="33"/>
        <v>0</v>
      </c>
      <c r="I145" s="16">
        <f t="shared" si="34"/>
        <v>0</v>
      </c>
      <c r="J145" s="16">
        <f t="shared" si="35"/>
        <v>0</v>
      </c>
      <c r="K145" s="16">
        <f t="shared" si="36"/>
        <v>0</v>
      </c>
      <c r="L145" s="16">
        <f t="shared" si="37"/>
        <v>0</v>
      </c>
      <c r="M145" s="16">
        <f t="shared" si="38"/>
        <v>0</v>
      </c>
      <c r="N145" s="16">
        <f t="shared" si="39"/>
        <v>0</v>
      </c>
      <c r="O145" s="16">
        <f t="shared" si="40"/>
        <v>0</v>
      </c>
      <c r="P145" s="16" t="str">
        <f>+IF(AND(B145&gt;='Relevé de la Régularisation'!$C$9,B145&lt;='Relevé de la Régularisation'!$D$14),"OUI","NON")</f>
        <v>OUI</v>
      </c>
      <c r="Q145" s="16">
        <f t="array" ref="Q145">IF(P145="OUI",MAX($Q$2:Q144)+1,"")</f>
        <v>143</v>
      </c>
    </row>
    <row r="146" spans="1:17" x14ac:dyDescent="0.2">
      <c r="A146" s="453">
        <f t="shared" si="41"/>
        <v>46357</v>
      </c>
      <c r="B146" s="30">
        <v>46357</v>
      </c>
      <c r="C146" s="16">
        <f t="shared" si="28"/>
        <v>0</v>
      </c>
      <c r="D146" s="16">
        <f t="shared" si="29"/>
        <v>0</v>
      </c>
      <c r="E146" s="16">
        <f t="shared" si="30"/>
        <v>0</v>
      </c>
      <c r="F146" s="16">
        <f t="shared" si="31"/>
        <v>0</v>
      </c>
      <c r="G146" s="16">
        <f t="shared" si="32"/>
        <v>0</v>
      </c>
      <c r="H146" s="16">
        <f t="shared" si="33"/>
        <v>0</v>
      </c>
      <c r="I146" s="16">
        <f t="shared" si="34"/>
        <v>0</v>
      </c>
      <c r="J146" s="16">
        <f t="shared" si="35"/>
        <v>0</v>
      </c>
      <c r="K146" s="16">
        <f t="shared" si="36"/>
        <v>0</v>
      </c>
      <c r="L146" s="16">
        <f t="shared" si="37"/>
        <v>0</v>
      </c>
      <c r="M146" s="16">
        <f t="shared" si="38"/>
        <v>0</v>
      </c>
      <c r="N146" s="16">
        <f t="shared" si="39"/>
        <v>0</v>
      </c>
      <c r="O146" s="16">
        <f t="shared" si="40"/>
        <v>0</v>
      </c>
      <c r="P146" s="16" t="str">
        <f>+IF(AND(B146&gt;='Relevé de la Régularisation'!$C$9,B146&lt;='Relevé de la Régularisation'!$D$14),"OUI","NON")</f>
        <v>OUI</v>
      </c>
      <c r="Q146" s="16">
        <f t="array" ref="Q146">IF(P146="OUI",MAX($Q$2:Q145)+1,"")</f>
        <v>144</v>
      </c>
    </row>
    <row r="147" spans="1:17" x14ac:dyDescent="0.2">
      <c r="A147" s="453">
        <f t="shared" si="41"/>
        <v>46388</v>
      </c>
      <c r="B147" s="30">
        <v>46388</v>
      </c>
      <c r="C147" s="16">
        <f t="shared" si="28"/>
        <v>0</v>
      </c>
      <c r="D147" s="16">
        <f t="shared" si="29"/>
        <v>0</v>
      </c>
      <c r="E147" s="16">
        <f t="shared" si="30"/>
        <v>0</v>
      </c>
      <c r="F147" s="16">
        <f t="shared" si="31"/>
        <v>0</v>
      </c>
      <c r="G147" s="16">
        <f t="shared" si="32"/>
        <v>0</v>
      </c>
      <c r="H147" s="16">
        <f t="shared" si="33"/>
        <v>0</v>
      </c>
      <c r="I147" s="16">
        <f t="shared" si="34"/>
        <v>0</v>
      </c>
      <c r="J147" s="16">
        <f t="shared" si="35"/>
        <v>0</v>
      </c>
      <c r="K147" s="16">
        <f t="shared" si="36"/>
        <v>0</v>
      </c>
      <c r="L147" s="16">
        <f t="shared" si="37"/>
        <v>0</v>
      </c>
      <c r="M147" s="16">
        <f t="shared" si="38"/>
        <v>0</v>
      </c>
      <c r="N147" s="16">
        <f t="shared" si="39"/>
        <v>0</v>
      </c>
      <c r="O147" s="16">
        <f t="shared" si="40"/>
        <v>0</v>
      </c>
      <c r="P147" s="16" t="str">
        <f>+IF(AND(B147&gt;='Relevé de la Régularisation'!$C$9,B147&lt;='Relevé de la Régularisation'!$D$14),"OUI","NON")</f>
        <v>NON</v>
      </c>
      <c r="Q147" s="16" t="str">
        <f t="array" ref="Q147">IF(P147="OUI",MAX($Q$2:Q146)+1,"")</f>
        <v/>
      </c>
    </row>
    <row r="148" spans="1:17" x14ac:dyDescent="0.2">
      <c r="A148" s="453">
        <f t="shared" si="41"/>
        <v>46419</v>
      </c>
      <c r="B148" s="30">
        <v>46419</v>
      </c>
      <c r="C148" s="16">
        <f t="shared" si="28"/>
        <v>0</v>
      </c>
      <c r="D148" s="16">
        <f t="shared" si="29"/>
        <v>0</v>
      </c>
      <c r="E148" s="16">
        <f t="shared" si="30"/>
        <v>0</v>
      </c>
      <c r="F148" s="16">
        <f t="shared" si="31"/>
        <v>0</v>
      </c>
      <c r="G148" s="16">
        <f t="shared" si="32"/>
        <v>0</v>
      </c>
      <c r="H148" s="16">
        <f t="shared" si="33"/>
        <v>0</v>
      </c>
      <c r="I148" s="16">
        <f t="shared" si="34"/>
        <v>0</v>
      </c>
      <c r="J148" s="16">
        <f t="shared" si="35"/>
        <v>0</v>
      </c>
      <c r="K148" s="16">
        <f t="shared" si="36"/>
        <v>0</v>
      </c>
      <c r="L148" s="16">
        <f t="shared" si="37"/>
        <v>0</v>
      </c>
      <c r="M148" s="16">
        <f t="shared" si="38"/>
        <v>0</v>
      </c>
      <c r="N148" s="16">
        <f t="shared" si="39"/>
        <v>0</v>
      </c>
      <c r="O148" s="16">
        <f t="shared" si="40"/>
        <v>0</v>
      </c>
      <c r="P148" s="16" t="str">
        <f>+IF(AND(B148&gt;='Relevé de la Régularisation'!$C$9,B148&lt;='Relevé de la Régularisation'!$D$14),"OUI","NON")</f>
        <v>NON</v>
      </c>
      <c r="Q148" s="16" t="str">
        <f t="array" ref="Q148">IF(P148="OUI",MAX($Q$2:Q147)+1,"")</f>
        <v/>
      </c>
    </row>
    <row r="149" spans="1:17" x14ac:dyDescent="0.2">
      <c r="A149" s="453">
        <f t="shared" si="41"/>
        <v>46447</v>
      </c>
      <c r="B149" s="30">
        <v>46447</v>
      </c>
      <c r="C149" s="16">
        <f t="shared" si="28"/>
        <v>0</v>
      </c>
      <c r="D149" s="16">
        <f t="shared" si="29"/>
        <v>0</v>
      </c>
      <c r="E149" s="16">
        <f t="shared" si="30"/>
        <v>0</v>
      </c>
      <c r="F149" s="16">
        <f t="shared" si="31"/>
        <v>0</v>
      </c>
      <c r="G149" s="16">
        <f t="shared" si="32"/>
        <v>0</v>
      </c>
      <c r="H149" s="16">
        <f t="shared" si="33"/>
        <v>0</v>
      </c>
      <c r="I149" s="16">
        <f t="shared" si="34"/>
        <v>0</v>
      </c>
      <c r="J149" s="16">
        <f t="shared" si="35"/>
        <v>0</v>
      </c>
      <c r="K149" s="16">
        <f t="shared" si="36"/>
        <v>0</v>
      </c>
      <c r="L149" s="16">
        <f t="shared" si="37"/>
        <v>0</v>
      </c>
      <c r="M149" s="16">
        <f t="shared" si="38"/>
        <v>0</v>
      </c>
      <c r="N149" s="16">
        <f t="shared" si="39"/>
        <v>0</v>
      </c>
      <c r="O149" s="16">
        <f t="shared" si="40"/>
        <v>0</v>
      </c>
      <c r="P149" s="16" t="str">
        <f>+IF(AND(B149&gt;='Relevé de la Régularisation'!$C$9,B149&lt;='Relevé de la Régularisation'!$D$14),"OUI","NON")</f>
        <v>NON</v>
      </c>
      <c r="Q149" s="16" t="str">
        <f t="array" ref="Q149">IF(P149="OUI",MAX($Q$2:Q148)+1,"")</f>
        <v/>
      </c>
    </row>
    <row r="150" spans="1:17" x14ac:dyDescent="0.2">
      <c r="A150" s="453">
        <f t="shared" si="41"/>
        <v>46478</v>
      </c>
      <c r="B150" s="30">
        <v>46478</v>
      </c>
      <c r="C150" s="16">
        <f t="shared" si="28"/>
        <v>0</v>
      </c>
      <c r="D150" s="16">
        <f t="shared" si="29"/>
        <v>0</v>
      </c>
      <c r="E150" s="16">
        <f t="shared" si="30"/>
        <v>0</v>
      </c>
      <c r="F150" s="16">
        <f t="shared" si="31"/>
        <v>0</v>
      </c>
      <c r="G150" s="16">
        <f t="shared" si="32"/>
        <v>0</v>
      </c>
      <c r="H150" s="16">
        <f t="shared" si="33"/>
        <v>0</v>
      </c>
      <c r="I150" s="16">
        <f t="shared" si="34"/>
        <v>0</v>
      </c>
      <c r="J150" s="16">
        <f t="shared" si="35"/>
        <v>0</v>
      </c>
      <c r="K150" s="16">
        <f t="shared" si="36"/>
        <v>0</v>
      </c>
      <c r="L150" s="16">
        <f t="shared" si="37"/>
        <v>0</v>
      </c>
      <c r="M150" s="16">
        <f t="shared" si="38"/>
        <v>0</v>
      </c>
      <c r="N150" s="16">
        <f t="shared" si="39"/>
        <v>0</v>
      </c>
      <c r="O150" s="16">
        <f t="shared" si="40"/>
        <v>0</v>
      </c>
      <c r="P150" s="16" t="str">
        <f>+IF(AND(B150&gt;='Relevé de la Régularisation'!$C$9,B150&lt;='Relevé de la Régularisation'!$D$14),"OUI","NON")</f>
        <v>NON</v>
      </c>
      <c r="Q150" s="16" t="str">
        <f t="array" ref="Q150">IF(P150="OUI",MAX($Q$2:Q149)+1,"")</f>
        <v/>
      </c>
    </row>
    <row r="151" spans="1:17" x14ac:dyDescent="0.2">
      <c r="A151" s="453">
        <f t="shared" si="41"/>
        <v>46508</v>
      </c>
      <c r="B151" s="30">
        <v>46508</v>
      </c>
      <c r="C151" s="16">
        <f t="shared" si="28"/>
        <v>0</v>
      </c>
      <c r="D151" s="16">
        <f t="shared" si="29"/>
        <v>0</v>
      </c>
      <c r="E151" s="16">
        <f t="shared" si="30"/>
        <v>0</v>
      </c>
      <c r="F151" s="16">
        <f t="shared" si="31"/>
        <v>0</v>
      </c>
      <c r="G151" s="16">
        <f t="shared" si="32"/>
        <v>0</v>
      </c>
      <c r="H151" s="16">
        <f t="shared" si="33"/>
        <v>0</v>
      </c>
      <c r="I151" s="16">
        <f t="shared" si="34"/>
        <v>0</v>
      </c>
      <c r="J151" s="16">
        <f t="shared" si="35"/>
        <v>0</v>
      </c>
      <c r="K151" s="16">
        <f t="shared" si="36"/>
        <v>0</v>
      </c>
      <c r="L151" s="16">
        <f t="shared" si="37"/>
        <v>0</v>
      </c>
      <c r="M151" s="16">
        <f t="shared" si="38"/>
        <v>0</v>
      </c>
      <c r="N151" s="16">
        <f t="shared" si="39"/>
        <v>0</v>
      </c>
      <c r="O151" s="16">
        <f t="shared" si="40"/>
        <v>0</v>
      </c>
      <c r="P151" s="16" t="str">
        <f>+IF(AND(B151&gt;='Relevé de la Régularisation'!$C$9,B151&lt;='Relevé de la Régularisation'!$D$14),"OUI","NON")</f>
        <v>NON</v>
      </c>
      <c r="Q151" s="16" t="str">
        <f t="array" ref="Q151">IF(P151="OUI",MAX($Q$2:Q150)+1,"")</f>
        <v/>
      </c>
    </row>
    <row r="152" spans="1:17" x14ac:dyDescent="0.2">
      <c r="A152" s="453">
        <f t="shared" si="41"/>
        <v>46539</v>
      </c>
      <c r="B152" s="30">
        <v>46539</v>
      </c>
      <c r="C152" s="16">
        <f t="shared" si="28"/>
        <v>0</v>
      </c>
      <c r="D152" s="16">
        <f t="shared" si="29"/>
        <v>0</v>
      </c>
      <c r="E152" s="16">
        <f t="shared" si="30"/>
        <v>0</v>
      </c>
      <c r="F152" s="16">
        <f t="shared" si="31"/>
        <v>0</v>
      </c>
      <c r="G152" s="16">
        <f t="shared" si="32"/>
        <v>0</v>
      </c>
      <c r="H152" s="16">
        <f t="shared" si="33"/>
        <v>0</v>
      </c>
      <c r="I152" s="16">
        <f t="shared" si="34"/>
        <v>0</v>
      </c>
      <c r="J152" s="16">
        <f t="shared" si="35"/>
        <v>0</v>
      </c>
      <c r="K152" s="16">
        <f t="shared" si="36"/>
        <v>0</v>
      </c>
      <c r="L152" s="16">
        <f t="shared" si="37"/>
        <v>0</v>
      </c>
      <c r="M152" s="16">
        <f t="shared" si="38"/>
        <v>0</v>
      </c>
      <c r="N152" s="16">
        <f t="shared" si="39"/>
        <v>0</v>
      </c>
      <c r="O152" s="16">
        <f t="shared" si="40"/>
        <v>0</v>
      </c>
      <c r="P152" s="16" t="str">
        <f>+IF(AND(B152&gt;='Relevé de la Régularisation'!$C$9,B152&lt;='Relevé de la Régularisation'!$D$14),"OUI","NON")</f>
        <v>NON</v>
      </c>
      <c r="Q152" s="16" t="str">
        <f t="array" ref="Q152">IF(P152="OUI",MAX($Q$2:Q151)+1,"")</f>
        <v/>
      </c>
    </row>
    <row r="153" spans="1:17" x14ac:dyDescent="0.2">
      <c r="A153" s="453">
        <f t="shared" si="41"/>
        <v>46569</v>
      </c>
      <c r="B153" s="30">
        <v>46569</v>
      </c>
      <c r="C153" s="16">
        <f t="shared" si="28"/>
        <v>0</v>
      </c>
      <c r="D153" s="16">
        <f t="shared" si="29"/>
        <v>0</v>
      </c>
      <c r="E153" s="16">
        <f t="shared" si="30"/>
        <v>0</v>
      </c>
      <c r="F153" s="16">
        <f t="shared" si="31"/>
        <v>0</v>
      </c>
      <c r="G153" s="16">
        <f t="shared" si="32"/>
        <v>0</v>
      </c>
      <c r="H153" s="16">
        <f t="shared" si="33"/>
        <v>0</v>
      </c>
      <c r="I153" s="16">
        <f t="shared" si="34"/>
        <v>0</v>
      </c>
      <c r="J153" s="16">
        <f t="shared" si="35"/>
        <v>0</v>
      </c>
      <c r="K153" s="16">
        <f t="shared" si="36"/>
        <v>0</v>
      </c>
      <c r="L153" s="16">
        <f t="shared" si="37"/>
        <v>0</v>
      </c>
      <c r="M153" s="16">
        <f t="shared" si="38"/>
        <v>0</v>
      </c>
      <c r="N153" s="16">
        <f t="shared" si="39"/>
        <v>0</v>
      </c>
      <c r="O153" s="16">
        <f t="shared" si="40"/>
        <v>0</v>
      </c>
      <c r="P153" s="16" t="str">
        <f>+IF(AND(B153&gt;='Relevé de la Régularisation'!$C$9,B153&lt;='Relevé de la Régularisation'!$D$14),"OUI","NON")</f>
        <v>NON</v>
      </c>
      <c r="Q153" s="16" t="str">
        <f t="array" ref="Q153">IF(P153="OUI",MAX($Q$2:Q152)+1,"")</f>
        <v/>
      </c>
    </row>
    <row r="154" spans="1:17" x14ac:dyDescent="0.2">
      <c r="A154" s="453">
        <f t="shared" si="41"/>
        <v>46600</v>
      </c>
      <c r="B154" s="30">
        <v>46600</v>
      </c>
      <c r="C154" s="16">
        <f t="shared" si="28"/>
        <v>0</v>
      </c>
      <c r="D154" s="16">
        <f t="shared" si="29"/>
        <v>0</v>
      </c>
      <c r="E154" s="16">
        <f t="shared" si="30"/>
        <v>0</v>
      </c>
      <c r="F154" s="16">
        <f t="shared" si="31"/>
        <v>0</v>
      </c>
      <c r="G154" s="16">
        <f t="shared" si="32"/>
        <v>0</v>
      </c>
      <c r="H154" s="16">
        <f t="shared" si="33"/>
        <v>0</v>
      </c>
      <c r="I154" s="16">
        <f t="shared" si="34"/>
        <v>0</v>
      </c>
      <c r="J154" s="16">
        <f t="shared" si="35"/>
        <v>0</v>
      </c>
      <c r="K154" s="16">
        <f t="shared" si="36"/>
        <v>0</v>
      </c>
      <c r="L154" s="16">
        <f t="shared" si="37"/>
        <v>0</v>
      </c>
      <c r="M154" s="16">
        <f t="shared" si="38"/>
        <v>0</v>
      </c>
      <c r="N154" s="16">
        <f t="shared" si="39"/>
        <v>0</v>
      </c>
      <c r="O154" s="16">
        <f t="shared" si="40"/>
        <v>0</v>
      </c>
      <c r="P154" s="16" t="str">
        <f>+IF(AND(B154&gt;='Relevé de la Régularisation'!$C$9,B154&lt;='Relevé de la Régularisation'!$D$14),"OUI","NON")</f>
        <v>NON</v>
      </c>
      <c r="Q154" s="16" t="str">
        <f t="array" ref="Q154">IF(P154="OUI",MAX($Q$2:Q153)+1,"")</f>
        <v/>
      </c>
    </row>
    <row r="155" spans="1:17" x14ac:dyDescent="0.2">
      <c r="A155" s="453">
        <f t="shared" si="41"/>
        <v>46631</v>
      </c>
      <c r="B155" s="30">
        <v>46631</v>
      </c>
      <c r="C155" s="16">
        <f t="shared" si="28"/>
        <v>0</v>
      </c>
      <c r="D155" s="16">
        <f t="shared" si="29"/>
        <v>0</v>
      </c>
      <c r="E155" s="16">
        <f t="shared" si="30"/>
        <v>0</v>
      </c>
      <c r="F155" s="16">
        <f t="shared" si="31"/>
        <v>0</v>
      </c>
      <c r="G155" s="16">
        <f t="shared" si="32"/>
        <v>0</v>
      </c>
      <c r="H155" s="16">
        <f t="shared" si="33"/>
        <v>0</v>
      </c>
      <c r="I155" s="16">
        <f t="shared" si="34"/>
        <v>0</v>
      </c>
      <c r="J155" s="16">
        <f t="shared" si="35"/>
        <v>0</v>
      </c>
      <c r="K155" s="16">
        <f t="shared" si="36"/>
        <v>0</v>
      </c>
      <c r="L155" s="16">
        <f t="shared" si="37"/>
        <v>0</v>
      </c>
      <c r="M155" s="16">
        <f t="shared" si="38"/>
        <v>0</v>
      </c>
      <c r="N155" s="16">
        <f t="shared" si="39"/>
        <v>0</v>
      </c>
      <c r="O155" s="16">
        <f t="shared" si="40"/>
        <v>0</v>
      </c>
      <c r="P155" s="16" t="str">
        <f>+IF(AND(B155&gt;='Relevé de la Régularisation'!$C$9,B155&lt;='Relevé de la Régularisation'!$D$14),"OUI","NON")</f>
        <v>NON</v>
      </c>
      <c r="Q155" s="16" t="str">
        <f t="array" ref="Q155">IF(P155="OUI",MAX($Q$2:Q154)+1,"")</f>
        <v/>
      </c>
    </row>
    <row r="156" spans="1:17" x14ac:dyDescent="0.2">
      <c r="A156" s="453">
        <f t="shared" si="41"/>
        <v>46661</v>
      </c>
      <c r="B156" s="30">
        <v>46661</v>
      </c>
      <c r="C156" s="16">
        <f t="shared" si="28"/>
        <v>0</v>
      </c>
      <c r="D156" s="16">
        <f t="shared" si="29"/>
        <v>0</v>
      </c>
      <c r="E156" s="16">
        <f t="shared" si="30"/>
        <v>0</v>
      </c>
      <c r="F156" s="16">
        <f t="shared" si="31"/>
        <v>0</v>
      </c>
      <c r="G156" s="16">
        <f t="shared" si="32"/>
        <v>0</v>
      </c>
      <c r="H156" s="16">
        <f t="shared" si="33"/>
        <v>0</v>
      </c>
      <c r="I156" s="16">
        <f t="shared" si="34"/>
        <v>0</v>
      </c>
      <c r="J156" s="16">
        <f t="shared" si="35"/>
        <v>0</v>
      </c>
      <c r="K156" s="16">
        <f t="shared" si="36"/>
        <v>0</v>
      </c>
      <c r="L156" s="16">
        <f t="shared" si="37"/>
        <v>0</v>
      </c>
      <c r="M156" s="16">
        <f t="shared" si="38"/>
        <v>0</v>
      </c>
      <c r="N156" s="16">
        <f t="shared" si="39"/>
        <v>0</v>
      </c>
      <c r="O156" s="16">
        <f t="shared" si="40"/>
        <v>0</v>
      </c>
      <c r="P156" s="16" t="str">
        <f>+IF(AND(B156&gt;='Relevé de la Régularisation'!$C$9,B156&lt;='Relevé de la Régularisation'!$D$14),"OUI","NON")</f>
        <v>NON</v>
      </c>
      <c r="Q156" s="16" t="str">
        <f t="array" ref="Q156">IF(P156="OUI",MAX($Q$2:Q155)+1,"")</f>
        <v/>
      </c>
    </row>
    <row r="157" spans="1:17" x14ac:dyDescent="0.2">
      <c r="A157" s="453">
        <f t="shared" si="41"/>
        <v>46692</v>
      </c>
      <c r="B157" s="30">
        <v>46692</v>
      </c>
      <c r="C157" s="16">
        <f t="shared" si="28"/>
        <v>0</v>
      </c>
      <c r="D157" s="16">
        <f t="shared" si="29"/>
        <v>0</v>
      </c>
      <c r="E157" s="16">
        <f t="shared" si="30"/>
        <v>0</v>
      </c>
      <c r="F157" s="16">
        <f t="shared" si="31"/>
        <v>0</v>
      </c>
      <c r="G157" s="16">
        <f t="shared" si="32"/>
        <v>0</v>
      </c>
      <c r="H157" s="16">
        <f t="shared" si="33"/>
        <v>0</v>
      </c>
      <c r="I157" s="16">
        <f t="shared" si="34"/>
        <v>0</v>
      </c>
      <c r="J157" s="16">
        <f t="shared" si="35"/>
        <v>0</v>
      </c>
      <c r="K157" s="16">
        <f t="shared" si="36"/>
        <v>0</v>
      </c>
      <c r="L157" s="16">
        <f t="shared" si="37"/>
        <v>0</v>
      </c>
      <c r="M157" s="16">
        <f t="shared" si="38"/>
        <v>0</v>
      </c>
      <c r="N157" s="16">
        <f t="shared" si="39"/>
        <v>0</v>
      </c>
      <c r="O157" s="16">
        <f t="shared" si="40"/>
        <v>0</v>
      </c>
      <c r="P157" s="16" t="str">
        <f>+IF(AND(B157&gt;='Relevé de la Régularisation'!$C$9,B157&lt;='Relevé de la Régularisation'!$D$14),"OUI","NON")</f>
        <v>NON</v>
      </c>
      <c r="Q157" s="16" t="str">
        <f t="array" ref="Q157">IF(P157="OUI",MAX($Q$2:Q156)+1,"")</f>
        <v/>
      </c>
    </row>
    <row r="158" spans="1:17" x14ac:dyDescent="0.2">
      <c r="A158" s="453">
        <f t="shared" si="41"/>
        <v>46722</v>
      </c>
      <c r="B158" s="30">
        <v>46722</v>
      </c>
      <c r="C158" s="16">
        <f t="shared" si="28"/>
        <v>0</v>
      </c>
      <c r="D158" s="16">
        <f t="shared" si="29"/>
        <v>0</v>
      </c>
      <c r="E158" s="16">
        <f t="shared" si="30"/>
        <v>0</v>
      </c>
      <c r="F158" s="16">
        <f t="shared" si="31"/>
        <v>0</v>
      </c>
      <c r="G158" s="16">
        <f t="shared" si="32"/>
        <v>0</v>
      </c>
      <c r="H158" s="16">
        <f t="shared" si="33"/>
        <v>0</v>
      </c>
      <c r="I158" s="16">
        <f t="shared" si="34"/>
        <v>0</v>
      </c>
      <c r="J158" s="16">
        <f t="shared" si="35"/>
        <v>0</v>
      </c>
      <c r="K158" s="16">
        <f t="shared" si="36"/>
        <v>0</v>
      </c>
      <c r="L158" s="16">
        <f t="shared" si="37"/>
        <v>0</v>
      </c>
      <c r="M158" s="16">
        <f t="shared" si="38"/>
        <v>0</v>
      </c>
      <c r="N158" s="16">
        <f t="shared" si="39"/>
        <v>0</v>
      </c>
      <c r="O158" s="16">
        <f t="shared" si="40"/>
        <v>0</v>
      </c>
      <c r="P158" s="16" t="str">
        <f>+IF(AND(B158&gt;='Relevé de la Régularisation'!$C$9,B158&lt;='Relevé de la Régularisation'!$D$14),"OUI","NON")</f>
        <v>NON</v>
      </c>
      <c r="Q158" s="16" t="str">
        <f t="array" ref="Q158">IF(P158="OUI",MAX($Q$2:Q157)+1,"")</f>
        <v/>
      </c>
    </row>
    <row r="159" spans="1:17" x14ac:dyDescent="0.2">
      <c r="A159" s="453">
        <f t="shared" si="41"/>
        <v>46753</v>
      </c>
      <c r="B159" s="30">
        <v>46753</v>
      </c>
      <c r="C159" s="16">
        <f t="shared" si="28"/>
        <v>0</v>
      </c>
      <c r="D159" s="16">
        <f t="shared" si="29"/>
        <v>0</v>
      </c>
      <c r="E159" s="16">
        <f t="shared" si="30"/>
        <v>0</v>
      </c>
      <c r="F159" s="16">
        <f t="shared" si="31"/>
        <v>0</v>
      </c>
      <c r="G159" s="16">
        <f t="shared" si="32"/>
        <v>0</v>
      </c>
      <c r="H159" s="16">
        <f t="shared" si="33"/>
        <v>0</v>
      </c>
      <c r="I159" s="16">
        <f t="shared" si="34"/>
        <v>0</v>
      </c>
      <c r="J159" s="16">
        <f t="shared" si="35"/>
        <v>0</v>
      </c>
      <c r="K159" s="16">
        <f t="shared" si="36"/>
        <v>0</v>
      </c>
      <c r="L159" s="16">
        <f t="shared" si="37"/>
        <v>0</v>
      </c>
      <c r="M159" s="16">
        <f t="shared" si="38"/>
        <v>0</v>
      </c>
      <c r="N159" s="16">
        <f t="shared" si="39"/>
        <v>0</v>
      </c>
      <c r="O159" s="16">
        <f t="shared" si="40"/>
        <v>0</v>
      </c>
      <c r="P159" s="16" t="str">
        <f>+IF(AND(B159&gt;='Relevé de la Régularisation'!$C$9,B159&lt;='Relevé de la Régularisation'!$D$14),"OUI","NON")</f>
        <v>NON</v>
      </c>
      <c r="Q159" s="16" t="str">
        <f t="array" ref="Q159">IF(P159="OUI",MAX($Q$2:Q158)+1,"")</f>
        <v/>
      </c>
    </row>
    <row r="160" spans="1:17" x14ac:dyDescent="0.2">
      <c r="A160" s="453">
        <f t="shared" si="41"/>
        <v>46784</v>
      </c>
      <c r="B160" s="30">
        <v>46784</v>
      </c>
      <c r="C160" s="16">
        <f t="shared" si="28"/>
        <v>0</v>
      </c>
      <c r="D160" s="16">
        <f t="shared" si="29"/>
        <v>0</v>
      </c>
      <c r="E160" s="16">
        <f t="shared" si="30"/>
        <v>0</v>
      </c>
      <c r="F160" s="16">
        <f t="shared" si="31"/>
        <v>0</v>
      </c>
      <c r="G160" s="16">
        <f t="shared" si="32"/>
        <v>0</v>
      </c>
      <c r="H160" s="16">
        <f t="shared" si="33"/>
        <v>0</v>
      </c>
      <c r="I160" s="16">
        <f t="shared" si="34"/>
        <v>0</v>
      </c>
      <c r="J160" s="16">
        <f t="shared" si="35"/>
        <v>0</v>
      </c>
      <c r="K160" s="16">
        <f t="shared" si="36"/>
        <v>0</v>
      </c>
      <c r="L160" s="16">
        <f t="shared" si="37"/>
        <v>0</v>
      </c>
      <c r="M160" s="16">
        <f t="shared" si="38"/>
        <v>0</v>
      </c>
      <c r="N160" s="16">
        <f t="shared" si="39"/>
        <v>0</v>
      </c>
      <c r="O160" s="16">
        <f t="shared" si="40"/>
        <v>0</v>
      </c>
      <c r="P160" s="16" t="str">
        <f>+IF(AND(B160&gt;='Relevé de la Régularisation'!$C$9,B160&lt;='Relevé de la Régularisation'!$D$14),"OUI","NON")</f>
        <v>NON</v>
      </c>
      <c r="Q160" s="16" t="str">
        <f t="array" ref="Q160">IF(P160="OUI",MAX($Q$2:Q159)+1,"")</f>
        <v/>
      </c>
    </row>
    <row r="161" spans="1:17" x14ac:dyDescent="0.2">
      <c r="A161" s="453">
        <f t="shared" si="41"/>
        <v>46813</v>
      </c>
      <c r="B161" s="30">
        <v>46813</v>
      </c>
      <c r="C161" s="16">
        <f t="shared" si="28"/>
        <v>0</v>
      </c>
      <c r="D161" s="16">
        <f t="shared" si="29"/>
        <v>0</v>
      </c>
      <c r="E161" s="16">
        <f t="shared" si="30"/>
        <v>0</v>
      </c>
      <c r="F161" s="16">
        <f t="shared" si="31"/>
        <v>0</v>
      </c>
      <c r="G161" s="16">
        <f t="shared" si="32"/>
        <v>0</v>
      </c>
      <c r="H161" s="16">
        <f t="shared" si="33"/>
        <v>0</v>
      </c>
      <c r="I161" s="16">
        <f t="shared" si="34"/>
        <v>0</v>
      </c>
      <c r="J161" s="16">
        <f t="shared" si="35"/>
        <v>0</v>
      </c>
      <c r="K161" s="16">
        <f t="shared" si="36"/>
        <v>0</v>
      </c>
      <c r="L161" s="16">
        <f t="shared" si="37"/>
        <v>0</v>
      </c>
      <c r="M161" s="16">
        <f t="shared" si="38"/>
        <v>0</v>
      </c>
      <c r="N161" s="16">
        <f t="shared" si="39"/>
        <v>0</v>
      </c>
      <c r="O161" s="16">
        <f t="shared" si="40"/>
        <v>0</v>
      </c>
      <c r="P161" s="16" t="str">
        <f>+IF(AND(B161&gt;='Relevé de la Régularisation'!$C$9,B161&lt;='Relevé de la Régularisation'!$D$14),"OUI","NON")</f>
        <v>NON</v>
      </c>
      <c r="Q161" s="16" t="str">
        <f t="array" ref="Q161">IF(P161="OUI",MAX($Q$2:Q160)+1,"")</f>
        <v/>
      </c>
    </row>
    <row r="162" spans="1:17" x14ac:dyDescent="0.2">
      <c r="A162" s="453">
        <f t="shared" si="41"/>
        <v>46844</v>
      </c>
      <c r="B162" s="30">
        <v>46844</v>
      </c>
      <c r="C162" s="16">
        <f t="shared" si="28"/>
        <v>0</v>
      </c>
      <c r="D162" s="16">
        <f t="shared" si="29"/>
        <v>0</v>
      </c>
      <c r="E162" s="16">
        <f t="shared" si="30"/>
        <v>0</v>
      </c>
      <c r="F162" s="16">
        <f t="shared" si="31"/>
        <v>0</v>
      </c>
      <c r="G162" s="16">
        <f t="shared" si="32"/>
        <v>0</v>
      </c>
      <c r="H162" s="16">
        <f t="shared" si="33"/>
        <v>0</v>
      </c>
      <c r="I162" s="16">
        <f t="shared" si="34"/>
        <v>0</v>
      </c>
      <c r="J162" s="16">
        <f t="shared" si="35"/>
        <v>0</v>
      </c>
      <c r="K162" s="16">
        <f t="shared" si="36"/>
        <v>0</v>
      </c>
      <c r="L162" s="16">
        <f t="shared" si="37"/>
        <v>0</v>
      </c>
      <c r="M162" s="16">
        <f t="shared" si="38"/>
        <v>0</v>
      </c>
      <c r="N162" s="16">
        <f t="shared" si="39"/>
        <v>0</v>
      </c>
      <c r="O162" s="16">
        <f t="shared" si="40"/>
        <v>0</v>
      </c>
      <c r="P162" s="16" t="str">
        <f>+IF(AND(B162&gt;='Relevé de la Régularisation'!$C$9,B162&lt;='Relevé de la Régularisation'!$D$14),"OUI","NON")</f>
        <v>NON</v>
      </c>
      <c r="Q162" s="16" t="str">
        <f t="array" ref="Q162">IF(P162="OUI",MAX($Q$2:Q161)+1,"")</f>
        <v/>
      </c>
    </row>
    <row r="163" spans="1:17" x14ac:dyDescent="0.2">
      <c r="A163" s="453">
        <f t="shared" si="41"/>
        <v>46874</v>
      </c>
      <c r="B163" s="30">
        <v>46874</v>
      </c>
      <c r="C163" s="16">
        <f t="shared" si="28"/>
        <v>0</v>
      </c>
      <c r="D163" s="16">
        <f t="shared" si="29"/>
        <v>0</v>
      </c>
      <c r="E163" s="16">
        <f t="shared" si="30"/>
        <v>0</v>
      </c>
      <c r="F163" s="16">
        <f t="shared" si="31"/>
        <v>0</v>
      </c>
      <c r="G163" s="16">
        <f t="shared" si="32"/>
        <v>0</v>
      </c>
      <c r="H163" s="16">
        <f t="shared" si="33"/>
        <v>0</v>
      </c>
      <c r="I163" s="16">
        <f t="shared" si="34"/>
        <v>0</v>
      </c>
      <c r="J163" s="16">
        <f t="shared" si="35"/>
        <v>0</v>
      </c>
      <c r="K163" s="16">
        <f t="shared" si="36"/>
        <v>0</v>
      </c>
      <c r="L163" s="16">
        <f t="shared" si="37"/>
        <v>0</v>
      </c>
      <c r="M163" s="16">
        <f t="shared" si="38"/>
        <v>0</v>
      </c>
      <c r="N163" s="16">
        <f t="shared" si="39"/>
        <v>0</v>
      </c>
      <c r="O163" s="16">
        <f t="shared" si="40"/>
        <v>0</v>
      </c>
      <c r="P163" s="16" t="str">
        <f>+IF(AND(B163&gt;='Relevé de la Régularisation'!$C$9,B163&lt;='Relevé de la Régularisation'!$D$14),"OUI","NON")</f>
        <v>NON</v>
      </c>
      <c r="Q163" s="16" t="str">
        <f t="array" ref="Q163">IF(P163="OUI",MAX($Q$2:Q162)+1,"")</f>
        <v/>
      </c>
    </row>
    <row r="164" spans="1:17" x14ac:dyDescent="0.2">
      <c r="A164" s="453">
        <f t="shared" si="41"/>
        <v>46905</v>
      </c>
      <c r="B164" s="30">
        <v>46905</v>
      </c>
      <c r="C164" s="16">
        <f t="shared" si="28"/>
        <v>0</v>
      </c>
      <c r="D164" s="16">
        <f t="shared" si="29"/>
        <v>0</v>
      </c>
      <c r="E164" s="16">
        <f t="shared" si="30"/>
        <v>0</v>
      </c>
      <c r="F164" s="16">
        <f t="shared" si="31"/>
        <v>0</v>
      </c>
      <c r="G164" s="16">
        <f t="shared" si="32"/>
        <v>0</v>
      </c>
      <c r="H164" s="16">
        <f t="shared" si="33"/>
        <v>0</v>
      </c>
      <c r="I164" s="16">
        <f t="shared" si="34"/>
        <v>0</v>
      </c>
      <c r="J164" s="16">
        <f t="shared" si="35"/>
        <v>0</v>
      </c>
      <c r="K164" s="16">
        <f t="shared" si="36"/>
        <v>0</v>
      </c>
      <c r="L164" s="16">
        <f t="shared" si="37"/>
        <v>0</v>
      </c>
      <c r="M164" s="16">
        <f t="shared" si="38"/>
        <v>0</v>
      </c>
      <c r="N164" s="16">
        <f t="shared" si="39"/>
        <v>0</v>
      </c>
      <c r="O164" s="16">
        <f t="shared" si="40"/>
        <v>0</v>
      </c>
      <c r="P164" s="16" t="str">
        <f>+IF(AND(B164&gt;='Relevé de la Régularisation'!$C$9,B164&lt;='Relevé de la Régularisation'!$D$14),"OUI","NON")</f>
        <v>NON</v>
      </c>
      <c r="Q164" s="16" t="str">
        <f t="array" ref="Q164">IF(P164="OUI",MAX($Q$2:Q163)+1,"")</f>
        <v/>
      </c>
    </row>
    <row r="165" spans="1:17" x14ac:dyDescent="0.2">
      <c r="A165" s="453">
        <f t="shared" si="41"/>
        <v>46935</v>
      </c>
      <c r="B165" s="30">
        <v>46935</v>
      </c>
      <c r="C165" s="16">
        <f t="shared" si="28"/>
        <v>0</v>
      </c>
      <c r="D165" s="16">
        <f t="shared" si="29"/>
        <v>0</v>
      </c>
      <c r="E165" s="16">
        <f t="shared" si="30"/>
        <v>0</v>
      </c>
      <c r="F165" s="16">
        <f t="shared" si="31"/>
        <v>0</v>
      </c>
      <c r="G165" s="16">
        <f t="shared" si="32"/>
        <v>0</v>
      </c>
      <c r="H165" s="16">
        <f t="shared" si="33"/>
        <v>0</v>
      </c>
      <c r="I165" s="16">
        <f t="shared" si="34"/>
        <v>0</v>
      </c>
      <c r="J165" s="16">
        <f t="shared" si="35"/>
        <v>0</v>
      </c>
      <c r="K165" s="16">
        <f t="shared" si="36"/>
        <v>0</v>
      </c>
      <c r="L165" s="16">
        <f t="shared" si="37"/>
        <v>0</v>
      </c>
      <c r="M165" s="16">
        <f t="shared" si="38"/>
        <v>0</v>
      </c>
      <c r="N165" s="16">
        <f t="shared" si="39"/>
        <v>0</v>
      </c>
      <c r="O165" s="16">
        <f t="shared" si="40"/>
        <v>0</v>
      </c>
      <c r="P165" s="16" t="str">
        <f>+IF(AND(B165&gt;='Relevé de la Régularisation'!$C$9,B165&lt;='Relevé de la Régularisation'!$D$14),"OUI","NON")</f>
        <v>NON</v>
      </c>
      <c r="Q165" s="16" t="str">
        <f t="array" ref="Q165">IF(P165="OUI",MAX($Q$2:Q164)+1,"")</f>
        <v/>
      </c>
    </row>
    <row r="166" spans="1:17" x14ac:dyDescent="0.2">
      <c r="A166" s="453">
        <f t="shared" si="41"/>
        <v>46966</v>
      </c>
      <c r="B166" s="30">
        <v>46966</v>
      </c>
      <c r="C166" s="16">
        <f t="shared" si="28"/>
        <v>0</v>
      </c>
      <c r="D166" s="16">
        <f t="shared" si="29"/>
        <v>0</v>
      </c>
      <c r="E166" s="16">
        <f t="shared" si="30"/>
        <v>0</v>
      </c>
      <c r="F166" s="16">
        <f t="shared" si="31"/>
        <v>0</v>
      </c>
      <c r="G166" s="16">
        <f t="shared" si="32"/>
        <v>0</v>
      </c>
      <c r="H166" s="16">
        <f t="shared" si="33"/>
        <v>0</v>
      </c>
      <c r="I166" s="16">
        <f t="shared" si="34"/>
        <v>0</v>
      </c>
      <c r="J166" s="16">
        <f t="shared" si="35"/>
        <v>0</v>
      </c>
      <c r="K166" s="16">
        <f t="shared" si="36"/>
        <v>0</v>
      </c>
      <c r="L166" s="16">
        <f t="shared" si="37"/>
        <v>0</v>
      </c>
      <c r="M166" s="16">
        <f t="shared" si="38"/>
        <v>0</v>
      </c>
      <c r="N166" s="16">
        <f t="shared" si="39"/>
        <v>0</v>
      </c>
      <c r="O166" s="16">
        <f t="shared" si="40"/>
        <v>0</v>
      </c>
      <c r="P166" s="16" t="str">
        <f>+IF(AND(B166&gt;='Relevé de la Régularisation'!$C$9,B166&lt;='Relevé de la Régularisation'!$D$14),"OUI","NON")</f>
        <v>NON</v>
      </c>
      <c r="Q166" s="16" t="str">
        <f t="array" ref="Q166">IF(P166="OUI",MAX($Q$2:Q165)+1,"")</f>
        <v/>
      </c>
    </row>
    <row r="167" spans="1:17" x14ac:dyDescent="0.2">
      <c r="A167" s="453">
        <f t="shared" si="41"/>
        <v>46997</v>
      </c>
      <c r="B167" s="30">
        <v>46997</v>
      </c>
      <c r="C167" s="16">
        <f t="shared" si="28"/>
        <v>0</v>
      </c>
      <c r="D167" s="16">
        <f t="shared" si="29"/>
        <v>0</v>
      </c>
      <c r="E167" s="16">
        <f t="shared" si="30"/>
        <v>0</v>
      </c>
      <c r="F167" s="16">
        <f t="shared" si="31"/>
        <v>0</v>
      </c>
      <c r="G167" s="16">
        <f t="shared" si="32"/>
        <v>0</v>
      </c>
      <c r="H167" s="16">
        <f t="shared" si="33"/>
        <v>0</v>
      </c>
      <c r="I167" s="16">
        <f t="shared" si="34"/>
        <v>0</v>
      </c>
      <c r="J167" s="16">
        <f t="shared" si="35"/>
        <v>0</v>
      </c>
      <c r="K167" s="16">
        <f t="shared" si="36"/>
        <v>0</v>
      </c>
      <c r="L167" s="16">
        <f t="shared" si="37"/>
        <v>0</v>
      </c>
      <c r="M167" s="16">
        <f t="shared" si="38"/>
        <v>0</v>
      </c>
      <c r="N167" s="16">
        <f t="shared" si="39"/>
        <v>0</v>
      </c>
      <c r="O167" s="16">
        <f t="shared" si="40"/>
        <v>0</v>
      </c>
      <c r="P167" s="16" t="str">
        <f>+IF(AND(B167&gt;='Relevé de la Régularisation'!$C$9,B167&lt;='Relevé de la Régularisation'!$D$14),"OUI","NON")</f>
        <v>NON</v>
      </c>
      <c r="Q167" s="16" t="str">
        <f t="array" ref="Q167">IF(P167="OUI",MAX($Q$2:Q166)+1,"")</f>
        <v/>
      </c>
    </row>
    <row r="168" spans="1:17" x14ac:dyDescent="0.2">
      <c r="A168" s="453">
        <f t="shared" si="41"/>
        <v>47027</v>
      </c>
      <c r="B168" s="30">
        <v>47027</v>
      </c>
      <c r="C168" s="16">
        <f t="shared" si="28"/>
        <v>0</v>
      </c>
      <c r="D168" s="16">
        <f t="shared" si="29"/>
        <v>0</v>
      </c>
      <c r="E168" s="16">
        <f t="shared" si="30"/>
        <v>0</v>
      </c>
      <c r="F168" s="16">
        <f t="shared" si="31"/>
        <v>0</v>
      </c>
      <c r="G168" s="16">
        <f t="shared" si="32"/>
        <v>0</v>
      </c>
      <c r="H168" s="16">
        <f t="shared" si="33"/>
        <v>0</v>
      </c>
      <c r="I168" s="16">
        <f t="shared" si="34"/>
        <v>0</v>
      </c>
      <c r="J168" s="16">
        <f t="shared" si="35"/>
        <v>0</v>
      </c>
      <c r="K168" s="16">
        <f t="shared" si="36"/>
        <v>0</v>
      </c>
      <c r="L168" s="16">
        <f t="shared" si="37"/>
        <v>0</v>
      </c>
      <c r="M168" s="16">
        <f t="shared" si="38"/>
        <v>0</v>
      </c>
      <c r="N168" s="16">
        <f t="shared" si="39"/>
        <v>0</v>
      </c>
      <c r="O168" s="16">
        <f t="shared" si="40"/>
        <v>0</v>
      </c>
      <c r="P168" s="16" t="str">
        <f>+IF(AND(B168&gt;='Relevé de la Régularisation'!$C$9,B168&lt;='Relevé de la Régularisation'!$D$14),"OUI","NON")</f>
        <v>NON</v>
      </c>
      <c r="Q168" s="16" t="str">
        <f t="array" ref="Q168">IF(P168="OUI",MAX($Q$2:Q167)+1,"")</f>
        <v/>
      </c>
    </row>
    <row r="169" spans="1:17" x14ac:dyDescent="0.2">
      <c r="A169" s="453">
        <f t="shared" si="41"/>
        <v>47058</v>
      </c>
      <c r="B169" s="30">
        <v>47058</v>
      </c>
      <c r="C169" s="16">
        <f t="shared" si="28"/>
        <v>0</v>
      </c>
      <c r="D169" s="16">
        <f t="shared" si="29"/>
        <v>0</v>
      </c>
      <c r="E169" s="16">
        <f t="shared" si="30"/>
        <v>0</v>
      </c>
      <c r="F169" s="16">
        <f t="shared" si="31"/>
        <v>0</v>
      </c>
      <c r="G169" s="16">
        <f t="shared" si="32"/>
        <v>0</v>
      </c>
      <c r="H169" s="16">
        <f t="shared" si="33"/>
        <v>0</v>
      </c>
      <c r="I169" s="16">
        <f t="shared" si="34"/>
        <v>0</v>
      </c>
      <c r="J169" s="16">
        <f t="shared" si="35"/>
        <v>0</v>
      </c>
      <c r="K169" s="16">
        <f t="shared" si="36"/>
        <v>0</v>
      </c>
      <c r="L169" s="16">
        <f t="shared" si="37"/>
        <v>0</v>
      </c>
      <c r="M169" s="16">
        <f t="shared" si="38"/>
        <v>0</v>
      </c>
      <c r="N169" s="16">
        <f t="shared" si="39"/>
        <v>0</v>
      </c>
      <c r="O169" s="16">
        <f t="shared" si="40"/>
        <v>0</v>
      </c>
      <c r="P169" s="16" t="str">
        <f>+IF(AND(B169&gt;='Relevé de la Régularisation'!$C$9,B169&lt;='Relevé de la Régularisation'!$D$14),"OUI","NON")</f>
        <v>NON</v>
      </c>
      <c r="Q169" s="16" t="str">
        <f t="array" ref="Q169">IF(P169="OUI",MAX($Q$2:Q168)+1,"")</f>
        <v/>
      </c>
    </row>
    <row r="170" spans="1:17" x14ac:dyDescent="0.2">
      <c r="A170" s="453">
        <f t="shared" si="41"/>
        <v>47088</v>
      </c>
      <c r="B170" s="30">
        <v>47088</v>
      </c>
      <c r="C170" s="16">
        <f t="shared" si="28"/>
        <v>0</v>
      </c>
      <c r="D170" s="16">
        <f t="shared" si="29"/>
        <v>0</v>
      </c>
      <c r="E170" s="16">
        <f t="shared" si="30"/>
        <v>0</v>
      </c>
      <c r="F170" s="16">
        <f t="shared" si="31"/>
        <v>0</v>
      </c>
      <c r="G170" s="16">
        <f t="shared" si="32"/>
        <v>0</v>
      </c>
      <c r="H170" s="16">
        <f t="shared" si="33"/>
        <v>0</v>
      </c>
      <c r="I170" s="16">
        <f t="shared" si="34"/>
        <v>0</v>
      </c>
      <c r="J170" s="16">
        <f t="shared" si="35"/>
        <v>0</v>
      </c>
      <c r="K170" s="16">
        <f t="shared" si="36"/>
        <v>0</v>
      </c>
      <c r="L170" s="16">
        <f t="shared" si="37"/>
        <v>0</v>
      </c>
      <c r="M170" s="16">
        <f t="shared" si="38"/>
        <v>0</v>
      </c>
      <c r="N170" s="16">
        <f t="shared" si="39"/>
        <v>0</v>
      </c>
      <c r="O170" s="16">
        <f t="shared" si="40"/>
        <v>0</v>
      </c>
      <c r="P170" s="16" t="str">
        <f>+IF(AND(B170&gt;='Relevé de la Régularisation'!$C$9,B170&lt;='Relevé de la Régularisation'!$D$14),"OUI","NON")</f>
        <v>NON</v>
      </c>
      <c r="Q170" s="16" t="str">
        <f t="array" ref="Q170">IF(P170="OUI",MAX($Q$2:Q169)+1,"")</f>
        <v/>
      </c>
    </row>
    <row r="171" spans="1:17" x14ac:dyDescent="0.2">
      <c r="A171" s="453">
        <f t="shared" si="41"/>
        <v>47119</v>
      </c>
      <c r="B171" s="30">
        <v>47119</v>
      </c>
      <c r="C171" s="16">
        <f t="shared" si="28"/>
        <v>0</v>
      </c>
      <c r="D171" s="16">
        <f t="shared" si="29"/>
        <v>0</v>
      </c>
      <c r="E171" s="16">
        <f t="shared" si="30"/>
        <v>0</v>
      </c>
      <c r="F171" s="16">
        <f t="shared" si="31"/>
        <v>0</v>
      </c>
      <c r="G171" s="16">
        <f t="shared" si="32"/>
        <v>0</v>
      </c>
      <c r="H171" s="16">
        <f t="shared" si="33"/>
        <v>0</v>
      </c>
      <c r="I171" s="16">
        <f t="shared" si="34"/>
        <v>0</v>
      </c>
      <c r="J171" s="16">
        <f t="shared" si="35"/>
        <v>0</v>
      </c>
      <c r="K171" s="16">
        <f t="shared" si="36"/>
        <v>0</v>
      </c>
      <c r="L171" s="16">
        <f t="shared" si="37"/>
        <v>0</v>
      </c>
      <c r="M171" s="16">
        <f t="shared" si="38"/>
        <v>0</v>
      </c>
      <c r="N171" s="16">
        <f t="shared" si="39"/>
        <v>0</v>
      </c>
      <c r="O171" s="16">
        <f t="shared" si="40"/>
        <v>0</v>
      </c>
      <c r="P171" s="16" t="str">
        <f>+IF(AND(B171&gt;='Relevé de la Régularisation'!$C$9,B171&lt;='Relevé de la Régularisation'!$D$14),"OUI","NON")</f>
        <v>NON</v>
      </c>
      <c r="Q171" s="16" t="str">
        <f t="array" ref="Q171">IF(P171="OUI",MAX($Q$2:Q170)+1,"")</f>
        <v/>
      </c>
    </row>
    <row r="172" spans="1:17" x14ac:dyDescent="0.2">
      <c r="A172" s="453">
        <f t="shared" si="41"/>
        <v>47150</v>
      </c>
      <c r="B172" s="30">
        <v>47150</v>
      </c>
      <c r="C172" s="16">
        <f t="shared" si="28"/>
        <v>0</v>
      </c>
      <c r="D172" s="16">
        <f t="shared" si="29"/>
        <v>0</v>
      </c>
      <c r="E172" s="16">
        <f t="shared" si="30"/>
        <v>0</v>
      </c>
      <c r="F172" s="16">
        <f t="shared" si="31"/>
        <v>0</v>
      </c>
      <c r="G172" s="16">
        <f t="shared" si="32"/>
        <v>0</v>
      </c>
      <c r="H172" s="16">
        <f t="shared" si="33"/>
        <v>0</v>
      </c>
      <c r="I172" s="16">
        <f t="shared" si="34"/>
        <v>0</v>
      </c>
      <c r="J172" s="16">
        <f t="shared" si="35"/>
        <v>0</v>
      </c>
      <c r="K172" s="16">
        <f t="shared" si="36"/>
        <v>0</v>
      </c>
      <c r="L172" s="16">
        <f t="shared" si="37"/>
        <v>0</v>
      </c>
      <c r="M172" s="16">
        <f t="shared" si="38"/>
        <v>0</v>
      </c>
      <c r="N172" s="16">
        <f t="shared" si="39"/>
        <v>0</v>
      </c>
      <c r="O172" s="16">
        <f t="shared" si="40"/>
        <v>0</v>
      </c>
      <c r="P172" s="16" t="str">
        <f>+IF(AND(B172&gt;='Relevé de la Régularisation'!$C$9,B172&lt;='Relevé de la Régularisation'!$D$14),"OUI","NON")</f>
        <v>NON</v>
      </c>
      <c r="Q172" s="16" t="str">
        <f t="array" ref="Q172">IF(P172="OUI",MAX($Q$2:Q171)+1,"")</f>
        <v/>
      </c>
    </row>
    <row r="173" spans="1:17" x14ac:dyDescent="0.2">
      <c r="A173" s="453">
        <f t="shared" si="41"/>
        <v>47178</v>
      </c>
      <c r="B173" s="30">
        <v>47178</v>
      </c>
      <c r="C173" s="16">
        <f t="shared" si="28"/>
        <v>0</v>
      </c>
      <c r="D173" s="16">
        <f t="shared" si="29"/>
        <v>0</v>
      </c>
      <c r="E173" s="16">
        <f t="shared" si="30"/>
        <v>0</v>
      </c>
      <c r="F173" s="16">
        <f t="shared" si="31"/>
        <v>0</v>
      </c>
      <c r="G173" s="16">
        <f t="shared" si="32"/>
        <v>0</v>
      </c>
      <c r="H173" s="16">
        <f t="shared" si="33"/>
        <v>0</v>
      </c>
      <c r="I173" s="16">
        <f t="shared" si="34"/>
        <v>0</v>
      </c>
      <c r="J173" s="16">
        <f t="shared" si="35"/>
        <v>0</v>
      </c>
      <c r="K173" s="16">
        <f t="shared" si="36"/>
        <v>0</v>
      </c>
      <c r="L173" s="16">
        <f t="shared" si="37"/>
        <v>0</v>
      </c>
      <c r="M173" s="16">
        <f t="shared" si="38"/>
        <v>0</v>
      </c>
      <c r="N173" s="16">
        <f t="shared" si="39"/>
        <v>0</v>
      </c>
      <c r="O173" s="16">
        <f t="shared" si="40"/>
        <v>0</v>
      </c>
      <c r="P173" s="16" t="str">
        <f>+IF(AND(B173&gt;='Relevé de la Régularisation'!$C$9,B173&lt;='Relevé de la Régularisation'!$D$14),"OUI","NON")</f>
        <v>NON</v>
      </c>
      <c r="Q173" s="16" t="str">
        <f t="array" ref="Q173">IF(P173="OUI",MAX($Q$2:Q172)+1,"")</f>
        <v/>
      </c>
    </row>
    <row r="174" spans="1:17" x14ac:dyDescent="0.2">
      <c r="A174" s="453">
        <f t="shared" si="41"/>
        <v>47209</v>
      </c>
      <c r="B174" s="30">
        <v>47209</v>
      </c>
      <c r="C174" s="16">
        <f t="shared" si="28"/>
        <v>0</v>
      </c>
      <c r="D174" s="16">
        <f t="shared" si="29"/>
        <v>0</v>
      </c>
      <c r="E174" s="16">
        <f t="shared" si="30"/>
        <v>0</v>
      </c>
      <c r="F174" s="16">
        <f t="shared" si="31"/>
        <v>0</v>
      </c>
      <c r="G174" s="16">
        <f t="shared" si="32"/>
        <v>0</v>
      </c>
      <c r="H174" s="16">
        <f t="shared" si="33"/>
        <v>0</v>
      </c>
      <c r="I174" s="16">
        <f t="shared" si="34"/>
        <v>0</v>
      </c>
      <c r="J174" s="16">
        <f t="shared" si="35"/>
        <v>0</v>
      </c>
      <c r="K174" s="16">
        <f t="shared" si="36"/>
        <v>0</v>
      </c>
      <c r="L174" s="16">
        <f t="shared" si="37"/>
        <v>0</v>
      </c>
      <c r="M174" s="16">
        <f t="shared" si="38"/>
        <v>0</v>
      </c>
      <c r="N174" s="16">
        <f t="shared" si="39"/>
        <v>0</v>
      </c>
      <c r="O174" s="16">
        <f t="shared" si="40"/>
        <v>0</v>
      </c>
      <c r="P174" s="16" t="str">
        <f>+IF(AND(B174&gt;='Relevé de la Régularisation'!$C$9,B174&lt;='Relevé de la Régularisation'!$D$14),"OUI","NON")</f>
        <v>NON</v>
      </c>
      <c r="Q174" s="16" t="str">
        <f t="array" ref="Q174">IF(P174="OUI",MAX($Q$2:Q173)+1,"")</f>
        <v/>
      </c>
    </row>
    <row r="175" spans="1:17" x14ac:dyDescent="0.2">
      <c r="A175" s="453">
        <f t="shared" si="41"/>
        <v>47239</v>
      </c>
      <c r="B175" s="30">
        <v>47239</v>
      </c>
      <c r="C175" s="16">
        <f t="shared" si="28"/>
        <v>0</v>
      </c>
      <c r="D175" s="16">
        <f t="shared" si="29"/>
        <v>0</v>
      </c>
      <c r="E175" s="16">
        <f t="shared" si="30"/>
        <v>0</v>
      </c>
      <c r="F175" s="16">
        <f t="shared" si="31"/>
        <v>0</v>
      </c>
      <c r="G175" s="16">
        <f t="shared" si="32"/>
        <v>0</v>
      </c>
      <c r="H175" s="16">
        <f t="shared" si="33"/>
        <v>0</v>
      </c>
      <c r="I175" s="16">
        <f t="shared" si="34"/>
        <v>0</v>
      </c>
      <c r="J175" s="16">
        <f t="shared" si="35"/>
        <v>0</v>
      </c>
      <c r="K175" s="16">
        <f t="shared" si="36"/>
        <v>0</v>
      </c>
      <c r="L175" s="16">
        <f t="shared" si="37"/>
        <v>0</v>
      </c>
      <c r="M175" s="16">
        <f t="shared" si="38"/>
        <v>0</v>
      </c>
      <c r="N175" s="16">
        <f t="shared" si="39"/>
        <v>0</v>
      </c>
      <c r="O175" s="16">
        <f t="shared" si="40"/>
        <v>0</v>
      </c>
      <c r="P175" s="16" t="str">
        <f>+IF(AND(B175&gt;='Relevé de la Régularisation'!$C$9,B175&lt;='Relevé de la Régularisation'!$D$14),"OUI","NON")</f>
        <v>NON</v>
      </c>
      <c r="Q175" s="16" t="str">
        <f t="array" ref="Q175">IF(P175="OUI",MAX($Q$2:Q174)+1,"")</f>
        <v/>
      </c>
    </row>
    <row r="176" spans="1:17" x14ac:dyDescent="0.2">
      <c r="A176" s="453">
        <f t="shared" si="41"/>
        <v>47270</v>
      </c>
      <c r="B176" s="30">
        <v>47270</v>
      </c>
      <c r="C176" s="16">
        <f t="shared" si="28"/>
        <v>0</v>
      </c>
      <c r="D176" s="16">
        <f t="shared" si="29"/>
        <v>0</v>
      </c>
      <c r="E176" s="16">
        <f t="shared" si="30"/>
        <v>0</v>
      </c>
      <c r="F176" s="16">
        <f t="shared" si="31"/>
        <v>0</v>
      </c>
      <c r="G176" s="16">
        <f t="shared" si="32"/>
        <v>0</v>
      </c>
      <c r="H176" s="16">
        <f t="shared" si="33"/>
        <v>0</v>
      </c>
      <c r="I176" s="16">
        <f t="shared" si="34"/>
        <v>0</v>
      </c>
      <c r="J176" s="16">
        <f t="shared" si="35"/>
        <v>0</v>
      </c>
      <c r="K176" s="16">
        <f t="shared" si="36"/>
        <v>0</v>
      </c>
      <c r="L176" s="16">
        <f t="shared" si="37"/>
        <v>0</v>
      </c>
      <c r="M176" s="16">
        <f t="shared" si="38"/>
        <v>0</v>
      </c>
      <c r="N176" s="16">
        <f t="shared" si="39"/>
        <v>0</v>
      </c>
      <c r="O176" s="16">
        <f t="shared" si="40"/>
        <v>0</v>
      </c>
      <c r="P176" s="16" t="str">
        <f>+IF(AND(B176&gt;='Relevé de la Régularisation'!$C$9,B176&lt;='Relevé de la Régularisation'!$D$14),"OUI","NON")</f>
        <v>NON</v>
      </c>
      <c r="Q176" s="16" t="str">
        <f t="array" ref="Q176">IF(P176="OUI",MAX($Q$2:Q175)+1,"")</f>
        <v/>
      </c>
    </row>
    <row r="177" spans="1:17" x14ac:dyDescent="0.2">
      <c r="A177" s="453">
        <f t="shared" si="41"/>
        <v>47300</v>
      </c>
      <c r="B177" s="30">
        <v>47300</v>
      </c>
      <c r="C177" s="16">
        <f t="shared" si="28"/>
        <v>0</v>
      </c>
      <c r="D177" s="16">
        <f t="shared" si="29"/>
        <v>0</v>
      </c>
      <c r="E177" s="16">
        <f t="shared" si="30"/>
        <v>0</v>
      </c>
      <c r="F177" s="16">
        <f t="shared" si="31"/>
        <v>0</v>
      </c>
      <c r="G177" s="16">
        <f t="shared" si="32"/>
        <v>0</v>
      </c>
      <c r="H177" s="16">
        <f t="shared" si="33"/>
        <v>0</v>
      </c>
      <c r="I177" s="16">
        <f t="shared" si="34"/>
        <v>0</v>
      </c>
      <c r="J177" s="16">
        <f t="shared" si="35"/>
        <v>0</v>
      </c>
      <c r="K177" s="16">
        <f t="shared" si="36"/>
        <v>0</v>
      </c>
      <c r="L177" s="16">
        <f t="shared" si="37"/>
        <v>0</v>
      </c>
      <c r="M177" s="16">
        <f t="shared" si="38"/>
        <v>0</v>
      </c>
      <c r="N177" s="16">
        <f t="shared" si="39"/>
        <v>0</v>
      </c>
      <c r="O177" s="16">
        <f t="shared" si="40"/>
        <v>0</v>
      </c>
      <c r="P177" s="16" t="str">
        <f>+IF(AND(B177&gt;='Relevé de la Régularisation'!$C$9,B177&lt;='Relevé de la Régularisation'!$D$14),"OUI","NON")</f>
        <v>NON</v>
      </c>
      <c r="Q177" s="16" t="str">
        <f t="array" ref="Q177">IF(P177="OUI",MAX($Q$2:Q176)+1,"")</f>
        <v/>
      </c>
    </row>
    <row r="178" spans="1:17" x14ac:dyDescent="0.2">
      <c r="A178" s="453">
        <f t="shared" si="41"/>
        <v>47331</v>
      </c>
      <c r="B178" s="30">
        <v>47331</v>
      </c>
      <c r="C178" s="16">
        <f t="shared" si="28"/>
        <v>0</v>
      </c>
      <c r="D178" s="16">
        <f t="shared" si="29"/>
        <v>0</v>
      </c>
      <c r="E178" s="16">
        <f t="shared" si="30"/>
        <v>0</v>
      </c>
      <c r="F178" s="16">
        <f t="shared" si="31"/>
        <v>0</v>
      </c>
      <c r="G178" s="16">
        <f t="shared" si="32"/>
        <v>0</v>
      </c>
      <c r="H178" s="16">
        <f t="shared" si="33"/>
        <v>0</v>
      </c>
      <c r="I178" s="16">
        <f t="shared" si="34"/>
        <v>0</v>
      </c>
      <c r="J178" s="16">
        <f t="shared" si="35"/>
        <v>0</v>
      </c>
      <c r="K178" s="16">
        <f t="shared" si="36"/>
        <v>0</v>
      </c>
      <c r="L178" s="16">
        <f t="shared" si="37"/>
        <v>0</v>
      </c>
      <c r="M178" s="16">
        <f t="shared" si="38"/>
        <v>0</v>
      </c>
      <c r="N178" s="16">
        <f t="shared" si="39"/>
        <v>0</v>
      </c>
      <c r="O178" s="16">
        <f t="shared" si="40"/>
        <v>0</v>
      </c>
      <c r="P178" s="16" t="str">
        <f>+IF(AND(B178&gt;='Relevé de la Régularisation'!$C$9,B178&lt;='Relevé de la Régularisation'!$D$14),"OUI","NON")</f>
        <v>NON</v>
      </c>
      <c r="Q178" s="16" t="str">
        <f t="array" ref="Q178">IF(P178="OUI",MAX($Q$2:Q177)+1,"")</f>
        <v/>
      </c>
    </row>
    <row r="179" spans="1:17" x14ac:dyDescent="0.2">
      <c r="A179" s="453">
        <f t="shared" si="41"/>
        <v>47362</v>
      </c>
      <c r="B179" s="30">
        <v>47362</v>
      </c>
      <c r="C179" s="16">
        <f t="shared" si="28"/>
        <v>0</v>
      </c>
      <c r="D179" s="16">
        <f t="shared" si="29"/>
        <v>0</v>
      </c>
      <c r="E179" s="16">
        <f t="shared" si="30"/>
        <v>0</v>
      </c>
      <c r="F179" s="16">
        <f t="shared" si="31"/>
        <v>0</v>
      </c>
      <c r="G179" s="16">
        <f t="shared" si="32"/>
        <v>0</v>
      </c>
      <c r="H179" s="16">
        <f t="shared" si="33"/>
        <v>0</v>
      </c>
      <c r="I179" s="16">
        <f t="shared" si="34"/>
        <v>0</v>
      </c>
      <c r="J179" s="16">
        <f t="shared" si="35"/>
        <v>0</v>
      </c>
      <c r="K179" s="16">
        <f t="shared" si="36"/>
        <v>0</v>
      </c>
      <c r="L179" s="16">
        <f t="shared" si="37"/>
        <v>0</v>
      </c>
      <c r="M179" s="16">
        <f t="shared" si="38"/>
        <v>0</v>
      </c>
      <c r="N179" s="16">
        <f t="shared" si="39"/>
        <v>0</v>
      </c>
      <c r="O179" s="16">
        <f t="shared" si="40"/>
        <v>0</v>
      </c>
      <c r="P179" s="16" t="str">
        <f>+IF(AND(B179&gt;='Relevé de la Régularisation'!$C$9,B179&lt;='Relevé de la Régularisation'!$D$14),"OUI","NON")</f>
        <v>NON</v>
      </c>
      <c r="Q179" s="16" t="str">
        <f t="array" ref="Q179">IF(P179="OUI",MAX($Q$2:Q178)+1,"")</f>
        <v/>
      </c>
    </row>
    <row r="180" spans="1:17" x14ac:dyDescent="0.2">
      <c r="A180" s="453">
        <f t="shared" si="41"/>
        <v>47392</v>
      </c>
      <c r="B180" s="30">
        <v>47392</v>
      </c>
      <c r="C180" s="16">
        <f t="shared" si="28"/>
        <v>0</v>
      </c>
      <c r="D180" s="16">
        <f t="shared" si="29"/>
        <v>0</v>
      </c>
      <c r="E180" s="16">
        <f t="shared" si="30"/>
        <v>0</v>
      </c>
      <c r="F180" s="16">
        <f t="shared" si="31"/>
        <v>0</v>
      </c>
      <c r="G180" s="16">
        <f t="shared" si="32"/>
        <v>0</v>
      </c>
      <c r="H180" s="16">
        <f t="shared" si="33"/>
        <v>0</v>
      </c>
      <c r="I180" s="16">
        <f t="shared" si="34"/>
        <v>0</v>
      </c>
      <c r="J180" s="16">
        <f t="shared" si="35"/>
        <v>0</v>
      </c>
      <c r="K180" s="16">
        <f t="shared" si="36"/>
        <v>0</v>
      </c>
      <c r="L180" s="16">
        <f t="shared" si="37"/>
        <v>0</v>
      </c>
      <c r="M180" s="16">
        <f t="shared" si="38"/>
        <v>0</v>
      </c>
      <c r="N180" s="16">
        <f t="shared" si="39"/>
        <v>0</v>
      </c>
      <c r="O180" s="16">
        <f t="shared" si="40"/>
        <v>0</v>
      </c>
      <c r="P180" s="16" t="str">
        <f>+IF(AND(B180&gt;='Relevé de la Régularisation'!$C$9,B180&lt;='Relevé de la Régularisation'!$D$14),"OUI","NON")</f>
        <v>NON</v>
      </c>
      <c r="Q180" s="16" t="str">
        <f t="array" ref="Q180">IF(P180="OUI",MAX($Q$2:Q179)+1,"")</f>
        <v/>
      </c>
    </row>
    <row r="181" spans="1:17" x14ac:dyDescent="0.2">
      <c r="A181" s="453">
        <f t="shared" si="41"/>
        <v>47423</v>
      </c>
      <c r="B181" s="30">
        <v>47423</v>
      </c>
      <c r="C181" s="16">
        <f t="shared" si="28"/>
        <v>0</v>
      </c>
      <c r="D181" s="16">
        <f t="shared" si="29"/>
        <v>0</v>
      </c>
      <c r="E181" s="16">
        <f t="shared" si="30"/>
        <v>0</v>
      </c>
      <c r="F181" s="16">
        <f t="shared" si="31"/>
        <v>0</v>
      </c>
      <c r="G181" s="16">
        <f t="shared" si="32"/>
        <v>0</v>
      </c>
      <c r="H181" s="16">
        <f t="shared" si="33"/>
        <v>0</v>
      </c>
      <c r="I181" s="16">
        <f t="shared" si="34"/>
        <v>0</v>
      </c>
      <c r="J181" s="16">
        <f t="shared" si="35"/>
        <v>0</v>
      </c>
      <c r="K181" s="16">
        <f t="shared" si="36"/>
        <v>0</v>
      </c>
      <c r="L181" s="16">
        <f t="shared" si="37"/>
        <v>0</v>
      </c>
      <c r="M181" s="16">
        <f t="shared" si="38"/>
        <v>0</v>
      </c>
      <c r="N181" s="16">
        <f t="shared" si="39"/>
        <v>0</v>
      </c>
      <c r="O181" s="16">
        <f t="shared" si="40"/>
        <v>0</v>
      </c>
      <c r="P181" s="16" t="str">
        <f>+IF(AND(B181&gt;='Relevé de la Régularisation'!$C$9,B181&lt;='Relevé de la Régularisation'!$D$14),"OUI","NON")</f>
        <v>NON</v>
      </c>
      <c r="Q181" s="16" t="str">
        <f t="array" ref="Q181">IF(P181="OUI",MAX($Q$2:Q180)+1,"")</f>
        <v/>
      </c>
    </row>
    <row r="182" spans="1:17" x14ac:dyDescent="0.2">
      <c r="A182" s="453">
        <f t="shared" si="41"/>
        <v>47453</v>
      </c>
      <c r="B182" s="30">
        <v>47453</v>
      </c>
      <c r="C182" s="16">
        <f t="shared" si="28"/>
        <v>0</v>
      </c>
      <c r="D182" s="16">
        <f t="shared" si="29"/>
        <v>0</v>
      </c>
      <c r="E182" s="16">
        <f t="shared" si="30"/>
        <v>0</v>
      </c>
      <c r="F182" s="16">
        <f t="shared" si="31"/>
        <v>0</v>
      </c>
      <c r="G182" s="16">
        <f t="shared" si="32"/>
        <v>0</v>
      </c>
      <c r="H182" s="16">
        <f t="shared" si="33"/>
        <v>0</v>
      </c>
      <c r="I182" s="16">
        <f t="shared" si="34"/>
        <v>0</v>
      </c>
      <c r="J182" s="16">
        <f t="shared" si="35"/>
        <v>0</v>
      </c>
      <c r="K182" s="16">
        <f t="shared" si="36"/>
        <v>0</v>
      </c>
      <c r="L182" s="16">
        <f t="shared" si="37"/>
        <v>0</v>
      </c>
      <c r="M182" s="16">
        <f t="shared" si="38"/>
        <v>0</v>
      </c>
      <c r="N182" s="16">
        <f t="shared" si="39"/>
        <v>0</v>
      </c>
      <c r="O182" s="16">
        <f t="shared" si="40"/>
        <v>0</v>
      </c>
      <c r="P182" s="16" t="str">
        <f>+IF(AND(B182&gt;='Relevé de la Régularisation'!$C$9,B182&lt;='Relevé de la Régularisation'!$D$14),"OUI","NON")</f>
        <v>NON</v>
      </c>
      <c r="Q182" s="16" t="str">
        <f t="array" ref="Q182">IF(P182="OUI",MAX($Q$2:Q181)+1,"")</f>
        <v/>
      </c>
    </row>
    <row r="183" spans="1:17" x14ac:dyDescent="0.2">
      <c r="A183" s="453">
        <f t="shared" si="41"/>
        <v>47484</v>
      </c>
      <c r="B183" s="30">
        <v>47484</v>
      </c>
      <c r="C183" s="16">
        <f t="shared" si="28"/>
        <v>0</v>
      </c>
      <c r="D183" s="16">
        <f t="shared" si="29"/>
        <v>0</v>
      </c>
      <c r="E183" s="16">
        <f t="shared" si="30"/>
        <v>0</v>
      </c>
      <c r="F183" s="16">
        <f t="shared" si="31"/>
        <v>0</v>
      </c>
      <c r="G183" s="16">
        <f t="shared" si="32"/>
        <v>0</v>
      </c>
      <c r="H183" s="16">
        <f t="shared" si="33"/>
        <v>0</v>
      </c>
      <c r="I183" s="16">
        <f t="shared" si="34"/>
        <v>0</v>
      </c>
      <c r="J183" s="16">
        <f t="shared" si="35"/>
        <v>0</v>
      </c>
      <c r="K183" s="16">
        <f t="shared" si="36"/>
        <v>0</v>
      </c>
      <c r="L183" s="16">
        <f t="shared" si="37"/>
        <v>0</v>
      </c>
      <c r="M183" s="16">
        <f t="shared" si="38"/>
        <v>0</v>
      </c>
      <c r="N183" s="16">
        <f t="shared" si="39"/>
        <v>0</v>
      </c>
      <c r="O183" s="16">
        <f t="shared" si="40"/>
        <v>0</v>
      </c>
      <c r="P183" s="16" t="str">
        <f>+IF(AND(B183&gt;='Relevé de la Régularisation'!$C$9,B183&lt;='Relevé de la Régularisation'!$D$14),"OUI","NON")</f>
        <v>NON</v>
      </c>
      <c r="Q183" s="16" t="str">
        <f t="array" ref="Q183">IF(P183="OUI",MAX($Q$2:Q182)+1,"")</f>
        <v/>
      </c>
    </row>
    <row r="184" spans="1:17" x14ac:dyDescent="0.2">
      <c r="A184" s="453">
        <f t="shared" si="41"/>
        <v>47515</v>
      </c>
      <c r="B184" s="30">
        <v>47515</v>
      </c>
      <c r="C184" s="16">
        <f t="shared" si="28"/>
        <v>0</v>
      </c>
      <c r="D184" s="16">
        <f t="shared" si="29"/>
        <v>0</v>
      </c>
      <c r="E184" s="16">
        <f t="shared" si="30"/>
        <v>0</v>
      </c>
      <c r="F184" s="16">
        <f t="shared" si="31"/>
        <v>0</v>
      </c>
      <c r="G184" s="16">
        <f t="shared" si="32"/>
        <v>0</v>
      </c>
      <c r="H184" s="16">
        <f t="shared" si="33"/>
        <v>0</v>
      </c>
      <c r="I184" s="16">
        <f t="shared" si="34"/>
        <v>0</v>
      </c>
      <c r="J184" s="16">
        <f t="shared" si="35"/>
        <v>0</v>
      </c>
      <c r="K184" s="16">
        <f t="shared" si="36"/>
        <v>0</v>
      </c>
      <c r="L184" s="16">
        <f t="shared" si="37"/>
        <v>0</v>
      </c>
      <c r="M184" s="16">
        <f t="shared" si="38"/>
        <v>0</v>
      </c>
      <c r="N184" s="16">
        <f t="shared" si="39"/>
        <v>0</v>
      </c>
      <c r="O184" s="16">
        <f t="shared" si="40"/>
        <v>0</v>
      </c>
      <c r="P184" s="16" t="str">
        <f>+IF(AND(B184&gt;='Relevé de la Régularisation'!$C$9,B184&lt;='Relevé de la Régularisation'!$D$14),"OUI","NON")</f>
        <v>NON</v>
      </c>
      <c r="Q184" s="16" t="str">
        <f t="array" ref="Q184">IF(P184="OUI",MAX($Q$2:Q183)+1,"")</f>
        <v/>
      </c>
    </row>
    <row r="185" spans="1:17" x14ac:dyDescent="0.2">
      <c r="A185" s="453">
        <f t="shared" si="41"/>
        <v>47543</v>
      </c>
      <c r="B185" s="30">
        <v>47543</v>
      </c>
      <c r="C185" s="16">
        <f t="shared" si="28"/>
        <v>0</v>
      </c>
      <c r="D185" s="16">
        <f t="shared" si="29"/>
        <v>0</v>
      </c>
      <c r="E185" s="16">
        <f t="shared" si="30"/>
        <v>0</v>
      </c>
      <c r="F185" s="16">
        <f t="shared" si="31"/>
        <v>0</v>
      </c>
      <c r="G185" s="16">
        <f t="shared" si="32"/>
        <v>0</v>
      </c>
      <c r="H185" s="16">
        <f t="shared" si="33"/>
        <v>0</v>
      </c>
      <c r="I185" s="16">
        <f t="shared" si="34"/>
        <v>0</v>
      </c>
      <c r="J185" s="16">
        <f t="shared" si="35"/>
        <v>0</v>
      </c>
      <c r="K185" s="16">
        <f t="shared" si="36"/>
        <v>0</v>
      </c>
      <c r="L185" s="16">
        <f t="shared" si="37"/>
        <v>0</v>
      </c>
      <c r="M185" s="16">
        <f t="shared" si="38"/>
        <v>0</v>
      </c>
      <c r="N185" s="16">
        <f t="shared" si="39"/>
        <v>0</v>
      </c>
      <c r="O185" s="16">
        <f t="shared" si="40"/>
        <v>0</v>
      </c>
      <c r="P185" s="16" t="str">
        <f>+IF(AND(B185&gt;='Relevé de la Régularisation'!$C$9,B185&lt;='Relevé de la Régularisation'!$D$14),"OUI","NON")</f>
        <v>NON</v>
      </c>
      <c r="Q185" s="16" t="str">
        <f t="array" ref="Q185">IF(P185="OUI",MAX($Q$2:Q184)+1,"")</f>
        <v/>
      </c>
    </row>
    <row r="186" spans="1:17" x14ac:dyDescent="0.2">
      <c r="A186" s="453">
        <f t="shared" si="41"/>
        <v>47574</v>
      </c>
      <c r="B186" s="30">
        <v>47574</v>
      </c>
      <c r="C186" s="16">
        <f t="shared" si="28"/>
        <v>0</v>
      </c>
      <c r="D186" s="16">
        <f t="shared" si="29"/>
        <v>0</v>
      </c>
      <c r="E186" s="16">
        <f t="shared" si="30"/>
        <v>0</v>
      </c>
      <c r="F186" s="16">
        <f t="shared" si="31"/>
        <v>0</v>
      </c>
      <c r="G186" s="16">
        <f t="shared" si="32"/>
        <v>0</v>
      </c>
      <c r="H186" s="16">
        <f t="shared" si="33"/>
        <v>0</v>
      </c>
      <c r="I186" s="16">
        <f t="shared" si="34"/>
        <v>0</v>
      </c>
      <c r="J186" s="16">
        <f t="shared" si="35"/>
        <v>0</v>
      </c>
      <c r="K186" s="16">
        <f t="shared" si="36"/>
        <v>0</v>
      </c>
      <c r="L186" s="16">
        <f t="shared" si="37"/>
        <v>0</v>
      </c>
      <c r="M186" s="16">
        <f t="shared" si="38"/>
        <v>0</v>
      </c>
      <c r="N186" s="16">
        <f t="shared" si="39"/>
        <v>0</v>
      </c>
      <c r="O186" s="16">
        <f t="shared" si="40"/>
        <v>0</v>
      </c>
      <c r="P186" s="16" t="str">
        <f>+IF(AND(B186&gt;='Relevé de la Régularisation'!$C$9,B186&lt;='Relevé de la Régularisation'!$D$14),"OUI","NON")</f>
        <v>NON</v>
      </c>
      <c r="Q186" s="16" t="str">
        <f t="array" ref="Q186">IF(P186="OUI",MAX($Q$2:Q185)+1,"")</f>
        <v/>
      </c>
    </row>
    <row r="187" spans="1:17" x14ac:dyDescent="0.2">
      <c r="A187" s="453">
        <f t="shared" si="41"/>
        <v>47604</v>
      </c>
      <c r="B187" s="30">
        <v>47604</v>
      </c>
      <c r="C187" s="16">
        <f t="shared" si="28"/>
        <v>0</v>
      </c>
      <c r="D187" s="16">
        <f t="shared" si="29"/>
        <v>0</v>
      </c>
      <c r="E187" s="16">
        <f t="shared" si="30"/>
        <v>0</v>
      </c>
      <c r="F187" s="16">
        <f t="shared" si="31"/>
        <v>0</v>
      </c>
      <c r="G187" s="16">
        <f t="shared" si="32"/>
        <v>0</v>
      </c>
      <c r="H187" s="16">
        <f t="shared" si="33"/>
        <v>0</v>
      </c>
      <c r="I187" s="16">
        <f t="shared" si="34"/>
        <v>0</v>
      </c>
      <c r="J187" s="16">
        <f t="shared" si="35"/>
        <v>0</v>
      </c>
      <c r="K187" s="16">
        <f t="shared" si="36"/>
        <v>0</v>
      </c>
      <c r="L187" s="16">
        <f t="shared" si="37"/>
        <v>0</v>
      </c>
      <c r="M187" s="16">
        <f t="shared" si="38"/>
        <v>0</v>
      </c>
      <c r="N187" s="16">
        <f t="shared" si="39"/>
        <v>0</v>
      </c>
      <c r="O187" s="16">
        <f t="shared" si="40"/>
        <v>0</v>
      </c>
      <c r="P187" s="16" t="str">
        <f>+IF(AND(B187&gt;='Relevé de la Régularisation'!$C$9,B187&lt;='Relevé de la Régularisation'!$D$14),"OUI","NON")</f>
        <v>NON</v>
      </c>
      <c r="Q187" s="16" t="str">
        <f t="array" ref="Q187">IF(P187="OUI",MAX($Q$2:Q186)+1,"")</f>
        <v/>
      </c>
    </row>
    <row r="188" spans="1:17" x14ac:dyDescent="0.2">
      <c r="A188" s="453">
        <f t="shared" si="41"/>
        <v>47635</v>
      </c>
      <c r="B188" s="30">
        <v>47635</v>
      </c>
      <c r="C188" s="16">
        <f t="shared" si="28"/>
        <v>0</v>
      </c>
      <c r="D188" s="16">
        <f t="shared" si="29"/>
        <v>0</v>
      </c>
      <c r="E188" s="16">
        <f t="shared" si="30"/>
        <v>0</v>
      </c>
      <c r="F188" s="16">
        <f t="shared" si="31"/>
        <v>0</v>
      </c>
      <c r="G188" s="16">
        <f t="shared" si="32"/>
        <v>0</v>
      </c>
      <c r="H188" s="16">
        <f t="shared" si="33"/>
        <v>0</v>
      </c>
      <c r="I188" s="16">
        <f t="shared" si="34"/>
        <v>0</v>
      </c>
      <c r="J188" s="16">
        <f t="shared" si="35"/>
        <v>0</v>
      </c>
      <c r="K188" s="16">
        <f t="shared" si="36"/>
        <v>0</v>
      </c>
      <c r="L188" s="16">
        <f t="shared" si="37"/>
        <v>0</v>
      </c>
      <c r="M188" s="16">
        <f t="shared" si="38"/>
        <v>0</v>
      </c>
      <c r="N188" s="16">
        <f t="shared" si="39"/>
        <v>0</v>
      </c>
      <c r="O188" s="16">
        <f t="shared" si="40"/>
        <v>0</v>
      </c>
      <c r="P188" s="16" t="str">
        <f>+IF(AND(B188&gt;='Relevé de la Régularisation'!$C$9,B188&lt;='Relevé de la Régularisation'!$D$14),"OUI","NON")</f>
        <v>NON</v>
      </c>
      <c r="Q188" s="16" t="str">
        <f t="array" ref="Q188">IF(P188="OUI",MAX($Q$2:Q187)+1,"")</f>
        <v/>
      </c>
    </row>
    <row r="189" spans="1:17" x14ac:dyDescent="0.2">
      <c r="A189" s="453">
        <f t="shared" si="41"/>
        <v>47665</v>
      </c>
      <c r="B189" s="30">
        <v>47665</v>
      </c>
      <c r="C189" s="16">
        <f t="shared" si="28"/>
        <v>0</v>
      </c>
      <c r="D189" s="16">
        <f t="shared" si="29"/>
        <v>0</v>
      </c>
      <c r="E189" s="16">
        <f t="shared" si="30"/>
        <v>0</v>
      </c>
      <c r="F189" s="16">
        <f t="shared" si="31"/>
        <v>0</v>
      </c>
      <c r="G189" s="16">
        <f t="shared" si="32"/>
        <v>0</v>
      </c>
      <c r="H189" s="16">
        <f t="shared" si="33"/>
        <v>0</v>
      </c>
      <c r="I189" s="16">
        <f t="shared" si="34"/>
        <v>0</v>
      </c>
      <c r="J189" s="16">
        <f t="shared" si="35"/>
        <v>0</v>
      </c>
      <c r="K189" s="16">
        <f t="shared" si="36"/>
        <v>0</v>
      </c>
      <c r="L189" s="16">
        <f t="shared" si="37"/>
        <v>0</v>
      </c>
      <c r="M189" s="16">
        <f t="shared" si="38"/>
        <v>0</v>
      </c>
      <c r="N189" s="16">
        <f t="shared" si="39"/>
        <v>0</v>
      </c>
      <c r="O189" s="16">
        <f t="shared" si="40"/>
        <v>0</v>
      </c>
      <c r="P189" s="16" t="str">
        <f>+IF(AND(B189&gt;='Relevé de la Régularisation'!$C$9,B189&lt;='Relevé de la Régularisation'!$D$14),"OUI","NON")</f>
        <v>NON</v>
      </c>
      <c r="Q189" s="16" t="str">
        <f t="array" ref="Q189">IF(P189="OUI",MAX($Q$2:Q188)+1,"")</f>
        <v/>
      </c>
    </row>
    <row r="190" spans="1:17" x14ac:dyDescent="0.2">
      <c r="A190" s="453">
        <f t="shared" si="41"/>
        <v>47696</v>
      </c>
      <c r="B190" s="30">
        <v>47696</v>
      </c>
      <c r="C190" s="16">
        <f t="shared" si="28"/>
        <v>0</v>
      </c>
      <c r="D190" s="16">
        <f t="shared" si="29"/>
        <v>0</v>
      </c>
      <c r="E190" s="16">
        <f t="shared" si="30"/>
        <v>0</v>
      </c>
      <c r="F190" s="16">
        <f t="shared" si="31"/>
        <v>0</v>
      </c>
      <c r="G190" s="16">
        <f t="shared" si="32"/>
        <v>0</v>
      </c>
      <c r="H190" s="16">
        <f t="shared" si="33"/>
        <v>0</v>
      </c>
      <c r="I190" s="16">
        <f t="shared" si="34"/>
        <v>0</v>
      </c>
      <c r="J190" s="16">
        <f t="shared" si="35"/>
        <v>0</v>
      </c>
      <c r="K190" s="16">
        <f t="shared" si="36"/>
        <v>0</v>
      </c>
      <c r="L190" s="16">
        <f t="shared" si="37"/>
        <v>0</v>
      </c>
      <c r="M190" s="16">
        <f t="shared" si="38"/>
        <v>0</v>
      </c>
      <c r="N190" s="16">
        <f t="shared" si="39"/>
        <v>0</v>
      </c>
      <c r="O190" s="16">
        <f t="shared" si="40"/>
        <v>0</v>
      </c>
      <c r="P190" s="16" t="str">
        <f>+IF(AND(B190&gt;='Relevé de la Régularisation'!$C$9,B190&lt;='Relevé de la Régularisation'!$D$14),"OUI","NON")</f>
        <v>NON</v>
      </c>
      <c r="Q190" s="16" t="str">
        <f t="array" ref="Q190">IF(P190="OUI",MAX($Q$2:Q189)+1,"")</f>
        <v/>
      </c>
    </row>
    <row r="191" spans="1:17" x14ac:dyDescent="0.2">
      <c r="A191" s="453">
        <f t="shared" si="41"/>
        <v>47727</v>
      </c>
      <c r="B191" s="30">
        <v>47727</v>
      </c>
      <c r="C191" s="16">
        <f t="shared" si="28"/>
        <v>0</v>
      </c>
      <c r="D191" s="16">
        <f t="shared" si="29"/>
        <v>0</v>
      </c>
      <c r="E191" s="16">
        <f t="shared" si="30"/>
        <v>0</v>
      </c>
      <c r="F191" s="16">
        <f t="shared" si="31"/>
        <v>0</v>
      </c>
      <c r="G191" s="16">
        <f t="shared" si="32"/>
        <v>0</v>
      </c>
      <c r="H191" s="16">
        <f t="shared" si="33"/>
        <v>0</v>
      </c>
      <c r="I191" s="16">
        <f t="shared" si="34"/>
        <v>0</v>
      </c>
      <c r="J191" s="16">
        <f t="shared" si="35"/>
        <v>0</v>
      </c>
      <c r="K191" s="16">
        <f t="shared" si="36"/>
        <v>0</v>
      </c>
      <c r="L191" s="16">
        <f t="shared" si="37"/>
        <v>0</v>
      </c>
      <c r="M191" s="16">
        <f t="shared" si="38"/>
        <v>0</v>
      </c>
      <c r="N191" s="16">
        <f t="shared" si="39"/>
        <v>0</v>
      </c>
      <c r="O191" s="16">
        <f t="shared" si="40"/>
        <v>0</v>
      </c>
      <c r="P191" s="16" t="str">
        <f>+IF(AND(B191&gt;='Relevé de la Régularisation'!$C$9,B191&lt;='Relevé de la Régularisation'!$D$14),"OUI","NON")</f>
        <v>NON</v>
      </c>
      <c r="Q191" s="16" t="str">
        <f t="array" ref="Q191">IF(P191="OUI",MAX($Q$2:Q190)+1,"")</f>
        <v/>
      </c>
    </row>
    <row r="192" spans="1:17" x14ac:dyDescent="0.2">
      <c r="A192" s="453">
        <f t="shared" si="41"/>
        <v>47757</v>
      </c>
      <c r="B192" s="30">
        <v>47757</v>
      </c>
      <c r="C192" s="16">
        <f t="shared" si="28"/>
        <v>0</v>
      </c>
      <c r="D192" s="16">
        <f t="shared" si="29"/>
        <v>0</v>
      </c>
      <c r="E192" s="16">
        <f t="shared" si="30"/>
        <v>0</v>
      </c>
      <c r="F192" s="16">
        <f t="shared" si="31"/>
        <v>0</v>
      </c>
      <c r="G192" s="16">
        <f t="shared" si="32"/>
        <v>0</v>
      </c>
      <c r="H192" s="16">
        <f t="shared" si="33"/>
        <v>0</v>
      </c>
      <c r="I192" s="16">
        <f t="shared" si="34"/>
        <v>0</v>
      </c>
      <c r="J192" s="16">
        <f t="shared" si="35"/>
        <v>0</v>
      </c>
      <c r="K192" s="16">
        <f t="shared" si="36"/>
        <v>0</v>
      </c>
      <c r="L192" s="16">
        <f t="shared" si="37"/>
        <v>0</v>
      </c>
      <c r="M192" s="16">
        <f t="shared" si="38"/>
        <v>0</v>
      </c>
      <c r="N192" s="16">
        <f t="shared" si="39"/>
        <v>0</v>
      </c>
      <c r="O192" s="16">
        <f t="shared" si="40"/>
        <v>0</v>
      </c>
      <c r="P192" s="16" t="str">
        <f>+IF(AND(B192&gt;='Relevé de la Régularisation'!$C$9,B192&lt;='Relevé de la Régularisation'!$D$14),"OUI","NON")</f>
        <v>NON</v>
      </c>
      <c r="Q192" s="16" t="str">
        <f t="array" ref="Q192">IF(P192="OUI",MAX($Q$2:Q191)+1,"")</f>
        <v/>
      </c>
    </row>
    <row r="193" spans="1:17" x14ac:dyDescent="0.2">
      <c r="A193" s="453">
        <f t="shared" si="41"/>
        <v>47788</v>
      </c>
      <c r="B193" s="30">
        <v>47788</v>
      </c>
      <c r="C193" s="16">
        <f t="shared" si="28"/>
        <v>0</v>
      </c>
      <c r="D193" s="16">
        <f t="shared" si="29"/>
        <v>0</v>
      </c>
      <c r="E193" s="16">
        <f t="shared" si="30"/>
        <v>0</v>
      </c>
      <c r="F193" s="16">
        <f t="shared" si="31"/>
        <v>0</v>
      </c>
      <c r="G193" s="16">
        <f t="shared" si="32"/>
        <v>0</v>
      </c>
      <c r="H193" s="16">
        <f t="shared" si="33"/>
        <v>0</v>
      </c>
      <c r="I193" s="16">
        <f t="shared" si="34"/>
        <v>0</v>
      </c>
      <c r="J193" s="16">
        <f t="shared" si="35"/>
        <v>0</v>
      </c>
      <c r="K193" s="16">
        <f t="shared" si="36"/>
        <v>0</v>
      </c>
      <c r="L193" s="16">
        <f t="shared" si="37"/>
        <v>0</v>
      </c>
      <c r="M193" s="16">
        <f t="shared" si="38"/>
        <v>0</v>
      </c>
      <c r="N193" s="16">
        <f t="shared" si="39"/>
        <v>0</v>
      </c>
      <c r="O193" s="16">
        <f t="shared" si="40"/>
        <v>0</v>
      </c>
      <c r="P193" s="16" t="str">
        <f>+IF(AND(B193&gt;='Relevé de la Régularisation'!$C$9,B193&lt;='Relevé de la Régularisation'!$D$14),"OUI","NON")</f>
        <v>NON</v>
      </c>
      <c r="Q193" s="16" t="str">
        <f t="array" ref="Q193">IF(P193="OUI",MAX($Q$2:Q192)+1,"")</f>
        <v/>
      </c>
    </row>
    <row r="194" spans="1:17" x14ac:dyDescent="0.2">
      <c r="A194" s="453">
        <f t="shared" si="41"/>
        <v>47818</v>
      </c>
      <c r="B194" s="30">
        <v>47818</v>
      </c>
      <c r="C194" s="16">
        <f t="shared" si="28"/>
        <v>0</v>
      </c>
      <c r="D194" s="16">
        <f t="shared" si="29"/>
        <v>0</v>
      </c>
      <c r="E194" s="16">
        <f t="shared" si="30"/>
        <v>0</v>
      </c>
      <c r="F194" s="16">
        <f t="shared" si="31"/>
        <v>0</v>
      </c>
      <c r="G194" s="16">
        <f t="shared" si="32"/>
        <v>0</v>
      </c>
      <c r="H194" s="16">
        <f t="shared" si="33"/>
        <v>0</v>
      </c>
      <c r="I194" s="16">
        <f t="shared" si="34"/>
        <v>0</v>
      </c>
      <c r="J194" s="16">
        <f t="shared" si="35"/>
        <v>0</v>
      </c>
      <c r="K194" s="16">
        <f t="shared" si="36"/>
        <v>0</v>
      </c>
      <c r="L194" s="16">
        <f t="shared" si="37"/>
        <v>0</v>
      </c>
      <c r="M194" s="16">
        <f t="shared" si="38"/>
        <v>0</v>
      </c>
      <c r="N194" s="16">
        <f t="shared" si="39"/>
        <v>0</v>
      </c>
      <c r="O194" s="16">
        <f t="shared" si="40"/>
        <v>0</v>
      </c>
      <c r="P194" s="16" t="str">
        <f>+IF(AND(B194&gt;='Relevé de la Régularisation'!$C$9,B194&lt;='Relevé de la Régularisation'!$D$14),"OUI","NON")</f>
        <v>NON</v>
      </c>
      <c r="Q194" s="16" t="str">
        <f t="array" ref="Q194">IF(P194="OUI",MAX($Q$2:Q193)+1,"")</f>
        <v/>
      </c>
    </row>
    <row r="195" spans="1:17" x14ac:dyDescent="0.2">
      <c r="A195" s="453">
        <f t="shared" si="41"/>
        <v>47849</v>
      </c>
      <c r="B195" s="30">
        <v>47849</v>
      </c>
      <c r="C195" s="16">
        <f t="shared" ref="C195:C258" si="42">IFERROR(+VLOOKUP(B195,BDD,41,FALSE),0)</f>
        <v>0</v>
      </c>
      <c r="D195" s="16">
        <f t="shared" ref="D195:D258" si="43">IFERROR(+VLOOKUP(B195,BDD,42,FALSE),0)</f>
        <v>0</v>
      </c>
      <c r="E195" s="16">
        <f t="shared" ref="E195:E258" si="44">IFERROR(+VLOOKUP(B195,BDD,43,FALSE),0)</f>
        <v>0</v>
      </c>
      <c r="F195" s="16">
        <f t="shared" ref="F195:F258" si="45">IFERROR(+VLOOKUP(B195,BDD,44,FALSE),0)</f>
        <v>0</v>
      </c>
      <c r="G195" s="16">
        <f t="shared" ref="G195:G258" si="46">IFERROR(+VLOOKUP(B195,BDD,45,FALSE),0)</f>
        <v>0</v>
      </c>
      <c r="H195" s="16">
        <f t="shared" ref="H195:H258" si="47">IFERROR(+VLOOKUP(B195,BDD,46,FALSE),0)</f>
        <v>0</v>
      </c>
      <c r="I195" s="16">
        <f t="shared" ref="I195:I258" si="48">IFERROR(+VLOOKUP(B195,BDD,47,FALSE),0)</f>
        <v>0</v>
      </c>
      <c r="J195" s="16">
        <f t="shared" ref="J195:J258" si="49">IFERROR(+VLOOKUP(B195,BDD,48,FALSE),0)</f>
        <v>0</v>
      </c>
      <c r="K195" s="16">
        <f t="shared" ref="K195:K258" si="50">IFERROR(+VLOOKUP(B195,BDD,49,FALSE),0)</f>
        <v>0</v>
      </c>
      <c r="L195" s="16">
        <f t="shared" ref="L195:L258" si="51">IFERROR(+VLOOKUP(B195,BDD,50,FALSE),0)</f>
        <v>0</v>
      </c>
      <c r="M195" s="16">
        <f t="shared" ref="M195:M258" si="52">IFERROR(+VLOOKUP(B195,BDD,51,FALSE),0)</f>
        <v>0</v>
      </c>
      <c r="N195" s="16">
        <f t="shared" ref="N195:N258" si="53">IFERROR(+VLOOKUP(B195,BDD,22,FALSE),0)</f>
        <v>0</v>
      </c>
      <c r="O195" s="16">
        <f t="shared" ref="O195:O258" si="54">IFERROR(+VLOOKUP(B195,BDD,101,FALSE),0)</f>
        <v>0</v>
      </c>
      <c r="P195" s="16" t="str">
        <f>+IF(AND(B195&gt;='Relevé de la Régularisation'!$C$9,B195&lt;='Relevé de la Régularisation'!$D$14),"OUI","NON")</f>
        <v>NON</v>
      </c>
      <c r="Q195" s="16" t="str">
        <f t="array" ref="Q195">IF(P195="OUI",MAX($Q$2:Q194)+1,"")</f>
        <v/>
      </c>
    </row>
    <row r="196" spans="1:17" x14ac:dyDescent="0.2">
      <c r="A196" s="453">
        <f t="shared" ref="A196:A259" si="55">+B196</f>
        <v>47880</v>
      </c>
      <c r="B196" s="30">
        <v>47880</v>
      </c>
      <c r="C196" s="16">
        <f t="shared" si="42"/>
        <v>0</v>
      </c>
      <c r="D196" s="16">
        <f t="shared" si="43"/>
        <v>0</v>
      </c>
      <c r="E196" s="16">
        <f t="shared" si="44"/>
        <v>0</v>
      </c>
      <c r="F196" s="16">
        <f t="shared" si="45"/>
        <v>0</v>
      </c>
      <c r="G196" s="16">
        <f t="shared" si="46"/>
        <v>0</v>
      </c>
      <c r="H196" s="16">
        <f t="shared" si="47"/>
        <v>0</v>
      </c>
      <c r="I196" s="16">
        <f t="shared" si="48"/>
        <v>0</v>
      </c>
      <c r="J196" s="16">
        <f t="shared" si="49"/>
        <v>0</v>
      </c>
      <c r="K196" s="16">
        <f t="shared" si="50"/>
        <v>0</v>
      </c>
      <c r="L196" s="16">
        <f t="shared" si="51"/>
        <v>0</v>
      </c>
      <c r="M196" s="16">
        <f t="shared" si="52"/>
        <v>0</v>
      </c>
      <c r="N196" s="16">
        <f t="shared" si="53"/>
        <v>0</v>
      </c>
      <c r="O196" s="16">
        <f t="shared" si="54"/>
        <v>0</v>
      </c>
      <c r="P196" s="16" t="str">
        <f>+IF(AND(B196&gt;='Relevé de la Régularisation'!$C$9,B196&lt;='Relevé de la Régularisation'!$D$14),"OUI","NON")</f>
        <v>NON</v>
      </c>
      <c r="Q196" s="16" t="str">
        <f t="array" ref="Q196">IF(P196="OUI",MAX($Q$2:Q195)+1,"")</f>
        <v/>
      </c>
    </row>
    <row r="197" spans="1:17" x14ac:dyDescent="0.2">
      <c r="A197" s="453">
        <f t="shared" si="55"/>
        <v>47908</v>
      </c>
      <c r="B197" s="30">
        <v>47908</v>
      </c>
      <c r="C197" s="16">
        <f t="shared" si="42"/>
        <v>0</v>
      </c>
      <c r="D197" s="16">
        <f t="shared" si="43"/>
        <v>0</v>
      </c>
      <c r="E197" s="16">
        <f t="shared" si="44"/>
        <v>0</v>
      </c>
      <c r="F197" s="16">
        <f t="shared" si="45"/>
        <v>0</v>
      </c>
      <c r="G197" s="16">
        <f t="shared" si="46"/>
        <v>0</v>
      </c>
      <c r="H197" s="16">
        <f t="shared" si="47"/>
        <v>0</v>
      </c>
      <c r="I197" s="16">
        <f t="shared" si="48"/>
        <v>0</v>
      </c>
      <c r="J197" s="16">
        <f t="shared" si="49"/>
        <v>0</v>
      </c>
      <c r="K197" s="16">
        <f t="shared" si="50"/>
        <v>0</v>
      </c>
      <c r="L197" s="16">
        <f t="shared" si="51"/>
        <v>0</v>
      </c>
      <c r="M197" s="16">
        <f t="shared" si="52"/>
        <v>0</v>
      </c>
      <c r="N197" s="16">
        <f t="shared" si="53"/>
        <v>0</v>
      </c>
      <c r="O197" s="16">
        <f t="shared" si="54"/>
        <v>0</v>
      </c>
      <c r="P197" s="16" t="str">
        <f>+IF(AND(B197&gt;='Relevé de la Régularisation'!$C$9,B197&lt;='Relevé de la Régularisation'!$D$14),"OUI","NON")</f>
        <v>NON</v>
      </c>
      <c r="Q197" s="16" t="str">
        <f t="array" ref="Q197">IF(P197="OUI",MAX($Q$2:Q196)+1,"")</f>
        <v/>
      </c>
    </row>
    <row r="198" spans="1:17" x14ac:dyDescent="0.2">
      <c r="A198" s="453">
        <f t="shared" si="55"/>
        <v>47939</v>
      </c>
      <c r="B198" s="30">
        <v>47939</v>
      </c>
      <c r="C198" s="16">
        <f t="shared" si="42"/>
        <v>0</v>
      </c>
      <c r="D198" s="16">
        <f t="shared" si="43"/>
        <v>0</v>
      </c>
      <c r="E198" s="16">
        <f t="shared" si="44"/>
        <v>0</v>
      </c>
      <c r="F198" s="16">
        <f t="shared" si="45"/>
        <v>0</v>
      </c>
      <c r="G198" s="16">
        <f t="shared" si="46"/>
        <v>0</v>
      </c>
      <c r="H198" s="16">
        <f t="shared" si="47"/>
        <v>0</v>
      </c>
      <c r="I198" s="16">
        <f t="shared" si="48"/>
        <v>0</v>
      </c>
      <c r="J198" s="16">
        <f t="shared" si="49"/>
        <v>0</v>
      </c>
      <c r="K198" s="16">
        <f t="shared" si="50"/>
        <v>0</v>
      </c>
      <c r="L198" s="16">
        <f t="shared" si="51"/>
        <v>0</v>
      </c>
      <c r="M198" s="16">
        <f t="shared" si="52"/>
        <v>0</v>
      </c>
      <c r="N198" s="16">
        <f t="shared" si="53"/>
        <v>0</v>
      </c>
      <c r="O198" s="16">
        <f t="shared" si="54"/>
        <v>0</v>
      </c>
      <c r="P198" s="16" t="str">
        <f>+IF(AND(B198&gt;='Relevé de la Régularisation'!$C$9,B198&lt;='Relevé de la Régularisation'!$D$14),"OUI","NON")</f>
        <v>NON</v>
      </c>
      <c r="Q198" s="16" t="str">
        <f t="array" ref="Q198">IF(P198="OUI",MAX($Q$2:Q197)+1,"")</f>
        <v/>
      </c>
    </row>
    <row r="199" spans="1:17" x14ac:dyDescent="0.2">
      <c r="A199" s="453">
        <f t="shared" si="55"/>
        <v>47969</v>
      </c>
      <c r="B199" s="30">
        <v>47969</v>
      </c>
      <c r="C199" s="16">
        <f t="shared" si="42"/>
        <v>0</v>
      </c>
      <c r="D199" s="16">
        <f t="shared" si="43"/>
        <v>0</v>
      </c>
      <c r="E199" s="16">
        <f t="shared" si="44"/>
        <v>0</v>
      </c>
      <c r="F199" s="16">
        <f t="shared" si="45"/>
        <v>0</v>
      </c>
      <c r="G199" s="16">
        <f t="shared" si="46"/>
        <v>0</v>
      </c>
      <c r="H199" s="16">
        <f t="shared" si="47"/>
        <v>0</v>
      </c>
      <c r="I199" s="16">
        <f t="shared" si="48"/>
        <v>0</v>
      </c>
      <c r="J199" s="16">
        <f t="shared" si="49"/>
        <v>0</v>
      </c>
      <c r="K199" s="16">
        <f t="shared" si="50"/>
        <v>0</v>
      </c>
      <c r="L199" s="16">
        <f t="shared" si="51"/>
        <v>0</v>
      </c>
      <c r="M199" s="16">
        <f t="shared" si="52"/>
        <v>0</v>
      </c>
      <c r="N199" s="16">
        <f t="shared" si="53"/>
        <v>0</v>
      </c>
      <c r="O199" s="16">
        <f t="shared" si="54"/>
        <v>0</v>
      </c>
      <c r="P199" s="16" t="str">
        <f>+IF(AND(B199&gt;='Relevé de la Régularisation'!$C$9,B199&lt;='Relevé de la Régularisation'!$D$14),"OUI","NON")</f>
        <v>NON</v>
      </c>
      <c r="Q199" s="16" t="str">
        <f t="array" ref="Q199">IF(P199="OUI",MAX($Q$2:Q198)+1,"")</f>
        <v/>
      </c>
    </row>
    <row r="200" spans="1:17" x14ac:dyDescent="0.2">
      <c r="A200" s="453">
        <f t="shared" si="55"/>
        <v>48000</v>
      </c>
      <c r="B200" s="30">
        <v>48000</v>
      </c>
      <c r="C200" s="16">
        <f t="shared" si="42"/>
        <v>0</v>
      </c>
      <c r="D200" s="16">
        <f t="shared" si="43"/>
        <v>0</v>
      </c>
      <c r="E200" s="16">
        <f t="shared" si="44"/>
        <v>0</v>
      </c>
      <c r="F200" s="16">
        <f t="shared" si="45"/>
        <v>0</v>
      </c>
      <c r="G200" s="16">
        <f t="shared" si="46"/>
        <v>0</v>
      </c>
      <c r="H200" s="16">
        <f t="shared" si="47"/>
        <v>0</v>
      </c>
      <c r="I200" s="16">
        <f t="shared" si="48"/>
        <v>0</v>
      </c>
      <c r="J200" s="16">
        <f t="shared" si="49"/>
        <v>0</v>
      </c>
      <c r="K200" s="16">
        <f t="shared" si="50"/>
        <v>0</v>
      </c>
      <c r="L200" s="16">
        <f t="shared" si="51"/>
        <v>0</v>
      </c>
      <c r="M200" s="16">
        <f t="shared" si="52"/>
        <v>0</v>
      </c>
      <c r="N200" s="16">
        <f t="shared" si="53"/>
        <v>0</v>
      </c>
      <c r="O200" s="16">
        <f t="shared" si="54"/>
        <v>0</v>
      </c>
      <c r="P200" s="16" t="str">
        <f>+IF(AND(B200&gt;='Relevé de la Régularisation'!$C$9,B200&lt;='Relevé de la Régularisation'!$D$14),"OUI","NON")</f>
        <v>NON</v>
      </c>
      <c r="Q200" s="16" t="str">
        <f t="array" ref="Q200">IF(P200="OUI",MAX($Q$2:Q199)+1,"")</f>
        <v/>
      </c>
    </row>
    <row r="201" spans="1:17" x14ac:dyDescent="0.2">
      <c r="A201" s="453">
        <f t="shared" si="55"/>
        <v>48030</v>
      </c>
      <c r="B201" s="30">
        <v>48030</v>
      </c>
      <c r="C201" s="16">
        <f t="shared" si="42"/>
        <v>0</v>
      </c>
      <c r="D201" s="16">
        <f t="shared" si="43"/>
        <v>0</v>
      </c>
      <c r="E201" s="16">
        <f t="shared" si="44"/>
        <v>0</v>
      </c>
      <c r="F201" s="16">
        <f t="shared" si="45"/>
        <v>0</v>
      </c>
      <c r="G201" s="16">
        <f t="shared" si="46"/>
        <v>0</v>
      </c>
      <c r="H201" s="16">
        <f t="shared" si="47"/>
        <v>0</v>
      </c>
      <c r="I201" s="16">
        <f t="shared" si="48"/>
        <v>0</v>
      </c>
      <c r="J201" s="16">
        <f t="shared" si="49"/>
        <v>0</v>
      </c>
      <c r="K201" s="16">
        <f t="shared" si="50"/>
        <v>0</v>
      </c>
      <c r="L201" s="16">
        <f t="shared" si="51"/>
        <v>0</v>
      </c>
      <c r="M201" s="16">
        <f t="shared" si="52"/>
        <v>0</v>
      </c>
      <c r="N201" s="16">
        <f t="shared" si="53"/>
        <v>0</v>
      </c>
      <c r="O201" s="16">
        <f t="shared" si="54"/>
        <v>0</v>
      </c>
      <c r="P201" s="16" t="str">
        <f>+IF(AND(B201&gt;='Relevé de la Régularisation'!$C$9,B201&lt;='Relevé de la Régularisation'!$D$14),"OUI","NON")</f>
        <v>NON</v>
      </c>
      <c r="Q201" s="16" t="str">
        <f t="array" ref="Q201">IF(P201="OUI",MAX($Q$2:Q200)+1,"")</f>
        <v/>
      </c>
    </row>
    <row r="202" spans="1:17" x14ac:dyDescent="0.2">
      <c r="A202" s="453">
        <f t="shared" si="55"/>
        <v>48061</v>
      </c>
      <c r="B202" s="30">
        <v>48061</v>
      </c>
      <c r="C202" s="16">
        <f t="shared" si="42"/>
        <v>0</v>
      </c>
      <c r="D202" s="16">
        <f t="shared" si="43"/>
        <v>0</v>
      </c>
      <c r="E202" s="16">
        <f t="shared" si="44"/>
        <v>0</v>
      </c>
      <c r="F202" s="16">
        <f t="shared" si="45"/>
        <v>0</v>
      </c>
      <c r="G202" s="16">
        <f t="shared" si="46"/>
        <v>0</v>
      </c>
      <c r="H202" s="16">
        <f t="shared" si="47"/>
        <v>0</v>
      </c>
      <c r="I202" s="16">
        <f t="shared" si="48"/>
        <v>0</v>
      </c>
      <c r="J202" s="16">
        <f t="shared" si="49"/>
        <v>0</v>
      </c>
      <c r="K202" s="16">
        <f t="shared" si="50"/>
        <v>0</v>
      </c>
      <c r="L202" s="16">
        <f t="shared" si="51"/>
        <v>0</v>
      </c>
      <c r="M202" s="16">
        <f t="shared" si="52"/>
        <v>0</v>
      </c>
      <c r="N202" s="16">
        <f t="shared" si="53"/>
        <v>0</v>
      </c>
      <c r="O202" s="16">
        <f t="shared" si="54"/>
        <v>0</v>
      </c>
      <c r="P202" s="16" t="str">
        <f>+IF(AND(B202&gt;='Relevé de la Régularisation'!$C$9,B202&lt;='Relevé de la Régularisation'!$D$14),"OUI","NON")</f>
        <v>NON</v>
      </c>
      <c r="Q202" s="16" t="str">
        <f t="array" ref="Q202">IF(P202="OUI",MAX($Q$2:Q201)+1,"")</f>
        <v/>
      </c>
    </row>
    <row r="203" spans="1:17" x14ac:dyDescent="0.2">
      <c r="A203" s="453">
        <f t="shared" si="55"/>
        <v>48092</v>
      </c>
      <c r="B203" s="30">
        <v>48092</v>
      </c>
      <c r="C203" s="16">
        <f t="shared" si="42"/>
        <v>0</v>
      </c>
      <c r="D203" s="16">
        <f t="shared" si="43"/>
        <v>0</v>
      </c>
      <c r="E203" s="16">
        <f t="shared" si="44"/>
        <v>0</v>
      </c>
      <c r="F203" s="16">
        <f t="shared" si="45"/>
        <v>0</v>
      </c>
      <c r="G203" s="16">
        <f t="shared" si="46"/>
        <v>0</v>
      </c>
      <c r="H203" s="16">
        <f t="shared" si="47"/>
        <v>0</v>
      </c>
      <c r="I203" s="16">
        <f t="shared" si="48"/>
        <v>0</v>
      </c>
      <c r="J203" s="16">
        <f t="shared" si="49"/>
        <v>0</v>
      </c>
      <c r="K203" s="16">
        <f t="shared" si="50"/>
        <v>0</v>
      </c>
      <c r="L203" s="16">
        <f t="shared" si="51"/>
        <v>0</v>
      </c>
      <c r="M203" s="16">
        <f t="shared" si="52"/>
        <v>0</v>
      </c>
      <c r="N203" s="16">
        <f t="shared" si="53"/>
        <v>0</v>
      </c>
      <c r="O203" s="16">
        <f t="shared" si="54"/>
        <v>0</v>
      </c>
      <c r="P203" s="16" t="str">
        <f>+IF(AND(B203&gt;='Relevé de la Régularisation'!$C$9,B203&lt;='Relevé de la Régularisation'!$D$14),"OUI","NON")</f>
        <v>NON</v>
      </c>
      <c r="Q203" s="16" t="str">
        <f t="array" ref="Q203">IF(P203="OUI",MAX($Q$2:Q202)+1,"")</f>
        <v/>
      </c>
    </row>
    <row r="204" spans="1:17" x14ac:dyDescent="0.2">
      <c r="A204" s="453">
        <f t="shared" si="55"/>
        <v>48122</v>
      </c>
      <c r="B204" s="30">
        <v>48122</v>
      </c>
      <c r="C204" s="16">
        <f t="shared" si="42"/>
        <v>0</v>
      </c>
      <c r="D204" s="16">
        <f t="shared" si="43"/>
        <v>0</v>
      </c>
      <c r="E204" s="16">
        <f t="shared" si="44"/>
        <v>0</v>
      </c>
      <c r="F204" s="16">
        <f t="shared" si="45"/>
        <v>0</v>
      </c>
      <c r="G204" s="16">
        <f t="shared" si="46"/>
        <v>0</v>
      </c>
      <c r="H204" s="16">
        <f t="shared" si="47"/>
        <v>0</v>
      </c>
      <c r="I204" s="16">
        <f t="shared" si="48"/>
        <v>0</v>
      </c>
      <c r="J204" s="16">
        <f t="shared" si="49"/>
        <v>0</v>
      </c>
      <c r="K204" s="16">
        <f t="shared" si="50"/>
        <v>0</v>
      </c>
      <c r="L204" s="16">
        <f t="shared" si="51"/>
        <v>0</v>
      </c>
      <c r="M204" s="16">
        <f t="shared" si="52"/>
        <v>0</v>
      </c>
      <c r="N204" s="16">
        <f t="shared" si="53"/>
        <v>0</v>
      </c>
      <c r="O204" s="16">
        <f t="shared" si="54"/>
        <v>0</v>
      </c>
      <c r="P204" s="16" t="str">
        <f>+IF(AND(B204&gt;='Relevé de la Régularisation'!$C$9,B204&lt;='Relevé de la Régularisation'!$D$14),"OUI","NON")</f>
        <v>NON</v>
      </c>
      <c r="Q204" s="16" t="str">
        <f t="array" ref="Q204">IF(P204="OUI",MAX($Q$2:Q203)+1,"")</f>
        <v/>
      </c>
    </row>
    <row r="205" spans="1:17" x14ac:dyDescent="0.2">
      <c r="A205" s="453">
        <f t="shared" si="55"/>
        <v>48153</v>
      </c>
      <c r="B205" s="30">
        <v>48153</v>
      </c>
      <c r="C205" s="16">
        <f t="shared" si="42"/>
        <v>0</v>
      </c>
      <c r="D205" s="16">
        <f t="shared" si="43"/>
        <v>0</v>
      </c>
      <c r="E205" s="16">
        <f t="shared" si="44"/>
        <v>0</v>
      </c>
      <c r="F205" s="16">
        <f t="shared" si="45"/>
        <v>0</v>
      </c>
      <c r="G205" s="16">
        <f t="shared" si="46"/>
        <v>0</v>
      </c>
      <c r="H205" s="16">
        <f t="shared" si="47"/>
        <v>0</v>
      </c>
      <c r="I205" s="16">
        <f t="shared" si="48"/>
        <v>0</v>
      </c>
      <c r="J205" s="16">
        <f t="shared" si="49"/>
        <v>0</v>
      </c>
      <c r="K205" s="16">
        <f t="shared" si="50"/>
        <v>0</v>
      </c>
      <c r="L205" s="16">
        <f t="shared" si="51"/>
        <v>0</v>
      </c>
      <c r="M205" s="16">
        <f t="shared" si="52"/>
        <v>0</v>
      </c>
      <c r="N205" s="16">
        <f t="shared" si="53"/>
        <v>0</v>
      </c>
      <c r="O205" s="16">
        <f t="shared" si="54"/>
        <v>0</v>
      </c>
      <c r="P205" s="16" t="str">
        <f>+IF(AND(B205&gt;='Relevé de la Régularisation'!$C$9,B205&lt;='Relevé de la Régularisation'!$D$14),"OUI","NON")</f>
        <v>NON</v>
      </c>
      <c r="Q205" s="16" t="str">
        <f t="array" ref="Q205">IF(P205="OUI",MAX($Q$2:Q204)+1,"")</f>
        <v/>
      </c>
    </row>
    <row r="206" spans="1:17" x14ac:dyDescent="0.2">
      <c r="A206" s="453">
        <f t="shared" si="55"/>
        <v>48183</v>
      </c>
      <c r="B206" s="30">
        <v>48183</v>
      </c>
      <c r="C206" s="16">
        <f t="shared" si="42"/>
        <v>0</v>
      </c>
      <c r="D206" s="16">
        <f t="shared" si="43"/>
        <v>0</v>
      </c>
      <c r="E206" s="16">
        <f t="shared" si="44"/>
        <v>0</v>
      </c>
      <c r="F206" s="16">
        <f t="shared" si="45"/>
        <v>0</v>
      </c>
      <c r="G206" s="16">
        <f t="shared" si="46"/>
        <v>0</v>
      </c>
      <c r="H206" s="16">
        <f t="shared" si="47"/>
        <v>0</v>
      </c>
      <c r="I206" s="16">
        <f t="shared" si="48"/>
        <v>0</v>
      </c>
      <c r="J206" s="16">
        <f t="shared" si="49"/>
        <v>0</v>
      </c>
      <c r="K206" s="16">
        <f t="shared" si="50"/>
        <v>0</v>
      </c>
      <c r="L206" s="16">
        <f t="shared" si="51"/>
        <v>0</v>
      </c>
      <c r="M206" s="16">
        <f t="shared" si="52"/>
        <v>0</v>
      </c>
      <c r="N206" s="16">
        <f t="shared" si="53"/>
        <v>0</v>
      </c>
      <c r="O206" s="16">
        <f t="shared" si="54"/>
        <v>0</v>
      </c>
      <c r="P206" s="16" t="str">
        <f>+IF(AND(B206&gt;='Relevé de la Régularisation'!$C$9,B206&lt;='Relevé de la Régularisation'!$D$14),"OUI","NON")</f>
        <v>NON</v>
      </c>
      <c r="Q206" s="16" t="str">
        <f t="array" ref="Q206">IF(P206="OUI",MAX($Q$2:Q205)+1,"")</f>
        <v/>
      </c>
    </row>
    <row r="207" spans="1:17" x14ac:dyDescent="0.2">
      <c r="A207" s="453">
        <f t="shared" si="55"/>
        <v>48214</v>
      </c>
      <c r="B207" s="30">
        <v>48214</v>
      </c>
      <c r="C207" s="16">
        <f t="shared" si="42"/>
        <v>0</v>
      </c>
      <c r="D207" s="16">
        <f t="shared" si="43"/>
        <v>0</v>
      </c>
      <c r="E207" s="16">
        <f t="shared" si="44"/>
        <v>0</v>
      </c>
      <c r="F207" s="16">
        <f t="shared" si="45"/>
        <v>0</v>
      </c>
      <c r="G207" s="16">
        <f t="shared" si="46"/>
        <v>0</v>
      </c>
      <c r="H207" s="16">
        <f t="shared" si="47"/>
        <v>0</v>
      </c>
      <c r="I207" s="16">
        <f t="shared" si="48"/>
        <v>0</v>
      </c>
      <c r="J207" s="16">
        <f t="shared" si="49"/>
        <v>0</v>
      </c>
      <c r="K207" s="16">
        <f t="shared" si="50"/>
        <v>0</v>
      </c>
      <c r="L207" s="16">
        <f t="shared" si="51"/>
        <v>0</v>
      </c>
      <c r="M207" s="16">
        <f t="shared" si="52"/>
        <v>0</v>
      </c>
      <c r="N207" s="16">
        <f t="shared" si="53"/>
        <v>0</v>
      </c>
      <c r="O207" s="16">
        <f t="shared" si="54"/>
        <v>0</v>
      </c>
      <c r="P207" s="16" t="str">
        <f>+IF(AND(B207&gt;='Relevé de la Régularisation'!$C$9,B207&lt;='Relevé de la Régularisation'!$D$14),"OUI","NON")</f>
        <v>NON</v>
      </c>
      <c r="Q207" s="16" t="str">
        <f t="array" ref="Q207">IF(P207="OUI",MAX($Q$2:Q206)+1,"")</f>
        <v/>
      </c>
    </row>
    <row r="208" spans="1:17" x14ac:dyDescent="0.2">
      <c r="A208" s="453">
        <f t="shared" si="55"/>
        <v>48245</v>
      </c>
      <c r="B208" s="30">
        <v>48245</v>
      </c>
      <c r="C208" s="16">
        <f t="shared" si="42"/>
        <v>0</v>
      </c>
      <c r="D208" s="16">
        <f t="shared" si="43"/>
        <v>0</v>
      </c>
      <c r="E208" s="16">
        <f t="shared" si="44"/>
        <v>0</v>
      </c>
      <c r="F208" s="16">
        <f t="shared" si="45"/>
        <v>0</v>
      </c>
      <c r="G208" s="16">
        <f t="shared" si="46"/>
        <v>0</v>
      </c>
      <c r="H208" s="16">
        <f t="shared" si="47"/>
        <v>0</v>
      </c>
      <c r="I208" s="16">
        <f t="shared" si="48"/>
        <v>0</v>
      </c>
      <c r="J208" s="16">
        <f t="shared" si="49"/>
        <v>0</v>
      </c>
      <c r="K208" s="16">
        <f t="shared" si="50"/>
        <v>0</v>
      </c>
      <c r="L208" s="16">
        <f t="shared" si="51"/>
        <v>0</v>
      </c>
      <c r="M208" s="16">
        <f t="shared" si="52"/>
        <v>0</v>
      </c>
      <c r="N208" s="16">
        <f t="shared" si="53"/>
        <v>0</v>
      </c>
      <c r="O208" s="16">
        <f t="shared" si="54"/>
        <v>0</v>
      </c>
      <c r="P208" s="16" t="str">
        <f>+IF(AND(B208&gt;='Relevé de la Régularisation'!$C$9,B208&lt;='Relevé de la Régularisation'!$D$14),"OUI","NON")</f>
        <v>NON</v>
      </c>
      <c r="Q208" s="16" t="str">
        <f t="array" ref="Q208">IF(P208="OUI",MAX($Q$2:Q207)+1,"")</f>
        <v/>
      </c>
    </row>
    <row r="209" spans="1:17" x14ac:dyDescent="0.2">
      <c r="A209" s="453">
        <f t="shared" si="55"/>
        <v>48274</v>
      </c>
      <c r="B209" s="30">
        <v>48274</v>
      </c>
      <c r="C209" s="16">
        <f t="shared" si="42"/>
        <v>0</v>
      </c>
      <c r="D209" s="16">
        <f t="shared" si="43"/>
        <v>0</v>
      </c>
      <c r="E209" s="16">
        <f t="shared" si="44"/>
        <v>0</v>
      </c>
      <c r="F209" s="16">
        <f t="shared" si="45"/>
        <v>0</v>
      </c>
      <c r="G209" s="16">
        <f t="shared" si="46"/>
        <v>0</v>
      </c>
      <c r="H209" s="16">
        <f t="shared" si="47"/>
        <v>0</v>
      </c>
      <c r="I209" s="16">
        <f t="shared" si="48"/>
        <v>0</v>
      </c>
      <c r="J209" s="16">
        <f t="shared" si="49"/>
        <v>0</v>
      </c>
      <c r="K209" s="16">
        <f t="shared" si="50"/>
        <v>0</v>
      </c>
      <c r="L209" s="16">
        <f t="shared" si="51"/>
        <v>0</v>
      </c>
      <c r="M209" s="16">
        <f t="shared" si="52"/>
        <v>0</v>
      </c>
      <c r="N209" s="16">
        <f t="shared" si="53"/>
        <v>0</v>
      </c>
      <c r="O209" s="16">
        <f t="shared" si="54"/>
        <v>0</v>
      </c>
      <c r="P209" s="16" t="str">
        <f>+IF(AND(B209&gt;='Relevé de la Régularisation'!$C$9,B209&lt;='Relevé de la Régularisation'!$D$14),"OUI","NON")</f>
        <v>NON</v>
      </c>
      <c r="Q209" s="16" t="str">
        <f t="array" ref="Q209">IF(P209="OUI",MAX($Q$2:Q208)+1,"")</f>
        <v/>
      </c>
    </row>
    <row r="210" spans="1:17" x14ac:dyDescent="0.2">
      <c r="A210" s="453">
        <f t="shared" si="55"/>
        <v>48305</v>
      </c>
      <c r="B210" s="30">
        <v>48305</v>
      </c>
      <c r="C210" s="16">
        <f t="shared" si="42"/>
        <v>0</v>
      </c>
      <c r="D210" s="16">
        <f t="shared" si="43"/>
        <v>0</v>
      </c>
      <c r="E210" s="16">
        <f t="shared" si="44"/>
        <v>0</v>
      </c>
      <c r="F210" s="16">
        <f t="shared" si="45"/>
        <v>0</v>
      </c>
      <c r="G210" s="16">
        <f t="shared" si="46"/>
        <v>0</v>
      </c>
      <c r="H210" s="16">
        <f t="shared" si="47"/>
        <v>0</v>
      </c>
      <c r="I210" s="16">
        <f t="shared" si="48"/>
        <v>0</v>
      </c>
      <c r="J210" s="16">
        <f t="shared" si="49"/>
        <v>0</v>
      </c>
      <c r="K210" s="16">
        <f t="shared" si="50"/>
        <v>0</v>
      </c>
      <c r="L210" s="16">
        <f t="shared" si="51"/>
        <v>0</v>
      </c>
      <c r="M210" s="16">
        <f t="shared" si="52"/>
        <v>0</v>
      </c>
      <c r="N210" s="16">
        <f t="shared" si="53"/>
        <v>0</v>
      </c>
      <c r="O210" s="16">
        <f t="shared" si="54"/>
        <v>0</v>
      </c>
      <c r="P210" s="16" t="str">
        <f>+IF(AND(B210&gt;='Relevé de la Régularisation'!$C$9,B210&lt;='Relevé de la Régularisation'!$D$14),"OUI","NON")</f>
        <v>NON</v>
      </c>
      <c r="Q210" s="16" t="str">
        <f t="array" ref="Q210">IF(P210="OUI",MAX($Q$2:Q209)+1,"")</f>
        <v/>
      </c>
    </row>
    <row r="211" spans="1:17" x14ac:dyDescent="0.2">
      <c r="A211" s="453">
        <f t="shared" si="55"/>
        <v>48335</v>
      </c>
      <c r="B211" s="30">
        <v>48335</v>
      </c>
      <c r="C211" s="16">
        <f t="shared" si="42"/>
        <v>0</v>
      </c>
      <c r="D211" s="16">
        <f t="shared" si="43"/>
        <v>0</v>
      </c>
      <c r="E211" s="16">
        <f t="shared" si="44"/>
        <v>0</v>
      </c>
      <c r="F211" s="16">
        <f t="shared" si="45"/>
        <v>0</v>
      </c>
      <c r="G211" s="16">
        <f t="shared" si="46"/>
        <v>0</v>
      </c>
      <c r="H211" s="16">
        <f t="shared" si="47"/>
        <v>0</v>
      </c>
      <c r="I211" s="16">
        <f t="shared" si="48"/>
        <v>0</v>
      </c>
      <c r="J211" s="16">
        <f t="shared" si="49"/>
        <v>0</v>
      </c>
      <c r="K211" s="16">
        <f t="shared" si="50"/>
        <v>0</v>
      </c>
      <c r="L211" s="16">
        <f t="shared" si="51"/>
        <v>0</v>
      </c>
      <c r="M211" s="16">
        <f t="shared" si="52"/>
        <v>0</v>
      </c>
      <c r="N211" s="16">
        <f t="shared" si="53"/>
        <v>0</v>
      </c>
      <c r="O211" s="16">
        <f t="shared" si="54"/>
        <v>0</v>
      </c>
      <c r="P211" s="16" t="str">
        <f>+IF(AND(B211&gt;='Relevé de la Régularisation'!$C$9,B211&lt;='Relevé de la Régularisation'!$D$14),"OUI","NON")</f>
        <v>NON</v>
      </c>
      <c r="Q211" s="16" t="str">
        <f t="array" ref="Q211">IF(P211="OUI",MAX($Q$2:Q210)+1,"")</f>
        <v/>
      </c>
    </row>
    <row r="212" spans="1:17" x14ac:dyDescent="0.2">
      <c r="A212" s="453">
        <f t="shared" si="55"/>
        <v>48366</v>
      </c>
      <c r="B212" s="30">
        <v>48366</v>
      </c>
      <c r="C212" s="16">
        <f t="shared" si="42"/>
        <v>0</v>
      </c>
      <c r="D212" s="16">
        <f t="shared" si="43"/>
        <v>0</v>
      </c>
      <c r="E212" s="16">
        <f t="shared" si="44"/>
        <v>0</v>
      </c>
      <c r="F212" s="16">
        <f t="shared" si="45"/>
        <v>0</v>
      </c>
      <c r="G212" s="16">
        <f t="shared" si="46"/>
        <v>0</v>
      </c>
      <c r="H212" s="16">
        <f t="shared" si="47"/>
        <v>0</v>
      </c>
      <c r="I212" s="16">
        <f t="shared" si="48"/>
        <v>0</v>
      </c>
      <c r="J212" s="16">
        <f t="shared" si="49"/>
        <v>0</v>
      </c>
      <c r="K212" s="16">
        <f t="shared" si="50"/>
        <v>0</v>
      </c>
      <c r="L212" s="16">
        <f t="shared" si="51"/>
        <v>0</v>
      </c>
      <c r="M212" s="16">
        <f t="shared" si="52"/>
        <v>0</v>
      </c>
      <c r="N212" s="16">
        <f t="shared" si="53"/>
        <v>0</v>
      </c>
      <c r="O212" s="16">
        <f t="shared" si="54"/>
        <v>0</v>
      </c>
      <c r="P212" s="16" t="str">
        <f>+IF(AND(B212&gt;='Relevé de la Régularisation'!$C$9,B212&lt;='Relevé de la Régularisation'!$D$14),"OUI","NON")</f>
        <v>NON</v>
      </c>
      <c r="Q212" s="16" t="str">
        <f t="array" ref="Q212">IF(P212="OUI",MAX($Q$2:Q211)+1,"")</f>
        <v/>
      </c>
    </row>
    <row r="213" spans="1:17" x14ac:dyDescent="0.2">
      <c r="A213" s="453">
        <f t="shared" si="55"/>
        <v>48396</v>
      </c>
      <c r="B213" s="30">
        <v>48396</v>
      </c>
      <c r="C213" s="16">
        <f t="shared" si="42"/>
        <v>0</v>
      </c>
      <c r="D213" s="16">
        <f t="shared" si="43"/>
        <v>0</v>
      </c>
      <c r="E213" s="16">
        <f t="shared" si="44"/>
        <v>0</v>
      </c>
      <c r="F213" s="16">
        <f t="shared" si="45"/>
        <v>0</v>
      </c>
      <c r="G213" s="16">
        <f t="shared" si="46"/>
        <v>0</v>
      </c>
      <c r="H213" s="16">
        <f t="shared" si="47"/>
        <v>0</v>
      </c>
      <c r="I213" s="16">
        <f t="shared" si="48"/>
        <v>0</v>
      </c>
      <c r="J213" s="16">
        <f t="shared" si="49"/>
        <v>0</v>
      </c>
      <c r="K213" s="16">
        <f t="shared" si="50"/>
        <v>0</v>
      </c>
      <c r="L213" s="16">
        <f t="shared" si="51"/>
        <v>0</v>
      </c>
      <c r="M213" s="16">
        <f t="shared" si="52"/>
        <v>0</v>
      </c>
      <c r="N213" s="16">
        <f t="shared" si="53"/>
        <v>0</v>
      </c>
      <c r="O213" s="16">
        <f t="shared" si="54"/>
        <v>0</v>
      </c>
      <c r="P213" s="16" t="str">
        <f>+IF(AND(B213&gt;='Relevé de la Régularisation'!$C$9,B213&lt;='Relevé de la Régularisation'!$D$14),"OUI","NON")</f>
        <v>NON</v>
      </c>
      <c r="Q213" s="16" t="str">
        <f t="array" ref="Q213">IF(P213="OUI",MAX($Q$2:Q212)+1,"")</f>
        <v/>
      </c>
    </row>
    <row r="214" spans="1:17" x14ac:dyDescent="0.2">
      <c r="A214" s="453">
        <f t="shared" si="55"/>
        <v>48427</v>
      </c>
      <c r="B214" s="30">
        <v>48427</v>
      </c>
      <c r="C214" s="16">
        <f t="shared" si="42"/>
        <v>0</v>
      </c>
      <c r="D214" s="16">
        <f t="shared" si="43"/>
        <v>0</v>
      </c>
      <c r="E214" s="16">
        <f t="shared" si="44"/>
        <v>0</v>
      </c>
      <c r="F214" s="16">
        <f t="shared" si="45"/>
        <v>0</v>
      </c>
      <c r="G214" s="16">
        <f t="shared" si="46"/>
        <v>0</v>
      </c>
      <c r="H214" s="16">
        <f t="shared" si="47"/>
        <v>0</v>
      </c>
      <c r="I214" s="16">
        <f t="shared" si="48"/>
        <v>0</v>
      </c>
      <c r="J214" s="16">
        <f t="shared" si="49"/>
        <v>0</v>
      </c>
      <c r="K214" s="16">
        <f t="shared" si="50"/>
        <v>0</v>
      </c>
      <c r="L214" s="16">
        <f t="shared" si="51"/>
        <v>0</v>
      </c>
      <c r="M214" s="16">
        <f t="shared" si="52"/>
        <v>0</v>
      </c>
      <c r="N214" s="16">
        <f t="shared" si="53"/>
        <v>0</v>
      </c>
      <c r="O214" s="16">
        <f t="shared" si="54"/>
        <v>0</v>
      </c>
      <c r="P214" s="16" t="str">
        <f>+IF(AND(B214&gt;='Relevé de la Régularisation'!$C$9,B214&lt;='Relevé de la Régularisation'!$D$14),"OUI","NON")</f>
        <v>NON</v>
      </c>
      <c r="Q214" s="16" t="str">
        <f t="array" ref="Q214">IF(P214="OUI",MAX($Q$2:Q213)+1,"")</f>
        <v/>
      </c>
    </row>
    <row r="215" spans="1:17" x14ac:dyDescent="0.2">
      <c r="A215" s="453">
        <f t="shared" si="55"/>
        <v>48458</v>
      </c>
      <c r="B215" s="30">
        <v>48458</v>
      </c>
      <c r="C215" s="16">
        <f t="shared" si="42"/>
        <v>0</v>
      </c>
      <c r="D215" s="16">
        <f t="shared" si="43"/>
        <v>0</v>
      </c>
      <c r="E215" s="16">
        <f t="shared" si="44"/>
        <v>0</v>
      </c>
      <c r="F215" s="16">
        <f t="shared" si="45"/>
        <v>0</v>
      </c>
      <c r="G215" s="16">
        <f t="shared" si="46"/>
        <v>0</v>
      </c>
      <c r="H215" s="16">
        <f t="shared" si="47"/>
        <v>0</v>
      </c>
      <c r="I215" s="16">
        <f t="shared" si="48"/>
        <v>0</v>
      </c>
      <c r="J215" s="16">
        <f t="shared" si="49"/>
        <v>0</v>
      </c>
      <c r="K215" s="16">
        <f t="shared" si="50"/>
        <v>0</v>
      </c>
      <c r="L215" s="16">
        <f t="shared" si="51"/>
        <v>0</v>
      </c>
      <c r="M215" s="16">
        <f t="shared" si="52"/>
        <v>0</v>
      </c>
      <c r="N215" s="16">
        <f t="shared" si="53"/>
        <v>0</v>
      </c>
      <c r="O215" s="16">
        <f t="shared" si="54"/>
        <v>0</v>
      </c>
      <c r="P215" s="16" t="str">
        <f>+IF(AND(B215&gt;='Relevé de la Régularisation'!$C$9,B215&lt;='Relevé de la Régularisation'!$D$14),"OUI","NON")</f>
        <v>NON</v>
      </c>
      <c r="Q215" s="16" t="str">
        <f t="array" ref="Q215">IF(P215="OUI",MAX($Q$2:Q214)+1,"")</f>
        <v/>
      </c>
    </row>
    <row r="216" spans="1:17" x14ac:dyDescent="0.2">
      <c r="A216" s="453">
        <f t="shared" si="55"/>
        <v>48488</v>
      </c>
      <c r="B216" s="30">
        <v>48488</v>
      </c>
      <c r="C216" s="16">
        <f t="shared" si="42"/>
        <v>0</v>
      </c>
      <c r="D216" s="16">
        <f t="shared" si="43"/>
        <v>0</v>
      </c>
      <c r="E216" s="16">
        <f t="shared" si="44"/>
        <v>0</v>
      </c>
      <c r="F216" s="16">
        <f t="shared" si="45"/>
        <v>0</v>
      </c>
      <c r="G216" s="16">
        <f t="shared" si="46"/>
        <v>0</v>
      </c>
      <c r="H216" s="16">
        <f t="shared" si="47"/>
        <v>0</v>
      </c>
      <c r="I216" s="16">
        <f t="shared" si="48"/>
        <v>0</v>
      </c>
      <c r="J216" s="16">
        <f t="shared" si="49"/>
        <v>0</v>
      </c>
      <c r="K216" s="16">
        <f t="shared" si="50"/>
        <v>0</v>
      </c>
      <c r="L216" s="16">
        <f t="shared" si="51"/>
        <v>0</v>
      </c>
      <c r="M216" s="16">
        <f t="shared" si="52"/>
        <v>0</v>
      </c>
      <c r="N216" s="16">
        <f t="shared" si="53"/>
        <v>0</v>
      </c>
      <c r="O216" s="16">
        <f t="shared" si="54"/>
        <v>0</v>
      </c>
      <c r="P216" s="16" t="str">
        <f>+IF(AND(B216&gt;='Relevé de la Régularisation'!$C$9,B216&lt;='Relevé de la Régularisation'!$D$14),"OUI","NON")</f>
        <v>NON</v>
      </c>
      <c r="Q216" s="16" t="str">
        <f t="array" ref="Q216">IF(P216="OUI",MAX($Q$2:Q215)+1,"")</f>
        <v/>
      </c>
    </row>
    <row r="217" spans="1:17" x14ac:dyDescent="0.2">
      <c r="A217" s="453">
        <f t="shared" si="55"/>
        <v>48519</v>
      </c>
      <c r="B217" s="30">
        <v>48519</v>
      </c>
      <c r="C217" s="16">
        <f t="shared" si="42"/>
        <v>0</v>
      </c>
      <c r="D217" s="16">
        <f t="shared" si="43"/>
        <v>0</v>
      </c>
      <c r="E217" s="16">
        <f t="shared" si="44"/>
        <v>0</v>
      </c>
      <c r="F217" s="16">
        <f t="shared" si="45"/>
        <v>0</v>
      </c>
      <c r="G217" s="16">
        <f t="shared" si="46"/>
        <v>0</v>
      </c>
      <c r="H217" s="16">
        <f t="shared" si="47"/>
        <v>0</v>
      </c>
      <c r="I217" s="16">
        <f t="shared" si="48"/>
        <v>0</v>
      </c>
      <c r="J217" s="16">
        <f t="shared" si="49"/>
        <v>0</v>
      </c>
      <c r="K217" s="16">
        <f t="shared" si="50"/>
        <v>0</v>
      </c>
      <c r="L217" s="16">
        <f t="shared" si="51"/>
        <v>0</v>
      </c>
      <c r="M217" s="16">
        <f t="shared" si="52"/>
        <v>0</v>
      </c>
      <c r="N217" s="16">
        <f t="shared" si="53"/>
        <v>0</v>
      </c>
      <c r="O217" s="16">
        <f t="shared" si="54"/>
        <v>0</v>
      </c>
      <c r="P217" s="16" t="str">
        <f>+IF(AND(B217&gt;='Relevé de la Régularisation'!$C$9,B217&lt;='Relevé de la Régularisation'!$D$14),"OUI","NON")</f>
        <v>NON</v>
      </c>
      <c r="Q217" s="16" t="str">
        <f t="array" ref="Q217">IF(P217="OUI",MAX($Q$2:Q216)+1,"")</f>
        <v/>
      </c>
    </row>
    <row r="218" spans="1:17" x14ac:dyDescent="0.2">
      <c r="A218" s="453">
        <f t="shared" si="55"/>
        <v>48549</v>
      </c>
      <c r="B218" s="30">
        <v>48549</v>
      </c>
      <c r="C218" s="16">
        <f t="shared" si="42"/>
        <v>0</v>
      </c>
      <c r="D218" s="16">
        <f t="shared" si="43"/>
        <v>0</v>
      </c>
      <c r="E218" s="16">
        <f t="shared" si="44"/>
        <v>0</v>
      </c>
      <c r="F218" s="16">
        <f t="shared" si="45"/>
        <v>0</v>
      </c>
      <c r="G218" s="16">
        <f t="shared" si="46"/>
        <v>0</v>
      </c>
      <c r="H218" s="16">
        <f t="shared" si="47"/>
        <v>0</v>
      </c>
      <c r="I218" s="16">
        <f t="shared" si="48"/>
        <v>0</v>
      </c>
      <c r="J218" s="16">
        <f t="shared" si="49"/>
        <v>0</v>
      </c>
      <c r="K218" s="16">
        <f t="shared" si="50"/>
        <v>0</v>
      </c>
      <c r="L218" s="16">
        <f t="shared" si="51"/>
        <v>0</v>
      </c>
      <c r="M218" s="16">
        <f t="shared" si="52"/>
        <v>0</v>
      </c>
      <c r="N218" s="16">
        <f t="shared" si="53"/>
        <v>0</v>
      </c>
      <c r="O218" s="16">
        <f t="shared" si="54"/>
        <v>0</v>
      </c>
      <c r="P218" s="16" t="str">
        <f>+IF(AND(B218&gt;='Relevé de la Régularisation'!$C$9,B218&lt;='Relevé de la Régularisation'!$D$14),"OUI","NON")</f>
        <v>NON</v>
      </c>
      <c r="Q218" s="16" t="str">
        <f t="array" ref="Q218">IF(P218="OUI",MAX($Q$2:Q217)+1,"")</f>
        <v/>
      </c>
    </row>
    <row r="219" spans="1:17" x14ac:dyDescent="0.2">
      <c r="A219" s="453">
        <f t="shared" si="55"/>
        <v>48580</v>
      </c>
      <c r="B219" s="30">
        <v>48580</v>
      </c>
      <c r="C219" s="16">
        <f t="shared" si="42"/>
        <v>0</v>
      </c>
      <c r="D219" s="16">
        <f t="shared" si="43"/>
        <v>0</v>
      </c>
      <c r="E219" s="16">
        <f t="shared" si="44"/>
        <v>0</v>
      </c>
      <c r="F219" s="16">
        <f t="shared" si="45"/>
        <v>0</v>
      </c>
      <c r="G219" s="16">
        <f t="shared" si="46"/>
        <v>0</v>
      </c>
      <c r="H219" s="16">
        <f t="shared" si="47"/>
        <v>0</v>
      </c>
      <c r="I219" s="16">
        <f t="shared" si="48"/>
        <v>0</v>
      </c>
      <c r="J219" s="16">
        <f t="shared" si="49"/>
        <v>0</v>
      </c>
      <c r="K219" s="16">
        <f t="shared" si="50"/>
        <v>0</v>
      </c>
      <c r="L219" s="16">
        <f t="shared" si="51"/>
        <v>0</v>
      </c>
      <c r="M219" s="16">
        <f t="shared" si="52"/>
        <v>0</v>
      </c>
      <c r="N219" s="16">
        <f t="shared" si="53"/>
        <v>0</v>
      </c>
      <c r="O219" s="16">
        <f t="shared" si="54"/>
        <v>0</v>
      </c>
      <c r="P219" s="16" t="str">
        <f>+IF(AND(B219&gt;='Relevé de la Régularisation'!$C$9,B219&lt;='Relevé de la Régularisation'!$D$14),"OUI","NON")</f>
        <v>NON</v>
      </c>
      <c r="Q219" s="16" t="str">
        <f t="array" ref="Q219">IF(P219="OUI",MAX($Q$2:Q218)+1,"")</f>
        <v/>
      </c>
    </row>
    <row r="220" spans="1:17" x14ac:dyDescent="0.2">
      <c r="A220" s="453">
        <f t="shared" si="55"/>
        <v>48611</v>
      </c>
      <c r="B220" s="30">
        <v>48611</v>
      </c>
      <c r="C220" s="16">
        <f t="shared" si="42"/>
        <v>0</v>
      </c>
      <c r="D220" s="16">
        <f t="shared" si="43"/>
        <v>0</v>
      </c>
      <c r="E220" s="16">
        <f t="shared" si="44"/>
        <v>0</v>
      </c>
      <c r="F220" s="16">
        <f t="shared" si="45"/>
        <v>0</v>
      </c>
      <c r="G220" s="16">
        <f t="shared" si="46"/>
        <v>0</v>
      </c>
      <c r="H220" s="16">
        <f t="shared" si="47"/>
        <v>0</v>
      </c>
      <c r="I220" s="16">
        <f t="shared" si="48"/>
        <v>0</v>
      </c>
      <c r="J220" s="16">
        <f t="shared" si="49"/>
        <v>0</v>
      </c>
      <c r="K220" s="16">
        <f t="shared" si="50"/>
        <v>0</v>
      </c>
      <c r="L220" s="16">
        <f t="shared" si="51"/>
        <v>0</v>
      </c>
      <c r="M220" s="16">
        <f t="shared" si="52"/>
        <v>0</v>
      </c>
      <c r="N220" s="16">
        <f t="shared" si="53"/>
        <v>0</v>
      </c>
      <c r="O220" s="16">
        <f t="shared" si="54"/>
        <v>0</v>
      </c>
      <c r="P220" s="16" t="str">
        <f>+IF(AND(B220&gt;='Relevé de la Régularisation'!$C$9,B220&lt;='Relevé de la Régularisation'!$D$14),"OUI","NON")</f>
        <v>NON</v>
      </c>
      <c r="Q220" s="16" t="str">
        <f t="array" ref="Q220">IF(P220="OUI",MAX($Q$2:Q219)+1,"")</f>
        <v/>
      </c>
    </row>
    <row r="221" spans="1:17" x14ac:dyDescent="0.2">
      <c r="A221" s="453">
        <f t="shared" si="55"/>
        <v>48639</v>
      </c>
      <c r="B221" s="30">
        <v>48639</v>
      </c>
      <c r="C221" s="16">
        <f t="shared" si="42"/>
        <v>0</v>
      </c>
      <c r="D221" s="16">
        <f t="shared" si="43"/>
        <v>0</v>
      </c>
      <c r="E221" s="16">
        <f t="shared" si="44"/>
        <v>0</v>
      </c>
      <c r="F221" s="16">
        <f t="shared" si="45"/>
        <v>0</v>
      </c>
      <c r="G221" s="16">
        <f t="shared" si="46"/>
        <v>0</v>
      </c>
      <c r="H221" s="16">
        <f t="shared" si="47"/>
        <v>0</v>
      </c>
      <c r="I221" s="16">
        <f t="shared" si="48"/>
        <v>0</v>
      </c>
      <c r="J221" s="16">
        <f t="shared" si="49"/>
        <v>0</v>
      </c>
      <c r="K221" s="16">
        <f t="shared" si="50"/>
        <v>0</v>
      </c>
      <c r="L221" s="16">
        <f t="shared" si="51"/>
        <v>0</v>
      </c>
      <c r="M221" s="16">
        <f t="shared" si="52"/>
        <v>0</v>
      </c>
      <c r="N221" s="16">
        <f t="shared" si="53"/>
        <v>0</v>
      </c>
      <c r="O221" s="16">
        <f t="shared" si="54"/>
        <v>0</v>
      </c>
      <c r="P221" s="16" t="str">
        <f>+IF(AND(B221&gt;='Relevé de la Régularisation'!$C$9,B221&lt;='Relevé de la Régularisation'!$D$14),"OUI","NON")</f>
        <v>NON</v>
      </c>
      <c r="Q221" s="16" t="str">
        <f t="array" ref="Q221">IF(P221="OUI",MAX($Q$2:Q220)+1,"")</f>
        <v/>
      </c>
    </row>
    <row r="222" spans="1:17" x14ac:dyDescent="0.2">
      <c r="A222" s="453">
        <f t="shared" si="55"/>
        <v>48670</v>
      </c>
      <c r="B222" s="30">
        <v>48670</v>
      </c>
      <c r="C222" s="16">
        <f t="shared" si="42"/>
        <v>0</v>
      </c>
      <c r="D222" s="16">
        <f t="shared" si="43"/>
        <v>0</v>
      </c>
      <c r="E222" s="16">
        <f t="shared" si="44"/>
        <v>0</v>
      </c>
      <c r="F222" s="16">
        <f t="shared" si="45"/>
        <v>0</v>
      </c>
      <c r="G222" s="16">
        <f t="shared" si="46"/>
        <v>0</v>
      </c>
      <c r="H222" s="16">
        <f t="shared" si="47"/>
        <v>0</v>
      </c>
      <c r="I222" s="16">
        <f t="shared" si="48"/>
        <v>0</v>
      </c>
      <c r="J222" s="16">
        <f t="shared" si="49"/>
        <v>0</v>
      </c>
      <c r="K222" s="16">
        <f t="shared" si="50"/>
        <v>0</v>
      </c>
      <c r="L222" s="16">
        <f t="shared" si="51"/>
        <v>0</v>
      </c>
      <c r="M222" s="16">
        <f t="shared" si="52"/>
        <v>0</v>
      </c>
      <c r="N222" s="16">
        <f t="shared" si="53"/>
        <v>0</v>
      </c>
      <c r="O222" s="16">
        <f t="shared" si="54"/>
        <v>0</v>
      </c>
      <c r="P222" s="16" t="str">
        <f>+IF(AND(B222&gt;='Relevé de la Régularisation'!$C$9,B222&lt;='Relevé de la Régularisation'!$D$14),"OUI","NON")</f>
        <v>NON</v>
      </c>
      <c r="Q222" s="16" t="str">
        <f t="array" ref="Q222">IF(P222="OUI",MAX($Q$2:Q221)+1,"")</f>
        <v/>
      </c>
    </row>
    <row r="223" spans="1:17" x14ac:dyDescent="0.2">
      <c r="A223" s="453">
        <f t="shared" si="55"/>
        <v>48700</v>
      </c>
      <c r="B223" s="30">
        <v>48700</v>
      </c>
      <c r="C223" s="16">
        <f t="shared" si="42"/>
        <v>0</v>
      </c>
      <c r="D223" s="16">
        <f t="shared" si="43"/>
        <v>0</v>
      </c>
      <c r="E223" s="16">
        <f t="shared" si="44"/>
        <v>0</v>
      </c>
      <c r="F223" s="16">
        <f t="shared" si="45"/>
        <v>0</v>
      </c>
      <c r="G223" s="16">
        <f t="shared" si="46"/>
        <v>0</v>
      </c>
      <c r="H223" s="16">
        <f t="shared" si="47"/>
        <v>0</v>
      </c>
      <c r="I223" s="16">
        <f t="shared" si="48"/>
        <v>0</v>
      </c>
      <c r="J223" s="16">
        <f t="shared" si="49"/>
        <v>0</v>
      </c>
      <c r="K223" s="16">
        <f t="shared" si="50"/>
        <v>0</v>
      </c>
      <c r="L223" s="16">
        <f t="shared" si="51"/>
        <v>0</v>
      </c>
      <c r="M223" s="16">
        <f t="shared" si="52"/>
        <v>0</v>
      </c>
      <c r="N223" s="16">
        <f t="shared" si="53"/>
        <v>0</v>
      </c>
      <c r="O223" s="16">
        <f t="shared" si="54"/>
        <v>0</v>
      </c>
      <c r="P223" s="16" t="str">
        <f>+IF(AND(B223&gt;='Relevé de la Régularisation'!$C$9,B223&lt;='Relevé de la Régularisation'!$D$14),"OUI","NON")</f>
        <v>NON</v>
      </c>
      <c r="Q223" s="16" t="str">
        <f t="array" ref="Q223">IF(P223="OUI",MAX($Q$2:Q222)+1,"")</f>
        <v/>
      </c>
    </row>
    <row r="224" spans="1:17" x14ac:dyDescent="0.2">
      <c r="A224" s="453">
        <f t="shared" si="55"/>
        <v>48731</v>
      </c>
      <c r="B224" s="30">
        <v>48731</v>
      </c>
      <c r="C224" s="16">
        <f t="shared" si="42"/>
        <v>0</v>
      </c>
      <c r="D224" s="16">
        <f t="shared" si="43"/>
        <v>0</v>
      </c>
      <c r="E224" s="16">
        <f t="shared" si="44"/>
        <v>0</v>
      </c>
      <c r="F224" s="16">
        <f t="shared" si="45"/>
        <v>0</v>
      </c>
      <c r="G224" s="16">
        <f t="shared" si="46"/>
        <v>0</v>
      </c>
      <c r="H224" s="16">
        <f t="shared" si="47"/>
        <v>0</v>
      </c>
      <c r="I224" s="16">
        <f t="shared" si="48"/>
        <v>0</v>
      </c>
      <c r="J224" s="16">
        <f t="shared" si="49"/>
        <v>0</v>
      </c>
      <c r="K224" s="16">
        <f t="shared" si="50"/>
        <v>0</v>
      </c>
      <c r="L224" s="16">
        <f t="shared" si="51"/>
        <v>0</v>
      </c>
      <c r="M224" s="16">
        <f t="shared" si="52"/>
        <v>0</v>
      </c>
      <c r="N224" s="16">
        <f t="shared" si="53"/>
        <v>0</v>
      </c>
      <c r="O224" s="16">
        <f t="shared" si="54"/>
        <v>0</v>
      </c>
      <c r="P224" s="16" t="str">
        <f>+IF(AND(B224&gt;='Relevé de la Régularisation'!$C$9,B224&lt;='Relevé de la Régularisation'!$D$14),"OUI","NON")</f>
        <v>NON</v>
      </c>
      <c r="Q224" s="16" t="str">
        <f t="array" ref="Q224">IF(P224="OUI",MAX($Q$2:Q223)+1,"")</f>
        <v/>
      </c>
    </row>
    <row r="225" spans="1:17" x14ac:dyDescent="0.2">
      <c r="A225" s="453">
        <f t="shared" si="55"/>
        <v>48761</v>
      </c>
      <c r="B225" s="30">
        <v>48761</v>
      </c>
      <c r="C225" s="16">
        <f t="shared" si="42"/>
        <v>0</v>
      </c>
      <c r="D225" s="16">
        <f t="shared" si="43"/>
        <v>0</v>
      </c>
      <c r="E225" s="16">
        <f t="shared" si="44"/>
        <v>0</v>
      </c>
      <c r="F225" s="16">
        <f t="shared" si="45"/>
        <v>0</v>
      </c>
      <c r="G225" s="16">
        <f t="shared" si="46"/>
        <v>0</v>
      </c>
      <c r="H225" s="16">
        <f t="shared" si="47"/>
        <v>0</v>
      </c>
      <c r="I225" s="16">
        <f t="shared" si="48"/>
        <v>0</v>
      </c>
      <c r="J225" s="16">
        <f t="shared" si="49"/>
        <v>0</v>
      </c>
      <c r="K225" s="16">
        <f t="shared" si="50"/>
        <v>0</v>
      </c>
      <c r="L225" s="16">
        <f t="shared" si="51"/>
        <v>0</v>
      </c>
      <c r="M225" s="16">
        <f t="shared" si="52"/>
        <v>0</v>
      </c>
      <c r="N225" s="16">
        <f t="shared" si="53"/>
        <v>0</v>
      </c>
      <c r="O225" s="16">
        <f t="shared" si="54"/>
        <v>0</v>
      </c>
      <c r="P225" s="16" t="str">
        <f>+IF(AND(B225&gt;='Relevé de la Régularisation'!$C$9,B225&lt;='Relevé de la Régularisation'!$D$14),"OUI","NON")</f>
        <v>NON</v>
      </c>
      <c r="Q225" s="16" t="str">
        <f t="array" ref="Q225">IF(P225="OUI",MAX($Q$2:Q224)+1,"")</f>
        <v/>
      </c>
    </row>
    <row r="226" spans="1:17" x14ac:dyDescent="0.2">
      <c r="A226" s="453">
        <f t="shared" si="55"/>
        <v>48792</v>
      </c>
      <c r="B226" s="30">
        <v>48792</v>
      </c>
      <c r="C226" s="16">
        <f t="shared" si="42"/>
        <v>0</v>
      </c>
      <c r="D226" s="16">
        <f t="shared" si="43"/>
        <v>0</v>
      </c>
      <c r="E226" s="16">
        <f t="shared" si="44"/>
        <v>0</v>
      </c>
      <c r="F226" s="16">
        <f t="shared" si="45"/>
        <v>0</v>
      </c>
      <c r="G226" s="16">
        <f t="shared" si="46"/>
        <v>0</v>
      </c>
      <c r="H226" s="16">
        <f t="shared" si="47"/>
        <v>0</v>
      </c>
      <c r="I226" s="16">
        <f t="shared" si="48"/>
        <v>0</v>
      </c>
      <c r="J226" s="16">
        <f t="shared" si="49"/>
        <v>0</v>
      </c>
      <c r="K226" s="16">
        <f t="shared" si="50"/>
        <v>0</v>
      </c>
      <c r="L226" s="16">
        <f t="shared" si="51"/>
        <v>0</v>
      </c>
      <c r="M226" s="16">
        <f t="shared" si="52"/>
        <v>0</v>
      </c>
      <c r="N226" s="16">
        <f t="shared" si="53"/>
        <v>0</v>
      </c>
      <c r="O226" s="16">
        <f t="shared" si="54"/>
        <v>0</v>
      </c>
      <c r="P226" s="16" t="str">
        <f>+IF(AND(B226&gt;='Relevé de la Régularisation'!$C$9,B226&lt;='Relevé de la Régularisation'!$D$14),"OUI","NON")</f>
        <v>NON</v>
      </c>
      <c r="Q226" s="16" t="str">
        <f t="array" ref="Q226">IF(P226="OUI",MAX($Q$2:Q225)+1,"")</f>
        <v/>
      </c>
    </row>
    <row r="227" spans="1:17" x14ac:dyDescent="0.2">
      <c r="A227" s="453">
        <f t="shared" si="55"/>
        <v>48823</v>
      </c>
      <c r="B227" s="30">
        <v>48823</v>
      </c>
      <c r="C227" s="16">
        <f t="shared" si="42"/>
        <v>0</v>
      </c>
      <c r="D227" s="16">
        <f t="shared" si="43"/>
        <v>0</v>
      </c>
      <c r="E227" s="16">
        <f t="shared" si="44"/>
        <v>0</v>
      </c>
      <c r="F227" s="16">
        <f t="shared" si="45"/>
        <v>0</v>
      </c>
      <c r="G227" s="16">
        <f t="shared" si="46"/>
        <v>0</v>
      </c>
      <c r="H227" s="16">
        <f t="shared" si="47"/>
        <v>0</v>
      </c>
      <c r="I227" s="16">
        <f t="shared" si="48"/>
        <v>0</v>
      </c>
      <c r="J227" s="16">
        <f t="shared" si="49"/>
        <v>0</v>
      </c>
      <c r="K227" s="16">
        <f t="shared" si="50"/>
        <v>0</v>
      </c>
      <c r="L227" s="16">
        <f t="shared" si="51"/>
        <v>0</v>
      </c>
      <c r="M227" s="16">
        <f t="shared" si="52"/>
        <v>0</v>
      </c>
      <c r="N227" s="16">
        <f t="shared" si="53"/>
        <v>0</v>
      </c>
      <c r="O227" s="16">
        <f t="shared" si="54"/>
        <v>0</v>
      </c>
      <c r="P227" s="16" t="str">
        <f>+IF(AND(B227&gt;='Relevé de la Régularisation'!$C$9,B227&lt;='Relevé de la Régularisation'!$D$14),"OUI","NON")</f>
        <v>NON</v>
      </c>
      <c r="Q227" s="16" t="str">
        <f t="array" ref="Q227">IF(P227="OUI",MAX($Q$2:Q226)+1,"")</f>
        <v/>
      </c>
    </row>
    <row r="228" spans="1:17" x14ac:dyDescent="0.2">
      <c r="A228" s="453">
        <f t="shared" si="55"/>
        <v>48853</v>
      </c>
      <c r="B228" s="30">
        <v>48853</v>
      </c>
      <c r="C228" s="16">
        <f t="shared" si="42"/>
        <v>0</v>
      </c>
      <c r="D228" s="16">
        <f t="shared" si="43"/>
        <v>0</v>
      </c>
      <c r="E228" s="16">
        <f t="shared" si="44"/>
        <v>0</v>
      </c>
      <c r="F228" s="16">
        <f t="shared" si="45"/>
        <v>0</v>
      </c>
      <c r="G228" s="16">
        <f t="shared" si="46"/>
        <v>0</v>
      </c>
      <c r="H228" s="16">
        <f t="shared" si="47"/>
        <v>0</v>
      </c>
      <c r="I228" s="16">
        <f t="shared" si="48"/>
        <v>0</v>
      </c>
      <c r="J228" s="16">
        <f t="shared" si="49"/>
        <v>0</v>
      </c>
      <c r="K228" s="16">
        <f t="shared" si="50"/>
        <v>0</v>
      </c>
      <c r="L228" s="16">
        <f t="shared" si="51"/>
        <v>0</v>
      </c>
      <c r="M228" s="16">
        <f t="shared" si="52"/>
        <v>0</v>
      </c>
      <c r="N228" s="16">
        <f t="shared" si="53"/>
        <v>0</v>
      </c>
      <c r="O228" s="16">
        <f t="shared" si="54"/>
        <v>0</v>
      </c>
      <c r="P228" s="16" t="str">
        <f>+IF(AND(B228&gt;='Relevé de la Régularisation'!$C$9,B228&lt;='Relevé de la Régularisation'!$D$14),"OUI","NON")</f>
        <v>NON</v>
      </c>
      <c r="Q228" s="16" t="str">
        <f t="array" ref="Q228">IF(P228="OUI",MAX($Q$2:Q227)+1,"")</f>
        <v/>
      </c>
    </row>
    <row r="229" spans="1:17" x14ac:dyDescent="0.2">
      <c r="A229" s="453">
        <f t="shared" si="55"/>
        <v>48884</v>
      </c>
      <c r="B229" s="30">
        <v>48884</v>
      </c>
      <c r="C229" s="16">
        <f t="shared" si="42"/>
        <v>0</v>
      </c>
      <c r="D229" s="16">
        <f t="shared" si="43"/>
        <v>0</v>
      </c>
      <c r="E229" s="16">
        <f t="shared" si="44"/>
        <v>0</v>
      </c>
      <c r="F229" s="16">
        <f t="shared" si="45"/>
        <v>0</v>
      </c>
      <c r="G229" s="16">
        <f t="shared" si="46"/>
        <v>0</v>
      </c>
      <c r="H229" s="16">
        <f t="shared" si="47"/>
        <v>0</v>
      </c>
      <c r="I229" s="16">
        <f t="shared" si="48"/>
        <v>0</v>
      </c>
      <c r="J229" s="16">
        <f t="shared" si="49"/>
        <v>0</v>
      </c>
      <c r="K229" s="16">
        <f t="shared" si="50"/>
        <v>0</v>
      </c>
      <c r="L229" s="16">
        <f t="shared" si="51"/>
        <v>0</v>
      </c>
      <c r="M229" s="16">
        <f t="shared" si="52"/>
        <v>0</v>
      </c>
      <c r="N229" s="16">
        <f t="shared" si="53"/>
        <v>0</v>
      </c>
      <c r="O229" s="16">
        <f t="shared" si="54"/>
        <v>0</v>
      </c>
      <c r="P229" s="16" t="str">
        <f>+IF(AND(B229&gt;='Relevé de la Régularisation'!$C$9,B229&lt;='Relevé de la Régularisation'!$D$14),"OUI","NON")</f>
        <v>NON</v>
      </c>
      <c r="Q229" s="16" t="str">
        <f t="array" ref="Q229">IF(P229="OUI",MAX($Q$2:Q228)+1,"")</f>
        <v/>
      </c>
    </row>
    <row r="230" spans="1:17" x14ac:dyDescent="0.2">
      <c r="A230" s="453">
        <f t="shared" si="55"/>
        <v>48914</v>
      </c>
      <c r="B230" s="30">
        <v>48914</v>
      </c>
      <c r="C230" s="16">
        <f t="shared" si="42"/>
        <v>0</v>
      </c>
      <c r="D230" s="16">
        <f t="shared" si="43"/>
        <v>0</v>
      </c>
      <c r="E230" s="16">
        <f t="shared" si="44"/>
        <v>0</v>
      </c>
      <c r="F230" s="16">
        <f t="shared" si="45"/>
        <v>0</v>
      </c>
      <c r="G230" s="16">
        <f t="shared" si="46"/>
        <v>0</v>
      </c>
      <c r="H230" s="16">
        <f t="shared" si="47"/>
        <v>0</v>
      </c>
      <c r="I230" s="16">
        <f t="shared" si="48"/>
        <v>0</v>
      </c>
      <c r="J230" s="16">
        <f t="shared" si="49"/>
        <v>0</v>
      </c>
      <c r="K230" s="16">
        <f t="shared" si="50"/>
        <v>0</v>
      </c>
      <c r="L230" s="16">
        <f t="shared" si="51"/>
        <v>0</v>
      </c>
      <c r="M230" s="16">
        <f t="shared" si="52"/>
        <v>0</v>
      </c>
      <c r="N230" s="16">
        <f t="shared" si="53"/>
        <v>0</v>
      </c>
      <c r="O230" s="16">
        <f t="shared" si="54"/>
        <v>0</v>
      </c>
      <c r="P230" s="16" t="str">
        <f>+IF(AND(B230&gt;='Relevé de la Régularisation'!$C$9,B230&lt;='Relevé de la Régularisation'!$D$14),"OUI","NON")</f>
        <v>NON</v>
      </c>
      <c r="Q230" s="16" t="str">
        <f t="array" ref="Q230">IF(P230="OUI",MAX($Q$2:Q229)+1,"")</f>
        <v/>
      </c>
    </row>
    <row r="231" spans="1:17" x14ac:dyDescent="0.2">
      <c r="A231" s="453">
        <f t="shared" si="55"/>
        <v>48945</v>
      </c>
      <c r="B231" s="30">
        <v>48945</v>
      </c>
      <c r="C231" s="16">
        <f t="shared" si="42"/>
        <v>0</v>
      </c>
      <c r="D231" s="16">
        <f t="shared" si="43"/>
        <v>0</v>
      </c>
      <c r="E231" s="16">
        <f t="shared" si="44"/>
        <v>0</v>
      </c>
      <c r="F231" s="16">
        <f t="shared" si="45"/>
        <v>0</v>
      </c>
      <c r="G231" s="16">
        <f t="shared" si="46"/>
        <v>0</v>
      </c>
      <c r="H231" s="16">
        <f t="shared" si="47"/>
        <v>0</v>
      </c>
      <c r="I231" s="16">
        <f t="shared" si="48"/>
        <v>0</v>
      </c>
      <c r="J231" s="16">
        <f t="shared" si="49"/>
        <v>0</v>
      </c>
      <c r="K231" s="16">
        <f t="shared" si="50"/>
        <v>0</v>
      </c>
      <c r="L231" s="16">
        <f t="shared" si="51"/>
        <v>0</v>
      </c>
      <c r="M231" s="16">
        <f t="shared" si="52"/>
        <v>0</v>
      </c>
      <c r="N231" s="16">
        <f t="shared" si="53"/>
        <v>0</v>
      </c>
      <c r="O231" s="16">
        <f t="shared" si="54"/>
        <v>0</v>
      </c>
      <c r="P231" s="16" t="str">
        <f>+IF(AND(B231&gt;='Relevé de la Régularisation'!$C$9,B231&lt;='Relevé de la Régularisation'!$D$14),"OUI","NON")</f>
        <v>NON</v>
      </c>
      <c r="Q231" s="16" t="str">
        <f t="array" ref="Q231">IF(P231="OUI",MAX($Q$2:Q230)+1,"")</f>
        <v/>
      </c>
    </row>
    <row r="232" spans="1:17" x14ac:dyDescent="0.2">
      <c r="A232" s="453">
        <f t="shared" si="55"/>
        <v>48976</v>
      </c>
      <c r="B232" s="30">
        <v>48976</v>
      </c>
      <c r="C232" s="16">
        <f t="shared" si="42"/>
        <v>0</v>
      </c>
      <c r="D232" s="16">
        <f t="shared" si="43"/>
        <v>0</v>
      </c>
      <c r="E232" s="16">
        <f t="shared" si="44"/>
        <v>0</v>
      </c>
      <c r="F232" s="16">
        <f t="shared" si="45"/>
        <v>0</v>
      </c>
      <c r="G232" s="16">
        <f t="shared" si="46"/>
        <v>0</v>
      </c>
      <c r="H232" s="16">
        <f t="shared" si="47"/>
        <v>0</v>
      </c>
      <c r="I232" s="16">
        <f t="shared" si="48"/>
        <v>0</v>
      </c>
      <c r="J232" s="16">
        <f t="shared" si="49"/>
        <v>0</v>
      </c>
      <c r="K232" s="16">
        <f t="shared" si="50"/>
        <v>0</v>
      </c>
      <c r="L232" s="16">
        <f t="shared" si="51"/>
        <v>0</v>
      </c>
      <c r="M232" s="16">
        <f t="shared" si="52"/>
        <v>0</v>
      </c>
      <c r="N232" s="16">
        <f t="shared" si="53"/>
        <v>0</v>
      </c>
      <c r="O232" s="16">
        <f t="shared" si="54"/>
        <v>0</v>
      </c>
      <c r="P232" s="16" t="str">
        <f>+IF(AND(B232&gt;='Relevé de la Régularisation'!$C$9,B232&lt;='Relevé de la Régularisation'!$D$14),"OUI","NON")</f>
        <v>NON</v>
      </c>
      <c r="Q232" s="16" t="str">
        <f t="array" ref="Q232">IF(P232="OUI",MAX($Q$2:Q231)+1,"")</f>
        <v/>
      </c>
    </row>
    <row r="233" spans="1:17" x14ac:dyDescent="0.2">
      <c r="A233" s="453">
        <f t="shared" si="55"/>
        <v>49004</v>
      </c>
      <c r="B233" s="30">
        <v>49004</v>
      </c>
      <c r="C233" s="16">
        <f t="shared" si="42"/>
        <v>0</v>
      </c>
      <c r="D233" s="16">
        <f t="shared" si="43"/>
        <v>0</v>
      </c>
      <c r="E233" s="16">
        <f t="shared" si="44"/>
        <v>0</v>
      </c>
      <c r="F233" s="16">
        <f t="shared" si="45"/>
        <v>0</v>
      </c>
      <c r="G233" s="16">
        <f t="shared" si="46"/>
        <v>0</v>
      </c>
      <c r="H233" s="16">
        <f t="shared" si="47"/>
        <v>0</v>
      </c>
      <c r="I233" s="16">
        <f t="shared" si="48"/>
        <v>0</v>
      </c>
      <c r="J233" s="16">
        <f t="shared" si="49"/>
        <v>0</v>
      </c>
      <c r="K233" s="16">
        <f t="shared" si="50"/>
        <v>0</v>
      </c>
      <c r="L233" s="16">
        <f t="shared" si="51"/>
        <v>0</v>
      </c>
      <c r="M233" s="16">
        <f t="shared" si="52"/>
        <v>0</v>
      </c>
      <c r="N233" s="16">
        <f t="shared" si="53"/>
        <v>0</v>
      </c>
      <c r="O233" s="16">
        <f t="shared" si="54"/>
        <v>0</v>
      </c>
      <c r="P233" s="16" t="str">
        <f>+IF(AND(B233&gt;='Relevé de la Régularisation'!$C$9,B233&lt;='Relevé de la Régularisation'!$D$14),"OUI","NON")</f>
        <v>NON</v>
      </c>
      <c r="Q233" s="16" t="str">
        <f t="array" ref="Q233">IF(P233="OUI",MAX($Q$2:Q232)+1,"")</f>
        <v/>
      </c>
    </row>
    <row r="234" spans="1:17" x14ac:dyDescent="0.2">
      <c r="A234" s="453">
        <f t="shared" si="55"/>
        <v>49035</v>
      </c>
      <c r="B234" s="30">
        <v>49035</v>
      </c>
      <c r="C234" s="16">
        <f t="shared" si="42"/>
        <v>0</v>
      </c>
      <c r="D234" s="16">
        <f t="shared" si="43"/>
        <v>0</v>
      </c>
      <c r="E234" s="16">
        <f t="shared" si="44"/>
        <v>0</v>
      </c>
      <c r="F234" s="16">
        <f t="shared" si="45"/>
        <v>0</v>
      </c>
      <c r="G234" s="16">
        <f t="shared" si="46"/>
        <v>0</v>
      </c>
      <c r="H234" s="16">
        <f t="shared" si="47"/>
        <v>0</v>
      </c>
      <c r="I234" s="16">
        <f t="shared" si="48"/>
        <v>0</v>
      </c>
      <c r="J234" s="16">
        <f t="shared" si="49"/>
        <v>0</v>
      </c>
      <c r="K234" s="16">
        <f t="shared" si="50"/>
        <v>0</v>
      </c>
      <c r="L234" s="16">
        <f t="shared" si="51"/>
        <v>0</v>
      </c>
      <c r="M234" s="16">
        <f t="shared" si="52"/>
        <v>0</v>
      </c>
      <c r="N234" s="16">
        <f t="shared" si="53"/>
        <v>0</v>
      </c>
      <c r="O234" s="16">
        <f t="shared" si="54"/>
        <v>0</v>
      </c>
      <c r="P234" s="16" t="str">
        <f>+IF(AND(B234&gt;='Relevé de la Régularisation'!$C$9,B234&lt;='Relevé de la Régularisation'!$D$14),"OUI","NON")</f>
        <v>NON</v>
      </c>
      <c r="Q234" s="16" t="str">
        <f t="array" ref="Q234">IF(P234="OUI",MAX($Q$2:Q233)+1,"")</f>
        <v/>
      </c>
    </row>
    <row r="235" spans="1:17" x14ac:dyDescent="0.2">
      <c r="A235" s="453">
        <f t="shared" si="55"/>
        <v>49065</v>
      </c>
      <c r="B235" s="30">
        <v>49065</v>
      </c>
      <c r="C235" s="16">
        <f t="shared" si="42"/>
        <v>0</v>
      </c>
      <c r="D235" s="16">
        <f t="shared" si="43"/>
        <v>0</v>
      </c>
      <c r="E235" s="16">
        <f t="shared" si="44"/>
        <v>0</v>
      </c>
      <c r="F235" s="16">
        <f t="shared" si="45"/>
        <v>0</v>
      </c>
      <c r="G235" s="16">
        <f t="shared" si="46"/>
        <v>0</v>
      </c>
      <c r="H235" s="16">
        <f t="shared" si="47"/>
        <v>0</v>
      </c>
      <c r="I235" s="16">
        <f t="shared" si="48"/>
        <v>0</v>
      </c>
      <c r="J235" s="16">
        <f t="shared" si="49"/>
        <v>0</v>
      </c>
      <c r="K235" s="16">
        <f t="shared" si="50"/>
        <v>0</v>
      </c>
      <c r="L235" s="16">
        <f t="shared" si="51"/>
        <v>0</v>
      </c>
      <c r="M235" s="16">
        <f t="shared" si="52"/>
        <v>0</v>
      </c>
      <c r="N235" s="16">
        <f t="shared" si="53"/>
        <v>0</v>
      </c>
      <c r="O235" s="16">
        <f t="shared" si="54"/>
        <v>0</v>
      </c>
      <c r="P235" s="16" t="str">
        <f>+IF(AND(B235&gt;='Relevé de la Régularisation'!$C$9,B235&lt;='Relevé de la Régularisation'!$D$14),"OUI","NON")</f>
        <v>NON</v>
      </c>
      <c r="Q235" s="16" t="str">
        <f t="array" ref="Q235">IF(P235="OUI",MAX($Q$2:Q234)+1,"")</f>
        <v/>
      </c>
    </row>
    <row r="236" spans="1:17" x14ac:dyDescent="0.2">
      <c r="A236" s="453">
        <f t="shared" si="55"/>
        <v>49096</v>
      </c>
      <c r="B236" s="30">
        <v>49096</v>
      </c>
      <c r="C236" s="16">
        <f t="shared" si="42"/>
        <v>0</v>
      </c>
      <c r="D236" s="16">
        <f t="shared" si="43"/>
        <v>0</v>
      </c>
      <c r="E236" s="16">
        <f t="shared" si="44"/>
        <v>0</v>
      </c>
      <c r="F236" s="16">
        <f t="shared" si="45"/>
        <v>0</v>
      </c>
      <c r="G236" s="16">
        <f t="shared" si="46"/>
        <v>0</v>
      </c>
      <c r="H236" s="16">
        <f t="shared" si="47"/>
        <v>0</v>
      </c>
      <c r="I236" s="16">
        <f t="shared" si="48"/>
        <v>0</v>
      </c>
      <c r="J236" s="16">
        <f t="shared" si="49"/>
        <v>0</v>
      </c>
      <c r="K236" s="16">
        <f t="shared" si="50"/>
        <v>0</v>
      </c>
      <c r="L236" s="16">
        <f t="shared" si="51"/>
        <v>0</v>
      </c>
      <c r="M236" s="16">
        <f t="shared" si="52"/>
        <v>0</v>
      </c>
      <c r="N236" s="16">
        <f t="shared" si="53"/>
        <v>0</v>
      </c>
      <c r="O236" s="16">
        <f t="shared" si="54"/>
        <v>0</v>
      </c>
      <c r="P236" s="16" t="str">
        <f>+IF(AND(B236&gt;='Relevé de la Régularisation'!$C$9,B236&lt;='Relevé de la Régularisation'!$D$14),"OUI","NON")</f>
        <v>NON</v>
      </c>
      <c r="Q236" s="16" t="str">
        <f t="array" ref="Q236">IF(P236="OUI",MAX($Q$2:Q235)+1,"")</f>
        <v/>
      </c>
    </row>
    <row r="237" spans="1:17" x14ac:dyDescent="0.2">
      <c r="A237" s="453">
        <f t="shared" si="55"/>
        <v>49126</v>
      </c>
      <c r="B237" s="30">
        <v>49126</v>
      </c>
      <c r="C237" s="16">
        <f t="shared" si="42"/>
        <v>0</v>
      </c>
      <c r="D237" s="16">
        <f t="shared" si="43"/>
        <v>0</v>
      </c>
      <c r="E237" s="16">
        <f t="shared" si="44"/>
        <v>0</v>
      </c>
      <c r="F237" s="16">
        <f t="shared" si="45"/>
        <v>0</v>
      </c>
      <c r="G237" s="16">
        <f t="shared" si="46"/>
        <v>0</v>
      </c>
      <c r="H237" s="16">
        <f t="shared" si="47"/>
        <v>0</v>
      </c>
      <c r="I237" s="16">
        <f t="shared" si="48"/>
        <v>0</v>
      </c>
      <c r="J237" s="16">
        <f t="shared" si="49"/>
        <v>0</v>
      </c>
      <c r="K237" s="16">
        <f t="shared" si="50"/>
        <v>0</v>
      </c>
      <c r="L237" s="16">
        <f t="shared" si="51"/>
        <v>0</v>
      </c>
      <c r="M237" s="16">
        <f t="shared" si="52"/>
        <v>0</v>
      </c>
      <c r="N237" s="16">
        <f t="shared" si="53"/>
        <v>0</v>
      </c>
      <c r="O237" s="16">
        <f t="shared" si="54"/>
        <v>0</v>
      </c>
      <c r="P237" s="16" t="str">
        <f>+IF(AND(B237&gt;='Relevé de la Régularisation'!$C$9,B237&lt;='Relevé de la Régularisation'!$D$14),"OUI","NON")</f>
        <v>NON</v>
      </c>
      <c r="Q237" s="16" t="str">
        <f t="array" ref="Q237">IF(P237="OUI",MAX($Q$2:Q236)+1,"")</f>
        <v/>
      </c>
    </row>
    <row r="238" spans="1:17" x14ac:dyDescent="0.2">
      <c r="A238" s="453">
        <f t="shared" si="55"/>
        <v>49157</v>
      </c>
      <c r="B238" s="30">
        <v>49157</v>
      </c>
      <c r="C238" s="16">
        <f t="shared" si="42"/>
        <v>0</v>
      </c>
      <c r="D238" s="16">
        <f t="shared" si="43"/>
        <v>0</v>
      </c>
      <c r="E238" s="16">
        <f t="shared" si="44"/>
        <v>0</v>
      </c>
      <c r="F238" s="16">
        <f t="shared" si="45"/>
        <v>0</v>
      </c>
      <c r="G238" s="16">
        <f t="shared" si="46"/>
        <v>0</v>
      </c>
      <c r="H238" s="16">
        <f t="shared" si="47"/>
        <v>0</v>
      </c>
      <c r="I238" s="16">
        <f t="shared" si="48"/>
        <v>0</v>
      </c>
      <c r="J238" s="16">
        <f t="shared" si="49"/>
        <v>0</v>
      </c>
      <c r="K238" s="16">
        <f t="shared" si="50"/>
        <v>0</v>
      </c>
      <c r="L238" s="16">
        <f t="shared" si="51"/>
        <v>0</v>
      </c>
      <c r="M238" s="16">
        <f t="shared" si="52"/>
        <v>0</v>
      </c>
      <c r="N238" s="16">
        <f t="shared" si="53"/>
        <v>0</v>
      </c>
      <c r="O238" s="16">
        <f t="shared" si="54"/>
        <v>0</v>
      </c>
      <c r="P238" s="16" t="str">
        <f>+IF(AND(B238&gt;='Relevé de la Régularisation'!$C$9,B238&lt;='Relevé de la Régularisation'!$D$14),"OUI","NON")</f>
        <v>NON</v>
      </c>
      <c r="Q238" s="16" t="str">
        <f t="array" ref="Q238">IF(P238="OUI",MAX($Q$2:Q237)+1,"")</f>
        <v/>
      </c>
    </row>
    <row r="239" spans="1:17" x14ac:dyDescent="0.2">
      <c r="A239" s="453">
        <f t="shared" si="55"/>
        <v>49188</v>
      </c>
      <c r="B239" s="30">
        <v>49188</v>
      </c>
      <c r="C239" s="16">
        <f t="shared" si="42"/>
        <v>0</v>
      </c>
      <c r="D239" s="16">
        <f t="shared" si="43"/>
        <v>0</v>
      </c>
      <c r="E239" s="16">
        <f t="shared" si="44"/>
        <v>0</v>
      </c>
      <c r="F239" s="16">
        <f t="shared" si="45"/>
        <v>0</v>
      </c>
      <c r="G239" s="16">
        <f t="shared" si="46"/>
        <v>0</v>
      </c>
      <c r="H239" s="16">
        <f t="shared" si="47"/>
        <v>0</v>
      </c>
      <c r="I239" s="16">
        <f t="shared" si="48"/>
        <v>0</v>
      </c>
      <c r="J239" s="16">
        <f t="shared" si="49"/>
        <v>0</v>
      </c>
      <c r="K239" s="16">
        <f t="shared" si="50"/>
        <v>0</v>
      </c>
      <c r="L239" s="16">
        <f t="shared" si="51"/>
        <v>0</v>
      </c>
      <c r="M239" s="16">
        <f t="shared" si="52"/>
        <v>0</v>
      </c>
      <c r="N239" s="16">
        <f t="shared" si="53"/>
        <v>0</v>
      </c>
      <c r="O239" s="16">
        <f t="shared" si="54"/>
        <v>0</v>
      </c>
      <c r="P239" s="16" t="str">
        <f>+IF(AND(B239&gt;='Relevé de la Régularisation'!$C$9,B239&lt;='Relevé de la Régularisation'!$D$14),"OUI","NON")</f>
        <v>NON</v>
      </c>
      <c r="Q239" s="16" t="str">
        <f t="array" ref="Q239">IF(P239="OUI",MAX($Q$2:Q238)+1,"")</f>
        <v/>
      </c>
    </row>
    <row r="240" spans="1:17" x14ac:dyDescent="0.2">
      <c r="A240" s="453">
        <f t="shared" si="55"/>
        <v>49218</v>
      </c>
      <c r="B240" s="30">
        <v>49218</v>
      </c>
      <c r="C240" s="16">
        <f t="shared" si="42"/>
        <v>0</v>
      </c>
      <c r="D240" s="16">
        <f t="shared" si="43"/>
        <v>0</v>
      </c>
      <c r="E240" s="16">
        <f t="shared" si="44"/>
        <v>0</v>
      </c>
      <c r="F240" s="16">
        <f t="shared" si="45"/>
        <v>0</v>
      </c>
      <c r="G240" s="16">
        <f t="shared" si="46"/>
        <v>0</v>
      </c>
      <c r="H240" s="16">
        <f t="shared" si="47"/>
        <v>0</v>
      </c>
      <c r="I240" s="16">
        <f t="shared" si="48"/>
        <v>0</v>
      </c>
      <c r="J240" s="16">
        <f t="shared" si="49"/>
        <v>0</v>
      </c>
      <c r="K240" s="16">
        <f t="shared" si="50"/>
        <v>0</v>
      </c>
      <c r="L240" s="16">
        <f t="shared" si="51"/>
        <v>0</v>
      </c>
      <c r="M240" s="16">
        <f t="shared" si="52"/>
        <v>0</v>
      </c>
      <c r="N240" s="16">
        <f t="shared" si="53"/>
        <v>0</v>
      </c>
      <c r="O240" s="16">
        <f t="shared" si="54"/>
        <v>0</v>
      </c>
      <c r="P240" s="16" t="str">
        <f>+IF(AND(B240&gt;='Relevé de la Régularisation'!$C$9,B240&lt;='Relevé de la Régularisation'!$D$14),"OUI","NON")</f>
        <v>NON</v>
      </c>
      <c r="Q240" s="16" t="str">
        <f t="array" ref="Q240">IF(P240="OUI",MAX($Q$2:Q239)+1,"")</f>
        <v/>
      </c>
    </row>
    <row r="241" spans="1:17" x14ac:dyDescent="0.2">
      <c r="A241" s="453">
        <f t="shared" si="55"/>
        <v>49249</v>
      </c>
      <c r="B241" s="30">
        <v>49249</v>
      </c>
      <c r="C241" s="16">
        <f t="shared" si="42"/>
        <v>0</v>
      </c>
      <c r="D241" s="16">
        <f t="shared" si="43"/>
        <v>0</v>
      </c>
      <c r="E241" s="16">
        <f t="shared" si="44"/>
        <v>0</v>
      </c>
      <c r="F241" s="16">
        <f t="shared" si="45"/>
        <v>0</v>
      </c>
      <c r="G241" s="16">
        <f t="shared" si="46"/>
        <v>0</v>
      </c>
      <c r="H241" s="16">
        <f t="shared" si="47"/>
        <v>0</v>
      </c>
      <c r="I241" s="16">
        <f t="shared" si="48"/>
        <v>0</v>
      </c>
      <c r="J241" s="16">
        <f t="shared" si="49"/>
        <v>0</v>
      </c>
      <c r="K241" s="16">
        <f t="shared" si="50"/>
        <v>0</v>
      </c>
      <c r="L241" s="16">
        <f t="shared" si="51"/>
        <v>0</v>
      </c>
      <c r="M241" s="16">
        <f t="shared" si="52"/>
        <v>0</v>
      </c>
      <c r="N241" s="16">
        <f t="shared" si="53"/>
        <v>0</v>
      </c>
      <c r="O241" s="16">
        <f t="shared" si="54"/>
        <v>0</v>
      </c>
      <c r="P241" s="16" t="str">
        <f>+IF(AND(B241&gt;='Relevé de la Régularisation'!$C$9,B241&lt;='Relevé de la Régularisation'!$D$14),"OUI","NON")</f>
        <v>NON</v>
      </c>
      <c r="Q241" s="16" t="str">
        <f t="array" ref="Q241">IF(P241="OUI",MAX($Q$2:Q240)+1,"")</f>
        <v/>
      </c>
    </row>
    <row r="242" spans="1:17" x14ac:dyDescent="0.2">
      <c r="A242" s="453">
        <f t="shared" si="55"/>
        <v>49279</v>
      </c>
      <c r="B242" s="30">
        <v>49279</v>
      </c>
      <c r="C242" s="16">
        <f t="shared" si="42"/>
        <v>0</v>
      </c>
      <c r="D242" s="16">
        <f t="shared" si="43"/>
        <v>0</v>
      </c>
      <c r="E242" s="16">
        <f t="shared" si="44"/>
        <v>0</v>
      </c>
      <c r="F242" s="16">
        <f t="shared" si="45"/>
        <v>0</v>
      </c>
      <c r="G242" s="16">
        <f t="shared" si="46"/>
        <v>0</v>
      </c>
      <c r="H242" s="16">
        <f t="shared" si="47"/>
        <v>0</v>
      </c>
      <c r="I242" s="16">
        <f t="shared" si="48"/>
        <v>0</v>
      </c>
      <c r="J242" s="16">
        <f t="shared" si="49"/>
        <v>0</v>
      </c>
      <c r="K242" s="16">
        <f t="shared" si="50"/>
        <v>0</v>
      </c>
      <c r="L242" s="16">
        <f t="shared" si="51"/>
        <v>0</v>
      </c>
      <c r="M242" s="16">
        <f t="shared" si="52"/>
        <v>0</v>
      </c>
      <c r="N242" s="16">
        <f t="shared" si="53"/>
        <v>0</v>
      </c>
      <c r="O242" s="16">
        <f t="shared" si="54"/>
        <v>0</v>
      </c>
      <c r="P242" s="16" t="str">
        <f>+IF(AND(B242&gt;='Relevé de la Régularisation'!$C$9,B242&lt;='Relevé de la Régularisation'!$D$14),"OUI","NON")</f>
        <v>NON</v>
      </c>
      <c r="Q242" s="16" t="str">
        <f t="array" ref="Q242">IF(P242="OUI",MAX($Q$2:Q241)+1,"")</f>
        <v/>
      </c>
    </row>
    <row r="243" spans="1:17" x14ac:dyDescent="0.2">
      <c r="A243" s="453">
        <f t="shared" si="55"/>
        <v>49310</v>
      </c>
      <c r="B243" s="30">
        <v>49310</v>
      </c>
      <c r="C243" s="16">
        <f t="shared" si="42"/>
        <v>0</v>
      </c>
      <c r="D243" s="16">
        <f t="shared" si="43"/>
        <v>0</v>
      </c>
      <c r="E243" s="16">
        <f t="shared" si="44"/>
        <v>0</v>
      </c>
      <c r="F243" s="16">
        <f t="shared" si="45"/>
        <v>0</v>
      </c>
      <c r="G243" s="16">
        <f t="shared" si="46"/>
        <v>0</v>
      </c>
      <c r="H243" s="16">
        <f t="shared" si="47"/>
        <v>0</v>
      </c>
      <c r="I243" s="16">
        <f t="shared" si="48"/>
        <v>0</v>
      </c>
      <c r="J243" s="16">
        <f t="shared" si="49"/>
        <v>0</v>
      </c>
      <c r="K243" s="16">
        <f t="shared" si="50"/>
        <v>0</v>
      </c>
      <c r="L243" s="16">
        <f t="shared" si="51"/>
        <v>0</v>
      </c>
      <c r="M243" s="16">
        <f t="shared" si="52"/>
        <v>0</v>
      </c>
      <c r="N243" s="16">
        <f t="shared" si="53"/>
        <v>0</v>
      </c>
      <c r="O243" s="16">
        <f t="shared" si="54"/>
        <v>0</v>
      </c>
      <c r="P243" s="16" t="str">
        <f>+IF(AND(B243&gt;='Relevé de la Régularisation'!$C$9,B243&lt;='Relevé de la Régularisation'!$D$14),"OUI","NON")</f>
        <v>NON</v>
      </c>
      <c r="Q243" s="16" t="str">
        <f t="array" ref="Q243">IF(P243="OUI",MAX($Q$2:Q242)+1,"")</f>
        <v/>
      </c>
    </row>
    <row r="244" spans="1:17" x14ac:dyDescent="0.2">
      <c r="A244" s="453">
        <f t="shared" si="55"/>
        <v>49341</v>
      </c>
      <c r="B244" s="30">
        <v>49341</v>
      </c>
      <c r="C244" s="16">
        <f t="shared" si="42"/>
        <v>0</v>
      </c>
      <c r="D244" s="16">
        <f t="shared" si="43"/>
        <v>0</v>
      </c>
      <c r="E244" s="16">
        <f t="shared" si="44"/>
        <v>0</v>
      </c>
      <c r="F244" s="16">
        <f t="shared" si="45"/>
        <v>0</v>
      </c>
      <c r="G244" s="16">
        <f t="shared" si="46"/>
        <v>0</v>
      </c>
      <c r="H244" s="16">
        <f t="shared" si="47"/>
        <v>0</v>
      </c>
      <c r="I244" s="16">
        <f t="shared" si="48"/>
        <v>0</v>
      </c>
      <c r="J244" s="16">
        <f t="shared" si="49"/>
        <v>0</v>
      </c>
      <c r="K244" s="16">
        <f t="shared" si="50"/>
        <v>0</v>
      </c>
      <c r="L244" s="16">
        <f t="shared" si="51"/>
        <v>0</v>
      </c>
      <c r="M244" s="16">
        <f t="shared" si="52"/>
        <v>0</v>
      </c>
      <c r="N244" s="16">
        <f t="shared" si="53"/>
        <v>0</v>
      </c>
      <c r="O244" s="16">
        <f t="shared" si="54"/>
        <v>0</v>
      </c>
      <c r="P244" s="16" t="str">
        <f>+IF(AND(B244&gt;='Relevé de la Régularisation'!$C$9,B244&lt;='Relevé de la Régularisation'!$D$14),"OUI","NON")</f>
        <v>NON</v>
      </c>
      <c r="Q244" s="16" t="str">
        <f t="array" ref="Q244">IF(P244="OUI",MAX($Q$2:Q243)+1,"")</f>
        <v/>
      </c>
    </row>
    <row r="245" spans="1:17" x14ac:dyDescent="0.2">
      <c r="A245" s="453">
        <f t="shared" si="55"/>
        <v>49369</v>
      </c>
      <c r="B245" s="30">
        <v>49369</v>
      </c>
      <c r="C245" s="16">
        <f t="shared" si="42"/>
        <v>0</v>
      </c>
      <c r="D245" s="16">
        <f t="shared" si="43"/>
        <v>0</v>
      </c>
      <c r="E245" s="16">
        <f t="shared" si="44"/>
        <v>0</v>
      </c>
      <c r="F245" s="16">
        <f t="shared" si="45"/>
        <v>0</v>
      </c>
      <c r="G245" s="16">
        <f t="shared" si="46"/>
        <v>0</v>
      </c>
      <c r="H245" s="16">
        <f t="shared" si="47"/>
        <v>0</v>
      </c>
      <c r="I245" s="16">
        <f t="shared" si="48"/>
        <v>0</v>
      </c>
      <c r="J245" s="16">
        <f t="shared" si="49"/>
        <v>0</v>
      </c>
      <c r="K245" s="16">
        <f t="shared" si="50"/>
        <v>0</v>
      </c>
      <c r="L245" s="16">
        <f t="shared" si="51"/>
        <v>0</v>
      </c>
      <c r="M245" s="16">
        <f t="shared" si="52"/>
        <v>0</v>
      </c>
      <c r="N245" s="16">
        <f t="shared" si="53"/>
        <v>0</v>
      </c>
      <c r="O245" s="16">
        <f t="shared" si="54"/>
        <v>0</v>
      </c>
      <c r="P245" s="16" t="str">
        <f>+IF(AND(B245&gt;='Relevé de la Régularisation'!$C$9,B245&lt;='Relevé de la Régularisation'!$D$14),"OUI","NON")</f>
        <v>NON</v>
      </c>
      <c r="Q245" s="16" t="str">
        <f t="array" ref="Q245">IF(P245="OUI",MAX($Q$2:Q244)+1,"")</f>
        <v/>
      </c>
    </row>
    <row r="246" spans="1:17" x14ac:dyDescent="0.2">
      <c r="A246" s="453">
        <f t="shared" si="55"/>
        <v>49400</v>
      </c>
      <c r="B246" s="30">
        <v>49400</v>
      </c>
      <c r="C246" s="16">
        <f t="shared" si="42"/>
        <v>0</v>
      </c>
      <c r="D246" s="16">
        <f t="shared" si="43"/>
        <v>0</v>
      </c>
      <c r="E246" s="16">
        <f t="shared" si="44"/>
        <v>0</v>
      </c>
      <c r="F246" s="16">
        <f t="shared" si="45"/>
        <v>0</v>
      </c>
      <c r="G246" s="16">
        <f t="shared" si="46"/>
        <v>0</v>
      </c>
      <c r="H246" s="16">
        <f t="shared" si="47"/>
        <v>0</v>
      </c>
      <c r="I246" s="16">
        <f t="shared" si="48"/>
        <v>0</v>
      </c>
      <c r="J246" s="16">
        <f t="shared" si="49"/>
        <v>0</v>
      </c>
      <c r="K246" s="16">
        <f t="shared" si="50"/>
        <v>0</v>
      </c>
      <c r="L246" s="16">
        <f t="shared" si="51"/>
        <v>0</v>
      </c>
      <c r="M246" s="16">
        <f t="shared" si="52"/>
        <v>0</v>
      </c>
      <c r="N246" s="16">
        <f t="shared" si="53"/>
        <v>0</v>
      </c>
      <c r="O246" s="16">
        <f t="shared" si="54"/>
        <v>0</v>
      </c>
      <c r="P246" s="16" t="str">
        <f>+IF(AND(B246&gt;='Relevé de la Régularisation'!$C$9,B246&lt;='Relevé de la Régularisation'!$D$14),"OUI","NON")</f>
        <v>NON</v>
      </c>
      <c r="Q246" s="16" t="str">
        <f t="array" ref="Q246">IF(P246="OUI",MAX($Q$2:Q245)+1,"")</f>
        <v/>
      </c>
    </row>
    <row r="247" spans="1:17" x14ac:dyDescent="0.2">
      <c r="A247" s="453">
        <f t="shared" si="55"/>
        <v>49430</v>
      </c>
      <c r="B247" s="30">
        <v>49430</v>
      </c>
      <c r="C247" s="16">
        <f t="shared" si="42"/>
        <v>0</v>
      </c>
      <c r="D247" s="16">
        <f t="shared" si="43"/>
        <v>0</v>
      </c>
      <c r="E247" s="16">
        <f t="shared" si="44"/>
        <v>0</v>
      </c>
      <c r="F247" s="16">
        <f t="shared" si="45"/>
        <v>0</v>
      </c>
      <c r="G247" s="16">
        <f t="shared" si="46"/>
        <v>0</v>
      </c>
      <c r="H247" s="16">
        <f t="shared" si="47"/>
        <v>0</v>
      </c>
      <c r="I247" s="16">
        <f t="shared" si="48"/>
        <v>0</v>
      </c>
      <c r="J247" s="16">
        <f t="shared" si="49"/>
        <v>0</v>
      </c>
      <c r="K247" s="16">
        <f t="shared" si="50"/>
        <v>0</v>
      </c>
      <c r="L247" s="16">
        <f t="shared" si="51"/>
        <v>0</v>
      </c>
      <c r="M247" s="16">
        <f t="shared" si="52"/>
        <v>0</v>
      </c>
      <c r="N247" s="16">
        <f t="shared" si="53"/>
        <v>0</v>
      </c>
      <c r="O247" s="16">
        <f t="shared" si="54"/>
        <v>0</v>
      </c>
      <c r="P247" s="16" t="str">
        <f>+IF(AND(B247&gt;='Relevé de la Régularisation'!$C$9,B247&lt;='Relevé de la Régularisation'!$D$14),"OUI","NON")</f>
        <v>NON</v>
      </c>
      <c r="Q247" s="16" t="str">
        <f t="array" ref="Q247">IF(P247="OUI",MAX($Q$2:Q246)+1,"")</f>
        <v/>
      </c>
    </row>
    <row r="248" spans="1:17" x14ac:dyDescent="0.2">
      <c r="A248" s="453">
        <f t="shared" si="55"/>
        <v>49461</v>
      </c>
      <c r="B248" s="30">
        <v>49461</v>
      </c>
      <c r="C248" s="16">
        <f t="shared" si="42"/>
        <v>0</v>
      </c>
      <c r="D248" s="16">
        <f t="shared" si="43"/>
        <v>0</v>
      </c>
      <c r="E248" s="16">
        <f t="shared" si="44"/>
        <v>0</v>
      </c>
      <c r="F248" s="16">
        <f t="shared" si="45"/>
        <v>0</v>
      </c>
      <c r="G248" s="16">
        <f t="shared" si="46"/>
        <v>0</v>
      </c>
      <c r="H248" s="16">
        <f t="shared" si="47"/>
        <v>0</v>
      </c>
      <c r="I248" s="16">
        <f t="shared" si="48"/>
        <v>0</v>
      </c>
      <c r="J248" s="16">
        <f t="shared" si="49"/>
        <v>0</v>
      </c>
      <c r="K248" s="16">
        <f t="shared" si="50"/>
        <v>0</v>
      </c>
      <c r="L248" s="16">
        <f t="shared" si="51"/>
        <v>0</v>
      </c>
      <c r="M248" s="16">
        <f t="shared" si="52"/>
        <v>0</v>
      </c>
      <c r="N248" s="16">
        <f t="shared" si="53"/>
        <v>0</v>
      </c>
      <c r="O248" s="16">
        <f t="shared" si="54"/>
        <v>0</v>
      </c>
      <c r="P248" s="16" t="str">
        <f>+IF(AND(B248&gt;='Relevé de la Régularisation'!$C$9,B248&lt;='Relevé de la Régularisation'!$D$14),"OUI","NON")</f>
        <v>NON</v>
      </c>
      <c r="Q248" s="16" t="str">
        <f t="array" ref="Q248">IF(P248="OUI",MAX($Q$2:Q247)+1,"")</f>
        <v/>
      </c>
    </row>
    <row r="249" spans="1:17" x14ac:dyDescent="0.2">
      <c r="A249" s="453">
        <f t="shared" si="55"/>
        <v>49491</v>
      </c>
      <c r="B249" s="30">
        <v>49491</v>
      </c>
      <c r="C249" s="16">
        <f t="shared" si="42"/>
        <v>0</v>
      </c>
      <c r="D249" s="16">
        <f t="shared" si="43"/>
        <v>0</v>
      </c>
      <c r="E249" s="16">
        <f t="shared" si="44"/>
        <v>0</v>
      </c>
      <c r="F249" s="16">
        <f t="shared" si="45"/>
        <v>0</v>
      </c>
      <c r="G249" s="16">
        <f t="shared" si="46"/>
        <v>0</v>
      </c>
      <c r="H249" s="16">
        <f t="shared" si="47"/>
        <v>0</v>
      </c>
      <c r="I249" s="16">
        <f t="shared" si="48"/>
        <v>0</v>
      </c>
      <c r="J249" s="16">
        <f t="shared" si="49"/>
        <v>0</v>
      </c>
      <c r="K249" s="16">
        <f t="shared" si="50"/>
        <v>0</v>
      </c>
      <c r="L249" s="16">
        <f t="shared" si="51"/>
        <v>0</v>
      </c>
      <c r="M249" s="16">
        <f t="shared" si="52"/>
        <v>0</v>
      </c>
      <c r="N249" s="16">
        <f t="shared" si="53"/>
        <v>0</v>
      </c>
      <c r="O249" s="16">
        <f t="shared" si="54"/>
        <v>0</v>
      </c>
      <c r="P249" s="16" t="str">
        <f>+IF(AND(B249&gt;='Relevé de la Régularisation'!$C$9,B249&lt;='Relevé de la Régularisation'!$D$14),"OUI","NON")</f>
        <v>NON</v>
      </c>
      <c r="Q249" s="16" t="str">
        <f t="array" ref="Q249">IF(P249="OUI",MAX($Q$2:Q248)+1,"")</f>
        <v/>
      </c>
    </row>
    <row r="250" spans="1:17" x14ac:dyDescent="0.2">
      <c r="A250" s="453">
        <f t="shared" si="55"/>
        <v>49522</v>
      </c>
      <c r="B250" s="30">
        <v>49522</v>
      </c>
      <c r="C250" s="16">
        <f t="shared" si="42"/>
        <v>0</v>
      </c>
      <c r="D250" s="16">
        <f t="shared" si="43"/>
        <v>0</v>
      </c>
      <c r="E250" s="16">
        <f t="shared" si="44"/>
        <v>0</v>
      </c>
      <c r="F250" s="16">
        <f t="shared" si="45"/>
        <v>0</v>
      </c>
      <c r="G250" s="16">
        <f t="shared" si="46"/>
        <v>0</v>
      </c>
      <c r="H250" s="16">
        <f t="shared" si="47"/>
        <v>0</v>
      </c>
      <c r="I250" s="16">
        <f t="shared" si="48"/>
        <v>0</v>
      </c>
      <c r="J250" s="16">
        <f t="shared" si="49"/>
        <v>0</v>
      </c>
      <c r="K250" s="16">
        <f t="shared" si="50"/>
        <v>0</v>
      </c>
      <c r="L250" s="16">
        <f t="shared" si="51"/>
        <v>0</v>
      </c>
      <c r="M250" s="16">
        <f t="shared" si="52"/>
        <v>0</v>
      </c>
      <c r="N250" s="16">
        <f t="shared" si="53"/>
        <v>0</v>
      </c>
      <c r="O250" s="16">
        <f t="shared" si="54"/>
        <v>0</v>
      </c>
      <c r="P250" s="16" t="str">
        <f>+IF(AND(B250&gt;='Relevé de la Régularisation'!$C$9,B250&lt;='Relevé de la Régularisation'!$D$14),"OUI","NON")</f>
        <v>NON</v>
      </c>
      <c r="Q250" s="16" t="str">
        <f t="array" ref="Q250">IF(P250="OUI",MAX($Q$2:Q249)+1,"")</f>
        <v/>
      </c>
    </row>
    <row r="251" spans="1:17" x14ac:dyDescent="0.2">
      <c r="A251" s="453">
        <f t="shared" si="55"/>
        <v>49553</v>
      </c>
      <c r="B251" s="30">
        <v>49553</v>
      </c>
      <c r="C251" s="16">
        <f t="shared" si="42"/>
        <v>0</v>
      </c>
      <c r="D251" s="16">
        <f t="shared" si="43"/>
        <v>0</v>
      </c>
      <c r="E251" s="16">
        <f t="shared" si="44"/>
        <v>0</v>
      </c>
      <c r="F251" s="16">
        <f t="shared" si="45"/>
        <v>0</v>
      </c>
      <c r="G251" s="16">
        <f t="shared" si="46"/>
        <v>0</v>
      </c>
      <c r="H251" s="16">
        <f t="shared" si="47"/>
        <v>0</v>
      </c>
      <c r="I251" s="16">
        <f t="shared" si="48"/>
        <v>0</v>
      </c>
      <c r="J251" s="16">
        <f t="shared" si="49"/>
        <v>0</v>
      </c>
      <c r="K251" s="16">
        <f t="shared" si="50"/>
        <v>0</v>
      </c>
      <c r="L251" s="16">
        <f t="shared" si="51"/>
        <v>0</v>
      </c>
      <c r="M251" s="16">
        <f t="shared" si="52"/>
        <v>0</v>
      </c>
      <c r="N251" s="16">
        <f t="shared" si="53"/>
        <v>0</v>
      </c>
      <c r="O251" s="16">
        <f t="shared" si="54"/>
        <v>0</v>
      </c>
      <c r="P251" s="16" t="str">
        <f>+IF(AND(B251&gt;='Relevé de la Régularisation'!$C$9,B251&lt;='Relevé de la Régularisation'!$D$14),"OUI","NON")</f>
        <v>NON</v>
      </c>
      <c r="Q251" s="16" t="str">
        <f t="array" ref="Q251">IF(P251="OUI",MAX($Q$2:Q250)+1,"")</f>
        <v/>
      </c>
    </row>
    <row r="252" spans="1:17" x14ac:dyDescent="0.2">
      <c r="A252" s="453">
        <f t="shared" si="55"/>
        <v>49583</v>
      </c>
      <c r="B252" s="30">
        <v>49583</v>
      </c>
      <c r="C252" s="16">
        <f t="shared" si="42"/>
        <v>0</v>
      </c>
      <c r="D252" s="16">
        <f t="shared" si="43"/>
        <v>0</v>
      </c>
      <c r="E252" s="16">
        <f t="shared" si="44"/>
        <v>0</v>
      </c>
      <c r="F252" s="16">
        <f t="shared" si="45"/>
        <v>0</v>
      </c>
      <c r="G252" s="16">
        <f t="shared" si="46"/>
        <v>0</v>
      </c>
      <c r="H252" s="16">
        <f t="shared" si="47"/>
        <v>0</v>
      </c>
      <c r="I252" s="16">
        <f t="shared" si="48"/>
        <v>0</v>
      </c>
      <c r="J252" s="16">
        <f t="shared" si="49"/>
        <v>0</v>
      </c>
      <c r="K252" s="16">
        <f t="shared" si="50"/>
        <v>0</v>
      </c>
      <c r="L252" s="16">
        <f t="shared" si="51"/>
        <v>0</v>
      </c>
      <c r="M252" s="16">
        <f t="shared" si="52"/>
        <v>0</v>
      </c>
      <c r="N252" s="16">
        <f t="shared" si="53"/>
        <v>0</v>
      </c>
      <c r="O252" s="16">
        <f t="shared" si="54"/>
        <v>0</v>
      </c>
      <c r="P252" s="16" t="str">
        <f>+IF(AND(B252&gt;='Relevé de la Régularisation'!$C$9,B252&lt;='Relevé de la Régularisation'!$D$14),"OUI","NON")</f>
        <v>NON</v>
      </c>
      <c r="Q252" s="16" t="str">
        <f t="array" ref="Q252">IF(P252="OUI",MAX($Q$2:Q251)+1,"")</f>
        <v/>
      </c>
    </row>
    <row r="253" spans="1:17" x14ac:dyDescent="0.2">
      <c r="A253" s="453">
        <f t="shared" si="55"/>
        <v>49614</v>
      </c>
      <c r="B253" s="30">
        <v>49614</v>
      </c>
      <c r="C253" s="16">
        <f t="shared" si="42"/>
        <v>0</v>
      </c>
      <c r="D253" s="16">
        <f t="shared" si="43"/>
        <v>0</v>
      </c>
      <c r="E253" s="16">
        <f t="shared" si="44"/>
        <v>0</v>
      </c>
      <c r="F253" s="16">
        <f t="shared" si="45"/>
        <v>0</v>
      </c>
      <c r="G253" s="16">
        <f t="shared" si="46"/>
        <v>0</v>
      </c>
      <c r="H253" s="16">
        <f t="shared" si="47"/>
        <v>0</v>
      </c>
      <c r="I253" s="16">
        <f t="shared" si="48"/>
        <v>0</v>
      </c>
      <c r="J253" s="16">
        <f t="shared" si="49"/>
        <v>0</v>
      </c>
      <c r="K253" s="16">
        <f t="shared" si="50"/>
        <v>0</v>
      </c>
      <c r="L253" s="16">
        <f t="shared" si="51"/>
        <v>0</v>
      </c>
      <c r="M253" s="16">
        <f t="shared" si="52"/>
        <v>0</v>
      </c>
      <c r="N253" s="16">
        <f t="shared" si="53"/>
        <v>0</v>
      </c>
      <c r="O253" s="16">
        <f t="shared" si="54"/>
        <v>0</v>
      </c>
      <c r="P253" s="16" t="str">
        <f>+IF(AND(B253&gt;='Relevé de la Régularisation'!$C$9,B253&lt;='Relevé de la Régularisation'!$D$14),"OUI","NON")</f>
        <v>NON</v>
      </c>
      <c r="Q253" s="16" t="str">
        <f t="array" ref="Q253">IF(P253="OUI",MAX($Q$2:Q252)+1,"")</f>
        <v/>
      </c>
    </row>
    <row r="254" spans="1:17" x14ac:dyDescent="0.2">
      <c r="A254" s="453">
        <f t="shared" si="55"/>
        <v>49644</v>
      </c>
      <c r="B254" s="30">
        <v>49644</v>
      </c>
      <c r="C254" s="16">
        <f t="shared" si="42"/>
        <v>0</v>
      </c>
      <c r="D254" s="16">
        <f t="shared" si="43"/>
        <v>0</v>
      </c>
      <c r="E254" s="16">
        <f t="shared" si="44"/>
        <v>0</v>
      </c>
      <c r="F254" s="16">
        <f t="shared" si="45"/>
        <v>0</v>
      </c>
      <c r="G254" s="16">
        <f t="shared" si="46"/>
        <v>0</v>
      </c>
      <c r="H254" s="16">
        <f t="shared" si="47"/>
        <v>0</v>
      </c>
      <c r="I254" s="16">
        <f t="shared" si="48"/>
        <v>0</v>
      </c>
      <c r="J254" s="16">
        <f t="shared" si="49"/>
        <v>0</v>
      </c>
      <c r="K254" s="16">
        <f t="shared" si="50"/>
        <v>0</v>
      </c>
      <c r="L254" s="16">
        <f t="shared" si="51"/>
        <v>0</v>
      </c>
      <c r="M254" s="16">
        <f t="shared" si="52"/>
        <v>0</v>
      </c>
      <c r="N254" s="16">
        <f t="shared" si="53"/>
        <v>0</v>
      </c>
      <c r="O254" s="16">
        <f t="shared" si="54"/>
        <v>0</v>
      </c>
      <c r="P254" s="16" t="str">
        <f>+IF(AND(B254&gt;='Relevé de la Régularisation'!$C$9,B254&lt;='Relevé de la Régularisation'!$D$14),"OUI","NON")</f>
        <v>NON</v>
      </c>
      <c r="Q254" s="16" t="str">
        <f t="array" ref="Q254">IF(P254="OUI",MAX($Q$2:Q253)+1,"")</f>
        <v/>
      </c>
    </row>
    <row r="255" spans="1:17" x14ac:dyDescent="0.2">
      <c r="A255" s="453">
        <f t="shared" si="55"/>
        <v>49675</v>
      </c>
      <c r="B255" s="30">
        <v>49675</v>
      </c>
      <c r="C255" s="16">
        <f t="shared" si="42"/>
        <v>0</v>
      </c>
      <c r="D255" s="16">
        <f t="shared" si="43"/>
        <v>0</v>
      </c>
      <c r="E255" s="16">
        <f t="shared" si="44"/>
        <v>0</v>
      </c>
      <c r="F255" s="16">
        <f t="shared" si="45"/>
        <v>0</v>
      </c>
      <c r="G255" s="16">
        <f t="shared" si="46"/>
        <v>0</v>
      </c>
      <c r="H255" s="16">
        <f t="shared" si="47"/>
        <v>0</v>
      </c>
      <c r="I255" s="16">
        <f t="shared" si="48"/>
        <v>0</v>
      </c>
      <c r="J255" s="16">
        <f t="shared" si="49"/>
        <v>0</v>
      </c>
      <c r="K255" s="16">
        <f t="shared" si="50"/>
        <v>0</v>
      </c>
      <c r="L255" s="16">
        <f t="shared" si="51"/>
        <v>0</v>
      </c>
      <c r="M255" s="16">
        <f t="shared" si="52"/>
        <v>0</v>
      </c>
      <c r="N255" s="16">
        <f t="shared" si="53"/>
        <v>0</v>
      </c>
      <c r="O255" s="16">
        <f t="shared" si="54"/>
        <v>0</v>
      </c>
      <c r="P255" s="16" t="str">
        <f>+IF(AND(B255&gt;='Relevé de la Régularisation'!$C$9,B255&lt;='Relevé de la Régularisation'!$D$14),"OUI","NON")</f>
        <v>NON</v>
      </c>
      <c r="Q255" s="16" t="str">
        <f t="array" ref="Q255">IF(P255="OUI",MAX($Q$2:Q254)+1,"")</f>
        <v/>
      </c>
    </row>
    <row r="256" spans="1:17" x14ac:dyDescent="0.2">
      <c r="A256" s="453">
        <f t="shared" si="55"/>
        <v>49706</v>
      </c>
      <c r="B256" s="30">
        <v>49706</v>
      </c>
      <c r="C256" s="16">
        <f t="shared" si="42"/>
        <v>0</v>
      </c>
      <c r="D256" s="16">
        <f t="shared" si="43"/>
        <v>0</v>
      </c>
      <c r="E256" s="16">
        <f t="shared" si="44"/>
        <v>0</v>
      </c>
      <c r="F256" s="16">
        <f t="shared" si="45"/>
        <v>0</v>
      </c>
      <c r="G256" s="16">
        <f t="shared" si="46"/>
        <v>0</v>
      </c>
      <c r="H256" s="16">
        <f t="shared" si="47"/>
        <v>0</v>
      </c>
      <c r="I256" s="16">
        <f t="shared" si="48"/>
        <v>0</v>
      </c>
      <c r="J256" s="16">
        <f t="shared" si="49"/>
        <v>0</v>
      </c>
      <c r="K256" s="16">
        <f t="shared" si="50"/>
        <v>0</v>
      </c>
      <c r="L256" s="16">
        <f t="shared" si="51"/>
        <v>0</v>
      </c>
      <c r="M256" s="16">
        <f t="shared" si="52"/>
        <v>0</v>
      </c>
      <c r="N256" s="16">
        <f t="shared" si="53"/>
        <v>0</v>
      </c>
      <c r="O256" s="16">
        <f t="shared" si="54"/>
        <v>0</v>
      </c>
      <c r="P256" s="16" t="str">
        <f>+IF(AND(B256&gt;='Relevé de la Régularisation'!$C$9,B256&lt;='Relevé de la Régularisation'!$D$14),"OUI","NON")</f>
        <v>NON</v>
      </c>
      <c r="Q256" s="16" t="str">
        <f t="array" ref="Q256">IF(P256="OUI",MAX($Q$2:Q255)+1,"")</f>
        <v/>
      </c>
    </row>
    <row r="257" spans="1:17" x14ac:dyDescent="0.2">
      <c r="A257" s="453">
        <f t="shared" si="55"/>
        <v>49735</v>
      </c>
      <c r="B257" s="30">
        <v>49735</v>
      </c>
      <c r="C257" s="16">
        <f t="shared" si="42"/>
        <v>0</v>
      </c>
      <c r="D257" s="16">
        <f t="shared" si="43"/>
        <v>0</v>
      </c>
      <c r="E257" s="16">
        <f t="shared" si="44"/>
        <v>0</v>
      </c>
      <c r="F257" s="16">
        <f t="shared" si="45"/>
        <v>0</v>
      </c>
      <c r="G257" s="16">
        <f t="shared" si="46"/>
        <v>0</v>
      </c>
      <c r="H257" s="16">
        <f t="shared" si="47"/>
        <v>0</v>
      </c>
      <c r="I257" s="16">
        <f t="shared" si="48"/>
        <v>0</v>
      </c>
      <c r="J257" s="16">
        <f t="shared" si="49"/>
        <v>0</v>
      </c>
      <c r="K257" s="16">
        <f t="shared" si="50"/>
        <v>0</v>
      </c>
      <c r="L257" s="16">
        <f t="shared" si="51"/>
        <v>0</v>
      </c>
      <c r="M257" s="16">
        <f t="shared" si="52"/>
        <v>0</v>
      </c>
      <c r="N257" s="16">
        <f t="shared" si="53"/>
        <v>0</v>
      </c>
      <c r="O257" s="16">
        <f t="shared" si="54"/>
        <v>0</v>
      </c>
      <c r="P257" s="16" t="str">
        <f>+IF(AND(B257&gt;='Relevé de la Régularisation'!$C$9,B257&lt;='Relevé de la Régularisation'!$D$14),"OUI","NON")</f>
        <v>NON</v>
      </c>
      <c r="Q257" s="16" t="str">
        <f t="array" ref="Q257">IF(P257="OUI",MAX($Q$2:Q256)+1,"")</f>
        <v/>
      </c>
    </row>
    <row r="258" spans="1:17" x14ac:dyDescent="0.2">
      <c r="A258" s="453">
        <f t="shared" si="55"/>
        <v>49766</v>
      </c>
      <c r="B258" s="30">
        <v>49766</v>
      </c>
      <c r="C258" s="16">
        <f t="shared" si="42"/>
        <v>0</v>
      </c>
      <c r="D258" s="16">
        <f t="shared" si="43"/>
        <v>0</v>
      </c>
      <c r="E258" s="16">
        <f t="shared" si="44"/>
        <v>0</v>
      </c>
      <c r="F258" s="16">
        <f t="shared" si="45"/>
        <v>0</v>
      </c>
      <c r="G258" s="16">
        <f t="shared" si="46"/>
        <v>0</v>
      </c>
      <c r="H258" s="16">
        <f t="shared" si="47"/>
        <v>0</v>
      </c>
      <c r="I258" s="16">
        <f t="shared" si="48"/>
        <v>0</v>
      </c>
      <c r="J258" s="16">
        <f t="shared" si="49"/>
        <v>0</v>
      </c>
      <c r="K258" s="16">
        <f t="shared" si="50"/>
        <v>0</v>
      </c>
      <c r="L258" s="16">
        <f t="shared" si="51"/>
        <v>0</v>
      </c>
      <c r="M258" s="16">
        <f t="shared" si="52"/>
        <v>0</v>
      </c>
      <c r="N258" s="16">
        <f t="shared" si="53"/>
        <v>0</v>
      </c>
      <c r="O258" s="16">
        <f t="shared" si="54"/>
        <v>0</v>
      </c>
      <c r="P258" s="16" t="str">
        <f>+IF(AND(B258&gt;='Relevé de la Régularisation'!$C$9,B258&lt;='Relevé de la Régularisation'!$D$14),"OUI","NON")</f>
        <v>NON</v>
      </c>
      <c r="Q258" s="16" t="str">
        <f t="array" ref="Q258">IF(P258="OUI",MAX($Q$2:Q257)+1,"")</f>
        <v/>
      </c>
    </row>
    <row r="259" spans="1:17" x14ac:dyDescent="0.2">
      <c r="A259" s="453">
        <f t="shared" si="55"/>
        <v>49796</v>
      </c>
      <c r="B259" s="30">
        <v>49796</v>
      </c>
      <c r="C259" s="16">
        <f t="shared" ref="C259:C322" si="56">IFERROR(+VLOOKUP(B259,BDD,41,FALSE),0)</f>
        <v>0</v>
      </c>
      <c r="D259" s="16">
        <f t="shared" ref="D259:D322" si="57">IFERROR(+VLOOKUP(B259,BDD,42,FALSE),0)</f>
        <v>0</v>
      </c>
      <c r="E259" s="16">
        <f t="shared" ref="E259:E322" si="58">IFERROR(+VLOOKUP(B259,BDD,43,FALSE),0)</f>
        <v>0</v>
      </c>
      <c r="F259" s="16">
        <f t="shared" ref="F259:F322" si="59">IFERROR(+VLOOKUP(B259,BDD,44,FALSE),0)</f>
        <v>0</v>
      </c>
      <c r="G259" s="16">
        <f t="shared" ref="G259:G322" si="60">IFERROR(+VLOOKUP(B259,BDD,45,FALSE),0)</f>
        <v>0</v>
      </c>
      <c r="H259" s="16">
        <f t="shared" ref="H259:H322" si="61">IFERROR(+VLOOKUP(B259,BDD,46,FALSE),0)</f>
        <v>0</v>
      </c>
      <c r="I259" s="16">
        <f t="shared" ref="I259:I322" si="62">IFERROR(+VLOOKUP(B259,BDD,47,FALSE),0)</f>
        <v>0</v>
      </c>
      <c r="J259" s="16">
        <f t="shared" ref="J259:J322" si="63">IFERROR(+VLOOKUP(B259,BDD,48,FALSE),0)</f>
        <v>0</v>
      </c>
      <c r="K259" s="16">
        <f t="shared" ref="K259:K322" si="64">IFERROR(+VLOOKUP(B259,BDD,49,FALSE),0)</f>
        <v>0</v>
      </c>
      <c r="L259" s="16">
        <f t="shared" ref="L259:L322" si="65">IFERROR(+VLOOKUP(B259,BDD,50,FALSE),0)</f>
        <v>0</v>
      </c>
      <c r="M259" s="16">
        <f t="shared" ref="M259:M322" si="66">IFERROR(+VLOOKUP(B259,BDD,51,FALSE),0)</f>
        <v>0</v>
      </c>
      <c r="N259" s="16">
        <f t="shared" ref="N259:N322" si="67">IFERROR(+VLOOKUP(B259,BDD,22,FALSE),0)</f>
        <v>0</v>
      </c>
      <c r="O259" s="16">
        <f t="shared" ref="O259:O322" si="68">IFERROR(+VLOOKUP(B259,BDD,101,FALSE),0)</f>
        <v>0</v>
      </c>
      <c r="P259" s="16" t="str">
        <f>+IF(AND(B259&gt;='Relevé de la Régularisation'!$C$9,B259&lt;='Relevé de la Régularisation'!$D$14),"OUI","NON")</f>
        <v>NON</v>
      </c>
      <c r="Q259" s="16" t="str">
        <f t="array" ref="Q259">IF(P259="OUI",MAX($Q$2:Q258)+1,"")</f>
        <v/>
      </c>
    </row>
    <row r="260" spans="1:17" x14ac:dyDescent="0.2">
      <c r="A260" s="453">
        <f t="shared" ref="A260:A323" si="69">+B260</f>
        <v>49827</v>
      </c>
      <c r="B260" s="30">
        <v>49827</v>
      </c>
      <c r="C260" s="16">
        <f t="shared" si="56"/>
        <v>0</v>
      </c>
      <c r="D260" s="16">
        <f t="shared" si="57"/>
        <v>0</v>
      </c>
      <c r="E260" s="16">
        <f t="shared" si="58"/>
        <v>0</v>
      </c>
      <c r="F260" s="16">
        <f t="shared" si="59"/>
        <v>0</v>
      </c>
      <c r="G260" s="16">
        <f t="shared" si="60"/>
        <v>0</v>
      </c>
      <c r="H260" s="16">
        <f t="shared" si="61"/>
        <v>0</v>
      </c>
      <c r="I260" s="16">
        <f t="shared" si="62"/>
        <v>0</v>
      </c>
      <c r="J260" s="16">
        <f t="shared" si="63"/>
        <v>0</v>
      </c>
      <c r="K260" s="16">
        <f t="shared" si="64"/>
        <v>0</v>
      </c>
      <c r="L260" s="16">
        <f t="shared" si="65"/>
        <v>0</v>
      </c>
      <c r="M260" s="16">
        <f t="shared" si="66"/>
        <v>0</v>
      </c>
      <c r="N260" s="16">
        <f t="shared" si="67"/>
        <v>0</v>
      </c>
      <c r="O260" s="16">
        <f t="shared" si="68"/>
        <v>0</v>
      </c>
      <c r="P260" s="16" t="str">
        <f>+IF(AND(B260&gt;='Relevé de la Régularisation'!$C$9,B260&lt;='Relevé de la Régularisation'!$D$14),"OUI","NON")</f>
        <v>NON</v>
      </c>
      <c r="Q260" s="16" t="str">
        <f t="array" ref="Q260">IF(P260="OUI",MAX($Q$2:Q259)+1,"")</f>
        <v/>
      </c>
    </row>
    <row r="261" spans="1:17" x14ac:dyDescent="0.2">
      <c r="A261" s="453">
        <f t="shared" si="69"/>
        <v>49857</v>
      </c>
      <c r="B261" s="30">
        <v>49857</v>
      </c>
      <c r="C261" s="16">
        <f t="shared" si="56"/>
        <v>0</v>
      </c>
      <c r="D261" s="16">
        <f t="shared" si="57"/>
        <v>0</v>
      </c>
      <c r="E261" s="16">
        <f t="shared" si="58"/>
        <v>0</v>
      </c>
      <c r="F261" s="16">
        <f t="shared" si="59"/>
        <v>0</v>
      </c>
      <c r="G261" s="16">
        <f t="shared" si="60"/>
        <v>0</v>
      </c>
      <c r="H261" s="16">
        <f t="shared" si="61"/>
        <v>0</v>
      </c>
      <c r="I261" s="16">
        <f t="shared" si="62"/>
        <v>0</v>
      </c>
      <c r="J261" s="16">
        <f t="shared" si="63"/>
        <v>0</v>
      </c>
      <c r="K261" s="16">
        <f t="shared" si="64"/>
        <v>0</v>
      </c>
      <c r="L261" s="16">
        <f t="shared" si="65"/>
        <v>0</v>
      </c>
      <c r="M261" s="16">
        <f t="shared" si="66"/>
        <v>0</v>
      </c>
      <c r="N261" s="16">
        <f t="shared" si="67"/>
        <v>0</v>
      </c>
      <c r="O261" s="16">
        <f t="shared" si="68"/>
        <v>0</v>
      </c>
      <c r="P261" s="16" t="str">
        <f>+IF(AND(B261&gt;='Relevé de la Régularisation'!$C$9,B261&lt;='Relevé de la Régularisation'!$D$14),"OUI","NON")</f>
        <v>NON</v>
      </c>
      <c r="Q261" s="16" t="str">
        <f t="array" ref="Q261">IF(P261="OUI",MAX($Q$2:Q260)+1,"")</f>
        <v/>
      </c>
    </row>
    <row r="262" spans="1:17" x14ac:dyDescent="0.2">
      <c r="A262" s="453">
        <f t="shared" si="69"/>
        <v>49888</v>
      </c>
      <c r="B262" s="30">
        <v>49888</v>
      </c>
      <c r="C262" s="16">
        <f t="shared" si="56"/>
        <v>0</v>
      </c>
      <c r="D262" s="16">
        <f t="shared" si="57"/>
        <v>0</v>
      </c>
      <c r="E262" s="16">
        <f t="shared" si="58"/>
        <v>0</v>
      </c>
      <c r="F262" s="16">
        <f t="shared" si="59"/>
        <v>0</v>
      </c>
      <c r="G262" s="16">
        <f t="shared" si="60"/>
        <v>0</v>
      </c>
      <c r="H262" s="16">
        <f t="shared" si="61"/>
        <v>0</v>
      </c>
      <c r="I262" s="16">
        <f t="shared" si="62"/>
        <v>0</v>
      </c>
      <c r="J262" s="16">
        <f t="shared" si="63"/>
        <v>0</v>
      </c>
      <c r="K262" s="16">
        <f t="shared" si="64"/>
        <v>0</v>
      </c>
      <c r="L262" s="16">
        <f t="shared" si="65"/>
        <v>0</v>
      </c>
      <c r="M262" s="16">
        <f t="shared" si="66"/>
        <v>0</v>
      </c>
      <c r="N262" s="16">
        <f t="shared" si="67"/>
        <v>0</v>
      </c>
      <c r="O262" s="16">
        <f t="shared" si="68"/>
        <v>0</v>
      </c>
      <c r="P262" s="16" t="str">
        <f>+IF(AND(B262&gt;='Relevé de la Régularisation'!$C$9,B262&lt;='Relevé de la Régularisation'!$D$14),"OUI","NON")</f>
        <v>NON</v>
      </c>
      <c r="Q262" s="16" t="str">
        <f t="array" ref="Q262">IF(P262="OUI",MAX($Q$2:Q261)+1,"")</f>
        <v/>
      </c>
    </row>
    <row r="263" spans="1:17" x14ac:dyDescent="0.2">
      <c r="A263" s="453">
        <f t="shared" si="69"/>
        <v>49919</v>
      </c>
      <c r="B263" s="30">
        <v>49919</v>
      </c>
      <c r="C263" s="16">
        <f t="shared" si="56"/>
        <v>0</v>
      </c>
      <c r="D263" s="16">
        <f t="shared" si="57"/>
        <v>0</v>
      </c>
      <c r="E263" s="16">
        <f t="shared" si="58"/>
        <v>0</v>
      </c>
      <c r="F263" s="16">
        <f t="shared" si="59"/>
        <v>0</v>
      </c>
      <c r="G263" s="16">
        <f t="shared" si="60"/>
        <v>0</v>
      </c>
      <c r="H263" s="16">
        <f t="shared" si="61"/>
        <v>0</v>
      </c>
      <c r="I263" s="16">
        <f t="shared" si="62"/>
        <v>0</v>
      </c>
      <c r="J263" s="16">
        <f t="shared" si="63"/>
        <v>0</v>
      </c>
      <c r="K263" s="16">
        <f t="shared" si="64"/>
        <v>0</v>
      </c>
      <c r="L263" s="16">
        <f t="shared" si="65"/>
        <v>0</v>
      </c>
      <c r="M263" s="16">
        <f t="shared" si="66"/>
        <v>0</v>
      </c>
      <c r="N263" s="16">
        <f t="shared" si="67"/>
        <v>0</v>
      </c>
      <c r="O263" s="16">
        <f t="shared" si="68"/>
        <v>0</v>
      </c>
      <c r="P263" s="16" t="str">
        <f>+IF(AND(B263&gt;='Relevé de la Régularisation'!$C$9,B263&lt;='Relevé de la Régularisation'!$D$14),"OUI","NON")</f>
        <v>NON</v>
      </c>
      <c r="Q263" s="16" t="str">
        <f t="array" ref="Q263">IF(P263="OUI",MAX($Q$2:Q262)+1,"")</f>
        <v/>
      </c>
    </row>
    <row r="264" spans="1:17" x14ac:dyDescent="0.2">
      <c r="A264" s="453">
        <f t="shared" si="69"/>
        <v>49949</v>
      </c>
      <c r="B264" s="30">
        <v>49949</v>
      </c>
      <c r="C264" s="16">
        <f t="shared" si="56"/>
        <v>0</v>
      </c>
      <c r="D264" s="16">
        <f t="shared" si="57"/>
        <v>0</v>
      </c>
      <c r="E264" s="16">
        <f t="shared" si="58"/>
        <v>0</v>
      </c>
      <c r="F264" s="16">
        <f t="shared" si="59"/>
        <v>0</v>
      </c>
      <c r="G264" s="16">
        <f t="shared" si="60"/>
        <v>0</v>
      </c>
      <c r="H264" s="16">
        <f t="shared" si="61"/>
        <v>0</v>
      </c>
      <c r="I264" s="16">
        <f t="shared" si="62"/>
        <v>0</v>
      </c>
      <c r="J264" s="16">
        <f t="shared" si="63"/>
        <v>0</v>
      </c>
      <c r="K264" s="16">
        <f t="shared" si="64"/>
        <v>0</v>
      </c>
      <c r="L264" s="16">
        <f t="shared" si="65"/>
        <v>0</v>
      </c>
      <c r="M264" s="16">
        <f t="shared" si="66"/>
        <v>0</v>
      </c>
      <c r="N264" s="16">
        <f t="shared" si="67"/>
        <v>0</v>
      </c>
      <c r="O264" s="16">
        <f t="shared" si="68"/>
        <v>0</v>
      </c>
      <c r="P264" s="16" t="str">
        <f>+IF(AND(B264&gt;='Relevé de la Régularisation'!$C$9,B264&lt;='Relevé de la Régularisation'!$D$14),"OUI","NON")</f>
        <v>NON</v>
      </c>
      <c r="Q264" s="16" t="str">
        <f t="array" ref="Q264">IF(P264="OUI",MAX($Q$2:Q263)+1,"")</f>
        <v/>
      </c>
    </row>
    <row r="265" spans="1:17" x14ac:dyDescent="0.2">
      <c r="A265" s="453">
        <f t="shared" si="69"/>
        <v>49980</v>
      </c>
      <c r="B265" s="30">
        <v>49980</v>
      </c>
      <c r="C265" s="16">
        <f t="shared" si="56"/>
        <v>0</v>
      </c>
      <c r="D265" s="16">
        <f t="shared" si="57"/>
        <v>0</v>
      </c>
      <c r="E265" s="16">
        <f t="shared" si="58"/>
        <v>0</v>
      </c>
      <c r="F265" s="16">
        <f t="shared" si="59"/>
        <v>0</v>
      </c>
      <c r="G265" s="16">
        <f t="shared" si="60"/>
        <v>0</v>
      </c>
      <c r="H265" s="16">
        <f t="shared" si="61"/>
        <v>0</v>
      </c>
      <c r="I265" s="16">
        <f t="shared" si="62"/>
        <v>0</v>
      </c>
      <c r="J265" s="16">
        <f t="shared" si="63"/>
        <v>0</v>
      </c>
      <c r="K265" s="16">
        <f t="shared" si="64"/>
        <v>0</v>
      </c>
      <c r="L265" s="16">
        <f t="shared" si="65"/>
        <v>0</v>
      </c>
      <c r="M265" s="16">
        <f t="shared" si="66"/>
        <v>0</v>
      </c>
      <c r="N265" s="16">
        <f t="shared" si="67"/>
        <v>0</v>
      </c>
      <c r="O265" s="16">
        <f t="shared" si="68"/>
        <v>0</v>
      </c>
      <c r="P265" s="16" t="str">
        <f>+IF(AND(B265&gt;='Relevé de la Régularisation'!$C$9,B265&lt;='Relevé de la Régularisation'!$D$14),"OUI","NON")</f>
        <v>NON</v>
      </c>
      <c r="Q265" s="16" t="str">
        <f t="array" ref="Q265">IF(P265="OUI",MAX($Q$2:Q264)+1,"")</f>
        <v/>
      </c>
    </row>
    <row r="266" spans="1:17" x14ac:dyDescent="0.2">
      <c r="A266" s="453">
        <f t="shared" si="69"/>
        <v>50010</v>
      </c>
      <c r="B266" s="30">
        <v>50010</v>
      </c>
      <c r="C266" s="16">
        <f t="shared" si="56"/>
        <v>0</v>
      </c>
      <c r="D266" s="16">
        <f t="shared" si="57"/>
        <v>0</v>
      </c>
      <c r="E266" s="16">
        <f t="shared" si="58"/>
        <v>0</v>
      </c>
      <c r="F266" s="16">
        <f t="shared" si="59"/>
        <v>0</v>
      </c>
      <c r="G266" s="16">
        <f t="shared" si="60"/>
        <v>0</v>
      </c>
      <c r="H266" s="16">
        <f t="shared" si="61"/>
        <v>0</v>
      </c>
      <c r="I266" s="16">
        <f t="shared" si="62"/>
        <v>0</v>
      </c>
      <c r="J266" s="16">
        <f t="shared" si="63"/>
        <v>0</v>
      </c>
      <c r="K266" s="16">
        <f t="shared" si="64"/>
        <v>0</v>
      </c>
      <c r="L266" s="16">
        <f t="shared" si="65"/>
        <v>0</v>
      </c>
      <c r="M266" s="16">
        <f t="shared" si="66"/>
        <v>0</v>
      </c>
      <c r="N266" s="16">
        <f t="shared" si="67"/>
        <v>0</v>
      </c>
      <c r="O266" s="16">
        <f t="shared" si="68"/>
        <v>0</v>
      </c>
      <c r="P266" s="16" t="str">
        <f>+IF(AND(B266&gt;='Relevé de la Régularisation'!$C$9,B266&lt;='Relevé de la Régularisation'!$D$14),"OUI","NON")</f>
        <v>NON</v>
      </c>
      <c r="Q266" s="16" t="str">
        <f t="array" ref="Q266">IF(P266="OUI",MAX($Q$2:Q265)+1,"")</f>
        <v/>
      </c>
    </row>
    <row r="267" spans="1:17" x14ac:dyDescent="0.2">
      <c r="A267" s="453">
        <f t="shared" si="69"/>
        <v>50041</v>
      </c>
      <c r="B267" s="30">
        <v>50041</v>
      </c>
      <c r="C267" s="16">
        <f t="shared" si="56"/>
        <v>0</v>
      </c>
      <c r="D267" s="16">
        <f t="shared" si="57"/>
        <v>0</v>
      </c>
      <c r="E267" s="16">
        <f t="shared" si="58"/>
        <v>0</v>
      </c>
      <c r="F267" s="16">
        <f t="shared" si="59"/>
        <v>0</v>
      </c>
      <c r="G267" s="16">
        <f t="shared" si="60"/>
        <v>0</v>
      </c>
      <c r="H267" s="16">
        <f t="shared" si="61"/>
        <v>0</v>
      </c>
      <c r="I267" s="16">
        <f t="shared" si="62"/>
        <v>0</v>
      </c>
      <c r="J267" s="16">
        <f t="shared" si="63"/>
        <v>0</v>
      </c>
      <c r="K267" s="16">
        <f t="shared" si="64"/>
        <v>0</v>
      </c>
      <c r="L267" s="16">
        <f t="shared" si="65"/>
        <v>0</v>
      </c>
      <c r="M267" s="16">
        <f t="shared" si="66"/>
        <v>0</v>
      </c>
      <c r="N267" s="16">
        <f t="shared" si="67"/>
        <v>0</v>
      </c>
      <c r="O267" s="16">
        <f t="shared" si="68"/>
        <v>0</v>
      </c>
      <c r="P267" s="16" t="str">
        <f>+IF(AND(B267&gt;='Relevé de la Régularisation'!$C$9,B267&lt;='Relevé de la Régularisation'!$D$14),"OUI","NON")</f>
        <v>NON</v>
      </c>
      <c r="Q267" s="16" t="str">
        <f t="array" ref="Q267">IF(P267="OUI",MAX($Q$2:Q266)+1,"")</f>
        <v/>
      </c>
    </row>
    <row r="268" spans="1:17" x14ac:dyDescent="0.2">
      <c r="A268" s="453">
        <f t="shared" si="69"/>
        <v>50072</v>
      </c>
      <c r="B268" s="30">
        <v>50072</v>
      </c>
      <c r="C268" s="16">
        <f t="shared" si="56"/>
        <v>0</v>
      </c>
      <c r="D268" s="16">
        <f t="shared" si="57"/>
        <v>0</v>
      </c>
      <c r="E268" s="16">
        <f t="shared" si="58"/>
        <v>0</v>
      </c>
      <c r="F268" s="16">
        <f t="shared" si="59"/>
        <v>0</v>
      </c>
      <c r="G268" s="16">
        <f t="shared" si="60"/>
        <v>0</v>
      </c>
      <c r="H268" s="16">
        <f t="shared" si="61"/>
        <v>0</v>
      </c>
      <c r="I268" s="16">
        <f t="shared" si="62"/>
        <v>0</v>
      </c>
      <c r="J268" s="16">
        <f t="shared" si="63"/>
        <v>0</v>
      </c>
      <c r="K268" s="16">
        <f t="shared" si="64"/>
        <v>0</v>
      </c>
      <c r="L268" s="16">
        <f t="shared" si="65"/>
        <v>0</v>
      </c>
      <c r="M268" s="16">
        <f t="shared" si="66"/>
        <v>0</v>
      </c>
      <c r="N268" s="16">
        <f t="shared" si="67"/>
        <v>0</v>
      </c>
      <c r="O268" s="16">
        <f t="shared" si="68"/>
        <v>0</v>
      </c>
      <c r="P268" s="16" t="str">
        <f>+IF(AND(B268&gt;='Relevé de la Régularisation'!$C$9,B268&lt;='Relevé de la Régularisation'!$D$14),"OUI","NON")</f>
        <v>NON</v>
      </c>
      <c r="Q268" s="16" t="str">
        <f t="array" ref="Q268">IF(P268="OUI",MAX($Q$2:Q267)+1,"")</f>
        <v/>
      </c>
    </row>
    <row r="269" spans="1:17" x14ac:dyDescent="0.2">
      <c r="A269" s="453">
        <f t="shared" si="69"/>
        <v>50100</v>
      </c>
      <c r="B269" s="30">
        <v>50100</v>
      </c>
      <c r="C269" s="16">
        <f t="shared" si="56"/>
        <v>0</v>
      </c>
      <c r="D269" s="16">
        <f t="shared" si="57"/>
        <v>0</v>
      </c>
      <c r="E269" s="16">
        <f t="shared" si="58"/>
        <v>0</v>
      </c>
      <c r="F269" s="16">
        <f t="shared" si="59"/>
        <v>0</v>
      </c>
      <c r="G269" s="16">
        <f t="shared" si="60"/>
        <v>0</v>
      </c>
      <c r="H269" s="16">
        <f t="shared" si="61"/>
        <v>0</v>
      </c>
      <c r="I269" s="16">
        <f t="shared" si="62"/>
        <v>0</v>
      </c>
      <c r="J269" s="16">
        <f t="shared" si="63"/>
        <v>0</v>
      </c>
      <c r="K269" s="16">
        <f t="shared" si="64"/>
        <v>0</v>
      </c>
      <c r="L269" s="16">
        <f t="shared" si="65"/>
        <v>0</v>
      </c>
      <c r="M269" s="16">
        <f t="shared" si="66"/>
        <v>0</v>
      </c>
      <c r="N269" s="16">
        <f t="shared" si="67"/>
        <v>0</v>
      </c>
      <c r="O269" s="16">
        <f t="shared" si="68"/>
        <v>0</v>
      </c>
      <c r="P269" s="16" t="str">
        <f>+IF(AND(B269&gt;='Relevé de la Régularisation'!$C$9,B269&lt;='Relevé de la Régularisation'!$D$14),"OUI","NON")</f>
        <v>NON</v>
      </c>
      <c r="Q269" s="16" t="str">
        <f t="array" ref="Q269">IF(P269="OUI",MAX($Q$2:Q268)+1,"")</f>
        <v/>
      </c>
    </row>
    <row r="270" spans="1:17" x14ac:dyDescent="0.2">
      <c r="A270" s="453">
        <f t="shared" si="69"/>
        <v>50131</v>
      </c>
      <c r="B270" s="30">
        <v>50131</v>
      </c>
      <c r="C270" s="16">
        <f t="shared" si="56"/>
        <v>0</v>
      </c>
      <c r="D270" s="16">
        <f t="shared" si="57"/>
        <v>0</v>
      </c>
      <c r="E270" s="16">
        <f t="shared" si="58"/>
        <v>0</v>
      </c>
      <c r="F270" s="16">
        <f t="shared" si="59"/>
        <v>0</v>
      </c>
      <c r="G270" s="16">
        <f t="shared" si="60"/>
        <v>0</v>
      </c>
      <c r="H270" s="16">
        <f t="shared" si="61"/>
        <v>0</v>
      </c>
      <c r="I270" s="16">
        <f t="shared" si="62"/>
        <v>0</v>
      </c>
      <c r="J270" s="16">
        <f t="shared" si="63"/>
        <v>0</v>
      </c>
      <c r="K270" s="16">
        <f t="shared" si="64"/>
        <v>0</v>
      </c>
      <c r="L270" s="16">
        <f t="shared" si="65"/>
        <v>0</v>
      </c>
      <c r="M270" s="16">
        <f t="shared" si="66"/>
        <v>0</v>
      </c>
      <c r="N270" s="16">
        <f t="shared" si="67"/>
        <v>0</v>
      </c>
      <c r="O270" s="16">
        <f t="shared" si="68"/>
        <v>0</v>
      </c>
      <c r="P270" s="16" t="str">
        <f>+IF(AND(B270&gt;='Relevé de la Régularisation'!$C$9,B270&lt;='Relevé de la Régularisation'!$D$14),"OUI","NON")</f>
        <v>NON</v>
      </c>
      <c r="Q270" s="16" t="str">
        <f t="array" ref="Q270">IF(P270="OUI",MAX($Q$2:Q269)+1,"")</f>
        <v/>
      </c>
    </row>
    <row r="271" spans="1:17" x14ac:dyDescent="0.2">
      <c r="A271" s="453">
        <f t="shared" si="69"/>
        <v>50161</v>
      </c>
      <c r="B271" s="30">
        <v>50161</v>
      </c>
      <c r="C271" s="16">
        <f t="shared" si="56"/>
        <v>0</v>
      </c>
      <c r="D271" s="16">
        <f t="shared" si="57"/>
        <v>0</v>
      </c>
      <c r="E271" s="16">
        <f t="shared" si="58"/>
        <v>0</v>
      </c>
      <c r="F271" s="16">
        <f t="shared" si="59"/>
        <v>0</v>
      </c>
      <c r="G271" s="16">
        <f t="shared" si="60"/>
        <v>0</v>
      </c>
      <c r="H271" s="16">
        <f t="shared" si="61"/>
        <v>0</v>
      </c>
      <c r="I271" s="16">
        <f t="shared" si="62"/>
        <v>0</v>
      </c>
      <c r="J271" s="16">
        <f t="shared" si="63"/>
        <v>0</v>
      </c>
      <c r="K271" s="16">
        <f t="shared" si="64"/>
        <v>0</v>
      </c>
      <c r="L271" s="16">
        <f t="shared" si="65"/>
        <v>0</v>
      </c>
      <c r="M271" s="16">
        <f t="shared" si="66"/>
        <v>0</v>
      </c>
      <c r="N271" s="16">
        <f t="shared" si="67"/>
        <v>0</v>
      </c>
      <c r="O271" s="16">
        <f t="shared" si="68"/>
        <v>0</v>
      </c>
      <c r="P271" s="16" t="str">
        <f>+IF(AND(B271&gt;='Relevé de la Régularisation'!$C$9,B271&lt;='Relevé de la Régularisation'!$D$14),"OUI","NON")</f>
        <v>NON</v>
      </c>
      <c r="Q271" s="16" t="str">
        <f t="array" ref="Q271">IF(P271="OUI",MAX($Q$2:Q270)+1,"")</f>
        <v/>
      </c>
    </row>
    <row r="272" spans="1:17" x14ac:dyDescent="0.2">
      <c r="A272" s="453">
        <f t="shared" si="69"/>
        <v>50192</v>
      </c>
      <c r="B272" s="30">
        <v>50192</v>
      </c>
      <c r="C272" s="16">
        <f t="shared" si="56"/>
        <v>0</v>
      </c>
      <c r="D272" s="16">
        <f t="shared" si="57"/>
        <v>0</v>
      </c>
      <c r="E272" s="16">
        <f t="shared" si="58"/>
        <v>0</v>
      </c>
      <c r="F272" s="16">
        <f t="shared" si="59"/>
        <v>0</v>
      </c>
      <c r="G272" s="16">
        <f t="shared" si="60"/>
        <v>0</v>
      </c>
      <c r="H272" s="16">
        <f t="shared" si="61"/>
        <v>0</v>
      </c>
      <c r="I272" s="16">
        <f t="shared" si="62"/>
        <v>0</v>
      </c>
      <c r="J272" s="16">
        <f t="shared" si="63"/>
        <v>0</v>
      </c>
      <c r="K272" s="16">
        <f t="shared" si="64"/>
        <v>0</v>
      </c>
      <c r="L272" s="16">
        <f t="shared" si="65"/>
        <v>0</v>
      </c>
      <c r="M272" s="16">
        <f t="shared" si="66"/>
        <v>0</v>
      </c>
      <c r="N272" s="16">
        <f t="shared" si="67"/>
        <v>0</v>
      </c>
      <c r="O272" s="16">
        <f t="shared" si="68"/>
        <v>0</v>
      </c>
      <c r="P272" s="16" t="str">
        <f>+IF(AND(B272&gt;='Relevé de la Régularisation'!$C$9,B272&lt;='Relevé de la Régularisation'!$D$14),"OUI","NON")</f>
        <v>NON</v>
      </c>
      <c r="Q272" s="16" t="str">
        <f t="array" ref="Q272">IF(P272="OUI",MAX($Q$2:Q271)+1,"")</f>
        <v/>
      </c>
    </row>
    <row r="273" spans="1:17" x14ac:dyDescent="0.2">
      <c r="A273" s="453">
        <f t="shared" si="69"/>
        <v>50222</v>
      </c>
      <c r="B273" s="30">
        <v>50222</v>
      </c>
      <c r="C273" s="16">
        <f t="shared" si="56"/>
        <v>0</v>
      </c>
      <c r="D273" s="16">
        <f t="shared" si="57"/>
        <v>0</v>
      </c>
      <c r="E273" s="16">
        <f t="shared" si="58"/>
        <v>0</v>
      </c>
      <c r="F273" s="16">
        <f t="shared" si="59"/>
        <v>0</v>
      </c>
      <c r="G273" s="16">
        <f t="shared" si="60"/>
        <v>0</v>
      </c>
      <c r="H273" s="16">
        <f t="shared" si="61"/>
        <v>0</v>
      </c>
      <c r="I273" s="16">
        <f t="shared" si="62"/>
        <v>0</v>
      </c>
      <c r="J273" s="16">
        <f t="shared" si="63"/>
        <v>0</v>
      </c>
      <c r="K273" s="16">
        <f t="shared" si="64"/>
        <v>0</v>
      </c>
      <c r="L273" s="16">
        <f t="shared" si="65"/>
        <v>0</v>
      </c>
      <c r="M273" s="16">
        <f t="shared" si="66"/>
        <v>0</v>
      </c>
      <c r="N273" s="16">
        <f t="shared" si="67"/>
        <v>0</v>
      </c>
      <c r="O273" s="16">
        <f t="shared" si="68"/>
        <v>0</v>
      </c>
      <c r="P273" s="16" t="str">
        <f>+IF(AND(B273&gt;='Relevé de la Régularisation'!$C$9,B273&lt;='Relevé de la Régularisation'!$D$14),"OUI","NON")</f>
        <v>NON</v>
      </c>
      <c r="Q273" s="16" t="str">
        <f t="array" ref="Q273">IF(P273="OUI",MAX($Q$2:Q272)+1,"")</f>
        <v/>
      </c>
    </row>
    <row r="274" spans="1:17" x14ac:dyDescent="0.2">
      <c r="A274" s="453">
        <f t="shared" si="69"/>
        <v>50253</v>
      </c>
      <c r="B274" s="30">
        <v>50253</v>
      </c>
      <c r="C274" s="16">
        <f t="shared" si="56"/>
        <v>0</v>
      </c>
      <c r="D274" s="16">
        <f t="shared" si="57"/>
        <v>0</v>
      </c>
      <c r="E274" s="16">
        <f t="shared" si="58"/>
        <v>0</v>
      </c>
      <c r="F274" s="16">
        <f t="shared" si="59"/>
        <v>0</v>
      </c>
      <c r="G274" s="16">
        <f t="shared" si="60"/>
        <v>0</v>
      </c>
      <c r="H274" s="16">
        <f t="shared" si="61"/>
        <v>0</v>
      </c>
      <c r="I274" s="16">
        <f t="shared" si="62"/>
        <v>0</v>
      </c>
      <c r="J274" s="16">
        <f t="shared" si="63"/>
        <v>0</v>
      </c>
      <c r="K274" s="16">
        <f t="shared" si="64"/>
        <v>0</v>
      </c>
      <c r="L274" s="16">
        <f t="shared" si="65"/>
        <v>0</v>
      </c>
      <c r="M274" s="16">
        <f t="shared" si="66"/>
        <v>0</v>
      </c>
      <c r="N274" s="16">
        <f t="shared" si="67"/>
        <v>0</v>
      </c>
      <c r="O274" s="16">
        <f t="shared" si="68"/>
        <v>0</v>
      </c>
      <c r="P274" s="16" t="str">
        <f>+IF(AND(B274&gt;='Relevé de la Régularisation'!$C$9,B274&lt;='Relevé de la Régularisation'!$D$14),"OUI","NON")</f>
        <v>NON</v>
      </c>
      <c r="Q274" s="16" t="str">
        <f t="array" ref="Q274">IF(P274="OUI",MAX($Q$2:Q273)+1,"")</f>
        <v/>
      </c>
    </row>
    <row r="275" spans="1:17" x14ac:dyDescent="0.2">
      <c r="A275" s="453">
        <f t="shared" si="69"/>
        <v>50284</v>
      </c>
      <c r="B275" s="30">
        <v>50284</v>
      </c>
      <c r="C275" s="16">
        <f t="shared" si="56"/>
        <v>0</v>
      </c>
      <c r="D275" s="16">
        <f t="shared" si="57"/>
        <v>0</v>
      </c>
      <c r="E275" s="16">
        <f t="shared" si="58"/>
        <v>0</v>
      </c>
      <c r="F275" s="16">
        <f t="shared" si="59"/>
        <v>0</v>
      </c>
      <c r="G275" s="16">
        <f t="shared" si="60"/>
        <v>0</v>
      </c>
      <c r="H275" s="16">
        <f t="shared" si="61"/>
        <v>0</v>
      </c>
      <c r="I275" s="16">
        <f t="shared" si="62"/>
        <v>0</v>
      </c>
      <c r="J275" s="16">
        <f t="shared" si="63"/>
        <v>0</v>
      </c>
      <c r="K275" s="16">
        <f t="shared" si="64"/>
        <v>0</v>
      </c>
      <c r="L275" s="16">
        <f t="shared" si="65"/>
        <v>0</v>
      </c>
      <c r="M275" s="16">
        <f t="shared" si="66"/>
        <v>0</v>
      </c>
      <c r="N275" s="16">
        <f t="shared" si="67"/>
        <v>0</v>
      </c>
      <c r="O275" s="16">
        <f t="shared" si="68"/>
        <v>0</v>
      </c>
      <c r="P275" s="16" t="str">
        <f>+IF(AND(B275&gt;='Relevé de la Régularisation'!$C$9,B275&lt;='Relevé de la Régularisation'!$D$14),"OUI","NON")</f>
        <v>NON</v>
      </c>
      <c r="Q275" s="16" t="str">
        <f t="array" ref="Q275">IF(P275="OUI",MAX($Q$2:Q274)+1,"")</f>
        <v/>
      </c>
    </row>
    <row r="276" spans="1:17" x14ac:dyDescent="0.2">
      <c r="A276" s="453">
        <f t="shared" si="69"/>
        <v>50314</v>
      </c>
      <c r="B276" s="30">
        <v>50314</v>
      </c>
      <c r="C276" s="16">
        <f t="shared" si="56"/>
        <v>0</v>
      </c>
      <c r="D276" s="16">
        <f t="shared" si="57"/>
        <v>0</v>
      </c>
      <c r="E276" s="16">
        <f t="shared" si="58"/>
        <v>0</v>
      </c>
      <c r="F276" s="16">
        <f t="shared" si="59"/>
        <v>0</v>
      </c>
      <c r="G276" s="16">
        <f t="shared" si="60"/>
        <v>0</v>
      </c>
      <c r="H276" s="16">
        <f t="shared" si="61"/>
        <v>0</v>
      </c>
      <c r="I276" s="16">
        <f t="shared" si="62"/>
        <v>0</v>
      </c>
      <c r="J276" s="16">
        <f t="shared" si="63"/>
        <v>0</v>
      </c>
      <c r="K276" s="16">
        <f t="shared" si="64"/>
        <v>0</v>
      </c>
      <c r="L276" s="16">
        <f t="shared" si="65"/>
        <v>0</v>
      </c>
      <c r="M276" s="16">
        <f t="shared" si="66"/>
        <v>0</v>
      </c>
      <c r="N276" s="16">
        <f t="shared" si="67"/>
        <v>0</v>
      </c>
      <c r="O276" s="16">
        <f t="shared" si="68"/>
        <v>0</v>
      </c>
      <c r="P276" s="16" t="str">
        <f>+IF(AND(B276&gt;='Relevé de la Régularisation'!$C$9,B276&lt;='Relevé de la Régularisation'!$D$14),"OUI","NON")</f>
        <v>NON</v>
      </c>
      <c r="Q276" s="16" t="str">
        <f t="array" ref="Q276">IF(P276="OUI",MAX($Q$2:Q275)+1,"")</f>
        <v/>
      </c>
    </row>
    <row r="277" spans="1:17" x14ac:dyDescent="0.2">
      <c r="A277" s="453">
        <f t="shared" si="69"/>
        <v>50345</v>
      </c>
      <c r="B277" s="30">
        <v>50345</v>
      </c>
      <c r="C277" s="16">
        <f t="shared" si="56"/>
        <v>0</v>
      </c>
      <c r="D277" s="16">
        <f t="shared" si="57"/>
        <v>0</v>
      </c>
      <c r="E277" s="16">
        <f t="shared" si="58"/>
        <v>0</v>
      </c>
      <c r="F277" s="16">
        <f t="shared" si="59"/>
        <v>0</v>
      </c>
      <c r="G277" s="16">
        <f t="shared" si="60"/>
        <v>0</v>
      </c>
      <c r="H277" s="16">
        <f t="shared" si="61"/>
        <v>0</v>
      </c>
      <c r="I277" s="16">
        <f t="shared" si="62"/>
        <v>0</v>
      </c>
      <c r="J277" s="16">
        <f t="shared" si="63"/>
        <v>0</v>
      </c>
      <c r="K277" s="16">
        <f t="shared" si="64"/>
        <v>0</v>
      </c>
      <c r="L277" s="16">
        <f t="shared" si="65"/>
        <v>0</v>
      </c>
      <c r="M277" s="16">
        <f t="shared" si="66"/>
        <v>0</v>
      </c>
      <c r="N277" s="16">
        <f t="shared" si="67"/>
        <v>0</v>
      </c>
      <c r="O277" s="16">
        <f t="shared" si="68"/>
        <v>0</v>
      </c>
      <c r="P277" s="16" t="str">
        <f>+IF(AND(B277&gt;='Relevé de la Régularisation'!$C$9,B277&lt;='Relevé de la Régularisation'!$D$14),"OUI","NON")</f>
        <v>NON</v>
      </c>
      <c r="Q277" s="16" t="str">
        <f t="array" ref="Q277">IF(P277="OUI",MAX($Q$2:Q276)+1,"")</f>
        <v/>
      </c>
    </row>
    <row r="278" spans="1:17" x14ac:dyDescent="0.2">
      <c r="A278" s="453">
        <f t="shared" si="69"/>
        <v>50375</v>
      </c>
      <c r="B278" s="30">
        <v>50375</v>
      </c>
      <c r="C278" s="16">
        <f t="shared" si="56"/>
        <v>0</v>
      </c>
      <c r="D278" s="16">
        <f t="shared" si="57"/>
        <v>0</v>
      </c>
      <c r="E278" s="16">
        <f t="shared" si="58"/>
        <v>0</v>
      </c>
      <c r="F278" s="16">
        <f t="shared" si="59"/>
        <v>0</v>
      </c>
      <c r="G278" s="16">
        <f t="shared" si="60"/>
        <v>0</v>
      </c>
      <c r="H278" s="16">
        <f t="shared" si="61"/>
        <v>0</v>
      </c>
      <c r="I278" s="16">
        <f t="shared" si="62"/>
        <v>0</v>
      </c>
      <c r="J278" s="16">
        <f t="shared" si="63"/>
        <v>0</v>
      </c>
      <c r="K278" s="16">
        <f t="shared" si="64"/>
        <v>0</v>
      </c>
      <c r="L278" s="16">
        <f t="shared" si="65"/>
        <v>0</v>
      </c>
      <c r="M278" s="16">
        <f t="shared" si="66"/>
        <v>0</v>
      </c>
      <c r="N278" s="16">
        <f t="shared" si="67"/>
        <v>0</v>
      </c>
      <c r="O278" s="16">
        <f t="shared" si="68"/>
        <v>0</v>
      </c>
      <c r="P278" s="16" t="str">
        <f>+IF(AND(B278&gt;='Relevé de la Régularisation'!$C$9,B278&lt;='Relevé de la Régularisation'!$D$14),"OUI","NON")</f>
        <v>NON</v>
      </c>
      <c r="Q278" s="16" t="str">
        <f t="array" ref="Q278">IF(P278="OUI",MAX($Q$2:Q277)+1,"")</f>
        <v/>
      </c>
    </row>
    <row r="279" spans="1:17" x14ac:dyDescent="0.2">
      <c r="A279" s="453">
        <f t="shared" si="69"/>
        <v>50406</v>
      </c>
      <c r="B279" s="30">
        <v>50406</v>
      </c>
      <c r="C279" s="16">
        <f t="shared" si="56"/>
        <v>0</v>
      </c>
      <c r="D279" s="16">
        <f t="shared" si="57"/>
        <v>0</v>
      </c>
      <c r="E279" s="16">
        <f t="shared" si="58"/>
        <v>0</v>
      </c>
      <c r="F279" s="16">
        <f t="shared" si="59"/>
        <v>0</v>
      </c>
      <c r="G279" s="16">
        <f t="shared" si="60"/>
        <v>0</v>
      </c>
      <c r="H279" s="16">
        <f t="shared" si="61"/>
        <v>0</v>
      </c>
      <c r="I279" s="16">
        <f t="shared" si="62"/>
        <v>0</v>
      </c>
      <c r="J279" s="16">
        <f t="shared" si="63"/>
        <v>0</v>
      </c>
      <c r="K279" s="16">
        <f t="shared" si="64"/>
        <v>0</v>
      </c>
      <c r="L279" s="16">
        <f t="shared" si="65"/>
        <v>0</v>
      </c>
      <c r="M279" s="16">
        <f t="shared" si="66"/>
        <v>0</v>
      </c>
      <c r="N279" s="16">
        <f t="shared" si="67"/>
        <v>0</v>
      </c>
      <c r="O279" s="16">
        <f t="shared" si="68"/>
        <v>0</v>
      </c>
      <c r="P279" s="16" t="str">
        <f>+IF(AND(B279&gt;='Relevé de la Régularisation'!$C$9,B279&lt;='Relevé de la Régularisation'!$D$14),"OUI","NON")</f>
        <v>NON</v>
      </c>
      <c r="Q279" s="16" t="str">
        <f t="array" ref="Q279">IF(P279="OUI",MAX($Q$2:Q278)+1,"")</f>
        <v/>
      </c>
    </row>
    <row r="280" spans="1:17" x14ac:dyDescent="0.2">
      <c r="A280" s="453">
        <f t="shared" si="69"/>
        <v>50437</v>
      </c>
      <c r="B280" s="30">
        <v>50437</v>
      </c>
      <c r="C280" s="16">
        <f t="shared" si="56"/>
        <v>0</v>
      </c>
      <c r="D280" s="16">
        <f t="shared" si="57"/>
        <v>0</v>
      </c>
      <c r="E280" s="16">
        <f t="shared" si="58"/>
        <v>0</v>
      </c>
      <c r="F280" s="16">
        <f t="shared" si="59"/>
        <v>0</v>
      </c>
      <c r="G280" s="16">
        <f t="shared" si="60"/>
        <v>0</v>
      </c>
      <c r="H280" s="16">
        <f t="shared" si="61"/>
        <v>0</v>
      </c>
      <c r="I280" s="16">
        <f t="shared" si="62"/>
        <v>0</v>
      </c>
      <c r="J280" s="16">
        <f t="shared" si="63"/>
        <v>0</v>
      </c>
      <c r="K280" s="16">
        <f t="shared" si="64"/>
        <v>0</v>
      </c>
      <c r="L280" s="16">
        <f t="shared" si="65"/>
        <v>0</v>
      </c>
      <c r="M280" s="16">
        <f t="shared" si="66"/>
        <v>0</v>
      </c>
      <c r="N280" s="16">
        <f t="shared" si="67"/>
        <v>0</v>
      </c>
      <c r="O280" s="16">
        <f t="shared" si="68"/>
        <v>0</v>
      </c>
      <c r="P280" s="16" t="str">
        <f>+IF(AND(B280&gt;='Relevé de la Régularisation'!$C$9,B280&lt;='Relevé de la Régularisation'!$D$14),"OUI","NON")</f>
        <v>NON</v>
      </c>
      <c r="Q280" s="16" t="str">
        <f t="array" ref="Q280">IF(P280="OUI",MAX($Q$2:Q279)+1,"")</f>
        <v/>
      </c>
    </row>
    <row r="281" spans="1:17" x14ac:dyDescent="0.2">
      <c r="A281" s="453">
        <f t="shared" si="69"/>
        <v>50465</v>
      </c>
      <c r="B281" s="30">
        <v>50465</v>
      </c>
      <c r="C281" s="16">
        <f t="shared" si="56"/>
        <v>0</v>
      </c>
      <c r="D281" s="16">
        <f t="shared" si="57"/>
        <v>0</v>
      </c>
      <c r="E281" s="16">
        <f t="shared" si="58"/>
        <v>0</v>
      </c>
      <c r="F281" s="16">
        <f t="shared" si="59"/>
        <v>0</v>
      </c>
      <c r="G281" s="16">
        <f t="shared" si="60"/>
        <v>0</v>
      </c>
      <c r="H281" s="16">
        <f t="shared" si="61"/>
        <v>0</v>
      </c>
      <c r="I281" s="16">
        <f t="shared" si="62"/>
        <v>0</v>
      </c>
      <c r="J281" s="16">
        <f t="shared" si="63"/>
        <v>0</v>
      </c>
      <c r="K281" s="16">
        <f t="shared" si="64"/>
        <v>0</v>
      </c>
      <c r="L281" s="16">
        <f t="shared" si="65"/>
        <v>0</v>
      </c>
      <c r="M281" s="16">
        <f t="shared" si="66"/>
        <v>0</v>
      </c>
      <c r="N281" s="16">
        <f t="shared" si="67"/>
        <v>0</v>
      </c>
      <c r="O281" s="16">
        <f t="shared" si="68"/>
        <v>0</v>
      </c>
      <c r="P281" s="16" t="str">
        <f>+IF(AND(B281&gt;='Relevé de la Régularisation'!$C$9,B281&lt;='Relevé de la Régularisation'!$D$14),"OUI","NON")</f>
        <v>NON</v>
      </c>
      <c r="Q281" s="16" t="str">
        <f t="array" ref="Q281">IF(P281="OUI",MAX($Q$2:Q280)+1,"")</f>
        <v/>
      </c>
    </row>
    <row r="282" spans="1:17" x14ac:dyDescent="0.2">
      <c r="A282" s="453">
        <f t="shared" si="69"/>
        <v>50496</v>
      </c>
      <c r="B282" s="30">
        <v>50496</v>
      </c>
      <c r="C282" s="16">
        <f t="shared" si="56"/>
        <v>0</v>
      </c>
      <c r="D282" s="16">
        <f t="shared" si="57"/>
        <v>0</v>
      </c>
      <c r="E282" s="16">
        <f t="shared" si="58"/>
        <v>0</v>
      </c>
      <c r="F282" s="16">
        <f t="shared" si="59"/>
        <v>0</v>
      </c>
      <c r="G282" s="16">
        <f t="shared" si="60"/>
        <v>0</v>
      </c>
      <c r="H282" s="16">
        <f t="shared" si="61"/>
        <v>0</v>
      </c>
      <c r="I282" s="16">
        <f t="shared" si="62"/>
        <v>0</v>
      </c>
      <c r="J282" s="16">
        <f t="shared" si="63"/>
        <v>0</v>
      </c>
      <c r="K282" s="16">
        <f t="shared" si="64"/>
        <v>0</v>
      </c>
      <c r="L282" s="16">
        <f t="shared" si="65"/>
        <v>0</v>
      </c>
      <c r="M282" s="16">
        <f t="shared" si="66"/>
        <v>0</v>
      </c>
      <c r="N282" s="16">
        <f t="shared" si="67"/>
        <v>0</v>
      </c>
      <c r="O282" s="16">
        <f t="shared" si="68"/>
        <v>0</v>
      </c>
      <c r="P282" s="16" t="str">
        <f>+IF(AND(B282&gt;='Relevé de la Régularisation'!$C$9,B282&lt;='Relevé de la Régularisation'!$D$14),"OUI","NON")</f>
        <v>NON</v>
      </c>
      <c r="Q282" s="16" t="str">
        <f t="array" ref="Q282">IF(P282="OUI",MAX($Q$2:Q281)+1,"")</f>
        <v/>
      </c>
    </row>
    <row r="283" spans="1:17" x14ac:dyDescent="0.2">
      <c r="A283" s="453">
        <f t="shared" si="69"/>
        <v>50526</v>
      </c>
      <c r="B283" s="30">
        <v>50526</v>
      </c>
      <c r="C283" s="16">
        <f t="shared" si="56"/>
        <v>0</v>
      </c>
      <c r="D283" s="16">
        <f t="shared" si="57"/>
        <v>0</v>
      </c>
      <c r="E283" s="16">
        <f t="shared" si="58"/>
        <v>0</v>
      </c>
      <c r="F283" s="16">
        <f t="shared" si="59"/>
        <v>0</v>
      </c>
      <c r="G283" s="16">
        <f t="shared" si="60"/>
        <v>0</v>
      </c>
      <c r="H283" s="16">
        <f t="shared" si="61"/>
        <v>0</v>
      </c>
      <c r="I283" s="16">
        <f t="shared" si="62"/>
        <v>0</v>
      </c>
      <c r="J283" s="16">
        <f t="shared" si="63"/>
        <v>0</v>
      </c>
      <c r="K283" s="16">
        <f t="shared" si="64"/>
        <v>0</v>
      </c>
      <c r="L283" s="16">
        <f t="shared" si="65"/>
        <v>0</v>
      </c>
      <c r="M283" s="16">
        <f t="shared" si="66"/>
        <v>0</v>
      </c>
      <c r="N283" s="16">
        <f t="shared" si="67"/>
        <v>0</v>
      </c>
      <c r="O283" s="16">
        <f t="shared" si="68"/>
        <v>0</v>
      </c>
      <c r="P283" s="16" t="str">
        <f>+IF(AND(B283&gt;='Relevé de la Régularisation'!$C$9,B283&lt;='Relevé de la Régularisation'!$D$14),"OUI","NON")</f>
        <v>NON</v>
      </c>
      <c r="Q283" s="16" t="str">
        <f t="array" ref="Q283">IF(P283="OUI",MAX($Q$2:Q282)+1,"")</f>
        <v/>
      </c>
    </row>
    <row r="284" spans="1:17" x14ac:dyDescent="0.2">
      <c r="A284" s="453">
        <f t="shared" si="69"/>
        <v>50557</v>
      </c>
      <c r="B284" s="30">
        <v>50557</v>
      </c>
      <c r="C284" s="16">
        <f t="shared" si="56"/>
        <v>0</v>
      </c>
      <c r="D284" s="16">
        <f t="shared" si="57"/>
        <v>0</v>
      </c>
      <c r="E284" s="16">
        <f t="shared" si="58"/>
        <v>0</v>
      </c>
      <c r="F284" s="16">
        <f t="shared" si="59"/>
        <v>0</v>
      </c>
      <c r="G284" s="16">
        <f t="shared" si="60"/>
        <v>0</v>
      </c>
      <c r="H284" s="16">
        <f t="shared" si="61"/>
        <v>0</v>
      </c>
      <c r="I284" s="16">
        <f t="shared" si="62"/>
        <v>0</v>
      </c>
      <c r="J284" s="16">
        <f t="shared" si="63"/>
        <v>0</v>
      </c>
      <c r="K284" s="16">
        <f t="shared" si="64"/>
        <v>0</v>
      </c>
      <c r="L284" s="16">
        <f t="shared" si="65"/>
        <v>0</v>
      </c>
      <c r="M284" s="16">
        <f t="shared" si="66"/>
        <v>0</v>
      </c>
      <c r="N284" s="16">
        <f t="shared" si="67"/>
        <v>0</v>
      </c>
      <c r="O284" s="16">
        <f t="shared" si="68"/>
        <v>0</v>
      </c>
      <c r="P284" s="16" t="str">
        <f>+IF(AND(B284&gt;='Relevé de la Régularisation'!$C$9,B284&lt;='Relevé de la Régularisation'!$D$14),"OUI","NON")</f>
        <v>NON</v>
      </c>
      <c r="Q284" s="16" t="str">
        <f t="array" ref="Q284">IF(P284="OUI",MAX($Q$2:Q283)+1,"")</f>
        <v/>
      </c>
    </row>
    <row r="285" spans="1:17" x14ac:dyDescent="0.2">
      <c r="A285" s="453">
        <f t="shared" si="69"/>
        <v>50587</v>
      </c>
      <c r="B285" s="30">
        <v>50587</v>
      </c>
      <c r="C285" s="16">
        <f t="shared" si="56"/>
        <v>0</v>
      </c>
      <c r="D285" s="16">
        <f t="shared" si="57"/>
        <v>0</v>
      </c>
      <c r="E285" s="16">
        <f t="shared" si="58"/>
        <v>0</v>
      </c>
      <c r="F285" s="16">
        <f t="shared" si="59"/>
        <v>0</v>
      </c>
      <c r="G285" s="16">
        <f t="shared" si="60"/>
        <v>0</v>
      </c>
      <c r="H285" s="16">
        <f t="shared" si="61"/>
        <v>0</v>
      </c>
      <c r="I285" s="16">
        <f t="shared" si="62"/>
        <v>0</v>
      </c>
      <c r="J285" s="16">
        <f t="shared" si="63"/>
        <v>0</v>
      </c>
      <c r="K285" s="16">
        <f t="shared" si="64"/>
        <v>0</v>
      </c>
      <c r="L285" s="16">
        <f t="shared" si="65"/>
        <v>0</v>
      </c>
      <c r="M285" s="16">
        <f t="shared" si="66"/>
        <v>0</v>
      </c>
      <c r="N285" s="16">
        <f t="shared" si="67"/>
        <v>0</v>
      </c>
      <c r="O285" s="16">
        <f t="shared" si="68"/>
        <v>0</v>
      </c>
      <c r="P285" s="16" t="str">
        <f>+IF(AND(B285&gt;='Relevé de la Régularisation'!$C$9,B285&lt;='Relevé de la Régularisation'!$D$14),"OUI","NON")</f>
        <v>NON</v>
      </c>
      <c r="Q285" s="16" t="str">
        <f t="array" ref="Q285">IF(P285="OUI",MAX($Q$2:Q284)+1,"")</f>
        <v/>
      </c>
    </row>
    <row r="286" spans="1:17" x14ac:dyDescent="0.2">
      <c r="A286" s="453">
        <f t="shared" si="69"/>
        <v>50618</v>
      </c>
      <c r="B286" s="30">
        <v>50618</v>
      </c>
      <c r="C286" s="16">
        <f t="shared" si="56"/>
        <v>0</v>
      </c>
      <c r="D286" s="16">
        <f t="shared" si="57"/>
        <v>0</v>
      </c>
      <c r="E286" s="16">
        <f t="shared" si="58"/>
        <v>0</v>
      </c>
      <c r="F286" s="16">
        <f t="shared" si="59"/>
        <v>0</v>
      </c>
      <c r="G286" s="16">
        <f t="shared" si="60"/>
        <v>0</v>
      </c>
      <c r="H286" s="16">
        <f t="shared" si="61"/>
        <v>0</v>
      </c>
      <c r="I286" s="16">
        <f t="shared" si="62"/>
        <v>0</v>
      </c>
      <c r="J286" s="16">
        <f t="shared" si="63"/>
        <v>0</v>
      </c>
      <c r="K286" s="16">
        <f t="shared" si="64"/>
        <v>0</v>
      </c>
      <c r="L286" s="16">
        <f t="shared" si="65"/>
        <v>0</v>
      </c>
      <c r="M286" s="16">
        <f t="shared" si="66"/>
        <v>0</v>
      </c>
      <c r="N286" s="16">
        <f t="shared" si="67"/>
        <v>0</v>
      </c>
      <c r="O286" s="16">
        <f t="shared" si="68"/>
        <v>0</v>
      </c>
      <c r="P286" s="16" t="str">
        <f>+IF(AND(B286&gt;='Relevé de la Régularisation'!$C$9,B286&lt;='Relevé de la Régularisation'!$D$14),"OUI","NON")</f>
        <v>NON</v>
      </c>
      <c r="Q286" s="16" t="str">
        <f t="array" ref="Q286">IF(P286="OUI",MAX($Q$2:Q285)+1,"")</f>
        <v/>
      </c>
    </row>
    <row r="287" spans="1:17" x14ac:dyDescent="0.2">
      <c r="A287" s="453">
        <f t="shared" si="69"/>
        <v>50649</v>
      </c>
      <c r="B287" s="30">
        <v>50649</v>
      </c>
      <c r="C287" s="16">
        <f t="shared" si="56"/>
        <v>0</v>
      </c>
      <c r="D287" s="16">
        <f t="shared" si="57"/>
        <v>0</v>
      </c>
      <c r="E287" s="16">
        <f t="shared" si="58"/>
        <v>0</v>
      </c>
      <c r="F287" s="16">
        <f t="shared" si="59"/>
        <v>0</v>
      </c>
      <c r="G287" s="16">
        <f t="shared" si="60"/>
        <v>0</v>
      </c>
      <c r="H287" s="16">
        <f t="shared" si="61"/>
        <v>0</v>
      </c>
      <c r="I287" s="16">
        <f t="shared" si="62"/>
        <v>0</v>
      </c>
      <c r="J287" s="16">
        <f t="shared" si="63"/>
        <v>0</v>
      </c>
      <c r="K287" s="16">
        <f t="shared" si="64"/>
        <v>0</v>
      </c>
      <c r="L287" s="16">
        <f t="shared" si="65"/>
        <v>0</v>
      </c>
      <c r="M287" s="16">
        <f t="shared" si="66"/>
        <v>0</v>
      </c>
      <c r="N287" s="16">
        <f t="shared" si="67"/>
        <v>0</v>
      </c>
      <c r="O287" s="16">
        <f t="shared" si="68"/>
        <v>0</v>
      </c>
      <c r="P287" s="16" t="str">
        <f>+IF(AND(B287&gt;='Relevé de la Régularisation'!$C$9,B287&lt;='Relevé de la Régularisation'!$D$14),"OUI","NON")</f>
        <v>NON</v>
      </c>
      <c r="Q287" s="16" t="str">
        <f t="array" ref="Q287">IF(P287="OUI",MAX($Q$2:Q286)+1,"")</f>
        <v/>
      </c>
    </row>
    <row r="288" spans="1:17" x14ac:dyDescent="0.2">
      <c r="A288" s="453">
        <f t="shared" si="69"/>
        <v>50679</v>
      </c>
      <c r="B288" s="30">
        <v>50679</v>
      </c>
      <c r="C288" s="16">
        <f t="shared" si="56"/>
        <v>0</v>
      </c>
      <c r="D288" s="16">
        <f t="shared" si="57"/>
        <v>0</v>
      </c>
      <c r="E288" s="16">
        <f t="shared" si="58"/>
        <v>0</v>
      </c>
      <c r="F288" s="16">
        <f t="shared" si="59"/>
        <v>0</v>
      </c>
      <c r="G288" s="16">
        <f t="shared" si="60"/>
        <v>0</v>
      </c>
      <c r="H288" s="16">
        <f t="shared" si="61"/>
        <v>0</v>
      </c>
      <c r="I288" s="16">
        <f t="shared" si="62"/>
        <v>0</v>
      </c>
      <c r="J288" s="16">
        <f t="shared" si="63"/>
        <v>0</v>
      </c>
      <c r="K288" s="16">
        <f t="shared" si="64"/>
        <v>0</v>
      </c>
      <c r="L288" s="16">
        <f t="shared" si="65"/>
        <v>0</v>
      </c>
      <c r="M288" s="16">
        <f t="shared" si="66"/>
        <v>0</v>
      </c>
      <c r="N288" s="16">
        <f t="shared" si="67"/>
        <v>0</v>
      </c>
      <c r="O288" s="16">
        <f t="shared" si="68"/>
        <v>0</v>
      </c>
      <c r="P288" s="16" t="str">
        <f>+IF(AND(B288&gt;='Relevé de la Régularisation'!$C$9,B288&lt;='Relevé de la Régularisation'!$D$14),"OUI","NON")</f>
        <v>NON</v>
      </c>
      <c r="Q288" s="16" t="str">
        <f t="array" ref="Q288">IF(P288="OUI",MAX($Q$2:Q287)+1,"")</f>
        <v/>
      </c>
    </row>
    <row r="289" spans="1:17" x14ac:dyDescent="0.2">
      <c r="A289" s="453">
        <f t="shared" si="69"/>
        <v>50710</v>
      </c>
      <c r="B289" s="30">
        <v>50710</v>
      </c>
      <c r="C289" s="16">
        <f t="shared" si="56"/>
        <v>0</v>
      </c>
      <c r="D289" s="16">
        <f t="shared" si="57"/>
        <v>0</v>
      </c>
      <c r="E289" s="16">
        <f t="shared" si="58"/>
        <v>0</v>
      </c>
      <c r="F289" s="16">
        <f t="shared" si="59"/>
        <v>0</v>
      </c>
      <c r="G289" s="16">
        <f t="shared" si="60"/>
        <v>0</v>
      </c>
      <c r="H289" s="16">
        <f t="shared" si="61"/>
        <v>0</v>
      </c>
      <c r="I289" s="16">
        <f t="shared" si="62"/>
        <v>0</v>
      </c>
      <c r="J289" s="16">
        <f t="shared" si="63"/>
        <v>0</v>
      </c>
      <c r="K289" s="16">
        <f t="shared" si="64"/>
        <v>0</v>
      </c>
      <c r="L289" s="16">
        <f t="shared" si="65"/>
        <v>0</v>
      </c>
      <c r="M289" s="16">
        <f t="shared" si="66"/>
        <v>0</v>
      </c>
      <c r="N289" s="16">
        <f t="shared" si="67"/>
        <v>0</v>
      </c>
      <c r="O289" s="16">
        <f t="shared" si="68"/>
        <v>0</v>
      </c>
      <c r="P289" s="16" t="str">
        <f>+IF(AND(B289&gt;='Relevé de la Régularisation'!$C$9,B289&lt;='Relevé de la Régularisation'!$D$14),"OUI","NON")</f>
        <v>NON</v>
      </c>
      <c r="Q289" s="16" t="str">
        <f t="array" ref="Q289">IF(P289="OUI",MAX($Q$2:Q288)+1,"")</f>
        <v/>
      </c>
    </row>
    <row r="290" spans="1:17" x14ac:dyDescent="0.2">
      <c r="A290" s="453">
        <f t="shared" si="69"/>
        <v>50740</v>
      </c>
      <c r="B290" s="30">
        <v>50740</v>
      </c>
      <c r="C290" s="16">
        <f t="shared" si="56"/>
        <v>0</v>
      </c>
      <c r="D290" s="16">
        <f t="shared" si="57"/>
        <v>0</v>
      </c>
      <c r="E290" s="16">
        <f t="shared" si="58"/>
        <v>0</v>
      </c>
      <c r="F290" s="16">
        <f t="shared" si="59"/>
        <v>0</v>
      </c>
      <c r="G290" s="16">
        <f t="shared" si="60"/>
        <v>0</v>
      </c>
      <c r="H290" s="16">
        <f t="shared" si="61"/>
        <v>0</v>
      </c>
      <c r="I290" s="16">
        <f t="shared" si="62"/>
        <v>0</v>
      </c>
      <c r="J290" s="16">
        <f t="shared" si="63"/>
        <v>0</v>
      </c>
      <c r="K290" s="16">
        <f t="shared" si="64"/>
        <v>0</v>
      </c>
      <c r="L290" s="16">
        <f t="shared" si="65"/>
        <v>0</v>
      </c>
      <c r="M290" s="16">
        <f t="shared" si="66"/>
        <v>0</v>
      </c>
      <c r="N290" s="16">
        <f t="shared" si="67"/>
        <v>0</v>
      </c>
      <c r="O290" s="16">
        <f t="shared" si="68"/>
        <v>0</v>
      </c>
      <c r="P290" s="16" t="str">
        <f>+IF(AND(B290&gt;='Relevé de la Régularisation'!$C$9,B290&lt;='Relevé de la Régularisation'!$D$14),"OUI","NON")</f>
        <v>NON</v>
      </c>
      <c r="Q290" s="16" t="str">
        <f t="array" ref="Q290">IF(P290="OUI",MAX($Q$2:Q289)+1,"")</f>
        <v/>
      </c>
    </row>
    <row r="291" spans="1:17" x14ac:dyDescent="0.2">
      <c r="A291" s="453">
        <f t="shared" si="69"/>
        <v>50771</v>
      </c>
      <c r="B291" s="30">
        <v>50771</v>
      </c>
      <c r="C291" s="16">
        <f t="shared" si="56"/>
        <v>0</v>
      </c>
      <c r="D291" s="16">
        <f t="shared" si="57"/>
        <v>0</v>
      </c>
      <c r="E291" s="16">
        <f t="shared" si="58"/>
        <v>0</v>
      </c>
      <c r="F291" s="16">
        <f t="shared" si="59"/>
        <v>0</v>
      </c>
      <c r="G291" s="16">
        <f t="shared" si="60"/>
        <v>0</v>
      </c>
      <c r="H291" s="16">
        <f t="shared" si="61"/>
        <v>0</v>
      </c>
      <c r="I291" s="16">
        <f t="shared" si="62"/>
        <v>0</v>
      </c>
      <c r="J291" s="16">
        <f t="shared" si="63"/>
        <v>0</v>
      </c>
      <c r="K291" s="16">
        <f t="shared" si="64"/>
        <v>0</v>
      </c>
      <c r="L291" s="16">
        <f t="shared" si="65"/>
        <v>0</v>
      </c>
      <c r="M291" s="16">
        <f t="shared" si="66"/>
        <v>0</v>
      </c>
      <c r="N291" s="16">
        <f t="shared" si="67"/>
        <v>0</v>
      </c>
      <c r="O291" s="16">
        <f t="shared" si="68"/>
        <v>0</v>
      </c>
      <c r="P291" s="16" t="str">
        <f>+IF(AND(B291&gt;='Relevé de la Régularisation'!$C$9,B291&lt;='Relevé de la Régularisation'!$D$14),"OUI","NON")</f>
        <v>NON</v>
      </c>
      <c r="Q291" s="16" t="str">
        <f t="array" ref="Q291">IF(P291="OUI",MAX($Q$2:Q290)+1,"")</f>
        <v/>
      </c>
    </row>
    <row r="292" spans="1:17" x14ac:dyDescent="0.2">
      <c r="A292" s="453">
        <f t="shared" si="69"/>
        <v>50802</v>
      </c>
      <c r="B292" s="30">
        <v>50802</v>
      </c>
      <c r="C292" s="16">
        <f t="shared" si="56"/>
        <v>0</v>
      </c>
      <c r="D292" s="16">
        <f t="shared" si="57"/>
        <v>0</v>
      </c>
      <c r="E292" s="16">
        <f t="shared" si="58"/>
        <v>0</v>
      </c>
      <c r="F292" s="16">
        <f t="shared" si="59"/>
        <v>0</v>
      </c>
      <c r="G292" s="16">
        <f t="shared" si="60"/>
        <v>0</v>
      </c>
      <c r="H292" s="16">
        <f t="shared" si="61"/>
        <v>0</v>
      </c>
      <c r="I292" s="16">
        <f t="shared" si="62"/>
        <v>0</v>
      </c>
      <c r="J292" s="16">
        <f t="shared" si="63"/>
        <v>0</v>
      </c>
      <c r="K292" s="16">
        <f t="shared" si="64"/>
        <v>0</v>
      </c>
      <c r="L292" s="16">
        <f t="shared" si="65"/>
        <v>0</v>
      </c>
      <c r="M292" s="16">
        <f t="shared" si="66"/>
        <v>0</v>
      </c>
      <c r="N292" s="16">
        <f t="shared" si="67"/>
        <v>0</v>
      </c>
      <c r="O292" s="16">
        <f t="shared" si="68"/>
        <v>0</v>
      </c>
      <c r="P292" s="16" t="str">
        <f>+IF(AND(B292&gt;='Relevé de la Régularisation'!$C$9,B292&lt;='Relevé de la Régularisation'!$D$14),"OUI","NON")</f>
        <v>NON</v>
      </c>
      <c r="Q292" s="16" t="str">
        <f t="array" ref="Q292">IF(P292="OUI",MAX($Q$2:Q291)+1,"")</f>
        <v/>
      </c>
    </row>
    <row r="293" spans="1:17" x14ac:dyDescent="0.2">
      <c r="A293" s="453">
        <f t="shared" si="69"/>
        <v>50830</v>
      </c>
      <c r="B293" s="30">
        <v>50830</v>
      </c>
      <c r="C293" s="16">
        <f t="shared" si="56"/>
        <v>0</v>
      </c>
      <c r="D293" s="16">
        <f t="shared" si="57"/>
        <v>0</v>
      </c>
      <c r="E293" s="16">
        <f t="shared" si="58"/>
        <v>0</v>
      </c>
      <c r="F293" s="16">
        <f t="shared" si="59"/>
        <v>0</v>
      </c>
      <c r="G293" s="16">
        <f t="shared" si="60"/>
        <v>0</v>
      </c>
      <c r="H293" s="16">
        <f t="shared" si="61"/>
        <v>0</v>
      </c>
      <c r="I293" s="16">
        <f t="shared" si="62"/>
        <v>0</v>
      </c>
      <c r="J293" s="16">
        <f t="shared" si="63"/>
        <v>0</v>
      </c>
      <c r="K293" s="16">
        <f t="shared" si="64"/>
        <v>0</v>
      </c>
      <c r="L293" s="16">
        <f t="shared" si="65"/>
        <v>0</v>
      </c>
      <c r="M293" s="16">
        <f t="shared" si="66"/>
        <v>0</v>
      </c>
      <c r="N293" s="16">
        <f t="shared" si="67"/>
        <v>0</v>
      </c>
      <c r="O293" s="16">
        <f t="shared" si="68"/>
        <v>0</v>
      </c>
      <c r="P293" s="16" t="str">
        <f>+IF(AND(B293&gt;='Relevé de la Régularisation'!$C$9,B293&lt;='Relevé de la Régularisation'!$D$14),"OUI","NON")</f>
        <v>NON</v>
      </c>
      <c r="Q293" s="16" t="str">
        <f t="array" ref="Q293">IF(P293="OUI",MAX($Q$2:Q292)+1,"")</f>
        <v/>
      </c>
    </row>
    <row r="294" spans="1:17" x14ac:dyDescent="0.2">
      <c r="A294" s="453">
        <f t="shared" si="69"/>
        <v>50861</v>
      </c>
      <c r="B294" s="30">
        <v>50861</v>
      </c>
      <c r="C294" s="16">
        <f t="shared" si="56"/>
        <v>0</v>
      </c>
      <c r="D294" s="16">
        <f t="shared" si="57"/>
        <v>0</v>
      </c>
      <c r="E294" s="16">
        <f t="shared" si="58"/>
        <v>0</v>
      </c>
      <c r="F294" s="16">
        <f t="shared" si="59"/>
        <v>0</v>
      </c>
      <c r="G294" s="16">
        <f t="shared" si="60"/>
        <v>0</v>
      </c>
      <c r="H294" s="16">
        <f t="shared" si="61"/>
        <v>0</v>
      </c>
      <c r="I294" s="16">
        <f t="shared" si="62"/>
        <v>0</v>
      </c>
      <c r="J294" s="16">
        <f t="shared" si="63"/>
        <v>0</v>
      </c>
      <c r="K294" s="16">
        <f t="shared" si="64"/>
        <v>0</v>
      </c>
      <c r="L294" s="16">
        <f t="shared" si="65"/>
        <v>0</v>
      </c>
      <c r="M294" s="16">
        <f t="shared" si="66"/>
        <v>0</v>
      </c>
      <c r="N294" s="16">
        <f t="shared" si="67"/>
        <v>0</v>
      </c>
      <c r="O294" s="16">
        <f t="shared" si="68"/>
        <v>0</v>
      </c>
      <c r="P294" s="16" t="str">
        <f>+IF(AND(B294&gt;='Relevé de la Régularisation'!$C$9,B294&lt;='Relevé de la Régularisation'!$D$14),"OUI","NON")</f>
        <v>NON</v>
      </c>
      <c r="Q294" s="16" t="str">
        <f t="array" ref="Q294">IF(P294="OUI",MAX($Q$2:Q293)+1,"")</f>
        <v/>
      </c>
    </row>
    <row r="295" spans="1:17" x14ac:dyDescent="0.2">
      <c r="A295" s="453">
        <f t="shared" si="69"/>
        <v>50891</v>
      </c>
      <c r="B295" s="30">
        <v>50891</v>
      </c>
      <c r="C295" s="16">
        <f t="shared" si="56"/>
        <v>0</v>
      </c>
      <c r="D295" s="16">
        <f t="shared" si="57"/>
        <v>0</v>
      </c>
      <c r="E295" s="16">
        <f t="shared" si="58"/>
        <v>0</v>
      </c>
      <c r="F295" s="16">
        <f t="shared" si="59"/>
        <v>0</v>
      </c>
      <c r="G295" s="16">
        <f t="shared" si="60"/>
        <v>0</v>
      </c>
      <c r="H295" s="16">
        <f t="shared" si="61"/>
        <v>0</v>
      </c>
      <c r="I295" s="16">
        <f t="shared" si="62"/>
        <v>0</v>
      </c>
      <c r="J295" s="16">
        <f t="shared" si="63"/>
        <v>0</v>
      </c>
      <c r="K295" s="16">
        <f t="shared" si="64"/>
        <v>0</v>
      </c>
      <c r="L295" s="16">
        <f t="shared" si="65"/>
        <v>0</v>
      </c>
      <c r="M295" s="16">
        <f t="shared" si="66"/>
        <v>0</v>
      </c>
      <c r="N295" s="16">
        <f t="shared" si="67"/>
        <v>0</v>
      </c>
      <c r="O295" s="16">
        <f t="shared" si="68"/>
        <v>0</v>
      </c>
      <c r="P295" s="16" t="str">
        <f>+IF(AND(B295&gt;='Relevé de la Régularisation'!$C$9,B295&lt;='Relevé de la Régularisation'!$D$14),"OUI","NON")</f>
        <v>NON</v>
      </c>
      <c r="Q295" s="16" t="str">
        <f t="array" ref="Q295">IF(P295="OUI",MAX($Q$2:Q294)+1,"")</f>
        <v/>
      </c>
    </row>
    <row r="296" spans="1:17" x14ac:dyDescent="0.2">
      <c r="A296" s="453">
        <f t="shared" si="69"/>
        <v>50922</v>
      </c>
      <c r="B296" s="30">
        <v>50922</v>
      </c>
      <c r="C296" s="16">
        <f t="shared" si="56"/>
        <v>0</v>
      </c>
      <c r="D296" s="16">
        <f t="shared" si="57"/>
        <v>0</v>
      </c>
      <c r="E296" s="16">
        <f t="shared" si="58"/>
        <v>0</v>
      </c>
      <c r="F296" s="16">
        <f t="shared" si="59"/>
        <v>0</v>
      </c>
      <c r="G296" s="16">
        <f t="shared" si="60"/>
        <v>0</v>
      </c>
      <c r="H296" s="16">
        <f t="shared" si="61"/>
        <v>0</v>
      </c>
      <c r="I296" s="16">
        <f t="shared" si="62"/>
        <v>0</v>
      </c>
      <c r="J296" s="16">
        <f t="shared" si="63"/>
        <v>0</v>
      </c>
      <c r="K296" s="16">
        <f t="shared" si="64"/>
        <v>0</v>
      </c>
      <c r="L296" s="16">
        <f t="shared" si="65"/>
        <v>0</v>
      </c>
      <c r="M296" s="16">
        <f t="shared" si="66"/>
        <v>0</v>
      </c>
      <c r="N296" s="16">
        <f t="shared" si="67"/>
        <v>0</v>
      </c>
      <c r="O296" s="16">
        <f t="shared" si="68"/>
        <v>0</v>
      </c>
      <c r="P296" s="16" t="str">
        <f>+IF(AND(B296&gt;='Relevé de la Régularisation'!$C$9,B296&lt;='Relevé de la Régularisation'!$D$14),"OUI","NON")</f>
        <v>NON</v>
      </c>
      <c r="Q296" s="16" t="str">
        <f t="array" ref="Q296">IF(P296="OUI",MAX($Q$2:Q295)+1,"")</f>
        <v/>
      </c>
    </row>
    <row r="297" spans="1:17" x14ac:dyDescent="0.2">
      <c r="A297" s="453">
        <f t="shared" si="69"/>
        <v>50952</v>
      </c>
      <c r="B297" s="30">
        <v>50952</v>
      </c>
      <c r="C297" s="16">
        <f t="shared" si="56"/>
        <v>0</v>
      </c>
      <c r="D297" s="16">
        <f t="shared" si="57"/>
        <v>0</v>
      </c>
      <c r="E297" s="16">
        <f t="shared" si="58"/>
        <v>0</v>
      </c>
      <c r="F297" s="16">
        <f t="shared" si="59"/>
        <v>0</v>
      </c>
      <c r="G297" s="16">
        <f t="shared" si="60"/>
        <v>0</v>
      </c>
      <c r="H297" s="16">
        <f t="shared" si="61"/>
        <v>0</v>
      </c>
      <c r="I297" s="16">
        <f t="shared" si="62"/>
        <v>0</v>
      </c>
      <c r="J297" s="16">
        <f t="shared" si="63"/>
        <v>0</v>
      </c>
      <c r="K297" s="16">
        <f t="shared" si="64"/>
        <v>0</v>
      </c>
      <c r="L297" s="16">
        <f t="shared" si="65"/>
        <v>0</v>
      </c>
      <c r="M297" s="16">
        <f t="shared" si="66"/>
        <v>0</v>
      </c>
      <c r="N297" s="16">
        <f t="shared" si="67"/>
        <v>0</v>
      </c>
      <c r="O297" s="16">
        <f t="shared" si="68"/>
        <v>0</v>
      </c>
      <c r="P297" s="16" t="str">
        <f>+IF(AND(B297&gt;='Relevé de la Régularisation'!$C$9,B297&lt;='Relevé de la Régularisation'!$D$14),"OUI","NON")</f>
        <v>NON</v>
      </c>
      <c r="Q297" s="16" t="str">
        <f t="array" ref="Q297">IF(P297="OUI",MAX($Q$2:Q296)+1,"")</f>
        <v/>
      </c>
    </row>
    <row r="298" spans="1:17" x14ac:dyDescent="0.2">
      <c r="A298" s="453">
        <f t="shared" si="69"/>
        <v>50983</v>
      </c>
      <c r="B298" s="30">
        <v>50983</v>
      </c>
      <c r="C298" s="16">
        <f t="shared" si="56"/>
        <v>0</v>
      </c>
      <c r="D298" s="16">
        <f t="shared" si="57"/>
        <v>0</v>
      </c>
      <c r="E298" s="16">
        <f t="shared" si="58"/>
        <v>0</v>
      </c>
      <c r="F298" s="16">
        <f t="shared" si="59"/>
        <v>0</v>
      </c>
      <c r="G298" s="16">
        <f t="shared" si="60"/>
        <v>0</v>
      </c>
      <c r="H298" s="16">
        <f t="shared" si="61"/>
        <v>0</v>
      </c>
      <c r="I298" s="16">
        <f t="shared" si="62"/>
        <v>0</v>
      </c>
      <c r="J298" s="16">
        <f t="shared" si="63"/>
        <v>0</v>
      </c>
      <c r="K298" s="16">
        <f t="shared" si="64"/>
        <v>0</v>
      </c>
      <c r="L298" s="16">
        <f t="shared" si="65"/>
        <v>0</v>
      </c>
      <c r="M298" s="16">
        <f t="shared" si="66"/>
        <v>0</v>
      </c>
      <c r="N298" s="16">
        <f t="shared" si="67"/>
        <v>0</v>
      </c>
      <c r="O298" s="16">
        <f t="shared" si="68"/>
        <v>0</v>
      </c>
      <c r="P298" s="16" t="str">
        <f>+IF(AND(B298&gt;='Relevé de la Régularisation'!$C$9,B298&lt;='Relevé de la Régularisation'!$D$14),"OUI","NON")</f>
        <v>NON</v>
      </c>
      <c r="Q298" s="16" t="str">
        <f t="array" ref="Q298">IF(P298="OUI",MAX($Q$2:Q297)+1,"")</f>
        <v/>
      </c>
    </row>
    <row r="299" spans="1:17" x14ac:dyDescent="0.2">
      <c r="A299" s="453">
        <f t="shared" si="69"/>
        <v>51014</v>
      </c>
      <c r="B299" s="30">
        <v>51014</v>
      </c>
      <c r="C299" s="16">
        <f t="shared" si="56"/>
        <v>0</v>
      </c>
      <c r="D299" s="16">
        <f t="shared" si="57"/>
        <v>0</v>
      </c>
      <c r="E299" s="16">
        <f t="shared" si="58"/>
        <v>0</v>
      </c>
      <c r="F299" s="16">
        <f t="shared" si="59"/>
        <v>0</v>
      </c>
      <c r="G299" s="16">
        <f t="shared" si="60"/>
        <v>0</v>
      </c>
      <c r="H299" s="16">
        <f t="shared" si="61"/>
        <v>0</v>
      </c>
      <c r="I299" s="16">
        <f t="shared" si="62"/>
        <v>0</v>
      </c>
      <c r="J299" s="16">
        <f t="shared" si="63"/>
        <v>0</v>
      </c>
      <c r="K299" s="16">
        <f t="shared" si="64"/>
        <v>0</v>
      </c>
      <c r="L299" s="16">
        <f t="shared" si="65"/>
        <v>0</v>
      </c>
      <c r="M299" s="16">
        <f t="shared" si="66"/>
        <v>0</v>
      </c>
      <c r="N299" s="16">
        <f t="shared" si="67"/>
        <v>0</v>
      </c>
      <c r="O299" s="16">
        <f t="shared" si="68"/>
        <v>0</v>
      </c>
      <c r="P299" s="16" t="str">
        <f>+IF(AND(B299&gt;='Relevé de la Régularisation'!$C$9,B299&lt;='Relevé de la Régularisation'!$D$14),"OUI","NON")</f>
        <v>NON</v>
      </c>
      <c r="Q299" s="16" t="str">
        <f t="array" ref="Q299">IF(P299="OUI",MAX($Q$2:Q298)+1,"")</f>
        <v/>
      </c>
    </row>
    <row r="300" spans="1:17" x14ac:dyDescent="0.2">
      <c r="A300" s="453">
        <f t="shared" si="69"/>
        <v>51044</v>
      </c>
      <c r="B300" s="30">
        <v>51044</v>
      </c>
      <c r="C300" s="16">
        <f t="shared" si="56"/>
        <v>0</v>
      </c>
      <c r="D300" s="16">
        <f t="shared" si="57"/>
        <v>0</v>
      </c>
      <c r="E300" s="16">
        <f t="shared" si="58"/>
        <v>0</v>
      </c>
      <c r="F300" s="16">
        <f t="shared" si="59"/>
        <v>0</v>
      </c>
      <c r="G300" s="16">
        <f t="shared" si="60"/>
        <v>0</v>
      </c>
      <c r="H300" s="16">
        <f t="shared" si="61"/>
        <v>0</v>
      </c>
      <c r="I300" s="16">
        <f t="shared" si="62"/>
        <v>0</v>
      </c>
      <c r="J300" s="16">
        <f t="shared" si="63"/>
        <v>0</v>
      </c>
      <c r="K300" s="16">
        <f t="shared" si="64"/>
        <v>0</v>
      </c>
      <c r="L300" s="16">
        <f t="shared" si="65"/>
        <v>0</v>
      </c>
      <c r="M300" s="16">
        <f t="shared" si="66"/>
        <v>0</v>
      </c>
      <c r="N300" s="16">
        <f t="shared" si="67"/>
        <v>0</v>
      </c>
      <c r="O300" s="16">
        <f t="shared" si="68"/>
        <v>0</v>
      </c>
      <c r="P300" s="16" t="str">
        <f>+IF(AND(B300&gt;='Relevé de la Régularisation'!$C$9,B300&lt;='Relevé de la Régularisation'!$D$14),"OUI","NON")</f>
        <v>NON</v>
      </c>
      <c r="Q300" s="16" t="str">
        <f t="array" ref="Q300">IF(P300="OUI",MAX($Q$2:Q299)+1,"")</f>
        <v/>
      </c>
    </row>
    <row r="301" spans="1:17" x14ac:dyDescent="0.2">
      <c r="A301" s="453">
        <f t="shared" si="69"/>
        <v>51075</v>
      </c>
      <c r="B301" s="30">
        <v>51075</v>
      </c>
      <c r="C301" s="16">
        <f t="shared" si="56"/>
        <v>0</v>
      </c>
      <c r="D301" s="16">
        <f t="shared" si="57"/>
        <v>0</v>
      </c>
      <c r="E301" s="16">
        <f t="shared" si="58"/>
        <v>0</v>
      </c>
      <c r="F301" s="16">
        <f t="shared" si="59"/>
        <v>0</v>
      </c>
      <c r="G301" s="16">
        <f t="shared" si="60"/>
        <v>0</v>
      </c>
      <c r="H301" s="16">
        <f t="shared" si="61"/>
        <v>0</v>
      </c>
      <c r="I301" s="16">
        <f t="shared" si="62"/>
        <v>0</v>
      </c>
      <c r="J301" s="16">
        <f t="shared" si="63"/>
        <v>0</v>
      </c>
      <c r="K301" s="16">
        <f t="shared" si="64"/>
        <v>0</v>
      </c>
      <c r="L301" s="16">
        <f t="shared" si="65"/>
        <v>0</v>
      </c>
      <c r="M301" s="16">
        <f t="shared" si="66"/>
        <v>0</v>
      </c>
      <c r="N301" s="16">
        <f t="shared" si="67"/>
        <v>0</v>
      </c>
      <c r="O301" s="16">
        <f t="shared" si="68"/>
        <v>0</v>
      </c>
      <c r="P301" s="16" t="str">
        <f>+IF(AND(B301&gt;='Relevé de la Régularisation'!$C$9,B301&lt;='Relevé de la Régularisation'!$D$14),"OUI","NON")</f>
        <v>NON</v>
      </c>
      <c r="Q301" s="16" t="str">
        <f t="array" ref="Q301">IF(P301="OUI",MAX($Q$2:Q300)+1,"")</f>
        <v/>
      </c>
    </row>
    <row r="302" spans="1:17" x14ac:dyDescent="0.2">
      <c r="A302" s="453">
        <f t="shared" si="69"/>
        <v>51105</v>
      </c>
      <c r="B302" s="30">
        <v>51105</v>
      </c>
      <c r="C302" s="16">
        <f t="shared" si="56"/>
        <v>0</v>
      </c>
      <c r="D302" s="16">
        <f t="shared" si="57"/>
        <v>0</v>
      </c>
      <c r="E302" s="16">
        <f t="shared" si="58"/>
        <v>0</v>
      </c>
      <c r="F302" s="16">
        <f t="shared" si="59"/>
        <v>0</v>
      </c>
      <c r="G302" s="16">
        <f t="shared" si="60"/>
        <v>0</v>
      </c>
      <c r="H302" s="16">
        <f t="shared" si="61"/>
        <v>0</v>
      </c>
      <c r="I302" s="16">
        <f t="shared" si="62"/>
        <v>0</v>
      </c>
      <c r="J302" s="16">
        <f t="shared" si="63"/>
        <v>0</v>
      </c>
      <c r="K302" s="16">
        <f t="shared" si="64"/>
        <v>0</v>
      </c>
      <c r="L302" s="16">
        <f t="shared" si="65"/>
        <v>0</v>
      </c>
      <c r="M302" s="16">
        <f t="shared" si="66"/>
        <v>0</v>
      </c>
      <c r="N302" s="16">
        <f t="shared" si="67"/>
        <v>0</v>
      </c>
      <c r="O302" s="16">
        <f t="shared" si="68"/>
        <v>0</v>
      </c>
      <c r="P302" s="16" t="str">
        <f>+IF(AND(B302&gt;='Relevé de la Régularisation'!$C$9,B302&lt;='Relevé de la Régularisation'!$D$14),"OUI","NON")</f>
        <v>NON</v>
      </c>
      <c r="Q302" s="16" t="str">
        <f t="array" ref="Q302">IF(P302="OUI",MAX($Q$2:Q301)+1,"")</f>
        <v/>
      </c>
    </row>
    <row r="303" spans="1:17" x14ac:dyDescent="0.2">
      <c r="A303" s="453">
        <f t="shared" si="69"/>
        <v>51136</v>
      </c>
      <c r="B303" s="30">
        <v>51136</v>
      </c>
      <c r="C303" s="16">
        <f t="shared" si="56"/>
        <v>0</v>
      </c>
      <c r="D303" s="16">
        <f t="shared" si="57"/>
        <v>0</v>
      </c>
      <c r="E303" s="16">
        <f t="shared" si="58"/>
        <v>0</v>
      </c>
      <c r="F303" s="16">
        <f t="shared" si="59"/>
        <v>0</v>
      </c>
      <c r="G303" s="16">
        <f t="shared" si="60"/>
        <v>0</v>
      </c>
      <c r="H303" s="16">
        <f t="shared" si="61"/>
        <v>0</v>
      </c>
      <c r="I303" s="16">
        <f t="shared" si="62"/>
        <v>0</v>
      </c>
      <c r="J303" s="16">
        <f t="shared" si="63"/>
        <v>0</v>
      </c>
      <c r="K303" s="16">
        <f t="shared" si="64"/>
        <v>0</v>
      </c>
      <c r="L303" s="16">
        <f t="shared" si="65"/>
        <v>0</v>
      </c>
      <c r="M303" s="16">
        <f t="shared" si="66"/>
        <v>0</v>
      </c>
      <c r="N303" s="16">
        <f t="shared" si="67"/>
        <v>0</v>
      </c>
      <c r="O303" s="16">
        <f t="shared" si="68"/>
        <v>0</v>
      </c>
      <c r="P303" s="16" t="str">
        <f>+IF(AND(B303&gt;='Relevé de la Régularisation'!$C$9,B303&lt;='Relevé de la Régularisation'!$D$14),"OUI","NON")</f>
        <v>NON</v>
      </c>
      <c r="Q303" s="16" t="str">
        <f t="array" ref="Q303">IF(P303="OUI",MAX($Q$2:Q302)+1,"")</f>
        <v/>
      </c>
    </row>
    <row r="304" spans="1:17" x14ac:dyDescent="0.2">
      <c r="A304" s="453">
        <f t="shared" si="69"/>
        <v>51167</v>
      </c>
      <c r="B304" s="30">
        <v>51167</v>
      </c>
      <c r="C304" s="16">
        <f t="shared" si="56"/>
        <v>0</v>
      </c>
      <c r="D304" s="16">
        <f t="shared" si="57"/>
        <v>0</v>
      </c>
      <c r="E304" s="16">
        <f t="shared" si="58"/>
        <v>0</v>
      </c>
      <c r="F304" s="16">
        <f t="shared" si="59"/>
        <v>0</v>
      </c>
      <c r="G304" s="16">
        <f t="shared" si="60"/>
        <v>0</v>
      </c>
      <c r="H304" s="16">
        <f t="shared" si="61"/>
        <v>0</v>
      </c>
      <c r="I304" s="16">
        <f t="shared" si="62"/>
        <v>0</v>
      </c>
      <c r="J304" s="16">
        <f t="shared" si="63"/>
        <v>0</v>
      </c>
      <c r="K304" s="16">
        <f t="shared" si="64"/>
        <v>0</v>
      </c>
      <c r="L304" s="16">
        <f t="shared" si="65"/>
        <v>0</v>
      </c>
      <c r="M304" s="16">
        <f t="shared" si="66"/>
        <v>0</v>
      </c>
      <c r="N304" s="16">
        <f t="shared" si="67"/>
        <v>0</v>
      </c>
      <c r="O304" s="16">
        <f t="shared" si="68"/>
        <v>0</v>
      </c>
      <c r="P304" s="16" t="str">
        <f>+IF(AND(B304&gt;='Relevé de la Régularisation'!$C$9,B304&lt;='Relevé de la Régularisation'!$D$14),"OUI","NON")</f>
        <v>NON</v>
      </c>
      <c r="Q304" s="16" t="str">
        <f t="array" ref="Q304">IF(P304="OUI",MAX($Q$2:Q303)+1,"")</f>
        <v/>
      </c>
    </row>
    <row r="305" spans="1:17" x14ac:dyDescent="0.2">
      <c r="A305" s="453">
        <f t="shared" si="69"/>
        <v>51196</v>
      </c>
      <c r="B305" s="30">
        <v>51196</v>
      </c>
      <c r="C305" s="16">
        <f t="shared" si="56"/>
        <v>0</v>
      </c>
      <c r="D305" s="16">
        <f t="shared" si="57"/>
        <v>0</v>
      </c>
      <c r="E305" s="16">
        <f t="shared" si="58"/>
        <v>0</v>
      </c>
      <c r="F305" s="16">
        <f t="shared" si="59"/>
        <v>0</v>
      </c>
      <c r="G305" s="16">
        <f t="shared" si="60"/>
        <v>0</v>
      </c>
      <c r="H305" s="16">
        <f t="shared" si="61"/>
        <v>0</v>
      </c>
      <c r="I305" s="16">
        <f t="shared" si="62"/>
        <v>0</v>
      </c>
      <c r="J305" s="16">
        <f t="shared" si="63"/>
        <v>0</v>
      </c>
      <c r="K305" s="16">
        <f t="shared" si="64"/>
        <v>0</v>
      </c>
      <c r="L305" s="16">
        <f t="shared" si="65"/>
        <v>0</v>
      </c>
      <c r="M305" s="16">
        <f t="shared" si="66"/>
        <v>0</v>
      </c>
      <c r="N305" s="16">
        <f t="shared" si="67"/>
        <v>0</v>
      </c>
      <c r="O305" s="16">
        <f t="shared" si="68"/>
        <v>0</v>
      </c>
      <c r="P305" s="16" t="str">
        <f>+IF(AND(B305&gt;='Relevé de la Régularisation'!$C$9,B305&lt;='Relevé de la Régularisation'!$D$14),"OUI","NON")</f>
        <v>NON</v>
      </c>
      <c r="Q305" s="16" t="str">
        <f t="array" ref="Q305">IF(P305="OUI",MAX($Q$2:Q304)+1,"")</f>
        <v/>
      </c>
    </row>
    <row r="306" spans="1:17" x14ac:dyDescent="0.2">
      <c r="A306" s="453">
        <f t="shared" si="69"/>
        <v>51227</v>
      </c>
      <c r="B306" s="30">
        <v>51227</v>
      </c>
      <c r="C306" s="16">
        <f t="shared" si="56"/>
        <v>0</v>
      </c>
      <c r="D306" s="16">
        <f t="shared" si="57"/>
        <v>0</v>
      </c>
      <c r="E306" s="16">
        <f t="shared" si="58"/>
        <v>0</v>
      </c>
      <c r="F306" s="16">
        <f t="shared" si="59"/>
        <v>0</v>
      </c>
      <c r="G306" s="16">
        <f t="shared" si="60"/>
        <v>0</v>
      </c>
      <c r="H306" s="16">
        <f t="shared" si="61"/>
        <v>0</v>
      </c>
      <c r="I306" s="16">
        <f t="shared" si="62"/>
        <v>0</v>
      </c>
      <c r="J306" s="16">
        <f t="shared" si="63"/>
        <v>0</v>
      </c>
      <c r="K306" s="16">
        <f t="shared" si="64"/>
        <v>0</v>
      </c>
      <c r="L306" s="16">
        <f t="shared" si="65"/>
        <v>0</v>
      </c>
      <c r="M306" s="16">
        <f t="shared" si="66"/>
        <v>0</v>
      </c>
      <c r="N306" s="16">
        <f t="shared" si="67"/>
        <v>0</v>
      </c>
      <c r="O306" s="16">
        <f t="shared" si="68"/>
        <v>0</v>
      </c>
      <c r="P306" s="16" t="str">
        <f>+IF(AND(B306&gt;='Relevé de la Régularisation'!$C$9,B306&lt;='Relevé de la Régularisation'!$D$14),"OUI","NON")</f>
        <v>NON</v>
      </c>
      <c r="Q306" s="16" t="str">
        <f t="array" ref="Q306">IF(P306="OUI",MAX($Q$2:Q305)+1,"")</f>
        <v/>
      </c>
    </row>
    <row r="307" spans="1:17" x14ac:dyDescent="0.2">
      <c r="A307" s="453">
        <f t="shared" si="69"/>
        <v>51257</v>
      </c>
      <c r="B307" s="30">
        <v>51257</v>
      </c>
      <c r="C307" s="16">
        <f t="shared" si="56"/>
        <v>0</v>
      </c>
      <c r="D307" s="16">
        <f t="shared" si="57"/>
        <v>0</v>
      </c>
      <c r="E307" s="16">
        <f t="shared" si="58"/>
        <v>0</v>
      </c>
      <c r="F307" s="16">
        <f t="shared" si="59"/>
        <v>0</v>
      </c>
      <c r="G307" s="16">
        <f t="shared" si="60"/>
        <v>0</v>
      </c>
      <c r="H307" s="16">
        <f t="shared" si="61"/>
        <v>0</v>
      </c>
      <c r="I307" s="16">
        <f t="shared" si="62"/>
        <v>0</v>
      </c>
      <c r="J307" s="16">
        <f t="shared" si="63"/>
        <v>0</v>
      </c>
      <c r="K307" s="16">
        <f t="shared" si="64"/>
        <v>0</v>
      </c>
      <c r="L307" s="16">
        <f t="shared" si="65"/>
        <v>0</v>
      </c>
      <c r="M307" s="16">
        <f t="shared" si="66"/>
        <v>0</v>
      </c>
      <c r="N307" s="16">
        <f t="shared" si="67"/>
        <v>0</v>
      </c>
      <c r="O307" s="16">
        <f t="shared" si="68"/>
        <v>0</v>
      </c>
      <c r="P307" s="16" t="str">
        <f>+IF(AND(B307&gt;='Relevé de la Régularisation'!$C$9,B307&lt;='Relevé de la Régularisation'!$D$14),"OUI","NON")</f>
        <v>NON</v>
      </c>
      <c r="Q307" s="16" t="str">
        <f t="array" ref="Q307">IF(P307="OUI",MAX($Q$2:Q306)+1,"")</f>
        <v/>
      </c>
    </row>
    <row r="308" spans="1:17" x14ac:dyDescent="0.2">
      <c r="A308" s="453">
        <f t="shared" si="69"/>
        <v>51288</v>
      </c>
      <c r="B308" s="30">
        <v>51288</v>
      </c>
      <c r="C308" s="16">
        <f t="shared" si="56"/>
        <v>0</v>
      </c>
      <c r="D308" s="16">
        <f t="shared" si="57"/>
        <v>0</v>
      </c>
      <c r="E308" s="16">
        <f t="shared" si="58"/>
        <v>0</v>
      </c>
      <c r="F308" s="16">
        <f t="shared" si="59"/>
        <v>0</v>
      </c>
      <c r="G308" s="16">
        <f t="shared" si="60"/>
        <v>0</v>
      </c>
      <c r="H308" s="16">
        <f t="shared" si="61"/>
        <v>0</v>
      </c>
      <c r="I308" s="16">
        <f t="shared" si="62"/>
        <v>0</v>
      </c>
      <c r="J308" s="16">
        <f t="shared" si="63"/>
        <v>0</v>
      </c>
      <c r="K308" s="16">
        <f t="shared" si="64"/>
        <v>0</v>
      </c>
      <c r="L308" s="16">
        <f t="shared" si="65"/>
        <v>0</v>
      </c>
      <c r="M308" s="16">
        <f t="shared" si="66"/>
        <v>0</v>
      </c>
      <c r="N308" s="16">
        <f t="shared" si="67"/>
        <v>0</v>
      </c>
      <c r="O308" s="16">
        <f t="shared" si="68"/>
        <v>0</v>
      </c>
      <c r="P308" s="16" t="str">
        <f>+IF(AND(B308&gt;='Relevé de la Régularisation'!$C$9,B308&lt;='Relevé de la Régularisation'!$D$14),"OUI","NON")</f>
        <v>NON</v>
      </c>
      <c r="Q308" s="16" t="str">
        <f t="array" ref="Q308">IF(P308="OUI",MAX($Q$2:Q307)+1,"")</f>
        <v/>
      </c>
    </row>
    <row r="309" spans="1:17" x14ac:dyDescent="0.2">
      <c r="A309" s="453">
        <f t="shared" si="69"/>
        <v>51318</v>
      </c>
      <c r="B309" s="30">
        <v>51318</v>
      </c>
      <c r="C309" s="16">
        <f t="shared" si="56"/>
        <v>0</v>
      </c>
      <c r="D309" s="16">
        <f t="shared" si="57"/>
        <v>0</v>
      </c>
      <c r="E309" s="16">
        <f t="shared" si="58"/>
        <v>0</v>
      </c>
      <c r="F309" s="16">
        <f t="shared" si="59"/>
        <v>0</v>
      </c>
      <c r="G309" s="16">
        <f t="shared" si="60"/>
        <v>0</v>
      </c>
      <c r="H309" s="16">
        <f t="shared" si="61"/>
        <v>0</v>
      </c>
      <c r="I309" s="16">
        <f t="shared" si="62"/>
        <v>0</v>
      </c>
      <c r="J309" s="16">
        <f t="shared" si="63"/>
        <v>0</v>
      </c>
      <c r="K309" s="16">
        <f t="shared" si="64"/>
        <v>0</v>
      </c>
      <c r="L309" s="16">
        <f t="shared" si="65"/>
        <v>0</v>
      </c>
      <c r="M309" s="16">
        <f t="shared" si="66"/>
        <v>0</v>
      </c>
      <c r="N309" s="16">
        <f t="shared" si="67"/>
        <v>0</v>
      </c>
      <c r="O309" s="16">
        <f t="shared" si="68"/>
        <v>0</v>
      </c>
      <c r="P309" s="16" t="str">
        <f>+IF(AND(B309&gt;='Relevé de la Régularisation'!$C$9,B309&lt;='Relevé de la Régularisation'!$D$14),"OUI","NON")</f>
        <v>NON</v>
      </c>
      <c r="Q309" s="16" t="str">
        <f t="array" ref="Q309">IF(P309="OUI",MAX($Q$2:Q308)+1,"")</f>
        <v/>
      </c>
    </row>
    <row r="310" spans="1:17" x14ac:dyDescent="0.2">
      <c r="A310" s="453">
        <f t="shared" si="69"/>
        <v>51349</v>
      </c>
      <c r="B310" s="30">
        <v>51349</v>
      </c>
      <c r="C310" s="16">
        <f t="shared" si="56"/>
        <v>0</v>
      </c>
      <c r="D310" s="16">
        <f t="shared" si="57"/>
        <v>0</v>
      </c>
      <c r="E310" s="16">
        <f t="shared" si="58"/>
        <v>0</v>
      </c>
      <c r="F310" s="16">
        <f t="shared" si="59"/>
        <v>0</v>
      </c>
      <c r="G310" s="16">
        <f t="shared" si="60"/>
        <v>0</v>
      </c>
      <c r="H310" s="16">
        <f t="shared" si="61"/>
        <v>0</v>
      </c>
      <c r="I310" s="16">
        <f t="shared" si="62"/>
        <v>0</v>
      </c>
      <c r="J310" s="16">
        <f t="shared" si="63"/>
        <v>0</v>
      </c>
      <c r="K310" s="16">
        <f t="shared" si="64"/>
        <v>0</v>
      </c>
      <c r="L310" s="16">
        <f t="shared" si="65"/>
        <v>0</v>
      </c>
      <c r="M310" s="16">
        <f t="shared" si="66"/>
        <v>0</v>
      </c>
      <c r="N310" s="16">
        <f t="shared" si="67"/>
        <v>0</v>
      </c>
      <c r="O310" s="16">
        <f t="shared" si="68"/>
        <v>0</v>
      </c>
      <c r="P310" s="16" t="str">
        <f>+IF(AND(B310&gt;='Relevé de la Régularisation'!$C$9,B310&lt;='Relevé de la Régularisation'!$D$14),"OUI","NON")</f>
        <v>NON</v>
      </c>
      <c r="Q310" s="16" t="str">
        <f t="array" ref="Q310">IF(P310="OUI",MAX($Q$2:Q309)+1,"")</f>
        <v/>
      </c>
    </row>
    <row r="311" spans="1:17" x14ac:dyDescent="0.2">
      <c r="A311" s="453">
        <f t="shared" si="69"/>
        <v>51380</v>
      </c>
      <c r="B311" s="30">
        <v>51380</v>
      </c>
      <c r="C311" s="16">
        <f t="shared" si="56"/>
        <v>0</v>
      </c>
      <c r="D311" s="16">
        <f t="shared" si="57"/>
        <v>0</v>
      </c>
      <c r="E311" s="16">
        <f t="shared" si="58"/>
        <v>0</v>
      </c>
      <c r="F311" s="16">
        <f t="shared" si="59"/>
        <v>0</v>
      </c>
      <c r="G311" s="16">
        <f t="shared" si="60"/>
        <v>0</v>
      </c>
      <c r="H311" s="16">
        <f t="shared" si="61"/>
        <v>0</v>
      </c>
      <c r="I311" s="16">
        <f t="shared" si="62"/>
        <v>0</v>
      </c>
      <c r="J311" s="16">
        <f t="shared" si="63"/>
        <v>0</v>
      </c>
      <c r="K311" s="16">
        <f t="shared" si="64"/>
        <v>0</v>
      </c>
      <c r="L311" s="16">
        <f t="shared" si="65"/>
        <v>0</v>
      </c>
      <c r="M311" s="16">
        <f t="shared" si="66"/>
        <v>0</v>
      </c>
      <c r="N311" s="16">
        <f t="shared" si="67"/>
        <v>0</v>
      </c>
      <c r="O311" s="16">
        <f t="shared" si="68"/>
        <v>0</v>
      </c>
      <c r="P311" s="16" t="str">
        <f>+IF(AND(B311&gt;='Relevé de la Régularisation'!$C$9,B311&lt;='Relevé de la Régularisation'!$D$14),"OUI","NON")</f>
        <v>NON</v>
      </c>
      <c r="Q311" s="16" t="str">
        <f t="array" ref="Q311">IF(P311="OUI",MAX($Q$2:Q310)+1,"")</f>
        <v/>
      </c>
    </row>
    <row r="312" spans="1:17" x14ac:dyDescent="0.2">
      <c r="A312" s="453">
        <f t="shared" si="69"/>
        <v>51410</v>
      </c>
      <c r="B312" s="30">
        <v>51410</v>
      </c>
      <c r="C312" s="16">
        <f t="shared" si="56"/>
        <v>0</v>
      </c>
      <c r="D312" s="16">
        <f t="shared" si="57"/>
        <v>0</v>
      </c>
      <c r="E312" s="16">
        <f t="shared" si="58"/>
        <v>0</v>
      </c>
      <c r="F312" s="16">
        <f t="shared" si="59"/>
        <v>0</v>
      </c>
      <c r="G312" s="16">
        <f t="shared" si="60"/>
        <v>0</v>
      </c>
      <c r="H312" s="16">
        <f t="shared" si="61"/>
        <v>0</v>
      </c>
      <c r="I312" s="16">
        <f t="shared" si="62"/>
        <v>0</v>
      </c>
      <c r="J312" s="16">
        <f t="shared" si="63"/>
        <v>0</v>
      </c>
      <c r="K312" s="16">
        <f t="shared" si="64"/>
        <v>0</v>
      </c>
      <c r="L312" s="16">
        <f t="shared" si="65"/>
        <v>0</v>
      </c>
      <c r="M312" s="16">
        <f t="shared" si="66"/>
        <v>0</v>
      </c>
      <c r="N312" s="16">
        <f t="shared" si="67"/>
        <v>0</v>
      </c>
      <c r="O312" s="16">
        <f t="shared" si="68"/>
        <v>0</v>
      </c>
      <c r="P312" s="16" t="str">
        <f>+IF(AND(B312&gt;='Relevé de la Régularisation'!$C$9,B312&lt;='Relevé de la Régularisation'!$D$14),"OUI","NON")</f>
        <v>NON</v>
      </c>
      <c r="Q312" s="16" t="str">
        <f t="array" ref="Q312">IF(P312="OUI",MAX($Q$2:Q311)+1,"")</f>
        <v/>
      </c>
    </row>
    <row r="313" spans="1:17" x14ac:dyDescent="0.2">
      <c r="A313" s="453">
        <f t="shared" si="69"/>
        <v>51441</v>
      </c>
      <c r="B313" s="30">
        <v>51441</v>
      </c>
      <c r="C313" s="16">
        <f t="shared" si="56"/>
        <v>0</v>
      </c>
      <c r="D313" s="16">
        <f t="shared" si="57"/>
        <v>0</v>
      </c>
      <c r="E313" s="16">
        <f t="shared" si="58"/>
        <v>0</v>
      </c>
      <c r="F313" s="16">
        <f t="shared" si="59"/>
        <v>0</v>
      </c>
      <c r="G313" s="16">
        <f t="shared" si="60"/>
        <v>0</v>
      </c>
      <c r="H313" s="16">
        <f t="shared" si="61"/>
        <v>0</v>
      </c>
      <c r="I313" s="16">
        <f t="shared" si="62"/>
        <v>0</v>
      </c>
      <c r="J313" s="16">
        <f t="shared" si="63"/>
        <v>0</v>
      </c>
      <c r="K313" s="16">
        <f t="shared" si="64"/>
        <v>0</v>
      </c>
      <c r="L313" s="16">
        <f t="shared" si="65"/>
        <v>0</v>
      </c>
      <c r="M313" s="16">
        <f t="shared" si="66"/>
        <v>0</v>
      </c>
      <c r="N313" s="16">
        <f t="shared" si="67"/>
        <v>0</v>
      </c>
      <c r="O313" s="16">
        <f t="shared" si="68"/>
        <v>0</v>
      </c>
      <c r="P313" s="16" t="str">
        <f>+IF(AND(B313&gt;='Relevé de la Régularisation'!$C$9,B313&lt;='Relevé de la Régularisation'!$D$14),"OUI","NON")</f>
        <v>NON</v>
      </c>
      <c r="Q313" s="16" t="str">
        <f t="array" ref="Q313">IF(P313="OUI",MAX($Q$2:Q312)+1,"")</f>
        <v/>
      </c>
    </row>
    <row r="314" spans="1:17" x14ac:dyDescent="0.2">
      <c r="A314" s="453">
        <f t="shared" si="69"/>
        <v>51471</v>
      </c>
      <c r="B314" s="30">
        <v>51471</v>
      </c>
      <c r="C314" s="16">
        <f t="shared" si="56"/>
        <v>0</v>
      </c>
      <c r="D314" s="16">
        <f t="shared" si="57"/>
        <v>0</v>
      </c>
      <c r="E314" s="16">
        <f t="shared" si="58"/>
        <v>0</v>
      </c>
      <c r="F314" s="16">
        <f t="shared" si="59"/>
        <v>0</v>
      </c>
      <c r="G314" s="16">
        <f t="shared" si="60"/>
        <v>0</v>
      </c>
      <c r="H314" s="16">
        <f t="shared" si="61"/>
        <v>0</v>
      </c>
      <c r="I314" s="16">
        <f t="shared" si="62"/>
        <v>0</v>
      </c>
      <c r="J314" s="16">
        <f t="shared" si="63"/>
        <v>0</v>
      </c>
      <c r="K314" s="16">
        <f t="shared" si="64"/>
        <v>0</v>
      </c>
      <c r="L314" s="16">
        <f t="shared" si="65"/>
        <v>0</v>
      </c>
      <c r="M314" s="16">
        <f t="shared" si="66"/>
        <v>0</v>
      </c>
      <c r="N314" s="16">
        <f t="shared" si="67"/>
        <v>0</v>
      </c>
      <c r="O314" s="16">
        <f t="shared" si="68"/>
        <v>0</v>
      </c>
      <c r="P314" s="16" t="str">
        <f>+IF(AND(B314&gt;='Relevé de la Régularisation'!$C$9,B314&lt;='Relevé de la Régularisation'!$D$14),"OUI","NON")</f>
        <v>NON</v>
      </c>
      <c r="Q314" s="16" t="str">
        <f t="array" ref="Q314">IF(P314="OUI",MAX($Q$2:Q313)+1,"")</f>
        <v/>
      </c>
    </row>
    <row r="315" spans="1:17" x14ac:dyDescent="0.2">
      <c r="A315" s="453">
        <f t="shared" si="69"/>
        <v>51502</v>
      </c>
      <c r="B315" s="30">
        <v>51502</v>
      </c>
      <c r="C315" s="16">
        <f t="shared" si="56"/>
        <v>0</v>
      </c>
      <c r="D315" s="16">
        <f t="shared" si="57"/>
        <v>0</v>
      </c>
      <c r="E315" s="16">
        <f t="shared" si="58"/>
        <v>0</v>
      </c>
      <c r="F315" s="16">
        <f t="shared" si="59"/>
        <v>0</v>
      </c>
      <c r="G315" s="16">
        <f t="shared" si="60"/>
        <v>0</v>
      </c>
      <c r="H315" s="16">
        <f t="shared" si="61"/>
        <v>0</v>
      </c>
      <c r="I315" s="16">
        <f t="shared" si="62"/>
        <v>0</v>
      </c>
      <c r="J315" s="16">
        <f t="shared" si="63"/>
        <v>0</v>
      </c>
      <c r="K315" s="16">
        <f t="shared" si="64"/>
        <v>0</v>
      </c>
      <c r="L315" s="16">
        <f t="shared" si="65"/>
        <v>0</v>
      </c>
      <c r="M315" s="16">
        <f t="shared" si="66"/>
        <v>0</v>
      </c>
      <c r="N315" s="16">
        <f t="shared" si="67"/>
        <v>0</v>
      </c>
      <c r="O315" s="16">
        <f t="shared" si="68"/>
        <v>0</v>
      </c>
      <c r="P315" s="16" t="str">
        <f>+IF(AND(B315&gt;='Relevé de la Régularisation'!$C$9,B315&lt;='Relevé de la Régularisation'!$D$14),"OUI","NON")</f>
        <v>NON</v>
      </c>
      <c r="Q315" s="16" t="str">
        <f t="array" ref="Q315">IF(P315="OUI",MAX($Q$2:Q314)+1,"")</f>
        <v/>
      </c>
    </row>
    <row r="316" spans="1:17" x14ac:dyDescent="0.2">
      <c r="A316" s="453">
        <f t="shared" si="69"/>
        <v>51533</v>
      </c>
      <c r="B316" s="30">
        <v>51533</v>
      </c>
      <c r="C316" s="16">
        <f t="shared" si="56"/>
        <v>0</v>
      </c>
      <c r="D316" s="16">
        <f t="shared" si="57"/>
        <v>0</v>
      </c>
      <c r="E316" s="16">
        <f t="shared" si="58"/>
        <v>0</v>
      </c>
      <c r="F316" s="16">
        <f t="shared" si="59"/>
        <v>0</v>
      </c>
      <c r="G316" s="16">
        <f t="shared" si="60"/>
        <v>0</v>
      </c>
      <c r="H316" s="16">
        <f t="shared" si="61"/>
        <v>0</v>
      </c>
      <c r="I316" s="16">
        <f t="shared" si="62"/>
        <v>0</v>
      </c>
      <c r="J316" s="16">
        <f t="shared" si="63"/>
        <v>0</v>
      </c>
      <c r="K316" s="16">
        <f t="shared" si="64"/>
        <v>0</v>
      </c>
      <c r="L316" s="16">
        <f t="shared" si="65"/>
        <v>0</v>
      </c>
      <c r="M316" s="16">
        <f t="shared" si="66"/>
        <v>0</v>
      </c>
      <c r="N316" s="16">
        <f t="shared" si="67"/>
        <v>0</v>
      </c>
      <c r="O316" s="16">
        <f t="shared" si="68"/>
        <v>0</v>
      </c>
      <c r="P316" s="16" t="str">
        <f>+IF(AND(B316&gt;='Relevé de la Régularisation'!$C$9,B316&lt;='Relevé de la Régularisation'!$D$14),"OUI","NON")</f>
        <v>NON</v>
      </c>
      <c r="Q316" s="16" t="str">
        <f t="array" ref="Q316">IF(P316="OUI",MAX($Q$2:Q315)+1,"")</f>
        <v/>
      </c>
    </row>
    <row r="317" spans="1:17" x14ac:dyDescent="0.2">
      <c r="A317" s="453">
        <f t="shared" si="69"/>
        <v>51561</v>
      </c>
      <c r="B317" s="30">
        <v>51561</v>
      </c>
      <c r="C317" s="16">
        <f t="shared" si="56"/>
        <v>0</v>
      </c>
      <c r="D317" s="16">
        <f t="shared" si="57"/>
        <v>0</v>
      </c>
      <c r="E317" s="16">
        <f t="shared" si="58"/>
        <v>0</v>
      </c>
      <c r="F317" s="16">
        <f t="shared" si="59"/>
        <v>0</v>
      </c>
      <c r="G317" s="16">
        <f t="shared" si="60"/>
        <v>0</v>
      </c>
      <c r="H317" s="16">
        <f t="shared" si="61"/>
        <v>0</v>
      </c>
      <c r="I317" s="16">
        <f t="shared" si="62"/>
        <v>0</v>
      </c>
      <c r="J317" s="16">
        <f t="shared" si="63"/>
        <v>0</v>
      </c>
      <c r="K317" s="16">
        <f t="shared" si="64"/>
        <v>0</v>
      </c>
      <c r="L317" s="16">
        <f t="shared" si="65"/>
        <v>0</v>
      </c>
      <c r="M317" s="16">
        <f t="shared" si="66"/>
        <v>0</v>
      </c>
      <c r="N317" s="16">
        <f t="shared" si="67"/>
        <v>0</v>
      </c>
      <c r="O317" s="16">
        <f t="shared" si="68"/>
        <v>0</v>
      </c>
      <c r="P317" s="16" t="str">
        <f>+IF(AND(B317&gt;='Relevé de la Régularisation'!$C$9,B317&lt;='Relevé de la Régularisation'!$D$14),"OUI","NON")</f>
        <v>NON</v>
      </c>
      <c r="Q317" s="16" t="str">
        <f t="array" ref="Q317">IF(P317="OUI",MAX($Q$2:Q316)+1,"")</f>
        <v/>
      </c>
    </row>
    <row r="318" spans="1:17" x14ac:dyDescent="0.2">
      <c r="A318" s="453">
        <f t="shared" si="69"/>
        <v>51592</v>
      </c>
      <c r="B318" s="30">
        <v>51592</v>
      </c>
      <c r="C318" s="16">
        <f t="shared" si="56"/>
        <v>0</v>
      </c>
      <c r="D318" s="16">
        <f t="shared" si="57"/>
        <v>0</v>
      </c>
      <c r="E318" s="16">
        <f t="shared" si="58"/>
        <v>0</v>
      </c>
      <c r="F318" s="16">
        <f t="shared" si="59"/>
        <v>0</v>
      </c>
      <c r="G318" s="16">
        <f t="shared" si="60"/>
        <v>0</v>
      </c>
      <c r="H318" s="16">
        <f t="shared" si="61"/>
        <v>0</v>
      </c>
      <c r="I318" s="16">
        <f t="shared" si="62"/>
        <v>0</v>
      </c>
      <c r="J318" s="16">
        <f t="shared" si="63"/>
        <v>0</v>
      </c>
      <c r="K318" s="16">
        <f t="shared" si="64"/>
        <v>0</v>
      </c>
      <c r="L318" s="16">
        <f t="shared" si="65"/>
        <v>0</v>
      </c>
      <c r="M318" s="16">
        <f t="shared" si="66"/>
        <v>0</v>
      </c>
      <c r="N318" s="16">
        <f t="shared" si="67"/>
        <v>0</v>
      </c>
      <c r="O318" s="16">
        <f t="shared" si="68"/>
        <v>0</v>
      </c>
      <c r="P318" s="16" t="str">
        <f>+IF(AND(B318&gt;='Relevé de la Régularisation'!$C$9,B318&lt;='Relevé de la Régularisation'!$D$14),"OUI","NON")</f>
        <v>NON</v>
      </c>
      <c r="Q318" s="16" t="str">
        <f t="array" ref="Q318">IF(P318="OUI",MAX($Q$2:Q317)+1,"")</f>
        <v/>
      </c>
    </row>
    <row r="319" spans="1:17" x14ac:dyDescent="0.2">
      <c r="A319" s="453">
        <f t="shared" si="69"/>
        <v>51622</v>
      </c>
      <c r="B319" s="30">
        <v>51622</v>
      </c>
      <c r="C319" s="16">
        <f t="shared" si="56"/>
        <v>0</v>
      </c>
      <c r="D319" s="16">
        <f t="shared" si="57"/>
        <v>0</v>
      </c>
      <c r="E319" s="16">
        <f t="shared" si="58"/>
        <v>0</v>
      </c>
      <c r="F319" s="16">
        <f t="shared" si="59"/>
        <v>0</v>
      </c>
      <c r="G319" s="16">
        <f t="shared" si="60"/>
        <v>0</v>
      </c>
      <c r="H319" s="16">
        <f t="shared" si="61"/>
        <v>0</v>
      </c>
      <c r="I319" s="16">
        <f t="shared" si="62"/>
        <v>0</v>
      </c>
      <c r="J319" s="16">
        <f t="shared" si="63"/>
        <v>0</v>
      </c>
      <c r="K319" s="16">
        <f t="shared" si="64"/>
        <v>0</v>
      </c>
      <c r="L319" s="16">
        <f t="shared" si="65"/>
        <v>0</v>
      </c>
      <c r="M319" s="16">
        <f t="shared" si="66"/>
        <v>0</v>
      </c>
      <c r="N319" s="16">
        <f t="shared" si="67"/>
        <v>0</v>
      </c>
      <c r="O319" s="16">
        <f t="shared" si="68"/>
        <v>0</v>
      </c>
      <c r="P319" s="16" t="str">
        <f>+IF(AND(B319&gt;='Relevé de la Régularisation'!$C$9,B319&lt;='Relevé de la Régularisation'!$D$14),"OUI","NON")</f>
        <v>NON</v>
      </c>
      <c r="Q319" s="16" t="str">
        <f t="array" ref="Q319">IF(P319="OUI",MAX($Q$2:Q318)+1,"")</f>
        <v/>
      </c>
    </row>
    <row r="320" spans="1:17" x14ac:dyDescent="0.2">
      <c r="A320" s="453">
        <f t="shared" si="69"/>
        <v>51653</v>
      </c>
      <c r="B320" s="30">
        <v>51653</v>
      </c>
      <c r="C320" s="16">
        <f t="shared" si="56"/>
        <v>0</v>
      </c>
      <c r="D320" s="16">
        <f t="shared" si="57"/>
        <v>0</v>
      </c>
      <c r="E320" s="16">
        <f t="shared" si="58"/>
        <v>0</v>
      </c>
      <c r="F320" s="16">
        <f t="shared" si="59"/>
        <v>0</v>
      </c>
      <c r="G320" s="16">
        <f t="shared" si="60"/>
        <v>0</v>
      </c>
      <c r="H320" s="16">
        <f t="shared" si="61"/>
        <v>0</v>
      </c>
      <c r="I320" s="16">
        <f t="shared" si="62"/>
        <v>0</v>
      </c>
      <c r="J320" s="16">
        <f t="shared" si="63"/>
        <v>0</v>
      </c>
      <c r="K320" s="16">
        <f t="shared" si="64"/>
        <v>0</v>
      </c>
      <c r="L320" s="16">
        <f t="shared" si="65"/>
        <v>0</v>
      </c>
      <c r="M320" s="16">
        <f t="shared" si="66"/>
        <v>0</v>
      </c>
      <c r="N320" s="16">
        <f t="shared" si="67"/>
        <v>0</v>
      </c>
      <c r="O320" s="16">
        <f t="shared" si="68"/>
        <v>0</v>
      </c>
      <c r="P320" s="16" t="str">
        <f>+IF(AND(B320&gt;='Relevé de la Régularisation'!$C$9,B320&lt;='Relevé de la Régularisation'!$D$14),"OUI","NON")</f>
        <v>NON</v>
      </c>
      <c r="Q320" s="16" t="str">
        <f t="array" ref="Q320">IF(P320="OUI",MAX($Q$2:Q319)+1,"")</f>
        <v/>
      </c>
    </row>
    <row r="321" spans="1:17" x14ac:dyDescent="0.2">
      <c r="A321" s="453">
        <f t="shared" si="69"/>
        <v>51683</v>
      </c>
      <c r="B321" s="30">
        <v>51683</v>
      </c>
      <c r="C321" s="16">
        <f t="shared" si="56"/>
        <v>0</v>
      </c>
      <c r="D321" s="16">
        <f t="shared" si="57"/>
        <v>0</v>
      </c>
      <c r="E321" s="16">
        <f t="shared" si="58"/>
        <v>0</v>
      </c>
      <c r="F321" s="16">
        <f t="shared" si="59"/>
        <v>0</v>
      </c>
      <c r="G321" s="16">
        <f t="shared" si="60"/>
        <v>0</v>
      </c>
      <c r="H321" s="16">
        <f t="shared" si="61"/>
        <v>0</v>
      </c>
      <c r="I321" s="16">
        <f t="shared" si="62"/>
        <v>0</v>
      </c>
      <c r="J321" s="16">
        <f t="shared" si="63"/>
        <v>0</v>
      </c>
      <c r="K321" s="16">
        <f t="shared" si="64"/>
        <v>0</v>
      </c>
      <c r="L321" s="16">
        <f t="shared" si="65"/>
        <v>0</v>
      </c>
      <c r="M321" s="16">
        <f t="shared" si="66"/>
        <v>0</v>
      </c>
      <c r="N321" s="16">
        <f t="shared" si="67"/>
        <v>0</v>
      </c>
      <c r="O321" s="16">
        <f t="shared" si="68"/>
        <v>0</v>
      </c>
      <c r="P321" s="16" t="str">
        <f>+IF(AND(B321&gt;='Relevé de la Régularisation'!$C$9,B321&lt;='Relevé de la Régularisation'!$D$14),"OUI","NON")</f>
        <v>NON</v>
      </c>
      <c r="Q321" s="16" t="str">
        <f t="array" ref="Q321">IF(P321="OUI",MAX($Q$2:Q320)+1,"")</f>
        <v/>
      </c>
    </row>
    <row r="322" spans="1:17" x14ac:dyDescent="0.2">
      <c r="A322" s="453">
        <f t="shared" si="69"/>
        <v>51714</v>
      </c>
      <c r="B322" s="30">
        <v>51714</v>
      </c>
      <c r="C322" s="16">
        <f t="shared" si="56"/>
        <v>0</v>
      </c>
      <c r="D322" s="16">
        <f t="shared" si="57"/>
        <v>0</v>
      </c>
      <c r="E322" s="16">
        <f t="shared" si="58"/>
        <v>0</v>
      </c>
      <c r="F322" s="16">
        <f t="shared" si="59"/>
        <v>0</v>
      </c>
      <c r="G322" s="16">
        <f t="shared" si="60"/>
        <v>0</v>
      </c>
      <c r="H322" s="16">
        <f t="shared" si="61"/>
        <v>0</v>
      </c>
      <c r="I322" s="16">
        <f t="shared" si="62"/>
        <v>0</v>
      </c>
      <c r="J322" s="16">
        <f t="shared" si="63"/>
        <v>0</v>
      </c>
      <c r="K322" s="16">
        <f t="shared" si="64"/>
        <v>0</v>
      </c>
      <c r="L322" s="16">
        <f t="shared" si="65"/>
        <v>0</v>
      </c>
      <c r="M322" s="16">
        <f t="shared" si="66"/>
        <v>0</v>
      </c>
      <c r="N322" s="16">
        <f t="shared" si="67"/>
        <v>0</v>
      </c>
      <c r="O322" s="16">
        <f t="shared" si="68"/>
        <v>0</v>
      </c>
      <c r="P322" s="16" t="str">
        <f>+IF(AND(B322&gt;='Relevé de la Régularisation'!$C$9,B322&lt;='Relevé de la Régularisation'!$D$14),"OUI","NON")</f>
        <v>NON</v>
      </c>
      <c r="Q322" s="16" t="str">
        <f t="array" ref="Q322">IF(P322="OUI",MAX($Q$2:Q321)+1,"")</f>
        <v/>
      </c>
    </row>
    <row r="323" spans="1:17" x14ac:dyDescent="0.2">
      <c r="A323" s="453">
        <f t="shared" si="69"/>
        <v>51745</v>
      </c>
      <c r="B323" s="30">
        <v>51745</v>
      </c>
      <c r="C323" s="16">
        <f t="shared" ref="C323:C386" si="70">IFERROR(+VLOOKUP(B323,BDD,41,FALSE),0)</f>
        <v>0</v>
      </c>
      <c r="D323" s="16">
        <f t="shared" ref="D323:D386" si="71">IFERROR(+VLOOKUP(B323,BDD,42,FALSE),0)</f>
        <v>0</v>
      </c>
      <c r="E323" s="16">
        <f t="shared" ref="E323:E386" si="72">IFERROR(+VLOOKUP(B323,BDD,43,FALSE),0)</f>
        <v>0</v>
      </c>
      <c r="F323" s="16">
        <f t="shared" ref="F323:F386" si="73">IFERROR(+VLOOKUP(B323,BDD,44,FALSE),0)</f>
        <v>0</v>
      </c>
      <c r="G323" s="16">
        <f t="shared" ref="G323:G386" si="74">IFERROR(+VLOOKUP(B323,BDD,45,FALSE),0)</f>
        <v>0</v>
      </c>
      <c r="H323" s="16">
        <f t="shared" ref="H323:H386" si="75">IFERROR(+VLOOKUP(B323,BDD,46,FALSE),0)</f>
        <v>0</v>
      </c>
      <c r="I323" s="16">
        <f t="shared" ref="I323:I386" si="76">IFERROR(+VLOOKUP(B323,BDD,47,FALSE),0)</f>
        <v>0</v>
      </c>
      <c r="J323" s="16">
        <f t="shared" ref="J323:J386" si="77">IFERROR(+VLOOKUP(B323,BDD,48,FALSE),0)</f>
        <v>0</v>
      </c>
      <c r="K323" s="16">
        <f t="shared" ref="K323:K386" si="78">IFERROR(+VLOOKUP(B323,BDD,49,FALSE),0)</f>
        <v>0</v>
      </c>
      <c r="L323" s="16">
        <f t="shared" ref="L323:L386" si="79">IFERROR(+VLOOKUP(B323,BDD,50,FALSE),0)</f>
        <v>0</v>
      </c>
      <c r="M323" s="16">
        <f t="shared" ref="M323:M386" si="80">IFERROR(+VLOOKUP(B323,BDD,51,FALSE),0)</f>
        <v>0</v>
      </c>
      <c r="N323" s="16">
        <f t="shared" ref="N323:N386" si="81">IFERROR(+VLOOKUP(B323,BDD,22,FALSE),0)</f>
        <v>0</v>
      </c>
      <c r="O323" s="16">
        <f t="shared" ref="O323:O386" si="82">IFERROR(+VLOOKUP(B323,BDD,101,FALSE),0)</f>
        <v>0</v>
      </c>
      <c r="P323" s="16" t="str">
        <f>+IF(AND(B323&gt;='Relevé de la Régularisation'!$C$9,B323&lt;='Relevé de la Régularisation'!$D$14),"OUI","NON")</f>
        <v>NON</v>
      </c>
      <c r="Q323" s="16" t="str">
        <f t="array" ref="Q323">IF(P323="OUI",MAX($Q$2:Q322)+1,"")</f>
        <v/>
      </c>
    </row>
    <row r="324" spans="1:17" x14ac:dyDescent="0.2">
      <c r="A324" s="453">
        <f t="shared" ref="A324:A387" si="83">+B324</f>
        <v>51775</v>
      </c>
      <c r="B324" s="30">
        <v>51775</v>
      </c>
      <c r="C324" s="16">
        <f t="shared" si="70"/>
        <v>0</v>
      </c>
      <c r="D324" s="16">
        <f t="shared" si="71"/>
        <v>0</v>
      </c>
      <c r="E324" s="16">
        <f t="shared" si="72"/>
        <v>0</v>
      </c>
      <c r="F324" s="16">
        <f t="shared" si="73"/>
        <v>0</v>
      </c>
      <c r="G324" s="16">
        <f t="shared" si="74"/>
        <v>0</v>
      </c>
      <c r="H324" s="16">
        <f t="shared" si="75"/>
        <v>0</v>
      </c>
      <c r="I324" s="16">
        <f t="shared" si="76"/>
        <v>0</v>
      </c>
      <c r="J324" s="16">
        <f t="shared" si="77"/>
        <v>0</v>
      </c>
      <c r="K324" s="16">
        <f t="shared" si="78"/>
        <v>0</v>
      </c>
      <c r="L324" s="16">
        <f t="shared" si="79"/>
        <v>0</v>
      </c>
      <c r="M324" s="16">
        <f t="shared" si="80"/>
        <v>0</v>
      </c>
      <c r="N324" s="16">
        <f t="shared" si="81"/>
        <v>0</v>
      </c>
      <c r="O324" s="16">
        <f t="shared" si="82"/>
        <v>0</v>
      </c>
      <c r="P324" s="16" t="str">
        <f>+IF(AND(B324&gt;='Relevé de la Régularisation'!$C$9,B324&lt;='Relevé de la Régularisation'!$D$14),"OUI","NON")</f>
        <v>NON</v>
      </c>
      <c r="Q324" s="16" t="str">
        <f t="array" ref="Q324">IF(P324="OUI",MAX($Q$2:Q323)+1,"")</f>
        <v/>
      </c>
    </row>
    <row r="325" spans="1:17" x14ac:dyDescent="0.2">
      <c r="A325" s="453">
        <f t="shared" si="83"/>
        <v>51806</v>
      </c>
      <c r="B325" s="30">
        <v>51806</v>
      </c>
      <c r="C325" s="16">
        <f t="shared" si="70"/>
        <v>0</v>
      </c>
      <c r="D325" s="16">
        <f t="shared" si="71"/>
        <v>0</v>
      </c>
      <c r="E325" s="16">
        <f t="shared" si="72"/>
        <v>0</v>
      </c>
      <c r="F325" s="16">
        <f t="shared" si="73"/>
        <v>0</v>
      </c>
      <c r="G325" s="16">
        <f t="shared" si="74"/>
        <v>0</v>
      </c>
      <c r="H325" s="16">
        <f t="shared" si="75"/>
        <v>0</v>
      </c>
      <c r="I325" s="16">
        <f t="shared" si="76"/>
        <v>0</v>
      </c>
      <c r="J325" s="16">
        <f t="shared" si="77"/>
        <v>0</v>
      </c>
      <c r="K325" s="16">
        <f t="shared" si="78"/>
        <v>0</v>
      </c>
      <c r="L325" s="16">
        <f t="shared" si="79"/>
        <v>0</v>
      </c>
      <c r="M325" s="16">
        <f t="shared" si="80"/>
        <v>0</v>
      </c>
      <c r="N325" s="16">
        <f t="shared" si="81"/>
        <v>0</v>
      </c>
      <c r="O325" s="16">
        <f t="shared" si="82"/>
        <v>0</v>
      </c>
      <c r="P325" s="16" t="str">
        <f>+IF(AND(B325&gt;='Relevé de la Régularisation'!$C$9,B325&lt;='Relevé de la Régularisation'!$D$14),"OUI","NON")</f>
        <v>NON</v>
      </c>
      <c r="Q325" s="16" t="str">
        <f t="array" ref="Q325">IF(P325="OUI",MAX($Q$2:Q324)+1,"")</f>
        <v/>
      </c>
    </row>
    <row r="326" spans="1:17" x14ac:dyDescent="0.2">
      <c r="A326" s="453">
        <f t="shared" si="83"/>
        <v>51836</v>
      </c>
      <c r="B326" s="30">
        <v>51836</v>
      </c>
      <c r="C326" s="16">
        <f t="shared" si="70"/>
        <v>0</v>
      </c>
      <c r="D326" s="16">
        <f t="shared" si="71"/>
        <v>0</v>
      </c>
      <c r="E326" s="16">
        <f t="shared" si="72"/>
        <v>0</v>
      </c>
      <c r="F326" s="16">
        <f t="shared" si="73"/>
        <v>0</v>
      </c>
      <c r="G326" s="16">
        <f t="shared" si="74"/>
        <v>0</v>
      </c>
      <c r="H326" s="16">
        <f t="shared" si="75"/>
        <v>0</v>
      </c>
      <c r="I326" s="16">
        <f t="shared" si="76"/>
        <v>0</v>
      </c>
      <c r="J326" s="16">
        <f t="shared" si="77"/>
        <v>0</v>
      </c>
      <c r="K326" s="16">
        <f t="shared" si="78"/>
        <v>0</v>
      </c>
      <c r="L326" s="16">
        <f t="shared" si="79"/>
        <v>0</v>
      </c>
      <c r="M326" s="16">
        <f t="shared" si="80"/>
        <v>0</v>
      </c>
      <c r="N326" s="16">
        <f t="shared" si="81"/>
        <v>0</v>
      </c>
      <c r="O326" s="16">
        <f t="shared" si="82"/>
        <v>0</v>
      </c>
      <c r="P326" s="16" t="str">
        <f>+IF(AND(B326&gt;='Relevé de la Régularisation'!$C$9,B326&lt;='Relevé de la Régularisation'!$D$14),"OUI","NON")</f>
        <v>NON</v>
      </c>
      <c r="Q326" s="16" t="str">
        <f t="array" ref="Q326">IF(P326="OUI",MAX($Q$2:Q325)+1,"")</f>
        <v/>
      </c>
    </row>
    <row r="327" spans="1:17" x14ac:dyDescent="0.2">
      <c r="A327" s="453">
        <f t="shared" si="83"/>
        <v>51867</v>
      </c>
      <c r="B327" s="30">
        <v>51867</v>
      </c>
      <c r="C327" s="16">
        <f t="shared" si="70"/>
        <v>0</v>
      </c>
      <c r="D327" s="16">
        <f t="shared" si="71"/>
        <v>0</v>
      </c>
      <c r="E327" s="16">
        <f t="shared" si="72"/>
        <v>0</v>
      </c>
      <c r="F327" s="16">
        <f t="shared" si="73"/>
        <v>0</v>
      </c>
      <c r="G327" s="16">
        <f t="shared" si="74"/>
        <v>0</v>
      </c>
      <c r="H327" s="16">
        <f t="shared" si="75"/>
        <v>0</v>
      </c>
      <c r="I327" s="16">
        <f t="shared" si="76"/>
        <v>0</v>
      </c>
      <c r="J327" s="16">
        <f t="shared" si="77"/>
        <v>0</v>
      </c>
      <c r="K327" s="16">
        <f t="shared" si="78"/>
        <v>0</v>
      </c>
      <c r="L327" s="16">
        <f t="shared" si="79"/>
        <v>0</v>
      </c>
      <c r="M327" s="16">
        <f t="shared" si="80"/>
        <v>0</v>
      </c>
      <c r="N327" s="16">
        <f t="shared" si="81"/>
        <v>0</v>
      </c>
      <c r="O327" s="16">
        <f t="shared" si="82"/>
        <v>0</v>
      </c>
      <c r="P327" s="16" t="str">
        <f>+IF(AND(B327&gt;='Relevé de la Régularisation'!$C$9,B327&lt;='Relevé de la Régularisation'!$D$14),"OUI","NON")</f>
        <v>NON</v>
      </c>
      <c r="Q327" s="16" t="str">
        <f t="array" ref="Q327">IF(P327="OUI",MAX($Q$2:Q326)+1,"")</f>
        <v/>
      </c>
    </row>
    <row r="328" spans="1:17" x14ac:dyDescent="0.2">
      <c r="A328" s="453">
        <f t="shared" si="83"/>
        <v>51898</v>
      </c>
      <c r="B328" s="30">
        <v>51898</v>
      </c>
      <c r="C328" s="16">
        <f t="shared" si="70"/>
        <v>0</v>
      </c>
      <c r="D328" s="16">
        <f t="shared" si="71"/>
        <v>0</v>
      </c>
      <c r="E328" s="16">
        <f t="shared" si="72"/>
        <v>0</v>
      </c>
      <c r="F328" s="16">
        <f t="shared" si="73"/>
        <v>0</v>
      </c>
      <c r="G328" s="16">
        <f t="shared" si="74"/>
        <v>0</v>
      </c>
      <c r="H328" s="16">
        <f t="shared" si="75"/>
        <v>0</v>
      </c>
      <c r="I328" s="16">
        <f t="shared" si="76"/>
        <v>0</v>
      </c>
      <c r="J328" s="16">
        <f t="shared" si="77"/>
        <v>0</v>
      </c>
      <c r="K328" s="16">
        <f t="shared" si="78"/>
        <v>0</v>
      </c>
      <c r="L328" s="16">
        <f t="shared" si="79"/>
        <v>0</v>
      </c>
      <c r="M328" s="16">
        <f t="shared" si="80"/>
        <v>0</v>
      </c>
      <c r="N328" s="16">
        <f t="shared" si="81"/>
        <v>0</v>
      </c>
      <c r="O328" s="16">
        <f t="shared" si="82"/>
        <v>0</v>
      </c>
      <c r="P328" s="16" t="str">
        <f>+IF(AND(B328&gt;='Relevé de la Régularisation'!$C$9,B328&lt;='Relevé de la Régularisation'!$D$14),"OUI","NON")</f>
        <v>NON</v>
      </c>
      <c r="Q328" s="16" t="str">
        <f t="array" ref="Q328">IF(P328="OUI",MAX($Q$2:Q327)+1,"")</f>
        <v/>
      </c>
    </row>
    <row r="329" spans="1:17" x14ac:dyDescent="0.2">
      <c r="A329" s="453">
        <f t="shared" si="83"/>
        <v>51926</v>
      </c>
      <c r="B329" s="30">
        <v>51926</v>
      </c>
      <c r="C329" s="16">
        <f t="shared" si="70"/>
        <v>0</v>
      </c>
      <c r="D329" s="16">
        <f t="shared" si="71"/>
        <v>0</v>
      </c>
      <c r="E329" s="16">
        <f t="shared" si="72"/>
        <v>0</v>
      </c>
      <c r="F329" s="16">
        <f t="shared" si="73"/>
        <v>0</v>
      </c>
      <c r="G329" s="16">
        <f t="shared" si="74"/>
        <v>0</v>
      </c>
      <c r="H329" s="16">
        <f t="shared" si="75"/>
        <v>0</v>
      </c>
      <c r="I329" s="16">
        <f t="shared" si="76"/>
        <v>0</v>
      </c>
      <c r="J329" s="16">
        <f t="shared" si="77"/>
        <v>0</v>
      </c>
      <c r="K329" s="16">
        <f t="shared" si="78"/>
        <v>0</v>
      </c>
      <c r="L329" s="16">
        <f t="shared" si="79"/>
        <v>0</v>
      </c>
      <c r="M329" s="16">
        <f t="shared" si="80"/>
        <v>0</v>
      </c>
      <c r="N329" s="16">
        <f t="shared" si="81"/>
        <v>0</v>
      </c>
      <c r="O329" s="16">
        <f t="shared" si="82"/>
        <v>0</v>
      </c>
      <c r="P329" s="16" t="str">
        <f>+IF(AND(B329&gt;='Relevé de la Régularisation'!$C$9,B329&lt;='Relevé de la Régularisation'!$D$14),"OUI","NON")</f>
        <v>NON</v>
      </c>
      <c r="Q329" s="16" t="str">
        <f t="array" ref="Q329">IF(P329="OUI",MAX($Q$2:Q328)+1,"")</f>
        <v/>
      </c>
    </row>
    <row r="330" spans="1:17" x14ac:dyDescent="0.2">
      <c r="A330" s="453">
        <f t="shared" si="83"/>
        <v>51957</v>
      </c>
      <c r="B330" s="30">
        <v>51957</v>
      </c>
      <c r="C330" s="16">
        <f t="shared" si="70"/>
        <v>0</v>
      </c>
      <c r="D330" s="16">
        <f t="shared" si="71"/>
        <v>0</v>
      </c>
      <c r="E330" s="16">
        <f t="shared" si="72"/>
        <v>0</v>
      </c>
      <c r="F330" s="16">
        <f t="shared" si="73"/>
        <v>0</v>
      </c>
      <c r="G330" s="16">
        <f t="shared" si="74"/>
        <v>0</v>
      </c>
      <c r="H330" s="16">
        <f t="shared" si="75"/>
        <v>0</v>
      </c>
      <c r="I330" s="16">
        <f t="shared" si="76"/>
        <v>0</v>
      </c>
      <c r="J330" s="16">
        <f t="shared" si="77"/>
        <v>0</v>
      </c>
      <c r="K330" s="16">
        <f t="shared" si="78"/>
        <v>0</v>
      </c>
      <c r="L330" s="16">
        <f t="shared" si="79"/>
        <v>0</v>
      </c>
      <c r="M330" s="16">
        <f t="shared" si="80"/>
        <v>0</v>
      </c>
      <c r="N330" s="16">
        <f t="shared" si="81"/>
        <v>0</v>
      </c>
      <c r="O330" s="16">
        <f t="shared" si="82"/>
        <v>0</v>
      </c>
      <c r="P330" s="16" t="str">
        <f>+IF(AND(B330&gt;='Relevé de la Régularisation'!$C$9,B330&lt;='Relevé de la Régularisation'!$D$14),"OUI","NON")</f>
        <v>NON</v>
      </c>
      <c r="Q330" s="16" t="str">
        <f t="array" ref="Q330">IF(P330="OUI",MAX($Q$2:Q329)+1,"")</f>
        <v/>
      </c>
    </row>
    <row r="331" spans="1:17" x14ac:dyDescent="0.2">
      <c r="A331" s="453">
        <f t="shared" si="83"/>
        <v>51987</v>
      </c>
      <c r="B331" s="30">
        <v>51987</v>
      </c>
      <c r="C331" s="16">
        <f t="shared" si="70"/>
        <v>0</v>
      </c>
      <c r="D331" s="16">
        <f t="shared" si="71"/>
        <v>0</v>
      </c>
      <c r="E331" s="16">
        <f t="shared" si="72"/>
        <v>0</v>
      </c>
      <c r="F331" s="16">
        <f t="shared" si="73"/>
        <v>0</v>
      </c>
      <c r="G331" s="16">
        <f t="shared" si="74"/>
        <v>0</v>
      </c>
      <c r="H331" s="16">
        <f t="shared" si="75"/>
        <v>0</v>
      </c>
      <c r="I331" s="16">
        <f t="shared" si="76"/>
        <v>0</v>
      </c>
      <c r="J331" s="16">
        <f t="shared" si="77"/>
        <v>0</v>
      </c>
      <c r="K331" s="16">
        <f t="shared" si="78"/>
        <v>0</v>
      </c>
      <c r="L331" s="16">
        <f t="shared" si="79"/>
        <v>0</v>
      </c>
      <c r="M331" s="16">
        <f t="shared" si="80"/>
        <v>0</v>
      </c>
      <c r="N331" s="16">
        <f t="shared" si="81"/>
        <v>0</v>
      </c>
      <c r="O331" s="16">
        <f t="shared" si="82"/>
        <v>0</v>
      </c>
      <c r="P331" s="16" t="str">
        <f>+IF(AND(B331&gt;='Relevé de la Régularisation'!$C$9,B331&lt;='Relevé de la Régularisation'!$D$14),"OUI","NON")</f>
        <v>NON</v>
      </c>
      <c r="Q331" s="16" t="str">
        <f t="array" ref="Q331">IF(P331="OUI",MAX($Q$2:Q330)+1,"")</f>
        <v/>
      </c>
    </row>
    <row r="332" spans="1:17" x14ac:dyDescent="0.2">
      <c r="A332" s="453">
        <f t="shared" si="83"/>
        <v>52018</v>
      </c>
      <c r="B332" s="30">
        <v>52018</v>
      </c>
      <c r="C332" s="16">
        <f t="shared" si="70"/>
        <v>0</v>
      </c>
      <c r="D332" s="16">
        <f t="shared" si="71"/>
        <v>0</v>
      </c>
      <c r="E332" s="16">
        <f t="shared" si="72"/>
        <v>0</v>
      </c>
      <c r="F332" s="16">
        <f t="shared" si="73"/>
        <v>0</v>
      </c>
      <c r="G332" s="16">
        <f t="shared" si="74"/>
        <v>0</v>
      </c>
      <c r="H332" s="16">
        <f t="shared" si="75"/>
        <v>0</v>
      </c>
      <c r="I332" s="16">
        <f t="shared" si="76"/>
        <v>0</v>
      </c>
      <c r="J332" s="16">
        <f t="shared" si="77"/>
        <v>0</v>
      </c>
      <c r="K332" s="16">
        <f t="shared" si="78"/>
        <v>0</v>
      </c>
      <c r="L332" s="16">
        <f t="shared" si="79"/>
        <v>0</v>
      </c>
      <c r="M332" s="16">
        <f t="shared" si="80"/>
        <v>0</v>
      </c>
      <c r="N332" s="16">
        <f t="shared" si="81"/>
        <v>0</v>
      </c>
      <c r="O332" s="16">
        <f t="shared" si="82"/>
        <v>0</v>
      </c>
      <c r="P332" s="16" t="str">
        <f>+IF(AND(B332&gt;='Relevé de la Régularisation'!$C$9,B332&lt;='Relevé de la Régularisation'!$D$14),"OUI","NON")</f>
        <v>NON</v>
      </c>
      <c r="Q332" s="16" t="str">
        <f t="array" ref="Q332">IF(P332="OUI",MAX($Q$2:Q331)+1,"")</f>
        <v/>
      </c>
    </row>
    <row r="333" spans="1:17" x14ac:dyDescent="0.2">
      <c r="A333" s="453">
        <f t="shared" si="83"/>
        <v>52048</v>
      </c>
      <c r="B333" s="30">
        <v>52048</v>
      </c>
      <c r="C333" s="16">
        <f t="shared" si="70"/>
        <v>0</v>
      </c>
      <c r="D333" s="16">
        <f t="shared" si="71"/>
        <v>0</v>
      </c>
      <c r="E333" s="16">
        <f t="shared" si="72"/>
        <v>0</v>
      </c>
      <c r="F333" s="16">
        <f t="shared" si="73"/>
        <v>0</v>
      </c>
      <c r="G333" s="16">
        <f t="shared" si="74"/>
        <v>0</v>
      </c>
      <c r="H333" s="16">
        <f t="shared" si="75"/>
        <v>0</v>
      </c>
      <c r="I333" s="16">
        <f t="shared" si="76"/>
        <v>0</v>
      </c>
      <c r="J333" s="16">
        <f t="shared" si="77"/>
        <v>0</v>
      </c>
      <c r="K333" s="16">
        <f t="shared" si="78"/>
        <v>0</v>
      </c>
      <c r="L333" s="16">
        <f t="shared" si="79"/>
        <v>0</v>
      </c>
      <c r="M333" s="16">
        <f t="shared" si="80"/>
        <v>0</v>
      </c>
      <c r="N333" s="16">
        <f t="shared" si="81"/>
        <v>0</v>
      </c>
      <c r="O333" s="16">
        <f t="shared" si="82"/>
        <v>0</v>
      </c>
      <c r="P333" s="16" t="str">
        <f>+IF(AND(B333&gt;='Relevé de la Régularisation'!$C$9,B333&lt;='Relevé de la Régularisation'!$D$14),"OUI","NON")</f>
        <v>NON</v>
      </c>
      <c r="Q333" s="16" t="str">
        <f t="array" ref="Q333">IF(P333="OUI",MAX($Q$2:Q332)+1,"")</f>
        <v/>
      </c>
    </row>
    <row r="334" spans="1:17" x14ac:dyDescent="0.2">
      <c r="A334" s="453">
        <f t="shared" si="83"/>
        <v>52079</v>
      </c>
      <c r="B334" s="30">
        <v>52079</v>
      </c>
      <c r="C334" s="16">
        <f t="shared" si="70"/>
        <v>0</v>
      </c>
      <c r="D334" s="16">
        <f t="shared" si="71"/>
        <v>0</v>
      </c>
      <c r="E334" s="16">
        <f t="shared" si="72"/>
        <v>0</v>
      </c>
      <c r="F334" s="16">
        <f t="shared" si="73"/>
        <v>0</v>
      </c>
      <c r="G334" s="16">
        <f t="shared" si="74"/>
        <v>0</v>
      </c>
      <c r="H334" s="16">
        <f t="shared" si="75"/>
        <v>0</v>
      </c>
      <c r="I334" s="16">
        <f t="shared" si="76"/>
        <v>0</v>
      </c>
      <c r="J334" s="16">
        <f t="shared" si="77"/>
        <v>0</v>
      </c>
      <c r="K334" s="16">
        <f t="shared" si="78"/>
        <v>0</v>
      </c>
      <c r="L334" s="16">
        <f t="shared" si="79"/>
        <v>0</v>
      </c>
      <c r="M334" s="16">
        <f t="shared" si="80"/>
        <v>0</v>
      </c>
      <c r="N334" s="16">
        <f t="shared" si="81"/>
        <v>0</v>
      </c>
      <c r="O334" s="16">
        <f t="shared" si="82"/>
        <v>0</v>
      </c>
      <c r="P334" s="16" t="str">
        <f>+IF(AND(B334&gt;='Relevé de la Régularisation'!$C$9,B334&lt;='Relevé de la Régularisation'!$D$14),"OUI","NON")</f>
        <v>NON</v>
      </c>
      <c r="Q334" s="16" t="str">
        <f t="array" ref="Q334">IF(P334="OUI",MAX($Q$2:Q333)+1,"")</f>
        <v/>
      </c>
    </row>
    <row r="335" spans="1:17" x14ac:dyDescent="0.2">
      <c r="A335" s="453">
        <f t="shared" si="83"/>
        <v>52110</v>
      </c>
      <c r="B335" s="30">
        <v>52110</v>
      </c>
      <c r="C335" s="16">
        <f t="shared" si="70"/>
        <v>0</v>
      </c>
      <c r="D335" s="16">
        <f t="shared" si="71"/>
        <v>0</v>
      </c>
      <c r="E335" s="16">
        <f t="shared" si="72"/>
        <v>0</v>
      </c>
      <c r="F335" s="16">
        <f t="shared" si="73"/>
        <v>0</v>
      </c>
      <c r="G335" s="16">
        <f t="shared" si="74"/>
        <v>0</v>
      </c>
      <c r="H335" s="16">
        <f t="shared" si="75"/>
        <v>0</v>
      </c>
      <c r="I335" s="16">
        <f t="shared" si="76"/>
        <v>0</v>
      </c>
      <c r="J335" s="16">
        <f t="shared" si="77"/>
        <v>0</v>
      </c>
      <c r="K335" s="16">
        <f t="shared" si="78"/>
        <v>0</v>
      </c>
      <c r="L335" s="16">
        <f t="shared" si="79"/>
        <v>0</v>
      </c>
      <c r="M335" s="16">
        <f t="shared" si="80"/>
        <v>0</v>
      </c>
      <c r="N335" s="16">
        <f t="shared" si="81"/>
        <v>0</v>
      </c>
      <c r="O335" s="16">
        <f t="shared" si="82"/>
        <v>0</v>
      </c>
      <c r="P335" s="16" t="str">
        <f>+IF(AND(B335&gt;='Relevé de la Régularisation'!$C$9,B335&lt;='Relevé de la Régularisation'!$D$14),"OUI","NON")</f>
        <v>NON</v>
      </c>
      <c r="Q335" s="16" t="str">
        <f t="array" ref="Q335">IF(P335="OUI",MAX($Q$2:Q334)+1,"")</f>
        <v/>
      </c>
    </row>
    <row r="336" spans="1:17" x14ac:dyDescent="0.2">
      <c r="A336" s="453">
        <f t="shared" si="83"/>
        <v>52140</v>
      </c>
      <c r="B336" s="30">
        <v>52140</v>
      </c>
      <c r="C336" s="16">
        <f t="shared" si="70"/>
        <v>0</v>
      </c>
      <c r="D336" s="16">
        <f t="shared" si="71"/>
        <v>0</v>
      </c>
      <c r="E336" s="16">
        <f t="shared" si="72"/>
        <v>0</v>
      </c>
      <c r="F336" s="16">
        <f t="shared" si="73"/>
        <v>0</v>
      </c>
      <c r="G336" s="16">
        <f t="shared" si="74"/>
        <v>0</v>
      </c>
      <c r="H336" s="16">
        <f t="shared" si="75"/>
        <v>0</v>
      </c>
      <c r="I336" s="16">
        <f t="shared" si="76"/>
        <v>0</v>
      </c>
      <c r="J336" s="16">
        <f t="shared" si="77"/>
        <v>0</v>
      </c>
      <c r="K336" s="16">
        <f t="shared" si="78"/>
        <v>0</v>
      </c>
      <c r="L336" s="16">
        <f t="shared" si="79"/>
        <v>0</v>
      </c>
      <c r="M336" s="16">
        <f t="shared" si="80"/>
        <v>0</v>
      </c>
      <c r="N336" s="16">
        <f t="shared" si="81"/>
        <v>0</v>
      </c>
      <c r="O336" s="16">
        <f t="shared" si="82"/>
        <v>0</v>
      </c>
      <c r="P336" s="16" t="str">
        <f>+IF(AND(B336&gt;='Relevé de la Régularisation'!$C$9,B336&lt;='Relevé de la Régularisation'!$D$14),"OUI","NON")</f>
        <v>NON</v>
      </c>
      <c r="Q336" s="16" t="str">
        <f t="array" ref="Q336">IF(P336="OUI",MAX($Q$2:Q335)+1,"")</f>
        <v/>
      </c>
    </row>
    <row r="337" spans="1:17" x14ac:dyDescent="0.2">
      <c r="A337" s="453">
        <f t="shared" si="83"/>
        <v>52171</v>
      </c>
      <c r="B337" s="30">
        <v>52171</v>
      </c>
      <c r="C337" s="16">
        <f t="shared" si="70"/>
        <v>0</v>
      </c>
      <c r="D337" s="16">
        <f t="shared" si="71"/>
        <v>0</v>
      </c>
      <c r="E337" s="16">
        <f t="shared" si="72"/>
        <v>0</v>
      </c>
      <c r="F337" s="16">
        <f t="shared" si="73"/>
        <v>0</v>
      </c>
      <c r="G337" s="16">
        <f t="shared" si="74"/>
        <v>0</v>
      </c>
      <c r="H337" s="16">
        <f t="shared" si="75"/>
        <v>0</v>
      </c>
      <c r="I337" s="16">
        <f t="shared" si="76"/>
        <v>0</v>
      </c>
      <c r="J337" s="16">
        <f t="shared" si="77"/>
        <v>0</v>
      </c>
      <c r="K337" s="16">
        <f t="shared" si="78"/>
        <v>0</v>
      </c>
      <c r="L337" s="16">
        <f t="shared" si="79"/>
        <v>0</v>
      </c>
      <c r="M337" s="16">
        <f t="shared" si="80"/>
        <v>0</v>
      </c>
      <c r="N337" s="16">
        <f t="shared" si="81"/>
        <v>0</v>
      </c>
      <c r="O337" s="16">
        <f t="shared" si="82"/>
        <v>0</v>
      </c>
      <c r="P337" s="16" t="str">
        <f>+IF(AND(B337&gt;='Relevé de la Régularisation'!$C$9,B337&lt;='Relevé de la Régularisation'!$D$14),"OUI","NON")</f>
        <v>NON</v>
      </c>
      <c r="Q337" s="16" t="str">
        <f t="array" ref="Q337">IF(P337="OUI",MAX($Q$2:Q336)+1,"")</f>
        <v/>
      </c>
    </row>
    <row r="338" spans="1:17" x14ac:dyDescent="0.2">
      <c r="A338" s="453">
        <f t="shared" si="83"/>
        <v>52201</v>
      </c>
      <c r="B338" s="30">
        <v>52201</v>
      </c>
      <c r="C338" s="16">
        <f t="shared" si="70"/>
        <v>0</v>
      </c>
      <c r="D338" s="16">
        <f t="shared" si="71"/>
        <v>0</v>
      </c>
      <c r="E338" s="16">
        <f t="shared" si="72"/>
        <v>0</v>
      </c>
      <c r="F338" s="16">
        <f t="shared" si="73"/>
        <v>0</v>
      </c>
      <c r="G338" s="16">
        <f t="shared" si="74"/>
        <v>0</v>
      </c>
      <c r="H338" s="16">
        <f t="shared" si="75"/>
        <v>0</v>
      </c>
      <c r="I338" s="16">
        <f t="shared" si="76"/>
        <v>0</v>
      </c>
      <c r="J338" s="16">
        <f t="shared" si="77"/>
        <v>0</v>
      </c>
      <c r="K338" s="16">
        <f t="shared" si="78"/>
        <v>0</v>
      </c>
      <c r="L338" s="16">
        <f t="shared" si="79"/>
        <v>0</v>
      </c>
      <c r="M338" s="16">
        <f t="shared" si="80"/>
        <v>0</v>
      </c>
      <c r="N338" s="16">
        <f t="shared" si="81"/>
        <v>0</v>
      </c>
      <c r="O338" s="16">
        <f t="shared" si="82"/>
        <v>0</v>
      </c>
      <c r="P338" s="16" t="str">
        <f>+IF(AND(B338&gt;='Relevé de la Régularisation'!$C$9,B338&lt;='Relevé de la Régularisation'!$D$14),"OUI","NON")</f>
        <v>NON</v>
      </c>
      <c r="Q338" s="16" t="str">
        <f t="array" ref="Q338">IF(P338="OUI",MAX($Q$2:Q337)+1,"")</f>
        <v/>
      </c>
    </row>
    <row r="339" spans="1:17" x14ac:dyDescent="0.2">
      <c r="A339" s="453">
        <f t="shared" si="83"/>
        <v>52232</v>
      </c>
      <c r="B339" s="30">
        <v>52232</v>
      </c>
      <c r="C339" s="16">
        <f t="shared" si="70"/>
        <v>0</v>
      </c>
      <c r="D339" s="16">
        <f t="shared" si="71"/>
        <v>0</v>
      </c>
      <c r="E339" s="16">
        <f t="shared" si="72"/>
        <v>0</v>
      </c>
      <c r="F339" s="16">
        <f t="shared" si="73"/>
        <v>0</v>
      </c>
      <c r="G339" s="16">
        <f t="shared" si="74"/>
        <v>0</v>
      </c>
      <c r="H339" s="16">
        <f t="shared" si="75"/>
        <v>0</v>
      </c>
      <c r="I339" s="16">
        <f t="shared" si="76"/>
        <v>0</v>
      </c>
      <c r="J339" s="16">
        <f t="shared" si="77"/>
        <v>0</v>
      </c>
      <c r="K339" s="16">
        <f t="shared" si="78"/>
        <v>0</v>
      </c>
      <c r="L339" s="16">
        <f t="shared" si="79"/>
        <v>0</v>
      </c>
      <c r="M339" s="16">
        <f t="shared" si="80"/>
        <v>0</v>
      </c>
      <c r="N339" s="16">
        <f t="shared" si="81"/>
        <v>0</v>
      </c>
      <c r="O339" s="16">
        <f t="shared" si="82"/>
        <v>0</v>
      </c>
      <c r="P339" s="16" t="str">
        <f>+IF(AND(B339&gt;='Relevé de la Régularisation'!$C$9,B339&lt;='Relevé de la Régularisation'!$D$14),"OUI","NON")</f>
        <v>NON</v>
      </c>
      <c r="Q339" s="16" t="str">
        <f t="array" ref="Q339">IF(P339="OUI",MAX($Q$2:Q338)+1,"")</f>
        <v/>
      </c>
    </row>
    <row r="340" spans="1:17" x14ac:dyDescent="0.2">
      <c r="A340" s="453">
        <f t="shared" si="83"/>
        <v>52263</v>
      </c>
      <c r="B340" s="30">
        <v>52263</v>
      </c>
      <c r="C340" s="16">
        <f t="shared" si="70"/>
        <v>0</v>
      </c>
      <c r="D340" s="16">
        <f t="shared" si="71"/>
        <v>0</v>
      </c>
      <c r="E340" s="16">
        <f t="shared" si="72"/>
        <v>0</v>
      </c>
      <c r="F340" s="16">
        <f t="shared" si="73"/>
        <v>0</v>
      </c>
      <c r="G340" s="16">
        <f t="shared" si="74"/>
        <v>0</v>
      </c>
      <c r="H340" s="16">
        <f t="shared" si="75"/>
        <v>0</v>
      </c>
      <c r="I340" s="16">
        <f t="shared" si="76"/>
        <v>0</v>
      </c>
      <c r="J340" s="16">
        <f t="shared" si="77"/>
        <v>0</v>
      </c>
      <c r="K340" s="16">
        <f t="shared" si="78"/>
        <v>0</v>
      </c>
      <c r="L340" s="16">
        <f t="shared" si="79"/>
        <v>0</v>
      </c>
      <c r="M340" s="16">
        <f t="shared" si="80"/>
        <v>0</v>
      </c>
      <c r="N340" s="16">
        <f t="shared" si="81"/>
        <v>0</v>
      </c>
      <c r="O340" s="16">
        <f t="shared" si="82"/>
        <v>0</v>
      </c>
      <c r="P340" s="16" t="str">
        <f>+IF(AND(B340&gt;='Relevé de la Régularisation'!$C$9,B340&lt;='Relevé de la Régularisation'!$D$14),"OUI","NON")</f>
        <v>NON</v>
      </c>
      <c r="Q340" s="16" t="str">
        <f t="array" ref="Q340">IF(P340="OUI",MAX($Q$2:Q339)+1,"")</f>
        <v/>
      </c>
    </row>
    <row r="341" spans="1:17" x14ac:dyDescent="0.2">
      <c r="A341" s="453">
        <f t="shared" si="83"/>
        <v>52291</v>
      </c>
      <c r="B341" s="30">
        <v>52291</v>
      </c>
      <c r="C341" s="16">
        <f t="shared" si="70"/>
        <v>0</v>
      </c>
      <c r="D341" s="16">
        <f t="shared" si="71"/>
        <v>0</v>
      </c>
      <c r="E341" s="16">
        <f t="shared" si="72"/>
        <v>0</v>
      </c>
      <c r="F341" s="16">
        <f t="shared" si="73"/>
        <v>0</v>
      </c>
      <c r="G341" s="16">
        <f t="shared" si="74"/>
        <v>0</v>
      </c>
      <c r="H341" s="16">
        <f t="shared" si="75"/>
        <v>0</v>
      </c>
      <c r="I341" s="16">
        <f t="shared" si="76"/>
        <v>0</v>
      </c>
      <c r="J341" s="16">
        <f t="shared" si="77"/>
        <v>0</v>
      </c>
      <c r="K341" s="16">
        <f t="shared" si="78"/>
        <v>0</v>
      </c>
      <c r="L341" s="16">
        <f t="shared" si="79"/>
        <v>0</v>
      </c>
      <c r="M341" s="16">
        <f t="shared" si="80"/>
        <v>0</v>
      </c>
      <c r="N341" s="16">
        <f t="shared" si="81"/>
        <v>0</v>
      </c>
      <c r="O341" s="16">
        <f t="shared" si="82"/>
        <v>0</v>
      </c>
      <c r="P341" s="16" t="str">
        <f>+IF(AND(B341&gt;='Relevé de la Régularisation'!$C$9,B341&lt;='Relevé de la Régularisation'!$D$14),"OUI","NON")</f>
        <v>NON</v>
      </c>
      <c r="Q341" s="16" t="str">
        <f t="array" ref="Q341">IF(P341="OUI",MAX($Q$2:Q340)+1,"")</f>
        <v/>
      </c>
    </row>
    <row r="342" spans="1:17" x14ac:dyDescent="0.2">
      <c r="A342" s="453">
        <f t="shared" si="83"/>
        <v>52322</v>
      </c>
      <c r="B342" s="30">
        <v>52322</v>
      </c>
      <c r="C342" s="16">
        <f t="shared" si="70"/>
        <v>0</v>
      </c>
      <c r="D342" s="16">
        <f t="shared" si="71"/>
        <v>0</v>
      </c>
      <c r="E342" s="16">
        <f t="shared" si="72"/>
        <v>0</v>
      </c>
      <c r="F342" s="16">
        <f t="shared" si="73"/>
        <v>0</v>
      </c>
      <c r="G342" s="16">
        <f t="shared" si="74"/>
        <v>0</v>
      </c>
      <c r="H342" s="16">
        <f t="shared" si="75"/>
        <v>0</v>
      </c>
      <c r="I342" s="16">
        <f t="shared" si="76"/>
        <v>0</v>
      </c>
      <c r="J342" s="16">
        <f t="shared" si="77"/>
        <v>0</v>
      </c>
      <c r="K342" s="16">
        <f t="shared" si="78"/>
        <v>0</v>
      </c>
      <c r="L342" s="16">
        <f t="shared" si="79"/>
        <v>0</v>
      </c>
      <c r="M342" s="16">
        <f t="shared" si="80"/>
        <v>0</v>
      </c>
      <c r="N342" s="16">
        <f t="shared" si="81"/>
        <v>0</v>
      </c>
      <c r="O342" s="16">
        <f t="shared" si="82"/>
        <v>0</v>
      </c>
      <c r="P342" s="16" t="str">
        <f>+IF(AND(B342&gt;='Relevé de la Régularisation'!$C$9,B342&lt;='Relevé de la Régularisation'!$D$14),"OUI","NON")</f>
        <v>NON</v>
      </c>
      <c r="Q342" s="16" t="str">
        <f t="array" ref="Q342">IF(P342="OUI",MAX($Q$2:Q341)+1,"")</f>
        <v/>
      </c>
    </row>
    <row r="343" spans="1:17" x14ac:dyDescent="0.2">
      <c r="A343" s="453">
        <f t="shared" si="83"/>
        <v>52352</v>
      </c>
      <c r="B343" s="30">
        <v>52352</v>
      </c>
      <c r="C343" s="16">
        <f t="shared" si="70"/>
        <v>0</v>
      </c>
      <c r="D343" s="16">
        <f t="shared" si="71"/>
        <v>0</v>
      </c>
      <c r="E343" s="16">
        <f t="shared" si="72"/>
        <v>0</v>
      </c>
      <c r="F343" s="16">
        <f t="shared" si="73"/>
        <v>0</v>
      </c>
      <c r="G343" s="16">
        <f t="shared" si="74"/>
        <v>0</v>
      </c>
      <c r="H343" s="16">
        <f t="shared" si="75"/>
        <v>0</v>
      </c>
      <c r="I343" s="16">
        <f t="shared" si="76"/>
        <v>0</v>
      </c>
      <c r="J343" s="16">
        <f t="shared" si="77"/>
        <v>0</v>
      </c>
      <c r="K343" s="16">
        <f t="shared" si="78"/>
        <v>0</v>
      </c>
      <c r="L343" s="16">
        <f t="shared" si="79"/>
        <v>0</v>
      </c>
      <c r="M343" s="16">
        <f t="shared" si="80"/>
        <v>0</v>
      </c>
      <c r="N343" s="16">
        <f t="shared" si="81"/>
        <v>0</v>
      </c>
      <c r="O343" s="16">
        <f t="shared" si="82"/>
        <v>0</v>
      </c>
      <c r="P343" s="16" t="str">
        <f>+IF(AND(B343&gt;='Relevé de la Régularisation'!$C$9,B343&lt;='Relevé de la Régularisation'!$D$14),"OUI","NON")</f>
        <v>NON</v>
      </c>
      <c r="Q343" s="16" t="str">
        <f t="array" ref="Q343">IF(P343="OUI",MAX($Q$2:Q342)+1,"")</f>
        <v/>
      </c>
    </row>
    <row r="344" spans="1:17" x14ac:dyDescent="0.2">
      <c r="A344" s="453">
        <f t="shared" si="83"/>
        <v>52383</v>
      </c>
      <c r="B344" s="30">
        <v>52383</v>
      </c>
      <c r="C344" s="16">
        <f t="shared" si="70"/>
        <v>0</v>
      </c>
      <c r="D344" s="16">
        <f t="shared" si="71"/>
        <v>0</v>
      </c>
      <c r="E344" s="16">
        <f t="shared" si="72"/>
        <v>0</v>
      </c>
      <c r="F344" s="16">
        <f t="shared" si="73"/>
        <v>0</v>
      </c>
      <c r="G344" s="16">
        <f t="shared" si="74"/>
        <v>0</v>
      </c>
      <c r="H344" s="16">
        <f t="shared" si="75"/>
        <v>0</v>
      </c>
      <c r="I344" s="16">
        <f t="shared" si="76"/>
        <v>0</v>
      </c>
      <c r="J344" s="16">
        <f t="shared" si="77"/>
        <v>0</v>
      </c>
      <c r="K344" s="16">
        <f t="shared" si="78"/>
        <v>0</v>
      </c>
      <c r="L344" s="16">
        <f t="shared" si="79"/>
        <v>0</v>
      </c>
      <c r="M344" s="16">
        <f t="shared" si="80"/>
        <v>0</v>
      </c>
      <c r="N344" s="16">
        <f t="shared" si="81"/>
        <v>0</v>
      </c>
      <c r="O344" s="16">
        <f t="shared" si="82"/>
        <v>0</v>
      </c>
      <c r="P344" s="16" t="str">
        <f>+IF(AND(B344&gt;='Relevé de la Régularisation'!$C$9,B344&lt;='Relevé de la Régularisation'!$D$14),"OUI","NON")</f>
        <v>NON</v>
      </c>
      <c r="Q344" s="16" t="str">
        <f t="array" ref="Q344">IF(P344="OUI",MAX($Q$2:Q343)+1,"")</f>
        <v/>
      </c>
    </row>
    <row r="345" spans="1:17" x14ac:dyDescent="0.2">
      <c r="A345" s="453">
        <f t="shared" si="83"/>
        <v>52413</v>
      </c>
      <c r="B345" s="30">
        <v>52413</v>
      </c>
      <c r="C345" s="16">
        <f t="shared" si="70"/>
        <v>0</v>
      </c>
      <c r="D345" s="16">
        <f t="shared" si="71"/>
        <v>0</v>
      </c>
      <c r="E345" s="16">
        <f t="shared" si="72"/>
        <v>0</v>
      </c>
      <c r="F345" s="16">
        <f t="shared" si="73"/>
        <v>0</v>
      </c>
      <c r="G345" s="16">
        <f t="shared" si="74"/>
        <v>0</v>
      </c>
      <c r="H345" s="16">
        <f t="shared" si="75"/>
        <v>0</v>
      </c>
      <c r="I345" s="16">
        <f t="shared" si="76"/>
        <v>0</v>
      </c>
      <c r="J345" s="16">
        <f t="shared" si="77"/>
        <v>0</v>
      </c>
      <c r="K345" s="16">
        <f t="shared" si="78"/>
        <v>0</v>
      </c>
      <c r="L345" s="16">
        <f t="shared" si="79"/>
        <v>0</v>
      </c>
      <c r="M345" s="16">
        <f t="shared" si="80"/>
        <v>0</v>
      </c>
      <c r="N345" s="16">
        <f t="shared" si="81"/>
        <v>0</v>
      </c>
      <c r="O345" s="16">
        <f t="shared" si="82"/>
        <v>0</v>
      </c>
      <c r="P345" s="16" t="str">
        <f>+IF(AND(B345&gt;='Relevé de la Régularisation'!$C$9,B345&lt;='Relevé de la Régularisation'!$D$14),"OUI","NON")</f>
        <v>NON</v>
      </c>
      <c r="Q345" s="16" t="str">
        <f t="array" ref="Q345">IF(P345="OUI",MAX($Q$2:Q344)+1,"")</f>
        <v/>
      </c>
    </row>
    <row r="346" spans="1:17" x14ac:dyDescent="0.2">
      <c r="A346" s="453">
        <f t="shared" si="83"/>
        <v>52444</v>
      </c>
      <c r="B346" s="30">
        <v>52444</v>
      </c>
      <c r="C346" s="16">
        <f t="shared" si="70"/>
        <v>0</v>
      </c>
      <c r="D346" s="16">
        <f t="shared" si="71"/>
        <v>0</v>
      </c>
      <c r="E346" s="16">
        <f t="shared" si="72"/>
        <v>0</v>
      </c>
      <c r="F346" s="16">
        <f t="shared" si="73"/>
        <v>0</v>
      </c>
      <c r="G346" s="16">
        <f t="shared" si="74"/>
        <v>0</v>
      </c>
      <c r="H346" s="16">
        <f t="shared" si="75"/>
        <v>0</v>
      </c>
      <c r="I346" s="16">
        <f t="shared" si="76"/>
        <v>0</v>
      </c>
      <c r="J346" s="16">
        <f t="shared" si="77"/>
        <v>0</v>
      </c>
      <c r="K346" s="16">
        <f t="shared" si="78"/>
        <v>0</v>
      </c>
      <c r="L346" s="16">
        <f t="shared" si="79"/>
        <v>0</v>
      </c>
      <c r="M346" s="16">
        <f t="shared" si="80"/>
        <v>0</v>
      </c>
      <c r="N346" s="16">
        <f t="shared" si="81"/>
        <v>0</v>
      </c>
      <c r="O346" s="16">
        <f t="shared" si="82"/>
        <v>0</v>
      </c>
      <c r="P346" s="16" t="str">
        <f>+IF(AND(B346&gt;='Relevé de la Régularisation'!$C$9,B346&lt;='Relevé de la Régularisation'!$D$14),"OUI","NON")</f>
        <v>NON</v>
      </c>
      <c r="Q346" s="16" t="str">
        <f t="array" ref="Q346">IF(P346="OUI",MAX($Q$2:Q345)+1,"")</f>
        <v/>
      </c>
    </row>
    <row r="347" spans="1:17" x14ac:dyDescent="0.2">
      <c r="A347" s="453">
        <f t="shared" si="83"/>
        <v>52475</v>
      </c>
      <c r="B347" s="30">
        <v>52475</v>
      </c>
      <c r="C347" s="16">
        <f t="shared" si="70"/>
        <v>0</v>
      </c>
      <c r="D347" s="16">
        <f t="shared" si="71"/>
        <v>0</v>
      </c>
      <c r="E347" s="16">
        <f t="shared" si="72"/>
        <v>0</v>
      </c>
      <c r="F347" s="16">
        <f t="shared" si="73"/>
        <v>0</v>
      </c>
      <c r="G347" s="16">
        <f t="shared" si="74"/>
        <v>0</v>
      </c>
      <c r="H347" s="16">
        <f t="shared" si="75"/>
        <v>0</v>
      </c>
      <c r="I347" s="16">
        <f t="shared" si="76"/>
        <v>0</v>
      </c>
      <c r="J347" s="16">
        <f t="shared" si="77"/>
        <v>0</v>
      </c>
      <c r="K347" s="16">
        <f t="shared" si="78"/>
        <v>0</v>
      </c>
      <c r="L347" s="16">
        <f t="shared" si="79"/>
        <v>0</v>
      </c>
      <c r="M347" s="16">
        <f t="shared" si="80"/>
        <v>0</v>
      </c>
      <c r="N347" s="16">
        <f t="shared" si="81"/>
        <v>0</v>
      </c>
      <c r="O347" s="16">
        <f t="shared" si="82"/>
        <v>0</v>
      </c>
      <c r="P347" s="16" t="str">
        <f>+IF(AND(B347&gt;='Relevé de la Régularisation'!$C$9,B347&lt;='Relevé de la Régularisation'!$D$14),"OUI","NON")</f>
        <v>NON</v>
      </c>
      <c r="Q347" s="16" t="str">
        <f t="array" ref="Q347">IF(P347="OUI",MAX($Q$2:Q346)+1,"")</f>
        <v/>
      </c>
    </row>
    <row r="348" spans="1:17" x14ac:dyDescent="0.2">
      <c r="A348" s="453">
        <f t="shared" si="83"/>
        <v>52505</v>
      </c>
      <c r="B348" s="30">
        <v>52505</v>
      </c>
      <c r="C348" s="16">
        <f t="shared" si="70"/>
        <v>0</v>
      </c>
      <c r="D348" s="16">
        <f t="shared" si="71"/>
        <v>0</v>
      </c>
      <c r="E348" s="16">
        <f t="shared" si="72"/>
        <v>0</v>
      </c>
      <c r="F348" s="16">
        <f t="shared" si="73"/>
        <v>0</v>
      </c>
      <c r="G348" s="16">
        <f t="shared" si="74"/>
        <v>0</v>
      </c>
      <c r="H348" s="16">
        <f t="shared" si="75"/>
        <v>0</v>
      </c>
      <c r="I348" s="16">
        <f t="shared" si="76"/>
        <v>0</v>
      </c>
      <c r="J348" s="16">
        <f t="shared" si="77"/>
        <v>0</v>
      </c>
      <c r="K348" s="16">
        <f t="shared" si="78"/>
        <v>0</v>
      </c>
      <c r="L348" s="16">
        <f t="shared" si="79"/>
        <v>0</v>
      </c>
      <c r="M348" s="16">
        <f t="shared" si="80"/>
        <v>0</v>
      </c>
      <c r="N348" s="16">
        <f t="shared" si="81"/>
        <v>0</v>
      </c>
      <c r="O348" s="16">
        <f t="shared" si="82"/>
        <v>0</v>
      </c>
      <c r="P348" s="16" t="str">
        <f>+IF(AND(B348&gt;='Relevé de la Régularisation'!$C$9,B348&lt;='Relevé de la Régularisation'!$D$14),"OUI","NON")</f>
        <v>NON</v>
      </c>
      <c r="Q348" s="16" t="str">
        <f t="array" ref="Q348">IF(P348="OUI",MAX($Q$2:Q347)+1,"")</f>
        <v/>
      </c>
    </row>
    <row r="349" spans="1:17" x14ac:dyDescent="0.2">
      <c r="A349" s="453">
        <f t="shared" si="83"/>
        <v>52536</v>
      </c>
      <c r="B349" s="30">
        <v>52536</v>
      </c>
      <c r="C349" s="16">
        <f t="shared" si="70"/>
        <v>0</v>
      </c>
      <c r="D349" s="16">
        <f t="shared" si="71"/>
        <v>0</v>
      </c>
      <c r="E349" s="16">
        <f t="shared" si="72"/>
        <v>0</v>
      </c>
      <c r="F349" s="16">
        <f t="shared" si="73"/>
        <v>0</v>
      </c>
      <c r="G349" s="16">
        <f t="shared" si="74"/>
        <v>0</v>
      </c>
      <c r="H349" s="16">
        <f t="shared" si="75"/>
        <v>0</v>
      </c>
      <c r="I349" s="16">
        <f t="shared" si="76"/>
        <v>0</v>
      </c>
      <c r="J349" s="16">
        <f t="shared" si="77"/>
        <v>0</v>
      </c>
      <c r="K349" s="16">
        <f t="shared" si="78"/>
        <v>0</v>
      </c>
      <c r="L349" s="16">
        <f t="shared" si="79"/>
        <v>0</v>
      </c>
      <c r="M349" s="16">
        <f t="shared" si="80"/>
        <v>0</v>
      </c>
      <c r="N349" s="16">
        <f t="shared" si="81"/>
        <v>0</v>
      </c>
      <c r="O349" s="16">
        <f t="shared" si="82"/>
        <v>0</v>
      </c>
      <c r="P349" s="16" t="str">
        <f>+IF(AND(B349&gt;='Relevé de la Régularisation'!$C$9,B349&lt;='Relevé de la Régularisation'!$D$14),"OUI","NON")</f>
        <v>NON</v>
      </c>
      <c r="Q349" s="16" t="str">
        <f t="array" ref="Q349">IF(P349="OUI",MAX($Q$2:Q348)+1,"")</f>
        <v/>
      </c>
    </row>
    <row r="350" spans="1:17" x14ac:dyDescent="0.2">
      <c r="A350" s="453">
        <f t="shared" si="83"/>
        <v>52566</v>
      </c>
      <c r="B350" s="30">
        <v>52566</v>
      </c>
      <c r="C350" s="16">
        <f t="shared" si="70"/>
        <v>0</v>
      </c>
      <c r="D350" s="16">
        <f t="shared" si="71"/>
        <v>0</v>
      </c>
      <c r="E350" s="16">
        <f t="shared" si="72"/>
        <v>0</v>
      </c>
      <c r="F350" s="16">
        <f t="shared" si="73"/>
        <v>0</v>
      </c>
      <c r="G350" s="16">
        <f t="shared" si="74"/>
        <v>0</v>
      </c>
      <c r="H350" s="16">
        <f t="shared" si="75"/>
        <v>0</v>
      </c>
      <c r="I350" s="16">
        <f t="shared" si="76"/>
        <v>0</v>
      </c>
      <c r="J350" s="16">
        <f t="shared" si="77"/>
        <v>0</v>
      </c>
      <c r="K350" s="16">
        <f t="shared" si="78"/>
        <v>0</v>
      </c>
      <c r="L350" s="16">
        <f t="shared" si="79"/>
        <v>0</v>
      </c>
      <c r="M350" s="16">
        <f t="shared" si="80"/>
        <v>0</v>
      </c>
      <c r="N350" s="16">
        <f t="shared" si="81"/>
        <v>0</v>
      </c>
      <c r="O350" s="16">
        <f t="shared" si="82"/>
        <v>0</v>
      </c>
      <c r="P350" s="16" t="str">
        <f>+IF(AND(B350&gt;='Relevé de la Régularisation'!$C$9,B350&lt;='Relevé de la Régularisation'!$D$14),"OUI","NON")</f>
        <v>NON</v>
      </c>
      <c r="Q350" s="16" t="str">
        <f t="array" ref="Q350">IF(P350="OUI",MAX($Q$2:Q349)+1,"")</f>
        <v/>
      </c>
    </row>
    <row r="351" spans="1:17" x14ac:dyDescent="0.2">
      <c r="A351" s="453">
        <f t="shared" si="83"/>
        <v>52597</v>
      </c>
      <c r="B351" s="30">
        <v>52597</v>
      </c>
      <c r="C351" s="16">
        <f t="shared" si="70"/>
        <v>0</v>
      </c>
      <c r="D351" s="16">
        <f t="shared" si="71"/>
        <v>0</v>
      </c>
      <c r="E351" s="16">
        <f t="shared" si="72"/>
        <v>0</v>
      </c>
      <c r="F351" s="16">
        <f t="shared" si="73"/>
        <v>0</v>
      </c>
      <c r="G351" s="16">
        <f t="shared" si="74"/>
        <v>0</v>
      </c>
      <c r="H351" s="16">
        <f t="shared" si="75"/>
        <v>0</v>
      </c>
      <c r="I351" s="16">
        <f t="shared" si="76"/>
        <v>0</v>
      </c>
      <c r="J351" s="16">
        <f t="shared" si="77"/>
        <v>0</v>
      </c>
      <c r="K351" s="16">
        <f t="shared" si="78"/>
        <v>0</v>
      </c>
      <c r="L351" s="16">
        <f t="shared" si="79"/>
        <v>0</v>
      </c>
      <c r="M351" s="16">
        <f t="shared" si="80"/>
        <v>0</v>
      </c>
      <c r="N351" s="16">
        <f t="shared" si="81"/>
        <v>0</v>
      </c>
      <c r="O351" s="16">
        <f t="shared" si="82"/>
        <v>0</v>
      </c>
      <c r="P351" s="16" t="str">
        <f>+IF(AND(B351&gt;='Relevé de la Régularisation'!$C$9,B351&lt;='Relevé de la Régularisation'!$D$14),"OUI","NON")</f>
        <v>NON</v>
      </c>
      <c r="Q351" s="16" t="str">
        <f t="array" ref="Q351">IF(P351="OUI",MAX($Q$2:Q350)+1,"")</f>
        <v/>
      </c>
    </row>
    <row r="352" spans="1:17" x14ac:dyDescent="0.2">
      <c r="A352" s="453">
        <f t="shared" si="83"/>
        <v>52628</v>
      </c>
      <c r="B352" s="30">
        <v>52628</v>
      </c>
      <c r="C352" s="16">
        <f t="shared" si="70"/>
        <v>0</v>
      </c>
      <c r="D352" s="16">
        <f t="shared" si="71"/>
        <v>0</v>
      </c>
      <c r="E352" s="16">
        <f t="shared" si="72"/>
        <v>0</v>
      </c>
      <c r="F352" s="16">
        <f t="shared" si="73"/>
        <v>0</v>
      </c>
      <c r="G352" s="16">
        <f t="shared" si="74"/>
        <v>0</v>
      </c>
      <c r="H352" s="16">
        <f t="shared" si="75"/>
        <v>0</v>
      </c>
      <c r="I352" s="16">
        <f t="shared" si="76"/>
        <v>0</v>
      </c>
      <c r="J352" s="16">
        <f t="shared" si="77"/>
        <v>0</v>
      </c>
      <c r="K352" s="16">
        <f t="shared" si="78"/>
        <v>0</v>
      </c>
      <c r="L352" s="16">
        <f t="shared" si="79"/>
        <v>0</v>
      </c>
      <c r="M352" s="16">
        <f t="shared" si="80"/>
        <v>0</v>
      </c>
      <c r="N352" s="16">
        <f t="shared" si="81"/>
        <v>0</v>
      </c>
      <c r="O352" s="16">
        <f t="shared" si="82"/>
        <v>0</v>
      </c>
      <c r="P352" s="16" t="str">
        <f>+IF(AND(B352&gt;='Relevé de la Régularisation'!$C$9,B352&lt;='Relevé de la Régularisation'!$D$14),"OUI","NON")</f>
        <v>NON</v>
      </c>
      <c r="Q352" s="16" t="str">
        <f t="array" ref="Q352">IF(P352="OUI",MAX($Q$2:Q351)+1,"")</f>
        <v/>
      </c>
    </row>
    <row r="353" spans="1:17" x14ac:dyDescent="0.2">
      <c r="A353" s="453">
        <f t="shared" si="83"/>
        <v>52657</v>
      </c>
      <c r="B353" s="30">
        <v>52657</v>
      </c>
      <c r="C353" s="16">
        <f t="shared" si="70"/>
        <v>0</v>
      </c>
      <c r="D353" s="16">
        <f t="shared" si="71"/>
        <v>0</v>
      </c>
      <c r="E353" s="16">
        <f t="shared" si="72"/>
        <v>0</v>
      </c>
      <c r="F353" s="16">
        <f t="shared" si="73"/>
        <v>0</v>
      </c>
      <c r="G353" s="16">
        <f t="shared" si="74"/>
        <v>0</v>
      </c>
      <c r="H353" s="16">
        <f t="shared" si="75"/>
        <v>0</v>
      </c>
      <c r="I353" s="16">
        <f t="shared" si="76"/>
        <v>0</v>
      </c>
      <c r="J353" s="16">
        <f t="shared" si="77"/>
        <v>0</v>
      </c>
      <c r="K353" s="16">
        <f t="shared" si="78"/>
        <v>0</v>
      </c>
      <c r="L353" s="16">
        <f t="shared" si="79"/>
        <v>0</v>
      </c>
      <c r="M353" s="16">
        <f t="shared" si="80"/>
        <v>0</v>
      </c>
      <c r="N353" s="16">
        <f t="shared" si="81"/>
        <v>0</v>
      </c>
      <c r="O353" s="16">
        <f t="shared" si="82"/>
        <v>0</v>
      </c>
      <c r="P353" s="16" t="str">
        <f>+IF(AND(B353&gt;='Relevé de la Régularisation'!$C$9,B353&lt;='Relevé de la Régularisation'!$D$14),"OUI","NON")</f>
        <v>NON</v>
      </c>
      <c r="Q353" s="16" t="str">
        <f t="array" ref="Q353">IF(P353="OUI",MAX($Q$2:Q352)+1,"")</f>
        <v/>
      </c>
    </row>
    <row r="354" spans="1:17" x14ac:dyDescent="0.2">
      <c r="A354" s="453">
        <f t="shared" si="83"/>
        <v>52688</v>
      </c>
      <c r="B354" s="30">
        <v>52688</v>
      </c>
      <c r="C354" s="16">
        <f t="shared" si="70"/>
        <v>0</v>
      </c>
      <c r="D354" s="16">
        <f t="shared" si="71"/>
        <v>0</v>
      </c>
      <c r="E354" s="16">
        <f t="shared" si="72"/>
        <v>0</v>
      </c>
      <c r="F354" s="16">
        <f t="shared" si="73"/>
        <v>0</v>
      </c>
      <c r="G354" s="16">
        <f t="shared" si="74"/>
        <v>0</v>
      </c>
      <c r="H354" s="16">
        <f t="shared" si="75"/>
        <v>0</v>
      </c>
      <c r="I354" s="16">
        <f t="shared" si="76"/>
        <v>0</v>
      </c>
      <c r="J354" s="16">
        <f t="shared" si="77"/>
        <v>0</v>
      </c>
      <c r="K354" s="16">
        <f t="shared" si="78"/>
        <v>0</v>
      </c>
      <c r="L354" s="16">
        <f t="shared" si="79"/>
        <v>0</v>
      </c>
      <c r="M354" s="16">
        <f t="shared" si="80"/>
        <v>0</v>
      </c>
      <c r="N354" s="16">
        <f t="shared" si="81"/>
        <v>0</v>
      </c>
      <c r="O354" s="16">
        <f t="shared" si="82"/>
        <v>0</v>
      </c>
      <c r="P354" s="16" t="str">
        <f>+IF(AND(B354&gt;='Relevé de la Régularisation'!$C$9,B354&lt;='Relevé de la Régularisation'!$D$14),"OUI","NON")</f>
        <v>NON</v>
      </c>
      <c r="Q354" s="16" t="str">
        <f t="array" ref="Q354">IF(P354="OUI",MAX($Q$2:Q353)+1,"")</f>
        <v/>
      </c>
    </row>
    <row r="355" spans="1:17" x14ac:dyDescent="0.2">
      <c r="A355" s="453">
        <f t="shared" si="83"/>
        <v>52718</v>
      </c>
      <c r="B355" s="30">
        <v>52718</v>
      </c>
      <c r="C355" s="16">
        <f t="shared" si="70"/>
        <v>0</v>
      </c>
      <c r="D355" s="16">
        <f t="shared" si="71"/>
        <v>0</v>
      </c>
      <c r="E355" s="16">
        <f t="shared" si="72"/>
        <v>0</v>
      </c>
      <c r="F355" s="16">
        <f t="shared" si="73"/>
        <v>0</v>
      </c>
      <c r="G355" s="16">
        <f t="shared" si="74"/>
        <v>0</v>
      </c>
      <c r="H355" s="16">
        <f t="shared" si="75"/>
        <v>0</v>
      </c>
      <c r="I355" s="16">
        <f t="shared" si="76"/>
        <v>0</v>
      </c>
      <c r="J355" s="16">
        <f t="shared" si="77"/>
        <v>0</v>
      </c>
      <c r="K355" s="16">
        <f t="shared" si="78"/>
        <v>0</v>
      </c>
      <c r="L355" s="16">
        <f t="shared" si="79"/>
        <v>0</v>
      </c>
      <c r="M355" s="16">
        <f t="shared" si="80"/>
        <v>0</v>
      </c>
      <c r="N355" s="16">
        <f t="shared" si="81"/>
        <v>0</v>
      </c>
      <c r="O355" s="16">
        <f t="shared" si="82"/>
        <v>0</v>
      </c>
      <c r="P355" s="16" t="str">
        <f>+IF(AND(B355&gt;='Relevé de la Régularisation'!$C$9,B355&lt;='Relevé de la Régularisation'!$D$14),"OUI","NON")</f>
        <v>NON</v>
      </c>
      <c r="Q355" s="16" t="str">
        <f t="array" ref="Q355">IF(P355="OUI",MAX($Q$2:Q354)+1,"")</f>
        <v/>
      </c>
    </row>
    <row r="356" spans="1:17" x14ac:dyDescent="0.2">
      <c r="A356" s="453">
        <f t="shared" si="83"/>
        <v>52749</v>
      </c>
      <c r="B356" s="30">
        <v>52749</v>
      </c>
      <c r="C356" s="16">
        <f t="shared" si="70"/>
        <v>0</v>
      </c>
      <c r="D356" s="16">
        <f t="shared" si="71"/>
        <v>0</v>
      </c>
      <c r="E356" s="16">
        <f t="shared" si="72"/>
        <v>0</v>
      </c>
      <c r="F356" s="16">
        <f t="shared" si="73"/>
        <v>0</v>
      </c>
      <c r="G356" s="16">
        <f t="shared" si="74"/>
        <v>0</v>
      </c>
      <c r="H356" s="16">
        <f t="shared" si="75"/>
        <v>0</v>
      </c>
      <c r="I356" s="16">
        <f t="shared" si="76"/>
        <v>0</v>
      </c>
      <c r="J356" s="16">
        <f t="shared" si="77"/>
        <v>0</v>
      </c>
      <c r="K356" s="16">
        <f t="shared" si="78"/>
        <v>0</v>
      </c>
      <c r="L356" s="16">
        <f t="shared" si="79"/>
        <v>0</v>
      </c>
      <c r="M356" s="16">
        <f t="shared" si="80"/>
        <v>0</v>
      </c>
      <c r="N356" s="16">
        <f t="shared" si="81"/>
        <v>0</v>
      </c>
      <c r="O356" s="16">
        <f t="shared" si="82"/>
        <v>0</v>
      </c>
      <c r="P356" s="16" t="str">
        <f>+IF(AND(B356&gt;='Relevé de la Régularisation'!$C$9,B356&lt;='Relevé de la Régularisation'!$D$14),"OUI","NON")</f>
        <v>NON</v>
      </c>
      <c r="Q356" s="16" t="str">
        <f t="array" ref="Q356">IF(P356="OUI",MAX($Q$2:Q355)+1,"")</f>
        <v/>
      </c>
    </row>
    <row r="357" spans="1:17" x14ac:dyDescent="0.2">
      <c r="A357" s="453">
        <f t="shared" si="83"/>
        <v>52779</v>
      </c>
      <c r="B357" s="30">
        <v>52779</v>
      </c>
      <c r="C357" s="16">
        <f t="shared" si="70"/>
        <v>0</v>
      </c>
      <c r="D357" s="16">
        <f t="shared" si="71"/>
        <v>0</v>
      </c>
      <c r="E357" s="16">
        <f t="shared" si="72"/>
        <v>0</v>
      </c>
      <c r="F357" s="16">
        <f t="shared" si="73"/>
        <v>0</v>
      </c>
      <c r="G357" s="16">
        <f t="shared" si="74"/>
        <v>0</v>
      </c>
      <c r="H357" s="16">
        <f t="shared" si="75"/>
        <v>0</v>
      </c>
      <c r="I357" s="16">
        <f t="shared" si="76"/>
        <v>0</v>
      </c>
      <c r="J357" s="16">
        <f t="shared" si="77"/>
        <v>0</v>
      </c>
      <c r="K357" s="16">
        <f t="shared" si="78"/>
        <v>0</v>
      </c>
      <c r="L357" s="16">
        <f t="shared" si="79"/>
        <v>0</v>
      </c>
      <c r="M357" s="16">
        <f t="shared" si="80"/>
        <v>0</v>
      </c>
      <c r="N357" s="16">
        <f t="shared" si="81"/>
        <v>0</v>
      </c>
      <c r="O357" s="16">
        <f t="shared" si="82"/>
        <v>0</v>
      </c>
      <c r="P357" s="16" t="str">
        <f>+IF(AND(B357&gt;='Relevé de la Régularisation'!$C$9,B357&lt;='Relevé de la Régularisation'!$D$14),"OUI","NON")</f>
        <v>NON</v>
      </c>
      <c r="Q357" s="16" t="str">
        <f t="array" ref="Q357">IF(P357="OUI",MAX($Q$2:Q356)+1,"")</f>
        <v/>
      </c>
    </row>
    <row r="358" spans="1:17" x14ac:dyDescent="0.2">
      <c r="A358" s="453">
        <f t="shared" si="83"/>
        <v>52810</v>
      </c>
      <c r="B358" s="30">
        <v>52810</v>
      </c>
      <c r="C358" s="16">
        <f t="shared" si="70"/>
        <v>0</v>
      </c>
      <c r="D358" s="16">
        <f t="shared" si="71"/>
        <v>0</v>
      </c>
      <c r="E358" s="16">
        <f t="shared" si="72"/>
        <v>0</v>
      </c>
      <c r="F358" s="16">
        <f t="shared" si="73"/>
        <v>0</v>
      </c>
      <c r="G358" s="16">
        <f t="shared" si="74"/>
        <v>0</v>
      </c>
      <c r="H358" s="16">
        <f t="shared" si="75"/>
        <v>0</v>
      </c>
      <c r="I358" s="16">
        <f t="shared" si="76"/>
        <v>0</v>
      </c>
      <c r="J358" s="16">
        <f t="shared" si="77"/>
        <v>0</v>
      </c>
      <c r="K358" s="16">
        <f t="shared" si="78"/>
        <v>0</v>
      </c>
      <c r="L358" s="16">
        <f t="shared" si="79"/>
        <v>0</v>
      </c>
      <c r="M358" s="16">
        <f t="shared" si="80"/>
        <v>0</v>
      </c>
      <c r="N358" s="16">
        <f t="shared" si="81"/>
        <v>0</v>
      </c>
      <c r="O358" s="16">
        <f t="shared" si="82"/>
        <v>0</v>
      </c>
      <c r="P358" s="16" t="str">
        <f>+IF(AND(B358&gt;='Relevé de la Régularisation'!$C$9,B358&lt;='Relevé de la Régularisation'!$D$14),"OUI","NON")</f>
        <v>NON</v>
      </c>
      <c r="Q358" s="16" t="str">
        <f t="array" ref="Q358">IF(P358="OUI",MAX($Q$2:Q357)+1,"")</f>
        <v/>
      </c>
    </row>
    <row r="359" spans="1:17" x14ac:dyDescent="0.2">
      <c r="A359" s="453">
        <f t="shared" si="83"/>
        <v>52841</v>
      </c>
      <c r="B359" s="30">
        <v>52841</v>
      </c>
      <c r="C359" s="16">
        <f t="shared" si="70"/>
        <v>0</v>
      </c>
      <c r="D359" s="16">
        <f t="shared" si="71"/>
        <v>0</v>
      </c>
      <c r="E359" s="16">
        <f t="shared" si="72"/>
        <v>0</v>
      </c>
      <c r="F359" s="16">
        <f t="shared" si="73"/>
        <v>0</v>
      </c>
      <c r="G359" s="16">
        <f t="shared" si="74"/>
        <v>0</v>
      </c>
      <c r="H359" s="16">
        <f t="shared" si="75"/>
        <v>0</v>
      </c>
      <c r="I359" s="16">
        <f t="shared" si="76"/>
        <v>0</v>
      </c>
      <c r="J359" s="16">
        <f t="shared" si="77"/>
        <v>0</v>
      </c>
      <c r="K359" s="16">
        <f t="shared" si="78"/>
        <v>0</v>
      </c>
      <c r="L359" s="16">
        <f t="shared" si="79"/>
        <v>0</v>
      </c>
      <c r="M359" s="16">
        <f t="shared" si="80"/>
        <v>0</v>
      </c>
      <c r="N359" s="16">
        <f t="shared" si="81"/>
        <v>0</v>
      </c>
      <c r="O359" s="16">
        <f t="shared" si="82"/>
        <v>0</v>
      </c>
      <c r="P359" s="16" t="str">
        <f>+IF(AND(B359&gt;='Relevé de la Régularisation'!$C$9,B359&lt;='Relevé de la Régularisation'!$D$14),"OUI","NON")</f>
        <v>NON</v>
      </c>
      <c r="Q359" s="16" t="str">
        <f t="array" ref="Q359">IF(P359="OUI",MAX($Q$2:Q358)+1,"")</f>
        <v/>
      </c>
    </row>
    <row r="360" spans="1:17" x14ac:dyDescent="0.2">
      <c r="A360" s="453">
        <f t="shared" si="83"/>
        <v>52871</v>
      </c>
      <c r="B360" s="30">
        <v>52871</v>
      </c>
      <c r="C360" s="16">
        <f t="shared" si="70"/>
        <v>0</v>
      </c>
      <c r="D360" s="16">
        <f t="shared" si="71"/>
        <v>0</v>
      </c>
      <c r="E360" s="16">
        <f t="shared" si="72"/>
        <v>0</v>
      </c>
      <c r="F360" s="16">
        <f t="shared" si="73"/>
        <v>0</v>
      </c>
      <c r="G360" s="16">
        <f t="shared" si="74"/>
        <v>0</v>
      </c>
      <c r="H360" s="16">
        <f t="shared" si="75"/>
        <v>0</v>
      </c>
      <c r="I360" s="16">
        <f t="shared" si="76"/>
        <v>0</v>
      </c>
      <c r="J360" s="16">
        <f t="shared" si="77"/>
        <v>0</v>
      </c>
      <c r="K360" s="16">
        <f t="shared" si="78"/>
        <v>0</v>
      </c>
      <c r="L360" s="16">
        <f t="shared" si="79"/>
        <v>0</v>
      </c>
      <c r="M360" s="16">
        <f t="shared" si="80"/>
        <v>0</v>
      </c>
      <c r="N360" s="16">
        <f t="shared" si="81"/>
        <v>0</v>
      </c>
      <c r="O360" s="16">
        <f t="shared" si="82"/>
        <v>0</v>
      </c>
      <c r="P360" s="16" t="str">
        <f>+IF(AND(B360&gt;='Relevé de la Régularisation'!$C$9,B360&lt;='Relevé de la Régularisation'!$D$14),"OUI","NON")</f>
        <v>NON</v>
      </c>
      <c r="Q360" s="16" t="str">
        <f t="array" ref="Q360">IF(P360="OUI",MAX($Q$2:Q359)+1,"")</f>
        <v/>
      </c>
    </row>
    <row r="361" spans="1:17" x14ac:dyDescent="0.2">
      <c r="A361" s="453">
        <f t="shared" si="83"/>
        <v>52902</v>
      </c>
      <c r="B361" s="30">
        <v>52902</v>
      </c>
      <c r="C361" s="16">
        <f t="shared" si="70"/>
        <v>0</v>
      </c>
      <c r="D361" s="16">
        <f t="shared" si="71"/>
        <v>0</v>
      </c>
      <c r="E361" s="16">
        <f t="shared" si="72"/>
        <v>0</v>
      </c>
      <c r="F361" s="16">
        <f t="shared" si="73"/>
        <v>0</v>
      </c>
      <c r="G361" s="16">
        <f t="shared" si="74"/>
        <v>0</v>
      </c>
      <c r="H361" s="16">
        <f t="shared" si="75"/>
        <v>0</v>
      </c>
      <c r="I361" s="16">
        <f t="shared" si="76"/>
        <v>0</v>
      </c>
      <c r="J361" s="16">
        <f t="shared" si="77"/>
        <v>0</v>
      </c>
      <c r="K361" s="16">
        <f t="shared" si="78"/>
        <v>0</v>
      </c>
      <c r="L361" s="16">
        <f t="shared" si="79"/>
        <v>0</v>
      </c>
      <c r="M361" s="16">
        <f t="shared" si="80"/>
        <v>0</v>
      </c>
      <c r="N361" s="16">
        <f t="shared" si="81"/>
        <v>0</v>
      </c>
      <c r="O361" s="16">
        <f t="shared" si="82"/>
        <v>0</v>
      </c>
      <c r="P361" s="16" t="str">
        <f>+IF(AND(B361&gt;='Relevé de la Régularisation'!$C$9,B361&lt;='Relevé de la Régularisation'!$D$14),"OUI","NON")</f>
        <v>NON</v>
      </c>
      <c r="Q361" s="16" t="str">
        <f t="array" ref="Q361">IF(P361="OUI",MAX($Q$2:Q360)+1,"")</f>
        <v/>
      </c>
    </row>
    <row r="362" spans="1:17" x14ac:dyDescent="0.2">
      <c r="A362" s="453">
        <f t="shared" si="83"/>
        <v>52932</v>
      </c>
      <c r="B362" s="30">
        <v>52932</v>
      </c>
      <c r="C362" s="16">
        <f t="shared" si="70"/>
        <v>0</v>
      </c>
      <c r="D362" s="16">
        <f t="shared" si="71"/>
        <v>0</v>
      </c>
      <c r="E362" s="16">
        <f t="shared" si="72"/>
        <v>0</v>
      </c>
      <c r="F362" s="16">
        <f t="shared" si="73"/>
        <v>0</v>
      </c>
      <c r="G362" s="16">
        <f t="shared" si="74"/>
        <v>0</v>
      </c>
      <c r="H362" s="16">
        <f t="shared" si="75"/>
        <v>0</v>
      </c>
      <c r="I362" s="16">
        <f t="shared" si="76"/>
        <v>0</v>
      </c>
      <c r="J362" s="16">
        <f t="shared" si="77"/>
        <v>0</v>
      </c>
      <c r="K362" s="16">
        <f t="shared" si="78"/>
        <v>0</v>
      </c>
      <c r="L362" s="16">
        <f t="shared" si="79"/>
        <v>0</v>
      </c>
      <c r="M362" s="16">
        <f t="shared" si="80"/>
        <v>0</v>
      </c>
      <c r="N362" s="16">
        <f t="shared" si="81"/>
        <v>0</v>
      </c>
      <c r="O362" s="16">
        <f t="shared" si="82"/>
        <v>0</v>
      </c>
      <c r="P362" s="16" t="str">
        <f>+IF(AND(B362&gt;='Relevé de la Régularisation'!$C$9,B362&lt;='Relevé de la Régularisation'!$D$14),"OUI","NON")</f>
        <v>NON</v>
      </c>
      <c r="Q362" s="16" t="str">
        <f t="array" ref="Q362">IF(P362="OUI",MAX($Q$2:Q361)+1,"")</f>
        <v/>
      </c>
    </row>
    <row r="363" spans="1:17" x14ac:dyDescent="0.2">
      <c r="A363" s="453">
        <f t="shared" si="83"/>
        <v>52963</v>
      </c>
      <c r="B363" s="30">
        <v>52963</v>
      </c>
      <c r="C363" s="16">
        <f t="shared" si="70"/>
        <v>0</v>
      </c>
      <c r="D363" s="16">
        <f t="shared" si="71"/>
        <v>0</v>
      </c>
      <c r="E363" s="16">
        <f t="shared" si="72"/>
        <v>0</v>
      </c>
      <c r="F363" s="16">
        <f t="shared" si="73"/>
        <v>0</v>
      </c>
      <c r="G363" s="16">
        <f t="shared" si="74"/>
        <v>0</v>
      </c>
      <c r="H363" s="16">
        <f t="shared" si="75"/>
        <v>0</v>
      </c>
      <c r="I363" s="16">
        <f t="shared" si="76"/>
        <v>0</v>
      </c>
      <c r="J363" s="16">
        <f t="shared" si="77"/>
        <v>0</v>
      </c>
      <c r="K363" s="16">
        <f t="shared" si="78"/>
        <v>0</v>
      </c>
      <c r="L363" s="16">
        <f t="shared" si="79"/>
        <v>0</v>
      </c>
      <c r="M363" s="16">
        <f t="shared" si="80"/>
        <v>0</v>
      </c>
      <c r="N363" s="16">
        <f t="shared" si="81"/>
        <v>0</v>
      </c>
      <c r="O363" s="16">
        <f t="shared" si="82"/>
        <v>0</v>
      </c>
      <c r="P363" s="16" t="str">
        <f>+IF(AND(B363&gt;='Relevé de la Régularisation'!$C$9,B363&lt;='Relevé de la Régularisation'!$D$14),"OUI","NON")</f>
        <v>NON</v>
      </c>
      <c r="Q363" s="16" t="str">
        <f t="array" ref="Q363">IF(P363="OUI",MAX($Q$2:Q362)+1,"")</f>
        <v/>
      </c>
    </row>
    <row r="364" spans="1:17" x14ac:dyDescent="0.2">
      <c r="A364" s="453">
        <f t="shared" si="83"/>
        <v>52994</v>
      </c>
      <c r="B364" s="30">
        <v>52994</v>
      </c>
      <c r="C364" s="16">
        <f t="shared" si="70"/>
        <v>0</v>
      </c>
      <c r="D364" s="16">
        <f t="shared" si="71"/>
        <v>0</v>
      </c>
      <c r="E364" s="16">
        <f t="shared" si="72"/>
        <v>0</v>
      </c>
      <c r="F364" s="16">
        <f t="shared" si="73"/>
        <v>0</v>
      </c>
      <c r="G364" s="16">
        <f t="shared" si="74"/>
        <v>0</v>
      </c>
      <c r="H364" s="16">
        <f t="shared" si="75"/>
        <v>0</v>
      </c>
      <c r="I364" s="16">
        <f t="shared" si="76"/>
        <v>0</v>
      </c>
      <c r="J364" s="16">
        <f t="shared" si="77"/>
        <v>0</v>
      </c>
      <c r="K364" s="16">
        <f t="shared" si="78"/>
        <v>0</v>
      </c>
      <c r="L364" s="16">
        <f t="shared" si="79"/>
        <v>0</v>
      </c>
      <c r="M364" s="16">
        <f t="shared" si="80"/>
        <v>0</v>
      </c>
      <c r="N364" s="16">
        <f t="shared" si="81"/>
        <v>0</v>
      </c>
      <c r="O364" s="16">
        <f t="shared" si="82"/>
        <v>0</v>
      </c>
      <c r="P364" s="16" t="str">
        <f>+IF(AND(B364&gt;='Relevé de la Régularisation'!$C$9,B364&lt;='Relevé de la Régularisation'!$D$14),"OUI","NON")</f>
        <v>NON</v>
      </c>
      <c r="Q364" s="16" t="str">
        <f t="array" ref="Q364">IF(P364="OUI",MAX($Q$2:Q363)+1,"")</f>
        <v/>
      </c>
    </row>
    <row r="365" spans="1:17" x14ac:dyDescent="0.2">
      <c r="A365" s="453">
        <f t="shared" si="83"/>
        <v>53022</v>
      </c>
      <c r="B365" s="30">
        <v>53022</v>
      </c>
      <c r="C365" s="16">
        <f t="shared" si="70"/>
        <v>0</v>
      </c>
      <c r="D365" s="16">
        <f t="shared" si="71"/>
        <v>0</v>
      </c>
      <c r="E365" s="16">
        <f t="shared" si="72"/>
        <v>0</v>
      </c>
      <c r="F365" s="16">
        <f t="shared" si="73"/>
        <v>0</v>
      </c>
      <c r="G365" s="16">
        <f t="shared" si="74"/>
        <v>0</v>
      </c>
      <c r="H365" s="16">
        <f t="shared" si="75"/>
        <v>0</v>
      </c>
      <c r="I365" s="16">
        <f t="shared" si="76"/>
        <v>0</v>
      </c>
      <c r="J365" s="16">
        <f t="shared" si="77"/>
        <v>0</v>
      </c>
      <c r="K365" s="16">
        <f t="shared" si="78"/>
        <v>0</v>
      </c>
      <c r="L365" s="16">
        <f t="shared" si="79"/>
        <v>0</v>
      </c>
      <c r="M365" s="16">
        <f t="shared" si="80"/>
        <v>0</v>
      </c>
      <c r="N365" s="16">
        <f t="shared" si="81"/>
        <v>0</v>
      </c>
      <c r="O365" s="16">
        <f t="shared" si="82"/>
        <v>0</v>
      </c>
      <c r="P365" s="16" t="str">
        <f>+IF(AND(B365&gt;='Relevé de la Régularisation'!$C$9,B365&lt;='Relevé de la Régularisation'!$D$14),"OUI","NON")</f>
        <v>NON</v>
      </c>
      <c r="Q365" s="16" t="str">
        <f t="array" ref="Q365">IF(P365="OUI",MAX($Q$2:Q364)+1,"")</f>
        <v/>
      </c>
    </row>
    <row r="366" spans="1:17" x14ac:dyDescent="0.2">
      <c r="A366" s="453">
        <f t="shared" si="83"/>
        <v>53053</v>
      </c>
      <c r="B366" s="30">
        <v>53053</v>
      </c>
      <c r="C366" s="16">
        <f t="shared" si="70"/>
        <v>0</v>
      </c>
      <c r="D366" s="16">
        <f t="shared" si="71"/>
        <v>0</v>
      </c>
      <c r="E366" s="16">
        <f t="shared" si="72"/>
        <v>0</v>
      </c>
      <c r="F366" s="16">
        <f t="shared" si="73"/>
        <v>0</v>
      </c>
      <c r="G366" s="16">
        <f t="shared" si="74"/>
        <v>0</v>
      </c>
      <c r="H366" s="16">
        <f t="shared" si="75"/>
        <v>0</v>
      </c>
      <c r="I366" s="16">
        <f t="shared" si="76"/>
        <v>0</v>
      </c>
      <c r="J366" s="16">
        <f t="shared" si="77"/>
        <v>0</v>
      </c>
      <c r="K366" s="16">
        <f t="shared" si="78"/>
        <v>0</v>
      </c>
      <c r="L366" s="16">
        <f t="shared" si="79"/>
        <v>0</v>
      </c>
      <c r="M366" s="16">
        <f t="shared" si="80"/>
        <v>0</v>
      </c>
      <c r="N366" s="16">
        <f t="shared" si="81"/>
        <v>0</v>
      </c>
      <c r="O366" s="16">
        <f t="shared" si="82"/>
        <v>0</v>
      </c>
      <c r="P366" s="16" t="str">
        <f>+IF(AND(B366&gt;='Relevé de la Régularisation'!$C$9,B366&lt;='Relevé de la Régularisation'!$D$14),"OUI","NON")</f>
        <v>NON</v>
      </c>
      <c r="Q366" s="16" t="str">
        <f t="array" ref="Q366">IF(P366="OUI",MAX($Q$2:Q365)+1,"")</f>
        <v/>
      </c>
    </row>
    <row r="367" spans="1:17" x14ac:dyDescent="0.2">
      <c r="A367" s="453">
        <f t="shared" si="83"/>
        <v>53083</v>
      </c>
      <c r="B367" s="30">
        <v>53083</v>
      </c>
      <c r="C367" s="16">
        <f t="shared" si="70"/>
        <v>0</v>
      </c>
      <c r="D367" s="16">
        <f t="shared" si="71"/>
        <v>0</v>
      </c>
      <c r="E367" s="16">
        <f t="shared" si="72"/>
        <v>0</v>
      </c>
      <c r="F367" s="16">
        <f t="shared" si="73"/>
        <v>0</v>
      </c>
      <c r="G367" s="16">
        <f t="shared" si="74"/>
        <v>0</v>
      </c>
      <c r="H367" s="16">
        <f t="shared" si="75"/>
        <v>0</v>
      </c>
      <c r="I367" s="16">
        <f t="shared" si="76"/>
        <v>0</v>
      </c>
      <c r="J367" s="16">
        <f t="shared" si="77"/>
        <v>0</v>
      </c>
      <c r="K367" s="16">
        <f t="shared" si="78"/>
        <v>0</v>
      </c>
      <c r="L367" s="16">
        <f t="shared" si="79"/>
        <v>0</v>
      </c>
      <c r="M367" s="16">
        <f t="shared" si="80"/>
        <v>0</v>
      </c>
      <c r="N367" s="16">
        <f t="shared" si="81"/>
        <v>0</v>
      </c>
      <c r="O367" s="16">
        <f t="shared" si="82"/>
        <v>0</v>
      </c>
      <c r="P367" s="16" t="str">
        <f>+IF(AND(B367&gt;='Relevé de la Régularisation'!$C$9,B367&lt;='Relevé de la Régularisation'!$D$14),"OUI","NON")</f>
        <v>NON</v>
      </c>
      <c r="Q367" s="16" t="str">
        <f t="array" ref="Q367">IF(P367="OUI",MAX($Q$2:Q366)+1,"")</f>
        <v/>
      </c>
    </row>
    <row r="368" spans="1:17" x14ac:dyDescent="0.2">
      <c r="A368" s="453">
        <f t="shared" si="83"/>
        <v>53114</v>
      </c>
      <c r="B368" s="30">
        <v>53114</v>
      </c>
      <c r="C368" s="16">
        <f t="shared" si="70"/>
        <v>0</v>
      </c>
      <c r="D368" s="16">
        <f t="shared" si="71"/>
        <v>0</v>
      </c>
      <c r="E368" s="16">
        <f t="shared" si="72"/>
        <v>0</v>
      </c>
      <c r="F368" s="16">
        <f t="shared" si="73"/>
        <v>0</v>
      </c>
      <c r="G368" s="16">
        <f t="shared" si="74"/>
        <v>0</v>
      </c>
      <c r="H368" s="16">
        <f t="shared" si="75"/>
        <v>0</v>
      </c>
      <c r="I368" s="16">
        <f t="shared" si="76"/>
        <v>0</v>
      </c>
      <c r="J368" s="16">
        <f t="shared" si="77"/>
        <v>0</v>
      </c>
      <c r="K368" s="16">
        <f t="shared" si="78"/>
        <v>0</v>
      </c>
      <c r="L368" s="16">
        <f t="shared" si="79"/>
        <v>0</v>
      </c>
      <c r="M368" s="16">
        <f t="shared" si="80"/>
        <v>0</v>
      </c>
      <c r="N368" s="16">
        <f t="shared" si="81"/>
        <v>0</v>
      </c>
      <c r="O368" s="16">
        <f t="shared" si="82"/>
        <v>0</v>
      </c>
      <c r="P368" s="16" t="str">
        <f>+IF(AND(B368&gt;='Relevé de la Régularisation'!$C$9,B368&lt;='Relevé de la Régularisation'!$D$14),"OUI","NON")</f>
        <v>NON</v>
      </c>
      <c r="Q368" s="16" t="str">
        <f t="array" ref="Q368">IF(P368="OUI",MAX($Q$2:Q367)+1,"")</f>
        <v/>
      </c>
    </row>
    <row r="369" spans="1:17" x14ac:dyDescent="0.2">
      <c r="A369" s="453">
        <f t="shared" si="83"/>
        <v>53144</v>
      </c>
      <c r="B369" s="30">
        <v>53144</v>
      </c>
      <c r="C369" s="16">
        <f t="shared" si="70"/>
        <v>0</v>
      </c>
      <c r="D369" s="16">
        <f t="shared" si="71"/>
        <v>0</v>
      </c>
      <c r="E369" s="16">
        <f t="shared" si="72"/>
        <v>0</v>
      </c>
      <c r="F369" s="16">
        <f t="shared" si="73"/>
        <v>0</v>
      </c>
      <c r="G369" s="16">
        <f t="shared" si="74"/>
        <v>0</v>
      </c>
      <c r="H369" s="16">
        <f t="shared" si="75"/>
        <v>0</v>
      </c>
      <c r="I369" s="16">
        <f t="shared" si="76"/>
        <v>0</v>
      </c>
      <c r="J369" s="16">
        <f t="shared" si="77"/>
        <v>0</v>
      </c>
      <c r="K369" s="16">
        <f t="shared" si="78"/>
        <v>0</v>
      </c>
      <c r="L369" s="16">
        <f t="shared" si="79"/>
        <v>0</v>
      </c>
      <c r="M369" s="16">
        <f t="shared" si="80"/>
        <v>0</v>
      </c>
      <c r="N369" s="16">
        <f t="shared" si="81"/>
        <v>0</v>
      </c>
      <c r="O369" s="16">
        <f t="shared" si="82"/>
        <v>0</v>
      </c>
      <c r="P369" s="16" t="str">
        <f>+IF(AND(B369&gt;='Relevé de la Régularisation'!$C$9,B369&lt;='Relevé de la Régularisation'!$D$14),"OUI","NON")</f>
        <v>NON</v>
      </c>
      <c r="Q369" s="16" t="str">
        <f t="array" ref="Q369">IF(P369="OUI",MAX($Q$2:Q368)+1,"")</f>
        <v/>
      </c>
    </row>
    <row r="370" spans="1:17" x14ac:dyDescent="0.2">
      <c r="A370" s="453">
        <f t="shared" si="83"/>
        <v>53175</v>
      </c>
      <c r="B370" s="30">
        <v>53175</v>
      </c>
      <c r="C370" s="16">
        <f t="shared" si="70"/>
        <v>0</v>
      </c>
      <c r="D370" s="16">
        <f t="shared" si="71"/>
        <v>0</v>
      </c>
      <c r="E370" s="16">
        <f t="shared" si="72"/>
        <v>0</v>
      </c>
      <c r="F370" s="16">
        <f t="shared" si="73"/>
        <v>0</v>
      </c>
      <c r="G370" s="16">
        <f t="shared" si="74"/>
        <v>0</v>
      </c>
      <c r="H370" s="16">
        <f t="shared" si="75"/>
        <v>0</v>
      </c>
      <c r="I370" s="16">
        <f t="shared" si="76"/>
        <v>0</v>
      </c>
      <c r="J370" s="16">
        <f t="shared" si="77"/>
        <v>0</v>
      </c>
      <c r="K370" s="16">
        <f t="shared" si="78"/>
        <v>0</v>
      </c>
      <c r="L370" s="16">
        <f t="shared" si="79"/>
        <v>0</v>
      </c>
      <c r="M370" s="16">
        <f t="shared" si="80"/>
        <v>0</v>
      </c>
      <c r="N370" s="16">
        <f t="shared" si="81"/>
        <v>0</v>
      </c>
      <c r="O370" s="16">
        <f t="shared" si="82"/>
        <v>0</v>
      </c>
      <c r="P370" s="16" t="str">
        <f>+IF(AND(B370&gt;='Relevé de la Régularisation'!$C$9,B370&lt;='Relevé de la Régularisation'!$D$14),"OUI","NON")</f>
        <v>NON</v>
      </c>
      <c r="Q370" s="16" t="str">
        <f t="array" ref="Q370">IF(P370="OUI",MAX($Q$2:Q369)+1,"")</f>
        <v/>
      </c>
    </row>
    <row r="371" spans="1:17" x14ac:dyDescent="0.2">
      <c r="A371" s="453">
        <f t="shared" si="83"/>
        <v>53206</v>
      </c>
      <c r="B371" s="30">
        <v>53206</v>
      </c>
      <c r="C371" s="16">
        <f t="shared" si="70"/>
        <v>0</v>
      </c>
      <c r="D371" s="16">
        <f t="shared" si="71"/>
        <v>0</v>
      </c>
      <c r="E371" s="16">
        <f t="shared" si="72"/>
        <v>0</v>
      </c>
      <c r="F371" s="16">
        <f t="shared" si="73"/>
        <v>0</v>
      </c>
      <c r="G371" s="16">
        <f t="shared" si="74"/>
        <v>0</v>
      </c>
      <c r="H371" s="16">
        <f t="shared" si="75"/>
        <v>0</v>
      </c>
      <c r="I371" s="16">
        <f t="shared" si="76"/>
        <v>0</v>
      </c>
      <c r="J371" s="16">
        <f t="shared" si="77"/>
        <v>0</v>
      </c>
      <c r="K371" s="16">
        <f t="shared" si="78"/>
        <v>0</v>
      </c>
      <c r="L371" s="16">
        <f t="shared" si="79"/>
        <v>0</v>
      </c>
      <c r="M371" s="16">
        <f t="shared" si="80"/>
        <v>0</v>
      </c>
      <c r="N371" s="16">
        <f t="shared" si="81"/>
        <v>0</v>
      </c>
      <c r="O371" s="16">
        <f t="shared" si="82"/>
        <v>0</v>
      </c>
      <c r="P371" s="16" t="str">
        <f>+IF(AND(B371&gt;='Relevé de la Régularisation'!$C$9,B371&lt;='Relevé de la Régularisation'!$D$14),"OUI","NON")</f>
        <v>NON</v>
      </c>
      <c r="Q371" s="16" t="str">
        <f t="array" ref="Q371">IF(P371="OUI",MAX($Q$2:Q370)+1,"")</f>
        <v/>
      </c>
    </row>
    <row r="372" spans="1:17" x14ac:dyDescent="0.2">
      <c r="A372" s="453">
        <f t="shared" si="83"/>
        <v>53236</v>
      </c>
      <c r="B372" s="30">
        <v>53236</v>
      </c>
      <c r="C372" s="16">
        <f t="shared" si="70"/>
        <v>0</v>
      </c>
      <c r="D372" s="16">
        <f t="shared" si="71"/>
        <v>0</v>
      </c>
      <c r="E372" s="16">
        <f t="shared" si="72"/>
        <v>0</v>
      </c>
      <c r="F372" s="16">
        <f t="shared" si="73"/>
        <v>0</v>
      </c>
      <c r="G372" s="16">
        <f t="shared" si="74"/>
        <v>0</v>
      </c>
      <c r="H372" s="16">
        <f t="shared" si="75"/>
        <v>0</v>
      </c>
      <c r="I372" s="16">
        <f t="shared" si="76"/>
        <v>0</v>
      </c>
      <c r="J372" s="16">
        <f t="shared" si="77"/>
        <v>0</v>
      </c>
      <c r="K372" s="16">
        <f t="shared" si="78"/>
        <v>0</v>
      </c>
      <c r="L372" s="16">
        <f t="shared" si="79"/>
        <v>0</v>
      </c>
      <c r="M372" s="16">
        <f t="shared" si="80"/>
        <v>0</v>
      </c>
      <c r="N372" s="16">
        <f t="shared" si="81"/>
        <v>0</v>
      </c>
      <c r="O372" s="16">
        <f t="shared" si="82"/>
        <v>0</v>
      </c>
      <c r="P372" s="16" t="str">
        <f>+IF(AND(B372&gt;='Relevé de la Régularisation'!$C$9,B372&lt;='Relevé de la Régularisation'!$D$14),"OUI","NON")</f>
        <v>NON</v>
      </c>
      <c r="Q372" s="16" t="str">
        <f t="array" ref="Q372">IF(P372="OUI",MAX($Q$2:Q371)+1,"")</f>
        <v/>
      </c>
    </row>
    <row r="373" spans="1:17" x14ac:dyDescent="0.2">
      <c r="A373" s="453">
        <f t="shared" si="83"/>
        <v>53267</v>
      </c>
      <c r="B373" s="30">
        <v>53267</v>
      </c>
      <c r="C373" s="16">
        <f t="shared" si="70"/>
        <v>0</v>
      </c>
      <c r="D373" s="16">
        <f t="shared" si="71"/>
        <v>0</v>
      </c>
      <c r="E373" s="16">
        <f t="shared" si="72"/>
        <v>0</v>
      </c>
      <c r="F373" s="16">
        <f t="shared" si="73"/>
        <v>0</v>
      </c>
      <c r="G373" s="16">
        <f t="shared" si="74"/>
        <v>0</v>
      </c>
      <c r="H373" s="16">
        <f t="shared" si="75"/>
        <v>0</v>
      </c>
      <c r="I373" s="16">
        <f t="shared" si="76"/>
        <v>0</v>
      </c>
      <c r="J373" s="16">
        <f t="shared" si="77"/>
        <v>0</v>
      </c>
      <c r="K373" s="16">
        <f t="shared" si="78"/>
        <v>0</v>
      </c>
      <c r="L373" s="16">
        <f t="shared" si="79"/>
        <v>0</v>
      </c>
      <c r="M373" s="16">
        <f t="shared" si="80"/>
        <v>0</v>
      </c>
      <c r="N373" s="16">
        <f t="shared" si="81"/>
        <v>0</v>
      </c>
      <c r="O373" s="16">
        <f t="shared" si="82"/>
        <v>0</v>
      </c>
      <c r="P373" s="16" t="str">
        <f>+IF(AND(B373&gt;='Relevé de la Régularisation'!$C$9,B373&lt;='Relevé de la Régularisation'!$D$14),"OUI","NON")</f>
        <v>NON</v>
      </c>
      <c r="Q373" s="16" t="str">
        <f t="array" ref="Q373">IF(P373="OUI",MAX($Q$2:Q372)+1,"")</f>
        <v/>
      </c>
    </row>
    <row r="374" spans="1:17" x14ac:dyDescent="0.2">
      <c r="A374" s="453">
        <f t="shared" si="83"/>
        <v>53297</v>
      </c>
      <c r="B374" s="30">
        <v>53297</v>
      </c>
      <c r="C374" s="16">
        <f t="shared" si="70"/>
        <v>0</v>
      </c>
      <c r="D374" s="16">
        <f t="shared" si="71"/>
        <v>0</v>
      </c>
      <c r="E374" s="16">
        <f t="shared" si="72"/>
        <v>0</v>
      </c>
      <c r="F374" s="16">
        <f t="shared" si="73"/>
        <v>0</v>
      </c>
      <c r="G374" s="16">
        <f t="shared" si="74"/>
        <v>0</v>
      </c>
      <c r="H374" s="16">
        <f t="shared" si="75"/>
        <v>0</v>
      </c>
      <c r="I374" s="16">
        <f t="shared" si="76"/>
        <v>0</v>
      </c>
      <c r="J374" s="16">
        <f t="shared" si="77"/>
        <v>0</v>
      </c>
      <c r="K374" s="16">
        <f t="shared" si="78"/>
        <v>0</v>
      </c>
      <c r="L374" s="16">
        <f t="shared" si="79"/>
        <v>0</v>
      </c>
      <c r="M374" s="16">
        <f t="shared" si="80"/>
        <v>0</v>
      </c>
      <c r="N374" s="16">
        <f t="shared" si="81"/>
        <v>0</v>
      </c>
      <c r="O374" s="16">
        <f t="shared" si="82"/>
        <v>0</v>
      </c>
      <c r="P374" s="16" t="str">
        <f>+IF(AND(B374&gt;='Relevé de la Régularisation'!$C$9,B374&lt;='Relevé de la Régularisation'!$D$14),"OUI","NON")</f>
        <v>NON</v>
      </c>
      <c r="Q374" s="16" t="str">
        <f t="array" ref="Q374">IF(P374="OUI",MAX($Q$2:Q373)+1,"")</f>
        <v/>
      </c>
    </row>
    <row r="375" spans="1:17" x14ac:dyDescent="0.2">
      <c r="A375" s="453">
        <f t="shared" si="83"/>
        <v>53328</v>
      </c>
      <c r="B375" s="30">
        <v>53328</v>
      </c>
      <c r="C375" s="16">
        <f t="shared" si="70"/>
        <v>0</v>
      </c>
      <c r="D375" s="16">
        <f t="shared" si="71"/>
        <v>0</v>
      </c>
      <c r="E375" s="16">
        <f t="shared" si="72"/>
        <v>0</v>
      </c>
      <c r="F375" s="16">
        <f t="shared" si="73"/>
        <v>0</v>
      </c>
      <c r="G375" s="16">
        <f t="shared" si="74"/>
        <v>0</v>
      </c>
      <c r="H375" s="16">
        <f t="shared" si="75"/>
        <v>0</v>
      </c>
      <c r="I375" s="16">
        <f t="shared" si="76"/>
        <v>0</v>
      </c>
      <c r="J375" s="16">
        <f t="shared" si="77"/>
        <v>0</v>
      </c>
      <c r="K375" s="16">
        <f t="shared" si="78"/>
        <v>0</v>
      </c>
      <c r="L375" s="16">
        <f t="shared" si="79"/>
        <v>0</v>
      </c>
      <c r="M375" s="16">
        <f t="shared" si="80"/>
        <v>0</v>
      </c>
      <c r="N375" s="16">
        <f t="shared" si="81"/>
        <v>0</v>
      </c>
      <c r="O375" s="16">
        <f t="shared" si="82"/>
        <v>0</v>
      </c>
      <c r="P375" s="16" t="str">
        <f>+IF(AND(B375&gt;='Relevé de la Régularisation'!$C$9,B375&lt;='Relevé de la Régularisation'!$D$14),"OUI","NON")</f>
        <v>NON</v>
      </c>
      <c r="Q375" s="16" t="str">
        <f t="array" ref="Q375">IF(P375="OUI",MAX($Q$2:Q374)+1,"")</f>
        <v/>
      </c>
    </row>
    <row r="376" spans="1:17" x14ac:dyDescent="0.2">
      <c r="A376" s="453">
        <f t="shared" si="83"/>
        <v>53359</v>
      </c>
      <c r="B376" s="30">
        <v>53359</v>
      </c>
      <c r="C376" s="16">
        <f t="shared" si="70"/>
        <v>0</v>
      </c>
      <c r="D376" s="16">
        <f t="shared" si="71"/>
        <v>0</v>
      </c>
      <c r="E376" s="16">
        <f t="shared" si="72"/>
        <v>0</v>
      </c>
      <c r="F376" s="16">
        <f t="shared" si="73"/>
        <v>0</v>
      </c>
      <c r="G376" s="16">
        <f t="shared" si="74"/>
        <v>0</v>
      </c>
      <c r="H376" s="16">
        <f t="shared" si="75"/>
        <v>0</v>
      </c>
      <c r="I376" s="16">
        <f t="shared" si="76"/>
        <v>0</v>
      </c>
      <c r="J376" s="16">
        <f t="shared" si="77"/>
        <v>0</v>
      </c>
      <c r="K376" s="16">
        <f t="shared" si="78"/>
        <v>0</v>
      </c>
      <c r="L376" s="16">
        <f t="shared" si="79"/>
        <v>0</v>
      </c>
      <c r="M376" s="16">
        <f t="shared" si="80"/>
        <v>0</v>
      </c>
      <c r="N376" s="16">
        <f t="shared" si="81"/>
        <v>0</v>
      </c>
      <c r="O376" s="16">
        <f t="shared" si="82"/>
        <v>0</v>
      </c>
      <c r="P376" s="16" t="str">
        <f>+IF(AND(B376&gt;='Relevé de la Régularisation'!$C$9,B376&lt;='Relevé de la Régularisation'!$D$14),"OUI","NON")</f>
        <v>NON</v>
      </c>
      <c r="Q376" s="16" t="str">
        <f t="array" ref="Q376">IF(P376="OUI",MAX($Q$2:Q375)+1,"")</f>
        <v/>
      </c>
    </row>
    <row r="377" spans="1:17" x14ac:dyDescent="0.2">
      <c r="A377" s="453">
        <f t="shared" si="83"/>
        <v>53387</v>
      </c>
      <c r="B377" s="30">
        <v>53387</v>
      </c>
      <c r="C377" s="16">
        <f t="shared" si="70"/>
        <v>0</v>
      </c>
      <c r="D377" s="16">
        <f t="shared" si="71"/>
        <v>0</v>
      </c>
      <c r="E377" s="16">
        <f t="shared" si="72"/>
        <v>0</v>
      </c>
      <c r="F377" s="16">
        <f t="shared" si="73"/>
        <v>0</v>
      </c>
      <c r="G377" s="16">
        <f t="shared" si="74"/>
        <v>0</v>
      </c>
      <c r="H377" s="16">
        <f t="shared" si="75"/>
        <v>0</v>
      </c>
      <c r="I377" s="16">
        <f t="shared" si="76"/>
        <v>0</v>
      </c>
      <c r="J377" s="16">
        <f t="shared" si="77"/>
        <v>0</v>
      </c>
      <c r="K377" s="16">
        <f t="shared" si="78"/>
        <v>0</v>
      </c>
      <c r="L377" s="16">
        <f t="shared" si="79"/>
        <v>0</v>
      </c>
      <c r="M377" s="16">
        <f t="shared" si="80"/>
        <v>0</v>
      </c>
      <c r="N377" s="16">
        <f t="shared" si="81"/>
        <v>0</v>
      </c>
      <c r="O377" s="16">
        <f t="shared" si="82"/>
        <v>0</v>
      </c>
      <c r="P377" s="16" t="str">
        <f>+IF(AND(B377&gt;='Relevé de la Régularisation'!$C$9,B377&lt;='Relevé de la Régularisation'!$D$14),"OUI","NON")</f>
        <v>NON</v>
      </c>
      <c r="Q377" s="16" t="str">
        <f t="array" ref="Q377">IF(P377="OUI",MAX($Q$2:Q376)+1,"")</f>
        <v/>
      </c>
    </row>
    <row r="378" spans="1:17" x14ac:dyDescent="0.2">
      <c r="A378" s="453">
        <f t="shared" si="83"/>
        <v>53418</v>
      </c>
      <c r="B378" s="30">
        <v>53418</v>
      </c>
      <c r="C378" s="16">
        <f t="shared" si="70"/>
        <v>0</v>
      </c>
      <c r="D378" s="16">
        <f t="shared" si="71"/>
        <v>0</v>
      </c>
      <c r="E378" s="16">
        <f t="shared" si="72"/>
        <v>0</v>
      </c>
      <c r="F378" s="16">
        <f t="shared" si="73"/>
        <v>0</v>
      </c>
      <c r="G378" s="16">
        <f t="shared" si="74"/>
        <v>0</v>
      </c>
      <c r="H378" s="16">
        <f t="shared" si="75"/>
        <v>0</v>
      </c>
      <c r="I378" s="16">
        <f t="shared" si="76"/>
        <v>0</v>
      </c>
      <c r="J378" s="16">
        <f t="shared" si="77"/>
        <v>0</v>
      </c>
      <c r="K378" s="16">
        <f t="shared" si="78"/>
        <v>0</v>
      </c>
      <c r="L378" s="16">
        <f t="shared" si="79"/>
        <v>0</v>
      </c>
      <c r="M378" s="16">
        <f t="shared" si="80"/>
        <v>0</v>
      </c>
      <c r="N378" s="16">
        <f t="shared" si="81"/>
        <v>0</v>
      </c>
      <c r="O378" s="16">
        <f t="shared" si="82"/>
        <v>0</v>
      </c>
      <c r="P378" s="16" t="str">
        <f>+IF(AND(B378&gt;='Relevé de la Régularisation'!$C$9,B378&lt;='Relevé de la Régularisation'!$D$14),"OUI","NON")</f>
        <v>NON</v>
      </c>
      <c r="Q378" s="16" t="str">
        <f t="array" ref="Q378">IF(P378="OUI",MAX($Q$2:Q377)+1,"")</f>
        <v/>
      </c>
    </row>
    <row r="379" spans="1:17" x14ac:dyDescent="0.2">
      <c r="A379" s="453">
        <f t="shared" si="83"/>
        <v>53448</v>
      </c>
      <c r="B379" s="30">
        <v>53448</v>
      </c>
      <c r="C379" s="16">
        <f t="shared" si="70"/>
        <v>0</v>
      </c>
      <c r="D379" s="16">
        <f t="shared" si="71"/>
        <v>0</v>
      </c>
      <c r="E379" s="16">
        <f t="shared" si="72"/>
        <v>0</v>
      </c>
      <c r="F379" s="16">
        <f t="shared" si="73"/>
        <v>0</v>
      </c>
      <c r="G379" s="16">
        <f t="shared" si="74"/>
        <v>0</v>
      </c>
      <c r="H379" s="16">
        <f t="shared" si="75"/>
        <v>0</v>
      </c>
      <c r="I379" s="16">
        <f t="shared" si="76"/>
        <v>0</v>
      </c>
      <c r="J379" s="16">
        <f t="shared" si="77"/>
        <v>0</v>
      </c>
      <c r="K379" s="16">
        <f t="shared" si="78"/>
        <v>0</v>
      </c>
      <c r="L379" s="16">
        <f t="shared" si="79"/>
        <v>0</v>
      </c>
      <c r="M379" s="16">
        <f t="shared" si="80"/>
        <v>0</v>
      </c>
      <c r="N379" s="16">
        <f t="shared" si="81"/>
        <v>0</v>
      </c>
      <c r="O379" s="16">
        <f t="shared" si="82"/>
        <v>0</v>
      </c>
      <c r="P379" s="16" t="str">
        <f>+IF(AND(B379&gt;='Relevé de la Régularisation'!$C$9,B379&lt;='Relevé de la Régularisation'!$D$14),"OUI","NON")</f>
        <v>NON</v>
      </c>
      <c r="Q379" s="16" t="str">
        <f t="array" ref="Q379">IF(P379="OUI",MAX($Q$2:Q378)+1,"")</f>
        <v/>
      </c>
    </row>
    <row r="380" spans="1:17" x14ac:dyDescent="0.2">
      <c r="A380" s="453">
        <f t="shared" si="83"/>
        <v>53479</v>
      </c>
      <c r="B380" s="30">
        <v>53479</v>
      </c>
      <c r="C380" s="16">
        <f t="shared" si="70"/>
        <v>0</v>
      </c>
      <c r="D380" s="16">
        <f t="shared" si="71"/>
        <v>0</v>
      </c>
      <c r="E380" s="16">
        <f t="shared" si="72"/>
        <v>0</v>
      </c>
      <c r="F380" s="16">
        <f t="shared" si="73"/>
        <v>0</v>
      </c>
      <c r="G380" s="16">
        <f t="shared" si="74"/>
        <v>0</v>
      </c>
      <c r="H380" s="16">
        <f t="shared" si="75"/>
        <v>0</v>
      </c>
      <c r="I380" s="16">
        <f t="shared" si="76"/>
        <v>0</v>
      </c>
      <c r="J380" s="16">
        <f t="shared" si="77"/>
        <v>0</v>
      </c>
      <c r="K380" s="16">
        <f t="shared" si="78"/>
        <v>0</v>
      </c>
      <c r="L380" s="16">
        <f t="shared" si="79"/>
        <v>0</v>
      </c>
      <c r="M380" s="16">
        <f t="shared" si="80"/>
        <v>0</v>
      </c>
      <c r="N380" s="16">
        <f t="shared" si="81"/>
        <v>0</v>
      </c>
      <c r="O380" s="16">
        <f t="shared" si="82"/>
        <v>0</v>
      </c>
      <c r="P380" s="16" t="str">
        <f>+IF(AND(B380&gt;='Relevé de la Régularisation'!$C$9,B380&lt;='Relevé de la Régularisation'!$D$14),"OUI","NON")</f>
        <v>NON</v>
      </c>
      <c r="Q380" s="16" t="str">
        <f t="array" ref="Q380">IF(P380="OUI",MAX($Q$2:Q379)+1,"")</f>
        <v/>
      </c>
    </row>
    <row r="381" spans="1:17" x14ac:dyDescent="0.2">
      <c r="A381" s="453">
        <f t="shared" si="83"/>
        <v>53509</v>
      </c>
      <c r="B381" s="30">
        <v>53509</v>
      </c>
      <c r="C381" s="16">
        <f t="shared" si="70"/>
        <v>0</v>
      </c>
      <c r="D381" s="16">
        <f t="shared" si="71"/>
        <v>0</v>
      </c>
      <c r="E381" s="16">
        <f t="shared" si="72"/>
        <v>0</v>
      </c>
      <c r="F381" s="16">
        <f t="shared" si="73"/>
        <v>0</v>
      </c>
      <c r="G381" s="16">
        <f t="shared" si="74"/>
        <v>0</v>
      </c>
      <c r="H381" s="16">
        <f t="shared" si="75"/>
        <v>0</v>
      </c>
      <c r="I381" s="16">
        <f t="shared" si="76"/>
        <v>0</v>
      </c>
      <c r="J381" s="16">
        <f t="shared" si="77"/>
        <v>0</v>
      </c>
      <c r="K381" s="16">
        <f t="shared" si="78"/>
        <v>0</v>
      </c>
      <c r="L381" s="16">
        <f t="shared" si="79"/>
        <v>0</v>
      </c>
      <c r="M381" s="16">
        <f t="shared" si="80"/>
        <v>0</v>
      </c>
      <c r="N381" s="16">
        <f t="shared" si="81"/>
        <v>0</v>
      </c>
      <c r="O381" s="16">
        <f t="shared" si="82"/>
        <v>0</v>
      </c>
      <c r="P381" s="16" t="str">
        <f>+IF(AND(B381&gt;='Relevé de la Régularisation'!$C$9,B381&lt;='Relevé de la Régularisation'!$D$14),"OUI","NON")</f>
        <v>NON</v>
      </c>
      <c r="Q381" s="16" t="str">
        <f t="array" ref="Q381">IF(P381="OUI",MAX($Q$2:Q380)+1,"")</f>
        <v/>
      </c>
    </row>
    <row r="382" spans="1:17" x14ac:dyDescent="0.2">
      <c r="A382" s="453">
        <f t="shared" si="83"/>
        <v>53540</v>
      </c>
      <c r="B382" s="30">
        <v>53540</v>
      </c>
      <c r="C382" s="16">
        <f t="shared" si="70"/>
        <v>0</v>
      </c>
      <c r="D382" s="16">
        <f t="shared" si="71"/>
        <v>0</v>
      </c>
      <c r="E382" s="16">
        <f t="shared" si="72"/>
        <v>0</v>
      </c>
      <c r="F382" s="16">
        <f t="shared" si="73"/>
        <v>0</v>
      </c>
      <c r="G382" s="16">
        <f t="shared" si="74"/>
        <v>0</v>
      </c>
      <c r="H382" s="16">
        <f t="shared" si="75"/>
        <v>0</v>
      </c>
      <c r="I382" s="16">
        <f t="shared" si="76"/>
        <v>0</v>
      </c>
      <c r="J382" s="16">
        <f t="shared" si="77"/>
        <v>0</v>
      </c>
      <c r="K382" s="16">
        <f t="shared" si="78"/>
        <v>0</v>
      </c>
      <c r="L382" s="16">
        <f t="shared" si="79"/>
        <v>0</v>
      </c>
      <c r="M382" s="16">
        <f t="shared" si="80"/>
        <v>0</v>
      </c>
      <c r="N382" s="16">
        <f t="shared" si="81"/>
        <v>0</v>
      </c>
      <c r="O382" s="16">
        <f t="shared" si="82"/>
        <v>0</v>
      </c>
      <c r="P382" s="16" t="str">
        <f>+IF(AND(B382&gt;='Relevé de la Régularisation'!$C$9,B382&lt;='Relevé de la Régularisation'!$D$14),"OUI","NON")</f>
        <v>NON</v>
      </c>
      <c r="Q382" s="16" t="str">
        <f t="array" ref="Q382">IF(P382="OUI",MAX($Q$2:Q381)+1,"")</f>
        <v/>
      </c>
    </row>
    <row r="383" spans="1:17" x14ac:dyDescent="0.2">
      <c r="A383" s="453">
        <f t="shared" si="83"/>
        <v>53571</v>
      </c>
      <c r="B383" s="30">
        <v>53571</v>
      </c>
      <c r="C383" s="16">
        <f t="shared" si="70"/>
        <v>0</v>
      </c>
      <c r="D383" s="16">
        <f t="shared" si="71"/>
        <v>0</v>
      </c>
      <c r="E383" s="16">
        <f t="shared" si="72"/>
        <v>0</v>
      </c>
      <c r="F383" s="16">
        <f t="shared" si="73"/>
        <v>0</v>
      </c>
      <c r="G383" s="16">
        <f t="shared" si="74"/>
        <v>0</v>
      </c>
      <c r="H383" s="16">
        <f t="shared" si="75"/>
        <v>0</v>
      </c>
      <c r="I383" s="16">
        <f t="shared" si="76"/>
        <v>0</v>
      </c>
      <c r="J383" s="16">
        <f t="shared" si="77"/>
        <v>0</v>
      </c>
      <c r="K383" s="16">
        <f t="shared" si="78"/>
        <v>0</v>
      </c>
      <c r="L383" s="16">
        <f t="shared" si="79"/>
        <v>0</v>
      </c>
      <c r="M383" s="16">
        <f t="shared" si="80"/>
        <v>0</v>
      </c>
      <c r="N383" s="16">
        <f t="shared" si="81"/>
        <v>0</v>
      </c>
      <c r="O383" s="16">
        <f t="shared" si="82"/>
        <v>0</v>
      </c>
      <c r="P383" s="16" t="str">
        <f>+IF(AND(B383&gt;='Relevé de la Régularisation'!$C$9,B383&lt;='Relevé de la Régularisation'!$D$14),"OUI","NON")</f>
        <v>NON</v>
      </c>
      <c r="Q383" s="16" t="str">
        <f t="array" ref="Q383">IF(P383="OUI",MAX($Q$2:Q382)+1,"")</f>
        <v/>
      </c>
    </row>
    <row r="384" spans="1:17" x14ac:dyDescent="0.2">
      <c r="A384" s="453">
        <f t="shared" si="83"/>
        <v>53601</v>
      </c>
      <c r="B384" s="30">
        <v>53601</v>
      </c>
      <c r="C384" s="16">
        <f t="shared" si="70"/>
        <v>0</v>
      </c>
      <c r="D384" s="16">
        <f t="shared" si="71"/>
        <v>0</v>
      </c>
      <c r="E384" s="16">
        <f t="shared" si="72"/>
        <v>0</v>
      </c>
      <c r="F384" s="16">
        <f t="shared" si="73"/>
        <v>0</v>
      </c>
      <c r="G384" s="16">
        <f t="shared" si="74"/>
        <v>0</v>
      </c>
      <c r="H384" s="16">
        <f t="shared" si="75"/>
        <v>0</v>
      </c>
      <c r="I384" s="16">
        <f t="shared" si="76"/>
        <v>0</v>
      </c>
      <c r="J384" s="16">
        <f t="shared" si="77"/>
        <v>0</v>
      </c>
      <c r="K384" s="16">
        <f t="shared" si="78"/>
        <v>0</v>
      </c>
      <c r="L384" s="16">
        <f t="shared" si="79"/>
        <v>0</v>
      </c>
      <c r="M384" s="16">
        <f t="shared" si="80"/>
        <v>0</v>
      </c>
      <c r="N384" s="16">
        <f t="shared" si="81"/>
        <v>0</v>
      </c>
      <c r="O384" s="16">
        <f t="shared" si="82"/>
        <v>0</v>
      </c>
      <c r="P384" s="16" t="str">
        <f>+IF(AND(B384&gt;='Relevé de la Régularisation'!$C$9,B384&lt;='Relevé de la Régularisation'!$D$14),"OUI","NON")</f>
        <v>NON</v>
      </c>
      <c r="Q384" s="16" t="str">
        <f t="array" ref="Q384">IF(P384="OUI",MAX($Q$2:Q383)+1,"")</f>
        <v/>
      </c>
    </row>
    <row r="385" spans="1:17" x14ac:dyDescent="0.2">
      <c r="A385" s="453">
        <f t="shared" si="83"/>
        <v>53632</v>
      </c>
      <c r="B385" s="30">
        <v>53632</v>
      </c>
      <c r="C385" s="16">
        <f t="shared" si="70"/>
        <v>0</v>
      </c>
      <c r="D385" s="16">
        <f t="shared" si="71"/>
        <v>0</v>
      </c>
      <c r="E385" s="16">
        <f t="shared" si="72"/>
        <v>0</v>
      </c>
      <c r="F385" s="16">
        <f t="shared" si="73"/>
        <v>0</v>
      </c>
      <c r="G385" s="16">
        <f t="shared" si="74"/>
        <v>0</v>
      </c>
      <c r="H385" s="16">
        <f t="shared" si="75"/>
        <v>0</v>
      </c>
      <c r="I385" s="16">
        <f t="shared" si="76"/>
        <v>0</v>
      </c>
      <c r="J385" s="16">
        <f t="shared" si="77"/>
        <v>0</v>
      </c>
      <c r="K385" s="16">
        <f t="shared" si="78"/>
        <v>0</v>
      </c>
      <c r="L385" s="16">
        <f t="shared" si="79"/>
        <v>0</v>
      </c>
      <c r="M385" s="16">
        <f t="shared" si="80"/>
        <v>0</v>
      </c>
      <c r="N385" s="16">
        <f t="shared" si="81"/>
        <v>0</v>
      </c>
      <c r="O385" s="16">
        <f t="shared" si="82"/>
        <v>0</v>
      </c>
      <c r="P385" s="16" t="str">
        <f>+IF(AND(B385&gt;='Relevé de la Régularisation'!$C$9,B385&lt;='Relevé de la Régularisation'!$D$14),"OUI","NON")</f>
        <v>NON</v>
      </c>
      <c r="Q385" s="16" t="str">
        <f t="array" ref="Q385">IF(P385="OUI",MAX($Q$2:Q384)+1,"")</f>
        <v/>
      </c>
    </row>
    <row r="386" spans="1:17" x14ac:dyDescent="0.2">
      <c r="A386" s="453">
        <f t="shared" si="83"/>
        <v>53662</v>
      </c>
      <c r="B386" s="30">
        <v>53662</v>
      </c>
      <c r="C386" s="16">
        <f t="shared" si="70"/>
        <v>0</v>
      </c>
      <c r="D386" s="16">
        <f t="shared" si="71"/>
        <v>0</v>
      </c>
      <c r="E386" s="16">
        <f t="shared" si="72"/>
        <v>0</v>
      </c>
      <c r="F386" s="16">
        <f t="shared" si="73"/>
        <v>0</v>
      </c>
      <c r="G386" s="16">
        <f t="shared" si="74"/>
        <v>0</v>
      </c>
      <c r="H386" s="16">
        <f t="shared" si="75"/>
        <v>0</v>
      </c>
      <c r="I386" s="16">
        <f t="shared" si="76"/>
        <v>0</v>
      </c>
      <c r="J386" s="16">
        <f t="shared" si="77"/>
        <v>0</v>
      </c>
      <c r="K386" s="16">
        <f t="shared" si="78"/>
        <v>0</v>
      </c>
      <c r="L386" s="16">
        <f t="shared" si="79"/>
        <v>0</v>
      </c>
      <c r="M386" s="16">
        <f t="shared" si="80"/>
        <v>0</v>
      </c>
      <c r="N386" s="16">
        <f t="shared" si="81"/>
        <v>0</v>
      </c>
      <c r="O386" s="16">
        <f t="shared" si="82"/>
        <v>0</v>
      </c>
      <c r="P386" s="16" t="str">
        <f>+IF(AND(B386&gt;='Relevé de la Régularisation'!$C$9,B386&lt;='Relevé de la Régularisation'!$D$14),"OUI","NON")</f>
        <v>NON</v>
      </c>
      <c r="Q386" s="16" t="str">
        <f t="array" ref="Q386">IF(P386="OUI",MAX($Q$2:Q385)+1,"")</f>
        <v/>
      </c>
    </row>
    <row r="387" spans="1:17" x14ac:dyDescent="0.2">
      <c r="A387" s="453">
        <f t="shared" si="83"/>
        <v>53693</v>
      </c>
      <c r="B387" s="30">
        <v>53693</v>
      </c>
      <c r="C387" s="16">
        <f t="shared" ref="C387:C422" si="84">IFERROR(+VLOOKUP(B387,BDD,41,FALSE),0)</f>
        <v>0</v>
      </c>
      <c r="D387" s="16">
        <f t="shared" ref="D387:D422" si="85">IFERROR(+VLOOKUP(B387,BDD,42,FALSE),0)</f>
        <v>0</v>
      </c>
      <c r="E387" s="16">
        <f t="shared" ref="E387:E422" si="86">IFERROR(+VLOOKUP(B387,BDD,43,FALSE),0)</f>
        <v>0</v>
      </c>
      <c r="F387" s="16">
        <f t="shared" ref="F387:F422" si="87">IFERROR(+VLOOKUP(B387,BDD,44,FALSE),0)</f>
        <v>0</v>
      </c>
      <c r="G387" s="16">
        <f t="shared" ref="G387:G422" si="88">IFERROR(+VLOOKUP(B387,BDD,45,FALSE),0)</f>
        <v>0</v>
      </c>
      <c r="H387" s="16">
        <f t="shared" ref="H387:H422" si="89">IFERROR(+VLOOKUP(B387,BDD,46,FALSE),0)</f>
        <v>0</v>
      </c>
      <c r="I387" s="16">
        <f t="shared" ref="I387:I422" si="90">IFERROR(+VLOOKUP(B387,BDD,47,FALSE),0)</f>
        <v>0</v>
      </c>
      <c r="J387" s="16">
        <f t="shared" ref="J387:J422" si="91">IFERROR(+VLOOKUP(B387,BDD,48,FALSE),0)</f>
        <v>0</v>
      </c>
      <c r="K387" s="16">
        <f t="shared" ref="K387:K422" si="92">IFERROR(+VLOOKUP(B387,BDD,49,FALSE),0)</f>
        <v>0</v>
      </c>
      <c r="L387" s="16">
        <f t="shared" ref="L387:L422" si="93">IFERROR(+VLOOKUP(B387,BDD,50,FALSE),0)</f>
        <v>0</v>
      </c>
      <c r="M387" s="16">
        <f t="shared" ref="M387:M422" si="94">IFERROR(+VLOOKUP(B387,BDD,51,FALSE),0)</f>
        <v>0</v>
      </c>
      <c r="N387" s="16">
        <f t="shared" ref="N387:N422" si="95">IFERROR(+VLOOKUP(B387,BDD,22,FALSE),0)</f>
        <v>0</v>
      </c>
      <c r="O387" s="16">
        <f t="shared" ref="O387:O422" si="96">IFERROR(+VLOOKUP(B387,BDD,101,FALSE),0)</f>
        <v>0</v>
      </c>
      <c r="P387" s="16" t="str">
        <f>+IF(AND(B387&gt;='Relevé de la Régularisation'!$C$9,B387&lt;='Relevé de la Régularisation'!$D$14),"OUI","NON")</f>
        <v>NON</v>
      </c>
      <c r="Q387" s="16" t="str">
        <f t="array" ref="Q387">IF(P387="OUI",MAX($Q$2:Q386)+1,"")</f>
        <v/>
      </c>
    </row>
    <row r="388" spans="1:17" x14ac:dyDescent="0.2">
      <c r="A388" s="453">
        <f t="shared" ref="A388:A422" si="97">+B388</f>
        <v>53724</v>
      </c>
      <c r="B388" s="30">
        <v>53724</v>
      </c>
      <c r="C388" s="16">
        <f t="shared" si="84"/>
        <v>0</v>
      </c>
      <c r="D388" s="16">
        <f t="shared" si="85"/>
        <v>0</v>
      </c>
      <c r="E388" s="16">
        <f t="shared" si="86"/>
        <v>0</v>
      </c>
      <c r="F388" s="16">
        <f t="shared" si="87"/>
        <v>0</v>
      </c>
      <c r="G388" s="16">
        <f t="shared" si="88"/>
        <v>0</v>
      </c>
      <c r="H388" s="16">
        <f t="shared" si="89"/>
        <v>0</v>
      </c>
      <c r="I388" s="16">
        <f t="shared" si="90"/>
        <v>0</v>
      </c>
      <c r="J388" s="16">
        <f t="shared" si="91"/>
        <v>0</v>
      </c>
      <c r="K388" s="16">
        <f t="shared" si="92"/>
        <v>0</v>
      </c>
      <c r="L388" s="16">
        <f t="shared" si="93"/>
        <v>0</v>
      </c>
      <c r="M388" s="16">
        <f t="shared" si="94"/>
        <v>0</v>
      </c>
      <c r="N388" s="16">
        <f t="shared" si="95"/>
        <v>0</v>
      </c>
      <c r="O388" s="16">
        <f t="shared" si="96"/>
        <v>0</v>
      </c>
      <c r="P388" s="16" t="str">
        <f>+IF(AND(B388&gt;='Relevé de la Régularisation'!$C$9,B388&lt;='Relevé de la Régularisation'!$D$14),"OUI","NON")</f>
        <v>NON</v>
      </c>
      <c r="Q388" s="16" t="str">
        <f t="array" ref="Q388">IF(P388="OUI",MAX($Q$2:Q387)+1,"")</f>
        <v/>
      </c>
    </row>
    <row r="389" spans="1:17" x14ac:dyDescent="0.2">
      <c r="A389" s="453">
        <f t="shared" si="97"/>
        <v>53752</v>
      </c>
      <c r="B389" s="30">
        <v>53752</v>
      </c>
      <c r="C389" s="16">
        <f t="shared" si="84"/>
        <v>0</v>
      </c>
      <c r="D389" s="16">
        <f t="shared" si="85"/>
        <v>0</v>
      </c>
      <c r="E389" s="16">
        <f t="shared" si="86"/>
        <v>0</v>
      </c>
      <c r="F389" s="16">
        <f t="shared" si="87"/>
        <v>0</v>
      </c>
      <c r="G389" s="16">
        <f t="shared" si="88"/>
        <v>0</v>
      </c>
      <c r="H389" s="16">
        <f t="shared" si="89"/>
        <v>0</v>
      </c>
      <c r="I389" s="16">
        <f t="shared" si="90"/>
        <v>0</v>
      </c>
      <c r="J389" s="16">
        <f t="shared" si="91"/>
        <v>0</v>
      </c>
      <c r="K389" s="16">
        <f t="shared" si="92"/>
        <v>0</v>
      </c>
      <c r="L389" s="16">
        <f t="shared" si="93"/>
        <v>0</v>
      </c>
      <c r="M389" s="16">
        <f t="shared" si="94"/>
        <v>0</v>
      </c>
      <c r="N389" s="16">
        <f t="shared" si="95"/>
        <v>0</v>
      </c>
      <c r="O389" s="16">
        <f t="shared" si="96"/>
        <v>0</v>
      </c>
      <c r="P389" s="16" t="str">
        <f>+IF(AND(B389&gt;='Relevé de la Régularisation'!$C$9,B389&lt;='Relevé de la Régularisation'!$D$14),"OUI","NON")</f>
        <v>NON</v>
      </c>
      <c r="Q389" s="16" t="str">
        <f t="array" ref="Q389">IF(P389="OUI",MAX($Q$2:Q388)+1,"")</f>
        <v/>
      </c>
    </row>
    <row r="390" spans="1:17" x14ac:dyDescent="0.2">
      <c r="A390" s="453">
        <f t="shared" si="97"/>
        <v>53783</v>
      </c>
      <c r="B390" s="30">
        <v>53783</v>
      </c>
      <c r="C390" s="16">
        <f t="shared" si="84"/>
        <v>0</v>
      </c>
      <c r="D390" s="16">
        <f t="shared" si="85"/>
        <v>0</v>
      </c>
      <c r="E390" s="16">
        <f t="shared" si="86"/>
        <v>0</v>
      </c>
      <c r="F390" s="16">
        <f t="shared" si="87"/>
        <v>0</v>
      </c>
      <c r="G390" s="16">
        <f t="shared" si="88"/>
        <v>0</v>
      </c>
      <c r="H390" s="16">
        <f t="shared" si="89"/>
        <v>0</v>
      </c>
      <c r="I390" s="16">
        <f t="shared" si="90"/>
        <v>0</v>
      </c>
      <c r="J390" s="16">
        <f t="shared" si="91"/>
        <v>0</v>
      </c>
      <c r="K390" s="16">
        <f t="shared" si="92"/>
        <v>0</v>
      </c>
      <c r="L390" s="16">
        <f t="shared" si="93"/>
        <v>0</v>
      </c>
      <c r="M390" s="16">
        <f t="shared" si="94"/>
        <v>0</v>
      </c>
      <c r="N390" s="16">
        <f t="shared" si="95"/>
        <v>0</v>
      </c>
      <c r="O390" s="16">
        <f t="shared" si="96"/>
        <v>0</v>
      </c>
      <c r="P390" s="16" t="str">
        <f>+IF(AND(B390&gt;='Relevé de la Régularisation'!$C$9,B390&lt;='Relevé de la Régularisation'!$D$14),"OUI","NON")</f>
        <v>NON</v>
      </c>
      <c r="Q390" s="16" t="str">
        <f t="array" ref="Q390">IF(P390="OUI",MAX($Q$2:Q389)+1,"")</f>
        <v/>
      </c>
    </row>
    <row r="391" spans="1:17" x14ac:dyDescent="0.2">
      <c r="A391" s="453">
        <f t="shared" si="97"/>
        <v>53813</v>
      </c>
      <c r="B391" s="30">
        <v>53813</v>
      </c>
      <c r="C391" s="16">
        <f t="shared" si="84"/>
        <v>0</v>
      </c>
      <c r="D391" s="16">
        <f t="shared" si="85"/>
        <v>0</v>
      </c>
      <c r="E391" s="16">
        <f t="shared" si="86"/>
        <v>0</v>
      </c>
      <c r="F391" s="16">
        <f t="shared" si="87"/>
        <v>0</v>
      </c>
      <c r="G391" s="16">
        <f t="shared" si="88"/>
        <v>0</v>
      </c>
      <c r="H391" s="16">
        <f t="shared" si="89"/>
        <v>0</v>
      </c>
      <c r="I391" s="16">
        <f t="shared" si="90"/>
        <v>0</v>
      </c>
      <c r="J391" s="16">
        <f t="shared" si="91"/>
        <v>0</v>
      </c>
      <c r="K391" s="16">
        <f t="shared" si="92"/>
        <v>0</v>
      </c>
      <c r="L391" s="16">
        <f t="shared" si="93"/>
        <v>0</v>
      </c>
      <c r="M391" s="16">
        <f t="shared" si="94"/>
        <v>0</v>
      </c>
      <c r="N391" s="16">
        <f t="shared" si="95"/>
        <v>0</v>
      </c>
      <c r="O391" s="16">
        <f t="shared" si="96"/>
        <v>0</v>
      </c>
      <c r="P391" s="16" t="str">
        <f>+IF(AND(B391&gt;='Relevé de la Régularisation'!$C$9,B391&lt;='Relevé de la Régularisation'!$D$14),"OUI","NON")</f>
        <v>NON</v>
      </c>
      <c r="Q391" s="16" t="str">
        <f t="array" ref="Q391">IF(P391="OUI",MAX($Q$2:Q390)+1,"")</f>
        <v/>
      </c>
    </row>
    <row r="392" spans="1:17" x14ac:dyDescent="0.2">
      <c r="A392" s="453">
        <f t="shared" si="97"/>
        <v>53844</v>
      </c>
      <c r="B392" s="30">
        <v>53844</v>
      </c>
      <c r="C392" s="16">
        <f t="shared" si="84"/>
        <v>0</v>
      </c>
      <c r="D392" s="16">
        <f t="shared" si="85"/>
        <v>0</v>
      </c>
      <c r="E392" s="16">
        <f t="shared" si="86"/>
        <v>0</v>
      </c>
      <c r="F392" s="16">
        <f t="shared" si="87"/>
        <v>0</v>
      </c>
      <c r="G392" s="16">
        <f t="shared" si="88"/>
        <v>0</v>
      </c>
      <c r="H392" s="16">
        <f t="shared" si="89"/>
        <v>0</v>
      </c>
      <c r="I392" s="16">
        <f t="shared" si="90"/>
        <v>0</v>
      </c>
      <c r="J392" s="16">
        <f t="shared" si="91"/>
        <v>0</v>
      </c>
      <c r="K392" s="16">
        <f t="shared" si="92"/>
        <v>0</v>
      </c>
      <c r="L392" s="16">
        <f t="shared" si="93"/>
        <v>0</v>
      </c>
      <c r="M392" s="16">
        <f t="shared" si="94"/>
        <v>0</v>
      </c>
      <c r="N392" s="16">
        <f t="shared" si="95"/>
        <v>0</v>
      </c>
      <c r="O392" s="16">
        <f t="shared" si="96"/>
        <v>0</v>
      </c>
      <c r="P392" s="16" t="str">
        <f>+IF(AND(B392&gt;='Relevé de la Régularisation'!$C$9,B392&lt;='Relevé de la Régularisation'!$D$14),"OUI","NON")</f>
        <v>NON</v>
      </c>
      <c r="Q392" s="16" t="str">
        <f t="array" ref="Q392">IF(P392="OUI",MAX($Q$2:Q391)+1,"")</f>
        <v/>
      </c>
    </row>
    <row r="393" spans="1:17" x14ac:dyDescent="0.2">
      <c r="A393" s="453">
        <f t="shared" si="97"/>
        <v>53874</v>
      </c>
      <c r="B393" s="30">
        <v>53874</v>
      </c>
      <c r="C393" s="16">
        <f t="shared" si="84"/>
        <v>0</v>
      </c>
      <c r="D393" s="16">
        <f t="shared" si="85"/>
        <v>0</v>
      </c>
      <c r="E393" s="16">
        <f t="shared" si="86"/>
        <v>0</v>
      </c>
      <c r="F393" s="16">
        <f t="shared" si="87"/>
        <v>0</v>
      </c>
      <c r="G393" s="16">
        <f t="shared" si="88"/>
        <v>0</v>
      </c>
      <c r="H393" s="16">
        <f t="shared" si="89"/>
        <v>0</v>
      </c>
      <c r="I393" s="16">
        <f t="shared" si="90"/>
        <v>0</v>
      </c>
      <c r="J393" s="16">
        <f t="shared" si="91"/>
        <v>0</v>
      </c>
      <c r="K393" s="16">
        <f t="shared" si="92"/>
        <v>0</v>
      </c>
      <c r="L393" s="16">
        <f t="shared" si="93"/>
        <v>0</v>
      </c>
      <c r="M393" s="16">
        <f t="shared" si="94"/>
        <v>0</v>
      </c>
      <c r="N393" s="16">
        <f t="shared" si="95"/>
        <v>0</v>
      </c>
      <c r="O393" s="16">
        <f t="shared" si="96"/>
        <v>0</v>
      </c>
      <c r="P393" s="16" t="str">
        <f>+IF(AND(B393&gt;='Relevé de la Régularisation'!$C$9,B393&lt;='Relevé de la Régularisation'!$D$14),"OUI","NON")</f>
        <v>NON</v>
      </c>
      <c r="Q393" s="16" t="str">
        <f t="array" ref="Q393">IF(P393="OUI",MAX($Q$2:Q392)+1,"")</f>
        <v/>
      </c>
    </row>
    <row r="394" spans="1:17" x14ac:dyDescent="0.2">
      <c r="A394" s="453">
        <f t="shared" si="97"/>
        <v>53905</v>
      </c>
      <c r="B394" s="30">
        <v>53905</v>
      </c>
      <c r="C394" s="16">
        <f t="shared" si="84"/>
        <v>0</v>
      </c>
      <c r="D394" s="16">
        <f t="shared" si="85"/>
        <v>0</v>
      </c>
      <c r="E394" s="16">
        <f t="shared" si="86"/>
        <v>0</v>
      </c>
      <c r="F394" s="16">
        <f t="shared" si="87"/>
        <v>0</v>
      </c>
      <c r="G394" s="16">
        <f t="shared" si="88"/>
        <v>0</v>
      </c>
      <c r="H394" s="16">
        <f t="shared" si="89"/>
        <v>0</v>
      </c>
      <c r="I394" s="16">
        <f t="shared" si="90"/>
        <v>0</v>
      </c>
      <c r="J394" s="16">
        <f t="shared" si="91"/>
        <v>0</v>
      </c>
      <c r="K394" s="16">
        <f t="shared" si="92"/>
        <v>0</v>
      </c>
      <c r="L394" s="16">
        <f t="shared" si="93"/>
        <v>0</v>
      </c>
      <c r="M394" s="16">
        <f t="shared" si="94"/>
        <v>0</v>
      </c>
      <c r="N394" s="16">
        <f t="shared" si="95"/>
        <v>0</v>
      </c>
      <c r="O394" s="16">
        <f t="shared" si="96"/>
        <v>0</v>
      </c>
      <c r="P394" s="16" t="str">
        <f>+IF(AND(B394&gt;='Relevé de la Régularisation'!$C$9,B394&lt;='Relevé de la Régularisation'!$D$14),"OUI","NON")</f>
        <v>NON</v>
      </c>
      <c r="Q394" s="16" t="str">
        <f t="array" ref="Q394">IF(P394="OUI",MAX($Q$2:Q393)+1,"")</f>
        <v/>
      </c>
    </row>
    <row r="395" spans="1:17" x14ac:dyDescent="0.2">
      <c r="A395" s="453">
        <f t="shared" si="97"/>
        <v>53936</v>
      </c>
      <c r="B395" s="30">
        <v>53936</v>
      </c>
      <c r="C395" s="16">
        <f t="shared" si="84"/>
        <v>0</v>
      </c>
      <c r="D395" s="16">
        <f t="shared" si="85"/>
        <v>0</v>
      </c>
      <c r="E395" s="16">
        <f t="shared" si="86"/>
        <v>0</v>
      </c>
      <c r="F395" s="16">
        <f t="shared" si="87"/>
        <v>0</v>
      </c>
      <c r="G395" s="16">
        <f t="shared" si="88"/>
        <v>0</v>
      </c>
      <c r="H395" s="16">
        <f t="shared" si="89"/>
        <v>0</v>
      </c>
      <c r="I395" s="16">
        <f t="shared" si="90"/>
        <v>0</v>
      </c>
      <c r="J395" s="16">
        <f t="shared" si="91"/>
        <v>0</v>
      </c>
      <c r="K395" s="16">
        <f t="shared" si="92"/>
        <v>0</v>
      </c>
      <c r="L395" s="16">
        <f t="shared" si="93"/>
        <v>0</v>
      </c>
      <c r="M395" s="16">
        <f t="shared" si="94"/>
        <v>0</v>
      </c>
      <c r="N395" s="16">
        <f t="shared" si="95"/>
        <v>0</v>
      </c>
      <c r="O395" s="16">
        <f t="shared" si="96"/>
        <v>0</v>
      </c>
      <c r="P395" s="16" t="str">
        <f>+IF(AND(B395&gt;='Relevé de la Régularisation'!$C$9,B395&lt;='Relevé de la Régularisation'!$D$14),"OUI","NON")</f>
        <v>NON</v>
      </c>
      <c r="Q395" s="16" t="str">
        <f t="array" ref="Q395">IF(P395="OUI",MAX($Q$2:Q394)+1,"")</f>
        <v/>
      </c>
    </row>
    <row r="396" spans="1:17" x14ac:dyDescent="0.2">
      <c r="A396" s="453">
        <f t="shared" si="97"/>
        <v>53966</v>
      </c>
      <c r="B396" s="30">
        <v>53966</v>
      </c>
      <c r="C396" s="16">
        <f t="shared" si="84"/>
        <v>0</v>
      </c>
      <c r="D396" s="16">
        <f t="shared" si="85"/>
        <v>0</v>
      </c>
      <c r="E396" s="16">
        <f t="shared" si="86"/>
        <v>0</v>
      </c>
      <c r="F396" s="16">
        <f t="shared" si="87"/>
        <v>0</v>
      </c>
      <c r="G396" s="16">
        <f t="shared" si="88"/>
        <v>0</v>
      </c>
      <c r="H396" s="16">
        <f t="shared" si="89"/>
        <v>0</v>
      </c>
      <c r="I396" s="16">
        <f t="shared" si="90"/>
        <v>0</v>
      </c>
      <c r="J396" s="16">
        <f t="shared" si="91"/>
        <v>0</v>
      </c>
      <c r="K396" s="16">
        <f t="shared" si="92"/>
        <v>0</v>
      </c>
      <c r="L396" s="16">
        <f t="shared" si="93"/>
        <v>0</v>
      </c>
      <c r="M396" s="16">
        <f t="shared" si="94"/>
        <v>0</v>
      </c>
      <c r="N396" s="16">
        <f t="shared" si="95"/>
        <v>0</v>
      </c>
      <c r="O396" s="16">
        <f t="shared" si="96"/>
        <v>0</v>
      </c>
      <c r="P396" s="16" t="str">
        <f>+IF(AND(B396&gt;='Relevé de la Régularisation'!$C$9,B396&lt;='Relevé de la Régularisation'!$D$14),"OUI","NON")</f>
        <v>NON</v>
      </c>
      <c r="Q396" s="16" t="str">
        <f t="array" ref="Q396">IF(P396="OUI",MAX($Q$2:Q395)+1,"")</f>
        <v/>
      </c>
    </row>
    <row r="397" spans="1:17" x14ac:dyDescent="0.2">
      <c r="A397" s="453">
        <f t="shared" si="97"/>
        <v>53997</v>
      </c>
      <c r="B397" s="30">
        <v>53997</v>
      </c>
      <c r="C397" s="16">
        <f t="shared" si="84"/>
        <v>0</v>
      </c>
      <c r="D397" s="16">
        <f t="shared" si="85"/>
        <v>0</v>
      </c>
      <c r="E397" s="16">
        <f t="shared" si="86"/>
        <v>0</v>
      </c>
      <c r="F397" s="16">
        <f t="shared" si="87"/>
        <v>0</v>
      </c>
      <c r="G397" s="16">
        <f t="shared" si="88"/>
        <v>0</v>
      </c>
      <c r="H397" s="16">
        <f t="shared" si="89"/>
        <v>0</v>
      </c>
      <c r="I397" s="16">
        <f t="shared" si="90"/>
        <v>0</v>
      </c>
      <c r="J397" s="16">
        <f t="shared" si="91"/>
        <v>0</v>
      </c>
      <c r="K397" s="16">
        <f t="shared" si="92"/>
        <v>0</v>
      </c>
      <c r="L397" s="16">
        <f t="shared" si="93"/>
        <v>0</v>
      </c>
      <c r="M397" s="16">
        <f t="shared" si="94"/>
        <v>0</v>
      </c>
      <c r="N397" s="16">
        <f t="shared" si="95"/>
        <v>0</v>
      </c>
      <c r="O397" s="16">
        <f t="shared" si="96"/>
        <v>0</v>
      </c>
      <c r="P397" s="16" t="str">
        <f>+IF(AND(B397&gt;='Relevé de la Régularisation'!$C$9,B397&lt;='Relevé de la Régularisation'!$D$14),"OUI","NON")</f>
        <v>NON</v>
      </c>
      <c r="Q397" s="16" t="str">
        <f t="array" ref="Q397">IF(P397="OUI",MAX($Q$2:Q396)+1,"")</f>
        <v/>
      </c>
    </row>
    <row r="398" spans="1:17" x14ac:dyDescent="0.2">
      <c r="A398" s="453">
        <f t="shared" si="97"/>
        <v>54027</v>
      </c>
      <c r="B398" s="30">
        <v>54027</v>
      </c>
      <c r="C398" s="16">
        <f t="shared" si="84"/>
        <v>0</v>
      </c>
      <c r="D398" s="16">
        <f t="shared" si="85"/>
        <v>0</v>
      </c>
      <c r="E398" s="16">
        <f t="shared" si="86"/>
        <v>0</v>
      </c>
      <c r="F398" s="16">
        <f t="shared" si="87"/>
        <v>0</v>
      </c>
      <c r="G398" s="16">
        <f t="shared" si="88"/>
        <v>0</v>
      </c>
      <c r="H398" s="16">
        <f t="shared" si="89"/>
        <v>0</v>
      </c>
      <c r="I398" s="16">
        <f t="shared" si="90"/>
        <v>0</v>
      </c>
      <c r="J398" s="16">
        <f t="shared" si="91"/>
        <v>0</v>
      </c>
      <c r="K398" s="16">
        <f t="shared" si="92"/>
        <v>0</v>
      </c>
      <c r="L398" s="16">
        <f t="shared" si="93"/>
        <v>0</v>
      </c>
      <c r="M398" s="16">
        <f t="shared" si="94"/>
        <v>0</v>
      </c>
      <c r="N398" s="16">
        <f t="shared" si="95"/>
        <v>0</v>
      </c>
      <c r="O398" s="16">
        <f t="shared" si="96"/>
        <v>0</v>
      </c>
      <c r="P398" s="16" t="str">
        <f>+IF(AND(B398&gt;='Relevé de la Régularisation'!$C$9,B398&lt;='Relevé de la Régularisation'!$D$14),"OUI","NON")</f>
        <v>NON</v>
      </c>
      <c r="Q398" s="16" t="str">
        <f t="array" ref="Q398">IF(P398="OUI",MAX($Q$2:Q397)+1,"")</f>
        <v/>
      </c>
    </row>
    <row r="399" spans="1:17" x14ac:dyDescent="0.2">
      <c r="A399" s="453">
        <f t="shared" si="97"/>
        <v>54058</v>
      </c>
      <c r="B399" s="30">
        <v>54058</v>
      </c>
      <c r="C399" s="16">
        <f t="shared" si="84"/>
        <v>0</v>
      </c>
      <c r="D399" s="16">
        <f t="shared" si="85"/>
        <v>0</v>
      </c>
      <c r="E399" s="16">
        <f t="shared" si="86"/>
        <v>0</v>
      </c>
      <c r="F399" s="16">
        <f t="shared" si="87"/>
        <v>0</v>
      </c>
      <c r="G399" s="16">
        <f t="shared" si="88"/>
        <v>0</v>
      </c>
      <c r="H399" s="16">
        <f t="shared" si="89"/>
        <v>0</v>
      </c>
      <c r="I399" s="16">
        <f t="shared" si="90"/>
        <v>0</v>
      </c>
      <c r="J399" s="16">
        <f t="shared" si="91"/>
        <v>0</v>
      </c>
      <c r="K399" s="16">
        <f t="shared" si="92"/>
        <v>0</v>
      </c>
      <c r="L399" s="16">
        <f t="shared" si="93"/>
        <v>0</v>
      </c>
      <c r="M399" s="16">
        <f t="shared" si="94"/>
        <v>0</v>
      </c>
      <c r="N399" s="16">
        <f t="shared" si="95"/>
        <v>0</v>
      </c>
      <c r="O399" s="16">
        <f t="shared" si="96"/>
        <v>0</v>
      </c>
      <c r="P399" s="16" t="str">
        <f>+IF(AND(B399&gt;='Relevé de la Régularisation'!$C$9,B399&lt;='Relevé de la Régularisation'!$D$14),"OUI","NON")</f>
        <v>NON</v>
      </c>
      <c r="Q399" s="16" t="str">
        <f t="array" ref="Q399">IF(P399="OUI",MAX($Q$2:Q398)+1,"")</f>
        <v/>
      </c>
    </row>
    <row r="400" spans="1:17" x14ac:dyDescent="0.2">
      <c r="A400" s="453">
        <f t="shared" si="97"/>
        <v>54089</v>
      </c>
      <c r="B400" s="30">
        <v>54089</v>
      </c>
      <c r="C400" s="16">
        <f t="shared" si="84"/>
        <v>0</v>
      </c>
      <c r="D400" s="16">
        <f t="shared" si="85"/>
        <v>0</v>
      </c>
      <c r="E400" s="16">
        <f t="shared" si="86"/>
        <v>0</v>
      </c>
      <c r="F400" s="16">
        <f t="shared" si="87"/>
        <v>0</v>
      </c>
      <c r="G400" s="16">
        <f t="shared" si="88"/>
        <v>0</v>
      </c>
      <c r="H400" s="16">
        <f t="shared" si="89"/>
        <v>0</v>
      </c>
      <c r="I400" s="16">
        <f t="shared" si="90"/>
        <v>0</v>
      </c>
      <c r="J400" s="16">
        <f t="shared" si="91"/>
        <v>0</v>
      </c>
      <c r="K400" s="16">
        <f t="shared" si="92"/>
        <v>0</v>
      </c>
      <c r="L400" s="16">
        <f t="shared" si="93"/>
        <v>0</v>
      </c>
      <c r="M400" s="16">
        <f t="shared" si="94"/>
        <v>0</v>
      </c>
      <c r="N400" s="16">
        <f t="shared" si="95"/>
        <v>0</v>
      </c>
      <c r="O400" s="16">
        <f t="shared" si="96"/>
        <v>0</v>
      </c>
      <c r="P400" s="16" t="str">
        <f>+IF(AND(B400&gt;='Relevé de la Régularisation'!$C$9,B400&lt;='Relevé de la Régularisation'!$D$14),"OUI","NON")</f>
        <v>NON</v>
      </c>
      <c r="Q400" s="16" t="str">
        <f t="array" ref="Q400">IF(P400="OUI",MAX($Q$2:Q399)+1,"")</f>
        <v/>
      </c>
    </row>
    <row r="401" spans="1:17" x14ac:dyDescent="0.2">
      <c r="A401" s="453">
        <f t="shared" si="97"/>
        <v>54118</v>
      </c>
      <c r="B401" s="30">
        <v>54118</v>
      </c>
      <c r="C401" s="16">
        <f t="shared" si="84"/>
        <v>0</v>
      </c>
      <c r="D401" s="16">
        <f t="shared" si="85"/>
        <v>0</v>
      </c>
      <c r="E401" s="16">
        <f t="shared" si="86"/>
        <v>0</v>
      </c>
      <c r="F401" s="16">
        <f t="shared" si="87"/>
        <v>0</v>
      </c>
      <c r="G401" s="16">
        <f t="shared" si="88"/>
        <v>0</v>
      </c>
      <c r="H401" s="16">
        <f t="shared" si="89"/>
        <v>0</v>
      </c>
      <c r="I401" s="16">
        <f t="shared" si="90"/>
        <v>0</v>
      </c>
      <c r="J401" s="16">
        <f t="shared" si="91"/>
        <v>0</v>
      </c>
      <c r="K401" s="16">
        <f t="shared" si="92"/>
        <v>0</v>
      </c>
      <c r="L401" s="16">
        <f t="shared" si="93"/>
        <v>0</v>
      </c>
      <c r="M401" s="16">
        <f t="shared" si="94"/>
        <v>0</v>
      </c>
      <c r="N401" s="16">
        <f t="shared" si="95"/>
        <v>0</v>
      </c>
      <c r="O401" s="16">
        <f t="shared" si="96"/>
        <v>0</v>
      </c>
      <c r="P401" s="16" t="str">
        <f>+IF(AND(B401&gt;='Relevé de la Régularisation'!$C$9,B401&lt;='Relevé de la Régularisation'!$D$14),"OUI","NON")</f>
        <v>NON</v>
      </c>
      <c r="Q401" s="16" t="str">
        <f t="array" ref="Q401">IF(P401="OUI",MAX($Q$2:Q400)+1,"")</f>
        <v/>
      </c>
    </row>
    <row r="402" spans="1:17" x14ac:dyDescent="0.2">
      <c r="A402" s="453">
        <f t="shared" si="97"/>
        <v>54149</v>
      </c>
      <c r="B402" s="30">
        <v>54149</v>
      </c>
      <c r="C402" s="16">
        <f t="shared" si="84"/>
        <v>0</v>
      </c>
      <c r="D402" s="16">
        <f t="shared" si="85"/>
        <v>0</v>
      </c>
      <c r="E402" s="16">
        <f t="shared" si="86"/>
        <v>0</v>
      </c>
      <c r="F402" s="16">
        <f t="shared" si="87"/>
        <v>0</v>
      </c>
      <c r="G402" s="16">
        <f t="shared" si="88"/>
        <v>0</v>
      </c>
      <c r="H402" s="16">
        <f t="shared" si="89"/>
        <v>0</v>
      </c>
      <c r="I402" s="16">
        <f t="shared" si="90"/>
        <v>0</v>
      </c>
      <c r="J402" s="16">
        <f t="shared" si="91"/>
        <v>0</v>
      </c>
      <c r="K402" s="16">
        <f t="shared" si="92"/>
        <v>0</v>
      </c>
      <c r="L402" s="16">
        <f t="shared" si="93"/>
        <v>0</v>
      </c>
      <c r="M402" s="16">
        <f t="shared" si="94"/>
        <v>0</v>
      </c>
      <c r="N402" s="16">
        <f t="shared" si="95"/>
        <v>0</v>
      </c>
      <c r="O402" s="16">
        <f t="shared" si="96"/>
        <v>0</v>
      </c>
      <c r="P402" s="16" t="str">
        <f>+IF(AND(B402&gt;='Relevé de la Régularisation'!$C$9,B402&lt;='Relevé de la Régularisation'!$D$14),"OUI","NON")</f>
        <v>NON</v>
      </c>
      <c r="Q402" s="16" t="str">
        <f t="array" ref="Q402">IF(P402="OUI",MAX($Q$2:Q401)+1,"")</f>
        <v/>
      </c>
    </row>
    <row r="403" spans="1:17" x14ac:dyDescent="0.2">
      <c r="A403" s="453">
        <f t="shared" si="97"/>
        <v>54179</v>
      </c>
      <c r="B403" s="30">
        <v>54179</v>
      </c>
      <c r="C403" s="16">
        <f t="shared" si="84"/>
        <v>0</v>
      </c>
      <c r="D403" s="16">
        <f t="shared" si="85"/>
        <v>0</v>
      </c>
      <c r="E403" s="16">
        <f t="shared" si="86"/>
        <v>0</v>
      </c>
      <c r="F403" s="16">
        <f t="shared" si="87"/>
        <v>0</v>
      </c>
      <c r="G403" s="16">
        <f t="shared" si="88"/>
        <v>0</v>
      </c>
      <c r="H403" s="16">
        <f t="shared" si="89"/>
        <v>0</v>
      </c>
      <c r="I403" s="16">
        <f t="shared" si="90"/>
        <v>0</v>
      </c>
      <c r="J403" s="16">
        <f t="shared" si="91"/>
        <v>0</v>
      </c>
      <c r="K403" s="16">
        <f t="shared" si="92"/>
        <v>0</v>
      </c>
      <c r="L403" s="16">
        <f t="shared" si="93"/>
        <v>0</v>
      </c>
      <c r="M403" s="16">
        <f t="shared" si="94"/>
        <v>0</v>
      </c>
      <c r="N403" s="16">
        <f t="shared" si="95"/>
        <v>0</v>
      </c>
      <c r="O403" s="16">
        <f t="shared" si="96"/>
        <v>0</v>
      </c>
      <c r="P403" s="16" t="str">
        <f>+IF(AND(B403&gt;='Relevé de la Régularisation'!$C$9,B403&lt;='Relevé de la Régularisation'!$D$14),"OUI","NON")</f>
        <v>NON</v>
      </c>
      <c r="Q403" s="16" t="str">
        <f t="array" ref="Q403">IF(P403="OUI",MAX($Q$2:Q402)+1,"")</f>
        <v/>
      </c>
    </row>
    <row r="404" spans="1:17" x14ac:dyDescent="0.2">
      <c r="A404" s="453">
        <f t="shared" si="97"/>
        <v>54210</v>
      </c>
      <c r="B404" s="30">
        <v>54210</v>
      </c>
      <c r="C404" s="16">
        <f t="shared" si="84"/>
        <v>0</v>
      </c>
      <c r="D404" s="16">
        <f t="shared" si="85"/>
        <v>0</v>
      </c>
      <c r="E404" s="16">
        <f t="shared" si="86"/>
        <v>0</v>
      </c>
      <c r="F404" s="16">
        <f t="shared" si="87"/>
        <v>0</v>
      </c>
      <c r="G404" s="16">
        <f t="shared" si="88"/>
        <v>0</v>
      </c>
      <c r="H404" s="16">
        <f t="shared" si="89"/>
        <v>0</v>
      </c>
      <c r="I404" s="16">
        <f t="shared" si="90"/>
        <v>0</v>
      </c>
      <c r="J404" s="16">
        <f t="shared" si="91"/>
        <v>0</v>
      </c>
      <c r="K404" s="16">
        <f t="shared" si="92"/>
        <v>0</v>
      </c>
      <c r="L404" s="16">
        <f t="shared" si="93"/>
        <v>0</v>
      </c>
      <c r="M404" s="16">
        <f t="shared" si="94"/>
        <v>0</v>
      </c>
      <c r="N404" s="16">
        <f t="shared" si="95"/>
        <v>0</v>
      </c>
      <c r="O404" s="16">
        <f t="shared" si="96"/>
        <v>0</v>
      </c>
      <c r="P404" s="16" t="str">
        <f>+IF(AND(B404&gt;='Relevé de la Régularisation'!$C$9,B404&lt;='Relevé de la Régularisation'!$D$14),"OUI","NON")</f>
        <v>NON</v>
      </c>
      <c r="Q404" s="16" t="str">
        <f t="array" ref="Q404">IF(P404="OUI",MAX($Q$2:Q403)+1,"")</f>
        <v/>
      </c>
    </row>
    <row r="405" spans="1:17" x14ac:dyDescent="0.2">
      <c r="A405" s="453">
        <f t="shared" si="97"/>
        <v>54240</v>
      </c>
      <c r="B405" s="30">
        <v>54240</v>
      </c>
      <c r="C405" s="16">
        <f t="shared" si="84"/>
        <v>0</v>
      </c>
      <c r="D405" s="16">
        <f t="shared" si="85"/>
        <v>0</v>
      </c>
      <c r="E405" s="16">
        <f t="shared" si="86"/>
        <v>0</v>
      </c>
      <c r="F405" s="16">
        <f t="shared" si="87"/>
        <v>0</v>
      </c>
      <c r="G405" s="16">
        <f t="shared" si="88"/>
        <v>0</v>
      </c>
      <c r="H405" s="16">
        <f t="shared" si="89"/>
        <v>0</v>
      </c>
      <c r="I405" s="16">
        <f t="shared" si="90"/>
        <v>0</v>
      </c>
      <c r="J405" s="16">
        <f t="shared" si="91"/>
        <v>0</v>
      </c>
      <c r="K405" s="16">
        <f t="shared" si="92"/>
        <v>0</v>
      </c>
      <c r="L405" s="16">
        <f t="shared" si="93"/>
        <v>0</v>
      </c>
      <c r="M405" s="16">
        <f t="shared" si="94"/>
        <v>0</v>
      </c>
      <c r="N405" s="16">
        <f t="shared" si="95"/>
        <v>0</v>
      </c>
      <c r="O405" s="16">
        <f t="shared" si="96"/>
        <v>0</v>
      </c>
      <c r="P405" s="16" t="str">
        <f>+IF(AND(B405&gt;='Relevé de la Régularisation'!$C$9,B405&lt;='Relevé de la Régularisation'!$D$14),"OUI","NON")</f>
        <v>NON</v>
      </c>
      <c r="Q405" s="16" t="str">
        <f t="array" ref="Q405">IF(P405="OUI",MAX($Q$2:Q404)+1,"")</f>
        <v/>
      </c>
    </row>
    <row r="406" spans="1:17" x14ac:dyDescent="0.2">
      <c r="A406" s="453">
        <f t="shared" si="97"/>
        <v>54271</v>
      </c>
      <c r="B406" s="30">
        <v>54271</v>
      </c>
      <c r="C406" s="16">
        <f t="shared" si="84"/>
        <v>0</v>
      </c>
      <c r="D406" s="16">
        <f t="shared" si="85"/>
        <v>0</v>
      </c>
      <c r="E406" s="16">
        <f t="shared" si="86"/>
        <v>0</v>
      </c>
      <c r="F406" s="16">
        <f t="shared" si="87"/>
        <v>0</v>
      </c>
      <c r="G406" s="16">
        <f t="shared" si="88"/>
        <v>0</v>
      </c>
      <c r="H406" s="16">
        <f t="shared" si="89"/>
        <v>0</v>
      </c>
      <c r="I406" s="16">
        <f t="shared" si="90"/>
        <v>0</v>
      </c>
      <c r="J406" s="16">
        <f t="shared" si="91"/>
        <v>0</v>
      </c>
      <c r="K406" s="16">
        <f t="shared" si="92"/>
        <v>0</v>
      </c>
      <c r="L406" s="16">
        <f t="shared" si="93"/>
        <v>0</v>
      </c>
      <c r="M406" s="16">
        <f t="shared" si="94"/>
        <v>0</v>
      </c>
      <c r="N406" s="16">
        <f t="shared" si="95"/>
        <v>0</v>
      </c>
      <c r="O406" s="16">
        <f t="shared" si="96"/>
        <v>0</v>
      </c>
      <c r="P406" s="16" t="str">
        <f>+IF(AND(B406&gt;='Relevé de la Régularisation'!$C$9,B406&lt;='Relevé de la Régularisation'!$D$14),"OUI","NON")</f>
        <v>NON</v>
      </c>
      <c r="Q406" s="16" t="str">
        <f t="array" ref="Q406">IF(P406="OUI",MAX($Q$2:Q405)+1,"")</f>
        <v/>
      </c>
    </row>
    <row r="407" spans="1:17" x14ac:dyDescent="0.2">
      <c r="A407" s="453">
        <f t="shared" si="97"/>
        <v>54302</v>
      </c>
      <c r="B407" s="30">
        <v>54302</v>
      </c>
      <c r="C407" s="16">
        <f t="shared" si="84"/>
        <v>0</v>
      </c>
      <c r="D407" s="16">
        <f t="shared" si="85"/>
        <v>0</v>
      </c>
      <c r="E407" s="16">
        <f t="shared" si="86"/>
        <v>0</v>
      </c>
      <c r="F407" s="16">
        <f t="shared" si="87"/>
        <v>0</v>
      </c>
      <c r="G407" s="16">
        <f t="shared" si="88"/>
        <v>0</v>
      </c>
      <c r="H407" s="16">
        <f t="shared" si="89"/>
        <v>0</v>
      </c>
      <c r="I407" s="16">
        <f t="shared" si="90"/>
        <v>0</v>
      </c>
      <c r="J407" s="16">
        <f t="shared" si="91"/>
        <v>0</v>
      </c>
      <c r="K407" s="16">
        <f t="shared" si="92"/>
        <v>0</v>
      </c>
      <c r="L407" s="16">
        <f t="shared" si="93"/>
        <v>0</v>
      </c>
      <c r="M407" s="16">
        <f t="shared" si="94"/>
        <v>0</v>
      </c>
      <c r="N407" s="16">
        <f t="shared" si="95"/>
        <v>0</v>
      </c>
      <c r="O407" s="16">
        <f t="shared" si="96"/>
        <v>0</v>
      </c>
      <c r="P407" s="16" t="str">
        <f>+IF(AND(B407&gt;='Relevé de la Régularisation'!$C$9,B407&lt;='Relevé de la Régularisation'!$D$14),"OUI","NON")</f>
        <v>NON</v>
      </c>
      <c r="Q407" s="16" t="str">
        <f t="array" ref="Q407">IF(P407="OUI",MAX($Q$2:Q406)+1,"")</f>
        <v/>
      </c>
    </row>
    <row r="408" spans="1:17" x14ac:dyDescent="0.2">
      <c r="A408" s="453">
        <f t="shared" si="97"/>
        <v>54332</v>
      </c>
      <c r="B408" s="30">
        <v>54332</v>
      </c>
      <c r="C408" s="16">
        <f t="shared" si="84"/>
        <v>0</v>
      </c>
      <c r="D408" s="16">
        <f t="shared" si="85"/>
        <v>0</v>
      </c>
      <c r="E408" s="16">
        <f t="shared" si="86"/>
        <v>0</v>
      </c>
      <c r="F408" s="16">
        <f t="shared" si="87"/>
        <v>0</v>
      </c>
      <c r="G408" s="16">
        <f t="shared" si="88"/>
        <v>0</v>
      </c>
      <c r="H408" s="16">
        <f t="shared" si="89"/>
        <v>0</v>
      </c>
      <c r="I408" s="16">
        <f t="shared" si="90"/>
        <v>0</v>
      </c>
      <c r="J408" s="16">
        <f t="shared" si="91"/>
        <v>0</v>
      </c>
      <c r="K408" s="16">
        <f t="shared" si="92"/>
        <v>0</v>
      </c>
      <c r="L408" s="16">
        <f t="shared" si="93"/>
        <v>0</v>
      </c>
      <c r="M408" s="16">
        <f t="shared" si="94"/>
        <v>0</v>
      </c>
      <c r="N408" s="16">
        <f t="shared" si="95"/>
        <v>0</v>
      </c>
      <c r="O408" s="16">
        <f t="shared" si="96"/>
        <v>0</v>
      </c>
      <c r="P408" s="16" t="str">
        <f>+IF(AND(B408&gt;='Relevé de la Régularisation'!$C$9,B408&lt;='Relevé de la Régularisation'!$D$14),"OUI","NON")</f>
        <v>NON</v>
      </c>
      <c r="Q408" s="16" t="str">
        <f t="array" ref="Q408">IF(P408="OUI",MAX($Q$2:Q407)+1,"")</f>
        <v/>
      </c>
    </row>
    <row r="409" spans="1:17" x14ac:dyDescent="0.2">
      <c r="A409" s="453">
        <f t="shared" si="97"/>
        <v>54363</v>
      </c>
      <c r="B409" s="30">
        <v>54363</v>
      </c>
      <c r="C409" s="16">
        <f t="shared" si="84"/>
        <v>0</v>
      </c>
      <c r="D409" s="16">
        <f t="shared" si="85"/>
        <v>0</v>
      </c>
      <c r="E409" s="16">
        <f t="shared" si="86"/>
        <v>0</v>
      </c>
      <c r="F409" s="16">
        <f t="shared" si="87"/>
        <v>0</v>
      </c>
      <c r="G409" s="16">
        <f t="shared" si="88"/>
        <v>0</v>
      </c>
      <c r="H409" s="16">
        <f t="shared" si="89"/>
        <v>0</v>
      </c>
      <c r="I409" s="16">
        <f t="shared" si="90"/>
        <v>0</v>
      </c>
      <c r="J409" s="16">
        <f t="shared" si="91"/>
        <v>0</v>
      </c>
      <c r="K409" s="16">
        <f t="shared" si="92"/>
        <v>0</v>
      </c>
      <c r="L409" s="16">
        <f t="shared" si="93"/>
        <v>0</v>
      </c>
      <c r="M409" s="16">
        <f t="shared" si="94"/>
        <v>0</v>
      </c>
      <c r="N409" s="16">
        <f t="shared" si="95"/>
        <v>0</v>
      </c>
      <c r="O409" s="16">
        <f t="shared" si="96"/>
        <v>0</v>
      </c>
      <c r="P409" s="16" t="str">
        <f>+IF(AND(B409&gt;='Relevé de la Régularisation'!$C$9,B409&lt;='Relevé de la Régularisation'!$D$14),"OUI","NON")</f>
        <v>NON</v>
      </c>
      <c r="Q409" s="16" t="str">
        <f t="array" ref="Q409">IF(P409="OUI",MAX($Q$2:Q408)+1,"")</f>
        <v/>
      </c>
    </row>
    <row r="410" spans="1:17" x14ac:dyDescent="0.2">
      <c r="A410" s="453">
        <f t="shared" si="97"/>
        <v>54393</v>
      </c>
      <c r="B410" s="30">
        <v>54393</v>
      </c>
      <c r="C410" s="16">
        <f t="shared" si="84"/>
        <v>0</v>
      </c>
      <c r="D410" s="16">
        <f t="shared" si="85"/>
        <v>0</v>
      </c>
      <c r="E410" s="16">
        <f t="shared" si="86"/>
        <v>0</v>
      </c>
      <c r="F410" s="16">
        <f t="shared" si="87"/>
        <v>0</v>
      </c>
      <c r="G410" s="16">
        <f t="shared" si="88"/>
        <v>0</v>
      </c>
      <c r="H410" s="16">
        <f t="shared" si="89"/>
        <v>0</v>
      </c>
      <c r="I410" s="16">
        <f t="shared" si="90"/>
        <v>0</v>
      </c>
      <c r="J410" s="16">
        <f t="shared" si="91"/>
        <v>0</v>
      </c>
      <c r="K410" s="16">
        <f t="shared" si="92"/>
        <v>0</v>
      </c>
      <c r="L410" s="16">
        <f t="shared" si="93"/>
        <v>0</v>
      </c>
      <c r="M410" s="16">
        <f t="shared" si="94"/>
        <v>0</v>
      </c>
      <c r="N410" s="16">
        <f t="shared" si="95"/>
        <v>0</v>
      </c>
      <c r="O410" s="16">
        <f t="shared" si="96"/>
        <v>0</v>
      </c>
      <c r="P410" s="16" t="str">
        <f>+IF(AND(B410&gt;='Relevé de la Régularisation'!$C$9,B410&lt;='Relevé de la Régularisation'!$D$14),"OUI","NON")</f>
        <v>NON</v>
      </c>
      <c r="Q410" s="16" t="str">
        <f t="array" ref="Q410">IF(P410="OUI",MAX($Q$2:Q409)+1,"")</f>
        <v/>
      </c>
    </row>
    <row r="411" spans="1:17" x14ac:dyDescent="0.2">
      <c r="A411" s="453">
        <f t="shared" si="97"/>
        <v>54424</v>
      </c>
      <c r="B411" s="30">
        <v>54424</v>
      </c>
      <c r="C411" s="16">
        <f t="shared" si="84"/>
        <v>0</v>
      </c>
      <c r="D411" s="16">
        <f t="shared" si="85"/>
        <v>0</v>
      </c>
      <c r="E411" s="16">
        <f t="shared" si="86"/>
        <v>0</v>
      </c>
      <c r="F411" s="16">
        <f t="shared" si="87"/>
        <v>0</v>
      </c>
      <c r="G411" s="16">
        <f t="shared" si="88"/>
        <v>0</v>
      </c>
      <c r="H411" s="16">
        <f t="shared" si="89"/>
        <v>0</v>
      </c>
      <c r="I411" s="16">
        <f t="shared" si="90"/>
        <v>0</v>
      </c>
      <c r="J411" s="16">
        <f t="shared" si="91"/>
        <v>0</v>
      </c>
      <c r="K411" s="16">
        <f t="shared" si="92"/>
        <v>0</v>
      </c>
      <c r="L411" s="16">
        <f t="shared" si="93"/>
        <v>0</v>
      </c>
      <c r="M411" s="16">
        <f t="shared" si="94"/>
        <v>0</v>
      </c>
      <c r="N411" s="16">
        <f t="shared" si="95"/>
        <v>0</v>
      </c>
      <c r="O411" s="16">
        <f t="shared" si="96"/>
        <v>0</v>
      </c>
      <c r="P411" s="16" t="str">
        <f>+IF(AND(B411&gt;='Relevé de la Régularisation'!$C$9,B411&lt;='Relevé de la Régularisation'!$D$14),"OUI","NON")</f>
        <v>NON</v>
      </c>
      <c r="Q411" s="16" t="str">
        <f t="array" ref="Q411">IF(P411="OUI",MAX($Q$2:Q410)+1,"")</f>
        <v/>
      </c>
    </row>
    <row r="412" spans="1:17" x14ac:dyDescent="0.2">
      <c r="A412" s="453">
        <f t="shared" si="97"/>
        <v>54455</v>
      </c>
      <c r="B412" s="30">
        <v>54455</v>
      </c>
      <c r="C412" s="16">
        <f t="shared" si="84"/>
        <v>0</v>
      </c>
      <c r="D412" s="16">
        <f t="shared" si="85"/>
        <v>0</v>
      </c>
      <c r="E412" s="16">
        <f t="shared" si="86"/>
        <v>0</v>
      </c>
      <c r="F412" s="16">
        <f t="shared" si="87"/>
        <v>0</v>
      </c>
      <c r="G412" s="16">
        <f t="shared" si="88"/>
        <v>0</v>
      </c>
      <c r="H412" s="16">
        <f t="shared" si="89"/>
        <v>0</v>
      </c>
      <c r="I412" s="16">
        <f t="shared" si="90"/>
        <v>0</v>
      </c>
      <c r="J412" s="16">
        <f t="shared" si="91"/>
        <v>0</v>
      </c>
      <c r="K412" s="16">
        <f t="shared" si="92"/>
        <v>0</v>
      </c>
      <c r="L412" s="16">
        <f t="shared" si="93"/>
        <v>0</v>
      </c>
      <c r="M412" s="16">
        <f t="shared" si="94"/>
        <v>0</v>
      </c>
      <c r="N412" s="16">
        <f t="shared" si="95"/>
        <v>0</v>
      </c>
      <c r="O412" s="16">
        <f t="shared" si="96"/>
        <v>0</v>
      </c>
      <c r="P412" s="16" t="str">
        <f>+IF(AND(B412&gt;='Relevé de la Régularisation'!$C$9,B412&lt;='Relevé de la Régularisation'!$D$14),"OUI","NON")</f>
        <v>NON</v>
      </c>
      <c r="Q412" s="16" t="str">
        <f t="array" ref="Q412">IF(P412="OUI",MAX($Q$2:Q411)+1,"")</f>
        <v/>
      </c>
    </row>
    <row r="413" spans="1:17" x14ac:dyDescent="0.2">
      <c r="A413" s="453">
        <f t="shared" si="97"/>
        <v>54483</v>
      </c>
      <c r="B413" s="30">
        <v>54483</v>
      </c>
      <c r="C413" s="16">
        <f t="shared" si="84"/>
        <v>0</v>
      </c>
      <c r="D413" s="16">
        <f t="shared" si="85"/>
        <v>0</v>
      </c>
      <c r="E413" s="16">
        <f t="shared" si="86"/>
        <v>0</v>
      </c>
      <c r="F413" s="16">
        <f t="shared" si="87"/>
        <v>0</v>
      </c>
      <c r="G413" s="16">
        <f t="shared" si="88"/>
        <v>0</v>
      </c>
      <c r="H413" s="16">
        <f t="shared" si="89"/>
        <v>0</v>
      </c>
      <c r="I413" s="16">
        <f t="shared" si="90"/>
        <v>0</v>
      </c>
      <c r="J413" s="16">
        <f t="shared" si="91"/>
        <v>0</v>
      </c>
      <c r="K413" s="16">
        <f t="shared" si="92"/>
        <v>0</v>
      </c>
      <c r="L413" s="16">
        <f t="shared" si="93"/>
        <v>0</v>
      </c>
      <c r="M413" s="16">
        <f t="shared" si="94"/>
        <v>0</v>
      </c>
      <c r="N413" s="16">
        <f t="shared" si="95"/>
        <v>0</v>
      </c>
      <c r="O413" s="16">
        <f t="shared" si="96"/>
        <v>0</v>
      </c>
      <c r="P413" s="16" t="str">
        <f>+IF(AND(B413&gt;='Relevé de la Régularisation'!$C$9,B413&lt;='Relevé de la Régularisation'!$D$14),"OUI","NON")</f>
        <v>NON</v>
      </c>
      <c r="Q413" s="16" t="str">
        <f t="array" ref="Q413">IF(P413="OUI",MAX($Q$2:Q412)+1,"")</f>
        <v/>
      </c>
    </row>
    <row r="414" spans="1:17" x14ac:dyDescent="0.2">
      <c r="A414" s="453">
        <f t="shared" si="97"/>
        <v>54514</v>
      </c>
      <c r="B414" s="30">
        <v>54514</v>
      </c>
      <c r="C414" s="16">
        <f t="shared" si="84"/>
        <v>0</v>
      </c>
      <c r="D414" s="16">
        <f t="shared" si="85"/>
        <v>0</v>
      </c>
      <c r="E414" s="16">
        <f t="shared" si="86"/>
        <v>0</v>
      </c>
      <c r="F414" s="16">
        <f t="shared" si="87"/>
        <v>0</v>
      </c>
      <c r="G414" s="16">
        <f t="shared" si="88"/>
        <v>0</v>
      </c>
      <c r="H414" s="16">
        <f t="shared" si="89"/>
        <v>0</v>
      </c>
      <c r="I414" s="16">
        <f t="shared" si="90"/>
        <v>0</v>
      </c>
      <c r="J414" s="16">
        <f t="shared" si="91"/>
        <v>0</v>
      </c>
      <c r="K414" s="16">
        <f t="shared" si="92"/>
        <v>0</v>
      </c>
      <c r="L414" s="16">
        <f t="shared" si="93"/>
        <v>0</v>
      </c>
      <c r="M414" s="16">
        <f t="shared" si="94"/>
        <v>0</v>
      </c>
      <c r="N414" s="16">
        <f t="shared" si="95"/>
        <v>0</v>
      </c>
      <c r="O414" s="16">
        <f t="shared" si="96"/>
        <v>0</v>
      </c>
      <c r="P414" s="16" t="str">
        <f>+IF(AND(B414&gt;='Relevé de la Régularisation'!$C$9,B414&lt;='Relevé de la Régularisation'!$D$14),"OUI","NON")</f>
        <v>NON</v>
      </c>
      <c r="Q414" s="16" t="str">
        <f t="array" ref="Q414">IF(P414="OUI",MAX($Q$2:Q413)+1,"")</f>
        <v/>
      </c>
    </row>
    <row r="415" spans="1:17" x14ac:dyDescent="0.2">
      <c r="A415" s="453">
        <f t="shared" si="97"/>
        <v>54544</v>
      </c>
      <c r="B415" s="30">
        <v>54544</v>
      </c>
      <c r="C415" s="16">
        <f t="shared" si="84"/>
        <v>0</v>
      </c>
      <c r="D415" s="16">
        <f t="shared" si="85"/>
        <v>0</v>
      </c>
      <c r="E415" s="16">
        <f t="shared" si="86"/>
        <v>0</v>
      </c>
      <c r="F415" s="16">
        <f t="shared" si="87"/>
        <v>0</v>
      </c>
      <c r="G415" s="16">
        <f t="shared" si="88"/>
        <v>0</v>
      </c>
      <c r="H415" s="16">
        <f t="shared" si="89"/>
        <v>0</v>
      </c>
      <c r="I415" s="16">
        <f t="shared" si="90"/>
        <v>0</v>
      </c>
      <c r="J415" s="16">
        <f t="shared" si="91"/>
        <v>0</v>
      </c>
      <c r="K415" s="16">
        <f t="shared" si="92"/>
        <v>0</v>
      </c>
      <c r="L415" s="16">
        <f t="shared" si="93"/>
        <v>0</v>
      </c>
      <c r="M415" s="16">
        <f t="shared" si="94"/>
        <v>0</v>
      </c>
      <c r="N415" s="16">
        <f t="shared" si="95"/>
        <v>0</v>
      </c>
      <c r="O415" s="16">
        <f t="shared" si="96"/>
        <v>0</v>
      </c>
      <c r="P415" s="16" t="str">
        <f>+IF(AND(B415&gt;='Relevé de la Régularisation'!$C$9,B415&lt;='Relevé de la Régularisation'!$D$14),"OUI","NON")</f>
        <v>NON</v>
      </c>
      <c r="Q415" s="16" t="str">
        <f t="array" ref="Q415">IF(P415="OUI",MAX($Q$2:Q414)+1,"")</f>
        <v/>
      </c>
    </row>
    <row r="416" spans="1:17" x14ac:dyDescent="0.2">
      <c r="A416" s="453">
        <f t="shared" si="97"/>
        <v>54575</v>
      </c>
      <c r="B416" s="30">
        <v>54575</v>
      </c>
      <c r="C416" s="16">
        <f t="shared" si="84"/>
        <v>0</v>
      </c>
      <c r="D416" s="16">
        <f t="shared" si="85"/>
        <v>0</v>
      </c>
      <c r="E416" s="16">
        <f t="shared" si="86"/>
        <v>0</v>
      </c>
      <c r="F416" s="16">
        <f t="shared" si="87"/>
        <v>0</v>
      </c>
      <c r="G416" s="16">
        <f t="shared" si="88"/>
        <v>0</v>
      </c>
      <c r="H416" s="16">
        <f t="shared" si="89"/>
        <v>0</v>
      </c>
      <c r="I416" s="16">
        <f t="shared" si="90"/>
        <v>0</v>
      </c>
      <c r="J416" s="16">
        <f t="shared" si="91"/>
        <v>0</v>
      </c>
      <c r="K416" s="16">
        <f t="shared" si="92"/>
        <v>0</v>
      </c>
      <c r="L416" s="16">
        <f t="shared" si="93"/>
        <v>0</v>
      </c>
      <c r="M416" s="16">
        <f t="shared" si="94"/>
        <v>0</v>
      </c>
      <c r="N416" s="16">
        <f t="shared" si="95"/>
        <v>0</v>
      </c>
      <c r="O416" s="16">
        <f t="shared" si="96"/>
        <v>0</v>
      </c>
      <c r="P416" s="16" t="str">
        <f>+IF(AND(B416&gt;='Relevé de la Régularisation'!$C$9,B416&lt;='Relevé de la Régularisation'!$D$14),"OUI","NON")</f>
        <v>NON</v>
      </c>
      <c r="Q416" s="16" t="str">
        <f t="array" ref="Q416">IF(P416="OUI",MAX($Q$2:Q415)+1,"")</f>
        <v/>
      </c>
    </row>
    <row r="417" spans="1:17" x14ac:dyDescent="0.2">
      <c r="A417" s="453">
        <f t="shared" si="97"/>
        <v>54605</v>
      </c>
      <c r="B417" s="30">
        <v>54605</v>
      </c>
      <c r="C417" s="16">
        <f t="shared" si="84"/>
        <v>0</v>
      </c>
      <c r="D417" s="16">
        <f t="shared" si="85"/>
        <v>0</v>
      </c>
      <c r="E417" s="16">
        <f t="shared" si="86"/>
        <v>0</v>
      </c>
      <c r="F417" s="16">
        <f t="shared" si="87"/>
        <v>0</v>
      </c>
      <c r="G417" s="16">
        <f t="shared" si="88"/>
        <v>0</v>
      </c>
      <c r="H417" s="16">
        <f t="shared" si="89"/>
        <v>0</v>
      </c>
      <c r="I417" s="16">
        <f t="shared" si="90"/>
        <v>0</v>
      </c>
      <c r="J417" s="16">
        <f t="shared" si="91"/>
        <v>0</v>
      </c>
      <c r="K417" s="16">
        <f t="shared" si="92"/>
        <v>0</v>
      </c>
      <c r="L417" s="16">
        <f t="shared" si="93"/>
        <v>0</v>
      </c>
      <c r="M417" s="16">
        <f t="shared" si="94"/>
        <v>0</v>
      </c>
      <c r="N417" s="16">
        <f t="shared" si="95"/>
        <v>0</v>
      </c>
      <c r="O417" s="16">
        <f t="shared" si="96"/>
        <v>0</v>
      </c>
      <c r="P417" s="16" t="str">
        <f>+IF(AND(B417&gt;='Relevé de la Régularisation'!$C$9,B417&lt;='Relevé de la Régularisation'!$D$14),"OUI","NON")</f>
        <v>NON</v>
      </c>
      <c r="Q417" s="16" t="str">
        <f t="array" ref="Q417">IF(P417="OUI",MAX($Q$2:Q416)+1,"")</f>
        <v/>
      </c>
    </row>
    <row r="418" spans="1:17" x14ac:dyDescent="0.2">
      <c r="A418" s="453">
        <f t="shared" si="97"/>
        <v>54636</v>
      </c>
      <c r="B418" s="30">
        <v>54636</v>
      </c>
      <c r="C418" s="16">
        <f t="shared" si="84"/>
        <v>0</v>
      </c>
      <c r="D418" s="16">
        <f t="shared" si="85"/>
        <v>0</v>
      </c>
      <c r="E418" s="16">
        <f t="shared" si="86"/>
        <v>0</v>
      </c>
      <c r="F418" s="16">
        <f t="shared" si="87"/>
        <v>0</v>
      </c>
      <c r="G418" s="16">
        <f t="shared" si="88"/>
        <v>0</v>
      </c>
      <c r="H418" s="16">
        <f t="shared" si="89"/>
        <v>0</v>
      </c>
      <c r="I418" s="16">
        <f t="shared" si="90"/>
        <v>0</v>
      </c>
      <c r="J418" s="16">
        <f t="shared" si="91"/>
        <v>0</v>
      </c>
      <c r="K418" s="16">
        <f t="shared" si="92"/>
        <v>0</v>
      </c>
      <c r="L418" s="16">
        <f t="shared" si="93"/>
        <v>0</v>
      </c>
      <c r="M418" s="16">
        <f t="shared" si="94"/>
        <v>0</v>
      </c>
      <c r="N418" s="16">
        <f t="shared" si="95"/>
        <v>0</v>
      </c>
      <c r="O418" s="16">
        <f t="shared" si="96"/>
        <v>0</v>
      </c>
      <c r="P418" s="16" t="str">
        <f>+IF(AND(B418&gt;='Relevé de la Régularisation'!$C$9,B418&lt;='Relevé de la Régularisation'!$D$14),"OUI","NON")</f>
        <v>NON</v>
      </c>
      <c r="Q418" s="16" t="str">
        <f t="array" ref="Q418">IF(P418="OUI",MAX($Q$2:Q417)+1,"")</f>
        <v/>
      </c>
    </row>
    <row r="419" spans="1:17" x14ac:dyDescent="0.2">
      <c r="A419" s="453">
        <f t="shared" si="97"/>
        <v>54667</v>
      </c>
      <c r="B419" s="30">
        <v>54667</v>
      </c>
      <c r="C419" s="16">
        <f t="shared" si="84"/>
        <v>0</v>
      </c>
      <c r="D419" s="16">
        <f t="shared" si="85"/>
        <v>0</v>
      </c>
      <c r="E419" s="16">
        <f t="shared" si="86"/>
        <v>0</v>
      </c>
      <c r="F419" s="16">
        <f t="shared" si="87"/>
        <v>0</v>
      </c>
      <c r="G419" s="16">
        <f t="shared" si="88"/>
        <v>0</v>
      </c>
      <c r="H419" s="16">
        <f t="shared" si="89"/>
        <v>0</v>
      </c>
      <c r="I419" s="16">
        <f t="shared" si="90"/>
        <v>0</v>
      </c>
      <c r="J419" s="16">
        <f t="shared" si="91"/>
        <v>0</v>
      </c>
      <c r="K419" s="16">
        <f t="shared" si="92"/>
        <v>0</v>
      </c>
      <c r="L419" s="16">
        <f t="shared" si="93"/>
        <v>0</v>
      </c>
      <c r="M419" s="16">
        <f t="shared" si="94"/>
        <v>0</v>
      </c>
      <c r="N419" s="16">
        <f t="shared" si="95"/>
        <v>0</v>
      </c>
      <c r="O419" s="16">
        <f t="shared" si="96"/>
        <v>0</v>
      </c>
      <c r="P419" s="16" t="str">
        <f>+IF(AND(B419&gt;='Relevé de la Régularisation'!$C$9,B419&lt;='Relevé de la Régularisation'!$D$14),"OUI","NON")</f>
        <v>NON</v>
      </c>
      <c r="Q419" s="16" t="str">
        <f t="array" ref="Q419">IF(P419="OUI",MAX($Q$2:Q418)+1,"")</f>
        <v/>
      </c>
    </row>
    <row r="420" spans="1:17" x14ac:dyDescent="0.2">
      <c r="A420" s="453">
        <f t="shared" si="97"/>
        <v>54697</v>
      </c>
      <c r="B420" s="30">
        <v>54697</v>
      </c>
      <c r="C420" s="16">
        <f t="shared" si="84"/>
        <v>0</v>
      </c>
      <c r="D420" s="16">
        <f t="shared" si="85"/>
        <v>0</v>
      </c>
      <c r="E420" s="16">
        <f t="shared" si="86"/>
        <v>0</v>
      </c>
      <c r="F420" s="16">
        <f t="shared" si="87"/>
        <v>0</v>
      </c>
      <c r="G420" s="16">
        <f t="shared" si="88"/>
        <v>0</v>
      </c>
      <c r="H420" s="16">
        <f t="shared" si="89"/>
        <v>0</v>
      </c>
      <c r="I420" s="16">
        <f t="shared" si="90"/>
        <v>0</v>
      </c>
      <c r="J420" s="16">
        <f t="shared" si="91"/>
        <v>0</v>
      </c>
      <c r="K420" s="16">
        <f t="shared" si="92"/>
        <v>0</v>
      </c>
      <c r="L420" s="16">
        <f t="shared" si="93"/>
        <v>0</v>
      </c>
      <c r="M420" s="16">
        <f t="shared" si="94"/>
        <v>0</v>
      </c>
      <c r="N420" s="16">
        <f t="shared" si="95"/>
        <v>0</v>
      </c>
      <c r="O420" s="16">
        <f t="shared" si="96"/>
        <v>0</v>
      </c>
      <c r="P420" s="16" t="str">
        <f>+IF(AND(B420&gt;='Relevé de la Régularisation'!$C$9,B420&lt;='Relevé de la Régularisation'!$D$14),"OUI","NON")</f>
        <v>NON</v>
      </c>
      <c r="Q420" s="16" t="str">
        <f t="array" ref="Q420">IF(P420="OUI",MAX($Q$2:Q419)+1,"")</f>
        <v/>
      </c>
    </row>
    <row r="421" spans="1:17" x14ac:dyDescent="0.2">
      <c r="A421" s="453">
        <f t="shared" si="97"/>
        <v>54728</v>
      </c>
      <c r="B421" s="30">
        <v>54728</v>
      </c>
      <c r="C421" s="16">
        <f t="shared" si="84"/>
        <v>0</v>
      </c>
      <c r="D421" s="16">
        <f t="shared" si="85"/>
        <v>0</v>
      </c>
      <c r="E421" s="16">
        <f t="shared" si="86"/>
        <v>0</v>
      </c>
      <c r="F421" s="16">
        <f t="shared" si="87"/>
        <v>0</v>
      </c>
      <c r="G421" s="16">
        <f t="shared" si="88"/>
        <v>0</v>
      </c>
      <c r="H421" s="16">
        <f t="shared" si="89"/>
        <v>0</v>
      </c>
      <c r="I421" s="16">
        <f t="shared" si="90"/>
        <v>0</v>
      </c>
      <c r="J421" s="16">
        <f t="shared" si="91"/>
        <v>0</v>
      </c>
      <c r="K421" s="16">
        <f t="shared" si="92"/>
        <v>0</v>
      </c>
      <c r="L421" s="16">
        <f t="shared" si="93"/>
        <v>0</v>
      </c>
      <c r="M421" s="16">
        <f t="shared" si="94"/>
        <v>0</v>
      </c>
      <c r="N421" s="16">
        <f t="shared" si="95"/>
        <v>0</v>
      </c>
      <c r="O421" s="16">
        <f t="shared" si="96"/>
        <v>0</v>
      </c>
      <c r="P421" s="16" t="str">
        <f>+IF(AND(B421&gt;='Relevé de la Régularisation'!$C$9,B421&lt;='Relevé de la Régularisation'!$D$14),"OUI","NON")</f>
        <v>NON</v>
      </c>
      <c r="Q421" s="16" t="str">
        <f t="array" ref="Q421">IF(P421="OUI",MAX($Q$2:Q420)+1,"")</f>
        <v/>
      </c>
    </row>
    <row r="422" spans="1:17" x14ac:dyDescent="0.2">
      <c r="A422" s="453">
        <f t="shared" si="97"/>
        <v>54758</v>
      </c>
      <c r="B422" s="30">
        <v>54758</v>
      </c>
      <c r="C422" s="16">
        <f t="shared" si="84"/>
        <v>0</v>
      </c>
      <c r="D422" s="16">
        <f t="shared" si="85"/>
        <v>0</v>
      </c>
      <c r="E422" s="16">
        <f t="shared" si="86"/>
        <v>0</v>
      </c>
      <c r="F422" s="16">
        <f t="shared" si="87"/>
        <v>0</v>
      </c>
      <c r="G422" s="16">
        <f t="shared" si="88"/>
        <v>0</v>
      </c>
      <c r="H422" s="16">
        <f t="shared" si="89"/>
        <v>0</v>
      </c>
      <c r="I422" s="16">
        <f t="shared" si="90"/>
        <v>0</v>
      </c>
      <c r="J422" s="16">
        <f t="shared" si="91"/>
        <v>0</v>
      </c>
      <c r="K422" s="16">
        <f t="shared" si="92"/>
        <v>0</v>
      </c>
      <c r="L422" s="16">
        <f t="shared" si="93"/>
        <v>0</v>
      </c>
      <c r="M422" s="16">
        <f t="shared" si="94"/>
        <v>0</v>
      </c>
      <c r="N422" s="16">
        <f t="shared" si="95"/>
        <v>0</v>
      </c>
      <c r="O422" s="16">
        <f t="shared" si="96"/>
        <v>0</v>
      </c>
      <c r="P422" s="16" t="str">
        <f>+IF(AND(B422&gt;='Relevé de la Régularisation'!$C$9,B422&lt;='Relevé de la Régularisation'!$D$14),"OUI","NON")</f>
        <v>NON</v>
      </c>
      <c r="Q422" s="16" t="str">
        <f t="array" ref="Q422">IF(P422="OUI",MAX($Q$2:Q421)+1,"")</f>
        <v/>
      </c>
    </row>
  </sheetData>
  <sheetProtection algorithmName="SHA-512" hashValue="4eC8+NtTjTWbvb9lFOldeLLOFcAz8HRrblXGAmp7yf+71GsPqBXWTCeYZXC49o4XArwPk2JyhrluSs6zAPTgpA==" saltValue="58h9YllCSBMiAD6ov8NO5A==" spinCount="100000" sheet="1" objects="1" scenarios="1" formatCells="0" formatColumns="0" formatRows="0" insertColumns="0" insertRows="0" insertHyperlinks="0" sort="0" autoFilter="0" pivotTables="0"/>
  <pageMargins left="0.7" right="0.7" top="0.75" bottom="0.75" header="0.3" footer="0.3"/>
  <pageSetup paperSize="9" orientation="portrait" horizontalDpi="1200" verticalDpi="12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H422"/>
  <sheetViews>
    <sheetView topLeftCell="H1" workbookViewId="0">
      <selection activeCell="HL2" sqref="HL2"/>
    </sheetView>
  </sheetViews>
  <sheetFormatPr baseColWidth="10" defaultColWidth="11.42578125" defaultRowHeight="12.75" outlineLevelCol="1" x14ac:dyDescent="0.2"/>
  <cols>
    <col min="1" max="1" width="14.28515625" style="16" hidden="1" customWidth="1" outlineLevel="1"/>
    <col min="2" max="2" width="10.140625" style="16" hidden="1" customWidth="1" outlineLevel="1"/>
    <col min="3" max="3" width="16.140625" style="16" hidden="1" customWidth="1" outlineLevel="1"/>
    <col min="4" max="4" width="17" style="16" hidden="1" customWidth="1" outlineLevel="1"/>
    <col min="5" max="5" width="10.7109375" style="16" hidden="1" customWidth="1" outlineLevel="1"/>
    <col min="6" max="6" width="5.42578125" style="16" hidden="1" customWidth="1" outlineLevel="1"/>
    <col min="7" max="7" width="11.42578125" style="16" hidden="1" customWidth="1" outlineLevel="1"/>
    <col min="8" max="8" width="11.42578125" style="16" customWidth="1" collapsed="1"/>
    <col min="9" max="157" width="11.42578125" style="16" customWidth="1"/>
    <col min="158" max="16384" width="11.42578125" style="16"/>
  </cols>
  <sheetData>
    <row r="1" spans="1:6" x14ac:dyDescent="0.2">
      <c r="A1" s="27">
        <v>1</v>
      </c>
      <c r="B1" s="27">
        <v>2</v>
      </c>
      <c r="C1" s="16">
        <v>3</v>
      </c>
      <c r="D1" s="16">
        <v>4</v>
      </c>
      <c r="E1" s="27"/>
      <c r="F1" s="27"/>
    </row>
    <row r="2" spans="1:6" x14ac:dyDescent="0.2">
      <c r="A2" s="452" t="s">
        <v>880</v>
      </c>
      <c r="B2" s="452" t="s">
        <v>27</v>
      </c>
      <c r="C2" s="452" t="s">
        <v>920</v>
      </c>
      <c r="D2" s="452" t="s">
        <v>921</v>
      </c>
      <c r="E2" s="27" t="s">
        <v>891</v>
      </c>
      <c r="F2" s="27" t="s">
        <v>892</v>
      </c>
    </row>
    <row r="3" spans="1:6" x14ac:dyDescent="0.2">
      <c r="A3" s="453">
        <f>+B3</f>
        <v>42005</v>
      </c>
      <c r="B3" s="30">
        <v>42005</v>
      </c>
      <c r="C3" s="16">
        <f t="shared" ref="C3:C66" si="0">IFERROR(+VLOOKUP(B3,BDD,53,FALSE),0)</f>
        <v>0</v>
      </c>
      <c r="D3" s="16">
        <f t="shared" ref="D3:D66" si="1">IFERROR(+VLOOKUP(B3,BDD,54,FALSE),0)</f>
        <v>0</v>
      </c>
      <c r="E3" s="16" t="e">
        <f>+IF(AND(B3&gt;=#REF!,B3&lt;=#REF!),"OUI","NON")</f>
        <v>#REF!</v>
      </c>
      <c r="F3" s="16" t="e">
        <f t="array" ref="F3">IF(E3="OUI",MAX(F$2:$O2)+1,"")</f>
        <v>#REF!</v>
      </c>
    </row>
    <row r="4" spans="1:6" x14ac:dyDescent="0.2">
      <c r="A4" s="453">
        <f t="shared" ref="A4:A67" si="2">+B4</f>
        <v>42036</v>
      </c>
      <c r="B4" s="30">
        <v>42036</v>
      </c>
      <c r="C4" s="16">
        <f t="shared" si="0"/>
        <v>0</v>
      </c>
      <c r="D4" s="16">
        <f t="shared" si="1"/>
        <v>0</v>
      </c>
      <c r="E4" s="16" t="e">
        <f>+IF(AND(B4&gt;=#REF!,B4&lt;=#REF!),"OUI","NON")</f>
        <v>#REF!</v>
      </c>
      <c r="F4" s="16" t="e">
        <f t="array" ref="F4">IF(E4="OUI",MAX(F$2:$O3)+1,"")</f>
        <v>#REF!</v>
      </c>
    </row>
    <row r="5" spans="1:6" x14ac:dyDescent="0.2">
      <c r="A5" s="453">
        <f t="shared" si="2"/>
        <v>42064</v>
      </c>
      <c r="B5" s="30">
        <v>42064</v>
      </c>
      <c r="C5" s="16">
        <f t="shared" si="0"/>
        <v>0</v>
      </c>
      <c r="D5" s="16">
        <f t="shared" si="1"/>
        <v>0</v>
      </c>
      <c r="E5" s="16" t="e">
        <f>+IF(AND(B5&gt;=#REF!,B5&lt;=#REF!),"OUI","NON")</f>
        <v>#REF!</v>
      </c>
      <c r="F5" s="16" t="e">
        <f t="array" ref="F5">IF(E5="OUI",MAX(F$2:$O4)+1,"")</f>
        <v>#REF!</v>
      </c>
    </row>
    <row r="6" spans="1:6" x14ac:dyDescent="0.2">
      <c r="A6" s="453">
        <f t="shared" si="2"/>
        <v>42095</v>
      </c>
      <c r="B6" s="30">
        <v>42095</v>
      </c>
      <c r="C6" s="16">
        <f t="shared" si="0"/>
        <v>0</v>
      </c>
      <c r="D6" s="16">
        <f t="shared" si="1"/>
        <v>0</v>
      </c>
      <c r="E6" s="16" t="e">
        <f>+IF(AND(B6&gt;=#REF!,B6&lt;=#REF!),"OUI","NON")</f>
        <v>#REF!</v>
      </c>
      <c r="F6" s="16" t="e">
        <f t="array" ref="F6">IF(E6="OUI",MAX(F$2:$O5)+1,"")</f>
        <v>#REF!</v>
      </c>
    </row>
    <row r="7" spans="1:6" x14ac:dyDescent="0.2">
      <c r="A7" s="453">
        <f t="shared" si="2"/>
        <v>42125</v>
      </c>
      <c r="B7" s="30">
        <v>42125</v>
      </c>
      <c r="C7" s="16">
        <f t="shared" si="0"/>
        <v>0</v>
      </c>
      <c r="D7" s="16">
        <f t="shared" si="1"/>
        <v>0</v>
      </c>
      <c r="E7" s="16" t="e">
        <f>+IF(AND(B7&gt;=#REF!,B7&lt;=#REF!),"OUI","NON")</f>
        <v>#REF!</v>
      </c>
      <c r="F7" s="16" t="e">
        <f t="array" ref="F7">IF(E7="OUI",MAX(F$2:$O6)+1,"")</f>
        <v>#REF!</v>
      </c>
    </row>
    <row r="8" spans="1:6" x14ac:dyDescent="0.2">
      <c r="A8" s="453">
        <f t="shared" si="2"/>
        <v>42156</v>
      </c>
      <c r="B8" s="30">
        <v>42156</v>
      </c>
      <c r="C8" s="16">
        <f t="shared" si="0"/>
        <v>0</v>
      </c>
      <c r="D8" s="16">
        <f t="shared" si="1"/>
        <v>0</v>
      </c>
      <c r="E8" s="16" t="e">
        <f>+IF(AND(B8&gt;=#REF!,B8&lt;=#REF!),"OUI","NON")</f>
        <v>#REF!</v>
      </c>
      <c r="F8" s="16" t="e">
        <f t="array" ref="F8">IF(E8="OUI",MAX(F$2:$O7)+1,"")</f>
        <v>#REF!</v>
      </c>
    </row>
    <row r="9" spans="1:6" x14ac:dyDescent="0.2">
      <c r="A9" s="453">
        <f t="shared" si="2"/>
        <v>42186</v>
      </c>
      <c r="B9" s="30">
        <v>42186</v>
      </c>
      <c r="C9" s="16">
        <f t="shared" si="0"/>
        <v>0</v>
      </c>
      <c r="D9" s="16">
        <f t="shared" si="1"/>
        <v>0</v>
      </c>
      <c r="E9" s="16" t="e">
        <f>+IF(AND(B9&gt;=#REF!,B9&lt;=#REF!),"OUI","NON")</f>
        <v>#REF!</v>
      </c>
      <c r="F9" s="16" t="e">
        <f t="array" ref="F9">IF(E9="OUI",MAX(F$2:$O8)+1,"")</f>
        <v>#REF!</v>
      </c>
    </row>
    <row r="10" spans="1:6" x14ac:dyDescent="0.2">
      <c r="A10" s="453">
        <f t="shared" si="2"/>
        <v>42217</v>
      </c>
      <c r="B10" s="30">
        <v>42217</v>
      </c>
      <c r="C10" s="16">
        <f t="shared" si="0"/>
        <v>0</v>
      </c>
      <c r="D10" s="16">
        <f t="shared" si="1"/>
        <v>0</v>
      </c>
      <c r="E10" s="16" t="e">
        <f>+IF(AND(B10&gt;=#REF!,B10&lt;=#REF!),"OUI","NON")</f>
        <v>#REF!</v>
      </c>
      <c r="F10" s="16" t="e">
        <f t="array" ref="F10">IF(E10="OUI",MAX(F$2:$O9)+1,"")</f>
        <v>#REF!</v>
      </c>
    </row>
    <row r="11" spans="1:6" x14ac:dyDescent="0.2">
      <c r="A11" s="453">
        <f t="shared" si="2"/>
        <v>42248</v>
      </c>
      <c r="B11" s="30">
        <v>42248</v>
      </c>
      <c r="C11" s="16">
        <f t="shared" si="0"/>
        <v>0</v>
      </c>
      <c r="D11" s="16">
        <f t="shared" si="1"/>
        <v>0</v>
      </c>
      <c r="E11" s="16" t="e">
        <f>+IF(AND(B11&gt;=#REF!,B11&lt;=#REF!),"OUI","NON")</f>
        <v>#REF!</v>
      </c>
      <c r="F11" s="16" t="e">
        <f t="array" ref="F11">IF(E11="OUI",MAX(F$2:$O10)+1,"")</f>
        <v>#REF!</v>
      </c>
    </row>
    <row r="12" spans="1:6" x14ac:dyDescent="0.2">
      <c r="A12" s="453">
        <f t="shared" si="2"/>
        <v>42278</v>
      </c>
      <c r="B12" s="30">
        <v>42278</v>
      </c>
      <c r="C12" s="16">
        <f t="shared" si="0"/>
        <v>0</v>
      </c>
      <c r="D12" s="16">
        <f t="shared" si="1"/>
        <v>0</v>
      </c>
      <c r="E12" s="16" t="e">
        <f>+IF(AND(B12&gt;=#REF!,B12&lt;=#REF!),"OUI","NON")</f>
        <v>#REF!</v>
      </c>
      <c r="F12" s="16" t="e">
        <f t="array" ref="F12">IF(E12="OUI",MAX(F$2:$O11)+1,"")</f>
        <v>#REF!</v>
      </c>
    </row>
    <row r="13" spans="1:6" x14ac:dyDescent="0.2">
      <c r="A13" s="453">
        <f t="shared" si="2"/>
        <v>42309</v>
      </c>
      <c r="B13" s="30">
        <v>42309</v>
      </c>
      <c r="C13" s="16">
        <f t="shared" si="0"/>
        <v>0</v>
      </c>
      <c r="D13" s="16">
        <f t="shared" si="1"/>
        <v>0</v>
      </c>
      <c r="E13" s="16" t="e">
        <f>+IF(AND(B13&gt;=#REF!,B13&lt;=#REF!),"OUI","NON")</f>
        <v>#REF!</v>
      </c>
      <c r="F13" s="16" t="e">
        <f t="array" ref="F13">IF(E13="OUI",MAX(F$2:$O12)+1,"")</f>
        <v>#REF!</v>
      </c>
    </row>
    <row r="14" spans="1:6" x14ac:dyDescent="0.2">
      <c r="A14" s="453">
        <f t="shared" si="2"/>
        <v>42339</v>
      </c>
      <c r="B14" s="30">
        <v>42339</v>
      </c>
      <c r="C14" s="16">
        <f t="shared" si="0"/>
        <v>0</v>
      </c>
      <c r="D14" s="16">
        <f t="shared" si="1"/>
        <v>0</v>
      </c>
      <c r="E14" s="16" t="e">
        <f>+IF(AND(B14&gt;=#REF!,B14&lt;=#REF!),"OUI","NON")</f>
        <v>#REF!</v>
      </c>
      <c r="F14" s="16" t="e">
        <f t="array" ref="F14">IF(E14="OUI",MAX(F$2:$O13)+1,"")</f>
        <v>#REF!</v>
      </c>
    </row>
    <row r="15" spans="1:6" x14ac:dyDescent="0.2">
      <c r="A15" s="453">
        <f t="shared" si="2"/>
        <v>42370</v>
      </c>
      <c r="B15" s="30">
        <v>42370</v>
      </c>
      <c r="C15" s="16">
        <f t="shared" si="0"/>
        <v>0</v>
      </c>
      <c r="D15" s="16">
        <f t="shared" si="1"/>
        <v>0</v>
      </c>
      <c r="E15" s="16" t="e">
        <f>+IF(AND(B15&gt;=#REF!,B15&lt;=#REF!),"OUI","NON")</f>
        <v>#REF!</v>
      </c>
      <c r="F15" s="16" t="e">
        <f t="array" ref="F15">IF(E15="OUI",MAX(F$2:$O14)+1,"")</f>
        <v>#REF!</v>
      </c>
    </row>
    <row r="16" spans="1:6" x14ac:dyDescent="0.2">
      <c r="A16" s="453">
        <f t="shared" si="2"/>
        <v>42401</v>
      </c>
      <c r="B16" s="30">
        <v>42401</v>
      </c>
      <c r="C16" s="16">
        <f t="shared" si="0"/>
        <v>0</v>
      </c>
      <c r="D16" s="16">
        <f t="shared" si="1"/>
        <v>0</v>
      </c>
      <c r="E16" s="16" t="e">
        <f>+IF(AND(B16&gt;=#REF!,B16&lt;=#REF!),"OUI","NON")</f>
        <v>#REF!</v>
      </c>
      <c r="F16" s="16" t="e">
        <f t="array" ref="F16">IF(E16="OUI",MAX(F$2:$O15)+1,"")</f>
        <v>#REF!</v>
      </c>
    </row>
    <row r="17" spans="1:6" x14ac:dyDescent="0.2">
      <c r="A17" s="453">
        <f t="shared" si="2"/>
        <v>42430</v>
      </c>
      <c r="B17" s="30">
        <v>42430</v>
      </c>
      <c r="C17" s="16">
        <f t="shared" si="0"/>
        <v>0</v>
      </c>
      <c r="D17" s="16">
        <f t="shared" si="1"/>
        <v>0</v>
      </c>
      <c r="E17" s="16" t="e">
        <f>+IF(AND(B17&gt;=#REF!,B17&lt;=#REF!),"OUI","NON")</f>
        <v>#REF!</v>
      </c>
      <c r="F17" s="16" t="e">
        <f t="array" ref="F17">IF(E17="OUI",MAX(F$2:$O16)+1,"")</f>
        <v>#REF!</v>
      </c>
    </row>
    <row r="18" spans="1:6" x14ac:dyDescent="0.2">
      <c r="A18" s="453">
        <f t="shared" si="2"/>
        <v>42461</v>
      </c>
      <c r="B18" s="30">
        <v>42461</v>
      </c>
      <c r="C18" s="16">
        <f t="shared" si="0"/>
        <v>0</v>
      </c>
      <c r="D18" s="16">
        <f t="shared" si="1"/>
        <v>0</v>
      </c>
      <c r="E18" s="16" t="e">
        <f>+IF(AND(B18&gt;=#REF!,B18&lt;=#REF!),"OUI","NON")</f>
        <v>#REF!</v>
      </c>
      <c r="F18" s="16" t="e">
        <f t="array" ref="F18">IF(E18="OUI",MAX(F$2:$O17)+1,"")</f>
        <v>#REF!</v>
      </c>
    </row>
    <row r="19" spans="1:6" x14ac:dyDescent="0.2">
      <c r="A19" s="453">
        <f t="shared" si="2"/>
        <v>42491</v>
      </c>
      <c r="B19" s="30">
        <v>42491</v>
      </c>
      <c r="C19" s="16">
        <f t="shared" si="0"/>
        <v>0</v>
      </c>
      <c r="D19" s="16">
        <f t="shared" si="1"/>
        <v>0</v>
      </c>
      <c r="E19" s="16" t="e">
        <f>+IF(AND(B19&gt;=#REF!,B19&lt;=#REF!),"OUI","NON")</f>
        <v>#REF!</v>
      </c>
      <c r="F19" s="16" t="e">
        <f t="array" ref="F19">IF(E19="OUI",MAX(F$2:$O18)+1,"")</f>
        <v>#REF!</v>
      </c>
    </row>
    <row r="20" spans="1:6" x14ac:dyDescent="0.2">
      <c r="A20" s="453">
        <f t="shared" si="2"/>
        <v>42522</v>
      </c>
      <c r="B20" s="30">
        <v>42522</v>
      </c>
      <c r="C20" s="16">
        <f t="shared" si="0"/>
        <v>0</v>
      </c>
      <c r="D20" s="16">
        <f t="shared" si="1"/>
        <v>0</v>
      </c>
      <c r="E20" s="16" t="e">
        <f>+IF(AND(B20&gt;=#REF!,B20&lt;=#REF!),"OUI","NON")</f>
        <v>#REF!</v>
      </c>
      <c r="F20" s="16" t="e">
        <f t="array" ref="F20">IF(E20="OUI",MAX(F$2:$O19)+1,"")</f>
        <v>#REF!</v>
      </c>
    </row>
    <row r="21" spans="1:6" x14ac:dyDescent="0.2">
      <c r="A21" s="453">
        <f t="shared" si="2"/>
        <v>42552</v>
      </c>
      <c r="B21" s="30">
        <v>42552</v>
      </c>
      <c r="C21" s="16">
        <f t="shared" si="0"/>
        <v>0</v>
      </c>
      <c r="D21" s="16">
        <f t="shared" si="1"/>
        <v>0</v>
      </c>
      <c r="E21" s="16" t="e">
        <f>+IF(AND(B21&gt;=#REF!,B21&lt;=#REF!),"OUI","NON")</f>
        <v>#REF!</v>
      </c>
      <c r="F21" s="16" t="e">
        <f t="array" ref="F21">IF(E21="OUI",MAX(F$2:$O20)+1,"")</f>
        <v>#REF!</v>
      </c>
    </row>
    <row r="22" spans="1:6" x14ac:dyDescent="0.2">
      <c r="A22" s="453">
        <f t="shared" si="2"/>
        <v>42583</v>
      </c>
      <c r="B22" s="30">
        <v>42583</v>
      </c>
      <c r="C22" s="16">
        <f t="shared" si="0"/>
        <v>0</v>
      </c>
      <c r="D22" s="16">
        <f t="shared" si="1"/>
        <v>0</v>
      </c>
      <c r="E22" s="16" t="e">
        <f>+IF(AND(B22&gt;=#REF!,B22&lt;=#REF!),"OUI","NON")</f>
        <v>#REF!</v>
      </c>
      <c r="F22" s="16" t="e">
        <f t="array" ref="F22">IF(E22="OUI",MAX(F$2:$O21)+1,"")</f>
        <v>#REF!</v>
      </c>
    </row>
    <row r="23" spans="1:6" x14ac:dyDescent="0.2">
      <c r="A23" s="453">
        <f t="shared" si="2"/>
        <v>42614</v>
      </c>
      <c r="B23" s="30">
        <v>42614</v>
      </c>
      <c r="C23" s="16">
        <f t="shared" si="0"/>
        <v>0</v>
      </c>
      <c r="D23" s="16">
        <f t="shared" si="1"/>
        <v>0</v>
      </c>
      <c r="E23" s="16" t="e">
        <f>+IF(AND(B23&gt;=#REF!,B23&lt;=#REF!),"OUI","NON")</f>
        <v>#REF!</v>
      </c>
      <c r="F23" s="16" t="e">
        <f t="array" ref="F23">IF(E23="OUI",MAX(F$2:$O22)+1,"")</f>
        <v>#REF!</v>
      </c>
    </row>
    <row r="24" spans="1:6" x14ac:dyDescent="0.2">
      <c r="A24" s="453">
        <f t="shared" si="2"/>
        <v>42644</v>
      </c>
      <c r="B24" s="30">
        <v>42644</v>
      </c>
      <c r="C24" s="16">
        <f t="shared" si="0"/>
        <v>0</v>
      </c>
      <c r="D24" s="16">
        <f t="shared" si="1"/>
        <v>0</v>
      </c>
      <c r="E24" s="16" t="e">
        <f>+IF(AND(B24&gt;=#REF!,B24&lt;=#REF!),"OUI","NON")</f>
        <v>#REF!</v>
      </c>
      <c r="F24" s="16" t="e">
        <f t="array" ref="F24">IF(E24="OUI",MAX(F$2:$O23)+1,"")</f>
        <v>#REF!</v>
      </c>
    </row>
    <row r="25" spans="1:6" x14ac:dyDescent="0.2">
      <c r="A25" s="453">
        <f t="shared" si="2"/>
        <v>42675</v>
      </c>
      <c r="B25" s="30">
        <v>42675</v>
      </c>
      <c r="C25" s="16">
        <f t="shared" si="0"/>
        <v>0</v>
      </c>
      <c r="D25" s="16">
        <f t="shared" si="1"/>
        <v>0</v>
      </c>
      <c r="E25" s="16" t="e">
        <f>+IF(AND(B25&gt;=#REF!,B25&lt;=#REF!),"OUI","NON")</f>
        <v>#REF!</v>
      </c>
      <c r="F25" s="16" t="e">
        <f t="array" ref="F25">IF(E25="OUI",MAX(F$2:$O24)+1,"")</f>
        <v>#REF!</v>
      </c>
    </row>
    <row r="26" spans="1:6" x14ac:dyDescent="0.2">
      <c r="A26" s="453">
        <f t="shared" si="2"/>
        <v>42705</v>
      </c>
      <c r="B26" s="30">
        <v>42705</v>
      </c>
      <c r="C26" s="16">
        <f t="shared" si="0"/>
        <v>0</v>
      </c>
      <c r="D26" s="16">
        <f t="shared" si="1"/>
        <v>0</v>
      </c>
      <c r="E26" s="16" t="e">
        <f>+IF(AND(B26&gt;=#REF!,B26&lt;=#REF!),"OUI","NON")</f>
        <v>#REF!</v>
      </c>
      <c r="F26" s="16" t="e">
        <f t="array" ref="F26">IF(E26="OUI",MAX(F$2:$O25)+1,"")</f>
        <v>#REF!</v>
      </c>
    </row>
    <row r="27" spans="1:6" x14ac:dyDescent="0.2">
      <c r="A27" s="453">
        <f t="shared" si="2"/>
        <v>42736</v>
      </c>
      <c r="B27" s="30">
        <v>42736</v>
      </c>
      <c r="C27" s="16">
        <f t="shared" si="0"/>
        <v>0</v>
      </c>
      <c r="D27" s="16">
        <f t="shared" si="1"/>
        <v>0</v>
      </c>
      <c r="E27" s="16" t="e">
        <f>+IF(AND(B27&gt;=#REF!,B27&lt;=#REF!),"OUI","NON")</f>
        <v>#REF!</v>
      </c>
      <c r="F27" s="16" t="e">
        <f t="array" ref="F27">IF(E27="OUI",MAX(F$2:$O26)+1,"")</f>
        <v>#REF!</v>
      </c>
    </row>
    <row r="28" spans="1:6" x14ac:dyDescent="0.2">
      <c r="A28" s="453">
        <f t="shared" si="2"/>
        <v>42767</v>
      </c>
      <c r="B28" s="30">
        <v>42767</v>
      </c>
      <c r="C28" s="16">
        <f t="shared" si="0"/>
        <v>0</v>
      </c>
      <c r="D28" s="16">
        <f t="shared" si="1"/>
        <v>0</v>
      </c>
      <c r="E28" s="16" t="e">
        <f>+IF(AND(B28&gt;=#REF!,B28&lt;=#REF!),"OUI","NON")</f>
        <v>#REF!</v>
      </c>
      <c r="F28" s="16" t="e">
        <f t="array" ref="F28">IF(E28="OUI",MAX(F$2:$O27)+1,"")</f>
        <v>#REF!</v>
      </c>
    </row>
    <row r="29" spans="1:6" x14ac:dyDescent="0.2">
      <c r="A29" s="453">
        <f t="shared" si="2"/>
        <v>42795</v>
      </c>
      <c r="B29" s="30">
        <v>42795</v>
      </c>
      <c r="C29" s="16">
        <f t="shared" si="0"/>
        <v>0</v>
      </c>
      <c r="D29" s="16">
        <f t="shared" si="1"/>
        <v>0</v>
      </c>
      <c r="E29" s="16" t="e">
        <f>+IF(AND(B29&gt;=#REF!,B29&lt;=#REF!),"OUI","NON")</f>
        <v>#REF!</v>
      </c>
      <c r="F29" s="16" t="e">
        <f t="array" ref="F29">IF(E29="OUI",MAX(F$2:$O28)+1,"")</f>
        <v>#REF!</v>
      </c>
    </row>
    <row r="30" spans="1:6" x14ac:dyDescent="0.2">
      <c r="A30" s="453">
        <f t="shared" si="2"/>
        <v>42826</v>
      </c>
      <c r="B30" s="30">
        <v>42826</v>
      </c>
      <c r="C30" s="16">
        <f t="shared" si="0"/>
        <v>0</v>
      </c>
      <c r="D30" s="16">
        <f t="shared" si="1"/>
        <v>0</v>
      </c>
      <c r="E30" s="16" t="e">
        <f>+IF(AND(B30&gt;=#REF!,B30&lt;=#REF!),"OUI","NON")</f>
        <v>#REF!</v>
      </c>
      <c r="F30" s="16" t="e">
        <f t="array" ref="F30">IF(E30="OUI",MAX(F$2:$O29)+1,"")</f>
        <v>#REF!</v>
      </c>
    </row>
    <row r="31" spans="1:6" x14ac:dyDescent="0.2">
      <c r="A31" s="453">
        <f t="shared" si="2"/>
        <v>42856</v>
      </c>
      <c r="B31" s="30">
        <v>42856</v>
      </c>
      <c r="C31" s="16">
        <f t="shared" si="0"/>
        <v>0</v>
      </c>
      <c r="D31" s="16">
        <f t="shared" si="1"/>
        <v>0</v>
      </c>
      <c r="E31" s="16" t="e">
        <f>+IF(AND(B31&gt;=#REF!,B31&lt;=#REF!),"OUI","NON")</f>
        <v>#REF!</v>
      </c>
      <c r="F31" s="16" t="e">
        <f t="array" ref="F31">IF(E31="OUI",MAX(F$2:$O30)+1,"")</f>
        <v>#REF!</v>
      </c>
    </row>
    <row r="32" spans="1:6" x14ac:dyDescent="0.2">
      <c r="A32" s="453">
        <f t="shared" si="2"/>
        <v>42887</v>
      </c>
      <c r="B32" s="30">
        <v>42887</v>
      </c>
      <c r="C32" s="16">
        <f t="shared" si="0"/>
        <v>0</v>
      </c>
      <c r="D32" s="16">
        <f t="shared" si="1"/>
        <v>0</v>
      </c>
      <c r="E32" s="16" t="e">
        <f>+IF(AND(B32&gt;=#REF!,B32&lt;=#REF!),"OUI","NON")</f>
        <v>#REF!</v>
      </c>
      <c r="F32" s="16" t="e">
        <f t="array" ref="F32">IF(E32="OUI",MAX(F$2:$O31)+1,"")</f>
        <v>#REF!</v>
      </c>
    </row>
    <row r="33" spans="1:6" x14ac:dyDescent="0.2">
      <c r="A33" s="453">
        <f t="shared" si="2"/>
        <v>42917</v>
      </c>
      <c r="B33" s="30">
        <v>42917</v>
      </c>
      <c r="C33" s="16">
        <f t="shared" si="0"/>
        <v>0</v>
      </c>
      <c r="D33" s="16">
        <f t="shared" si="1"/>
        <v>0</v>
      </c>
      <c r="E33" s="16" t="e">
        <f>+IF(AND(B33&gt;=#REF!,B33&lt;=#REF!),"OUI","NON")</f>
        <v>#REF!</v>
      </c>
      <c r="F33" s="16" t="e">
        <f t="array" ref="F33">IF(E33="OUI",MAX(F$2:$O32)+1,"")</f>
        <v>#REF!</v>
      </c>
    </row>
    <row r="34" spans="1:6" x14ac:dyDescent="0.2">
      <c r="A34" s="453">
        <f t="shared" si="2"/>
        <v>42948</v>
      </c>
      <c r="B34" s="30">
        <v>42948</v>
      </c>
      <c r="C34" s="16">
        <f t="shared" si="0"/>
        <v>0</v>
      </c>
      <c r="D34" s="16">
        <f t="shared" si="1"/>
        <v>0</v>
      </c>
      <c r="E34" s="16" t="e">
        <f>+IF(AND(B34&gt;=#REF!,B34&lt;=#REF!),"OUI","NON")</f>
        <v>#REF!</v>
      </c>
      <c r="F34" s="16" t="e">
        <f t="array" ref="F34">IF(E34="OUI",MAX(F$2:$O33)+1,"")</f>
        <v>#REF!</v>
      </c>
    </row>
    <row r="35" spans="1:6" x14ac:dyDescent="0.2">
      <c r="A35" s="453">
        <f t="shared" si="2"/>
        <v>42979</v>
      </c>
      <c r="B35" s="30">
        <v>42979</v>
      </c>
      <c r="C35" s="16">
        <f t="shared" si="0"/>
        <v>0</v>
      </c>
      <c r="D35" s="16">
        <f t="shared" si="1"/>
        <v>0</v>
      </c>
      <c r="E35" s="16" t="e">
        <f>+IF(AND(B35&gt;=#REF!,B35&lt;=#REF!),"OUI","NON")</f>
        <v>#REF!</v>
      </c>
      <c r="F35" s="16" t="e">
        <f t="array" ref="F35">IF(E35="OUI",MAX(F$2:$O34)+1,"")</f>
        <v>#REF!</v>
      </c>
    </row>
    <row r="36" spans="1:6" x14ac:dyDescent="0.2">
      <c r="A36" s="453">
        <f t="shared" si="2"/>
        <v>43009</v>
      </c>
      <c r="B36" s="30">
        <v>43009</v>
      </c>
      <c r="C36" s="16">
        <f t="shared" si="0"/>
        <v>0</v>
      </c>
      <c r="D36" s="16">
        <f t="shared" si="1"/>
        <v>0</v>
      </c>
      <c r="E36" s="16" t="e">
        <f>+IF(AND(B36&gt;=#REF!,B36&lt;=#REF!),"OUI","NON")</f>
        <v>#REF!</v>
      </c>
      <c r="F36" s="16" t="e">
        <f t="array" ref="F36">IF(E36="OUI",MAX(F$2:$O35)+1,"")</f>
        <v>#REF!</v>
      </c>
    </row>
    <row r="37" spans="1:6" x14ac:dyDescent="0.2">
      <c r="A37" s="453">
        <f t="shared" si="2"/>
        <v>43040</v>
      </c>
      <c r="B37" s="30">
        <v>43040</v>
      </c>
      <c r="C37" s="16">
        <f t="shared" si="0"/>
        <v>0</v>
      </c>
      <c r="D37" s="16">
        <f t="shared" si="1"/>
        <v>0</v>
      </c>
      <c r="E37" s="16" t="e">
        <f>+IF(AND(B37&gt;=#REF!,B37&lt;=#REF!),"OUI","NON")</f>
        <v>#REF!</v>
      </c>
      <c r="F37" s="16" t="e">
        <f t="array" ref="F37">IF(E37="OUI",MAX(F$2:$O36)+1,"")</f>
        <v>#REF!</v>
      </c>
    </row>
    <row r="38" spans="1:6" x14ac:dyDescent="0.2">
      <c r="A38" s="453">
        <f t="shared" si="2"/>
        <v>43070</v>
      </c>
      <c r="B38" s="30">
        <v>43070</v>
      </c>
      <c r="C38" s="16">
        <f t="shared" si="0"/>
        <v>0</v>
      </c>
      <c r="D38" s="16">
        <f t="shared" si="1"/>
        <v>0</v>
      </c>
      <c r="E38" s="16" t="e">
        <f>+IF(AND(B38&gt;=#REF!,B38&lt;=#REF!),"OUI","NON")</f>
        <v>#REF!</v>
      </c>
      <c r="F38" s="16" t="e">
        <f t="array" ref="F38">IF(E38="OUI",MAX(F$2:$O37)+1,"")</f>
        <v>#REF!</v>
      </c>
    </row>
    <row r="39" spans="1:6" x14ac:dyDescent="0.2">
      <c r="A39" s="453">
        <f t="shared" si="2"/>
        <v>43101</v>
      </c>
      <c r="B39" s="30">
        <v>43101</v>
      </c>
      <c r="C39" s="16">
        <f t="shared" si="0"/>
        <v>0</v>
      </c>
      <c r="D39" s="16">
        <f t="shared" si="1"/>
        <v>0</v>
      </c>
      <c r="E39" s="16" t="e">
        <f>+IF(AND(B39&gt;=#REF!,B39&lt;=#REF!),"OUI","NON")</f>
        <v>#REF!</v>
      </c>
      <c r="F39" s="16" t="e">
        <f t="array" ref="F39">IF(E39="OUI",MAX(F$2:$O38)+1,"")</f>
        <v>#REF!</v>
      </c>
    </row>
    <row r="40" spans="1:6" x14ac:dyDescent="0.2">
      <c r="A40" s="453">
        <f t="shared" si="2"/>
        <v>43132</v>
      </c>
      <c r="B40" s="30">
        <v>43132</v>
      </c>
      <c r="C40" s="16">
        <f t="shared" si="0"/>
        <v>0</v>
      </c>
      <c r="D40" s="16">
        <f t="shared" si="1"/>
        <v>0</v>
      </c>
      <c r="E40" s="16" t="e">
        <f>+IF(AND(B40&gt;=#REF!,B40&lt;=#REF!),"OUI","NON")</f>
        <v>#REF!</v>
      </c>
      <c r="F40" s="16" t="e">
        <f t="array" ref="F40">IF(E40="OUI",MAX(F$2:$O39)+1,"")</f>
        <v>#REF!</v>
      </c>
    </row>
    <row r="41" spans="1:6" x14ac:dyDescent="0.2">
      <c r="A41" s="453">
        <f t="shared" si="2"/>
        <v>43160</v>
      </c>
      <c r="B41" s="30">
        <v>43160</v>
      </c>
      <c r="C41" s="16">
        <f t="shared" si="0"/>
        <v>0</v>
      </c>
      <c r="D41" s="16">
        <f t="shared" si="1"/>
        <v>0</v>
      </c>
      <c r="E41" s="16" t="e">
        <f>+IF(AND(B41&gt;=#REF!,B41&lt;=#REF!),"OUI","NON")</f>
        <v>#REF!</v>
      </c>
      <c r="F41" s="16" t="e">
        <f t="array" ref="F41">IF(E41="OUI",MAX(F$2:$O40)+1,"")</f>
        <v>#REF!</v>
      </c>
    </row>
    <row r="42" spans="1:6" x14ac:dyDescent="0.2">
      <c r="A42" s="453">
        <f t="shared" si="2"/>
        <v>43191</v>
      </c>
      <c r="B42" s="30">
        <v>43191</v>
      </c>
      <c r="C42" s="16">
        <f t="shared" si="0"/>
        <v>0</v>
      </c>
      <c r="D42" s="16">
        <f t="shared" si="1"/>
        <v>0</v>
      </c>
      <c r="E42" s="16" t="e">
        <f>+IF(AND(B42&gt;=#REF!,B42&lt;=#REF!),"OUI","NON")</f>
        <v>#REF!</v>
      </c>
      <c r="F42" s="16" t="e">
        <f t="array" ref="F42">IF(E42="OUI",MAX(F$2:$O41)+1,"")</f>
        <v>#REF!</v>
      </c>
    </row>
    <row r="43" spans="1:6" x14ac:dyDescent="0.2">
      <c r="A43" s="453">
        <f t="shared" si="2"/>
        <v>43221</v>
      </c>
      <c r="B43" s="30">
        <v>43221</v>
      </c>
      <c r="C43" s="16">
        <f t="shared" si="0"/>
        <v>0</v>
      </c>
      <c r="D43" s="16">
        <f t="shared" si="1"/>
        <v>0</v>
      </c>
      <c r="E43" s="16" t="e">
        <f>+IF(AND(B43&gt;=#REF!,B43&lt;=#REF!),"OUI","NON")</f>
        <v>#REF!</v>
      </c>
      <c r="F43" s="16" t="e">
        <f t="array" ref="F43">IF(E43="OUI",MAX(F$2:$O42)+1,"")</f>
        <v>#REF!</v>
      </c>
    </row>
    <row r="44" spans="1:6" x14ac:dyDescent="0.2">
      <c r="A44" s="453">
        <f t="shared" si="2"/>
        <v>43252</v>
      </c>
      <c r="B44" s="30">
        <v>43252</v>
      </c>
      <c r="C44" s="16">
        <f t="shared" si="0"/>
        <v>0</v>
      </c>
      <c r="D44" s="16">
        <f t="shared" si="1"/>
        <v>0</v>
      </c>
      <c r="E44" s="16" t="e">
        <f>+IF(AND(B44&gt;=#REF!,B44&lt;=#REF!),"OUI","NON")</f>
        <v>#REF!</v>
      </c>
      <c r="F44" s="16" t="e">
        <f t="array" ref="F44">IF(E44="OUI",MAX(F$2:$O43)+1,"")</f>
        <v>#REF!</v>
      </c>
    </row>
    <row r="45" spans="1:6" x14ac:dyDescent="0.2">
      <c r="A45" s="453">
        <f t="shared" si="2"/>
        <v>43282</v>
      </c>
      <c r="B45" s="30">
        <v>43282</v>
      </c>
      <c r="C45" s="16">
        <f t="shared" si="0"/>
        <v>0</v>
      </c>
      <c r="D45" s="16">
        <f t="shared" si="1"/>
        <v>0</v>
      </c>
      <c r="E45" s="16" t="e">
        <f>+IF(AND(B45&gt;=#REF!,B45&lt;=#REF!),"OUI","NON")</f>
        <v>#REF!</v>
      </c>
      <c r="F45" s="16" t="e">
        <f t="array" ref="F45">IF(E45="OUI",MAX(F$2:$O44)+1,"")</f>
        <v>#REF!</v>
      </c>
    </row>
    <row r="46" spans="1:6" x14ac:dyDescent="0.2">
      <c r="A46" s="453">
        <f t="shared" si="2"/>
        <v>43313</v>
      </c>
      <c r="B46" s="30">
        <v>43313</v>
      </c>
      <c r="C46" s="16">
        <f t="shared" si="0"/>
        <v>0</v>
      </c>
      <c r="D46" s="16">
        <f t="shared" si="1"/>
        <v>0</v>
      </c>
      <c r="E46" s="16" t="e">
        <f>+IF(AND(B46&gt;=#REF!,B46&lt;=#REF!),"OUI","NON")</f>
        <v>#REF!</v>
      </c>
      <c r="F46" s="16" t="e">
        <f t="array" ref="F46">IF(E46="OUI",MAX(F$2:$O45)+1,"")</f>
        <v>#REF!</v>
      </c>
    </row>
    <row r="47" spans="1:6" x14ac:dyDescent="0.2">
      <c r="A47" s="453">
        <f t="shared" si="2"/>
        <v>43344</v>
      </c>
      <c r="B47" s="30">
        <v>43344</v>
      </c>
      <c r="C47" s="16">
        <f t="shared" si="0"/>
        <v>0</v>
      </c>
      <c r="D47" s="16">
        <f t="shared" si="1"/>
        <v>0</v>
      </c>
      <c r="E47" s="16" t="e">
        <f>+IF(AND(B47&gt;=#REF!,B47&lt;=#REF!),"OUI","NON")</f>
        <v>#REF!</v>
      </c>
      <c r="F47" s="16" t="e">
        <f t="array" ref="F47">IF(E47="OUI",MAX(F$2:$O46)+1,"")</f>
        <v>#REF!</v>
      </c>
    </row>
    <row r="48" spans="1:6" x14ac:dyDescent="0.2">
      <c r="A48" s="453">
        <f t="shared" si="2"/>
        <v>43374</v>
      </c>
      <c r="B48" s="30">
        <v>43374</v>
      </c>
      <c r="C48" s="16">
        <f t="shared" si="0"/>
        <v>0</v>
      </c>
      <c r="D48" s="16">
        <f t="shared" si="1"/>
        <v>0</v>
      </c>
      <c r="E48" s="16" t="e">
        <f>+IF(AND(B48&gt;=#REF!,B48&lt;=#REF!),"OUI","NON")</f>
        <v>#REF!</v>
      </c>
      <c r="F48" s="16" t="e">
        <f t="array" ref="F48">IF(E48="OUI",MAX(F$2:$O47)+1,"")</f>
        <v>#REF!</v>
      </c>
    </row>
    <row r="49" spans="1:6" x14ac:dyDescent="0.2">
      <c r="A49" s="453">
        <f t="shared" si="2"/>
        <v>43405</v>
      </c>
      <c r="B49" s="30">
        <v>43405</v>
      </c>
      <c r="C49" s="16">
        <f t="shared" si="0"/>
        <v>0</v>
      </c>
      <c r="D49" s="16">
        <f t="shared" si="1"/>
        <v>0</v>
      </c>
      <c r="E49" s="16" t="e">
        <f>+IF(AND(B49&gt;=#REF!,B49&lt;=#REF!),"OUI","NON")</f>
        <v>#REF!</v>
      </c>
      <c r="F49" s="16" t="e">
        <f t="array" ref="F49">IF(E49="OUI",MAX(F$2:$O48)+1,"")</f>
        <v>#REF!</v>
      </c>
    </row>
    <row r="50" spans="1:6" x14ac:dyDescent="0.2">
      <c r="A50" s="453">
        <f t="shared" si="2"/>
        <v>43435</v>
      </c>
      <c r="B50" s="30">
        <v>43435</v>
      </c>
      <c r="C50" s="16">
        <f t="shared" si="0"/>
        <v>0</v>
      </c>
      <c r="D50" s="16">
        <f t="shared" si="1"/>
        <v>0</v>
      </c>
      <c r="E50" s="16" t="e">
        <f>+IF(AND(B50&gt;=#REF!,B50&lt;=#REF!),"OUI","NON")</f>
        <v>#REF!</v>
      </c>
      <c r="F50" s="16" t="e">
        <f t="array" ref="F50">IF(E50="OUI",MAX(F$2:$O49)+1,"")</f>
        <v>#REF!</v>
      </c>
    </row>
    <row r="51" spans="1:6" x14ac:dyDescent="0.2">
      <c r="A51" s="453">
        <f t="shared" si="2"/>
        <v>43466</v>
      </c>
      <c r="B51" s="30">
        <v>43466</v>
      </c>
      <c r="C51" s="16">
        <f t="shared" si="0"/>
        <v>0</v>
      </c>
      <c r="D51" s="16">
        <f t="shared" si="1"/>
        <v>0</v>
      </c>
      <c r="E51" s="16" t="e">
        <f>+IF(AND(B51&gt;=#REF!,B51&lt;=#REF!),"OUI","NON")</f>
        <v>#REF!</v>
      </c>
      <c r="F51" s="16" t="e">
        <f t="array" ref="F51">IF(E51="OUI",MAX(F$2:$O50)+1,"")</f>
        <v>#REF!</v>
      </c>
    </row>
    <row r="52" spans="1:6" x14ac:dyDescent="0.2">
      <c r="A52" s="453">
        <f t="shared" si="2"/>
        <v>43497</v>
      </c>
      <c r="B52" s="30">
        <v>43497</v>
      </c>
      <c r="C52" s="16">
        <f t="shared" si="0"/>
        <v>0</v>
      </c>
      <c r="D52" s="16">
        <f t="shared" si="1"/>
        <v>0</v>
      </c>
      <c r="E52" s="16" t="e">
        <f>+IF(AND(B52&gt;=#REF!,B52&lt;=#REF!),"OUI","NON")</f>
        <v>#REF!</v>
      </c>
      <c r="F52" s="16" t="e">
        <f t="array" ref="F52">IF(E52="OUI",MAX(F$2:$O51)+1,"")</f>
        <v>#REF!</v>
      </c>
    </row>
    <row r="53" spans="1:6" x14ac:dyDescent="0.2">
      <c r="A53" s="453">
        <f t="shared" si="2"/>
        <v>43525</v>
      </c>
      <c r="B53" s="30">
        <v>43525</v>
      </c>
      <c r="C53" s="16">
        <f t="shared" si="0"/>
        <v>0</v>
      </c>
      <c r="D53" s="16">
        <f t="shared" si="1"/>
        <v>0</v>
      </c>
      <c r="E53" s="16" t="e">
        <f>+IF(AND(B53&gt;=#REF!,B53&lt;=#REF!),"OUI","NON")</f>
        <v>#REF!</v>
      </c>
      <c r="F53" s="16" t="e">
        <f t="array" ref="F53">IF(E53="OUI",MAX(F$2:$O52)+1,"")</f>
        <v>#REF!</v>
      </c>
    </row>
    <row r="54" spans="1:6" x14ac:dyDescent="0.2">
      <c r="A54" s="453">
        <f t="shared" si="2"/>
        <v>43556</v>
      </c>
      <c r="B54" s="30">
        <v>43556</v>
      </c>
      <c r="C54" s="16">
        <f t="shared" si="0"/>
        <v>0</v>
      </c>
      <c r="D54" s="16">
        <f t="shared" si="1"/>
        <v>0</v>
      </c>
      <c r="E54" s="16" t="e">
        <f>+IF(AND(B54&gt;=#REF!,B54&lt;=#REF!),"OUI","NON")</f>
        <v>#REF!</v>
      </c>
      <c r="F54" s="16" t="e">
        <f t="array" ref="F54">IF(E54="OUI",MAX(F$2:$O53)+1,"")</f>
        <v>#REF!</v>
      </c>
    </row>
    <row r="55" spans="1:6" x14ac:dyDescent="0.2">
      <c r="A55" s="453">
        <f t="shared" si="2"/>
        <v>43586</v>
      </c>
      <c r="B55" s="30">
        <v>43586</v>
      </c>
      <c r="C55" s="16">
        <f t="shared" si="0"/>
        <v>0</v>
      </c>
      <c r="D55" s="16">
        <f t="shared" si="1"/>
        <v>0</v>
      </c>
      <c r="E55" s="16" t="e">
        <f>+IF(AND(B55&gt;=#REF!,B55&lt;=#REF!),"OUI","NON")</f>
        <v>#REF!</v>
      </c>
      <c r="F55" s="16" t="e">
        <f t="array" ref="F55">IF(E55="OUI",MAX(F$2:$O54)+1,"")</f>
        <v>#REF!</v>
      </c>
    </row>
    <row r="56" spans="1:6" x14ac:dyDescent="0.2">
      <c r="A56" s="453">
        <f t="shared" si="2"/>
        <v>43617</v>
      </c>
      <c r="B56" s="30">
        <v>43617</v>
      </c>
      <c r="C56" s="16">
        <f t="shared" si="0"/>
        <v>0</v>
      </c>
      <c r="D56" s="16">
        <f t="shared" si="1"/>
        <v>0</v>
      </c>
      <c r="E56" s="16" t="e">
        <f>+IF(AND(B56&gt;=#REF!,B56&lt;=#REF!),"OUI","NON")</f>
        <v>#REF!</v>
      </c>
      <c r="F56" s="16" t="e">
        <f t="array" ref="F56">IF(E56="OUI",MAX(F$2:$O55)+1,"")</f>
        <v>#REF!</v>
      </c>
    </row>
    <row r="57" spans="1:6" x14ac:dyDescent="0.2">
      <c r="A57" s="453">
        <f t="shared" si="2"/>
        <v>43647</v>
      </c>
      <c r="B57" s="30">
        <v>43647</v>
      </c>
      <c r="C57" s="16">
        <f t="shared" si="0"/>
        <v>0</v>
      </c>
      <c r="D57" s="16">
        <f t="shared" si="1"/>
        <v>0</v>
      </c>
      <c r="E57" s="16" t="e">
        <f>+IF(AND(B57&gt;=#REF!,B57&lt;=#REF!),"OUI","NON")</f>
        <v>#REF!</v>
      </c>
      <c r="F57" s="16" t="e">
        <f t="array" ref="F57">IF(E57="OUI",MAX(F$2:$O56)+1,"")</f>
        <v>#REF!</v>
      </c>
    </row>
    <row r="58" spans="1:6" x14ac:dyDescent="0.2">
      <c r="A58" s="453">
        <f t="shared" si="2"/>
        <v>43678</v>
      </c>
      <c r="B58" s="30">
        <v>43678</v>
      </c>
      <c r="C58" s="16">
        <f t="shared" si="0"/>
        <v>0</v>
      </c>
      <c r="D58" s="16">
        <f t="shared" si="1"/>
        <v>0</v>
      </c>
      <c r="E58" s="16" t="e">
        <f>+IF(AND(B58&gt;=#REF!,B58&lt;=#REF!),"OUI","NON")</f>
        <v>#REF!</v>
      </c>
      <c r="F58" s="16" t="e">
        <f t="array" ref="F58">IF(E58="OUI",MAX(F$2:$O57)+1,"")</f>
        <v>#REF!</v>
      </c>
    </row>
    <row r="59" spans="1:6" x14ac:dyDescent="0.2">
      <c r="A59" s="453">
        <f t="shared" si="2"/>
        <v>43709</v>
      </c>
      <c r="B59" s="30">
        <v>43709</v>
      </c>
      <c r="C59" s="16">
        <f t="shared" si="0"/>
        <v>0</v>
      </c>
      <c r="D59" s="16">
        <f t="shared" si="1"/>
        <v>0</v>
      </c>
      <c r="E59" s="16" t="e">
        <f>+IF(AND(B59&gt;=#REF!,B59&lt;=#REF!),"OUI","NON")</f>
        <v>#REF!</v>
      </c>
      <c r="F59" s="16" t="e">
        <f t="array" ref="F59">IF(E59="OUI",MAX(F$2:$O58)+1,"")</f>
        <v>#REF!</v>
      </c>
    </row>
    <row r="60" spans="1:6" x14ac:dyDescent="0.2">
      <c r="A60" s="453">
        <f t="shared" si="2"/>
        <v>43739</v>
      </c>
      <c r="B60" s="30">
        <v>43739</v>
      </c>
      <c r="C60" s="16">
        <f t="shared" si="0"/>
        <v>0</v>
      </c>
      <c r="D60" s="16">
        <f t="shared" si="1"/>
        <v>0</v>
      </c>
      <c r="E60" s="16" t="e">
        <f>+IF(AND(B60&gt;=#REF!,B60&lt;=#REF!),"OUI","NON")</f>
        <v>#REF!</v>
      </c>
      <c r="F60" s="16" t="e">
        <f t="array" ref="F60">IF(E60="OUI",MAX(F$2:$O59)+1,"")</f>
        <v>#REF!</v>
      </c>
    </row>
    <row r="61" spans="1:6" x14ac:dyDescent="0.2">
      <c r="A61" s="453">
        <f t="shared" si="2"/>
        <v>43770</v>
      </c>
      <c r="B61" s="30">
        <v>43770</v>
      </c>
      <c r="C61" s="16">
        <f t="shared" si="0"/>
        <v>0</v>
      </c>
      <c r="D61" s="16">
        <f t="shared" si="1"/>
        <v>0</v>
      </c>
      <c r="E61" s="16" t="e">
        <f>+IF(AND(B61&gt;=#REF!,B61&lt;=#REF!),"OUI","NON")</f>
        <v>#REF!</v>
      </c>
      <c r="F61" s="16" t="e">
        <f t="array" ref="F61">IF(E61="OUI",MAX(F$2:$O60)+1,"")</f>
        <v>#REF!</v>
      </c>
    </row>
    <row r="62" spans="1:6" x14ac:dyDescent="0.2">
      <c r="A62" s="453">
        <f t="shared" si="2"/>
        <v>43800</v>
      </c>
      <c r="B62" s="30">
        <v>43800</v>
      </c>
      <c r="C62" s="16">
        <f t="shared" si="0"/>
        <v>0</v>
      </c>
      <c r="D62" s="16">
        <f t="shared" si="1"/>
        <v>0</v>
      </c>
      <c r="E62" s="16" t="e">
        <f>+IF(AND(B62&gt;=#REF!,B62&lt;=#REF!),"OUI","NON")</f>
        <v>#REF!</v>
      </c>
      <c r="F62" s="16" t="e">
        <f t="array" ref="F62">IF(E62="OUI",MAX(F$2:$O61)+1,"")</f>
        <v>#REF!</v>
      </c>
    </row>
    <row r="63" spans="1:6" x14ac:dyDescent="0.2">
      <c r="A63" s="453">
        <f t="shared" si="2"/>
        <v>43831</v>
      </c>
      <c r="B63" s="30">
        <v>43831</v>
      </c>
      <c r="C63" s="16">
        <f t="shared" si="0"/>
        <v>0</v>
      </c>
      <c r="D63" s="16">
        <f t="shared" si="1"/>
        <v>0</v>
      </c>
      <c r="E63" s="16" t="e">
        <f>+IF(AND(B63&gt;=#REF!,B63&lt;=#REF!),"OUI","NON")</f>
        <v>#REF!</v>
      </c>
      <c r="F63" s="16" t="e">
        <f t="array" ref="F63">IF(E63="OUI",MAX(F$2:$O62)+1,"")</f>
        <v>#REF!</v>
      </c>
    </row>
    <row r="64" spans="1:6" x14ac:dyDescent="0.2">
      <c r="A64" s="453">
        <f t="shared" si="2"/>
        <v>43862</v>
      </c>
      <c r="B64" s="30">
        <v>43862</v>
      </c>
      <c r="C64" s="16">
        <f t="shared" si="0"/>
        <v>0</v>
      </c>
      <c r="D64" s="16">
        <f t="shared" si="1"/>
        <v>0</v>
      </c>
      <c r="E64" s="16" t="e">
        <f>+IF(AND(B64&gt;=#REF!,B64&lt;=#REF!),"OUI","NON")</f>
        <v>#REF!</v>
      </c>
      <c r="F64" s="16" t="e">
        <f t="array" ref="F64">IF(E64="OUI",MAX(F$2:$O63)+1,"")</f>
        <v>#REF!</v>
      </c>
    </row>
    <row r="65" spans="1:6" x14ac:dyDescent="0.2">
      <c r="A65" s="453">
        <f t="shared" si="2"/>
        <v>43891</v>
      </c>
      <c r="B65" s="30">
        <v>43891</v>
      </c>
      <c r="C65" s="16">
        <f t="shared" si="0"/>
        <v>0</v>
      </c>
      <c r="D65" s="16">
        <f t="shared" si="1"/>
        <v>0</v>
      </c>
      <c r="E65" s="16" t="e">
        <f>+IF(AND(B65&gt;=#REF!,B65&lt;=#REF!),"OUI","NON")</f>
        <v>#REF!</v>
      </c>
      <c r="F65" s="16" t="e">
        <f t="array" ref="F65">IF(E65="OUI",MAX(F$2:$O64)+1,"")</f>
        <v>#REF!</v>
      </c>
    </row>
    <row r="66" spans="1:6" x14ac:dyDescent="0.2">
      <c r="A66" s="453">
        <f t="shared" si="2"/>
        <v>43922</v>
      </c>
      <c r="B66" s="30">
        <v>43922</v>
      </c>
      <c r="C66" s="16">
        <f t="shared" si="0"/>
        <v>0</v>
      </c>
      <c r="D66" s="16">
        <f t="shared" si="1"/>
        <v>0</v>
      </c>
      <c r="E66" s="16" t="e">
        <f>+IF(AND(B66&gt;=#REF!,B66&lt;=#REF!),"OUI","NON")</f>
        <v>#REF!</v>
      </c>
      <c r="F66" s="16" t="e">
        <f t="array" ref="F66">IF(E66="OUI",MAX(F$2:$O65)+1,"")</f>
        <v>#REF!</v>
      </c>
    </row>
    <row r="67" spans="1:6" x14ac:dyDescent="0.2">
      <c r="A67" s="453">
        <f t="shared" si="2"/>
        <v>43952</v>
      </c>
      <c r="B67" s="30">
        <v>43952</v>
      </c>
      <c r="C67" s="16">
        <f t="shared" ref="C67:C130" si="3">IFERROR(+VLOOKUP(B67,BDD,53,FALSE),0)</f>
        <v>0</v>
      </c>
      <c r="D67" s="16">
        <f t="shared" ref="D67:D130" si="4">IFERROR(+VLOOKUP(B67,BDD,54,FALSE),0)</f>
        <v>0</v>
      </c>
      <c r="E67" s="16" t="e">
        <f>+IF(AND(B67&gt;=#REF!,B67&lt;=#REF!),"OUI","NON")</f>
        <v>#REF!</v>
      </c>
      <c r="F67" s="16" t="e">
        <f t="array" ref="F67">IF(E67="OUI",MAX(F$2:$O66)+1,"")</f>
        <v>#REF!</v>
      </c>
    </row>
    <row r="68" spans="1:6" x14ac:dyDescent="0.2">
      <c r="A68" s="453">
        <f t="shared" ref="A68:A131" si="5">+B68</f>
        <v>43983</v>
      </c>
      <c r="B68" s="30">
        <v>43983</v>
      </c>
      <c r="C68" s="16">
        <f t="shared" si="3"/>
        <v>0</v>
      </c>
      <c r="D68" s="16">
        <f t="shared" si="4"/>
        <v>0</v>
      </c>
      <c r="E68" s="16" t="e">
        <f>+IF(AND(B68&gt;=#REF!,B68&lt;=#REF!),"OUI","NON")</f>
        <v>#REF!</v>
      </c>
      <c r="F68" s="16" t="e">
        <f t="array" ref="F68">IF(E68="OUI",MAX(F$2:$O67)+1,"")</f>
        <v>#REF!</v>
      </c>
    </row>
    <row r="69" spans="1:6" x14ac:dyDescent="0.2">
      <c r="A69" s="453">
        <f t="shared" si="5"/>
        <v>44013</v>
      </c>
      <c r="B69" s="30">
        <v>44013</v>
      </c>
      <c r="C69" s="16">
        <f t="shared" si="3"/>
        <v>0</v>
      </c>
      <c r="D69" s="16">
        <f t="shared" si="4"/>
        <v>0</v>
      </c>
      <c r="E69" s="16" t="e">
        <f>+IF(AND(B69&gt;=#REF!,B69&lt;=#REF!),"OUI","NON")</f>
        <v>#REF!</v>
      </c>
      <c r="F69" s="16" t="e">
        <f t="array" ref="F69">IF(E69="OUI",MAX(F$2:$O68)+1,"")</f>
        <v>#REF!</v>
      </c>
    </row>
    <row r="70" spans="1:6" x14ac:dyDescent="0.2">
      <c r="A70" s="453">
        <f t="shared" si="5"/>
        <v>44044</v>
      </c>
      <c r="B70" s="30">
        <v>44044</v>
      </c>
      <c r="C70" s="16">
        <f t="shared" si="3"/>
        <v>0</v>
      </c>
      <c r="D70" s="16">
        <f t="shared" si="4"/>
        <v>0</v>
      </c>
      <c r="E70" s="16" t="e">
        <f>+IF(AND(B70&gt;=#REF!,B70&lt;=#REF!),"OUI","NON")</f>
        <v>#REF!</v>
      </c>
      <c r="F70" s="16" t="e">
        <f t="array" ref="F70">IF(E70="OUI",MAX(F$2:$O69)+1,"")</f>
        <v>#REF!</v>
      </c>
    </row>
    <row r="71" spans="1:6" x14ac:dyDescent="0.2">
      <c r="A71" s="453">
        <f t="shared" si="5"/>
        <v>44075</v>
      </c>
      <c r="B71" s="30">
        <v>44075</v>
      </c>
      <c r="C71" s="16">
        <f t="shared" si="3"/>
        <v>0</v>
      </c>
      <c r="D71" s="16">
        <f t="shared" si="4"/>
        <v>0</v>
      </c>
      <c r="E71" s="16" t="e">
        <f>+IF(AND(B71&gt;=#REF!,B71&lt;=#REF!),"OUI","NON")</f>
        <v>#REF!</v>
      </c>
      <c r="F71" s="16" t="e">
        <f t="array" ref="F71">IF(E71="OUI",MAX(F$2:$O70)+1,"")</f>
        <v>#REF!</v>
      </c>
    </row>
    <row r="72" spans="1:6" x14ac:dyDescent="0.2">
      <c r="A72" s="453">
        <f t="shared" si="5"/>
        <v>44105</v>
      </c>
      <c r="B72" s="30">
        <v>44105</v>
      </c>
      <c r="C72" s="16">
        <f t="shared" si="3"/>
        <v>0</v>
      </c>
      <c r="D72" s="16">
        <f t="shared" si="4"/>
        <v>0</v>
      </c>
      <c r="E72" s="16" t="e">
        <f>+IF(AND(B72&gt;=#REF!,B72&lt;=#REF!),"OUI","NON")</f>
        <v>#REF!</v>
      </c>
      <c r="F72" s="16" t="e">
        <f t="array" ref="F72">IF(E72="OUI",MAX(F$2:$O71)+1,"")</f>
        <v>#REF!</v>
      </c>
    </row>
    <row r="73" spans="1:6" x14ac:dyDescent="0.2">
      <c r="A73" s="453">
        <f t="shared" si="5"/>
        <v>44136</v>
      </c>
      <c r="B73" s="30">
        <v>44136</v>
      </c>
      <c r="C73" s="16">
        <f t="shared" si="3"/>
        <v>0</v>
      </c>
      <c r="D73" s="16">
        <f t="shared" si="4"/>
        <v>0</v>
      </c>
      <c r="E73" s="16" t="e">
        <f>+IF(AND(B73&gt;=#REF!,B73&lt;=#REF!),"OUI","NON")</f>
        <v>#REF!</v>
      </c>
      <c r="F73" s="16" t="e">
        <f t="array" ref="F73">IF(E73="OUI",MAX(F$2:$O72)+1,"")</f>
        <v>#REF!</v>
      </c>
    </row>
    <row r="74" spans="1:6" x14ac:dyDescent="0.2">
      <c r="A74" s="453">
        <f t="shared" si="5"/>
        <v>44166</v>
      </c>
      <c r="B74" s="30">
        <v>44166</v>
      </c>
      <c r="C74" s="16">
        <f t="shared" si="3"/>
        <v>0</v>
      </c>
      <c r="D74" s="16">
        <f t="shared" si="4"/>
        <v>0</v>
      </c>
      <c r="E74" s="16" t="e">
        <f>+IF(AND(B74&gt;=#REF!,B74&lt;=#REF!),"OUI","NON")</f>
        <v>#REF!</v>
      </c>
      <c r="F74" s="16" t="e">
        <f t="array" ref="F74">IF(E74="OUI",MAX(F$2:$O73)+1,"")</f>
        <v>#REF!</v>
      </c>
    </row>
    <row r="75" spans="1:6" x14ac:dyDescent="0.2">
      <c r="A75" s="453">
        <f t="shared" si="5"/>
        <v>44197</v>
      </c>
      <c r="B75" s="30">
        <v>44197</v>
      </c>
      <c r="C75" s="16">
        <f t="shared" si="3"/>
        <v>0</v>
      </c>
      <c r="D75" s="16">
        <f t="shared" si="4"/>
        <v>0</v>
      </c>
      <c r="E75" s="16" t="e">
        <f>+IF(AND(B75&gt;=#REF!,B75&lt;=#REF!),"OUI","NON")</f>
        <v>#REF!</v>
      </c>
      <c r="F75" s="16" t="e">
        <f t="array" ref="F75">IF(E75="OUI",MAX(F$2:$O74)+1,"")</f>
        <v>#REF!</v>
      </c>
    </row>
    <row r="76" spans="1:6" x14ac:dyDescent="0.2">
      <c r="A76" s="453">
        <f t="shared" si="5"/>
        <v>44228</v>
      </c>
      <c r="B76" s="30">
        <v>44228</v>
      </c>
      <c r="C76" s="16">
        <f t="shared" si="3"/>
        <v>0</v>
      </c>
      <c r="D76" s="16">
        <f t="shared" si="4"/>
        <v>0</v>
      </c>
      <c r="E76" s="16" t="e">
        <f>+IF(AND(B76&gt;=#REF!,B76&lt;=#REF!),"OUI","NON")</f>
        <v>#REF!</v>
      </c>
      <c r="F76" s="16" t="e">
        <f t="array" ref="F76">IF(E76="OUI",MAX(F$2:$O75)+1,"")</f>
        <v>#REF!</v>
      </c>
    </row>
    <row r="77" spans="1:6" x14ac:dyDescent="0.2">
      <c r="A77" s="453">
        <f t="shared" si="5"/>
        <v>44256</v>
      </c>
      <c r="B77" s="30">
        <v>44256</v>
      </c>
      <c r="C77" s="16">
        <f t="shared" si="3"/>
        <v>0</v>
      </c>
      <c r="D77" s="16">
        <f t="shared" si="4"/>
        <v>0</v>
      </c>
      <c r="E77" s="16" t="e">
        <f>+IF(AND(B77&gt;=#REF!,B77&lt;=#REF!),"OUI","NON")</f>
        <v>#REF!</v>
      </c>
      <c r="F77" s="16" t="e">
        <f t="array" ref="F77">IF(E77="OUI",MAX(F$2:$O76)+1,"")</f>
        <v>#REF!</v>
      </c>
    </row>
    <row r="78" spans="1:6" x14ac:dyDescent="0.2">
      <c r="A78" s="453">
        <f t="shared" si="5"/>
        <v>44287</v>
      </c>
      <c r="B78" s="30">
        <v>44287</v>
      </c>
      <c r="C78" s="16">
        <f t="shared" si="3"/>
        <v>0</v>
      </c>
      <c r="D78" s="16">
        <f t="shared" si="4"/>
        <v>0</v>
      </c>
      <c r="E78" s="16" t="e">
        <f>+IF(AND(B78&gt;=#REF!,B78&lt;=#REF!),"OUI","NON")</f>
        <v>#REF!</v>
      </c>
      <c r="F78" s="16" t="e">
        <f t="array" ref="F78">IF(E78="OUI",MAX(F$2:$O77)+1,"")</f>
        <v>#REF!</v>
      </c>
    </row>
    <row r="79" spans="1:6" x14ac:dyDescent="0.2">
      <c r="A79" s="453">
        <f t="shared" si="5"/>
        <v>44317</v>
      </c>
      <c r="B79" s="30">
        <v>44317</v>
      </c>
      <c r="C79" s="16">
        <f t="shared" si="3"/>
        <v>0</v>
      </c>
      <c r="D79" s="16">
        <f t="shared" si="4"/>
        <v>0</v>
      </c>
      <c r="E79" s="16" t="e">
        <f>+IF(AND(B79&gt;=#REF!,B79&lt;=#REF!),"OUI","NON")</f>
        <v>#REF!</v>
      </c>
      <c r="F79" s="16" t="e">
        <f t="array" ref="F79">IF(E79="OUI",MAX(F$2:$O78)+1,"")</f>
        <v>#REF!</v>
      </c>
    </row>
    <row r="80" spans="1:6" x14ac:dyDescent="0.2">
      <c r="A80" s="453">
        <f t="shared" si="5"/>
        <v>44348</v>
      </c>
      <c r="B80" s="30">
        <v>44348</v>
      </c>
      <c r="C80" s="16">
        <f t="shared" si="3"/>
        <v>0</v>
      </c>
      <c r="D80" s="16">
        <f t="shared" si="4"/>
        <v>0</v>
      </c>
      <c r="E80" s="16" t="e">
        <f>+IF(AND(B80&gt;=#REF!,B80&lt;=#REF!),"OUI","NON")</f>
        <v>#REF!</v>
      </c>
      <c r="F80" s="16" t="e">
        <f t="array" ref="F80">IF(E80="OUI",MAX(F$2:$O79)+1,"")</f>
        <v>#REF!</v>
      </c>
    </row>
    <row r="81" spans="1:6" x14ac:dyDescent="0.2">
      <c r="A81" s="453">
        <f t="shared" si="5"/>
        <v>44378</v>
      </c>
      <c r="B81" s="30">
        <v>44378</v>
      </c>
      <c r="C81" s="16">
        <f t="shared" si="3"/>
        <v>0</v>
      </c>
      <c r="D81" s="16">
        <f t="shared" si="4"/>
        <v>0</v>
      </c>
      <c r="E81" s="16" t="e">
        <f>+IF(AND(B81&gt;=#REF!,B81&lt;=#REF!),"OUI","NON")</f>
        <v>#REF!</v>
      </c>
      <c r="F81" s="16" t="e">
        <f t="array" ref="F81">IF(E81="OUI",MAX(F$2:$O80)+1,"")</f>
        <v>#REF!</v>
      </c>
    </row>
    <row r="82" spans="1:6" x14ac:dyDescent="0.2">
      <c r="A82" s="453">
        <f t="shared" si="5"/>
        <v>44409</v>
      </c>
      <c r="B82" s="30">
        <v>44409</v>
      </c>
      <c r="C82" s="16">
        <f t="shared" si="3"/>
        <v>0</v>
      </c>
      <c r="D82" s="16">
        <f t="shared" si="4"/>
        <v>0</v>
      </c>
      <c r="E82" s="16" t="e">
        <f>+IF(AND(B82&gt;=#REF!,B82&lt;=#REF!),"OUI","NON")</f>
        <v>#REF!</v>
      </c>
      <c r="F82" s="16" t="e">
        <f t="array" ref="F82">IF(E82="OUI",MAX(F$2:$O81)+1,"")</f>
        <v>#REF!</v>
      </c>
    </row>
    <row r="83" spans="1:6" x14ac:dyDescent="0.2">
      <c r="A83" s="453">
        <f t="shared" si="5"/>
        <v>44440</v>
      </c>
      <c r="B83" s="30">
        <v>44440</v>
      </c>
      <c r="C83" s="16">
        <f t="shared" si="3"/>
        <v>0</v>
      </c>
      <c r="D83" s="16">
        <f t="shared" si="4"/>
        <v>0</v>
      </c>
      <c r="E83" s="16" t="e">
        <f>+IF(AND(B83&gt;=#REF!,B83&lt;=#REF!),"OUI","NON")</f>
        <v>#REF!</v>
      </c>
      <c r="F83" s="16" t="e">
        <f t="array" ref="F83">IF(E83="OUI",MAX(F$2:$O82)+1,"")</f>
        <v>#REF!</v>
      </c>
    </row>
    <row r="84" spans="1:6" x14ac:dyDescent="0.2">
      <c r="A84" s="453">
        <f t="shared" si="5"/>
        <v>44470</v>
      </c>
      <c r="B84" s="30">
        <v>44470</v>
      </c>
      <c r="C84" s="16">
        <f t="shared" si="3"/>
        <v>0</v>
      </c>
      <c r="D84" s="16">
        <f t="shared" si="4"/>
        <v>0</v>
      </c>
      <c r="E84" s="16" t="e">
        <f>+IF(AND(B84&gt;=#REF!,B84&lt;=#REF!),"OUI","NON")</f>
        <v>#REF!</v>
      </c>
      <c r="F84" s="16" t="e">
        <f t="array" ref="F84">IF(E84="OUI",MAX(F$2:$O83)+1,"")</f>
        <v>#REF!</v>
      </c>
    </row>
    <row r="85" spans="1:6" x14ac:dyDescent="0.2">
      <c r="A85" s="453">
        <f t="shared" si="5"/>
        <v>44501</v>
      </c>
      <c r="B85" s="30">
        <v>44501</v>
      </c>
      <c r="C85" s="16">
        <f t="shared" si="3"/>
        <v>0</v>
      </c>
      <c r="D85" s="16">
        <f t="shared" si="4"/>
        <v>0</v>
      </c>
      <c r="E85" s="16" t="e">
        <f>+IF(AND(B85&gt;=#REF!,B85&lt;=#REF!),"OUI","NON")</f>
        <v>#REF!</v>
      </c>
      <c r="F85" s="16" t="e">
        <f t="array" ref="F85">IF(E85="OUI",MAX(F$2:$O84)+1,"")</f>
        <v>#REF!</v>
      </c>
    </row>
    <row r="86" spans="1:6" x14ac:dyDescent="0.2">
      <c r="A86" s="453">
        <f t="shared" si="5"/>
        <v>44531</v>
      </c>
      <c r="B86" s="30">
        <v>44531</v>
      </c>
      <c r="C86" s="16">
        <f t="shared" si="3"/>
        <v>0</v>
      </c>
      <c r="D86" s="16">
        <f t="shared" si="4"/>
        <v>0</v>
      </c>
      <c r="E86" s="16" t="e">
        <f>+IF(AND(B86&gt;=#REF!,B86&lt;=#REF!),"OUI","NON")</f>
        <v>#REF!</v>
      </c>
      <c r="F86" s="16" t="e">
        <f t="array" ref="F86">IF(E86="OUI",MAX(F$2:$O85)+1,"")</f>
        <v>#REF!</v>
      </c>
    </row>
    <row r="87" spans="1:6" x14ac:dyDescent="0.2">
      <c r="A87" s="453">
        <f t="shared" si="5"/>
        <v>44562</v>
      </c>
      <c r="B87" s="30">
        <v>44562</v>
      </c>
      <c r="C87" s="16">
        <f t="shared" si="3"/>
        <v>0</v>
      </c>
      <c r="D87" s="16">
        <f t="shared" si="4"/>
        <v>0</v>
      </c>
      <c r="E87" s="16" t="e">
        <f>+IF(AND(B87&gt;=#REF!,B87&lt;=#REF!),"OUI","NON")</f>
        <v>#REF!</v>
      </c>
      <c r="F87" s="16" t="e">
        <f t="array" ref="F87">IF(E87="OUI",MAX(F$2:$O86)+1,"")</f>
        <v>#REF!</v>
      </c>
    </row>
    <row r="88" spans="1:6" x14ac:dyDescent="0.2">
      <c r="A88" s="453">
        <f t="shared" si="5"/>
        <v>44593</v>
      </c>
      <c r="B88" s="30">
        <v>44593</v>
      </c>
      <c r="C88" s="16">
        <f t="shared" si="3"/>
        <v>0</v>
      </c>
      <c r="D88" s="16">
        <f t="shared" si="4"/>
        <v>0</v>
      </c>
      <c r="E88" s="16" t="e">
        <f>+IF(AND(B88&gt;=#REF!,B88&lt;=#REF!),"OUI","NON")</f>
        <v>#REF!</v>
      </c>
      <c r="F88" s="16" t="e">
        <f t="array" ref="F88">IF(E88="OUI",MAX(F$2:$O87)+1,"")</f>
        <v>#REF!</v>
      </c>
    </row>
    <row r="89" spans="1:6" x14ac:dyDescent="0.2">
      <c r="A89" s="453">
        <f t="shared" si="5"/>
        <v>44621</v>
      </c>
      <c r="B89" s="30">
        <v>44621</v>
      </c>
      <c r="C89" s="16">
        <f t="shared" si="3"/>
        <v>0</v>
      </c>
      <c r="D89" s="16">
        <f t="shared" si="4"/>
        <v>0</v>
      </c>
      <c r="E89" s="16" t="e">
        <f>+IF(AND(B89&gt;=#REF!,B89&lt;=#REF!),"OUI","NON")</f>
        <v>#REF!</v>
      </c>
      <c r="F89" s="16" t="e">
        <f t="array" ref="F89">IF(E89="OUI",MAX(F$2:$O88)+1,"")</f>
        <v>#REF!</v>
      </c>
    </row>
    <row r="90" spans="1:6" x14ac:dyDescent="0.2">
      <c r="A90" s="453">
        <f t="shared" si="5"/>
        <v>44652</v>
      </c>
      <c r="B90" s="30">
        <v>44652</v>
      </c>
      <c r="C90" s="16">
        <f t="shared" si="3"/>
        <v>0</v>
      </c>
      <c r="D90" s="16">
        <f t="shared" si="4"/>
        <v>0</v>
      </c>
      <c r="E90" s="16" t="e">
        <f>+IF(AND(B90&gt;=#REF!,B90&lt;=#REF!),"OUI","NON")</f>
        <v>#REF!</v>
      </c>
      <c r="F90" s="16" t="e">
        <f t="array" ref="F90">IF(E90="OUI",MAX(F$2:$O89)+1,"")</f>
        <v>#REF!</v>
      </c>
    </row>
    <row r="91" spans="1:6" x14ac:dyDescent="0.2">
      <c r="A91" s="453">
        <f t="shared" si="5"/>
        <v>44682</v>
      </c>
      <c r="B91" s="30">
        <v>44682</v>
      </c>
      <c r="C91" s="16">
        <f t="shared" si="3"/>
        <v>0</v>
      </c>
      <c r="D91" s="16">
        <f t="shared" si="4"/>
        <v>0</v>
      </c>
      <c r="E91" s="16" t="e">
        <f>+IF(AND(B91&gt;=#REF!,B91&lt;=#REF!),"OUI","NON")</f>
        <v>#REF!</v>
      </c>
      <c r="F91" s="16" t="e">
        <f t="array" ref="F91">IF(E91="OUI",MAX(F$2:$O90)+1,"")</f>
        <v>#REF!</v>
      </c>
    </row>
    <row r="92" spans="1:6" x14ac:dyDescent="0.2">
      <c r="A92" s="453">
        <f t="shared" si="5"/>
        <v>44713</v>
      </c>
      <c r="B92" s="30">
        <v>44713</v>
      </c>
      <c r="C92" s="16">
        <f t="shared" si="3"/>
        <v>0</v>
      </c>
      <c r="D92" s="16">
        <f t="shared" si="4"/>
        <v>0</v>
      </c>
      <c r="E92" s="16" t="e">
        <f>+IF(AND(B92&gt;=#REF!,B92&lt;=#REF!),"OUI","NON")</f>
        <v>#REF!</v>
      </c>
      <c r="F92" s="16" t="e">
        <f t="array" ref="F92">IF(E92="OUI",MAX(F$2:$O91)+1,"")</f>
        <v>#REF!</v>
      </c>
    </row>
    <row r="93" spans="1:6" x14ac:dyDescent="0.2">
      <c r="A93" s="453">
        <f t="shared" si="5"/>
        <v>44743</v>
      </c>
      <c r="B93" s="30">
        <v>44743</v>
      </c>
      <c r="C93" s="16">
        <f t="shared" si="3"/>
        <v>0</v>
      </c>
      <c r="D93" s="16">
        <f t="shared" si="4"/>
        <v>0</v>
      </c>
      <c r="E93" s="16" t="e">
        <f>+IF(AND(B93&gt;=#REF!,B93&lt;=#REF!),"OUI","NON")</f>
        <v>#REF!</v>
      </c>
      <c r="F93" s="16" t="e">
        <f t="array" ref="F93">IF(E93="OUI",MAX(F$2:$O92)+1,"")</f>
        <v>#REF!</v>
      </c>
    </row>
    <row r="94" spans="1:6" x14ac:dyDescent="0.2">
      <c r="A94" s="453">
        <f t="shared" si="5"/>
        <v>44774</v>
      </c>
      <c r="B94" s="30">
        <v>44774</v>
      </c>
      <c r="C94" s="16">
        <f t="shared" si="3"/>
        <v>0</v>
      </c>
      <c r="D94" s="16">
        <f t="shared" si="4"/>
        <v>0</v>
      </c>
      <c r="E94" s="16" t="e">
        <f>+IF(AND(B94&gt;=#REF!,B94&lt;=#REF!),"OUI","NON")</f>
        <v>#REF!</v>
      </c>
      <c r="F94" s="16" t="e">
        <f t="array" ref="F94">IF(E94="OUI",MAX(F$2:$O93)+1,"")</f>
        <v>#REF!</v>
      </c>
    </row>
    <row r="95" spans="1:6" x14ac:dyDescent="0.2">
      <c r="A95" s="453">
        <f t="shared" si="5"/>
        <v>44805</v>
      </c>
      <c r="B95" s="30">
        <v>44805</v>
      </c>
      <c r="C95" s="16">
        <f t="shared" si="3"/>
        <v>0</v>
      </c>
      <c r="D95" s="16">
        <f t="shared" si="4"/>
        <v>0</v>
      </c>
      <c r="E95" s="16" t="e">
        <f>+IF(AND(B95&gt;=#REF!,B95&lt;=#REF!),"OUI","NON")</f>
        <v>#REF!</v>
      </c>
      <c r="F95" s="16" t="e">
        <f t="array" ref="F95">IF(E95="OUI",MAX(F$2:$O94)+1,"")</f>
        <v>#REF!</v>
      </c>
    </row>
    <row r="96" spans="1:6" x14ac:dyDescent="0.2">
      <c r="A96" s="453">
        <f t="shared" si="5"/>
        <v>44835</v>
      </c>
      <c r="B96" s="30">
        <v>44835</v>
      </c>
      <c r="C96" s="16">
        <f t="shared" si="3"/>
        <v>0</v>
      </c>
      <c r="D96" s="16">
        <f t="shared" si="4"/>
        <v>0</v>
      </c>
      <c r="E96" s="16" t="e">
        <f>+IF(AND(B96&gt;=#REF!,B96&lt;=#REF!),"OUI","NON")</f>
        <v>#REF!</v>
      </c>
      <c r="F96" s="16" t="e">
        <f t="array" ref="F96">IF(E96="OUI",MAX(F$2:$O95)+1,"")</f>
        <v>#REF!</v>
      </c>
    </row>
    <row r="97" spans="1:6" x14ac:dyDescent="0.2">
      <c r="A97" s="453">
        <f t="shared" si="5"/>
        <v>44866</v>
      </c>
      <c r="B97" s="30">
        <v>44866</v>
      </c>
      <c r="C97" s="16">
        <f t="shared" si="3"/>
        <v>0</v>
      </c>
      <c r="D97" s="16">
        <f t="shared" si="4"/>
        <v>0</v>
      </c>
      <c r="E97" s="16" t="e">
        <f>+IF(AND(B97&gt;=#REF!,B97&lt;=#REF!),"OUI","NON")</f>
        <v>#REF!</v>
      </c>
      <c r="F97" s="16" t="e">
        <f t="array" ref="F97">IF(E97="OUI",MAX(F$2:$O96)+1,"")</f>
        <v>#REF!</v>
      </c>
    </row>
    <row r="98" spans="1:6" x14ac:dyDescent="0.2">
      <c r="A98" s="453">
        <f t="shared" si="5"/>
        <v>44896</v>
      </c>
      <c r="B98" s="30">
        <v>44896</v>
      </c>
      <c r="C98" s="16">
        <f t="shared" si="3"/>
        <v>0</v>
      </c>
      <c r="D98" s="16">
        <f t="shared" si="4"/>
        <v>0</v>
      </c>
      <c r="E98" s="16" t="e">
        <f>+IF(AND(B98&gt;=#REF!,B98&lt;=#REF!),"OUI","NON")</f>
        <v>#REF!</v>
      </c>
      <c r="F98" s="16" t="e">
        <f t="array" ref="F98">IF(E98="OUI",MAX(F$2:$O97)+1,"")</f>
        <v>#REF!</v>
      </c>
    </row>
    <row r="99" spans="1:6" x14ac:dyDescent="0.2">
      <c r="A99" s="453">
        <f t="shared" si="5"/>
        <v>44927</v>
      </c>
      <c r="B99" s="30">
        <v>44927</v>
      </c>
      <c r="C99" s="16">
        <f t="shared" si="3"/>
        <v>0</v>
      </c>
      <c r="D99" s="16">
        <f t="shared" si="4"/>
        <v>0</v>
      </c>
      <c r="E99" s="16" t="e">
        <f>+IF(AND(B99&gt;=#REF!,B99&lt;=#REF!),"OUI","NON")</f>
        <v>#REF!</v>
      </c>
      <c r="F99" s="16" t="e">
        <f t="array" ref="F99">IF(E99="OUI",MAX(F$2:$O98)+1,"")</f>
        <v>#REF!</v>
      </c>
    </row>
    <row r="100" spans="1:6" x14ac:dyDescent="0.2">
      <c r="A100" s="453">
        <f t="shared" si="5"/>
        <v>44958</v>
      </c>
      <c r="B100" s="30">
        <v>44958</v>
      </c>
      <c r="C100" s="16">
        <f t="shared" si="3"/>
        <v>0</v>
      </c>
      <c r="D100" s="16">
        <f t="shared" si="4"/>
        <v>0</v>
      </c>
      <c r="E100" s="16" t="e">
        <f>+IF(AND(B100&gt;=#REF!,B100&lt;=#REF!),"OUI","NON")</f>
        <v>#REF!</v>
      </c>
      <c r="F100" s="16" t="e">
        <f t="array" ref="F100">IF(E100="OUI",MAX(F$2:$O99)+1,"")</f>
        <v>#REF!</v>
      </c>
    </row>
    <row r="101" spans="1:6" x14ac:dyDescent="0.2">
      <c r="A101" s="453">
        <f t="shared" si="5"/>
        <v>44986</v>
      </c>
      <c r="B101" s="30">
        <v>44986</v>
      </c>
      <c r="C101" s="16">
        <f t="shared" si="3"/>
        <v>0</v>
      </c>
      <c r="D101" s="16">
        <f t="shared" si="4"/>
        <v>0</v>
      </c>
      <c r="E101" s="16" t="e">
        <f>+IF(AND(B101&gt;=#REF!,B101&lt;=#REF!),"OUI","NON")</f>
        <v>#REF!</v>
      </c>
      <c r="F101" s="16" t="e">
        <f t="array" ref="F101">IF(E101="OUI",MAX(F$2:$O100)+1,"")</f>
        <v>#REF!</v>
      </c>
    </row>
    <row r="102" spans="1:6" x14ac:dyDescent="0.2">
      <c r="A102" s="453">
        <f t="shared" si="5"/>
        <v>45017</v>
      </c>
      <c r="B102" s="30">
        <v>45017</v>
      </c>
      <c r="C102" s="16">
        <f t="shared" si="3"/>
        <v>0</v>
      </c>
      <c r="D102" s="16">
        <f t="shared" si="4"/>
        <v>0</v>
      </c>
      <c r="E102" s="16" t="e">
        <f>+IF(AND(B102&gt;=#REF!,B102&lt;=#REF!),"OUI","NON")</f>
        <v>#REF!</v>
      </c>
      <c r="F102" s="16" t="e">
        <f t="array" ref="F102">IF(E102="OUI",MAX(F$2:$O101)+1,"")</f>
        <v>#REF!</v>
      </c>
    </row>
    <row r="103" spans="1:6" x14ac:dyDescent="0.2">
      <c r="A103" s="453">
        <f t="shared" si="5"/>
        <v>45047</v>
      </c>
      <c r="B103" s="30">
        <v>45047</v>
      </c>
      <c r="C103" s="16">
        <f t="shared" si="3"/>
        <v>0</v>
      </c>
      <c r="D103" s="16">
        <f t="shared" si="4"/>
        <v>0</v>
      </c>
      <c r="E103" s="16" t="e">
        <f>+IF(AND(B103&gt;=#REF!,B103&lt;=#REF!),"OUI","NON")</f>
        <v>#REF!</v>
      </c>
      <c r="F103" s="16" t="e">
        <f t="array" ref="F103">IF(E103="OUI",MAX(F$2:$O102)+1,"")</f>
        <v>#REF!</v>
      </c>
    </row>
    <row r="104" spans="1:6" x14ac:dyDescent="0.2">
      <c r="A104" s="453">
        <f t="shared" si="5"/>
        <v>45078</v>
      </c>
      <c r="B104" s="30">
        <v>45078</v>
      </c>
      <c r="C104" s="16">
        <f t="shared" si="3"/>
        <v>0</v>
      </c>
      <c r="D104" s="16">
        <f t="shared" si="4"/>
        <v>0</v>
      </c>
      <c r="E104" s="16" t="e">
        <f>+IF(AND(B104&gt;=#REF!,B104&lt;=#REF!),"OUI","NON")</f>
        <v>#REF!</v>
      </c>
      <c r="F104" s="16" t="e">
        <f t="array" ref="F104">IF(E104="OUI",MAX(F$2:$O103)+1,"")</f>
        <v>#REF!</v>
      </c>
    </row>
    <row r="105" spans="1:6" x14ac:dyDescent="0.2">
      <c r="A105" s="453">
        <f t="shared" si="5"/>
        <v>45108</v>
      </c>
      <c r="B105" s="30">
        <v>45108</v>
      </c>
      <c r="C105" s="16">
        <f t="shared" si="3"/>
        <v>0</v>
      </c>
      <c r="D105" s="16">
        <f t="shared" si="4"/>
        <v>0</v>
      </c>
      <c r="E105" s="16" t="e">
        <f>+IF(AND(B105&gt;=#REF!,B105&lt;=#REF!),"OUI","NON")</f>
        <v>#REF!</v>
      </c>
      <c r="F105" s="16" t="e">
        <f t="array" ref="F105">IF(E105="OUI",MAX(F$2:$O104)+1,"")</f>
        <v>#REF!</v>
      </c>
    </row>
    <row r="106" spans="1:6" x14ac:dyDescent="0.2">
      <c r="A106" s="453">
        <f t="shared" si="5"/>
        <v>45139</v>
      </c>
      <c r="B106" s="30">
        <v>45139</v>
      </c>
      <c r="C106" s="16">
        <f t="shared" si="3"/>
        <v>0</v>
      </c>
      <c r="D106" s="16">
        <f t="shared" si="4"/>
        <v>0</v>
      </c>
      <c r="E106" s="16" t="e">
        <f>+IF(AND(B106&gt;=#REF!,B106&lt;=#REF!),"OUI","NON")</f>
        <v>#REF!</v>
      </c>
      <c r="F106" s="16" t="e">
        <f t="array" ref="F106">IF(E106="OUI",MAX(F$2:$O105)+1,"")</f>
        <v>#REF!</v>
      </c>
    </row>
    <row r="107" spans="1:6" x14ac:dyDescent="0.2">
      <c r="A107" s="453">
        <f t="shared" si="5"/>
        <v>45170</v>
      </c>
      <c r="B107" s="30">
        <v>45170</v>
      </c>
      <c r="C107" s="16">
        <f t="shared" si="3"/>
        <v>0</v>
      </c>
      <c r="D107" s="16">
        <f t="shared" si="4"/>
        <v>0</v>
      </c>
      <c r="E107" s="16" t="e">
        <f>+IF(AND(B107&gt;=#REF!,B107&lt;=#REF!),"OUI","NON")</f>
        <v>#REF!</v>
      </c>
      <c r="F107" s="16" t="e">
        <f t="array" ref="F107">IF(E107="OUI",MAX(F$2:$O106)+1,"")</f>
        <v>#REF!</v>
      </c>
    </row>
    <row r="108" spans="1:6" x14ac:dyDescent="0.2">
      <c r="A108" s="453">
        <f t="shared" si="5"/>
        <v>45200</v>
      </c>
      <c r="B108" s="30">
        <v>45200</v>
      </c>
      <c r="C108" s="16">
        <f t="shared" si="3"/>
        <v>0</v>
      </c>
      <c r="D108" s="16">
        <f t="shared" si="4"/>
        <v>0</v>
      </c>
      <c r="E108" s="16" t="e">
        <f>+IF(AND(B108&gt;=#REF!,B108&lt;=#REF!),"OUI","NON")</f>
        <v>#REF!</v>
      </c>
      <c r="F108" s="16" t="e">
        <f t="array" ref="F108">IF(E108="OUI",MAX(F$2:$O107)+1,"")</f>
        <v>#REF!</v>
      </c>
    </row>
    <row r="109" spans="1:6" x14ac:dyDescent="0.2">
      <c r="A109" s="453">
        <f t="shared" si="5"/>
        <v>45231</v>
      </c>
      <c r="B109" s="30">
        <v>45231</v>
      </c>
      <c r="C109" s="16">
        <f t="shared" si="3"/>
        <v>0</v>
      </c>
      <c r="D109" s="16">
        <f t="shared" si="4"/>
        <v>0</v>
      </c>
      <c r="E109" s="16" t="e">
        <f>+IF(AND(B109&gt;=#REF!,B109&lt;=#REF!),"OUI","NON")</f>
        <v>#REF!</v>
      </c>
      <c r="F109" s="16" t="e">
        <f t="array" ref="F109">IF(E109="OUI",MAX(F$2:$O108)+1,"")</f>
        <v>#REF!</v>
      </c>
    </row>
    <row r="110" spans="1:6" x14ac:dyDescent="0.2">
      <c r="A110" s="453">
        <f t="shared" si="5"/>
        <v>45261</v>
      </c>
      <c r="B110" s="30">
        <v>45261</v>
      </c>
      <c r="C110" s="16">
        <f t="shared" si="3"/>
        <v>0</v>
      </c>
      <c r="D110" s="16">
        <f t="shared" si="4"/>
        <v>0</v>
      </c>
      <c r="E110" s="16" t="e">
        <f>+IF(AND(B110&gt;=#REF!,B110&lt;=#REF!),"OUI","NON")</f>
        <v>#REF!</v>
      </c>
      <c r="F110" s="16" t="e">
        <f t="array" ref="F110">IF(E110="OUI",MAX(F$2:$O109)+1,"")</f>
        <v>#REF!</v>
      </c>
    </row>
    <row r="111" spans="1:6" x14ac:dyDescent="0.2">
      <c r="A111" s="453">
        <f t="shared" si="5"/>
        <v>45292</v>
      </c>
      <c r="B111" s="30">
        <v>45292</v>
      </c>
      <c r="C111" s="16">
        <f t="shared" si="3"/>
        <v>0</v>
      </c>
      <c r="D111" s="16">
        <f t="shared" si="4"/>
        <v>0</v>
      </c>
      <c r="E111" s="16" t="e">
        <f>+IF(AND(B111&gt;=#REF!,B111&lt;=#REF!),"OUI","NON")</f>
        <v>#REF!</v>
      </c>
      <c r="F111" s="16" t="e">
        <f t="array" ref="F111">IF(E111="OUI",MAX(F$2:$O110)+1,"")</f>
        <v>#REF!</v>
      </c>
    </row>
    <row r="112" spans="1:6" x14ac:dyDescent="0.2">
      <c r="A112" s="453">
        <f t="shared" si="5"/>
        <v>45323</v>
      </c>
      <c r="B112" s="30">
        <v>45323</v>
      </c>
      <c r="C112" s="16">
        <f t="shared" si="3"/>
        <v>0</v>
      </c>
      <c r="D112" s="16">
        <f t="shared" si="4"/>
        <v>0</v>
      </c>
      <c r="E112" s="16" t="e">
        <f>+IF(AND(B112&gt;=#REF!,B112&lt;=#REF!),"OUI","NON")</f>
        <v>#REF!</v>
      </c>
      <c r="F112" s="16" t="e">
        <f t="array" ref="F112">IF(E112="OUI",MAX(F$2:$O111)+1,"")</f>
        <v>#REF!</v>
      </c>
    </row>
    <row r="113" spans="1:6" x14ac:dyDescent="0.2">
      <c r="A113" s="453">
        <f t="shared" si="5"/>
        <v>45352</v>
      </c>
      <c r="B113" s="30">
        <v>45352</v>
      </c>
      <c r="C113" s="16">
        <f t="shared" si="3"/>
        <v>0</v>
      </c>
      <c r="D113" s="16">
        <f t="shared" si="4"/>
        <v>0</v>
      </c>
      <c r="E113" s="16" t="e">
        <f>+IF(AND(B113&gt;=#REF!,B113&lt;=#REF!),"OUI","NON")</f>
        <v>#REF!</v>
      </c>
      <c r="F113" s="16" t="e">
        <f t="array" ref="F113">IF(E113="OUI",MAX(F$2:$O112)+1,"")</f>
        <v>#REF!</v>
      </c>
    </row>
    <row r="114" spans="1:6" x14ac:dyDescent="0.2">
      <c r="A114" s="453">
        <f t="shared" si="5"/>
        <v>45383</v>
      </c>
      <c r="B114" s="30">
        <v>45383</v>
      </c>
      <c r="C114" s="16">
        <f t="shared" si="3"/>
        <v>0</v>
      </c>
      <c r="D114" s="16">
        <f t="shared" si="4"/>
        <v>0</v>
      </c>
      <c r="E114" s="16" t="e">
        <f>+IF(AND(B114&gt;=#REF!,B114&lt;=#REF!),"OUI","NON")</f>
        <v>#REF!</v>
      </c>
      <c r="F114" s="16" t="e">
        <f t="array" ref="F114">IF(E114="OUI",MAX(F$2:$O113)+1,"")</f>
        <v>#REF!</v>
      </c>
    </row>
    <row r="115" spans="1:6" x14ac:dyDescent="0.2">
      <c r="A115" s="453">
        <f t="shared" si="5"/>
        <v>45413</v>
      </c>
      <c r="B115" s="30">
        <v>45413</v>
      </c>
      <c r="C115" s="16">
        <f t="shared" si="3"/>
        <v>0</v>
      </c>
      <c r="D115" s="16">
        <f t="shared" si="4"/>
        <v>0</v>
      </c>
      <c r="E115" s="16" t="e">
        <f>+IF(AND(B115&gt;=#REF!,B115&lt;=#REF!),"OUI","NON")</f>
        <v>#REF!</v>
      </c>
      <c r="F115" s="16" t="e">
        <f t="array" ref="F115">IF(E115="OUI",MAX(F$2:$O114)+1,"")</f>
        <v>#REF!</v>
      </c>
    </row>
    <row r="116" spans="1:6" x14ac:dyDescent="0.2">
      <c r="A116" s="453">
        <f t="shared" si="5"/>
        <v>45444</v>
      </c>
      <c r="B116" s="30">
        <v>45444</v>
      </c>
      <c r="C116" s="16">
        <f t="shared" si="3"/>
        <v>0</v>
      </c>
      <c r="D116" s="16">
        <f t="shared" si="4"/>
        <v>0</v>
      </c>
      <c r="E116" s="16" t="e">
        <f>+IF(AND(B116&gt;=#REF!,B116&lt;=#REF!),"OUI","NON")</f>
        <v>#REF!</v>
      </c>
      <c r="F116" s="16" t="e">
        <f t="array" ref="F116">IF(E116="OUI",MAX(F$2:$O115)+1,"")</f>
        <v>#REF!</v>
      </c>
    </row>
    <row r="117" spans="1:6" x14ac:dyDescent="0.2">
      <c r="A117" s="453">
        <f t="shared" si="5"/>
        <v>45474</v>
      </c>
      <c r="B117" s="30">
        <v>45474</v>
      </c>
      <c r="C117" s="16">
        <f t="shared" si="3"/>
        <v>0</v>
      </c>
      <c r="D117" s="16">
        <f t="shared" si="4"/>
        <v>0</v>
      </c>
      <c r="E117" s="16" t="e">
        <f>+IF(AND(B117&gt;=#REF!,B117&lt;=#REF!),"OUI","NON")</f>
        <v>#REF!</v>
      </c>
      <c r="F117" s="16" t="e">
        <f t="array" ref="F117">IF(E117="OUI",MAX(F$2:$O116)+1,"")</f>
        <v>#REF!</v>
      </c>
    </row>
    <row r="118" spans="1:6" x14ac:dyDescent="0.2">
      <c r="A118" s="453">
        <f t="shared" si="5"/>
        <v>45505</v>
      </c>
      <c r="B118" s="30">
        <v>45505</v>
      </c>
      <c r="C118" s="16">
        <f t="shared" si="3"/>
        <v>0</v>
      </c>
      <c r="D118" s="16">
        <f t="shared" si="4"/>
        <v>0</v>
      </c>
      <c r="E118" s="16" t="e">
        <f>+IF(AND(B118&gt;=#REF!,B118&lt;=#REF!),"OUI","NON")</f>
        <v>#REF!</v>
      </c>
      <c r="F118" s="16" t="e">
        <f t="array" ref="F118">IF(E118="OUI",MAX(F$2:$O117)+1,"")</f>
        <v>#REF!</v>
      </c>
    </row>
    <row r="119" spans="1:6" x14ac:dyDescent="0.2">
      <c r="A119" s="453">
        <f t="shared" si="5"/>
        <v>45536</v>
      </c>
      <c r="B119" s="30">
        <v>45536</v>
      </c>
      <c r="C119" s="16">
        <f t="shared" si="3"/>
        <v>0</v>
      </c>
      <c r="D119" s="16">
        <f t="shared" si="4"/>
        <v>0</v>
      </c>
      <c r="E119" s="16" t="e">
        <f>+IF(AND(B119&gt;=#REF!,B119&lt;=#REF!),"OUI","NON")</f>
        <v>#REF!</v>
      </c>
      <c r="F119" s="16" t="e">
        <f t="array" ref="F119">IF(E119="OUI",MAX(F$2:$O118)+1,"")</f>
        <v>#REF!</v>
      </c>
    </row>
    <row r="120" spans="1:6" x14ac:dyDescent="0.2">
      <c r="A120" s="453">
        <f t="shared" si="5"/>
        <v>45566</v>
      </c>
      <c r="B120" s="30">
        <v>45566</v>
      </c>
      <c r="C120" s="16">
        <f t="shared" si="3"/>
        <v>0</v>
      </c>
      <c r="D120" s="16">
        <f t="shared" si="4"/>
        <v>0</v>
      </c>
      <c r="E120" s="16" t="e">
        <f>+IF(AND(B120&gt;=#REF!,B120&lt;=#REF!),"OUI","NON")</f>
        <v>#REF!</v>
      </c>
      <c r="F120" s="16" t="e">
        <f t="array" ref="F120">IF(E120="OUI",MAX(F$2:$O119)+1,"")</f>
        <v>#REF!</v>
      </c>
    </row>
    <row r="121" spans="1:6" x14ac:dyDescent="0.2">
      <c r="A121" s="453">
        <f t="shared" si="5"/>
        <v>45597</v>
      </c>
      <c r="B121" s="30">
        <v>45597</v>
      </c>
      <c r="C121" s="16">
        <f t="shared" si="3"/>
        <v>0</v>
      </c>
      <c r="D121" s="16">
        <f t="shared" si="4"/>
        <v>0</v>
      </c>
      <c r="E121" s="16" t="e">
        <f>+IF(AND(B121&gt;=#REF!,B121&lt;=#REF!),"OUI","NON")</f>
        <v>#REF!</v>
      </c>
      <c r="F121" s="16" t="e">
        <f t="array" ref="F121">IF(E121="OUI",MAX(F$2:$O120)+1,"")</f>
        <v>#REF!</v>
      </c>
    </row>
    <row r="122" spans="1:6" x14ac:dyDescent="0.2">
      <c r="A122" s="453">
        <f t="shared" si="5"/>
        <v>45627</v>
      </c>
      <c r="B122" s="30">
        <v>45627</v>
      </c>
      <c r="C122" s="16">
        <f t="shared" si="3"/>
        <v>0</v>
      </c>
      <c r="D122" s="16">
        <f t="shared" si="4"/>
        <v>0</v>
      </c>
      <c r="E122" s="16" t="e">
        <f>+IF(AND(B122&gt;=#REF!,B122&lt;=#REF!),"OUI","NON")</f>
        <v>#REF!</v>
      </c>
      <c r="F122" s="16" t="e">
        <f t="array" ref="F122">IF(E122="OUI",MAX(F$2:$O121)+1,"")</f>
        <v>#REF!</v>
      </c>
    </row>
    <row r="123" spans="1:6" x14ac:dyDescent="0.2">
      <c r="A123" s="453">
        <f t="shared" si="5"/>
        <v>45658</v>
      </c>
      <c r="B123" s="30">
        <v>45658</v>
      </c>
      <c r="C123" s="16">
        <f t="shared" si="3"/>
        <v>0</v>
      </c>
      <c r="D123" s="16">
        <f t="shared" si="4"/>
        <v>0</v>
      </c>
      <c r="E123" s="16" t="e">
        <f>+IF(AND(B123&gt;=#REF!,B123&lt;=#REF!),"OUI","NON")</f>
        <v>#REF!</v>
      </c>
      <c r="F123" s="16" t="e">
        <f t="array" ref="F123">IF(E123="OUI",MAX(F$2:$O122)+1,"")</f>
        <v>#REF!</v>
      </c>
    </row>
    <row r="124" spans="1:6" x14ac:dyDescent="0.2">
      <c r="A124" s="453">
        <f t="shared" si="5"/>
        <v>45689</v>
      </c>
      <c r="B124" s="30">
        <v>45689</v>
      </c>
      <c r="C124" s="16">
        <f t="shared" si="3"/>
        <v>0</v>
      </c>
      <c r="D124" s="16">
        <f t="shared" si="4"/>
        <v>0</v>
      </c>
      <c r="E124" s="16" t="e">
        <f>+IF(AND(B124&gt;=#REF!,B124&lt;=#REF!),"OUI","NON")</f>
        <v>#REF!</v>
      </c>
      <c r="F124" s="16" t="e">
        <f t="array" ref="F124">IF(E124="OUI",MAX(F$2:$O123)+1,"")</f>
        <v>#REF!</v>
      </c>
    </row>
    <row r="125" spans="1:6" x14ac:dyDescent="0.2">
      <c r="A125" s="453">
        <f t="shared" si="5"/>
        <v>45717</v>
      </c>
      <c r="B125" s="30">
        <v>45717</v>
      </c>
      <c r="C125" s="16">
        <f t="shared" si="3"/>
        <v>0</v>
      </c>
      <c r="D125" s="16">
        <f t="shared" si="4"/>
        <v>0</v>
      </c>
      <c r="E125" s="16" t="e">
        <f>+IF(AND(B125&gt;=#REF!,B125&lt;=#REF!),"OUI","NON")</f>
        <v>#REF!</v>
      </c>
      <c r="F125" s="16" t="e">
        <f t="array" ref="F125">IF(E125="OUI",MAX(F$2:$O124)+1,"")</f>
        <v>#REF!</v>
      </c>
    </row>
    <row r="126" spans="1:6" x14ac:dyDescent="0.2">
      <c r="A126" s="453">
        <f t="shared" si="5"/>
        <v>45748</v>
      </c>
      <c r="B126" s="30">
        <v>45748</v>
      </c>
      <c r="C126" s="16">
        <f t="shared" si="3"/>
        <v>0</v>
      </c>
      <c r="D126" s="16">
        <f t="shared" si="4"/>
        <v>0</v>
      </c>
      <c r="E126" s="16" t="e">
        <f>+IF(AND(B126&gt;=#REF!,B126&lt;=#REF!),"OUI","NON")</f>
        <v>#REF!</v>
      </c>
      <c r="F126" s="16" t="e">
        <f t="array" ref="F126">IF(E126="OUI",MAX(F$2:$O125)+1,"")</f>
        <v>#REF!</v>
      </c>
    </row>
    <row r="127" spans="1:6" x14ac:dyDescent="0.2">
      <c r="A127" s="453">
        <f t="shared" si="5"/>
        <v>45778</v>
      </c>
      <c r="B127" s="30">
        <v>45778</v>
      </c>
      <c r="C127" s="16">
        <f t="shared" si="3"/>
        <v>0</v>
      </c>
      <c r="D127" s="16">
        <f t="shared" si="4"/>
        <v>0</v>
      </c>
      <c r="E127" s="16" t="e">
        <f>+IF(AND(B127&gt;=#REF!,B127&lt;=#REF!),"OUI","NON")</f>
        <v>#REF!</v>
      </c>
      <c r="F127" s="16" t="e">
        <f t="array" ref="F127">IF(E127="OUI",MAX(F$2:$O126)+1,"")</f>
        <v>#REF!</v>
      </c>
    </row>
    <row r="128" spans="1:6" x14ac:dyDescent="0.2">
      <c r="A128" s="453">
        <f t="shared" si="5"/>
        <v>45809</v>
      </c>
      <c r="B128" s="30">
        <v>45809</v>
      </c>
      <c r="C128" s="16">
        <f t="shared" si="3"/>
        <v>0</v>
      </c>
      <c r="D128" s="16">
        <f t="shared" si="4"/>
        <v>0</v>
      </c>
      <c r="E128" s="16" t="e">
        <f>+IF(AND(B128&gt;=#REF!,B128&lt;=#REF!),"OUI","NON")</f>
        <v>#REF!</v>
      </c>
      <c r="F128" s="16" t="e">
        <f t="array" ref="F128">IF(E128="OUI",MAX(F$2:$O127)+1,"")</f>
        <v>#REF!</v>
      </c>
    </row>
    <row r="129" spans="1:6" x14ac:dyDescent="0.2">
      <c r="A129" s="453">
        <f t="shared" si="5"/>
        <v>45839</v>
      </c>
      <c r="B129" s="30">
        <v>45839</v>
      </c>
      <c r="C129" s="16">
        <f t="shared" si="3"/>
        <v>0</v>
      </c>
      <c r="D129" s="16">
        <f t="shared" si="4"/>
        <v>0</v>
      </c>
      <c r="E129" s="16" t="e">
        <f>+IF(AND(B129&gt;=#REF!,B129&lt;=#REF!),"OUI","NON")</f>
        <v>#REF!</v>
      </c>
      <c r="F129" s="16" t="e">
        <f t="array" ref="F129">IF(E129="OUI",MAX(F$2:$O128)+1,"")</f>
        <v>#REF!</v>
      </c>
    </row>
    <row r="130" spans="1:6" x14ac:dyDescent="0.2">
      <c r="A130" s="453">
        <f t="shared" si="5"/>
        <v>45870</v>
      </c>
      <c r="B130" s="30">
        <v>45870</v>
      </c>
      <c r="C130" s="16">
        <f t="shared" si="3"/>
        <v>0</v>
      </c>
      <c r="D130" s="16">
        <f t="shared" si="4"/>
        <v>0</v>
      </c>
      <c r="E130" s="16" t="e">
        <f>+IF(AND(B130&gt;=#REF!,B130&lt;=#REF!),"OUI","NON")</f>
        <v>#REF!</v>
      </c>
      <c r="F130" s="16" t="e">
        <f t="array" ref="F130">IF(E130="OUI",MAX(F$2:$O129)+1,"")</f>
        <v>#REF!</v>
      </c>
    </row>
    <row r="131" spans="1:6" x14ac:dyDescent="0.2">
      <c r="A131" s="453">
        <f t="shared" si="5"/>
        <v>45901</v>
      </c>
      <c r="B131" s="30">
        <v>45901</v>
      </c>
      <c r="C131" s="16">
        <f t="shared" ref="C131:C194" si="6">IFERROR(+VLOOKUP(B131,BDD,53,FALSE),0)</f>
        <v>0</v>
      </c>
      <c r="D131" s="16">
        <f t="shared" ref="D131:D194" si="7">IFERROR(+VLOOKUP(B131,BDD,54,FALSE),0)</f>
        <v>0</v>
      </c>
      <c r="E131" s="16" t="e">
        <f>+IF(AND(B131&gt;=#REF!,B131&lt;=#REF!),"OUI","NON")</f>
        <v>#REF!</v>
      </c>
      <c r="F131" s="16" t="e">
        <f t="array" ref="F131">IF(E131="OUI",MAX(F$2:$O130)+1,"")</f>
        <v>#REF!</v>
      </c>
    </row>
    <row r="132" spans="1:6" x14ac:dyDescent="0.2">
      <c r="A132" s="453">
        <f t="shared" ref="A132:A195" si="8">+B132</f>
        <v>45931</v>
      </c>
      <c r="B132" s="30">
        <v>45931</v>
      </c>
      <c r="C132" s="16">
        <f t="shared" si="6"/>
        <v>0</v>
      </c>
      <c r="D132" s="16">
        <f t="shared" si="7"/>
        <v>0</v>
      </c>
      <c r="E132" s="16" t="e">
        <f>+IF(AND(B132&gt;=#REF!,B132&lt;=#REF!),"OUI","NON")</f>
        <v>#REF!</v>
      </c>
      <c r="F132" s="16" t="e">
        <f t="array" ref="F132">IF(E132="OUI",MAX(F$2:$O131)+1,"")</f>
        <v>#REF!</v>
      </c>
    </row>
    <row r="133" spans="1:6" x14ac:dyDescent="0.2">
      <c r="A133" s="453">
        <f t="shared" si="8"/>
        <v>45962</v>
      </c>
      <c r="B133" s="30">
        <v>45962</v>
      </c>
      <c r="C133" s="16">
        <f t="shared" si="6"/>
        <v>0</v>
      </c>
      <c r="D133" s="16">
        <f t="shared" si="7"/>
        <v>0</v>
      </c>
      <c r="E133" s="16" t="e">
        <f>+IF(AND(B133&gt;=#REF!,B133&lt;=#REF!),"OUI","NON")</f>
        <v>#REF!</v>
      </c>
      <c r="F133" s="16" t="e">
        <f t="array" ref="F133">IF(E133="OUI",MAX(F$2:$O132)+1,"")</f>
        <v>#REF!</v>
      </c>
    </row>
    <row r="134" spans="1:6" x14ac:dyDescent="0.2">
      <c r="A134" s="453">
        <f t="shared" si="8"/>
        <v>45992</v>
      </c>
      <c r="B134" s="30">
        <v>45992</v>
      </c>
      <c r="C134" s="16">
        <f t="shared" si="6"/>
        <v>0</v>
      </c>
      <c r="D134" s="16">
        <f t="shared" si="7"/>
        <v>0</v>
      </c>
      <c r="E134" s="16" t="e">
        <f>+IF(AND(B134&gt;=#REF!,B134&lt;=#REF!),"OUI","NON")</f>
        <v>#REF!</v>
      </c>
      <c r="F134" s="16" t="e">
        <f t="array" ref="F134">IF(E134="OUI",MAX(F$2:$O133)+1,"")</f>
        <v>#REF!</v>
      </c>
    </row>
    <row r="135" spans="1:6" x14ac:dyDescent="0.2">
      <c r="A135" s="453">
        <f t="shared" si="8"/>
        <v>46023</v>
      </c>
      <c r="B135" s="30">
        <v>46023</v>
      </c>
      <c r="C135" s="16">
        <f t="shared" si="6"/>
        <v>0</v>
      </c>
      <c r="D135" s="16">
        <f t="shared" si="7"/>
        <v>0</v>
      </c>
      <c r="E135" s="16" t="e">
        <f>+IF(AND(B135&gt;=#REF!,B135&lt;=#REF!),"OUI","NON")</f>
        <v>#REF!</v>
      </c>
      <c r="F135" s="16" t="e">
        <f t="array" ref="F135">IF(E135="OUI",MAX(F$2:$O134)+1,"")</f>
        <v>#REF!</v>
      </c>
    </row>
    <row r="136" spans="1:6" x14ac:dyDescent="0.2">
      <c r="A136" s="453">
        <f t="shared" si="8"/>
        <v>46054</v>
      </c>
      <c r="B136" s="30">
        <v>46054</v>
      </c>
      <c r="C136" s="16">
        <f t="shared" si="6"/>
        <v>0</v>
      </c>
      <c r="D136" s="16">
        <f t="shared" si="7"/>
        <v>0</v>
      </c>
      <c r="E136" s="16" t="e">
        <f>+IF(AND(B136&gt;=#REF!,B136&lt;=#REF!),"OUI","NON")</f>
        <v>#REF!</v>
      </c>
      <c r="F136" s="16" t="e">
        <f t="array" ref="F136">IF(E136="OUI",MAX(F$2:$O135)+1,"")</f>
        <v>#REF!</v>
      </c>
    </row>
    <row r="137" spans="1:6" x14ac:dyDescent="0.2">
      <c r="A137" s="453">
        <f t="shared" si="8"/>
        <v>46082</v>
      </c>
      <c r="B137" s="30">
        <v>46082</v>
      </c>
      <c r="C137" s="16">
        <f t="shared" si="6"/>
        <v>0</v>
      </c>
      <c r="D137" s="16">
        <f t="shared" si="7"/>
        <v>0</v>
      </c>
      <c r="E137" s="16" t="e">
        <f>+IF(AND(B137&gt;=#REF!,B137&lt;=#REF!),"OUI","NON")</f>
        <v>#REF!</v>
      </c>
      <c r="F137" s="16" t="e">
        <f t="array" ref="F137">IF(E137="OUI",MAX(F$2:$O136)+1,"")</f>
        <v>#REF!</v>
      </c>
    </row>
    <row r="138" spans="1:6" x14ac:dyDescent="0.2">
      <c r="A138" s="453">
        <f t="shared" si="8"/>
        <v>46113</v>
      </c>
      <c r="B138" s="30">
        <v>46113</v>
      </c>
      <c r="C138" s="16">
        <f t="shared" si="6"/>
        <v>0</v>
      </c>
      <c r="D138" s="16">
        <f t="shared" si="7"/>
        <v>0</v>
      </c>
      <c r="E138" s="16" t="e">
        <f>+IF(AND(B138&gt;=#REF!,B138&lt;=#REF!),"OUI","NON")</f>
        <v>#REF!</v>
      </c>
      <c r="F138" s="16" t="e">
        <f t="array" ref="F138">IF(E138="OUI",MAX(F$2:$O137)+1,"")</f>
        <v>#REF!</v>
      </c>
    </row>
    <row r="139" spans="1:6" x14ac:dyDescent="0.2">
      <c r="A139" s="453">
        <f t="shared" si="8"/>
        <v>46143</v>
      </c>
      <c r="B139" s="30">
        <v>46143</v>
      </c>
      <c r="C139" s="16">
        <f t="shared" si="6"/>
        <v>0</v>
      </c>
      <c r="D139" s="16">
        <f t="shared" si="7"/>
        <v>0</v>
      </c>
      <c r="E139" s="16" t="e">
        <f>+IF(AND(B139&gt;=#REF!,B139&lt;=#REF!),"OUI","NON")</f>
        <v>#REF!</v>
      </c>
      <c r="F139" s="16" t="e">
        <f t="array" ref="F139">IF(E139="OUI",MAX(F$2:$O138)+1,"")</f>
        <v>#REF!</v>
      </c>
    </row>
    <row r="140" spans="1:6" x14ac:dyDescent="0.2">
      <c r="A140" s="453">
        <f t="shared" si="8"/>
        <v>46174</v>
      </c>
      <c r="B140" s="30">
        <v>46174</v>
      </c>
      <c r="C140" s="16">
        <f t="shared" si="6"/>
        <v>0</v>
      </c>
      <c r="D140" s="16">
        <f t="shared" si="7"/>
        <v>0</v>
      </c>
      <c r="E140" s="16" t="e">
        <f>+IF(AND(B140&gt;=#REF!,B140&lt;=#REF!),"OUI","NON")</f>
        <v>#REF!</v>
      </c>
      <c r="F140" s="16" t="e">
        <f t="array" ref="F140">IF(E140="OUI",MAX(F$2:$O139)+1,"")</f>
        <v>#REF!</v>
      </c>
    </row>
    <row r="141" spans="1:6" x14ac:dyDescent="0.2">
      <c r="A141" s="453">
        <f t="shared" si="8"/>
        <v>46204</v>
      </c>
      <c r="B141" s="30">
        <v>46204</v>
      </c>
      <c r="C141" s="16">
        <f t="shared" si="6"/>
        <v>0</v>
      </c>
      <c r="D141" s="16">
        <f t="shared" si="7"/>
        <v>0</v>
      </c>
      <c r="E141" s="16" t="e">
        <f>+IF(AND(B141&gt;=#REF!,B141&lt;=#REF!),"OUI","NON")</f>
        <v>#REF!</v>
      </c>
      <c r="F141" s="16" t="e">
        <f t="array" ref="F141">IF(E141="OUI",MAX(F$2:$O140)+1,"")</f>
        <v>#REF!</v>
      </c>
    </row>
    <row r="142" spans="1:6" x14ac:dyDescent="0.2">
      <c r="A142" s="453">
        <f t="shared" si="8"/>
        <v>46235</v>
      </c>
      <c r="B142" s="30">
        <v>46235</v>
      </c>
      <c r="C142" s="16">
        <f t="shared" si="6"/>
        <v>0</v>
      </c>
      <c r="D142" s="16">
        <f t="shared" si="7"/>
        <v>0</v>
      </c>
      <c r="E142" s="16" t="e">
        <f>+IF(AND(B142&gt;=#REF!,B142&lt;=#REF!),"OUI","NON")</f>
        <v>#REF!</v>
      </c>
      <c r="F142" s="16" t="e">
        <f t="array" ref="F142">IF(E142="OUI",MAX(F$2:$O141)+1,"")</f>
        <v>#REF!</v>
      </c>
    </row>
    <row r="143" spans="1:6" x14ac:dyDescent="0.2">
      <c r="A143" s="453">
        <f t="shared" si="8"/>
        <v>46266</v>
      </c>
      <c r="B143" s="30">
        <v>46266</v>
      </c>
      <c r="C143" s="16">
        <f t="shared" si="6"/>
        <v>0</v>
      </c>
      <c r="D143" s="16">
        <f t="shared" si="7"/>
        <v>0</v>
      </c>
      <c r="E143" s="16" t="e">
        <f>+IF(AND(B143&gt;=#REF!,B143&lt;=#REF!),"OUI","NON")</f>
        <v>#REF!</v>
      </c>
      <c r="F143" s="16" t="e">
        <f t="array" ref="F143">IF(E143="OUI",MAX(F$2:$O142)+1,"")</f>
        <v>#REF!</v>
      </c>
    </row>
    <row r="144" spans="1:6" x14ac:dyDescent="0.2">
      <c r="A144" s="453">
        <f t="shared" si="8"/>
        <v>46296</v>
      </c>
      <c r="B144" s="30">
        <v>46296</v>
      </c>
      <c r="C144" s="16">
        <f t="shared" si="6"/>
        <v>0</v>
      </c>
      <c r="D144" s="16">
        <f t="shared" si="7"/>
        <v>0</v>
      </c>
      <c r="E144" s="16" t="e">
        <f>+IF(AND(B144&gt;=#REF!,B144&lt;=#REF!),"OUI","NON")</f>
        <v>#REF!</v>
      </c>
      <c r="F144" s="16" t="e">
        <f t="array" ref="F144">IF(E144="OUI",MAX(F$2:$O143)+1,"")</f>
        <v>#REF!</v>
      </c>
    </row>
    <row r="145" spans="1:6" x14ac:dyDescent="0.2">
      <c r="A145" s="453">
        <f t="shared" si="8"/>
        <v>46327</v>
      </c>
      <c r="B145" s="30">
        <v>46327</v>
      </c>
      <c r="C145" s="16">
        <f t="shared" si="6"/>
        <v>0</v>
      </c>
      <c r="D145" s="16">
        <f t="shared" si="7"/>
        <v>0</v>
      </c>
      <c r="E145" s="16" t="e">
        <f>+IF(AND(B145&gt;=#REF!,B145&lt;=#REF!),"OUI","NON")</f>
        <v>#REF!</v>
      </c>
      <c r="F145" s="16" t="e">
        <f t="array" ref="F145">IF(E145="OUI",MAX(F$2:$O144)+1,"")</f>
        <v>#REF!</v>
      </c>
    </row>
    <row r="146" spans="1:6" x14ac:dyDescent="0.2">
      <c r="A146" s="453">
        <f t="shared" si="8"/>
        <v>46357</v>
      </c>
      <c r="B146" s="30">
        <v>46357</v>
      </c>
      <c r="C146" s="16">
        <f t="shared" si="6"/>
        <v>0</v>
      </c>
      <c r="D146" s="16">
        <f t="shared" si="7"/>
        <v>0</v>
      </c>
      <c r="E146" s="16" t="e">
        <f>+IF(AND(B146&gt;=#REF!,B146&lt;=#REF!),"OUI","NON")</f>
        <v>#REF!</v>
      </c>
      <c r="F146" s="16" t="e">
        <f t="array" ref="F146">IF(E146="OUI",MAX(F$2:$O145)+1,"")</f>
        <v>#REF!</v>
      </c>
    </row>
    <row r="147" spans="1:6" x14ac:dyDescent="0.2">
      <c r="A147" s="453">
        <f t="shared" si="8"/>
        <v>46388</v>
      </c>
      <c r="B147" s="30">
        <v>46388</v>
      </c>
      <c r="C147" s="16">
        <f t="shared" si="6"/>
        <v>0</v>
      </c>
      <c r="D147" s="16">
        <f t="shared" si="7"/>
        <v>0</v>
      </c>
      <c r="E147" s="16" t="e">
        <f>+IF(AND(B147&gt;=#REF!,B147&lt;=#REF!),"OUI","NON")</f>
        <v>#REF!</v>
      </c>
      <c r="F147" s="16" t="e">
        <f t="array" ref="F147">IF(E147="OUI",MAX(F$2:$O146)+1,"")</f>
        <v>#REF!</v>
      </c>
    </row>
    <row r="148" spans="1:6" x14ac:dyDescent="0.2">
      <c r="A148" s="453">
        <f t="shared" si="8"/>
        <v>46419</v>
      </c>
      <c r="B148" s="30">
        <v>46419</v>
      </c>
      <c r="C148" s="16">
        <f t="shared" si="6"/>
        <v>0</v>
      </c>
      <c r="D148" s="16">
        <f t="shared" si="7"/>
        <v>0</v>
      </c>
      <c r="E148" s="16" t="e">
        <f>+IF(AND(B148&gt;=#REF!,B148&lt;=#REF!),"OUI","NON")</f>
        <v>#REF!</v>
      </c>
      <c r="F148" s="16" t="e">
        <f t="array" ref="F148">IF(E148="OUI",MAX(F$2:$O147)+1,"")</f>
        <v>#REF!</v>
      </c>
    </row>
    <row r="149" spans="1:6" x14ac:dyDescent="0.2">
      <c r="A149" s="453">
        <f t="shared" si="8"/>
        <v>46447</v>
      </c>
      <c r="B149" s="30">
        <v>46447</v>
      </c>
      <c r="C149" s="16">
        <f t="shared" si="6"/>
        <v>0</v>
      </c>
      <c r="D149" s="16">
        <f t="shared" si="7"/>
        <v>0</v>
      </c>
      <c r="E149" s="16" t="e">
        <f>+IF(AND(B149&gt;=#REF!,B149&lt;=#REF!),"OUI","NON")</f>
        <v>#REF!</v>
      </c>
      <c r="F149" s="16" t="e">
        <f t="array" ref="F149">IF(E149="OUI",MAX(F$2:$O148)+1,"")</f>
        <v>#REF!</v>
      </c>
    </row>
    <row r="150" spans="1:6" x14ac:dyDescent="0.2">
      <c r="A150" s="453">
        <f t="shared" si="8"/>
        <v>46478</v>
      </c>
      <c r="B150" s="30">
        <v>46478</v>
      </c>
      <c r="C150" s="16">
        <f t="shared" si="6"/>
        <v>0</v>
      </c>
      <c r="D150" s="16">
        <f t="shared" si="7"/>
        <v>0</v>
      </c>
      <c r="E150" s="16" t="e">
        <f>+IF(AND(B150&gt;=#REF!,B150&lt;=#REF!),"OUI","NON")</f>
        <v>#REF!</v>
      </c>
      <c r="F150" s="16" t="e">
        <f t="array" ref="F150">IF(E150="OUI",MAX(F$2:$O149)+1,"")</f>
        <v>#REF!</v>
      </c>
    </row>
    <row r="151" spans="1:6" x14ac:dyDescent="0.2">
      <c r="A151" s="453">
        <f t="shared" si="8"/>
        <v>46508</v>
      </c>
      <c r="B151" s="30">
        <v>46508</v>
      </c>
      <c r="C151" s="16">
        <f t="shared" si="6"/>
        <v>0</v>
      </c>
      <c r="D151" s="16">
        <f t="shared" si="7"/>
        <v>0</v>
      </c>
      <c r="E151" s="16" t="e">
        <f>+IF(AND(B151&gt;=#REF!,B151&lt;=#REF!),"OUI","NON")</f>
        <v>#REF!</v>
      </c>
      <c r="F151" s="16" t="e">
        <f t="array" ref="F151">IF(E151="OUI",MAX(F$2:$O150)+1,"")</f>
        <v>#REF!</v>
      </c>
    </row>
    <row r="152" spans="1:6" x14ac:dyDescent="0.2">
      <c r="A152" s="453">
        <f t="shared" si="8"/>
        <v>46539</v>
      </c>
      <c r="B152" s="30">
        <v>46539</v>
      </c>
      <c r="C152" s="16">
        <f t="shared" si="6"/>
        <v>0</v>
      </c>
      <c r="D152" s="16">
        <f t="shared" si="7"/>
        <v>0</v>
      </c>
      <c r="E152" s="16" t="e">
        <f>+IF(AND(B152&gt;=#REF!,B152&lt;=#REF!),"OUI","NON")</f>
        <v>#REF!</v>
      </c>
      <c r="F152" s="16" t="e">
        <f t="array" ref="F152">IF(E152="OUI",MAX(F$2:$O151)+1,"")</f>
        <v>#REF!</v>
      </c>
    </row>
    <row r="153" spans="1:6" x14ac:dyDescent="0.2">
      <c r="A153" s="453">
        <f t="shared" si="8"/>
        <v>46569</v>
      </c>
      <c r="B153" s="30">
        <v>46569</v>
      </c>
      <c r="C153" s="16">
        <f t="shared" si="6"/>
        <v>0</v>
      </c>
      <c r="D153" s="16">
        <f t="shared" si="7"/>
        <v>0</v>
      </c>
      <c r="E153" s="16" t="e">
        <f>+IF(AND(B153&gt;=#REF!,B153&lt;=#REF!),"OUI","NON")</f>
        <v>#REF!</v>
      </c>
      <c r="F153" s="16" t="e">
        <f t="array" ref="F153">IF(E153="OUI",MAX(F$2:$O152)+1,"")</f>
        <v>#REF!</v>
      </c>
    </row>
    <row r="154" spans="1:6" x14ac:dyDescent="0.2">
      <c r="A154" s="453">
        <f t="shared" si="8"/>
        <v>46600</v>
      </c>
      <c r="B154" s="30">
        <v>46600</v>
      </c>
      <c r="C154" s="16">
        <f t="shared" si="6"/>
        <v>0</v>
      </c>
      <c r="D154" s="16">
        <f t="shared" si="7"/>
        <v>0</v>
      </c>
      <c r="E154" s="16" t="e">
        <f>+IF(AND(B154&gt;=#REF!,B154&lt;=#REF!),"OUI","NON")</f>
        <v>#REF!</v>
      </c>
      <c r="F154" s="16" t="e">
        <f t="array" ref="F154">IF(E154="OUI",MAX(F$2:$O153)+1,"")</f>
        <v>#REF!</v>
      </c>
    </row>
    <row r="155" spans="1:6" x14ac:dyDescent="0.2">
      <c r="A155" s="453">
        <f t="shared" si="8"/>
        <v>46631</v>
      </c>
      <c r="B155" s="30">
        <v>46631</v>
      </c>
      <c r="C155" s="16">
        <f t="shared" si="6"/>
        <v>0</v>
      </c>
      <c r="D155" s="16">
        <f t="shared" si="7"/>
        <v>0</v>
      </c>
      <c r="E155" s="16" t="e">
        <f>+IF(AND(B155&gt;=#REF!,B155&lt;=#REF!),"OUI","NON")</f>
        <v>#REF!</v>
      </c>
      <c r="F155" s="16" t="e">
        <f t="array" ref="F155">IF(E155="OUI",MAX(F$2:$O154)+1,"")</f>
        <v>#REF!</v>
      </c>
    </row>
    <row r="156" spans="1:6" x14ac:dyDescent="0.2">
      <c r="A156" s="453">
        <f t="shared" si="8"/>
        <v>46661</v>
      </c>
      <c r="B156" s="30">
        <v>46661</v>
      </c>
      <c r="C156" s="16">
        <f t="shared" si="6"/>
        <v>0</v>
      </c>
      <c r="D156" s="16">
        <f t="shared" si="7"/>
        <v>0</v>
      </c>
      <c r="E156" s="16" t="e">
        <f>+IF(AND(B156&gt;=#REF!,B156&lt;=#REF!),"OUI","NON")</f>
        <v>#REF!</v>
      </c>
      <c r="F156" s="16" t="e">
        <f t="array" ref="F156">IF(E156="OUI",MAX(F$2:$O155)+1,"")</f>
        <v>#REF!</v>
      </c>
    </row>
    <row r="157" spans="1:6" x14ac:dyDescent="0.2">
      <c r="A157" s="453">
        <f t="shared" si="8"/>
        <v>46692</v>
      </c>
      <c r="B157" s="30">
        <v>46692</v>
      </c>
      <c r="C157" s="16">
        <f t="shared" si="6"/>
        <v>0</v>
      </c>
      <c r="D157" s="16">
        <f t="shared" si="7"/>
        <v>0</v>
      </c>
      <c r="E157" s="16" t="e">
        <f>+IF(AND(B157&gt;=#REF!,B157&lt;=#REF!),"OUI","NON")</f>
        <v>#REF!</v>
      </c>
      <c r="F157" s="16" t="e">
        <f t="array" ref="F157">IF(E157="OUI",MAX(F$2:$O156)+1,"")</f>
        <v>#REF!</v>
      </c>
    </row>
    <row r="158" spans="1:6" x14ac:dyDescent="0.2">
      <c r="A158" s="453">
        <f t="shared" si="8"/>
        <v>46722</v>
      </c>
      <c r="B158" s="30">
        <v>46722</v>
      </c>
      <c r="C158" s="16">
        <f t="shared" si="6"/>
        <v>0</v>
      </c>
      <c r="D158" s="16">
        <f t="shared" si="7"/>
        <v>0</v>
      </c>
      <c r="E158" s="16" t="e">
        <f>+IF(AND(B158&gt;=#REF!,B158&lt;=#REF!),"OUI","NON")</f>
        <v>#REF!</v>
      </c>
      <c r="F158" s="16" t="e">
        <f t="array" ref="F158">IF(E158="OUI",MAX(F$2:$O157)+1,"")</f>
        <v>#REF!</v>
      </c>
    </row>
    <row r="159" spans="1:6" x14ac:dyDescent="0.2">
      <c r="A159" s="453">
        <f t="shared" si="8"/>
        <v>46753</v>
      </c>
      <c r="B159" s="30">
        <v>46753</v>
      </c>
      <c r="C159" s="16">
        <f t="shared" si="6"/>
        <v>0</v>
      </c>
      <c r="D159" s="16">
        <f t="shared" si="7"/>
        <v>0</v>
      </c>
      <c r="E159" s="16" t="e">
        <f>+IF(AND(B159&gt;=#REF!,B159&lt;=#REF!),"OUI","NON")</f>
        <v>#REF!</v>
      </c>
      <c r="F159" s="16" t="e">
        <f t="array" ref="F159">IF(E159="OUI",MAX(F$2:$O158)+1,"")</f>
        <v>#REF!</v>
      </c>
    </row>
    <row r="160" spans="1:6" x14ac:dyDescent="0.2">
      <c r="A160" s="453">
        <f t="shared" si="8"/>
        <v>46784</v>
      </c>
      <c r="B160" s="30">
        <v>46784</v>
      </c>
      <c r="C160" s="16">
        <f t="shared" si="6"/>
        <v>0</v>
      </c>
      <c r="D160" s="16">
        <f t="shared" si="7"/>
        <v>0</v>
      </c>
      <c r="E160" s="16" t="e">
        <f>+IF(AND(B160&gt;=#REF!,B160&lt;=#REF!),"OUI","NON")</f>
        <v>#REF!</v>
      </c>
      <c r="F160" s="16" t="e">
        <f t="array" ref="F160">IF(E160="OUI",MAX(F$2:$O159)+1,"")</f>
        <v>#REF!</v>
      </c>
    </row>
    <row r="161" spans="1:6" x14ac:dyDescent="0.2">
      <c r="A161" s="453">
        <f t="shared" si="8"/>
        <v>46813</v>
      </c>
      <c r="B161" s="30">
        <v>46813</v>
      </c>
      <c r="C161" s="16">
        <f t="shared" si="6"/>
        <v>0</v>
      </c>
      <c r="D161" s="16">
        <f t="shared" si="7"/>
        <v>0</v>
      </c>
      <c r="E161" s="16" t="e">
        <f>+IF(AND(B161&gt;=#REF!,B161&lt;=#REF!),"OUI","NON")</f>
        <v>#REF!</v>
      </c>
      <c r="F161" s="16" t="e">
        <f t="array" ref="F161">IF(E161="OUI",MAX(F$2:$O160)+1,"")</f>
        <v>#REF!</v>
      </c>
    </row>
    <row r="162" spans="1:6" x14ac:dyDescent="0.2">
      <c r="A162" s="453">
        <f t="shared" si="8"/>
        <v>46844</v>
      </c>
      <c r="B162" s="30">
        <v>46844</v>
      </c>
      <c r="C162" s="16">
        <f t="shared" si="6"/>
        <v>0</v>
      </c>
      <c r="D162" s="16">
        <f t="shared" si="7"/>
        <v>0</v>
      </c>
      <c r="E162" s="16" t="e">
        <f>+IF(AND(B162&gt;=#REF!,B162&lt;=#REF!),"OUI","NON")</f>
        <v>#REF!</v>
      </c>
      <c r="F162" s="16" t="e">
        <f t="array" ref="F162">IF(E162="OUI",MAX(F$2:$O161)+1,"")</f>
        <v>#REF!</v>
      </c>
    </row>
    <row r="163" spans="1:6" x14ac:dyDescent="0.2">
      <c r="A163" s="453">
        <f t="shared" si="8"/>
        <v>46874</v>
      </c>
      <c r="B163" s="30">
        <v>46874</v>
      </c>
      <c r="C163" s="16">
        <f t="shared" si="6"/>
        <v>0</v>
      </c>
      <c r="D163" s="16">
        <f t="shared" si="7"/>
        <v>0</v>
      </c>
      <c r="E163" s="16" t="e">
        <f>+IF(AND(B163&gt;=#REF!,B163&lt;=#REF!),"OUI","NON")</f>
        <v>#REF!</v>
      </c>
      <c r="F163" s="16" t="e">
        <f t="array" ref="F163">IF(E163="OUI",MAX(F$2:$O162)+1,"")</f>
        <v>#REF!</v>
      </c>
    </row>
    <row r="164" spans="1:6" x14ac:dyDescent="0.2">
      <c r="A164" s="453">
        <f t="shared" si="8"/>
        <v>46905</v>
      </c>
      <c r="B164" s="30">
        <v>46905</v>
      </c>
      <c r="C164" s="16">
        <f t="shared" si="6"/>
        <v>0</v>
      </c>
      <c r="D164" s="16">
        <f t="shared" si="7"/>
        <v>0</v>
      </c>
      <c r="E164" s="16" t="e">
        <f>+IF(AND(B164&gt;=#REF!,B164&lt;=#REF!),"OUI","NON")</f>
        <v>#REF!</v>
      </c>
      <c r="F164" s="16" t="e">
        <f t="array" ref="F164">IF(E164="OUI",MAX(F$2:$O163)+1,"")</f>
        <v>#REF!</v>
      </c>
    </row>
    <row r="165" spans="1:6" x14ac:dyDescent="0.2">
      <c r="A165" s="453">
        <f t="shared" si="8"/>
        <v>46935</v>
      </c>
      <c r="B165" s="30">
        <v>46935</v>
      </c>
      <c r="C165" s="16">
        <f t="shared" si="6"/>
        <v>0</v>
      </c>
      <c r="D165" s="16">
        <f t="shared" si="7"/>
        <v>0</v>
      </c>
      <c r="E165" s="16" t="e">
        <f>+IF(AND(B165&gt;=#REF!,B165&lt;=#REF!),"OUI","NON")</f>
        <v>#REF!</v>
      </c>
      <c r="F165" s="16" t="e">
        <f t="array" ref="F165">IF(E165="OUI",MAX(F$2:$O164)+1,"")</f>
        <v>#REF!</v>
      </c>
    </row>
    <row r="166" spans="1:6" x14ac:dyDescent="0.2">
      <c r="A166" s="453">
        <f t="shared" si="8"/>
        <v>46966</v>
      </c>
      <c r="B166" s="30">
        <v>46966</v>
      </c>
      <c r="C166" s="16">
        <f t="shared" si="6"/>
        <v>0</v>
      </c>
      <c r="D166" s="16">
        <f t="shared" si="7"/>
        <v>0</v>
      </c>
      <c r="E166" s="16" t="e">
        <f>+IF(AND(B166&gt;=#REF!,B166&lt;=#REF!),"OUI","NON")</f>
        <v>#REF!</v>
      </c>
      <c r="F166" s="16" t="e">
        <f t="array" ref="F166">IF(E166="OUI",MAX(F$2:$O165)+1,"")</f>
        <v>#REF!</v>
      </c>
    </row>
    <row r="167" spans="1:6" x14ac:dyDescent="0.2">
      <c r="A167" s="453">
        <f t="shared" si="8"/>
        <v>46997</v>
      </c>
      <c r="B167" s="30">
        <v>46997</v>
      </c>
      <c r="C167" s="16">
        <f t="shared" si="6"/>
        <v>0</v>
      </c>
      <c r="D167" s="16">
        <f t="shared" si="7"/>
        <v>0</v>
      </c>
      <c r="E167" s="16" t="e">
        <f>+IF(AND(B167&gt;=#REF!,B167&lt;=#REF!),"OUI","NON")</f>
        <v>#REF!</v>
      </c>
      <c r="F167" s="16" t="e">
        <f t="array" ref="F167">IF(E167="OUI",MAX(F$2:$O166)+1,"")</f>
        <v>#REF!</v>
      </c>
    </row>
    <row r="168" spans="1:6" x14ac:dyDescent="0.2">
      <c r="A168" s="453">
        <f t="shared" si="8"/>
        <v>47027</v>
      </c>
      <c r="B168" s="30">
        <v>47027</v>
      </c>
      <c r="C168" s="16">
        <f t="shared" si="6"/>
        <v>0</v>
      </c>
      <c r="D168" s="16">
        <f t="shared" si="7"/>
        <v>0</v>
      </c>
      <c r="E168" s="16" t="e">
        <f>+IF(AND(B168&gt;=#REF!,B168&lt;=#REF!),"OUI","NON")</f>
        <v>#REF!</v>
      </c>
      <c r="F168" s="16" t="e">
        <f t="array" ref="F168">IF(E168="OUI",MAX(F$2:$O167)+1,"")</f>
        <v>#REF!</v>
      </c>
    </row>
    <row r="169" spans="1:6" x14ac:dyDescent="0.2">
      <c r="A169" s="453">
        <f t="shared" si="8"/>
        <v>47058</v>
      </c>
      <c r="B169" s="30">
        <v>47058</v>
      </c>
      <c r="C169" s="16">
        <f t="shared" si="6"/>
        <v>0</v>
      </c>
      <c r="D169" s="16">
        <f t="shared" si="7"/>
        <v>0</v>
      </c>
      <c r="E169" s="16" t="e">
        <f>+IF(AND(B169&gt;=#REF!,B169&lt;=#REF!),"OUI","NON")</f>
        <v>#REF!</v>
      </c>
      <c r="F169" s="16" t="e">
        <f t="array" ref="F169">IF(E169="OUI",MAX(F$2:$O168)+1,"")</f>
        <v>#REF!</v>
      </c>
    </row>
    <row r="170" spans="1:6" x14ac:dyDescent="0.2">
      <c r="A170" s="453">
        <f t="shared" si="8"/>
        <v>47088</v>
      </c>
      <c r="B170" s="30">
        <v>47088</v>
      </c>
      <c r="C170" s="16">
        <f t="shared" si="6"/>
        <v>0</v>
      </c>
      <c r="D170" s="16">
        <f t="shared" si="7"/>
        <v>0</v>
      </c>
      <c r="E170" s="16" t="e">
        <f>+IF(AND(B170&gt;=#REF!,B170&lt;=#REF!),"OUI","NON")</f>
        <v>#REF!</v>
      </c>
      <c r="F170" s="16" t="e">
        <f t="array" ref="F170">IF(E170="OUI",MAX(F$2:$O169)+1,"")</f>
        <v>#REF!</v>
      </c>
    </row>
    <row r="171" spans="1:6" x14ac:dyDescent="0.2">
      <c r="A171" s="453">
        <f t="shared" si="8"/>
        <v>47119</v>
      </c>
      <c r="B171" s="30">
        <v>47119</v>
      </c>
      <c r="C171" s="16">
        <f t="shared" si="6"/>
        <v>0</v>
      </c>
      <c r="D171" s="16">
        <f t="shared" si="7"/>
        <v>0</v>
      </c>
      <c r="E171" s="16" t="e">
        <f>+IF(AND(B171&gt;=#REF!,B171&lt;=#REF!),"OUI","NON")</f>
        <v>#REF!</v>
      </c>
      <c r="F171" s="16" t="e">
        <f t="array" ref="F171">IF(E171="OUI",MAX(F$2:$O170)+1,"")</f>
        <v>#REF!</v>
      </c>
    </row>
    <row r="172" spans="1:6" x14ac:dyDescent="0.2">
      <c r="A172" s="453">
        <f t="shared" si="8"/>
        <v>47150</v>
      </c>
      <c r="B172" s="30">
        <v>47150</v>
      </c>
      <c r="C172" s="16">
        <f t="shared" si="6"/>
        <v>0</v>
      </c>
      <c r="D172" s="16">
        <f t="shared" si="7"/>
        <v>0</v>
      </c>
      <c r="E172" s="16" t="e">
        <f>+IF(AND(B172&gt;=#REF!,B172&lt;=#REF!),"OUI","NON")</f>
        <v>#REF!</v>
      </c>
      <c r="F172" s="16" t="e">
        <f t="array" ref="F172">IF(E172="OUI",MAX(F$2:$O171)+1,"")</f>
        <v>#REF!</v>
      </c>
    </row>
    <row r="173" spans="1:6" x14ac:dyDescent="0.2">
      <c r="A173" s="453">
        <f t="shared" si="8"/>
        <v>47178</v>
      </c>
      <c r="B173" s="30">
        <v>47178</v>
      </c>
      <c r="C173" s="16">
        <f t="shared" si="6"/>
        <v>0</v>
      </c>
      <c r="D173" s="16">
        <f t="shared" si="7"/>
        <v>0</v>
      </c>
      <c r="E173" s="16" t="e">
        <f>+IF(AND(B173&gt;=#REF!,B173&lt;=#REF!),"OUI","NON")</f>
        <v>#REF!</v>
      </c>
      <c r="F173" s="16" t="e">
        <f t="array" ref="F173">IF(E173="OUI",MAX(F$2:$O172)+1,"")</f>
        <v>#REF!</v>
      </c>
    </row>
    <row r="174" spans="1:6" x14ac:dyDescent="0.2">
      <c r="A174" s="453">
        <f t="shared" si="8"/>
        <v>47209</v>
      </c>
      <c r="B174" s="30">
        <v>47209</v>
      </c>
      <c r="C174" s="16">
        <f t="shared" si="6"/>
        <v>0</v>
      </c>
      <c r="D174" s="16">
        <f t="shared" si="7"/>
        <v>0</v>
      </c>
      <c r="E174" s="16" t="e">
        <f>+IF(AND(B174&gt;=#REF!,B174&lt;=#REF!),"OUI","NON")</f>
        <v>#REF!</v>
      </c>
      <c r="F174" s="16" t="e">
        <f t="array" ref="F174">IF(E174="OUI",MAX(F$2:$O173)+1,"")</f>
        <v>#REF!</v>
      </c>
    </row>
    <row r="175" spans="1:6" x14ac:dyDescent="0.2">
      <c r="A175" s="453">
        <f t="shared" si="8"/>
        <v>47239</v>
      </c>
      <c r="B175" s="30">
        <v>47239</v>
      </c>
      <c r="C175" s="16">
        <f t="shared" si="6"/>
        <v>0</v>
      </c>
      <c r="D175" s="16">
        <f t="shared" si="7"/>
        <v>0</v>
      </c>
      <c r="E175" s="16" t="e">
        <f>+IF(AND(B175&gt;=#REF!,B175&lt;=#REF!),"OUI","NON")</f>
        <v>#REF!</v>
      </c>
      <c r="F175" s="16" t="e">
        <f t="array" ref="F175">IF(E175="OUI",MAX(F$2:$O174)+1,"")</f>
        <v>#REF!</v>
      </c>
    </row>
    <row r="176" spans="1:6" x14ac:dyDescent="0.2">
      <c r="A176" s="453">
        <f t="shared" si="8"/>
        <v>47270</v>
      </c>
      <c r="B176" s="30">
        <v>47270</v>
      </c>
      <c r="C176" s="16">
        <f t="shared" si="6"/>
        <v>0</v>
      </c>
      <c r="D176" s="16">
        <f t="shared" si="7"/>
        <v>0</v>
      </c>
      <c r="E176" s="16" t="e">
        <f>+IF(AND(B176&gt;=#REF!,B176&lt;=#REF!),"OUI","NON")</f>
        <v>#REF!</v>
      </c>
      <c r="F176" s="16" t="e">
        <f t="array" ref="F176">IF(E176="OUI",MAX(F$2:$O175)+1,"")</f>
        <v>#REF!</v>
      </c>
    </row>
    <row r="177" spans="1:6" x14ac:dyDescent="0.2">
      <c r="A177" s="453">
        <f t="shared" si="8"/>
        <v>47300</v>
      </c>
      <c r="B177" s="30">
        <v>47300</v>
      </c>
      <c r="C177" s="16">
        <f t="shared" si="6"/>
        <v>0</v>
      </c>
      <c r="D177" s="16">
        <f t="shared" si="7"/>
        <v>0</v>
      </c>
      <c r="E177" s="16" t="e">
        <f>+IF(AND(B177&gt;=#REF!,B177&lt;=#REF!),"OUI","NON")</f>
        <v>#REF!</v>
      </c>
      <c r="F177" s="16" t="e">
        <f t="array" ref="F177">IF(E177="OUI",MAX(F$2:$O176)+1,"")</f>
        <v>#REF!</v>
      </c>
    </row>
    <row r="178" spans="1:6" x14ac:dyDescent="0.2">
      <c r="A178" s="453">
        <f t="shared" si="8"/>
        <v>47331</v>
      </c>
      <c r="B178" s="30">
        <v>47331</v>
      </c>
      <c r="C178" s="16">
        <f t="shared" si="6"/>
        <v>0</v>
      </c>
      <c r="D178" s="16">
        <f t="shared" si="7"/>
        <v>0</v>
      </c>
      <c r="E178" s="16" t="e">
        <f>+IF(AND(B178&gt;=#REF!,B178&lt;=#REF!),"OUI","NON")</f>
        <v>#REF!</v>
      </c>
      <c r="F178" s="16" t="e">
        <f t="array" ref="F178">IF(E178="OUI",MAX(F$2:$O177)+1,"")</f>
        <v>#REF!</v>
      </c>
    </row>
    <row r="179" spans="1:6" x14ac:dyDescent="0.2">
      <c r="A179" s="453">
        <f t="shared" si="8"/>
        <v>47362</v>
      </c>
      <c r="B179" s="30">
        <v>47362</v>
      </c>
      <c r="C179" s="16">
        <f t="shared" si="6"/>
        <v>0</v>
      </c>
      <c r="D179" s="16">
        <f t="shared" si="7"/>
        <v>0</v>
      </c>
      <c r="E179" s="16" t="e">
        <f>+IF(AND(B179&gt;=#REF!,B179&lt;=#REF!),"OUI","NON")</f>
        <v>#REF!</v>
      </c>
      <c r="F179" s="16" t="e">
        <f t="array" ref="F179">IF(E179="OUI",MAX(F$2:$O178)+1,"")</f>
        <v>#REF!</v>
      </c>
    </row>
    <row r="180" spans="1:6" x14ac:dyDescent="0.2">
      <c r="A180" s="453">
        <f t="shared" si="8"/>
        <v>47392</v>
      </c>
      <c r="B180" s="30">
        <v>47392</v>
      </c>
      <c r="C180" s="16">
        <f t="shared" si="6"/>
        <v>0</v>
      </c>
      <c r="D180" s="16">
        <f t="shared" si="7"/>
        <v>0</v>
      </c>
      <c r="E180" s="16" t="e">
        <f>+IF(AND(B180&gt;=#REF!,B180&lt;=#REF!),"OUI","NON")</f>
        <v>#REF!</v>
      </c>
      <c r="F180" s="16" t="e">
        <f t="array" ref="F180">IF(E180="OUI",MAX(F$2:$O179)+1,"")</f>
        <v>#REF!</v>
      </c>
    </row>
    <row r="181" spans="1:6" x14ac:dyDescent="0.2">
      <c r="A181" s="453">
        <f t="shared" si="8"/>
        <v>47423</v>
      </c>
      <c r="B181" s="30">
        <v>47423</v>
      </c>
      <c r="C181" s="16">
        <f t="shared" si="6"/>
        <v>0</v>
      </c>
      <c r="D181" s="16">
        <f t="shared" si="7"/>
        <v>0</v>
      </c>
      <c r="E181" s="16" t="e">
        <f>+IF(AND(B181&gt;=#REF!,B181&lt;=#REF!),"OUI","NON")</f>
        <v>#REF!</v>
      </c>
      <c r="F181" s="16" t="e">
        <f t="array" ref="F181">IF(E181="OUI",MAX(F$2:$O180)+1,"")</f>
        <v>#REF!</v>
      </c>
    </row>
    <row r="182" spans="1:6" x14ac:dyDescent="0.2">
      <c r="A182" s="453">
        <f t="shared" si="8"/>
        <v>47453</v>
      </c>
      <c r="B182" s="30">
        <v>47453</v>
      </c>
      <c r="C182" s="16">
        <f t="shared" si="6"/>
        <v>0</v>
      </c>
      <c r="D182" s="16">
        <f t="shared" si="7"/>
        <v>0</v>
      </c>
      <c r="E182" s="16" t="e">
        <f>+IF(AND(B182&gt;=#REF!,B182&lt;=#REF!),"OUI","NON")</f>
        <v>#REF!</v>
      </c>
      <c r="F182" s="16" t="e">
        <f t="array" ref="F182">IF(E182="OUI",MAX(F$2:$O181)+1,"")</f>
        <v>#REF!</v>
      </c>
    </row>
    <row r="183" spans="1:6" x14ac:dyDescent="0.2">
      <c r="A183" s="453">
        <f t="shared" si="8"/>
        <v>47484</v>
      </c>
      <c r="B183" s="30">
        <v>47484</v>
      </c>
      <c r="C183" s="16">
        <f t="shared" si="6"/>
        <v>0</v>
      </c>
      <c r="D183" s="16">
        <f t="shared" si="7"/>
        <v>0</v>
      </c>
      <c r="E183" s="16" t="e">
        <f>+IF(AND(B183&gt;=#REF!,B183&lt;=#REF!),"OUI","NON")</f>
        <v>#REF!</v>
      </c>
      <c r="F183" s="16" t="e">
        <f t="array" ref="F183">IF(E183="OUI",MAX(F$2:$O182)+1,"")</f>
        <v>#REF!</v>
      </c>
    </row>
    <row r="184" spans="1:6" x14ac:dyDescent="0.2">
      <c r="A184" s="453">
        <f t="shared" si="8"/>
        <v>47515</v>
      </c>
      <c r="B184" s="30">
        <v>47515</v>
      </c>
      <c r="C184" s="16">
        <f t="shared" si="6"/>
        <v>0</v>
      </c>
      <c r="D184" s="16">
        <f t="shared" si="7"/>
        <v>0</v>
      </c>
      <c r="E184" s="16" t="e">
        <f>+IF(AND(B184&gt;=#REF!,B184&lt;=#REF!),"OUI","NON")</f>
        <v>#REF!</v>
      </c>
      <c r="F184" s="16" t="e">
        <f t="array" ref="F184">IF(E184="OUI",MAX(F$2:$O183)+1,"")</f>
        <v>#REF!</v>
      </c>
    </row>
    <row r="185" spans="1:6" x14ac:dyDescent="0.2">
      <c r="A185" s="453">
        <f t="shared" si="8"/>
        <v>47543</v>
      </c>
      <c r="B185" s="30">
        <v>47543</v>
      </c>
      <c r="C185" s="16">
        <f t="shared" si="6"/>
        <v>0</v>
      </c>
      <c r="D185" s="16">
        <f t="shared" si="7"/>
        <v>0</v>
      </c>
      <c r="E185" s="16" t="e">
        <f>+IF(AND(B185&gt;=#REF!,B185&lt;=#REF!),"OUI","NON")</f>
        <v>#REF!</v>
      </c>
      <c r="F185" s="16" t="e">
        <f t="array" ref="F185">IF(E185="OUI",MAX(F$2:$O184)+1,"")</f>
        <v>#REF!</v>
      </c>
    </row>
    <row r="186" spans="1:6" x14ac:dyDescent="0.2">
      <c r="A186" s="453">
        <f t="shared" si="8"/>
        <v>47574</v>
      </c>
      <c r="B186" s="30">
        <v>47574</v>
      </c>
      <c r="C186" s="16">
        <f t="shared" si="6"/>
        <v>0</v>
      </c>
      <c r="D186" s="16">
        <f t="shared" si="7"/>
        <v>0</v>
      </c>
      <c r="E186" s="16" t="e">
        <f>+IF(AND(B186&gt;=#REF!,B186&lt;=#REF!),"OUI","NON")</f>
        <v>#REF!</v>
      </c>
      <c r="F186" s="16" t="e">
        <f t="array" ref="F186">IF(E186="OUI",MAX(F$2:$O185)+1,"")</f>
        <v>#REF!</v>
      </c>
    </row>
    <row r="187" spans="1:6" x14ac:dyDescent="0.2">
      <c r="A187" s="453">
        <f t="shared" si="8"/>
        <v>47604</v>
      </c>
      <c r="B187" s="30">
        <v>47604</v>
      </c>
      <c r="C187" s="16">
        <f t="shared" si="6"/>
        <v>0</v>
      </c>
      <c r="D187" s="16">
        <f t="shared" si="7"/>
        <v>0</v>
      </c>
      <c r="E187" s="16" t="e">
        <f>+IF(AND(B187&gt;=#REF!,B187&lt;=#REF!),"OUI","NON")</f>
        <v>#REF!</v>
      </c>
      <c r="F187" s="16" t="e">
        <f t="array" ref="F187">IF(E187="OUI",MAX(F$2:$O186)+1,"")</f>
        <v>#REF!</v>
      </c>
    </row>
    <row r="188" spans="1:6" x14ac:dyDescent="0.2">
      <c r="A188" s="453">
        <f t="shared" si="8"/>
        <v>47635</v>
      </c>
      <c r="B188" s="30">
        <v>47635</v>
      </c>
      <c r="C188" s="16">
        <f t="shared" si="6"/>
        <v>0</v>
      </c>
      <c r="D188" s="16">
        <f t="shared" si="7"/>
        <v>0</v>
      </c>
      <c r="E188" s="16" t="e">
        <f>+IF(AND(B188&gt;=#REF!,B188&lt;=#REF!),"OUI","NON")</f>
        <v>#REF!</v>
      </c>
      <c r="F188" s="16" t="e">
        <f t="array" ref="F188">IF(E188="OUI",MAX(F$2:$O187)+1,"")</f>
        <v>#REF!</v>
      </c>
    </row>
    <row r="189" spans="1:6" x14ac:dyDescent="0.2">
      <c r="A189" s="453">
        <f t="shared" si="8"/>
        <v>47665</v>
      </c>
      <c r="B189" s="30">
        <v>47665</v>
      </c>
      <c r="C189" s="16">
        <f t="shared" si="6"/>
        <v>0</v>
      </c>
      <c r="D189" s="16">
        <f t="shared" si="7"/>
        <v>0</v>
      </c>
      <c r="E189" s="16" t="e">
        <f>+IF(AND(B189&gt;=#REF!,B189&lt;=#REF!),"OUI","NON")</f>
        <v>#REF!</v>
      </c>
      <c r="F189" s="16" t="e">
        <f t="array" ref="F189">IF(E189="OUI",MAX(F$2:$O188)+1,"")</f>
        <v>#REF!</v>
      </c>
    </row>
    <row r="190" spans="1:6" x14ac:dyDescent="0.2">
      <c r="A190" s="453">
        <f t="shared" si="8"/>
        <v>47696</v>
      </c>
      <c r="B190" s="30">
        <v>47696</v>
      </c>
      <c r="C190" s="16">
        <f t="shared" si="6"/>
        <v>0</v>
      </c>
      <c r="D190" s="16">
        <f t="shared" si="7"/>
        <v>0</v>
      </c>
      <c r="E190" s="16" t="e">
        <f>+IF(AND(B190&gt;=#REF!,B190&lt;=#REF!),"OUI","NON")</f>
        <v>#REF!</v>
      </c>
      <c r="F190" s="16" t="e">
        <f t="array" ref="F190">IF(E190="OUI",MAX(F$2:$O189)+1,"")</f>
        <v>#REF!</v>
      </c>
    </row>
    <row r="191" spans="1:6" x14ac:dyDescent="0.2">
      <c r="A191" s="453">
        <f t="shared" si="8"/>
        <v>47727</v>
      </c>
      <c r="B191" s="30">
        <v>47727</v>
      </c>
      <c r="C191" s="16">
        <f t="shared" si="6"/>
        <v>0</v>
      </c>
      <c r="D191" s="16">
        <f t="shared" si="7"/>
        <v>0</v>
      </c>
      <c r="E191" s="16" t="e">
        <f>+IF(AND(B191&gt;=#REF!,B191&lt;=#REF!),"OUI","NON")</f>
        <v>#REF!</v>
      </c>
      <c r="F191" s="16" t="e">
        <f t="array" ref="F191">IF(E191="OUI",MAX(F$2:$O190)+1,"")</f>
        <v>#REF!</v>
      </c>
    </row>
    <row r="192" spans="1:6" x14ac:dyDescent="0.2">
      <c r="A192" s="453">
        <f t="shared" si="8"/>
        <v>47757</v>
      </c>
      <c r="B192" s="30">
        <v>47757</v>
      </c>
      <c r="C192" s="16">
        <f t="shared" si="6"/>
        <v>0</v>
      </c>
      <c r="D192" s="16">
        <f t="shared" si="7"/>
        <v>0</v>
      </c>
      <c r="E192" s="16" t="e">
        <f>+IF(AND(B192&gt;=#REF!,B192&lt;=#REF!),"OUI","NON")</f>
        <v>#REF!</v>
      </c>
      <c r="F192" s="16" t="e">
        <f t="array" ref="F192">IF(E192="OUI",MAX(F$2:$O191)+1,"")</f>
        <v>#REF!</v>
      </c>
    </row>
    <row r="193" spans="1:6" x14ac:dyDescent="0.2">
      <c r="A193" s="453">
        <f t="shared" si="8"/>
        <v>47788</v>
      </c>
      <c r="B193" s="30">
        <v>47788</v>
      </c>
      <c r="C193" s="16">
        <f t="shared" si="6"/>
        <v>0</v>
      </c>
      <c r="D193" s="16">
        <f t="shared" si="7"/>
        <v>0</v>
      </c>
      <c r="E193" s="16" t="e">
        <f>+IF(AND(B193&gt;=#REF!,B193&lt;=#REF!),"OUI","NON")</f>
        <v>#REF!</v>
      </c>
      <c r="F193" s="16" t="e">
        <f t="array" ref="F193">IF(E193="OUI",MAX(F$2:$O192)+1,"")</f>
        <v>#REF!</v>
      </c>
    </row>
    <row r="194" spans="1:6" x14ac:dyDescent="0.2">
      <c r="A194" s="453">
        <f t="shared" si="8"/>
        <v>47818</v>
      </c>
      <c r="B194" s="30">
        <v>47818</v>
      </c>
      <c r="C194" s="16">
        <f t="shared" si="6"/>
        <v>0</v>
      </c>
      <c r="D194" s="16">
        <f t="shared" si="7"/>
        <v>0</v>
      </c>
      <c r="E194" s="16" t="e">
        <f>+IF(AND(B194&gt;=#REF!,B194&lt;=#REF!),"OUI","NON")</f>
        <v>#REF!</v>
      </c>
      <c r="F194" s="16" t="e">
        <f t="array" ref="F194">IF(E194="OUI",MAX(F$2:$O193)+1,"")</f>
        <v>#REF!</v>
      </c>
    </row>
    <row r="195" spans="1:6" x14ac:dyDescent="0.2">
      <c r="A195" s="453">
        <f t="shared" si="8"/>
        <v>47849</v>
      </c>
      <c r="B195" s="30">
        <v>47849</v>
      </c>
      <c r="C195" s="16">
        <f t="shared" ref="C195:C258" si="9">IFERROR(+VLOOKUP(B195,BDD,53,FALSE),0)</f>
        <v>0</v>
      </c>
      <c r="D195" s="16">
        <f t="shared" ref="D195:D258" si="10">IFERROR(+VLOOKUP(B195,BDD,54,FALSE),0)</f>
        <v>0</v>
      </c>
      <c r="E195" s="16" t="e">
        <f>+IF(AND(B195&gt;=#REF!,B195&lt;=#REF!),"OUI","NON")</f>
        <v>#REF!</v>
      </c>
      <c r="F195" s="16" t="e">
        <f t="array" ref="F195">IF(E195="OUI",MAX(F$2:$O194)+1,"")</f>
        <v>#REF!</v>
      </c>
    </row>
    <row r="196" spans="1:6" x14ac:dyDescent="0.2">
      <c r="A196" s="453">
        <f t="shared" ref="A196:A259" si="11">+B196</f>
        <v>47880</v>
      </c>
      <c r="B196" s="30">
        <v>47880</v>
      </c>
      <c r="C196" s="16">
        <f t="shared" si="9"/>
        <v>0</v>
      </c>
      <c r="D196" s="16">
        <f t="shared" si="10"/>
        <v>0</v>
      </c>
      <c r="E196" s="16" t="e">
        <f>+IF(AND(B196&gt;=#REF!,B196&lt;=#REF!),"OUI","NON")</f>
        <v>#REF!</v>
      </c>
      <c r="F196" s="16" t="e">
        <f t="array" ref="F196">IF(E196="OUI",MAX(F$2:$O195)+1,"")</f>
        <v>#REF!</v>
      </c>
    </row>
    <row r="197" spans="1:6" x14ac:dyDescent="0.2">
      <c r="A197" s="453">
        <f t="shared" si="11"/>
        <v>47908</v>
      </c>
      <c r="B197" s="30">
        <v>47908</v>
      </c>
      <c r="C197" s="16">
        <f t="shared" si="9"/>
        <v>0</v>
      </c>
      <c r="D197" s="16">
        <f t="shared" si="10"/>
        <v>0</v>
      </c>
      <c r="E197" s="16" t="e">
        <f>+IF(AND(B197&gt;=#REF!,B197&lt;=#REF!),"OUI","NON")</f>
        <v>#REF!</v>
      </c>
      <c r="F197" s="16" t="e">
        <f t="array" ref="F197">IF(E197="OUI",MAX(F$2:$O196)+1,"")</f>
        <v>#REF!</v>
      </c>
    </row>
    <row r="198" spans="1:6" x14ac:dyDescent="0.2">
      <c r="A198" s="453">
        <f t="shared" si="11"/>
        <v>47939</v>
      </c>
      <c r="B198" s="30">
        <v>47939</v>
      </c>
      <c r="C198" s="16">
        <f t="shared" si="9"/>
        <v>0</v>
      </c>
      <c r="D198" s="16">
        <f t="shared" si="10"/>
        <v>0</v>
      </c>
      <c r="E198" s="16" t="e">
        <f>+IF(AND(B198&gt;=#REF!,B198&lt;=#REF!),"OUI","NON")</f>
        <v>#REF!</v>
      </c>
      <c r="F198" s="16" t="e">
        <f t="array" ref="F198">IF(E198="OUI",MAX(F$2:$O197)+1,"")</f>
        <v>#REF!</v>
      </c>
    </row>
    <row r="199" spans="1:6" x14ac:dyDescent="0.2">
      <c r="A199" s="453">
        <f t="shared" si="11"/>
        <v>47969</v>
      </c>
      <c r="B199" s="30">
        <v>47969</v>
      </c>
      <c r="C199" s="16">
        <f t="shared" si="9"/>
        <v>0</v>
      </c>
      <c r="D199" s="16">
        <f t="shared" si="10"/>
        <v>0</v>
      </c>
      <c r="E199" s="16" t="e">
        <f>+IF(AND(B199&gt;=#REF!,B199&lt;=#REF!),"OUI","NON")</f>
        <v>#REF!</v>
      </c>
      <c r="F199" s="16" t="e">
        <f t="array" ref="F199">IF(E199="OUI",MAX(F$2:$O198)+1,"")</f>
        <v>#REF!</v>
      </c>
    </row>
    <row r="200" spans="1:6" x14ac:dyDescent="0.2">
      <c r="A200" s="453">
        <f t="shared" si="11"/>
        <v>48000</v>
      </c>
      <c r="B200" s="30">
        <v>48000</v>
      </c>
      <c r="C200" s="16">
        <f t="shared" si="9"/>
        <v>0</v>
      </c>
      <c r="D200" s="16">
        <f t="shared" si="10"/>
        <v>0</v>
      </c>
      <c r="E200" s="16" t="e">
        <f>+IF(AND(B200&gt;=#REF!,B200&lt;=#REF!),"OUI","NON")</f>
        <v>#REF!</v>
      </c>
      <c r="F200" s="16" t="e">
        <f t="array" ref="F200">IF(E200="OUI",MAX(F$2:$O199)+1,"")</f>
        <v>#REF!</v>
      </c>
    </row>
    <row r="201" spans="1:6" x14ac:dyDescent="0.2">
      <c r="A201" s="453">
        <f t="shared" si="11"/>
        <v>48030</v>
      </c>
      <c r="B201" s="30">
        <v>48030</v>
      </c>
      <c r="C201" s="16">
        <f t="shared" si="9"/>
        <v>0</v>
      </c>
      <c r="D201" s="16">
        <f t="shared" si="10"/>
        <v>0</v>
      </c>
      <c r="E201" s="16" t="e">
        <f>+IF(AND(B201&gt;=#REF!,B201&lt;=#REF!),"OUI","NON")</f>
        <v>#REF!</v>
      </c>
      <c r="F201" s="16" t="e">
        <f t="array" ref="F201">IF(E201="OUI",MAX(F$2:$O200)+1,"")</f>
        <v>#REF!</v>
      </c>
    </row>
    <row r="202" spans="1:6" x14ac:dyDescent="0.2">
      <c r="A202" s="453">
        <f t="shared" si="11"/>
        <v>48061</v>
      </c>
      <c r="B202" s="30">
        <v>48061</v>
      </c>
      <c r="C202" s="16">
        <f t="shared" si="9"/>
        <v>0</v>
      </c>
      <c r="D202" s="16">
        <f t="shared" si="10"/>
        <v>0</v>
      </c>
      <c r="E202" s="16" t="e">
        <f>+IF(AND(B202&gt;=#REF!,B202&lt;=#REF!),"OUI","NON")</f>
        <v>#REF!</v>
      </c>
      <c r="F202" s="16" t="e">
        <f t="array" ref="F202">IF(E202="OUI",MAX(F$2:$O201)+1,"")</f>
        <v>#REF!</v>
      </c>
    </row>
    <row r="203" spans="1:6" x14ac:dyDescent="0.2">
      <c r="A203" s="453">
        <f t="shared" si="11"/>
        <v>48092</v>
      </c>
      <c r="B203" s="30">
        <v>48092</v>
      </c>
      <c r="C203" s="16">
        <f t="shared" si="9"/>
        <v>0</v>
      </c>
      <c r="D203" s="16">
        <f t="shared" si="10"/>
        <v>0</v>
      </c>
      <c r="E203" s="16" t="e">
        <f>+IF(AND(B203&gt;=#REF!,B203&lt;=#REF!),"OUI","NON")</f>
        <v>#REF!</v>
      </c>
      <c r="F203" s="16" t="e">
        <f t="array" ref="F203">IF(E203="OUI",MAX(F$2:$O202)+1,"")</f>
        <v>#REF!</v>
      </c>
    </row>
    <row r="204" spans="1:6" x14ac:dyDescent="0.2">
      <c r="A204" s="453">
        <f t="shared" si="11"/>
        <v>48122</v>
      </c>
      <c r="B204" s="30">
        <v>48122</v>
      </c>
      <c r="C204" s="16">
        <f t="shared" si="9"/>
        <v>0</v>
      </c>
      <c r="D204" s="16">
        <f t="shared" si="10"/>
        <v>0</v>
      </c>
      <c r="E204" s="16" t="e">
        <f>+IF(AND(B204&gt;=#REF!,B204&lt;=#REF!),"OUI","NON")</f>
        <v>#REF!</v>
      </c>
      <c r="F204" s="16" t="e">
        <f t="array" ref="F204">IF(E204="OUI",MAX(F$2:$O203)+1,"")</f>
        <v>#REF!</v>
      </c>
    </row>
    <row r="205" spans="1:6" x14ac:dyDescent="0.2">
      <c r="A205" s="453">
        <f t="shared" si="11"/>
        <v>48153</v>
      </c>
      <c r="B205" s="30">
        <v>48153</v>
      </c>
      <c r="C205" s="16">
        <f t="shared" si="9"/>
        <v>0</v>
      </c>
      <c r="D205" s="16">
        <f t="shared" si="10"/>
        <v>0</v>
      </c>
      <c r="E205" s="16" t="e">
        <f>+IF(AND(B205&gt;=#REF!,B205&lt;=#REF!),"OUI","NON")</f>
        <v>#REF!</v>
      </c>
      <c r="F205" s="16" t="e">
        <f t="array" ref="F205">IF(E205="OUI",MAX(F$2:$O204)+1,"")</f>
        <v>#REF!</v>
      </c>
    </row>
    <row r="206" spans="1:6" x14ac:dyDescent="0.2">
      <c r="A206" s="453">
        <f t="shared" si="11"/>
        <v>48183</v>
      </c>
      <c r="B206" s="30">
        <v>48183</v>
      </c>
      <c r="C206" s="16">
        <f t="shared" si="9"/>
        <v>0</v>
      </c>
      <c r="D206" s="16">
        <f t="shared" si="10"/>
        <v>0</v>
      </c>
      <c r="E206" s="16" t="e">
        <f>+IF(AND(B206&gt;=#REF!,B206&lt;=#REF!),"OUI","NON")</f>
        <v>#REF!</v>
      </c>
      <c r="F206" s="16" t="e">
        <f t="array" ref="F206">IF(E206="OUI",MAX(F$2:$O205)+1,"")</f>
        <v>#REF!</v>
      </c>
    </row>
    <row r="207" spans="1:6" x14ac:dyDescent="0.2">
      <c r="A207" s="453">
        <f t="shared" si="11"/>
        <v>48214</v>
      </c>
      <c r="B207" s="30">
        <v>48214</v>
      </c>
      <c r="C207" s="16">
        <f t="shared" si="9"/>
        <v>0</v>
      </c>
      <c r="D207" s="16">
        <f t="shared" si="10"/>
        <v>0</v>
      </c>
      <c r="E207" s="16" t="e">
        <f>+IF(AND(B207&gt;=#REF!,B207&lt;=#REF!),"OUI","NON")</f>
        <v>#REF!</v>
      </c>
      <c r="F207" s="16" t="e">
        <f t="array" ref="F207">IF(E207="OUI",MAX(F$2:$O206)+1,"")</f>
        <v>#REF!</v>
      </c>
    </row>
    <row r="208" spans="1:6" x14ac:dyDescent="0.2">
      <c r="A208" s="453">
        <f t="shared" si="11"/>
        <v>48245</v>
      </c>
      <c r="B208" s="30">
        <v>48245</v>
      </c>
      <c r="C208" s="16">
        <f t="shared" si="9"/>
        <v>0</v>
      </c>
      <c r="D208" s="16">
        <f t="shared" si="10"/>
        <v>0</v>
      </c>
      <c r="E208" s="16" t="e">
        <f>+IF(AND(B208&gt;=#REF!,B208&lt;=#REF!),"OUI","NON")</f>
        <v>#REF!</v>
      </c>
      <c r="F208" s="16" t="e">
        <f t="array" ref="F208">IF(E208="OUI",MAX(F$2:$O207)+1,"")</f>
        <v>#REF!</v>
      </c>
    </row>
    <row r="209" spans="1:6" x14ac:dyDescent="0.2">
      <c r="A209" s="453">
        <f t="shared" si="11"/>
        <v>48274</v>
      </c>
      <c r="B209" s="30">
        <v>48274</v>
      </c>
      <c r="C209" s="16">
        <f t="shared" si="9"/>
        <v>0</v>
      </c>
      <c r="D209" s="16">
        <f t="shared" si="10"/>
        <v>0</v>
      </c>
      <c r="E209" s="16" t="e">
        <f>+IF(AND(B209&gt;=#REF!,B209&lt;=#REF!),"OUI","NON")</f>
        <v>#REF!</v>
      </c>
      <c r="F209" s="16" t="e">
        <f t="array" ref="F209">IF(E209="OUI",MAX(F$2:$O208)+1,"")</f>
        <v>#REF!</v>
      </c>
    </row>
    <row r="210" spans="1:6" x14ac:dyDescent="0.2">
      <c r="A210" s="453">
        <f t="shared" si="11"/>
        <v>48305</v>
      </c>
      <c r="B210" s="30">
        <v>48305</v>
      </c>
      <c r="C210" s="16">
        <f t="shared" si="9"/>
        <v>0</v>
      </c>
      <c r="D210" s="16">
        <f t="shared" si="10"/>
        <v>0</v>
      </c>
      <c r="E210" s="16" t="e">
        <f>+IF(AND(B210&gt;=#REF!,B210&lt;=#REF!),"OUI","NON")</f>
        <v>#REF!</v>
      </c>
      <c r="F210" s="16" t="e">
        <f t="array" ref="F210">IF(E210="OUI",MAX(F$2:$O209)+1,"")</f>
        <v>#REF!</v>
      </c>
    </row>
    <row r="211" spans="1:6" x14ac:dyDescent="0.2">
      <c r="A211" s="453">
        <f t="shared" si="11"/>
        <v>48335</v>
      </c>
      <c r="B211" s="30">
        <v>48335</v>
      </c>
      <c r="C211" s="16">
        <f t="shared" si="9"/>
        <v>0</v>
      </c>
      <c r="D211" s="16">
        <f t="shared" si="10"/>
        <v>0</v>
      </c>
      <c r="E211" s="16" t="e">
        <f>+IF(AND(B211&gt;=#REF!,B211&lt;=#REF!),"OUI","NON")</f>
        <v>#REF!</v>
      </c>
      <c r="F211" s="16" t="e">
        <f t="array" ref="F211">IF(E211="OUI",MAX(F$2:$O210)+1,"")</f>
        <v>#REF!</v>
      </c>
    </row>
    <row r="212" spans="1:6" x14ac:dyDescent="0.2">
      <c r="A212" s="453">
        <f t="shared" si="11"/>
        <v>48366</v>
      </c>
      <c r="B212" s="30">
        <v>48366</v>
      </c>
      <c r="C212" s="16">
        <f t="shared" si="9"/>
        <v>0</v>
      </c>
      <c r="D212" s="16">
        <f t="shared" si="10"/>
        <v>0</v>
      </c>
      <c r="E212" s="16" t="e">
        <f>+IF(AND(B212&gt;=#REF!,B212&lt;=#REF!),"OUI","NON")</f>
        <v>#REF!</v>
      </c>
      <c r="F212" s="16" t="e">
        <f t="array" ref="F212">IF(E212="OUI",MAX(F$2:$O211)+1,"")</f>
        <v>#REF!</v>
      </c>
    </row>
    <row r="213" spans="1:6" x14ac:dyDescent="0.2">
      <c r="A213" s="453">
        <f t="shared" si="11"/>
        <v>48396</v>
      </c>
      <c r="B213" s="30">
        <v>48396</v>
      </c>
      <c r="C213" s="16">
        <f t="shared" si="9"/>
        <v>0</v>
      </c>
      <c r="D213" s="16">
        <f t="shared" si="10"/>
        <v>0</v>
      </c>
      <c r="E213" s="16" t="e">
        <f>+IF(AND(B213&gt;=#REF!,B213&lt;=#REF!),"OUI","NON")</f>
        <v>#REF!</v>
      </c>
      <c r="F213" s="16" t="e">
        <f t="array" ref="F213">IF(E213="OUI",MAX(F$2:$O212)+1,"")</f>
        <v>#REF!</v>
      </c>
    </row>
    <row r="214" spans="1:6" x14ac:dyDescent="0.2">
      <c r="A214" s="453">
        <f t="shared" si="11"/>
        <v>48427</v>
      </c>
      <c r="B214" s="30">
        <v>48427</v>
      </c>
      <c r="C214" s="16">
        <f t="shared" si="9"/>
        <v>0</v>
      </c>
      <c r="D214" s="16">
        <f t="shared" si="10"/>
        <v>0</v>
      </c>
      <c r="E214" s="16" t="e">
        <f>+IF(AND(B214&gt;=#REF!,B214&lt;=#REF!),"OUI","NON")</f>
        <v>#REF!</v>
      </c>
      <c r="F214" s="16" t="e">
        <f t="array" ref="F214">IF(E214="OUI",MAX(F$2:$O213)+1,"")</f>
        <v>#REF!</v>
      </c>
    </row>
    <row r="215" spans="1:6" x14ac:dyDescent="0.2">
      <c r="A215" s="453">
        <f t="shared" si="11"/>
        <v>48458</v>
      </c>
      <c r="B215" s="30">
        <v>48458</v>
      </c>
      <c r="C215" s="16">
        <f t="shared" si="9"/>
        <v>0</v>
      </c>
      <c r="D215" s="16">
        <f t="shared" si="10"/>
        <v>0</v>
      </c>
      <c r="E215" s="16" t="e">
        <f>+IF(AND(B215&gt;=#REF!,B215&lt;=#REF!),"OUI","NON")</f>
        <v>#REF!</v>
      </c>
      <c r="F215" s="16" t="e">
        <f t="array" ref="F215">IF(E215="OUI",MAX(F$2:$O214)+1,"")</f>
        <v>#REF!</v>
      </c>
    </row>
    <row r="216" spans="1:6" x14ac:dyDescent="0.2">
      <c r="A216" s="453">
        <f t="shared" si="11"/>
        <v>48488</v>
      </c>
      <c r="B216" s="30">
        <v>48488</v>
      </c>
      <c r="C216" s="16">
        <f t="shared" si="9"/>
        <v>0</v>
      </c>
      <c r="D216" s="16">
        <f t="shared" si="10"/>
        <v>0</v>
      </c>
      <c r="E216" s="16" t="e">
        <f>+IF(AND(B216&gt;=#REF!,B216&lt;=#REF!),"OUI","NON")</f>
        <v>#REF!</v>
      </c>
      <c r="F216" s="16" t="e">
        <f t="array" ref="F216">IF(E216="OUI",MAX(F$2:$O215)+1,"")</f>
        <v>#REF!</v>
      </c>
    </row>
    <row r="217" spans="1:6" x14ac:dyDescent="0.2">
      <c r="A217" s="453">
        <f t="shared" si="11"/>
        <v>48519</v>
      </c>
      <c r="B217" s="30">
        <v>48519</v>
      </c>
      <c r="C217" s="16">
        <f t="shared" si="9"/>
        <v>0</v>
      </c>
      <c r="D217" s="16">
        <f t="shared" si="10"/>
        <v>0</v>
      </c>
      <c r="E217" s="16" t="e">
        <f>+IF(AND(B217&gt;=#REF!,B217&lt;=#REF!),"OUI","NON")</f>
        <v>#REF!</v>
      </c>
      <c r="F217" s="16" t="e">
        <f t="array" ref="F217">IF(E217="OUI",MAX(F$2:$O216)+1,"")</f>
        <v>#REF!</v>
      </c>
    </row>
    <row r="218" spans="1:6" x14ac:dyDescent="0.2">
      <c r="A218" s="453">
        <f t="shared" si="11"/>
        <v>48549</v>
      </c>
      <c r="B218" s="30">
        <v>48549</v>
      </c>
      <c r="C218" s="16">
        <f t="shared" si="9"/>
        <v>0</v>
      </c>
      <c r="D218" s="16">
        <f t="shared" si="10"/>
        <v>0</v>
      </c>
      <c r="E218" s="16" t="e">
        <f>+IF(AND(B218&gt;=#REF!,B218&lt;=#REF!),"OUI","NON")</f>
        <v>#REF!</v>
      </c>
      <c r="F218" s="16" t="e">
        <f t="array" ref="F218">IF(E218="OUI",MAX(F$2:$O217)+1,"")</f>
        <v>#REF!</v>
      </c>
    </row>
    <row r="219" spans="1:6" x14ac:dyDescent="0.2">
      <c r="A219" s="453">
        <f t="shared" si="11"/>
        <v>48580</v>
      </c>
      <c r="B219" s="30">
        <v>48580</v>
      </c>
      <c r="C219" s="16">
        <f t="shared" si="9"/>
        <v>0</v>
      </c>
      <c r="D219" s="16">
        <f t="shared" si="10"/>
        <v>0</v>
      </c>
      <c r="E219" s="16" t="e">
        <f>+IF(AND(B219&gt;=#REF!,B219&lt;=#REF!),"OUI","NON")</f>
        <v>#REF!</v>
      </c>
      <c r="F219" s="16" t="e">
        <f t="array" ref="F219">IF(E219="OUI",MAX(F$2:$O218)+1,"")</f>
        <v>#REF!</v>
      </c>
    </row>
    <row r="220" spans="1:6" x14ac:dyDescent="0.2">
      <c r="A220" s="453">
        <f t="shared" si="11"/>
        <v>48611</v>
      </c>
      <c r="B220" s="30">
        <v>48611</v>
      </c>
      <c r="C220" s="16">
        <f t="shared" si="9"/>
        <v>0</v>
      </c>
      <c r="D220" s="16">
        <f t="shared" si="10"/>
        <v>0</v>
      </c>
      <c r="E220" s="16" t="e">
        <f>+IF(AND(B220&gt;=#REF!,B220&lt;=#REF!),"OUI","NON")</f>
        <v>#REF!</v>
      </c>
      <c r="F220" s="16" t="e">
        <f t="array" ref="F220">IF(E220="OUI",MAX(F$2:$O219)+1,"")</f>
        <v>#REF!</v>
      </c>
    </row>
    <row r="221" spans="1:6" x14ac:dyDescent="0.2">
      <c r="A221" s="453">
        <f t="shared" si="11"/>
        <v>48639</v>
      </c>
      <c r="B221" s="30">
        <v>48639</v>
      </c>
      <c r="C221" s="16">
        <f t="shared" si="9"/>
        <v>0</v>
      </c>
      <c r="D221" s="16">
        <f t="shared" si="10"/>
        <v>0</v>
      </c>
      <c r="E221" s="16" t="e">
        <f>+IF(AND(B221&gt;=#REF!,B221&lt;=#REF!),"OUI","NON")</f>
        <v>#REF!</v>
      </c>
      <c r="F221" s="16" t="e">
        <f t="array" ref="F221">IF(E221="OUI",MAX(F$2:$O220)+1,"")</f>
        <v>#REF!</v>
      </c>
    </row>
    <row r="222" spans="1:6" x14ac:dyDescent="0.2">
      <c r="A222" s="453">
        <f t="shared" si="11"/>
        <v>48670</v>
      </c>
      <c r="B222" s="30">
        <v>48670</v>
      </c>
      <c r="C222" s="16">
        <f t="shared" si="9"/>
        <v>0</v>
      </c>
      <c r="D222" s="16">
        <f t="shared" si="10"/>
        <v>0</v>
      </c>
      <c r="E222" s="16" t="e">
        <f>+IF(AND(B222&gt;=#REF!,B222&lt;=#REF!),"OUI","NON")</f>
        <v>#REF!</v>
      </c>
      <c r="F222" s="16" t="e">
        <f t="array" ref="F222">IF(E222="OUI",MAX(F$2:$O221)+1,"")</f>
        <v>#REF!</v>
      </c>
    </row>
    <row r="223" spans="1:6" x14ac:dyDescent="0.2">
      <c r="A223" s="453">
        <f t="shared" si="11"/>
        <v>48700</v>
      </c>
      <c r="B223" s="30">
        <v>48700</v>
      </c>
      <c r="C223" s="16">
        <f t="shared" si="9"/>
        <v>0</v>
      </c>
      <c r="D223" s="16">
        <f t="shared" si="10"/>
        <v>0</v>
      </c>
      <c r="E223" s="16" t="e">
        <f>+IF(AND(B223&gt;=#REF!,B223&lt;=#REF!),"OUI","NON")</f>
        <v>#REF!</v>
      </c>
      <c r="F223" s="16" t="e">
        <f t="array" ref="F223">IF(E223="OUI",MAX(F$2:$O222)+1,"")</f>
        <v>#REF!</v>
      </c>
    </row>
    <row r="224" spans="1:6" x14ac:dyDescent="0.2">
      <c r="A224" s="453">
        <f t="shared" si="11"/>
        <v>48731</v>
      </c>
      <c r="B224" s="30">
        <v>48731</v>
      </c>
      <c r="C224" s="16">
        <f t="shared" si="9"/>
        <v>0</v>
      </c>
      <c r="D224" s="16">
        <f t="shared" si="10"/>
        <v>0</v>
      </c>
      <c r="E224" s="16" t="e">
        <f>+IF(AND(B224&gt;=#REF!,B224&lt;=#REF!),"OUI","NON")</f>
        <v>#REF!</v>
      </c>
      <c r="F224" s="16" t="e">
        <f t="array" ref="F224">IF(E224="OUI",MAX(F$2:$O223)+1,"")</f>
        <v>#REF!</v>
      </c>
    </row>
    <row r="225" spans="1:6" x14ac:dyDescent="0.2">
      <c r="A225" s="453">
        <f t="shared" si="11"/>
        <v>48761</v>
      </c>
      <c r="B225" s="30">
        <v>48761</v>
      </c>
      <c r="C225" s="16">
        <f t="shared" si="9"/>
        <v>0</v>
      </c>
      <c r="D225" s="16">
        <f t="shared" si="10"/>
        <v>0</v>
      </c>
      <c r="E225" s="16" t="e">
        <f>+IF(AND(B225&gt;=#REF!,B225&lt;=#REF!),"OUI","NON")</f>
        <v>#REF!</v>
      </c>
      <c r="F225" s="16" t="e">
        <f t="array" ref="F225">IF(E225="OUI",MAX(F$2:$O224)+1,"")</f>
        <v>#REF!</v>
      </c>
    </row>
    <row r="226" spans="1:6" x14ac:dyDescent="0.2">
      <c r="A226" s="453">
        <f t="shared" si="11"/>
        <v>48792</v>
      </c>
      <c r="B226" s="30">
        <v>48792</v>
      </c>
      <c r="C226" s="16">
        <f t="shared" si="9"/>
        <v>0</v>
      </c>
      <c r="D226" s="16">
        <f t="shared" si="10"/>
        <v>0</v>
      </c>
      <c r="E226" s="16" t="e">
        <f>+IF(AND(B226&gt;=#REF!,B226&lt;=#REF!),"OUI","NON")</f>
        <v>#REF!</v>
      </c>
      <c r="F226" s="16" t="e">
        <f t="array" ref="F226">IF(E226="OUI",MAX(F$2:$O225)+1,"")</f>
        <v>#REF!</v>
      </c>
    </row>
    <row r="227" spans="1:6" x14ac:dyDescent="0.2">
      <c r="A227" s="453">
        <f t="shared" si="11"/>
        <v>48823</v>
      </c>
      <c r="B227" s="30">
        <v>48823</v>
      </c>
      <c r="C227" s="16">
        <f t="shared" si="9"/>
        <v>0</v>
      </c>
      <c r="D227" s="16">
        <f t="shared" si="10"/>
        <v>0</v>
      </c>
      <c r="E227" s="16" t="e">
        <f>+IF(AND(B227&gt;=#REF!,B227&lt;=#REF!),"OUI","NON")</f>
        <v>#REF!</v>
      </c>
      <c r="F227" s="16" t="e">
        <f t="array" ref="F227">IF(E227="OUI",MAX(F$2:$O226)+1,"")</f>
        <v>#REF!</v>
      </c>
    </row>
    <row r="228" spans="1:6" x14ac:dyDescent="0.2">
      <c r="A228" s="453">
        <f t="shared" si="11"/>
        <v>48853</v>
      </c>
      <c r="B228" s="30">
        <v>48853</v>
      </c>
      <c r="C228" s="16">
        <f t="shared" si="9"/>
        <v>0</v>
      </c>
      <c r="D228" s="16">
        <f t="shared" si="10"/>
        <v>0</v>
      </c>
      <c r="E228" s="16" t="e">
        <f>+IF(AND(B228&gt;=#REF!,B228&lt;=#REF!),"OUI","NON")</f>
        <v>#REF!</v>
      </c>
      <c r="F228" s="16" t="e">
        <f t="array" ref="F228">IF(E228="OUI",MAX(F$2:$O227)+1,"")</f>
        <v>#REF!</v>
      </c>
    </row>
    <row r="229" spans="1:6" x14ac:dyDescent="0.2">
      <c r="A229" s="453">
        <f t="shared" si="11"/>
        <v>48884</v>
      </c>
      <c r="B229" s="30">
        <v>48884</v>
      </c>
      <c r="C229" s="16">
        <f t="shared" si="9"/>
        <v>0</v>
      </c>
      <c r="D229" s="16">
        <f t="shared" si="10"/>
        <v>0</v>
      </c>
      <c r="E229" s="16" t="e">
        <f>+IF(AND(B229&gt;=#REF!,B229&lt;=#REF!),"OUI","NON")</f>
        <v>#REF!</v>
      </c>
      <c r="F229" s="16" t="e">
        <f t="array" ref="F229">IF(E229="OUI",MAX(F$2:$O228)+1,"")</f>
        <v>#REF!</v>
      </c>
    </row>
    <row r="230" spans="1:6" x14ac:dyDescent="0.2">
      <c r="A230" s="453">
        <f t="shared" si="11"/>
        <v>48914</v>
      </c>
      <c r="B230" s="30">
        <v>48914</v>
      </c>
      <c r="C230" s="16">
        <f t="shared" si="9"/>
        <v>0</v>
      </c>
      <c r="D230" s="16">
        <f t="shared" si="10"/>
        <v>0</v>
      </c>
      <c r="E230" s="16" t="e">
        <f>+IF(AND(B230&gt;=#REF!,B230&lt;=#REF!),"OUI","NON")</f>
        <v>#REF!</v>
      </c>
      <c r="F230" s="16" t="e">
        <f t="array" ref="F230">IF(E230="OUI",MAX(F$2:$O229)+1,"")</f>
        <v>#REF!</v>
      </c>
    </row>
    <row r="231" spans="1:6" x14ac:dyDescent="0.2">
      <c r="A231" s="453">
        <f t="shared" si="11"/>
        <v>48945</v>
      </c>
      <c r="B231" s="30">
        <v>48945</v>
      </c>
      <c r="C231" s="16">
        <f t="shared" si="9"/>
        <v>0</v>
      </c>
      <c r="D231" s="16">
        <f t="shared" si="10"/>
        <v>0</v>
      </c>
      <c r="E231" s="16" t="e">
        <f>+IF(AND(B231&gt;=#REF!,B231&lt;=#REF!),"OUI","NON")</f>
        <v>#REF!</v>
      </c>
      <c r="F231" s="16" t="e">
        <f t="array" ref="F231">IF(E231="OUI",MAX(F$2:$O230)+1,"")</f>
        <v>#REF!</v>
      </c>
    </row>
    <row r="232" spans="1:6" x14ac:dyDescent="0.2">
      <c r="A232" s="453">
        <f t="shared" si="11"/>
        <v>48976</v>
      </c>
      <c r="B232" s="30">
        <v>48976</v>
      </c>
      <c r="C232" s="16">
        <f t="shared" si="9"/>
        <v>0</v>
      </c>
      <c r="D232" s="16">
        <f t="shared" si="10"/>
        <v>0</v>
      </c>
      <c r="E232" s="16" t="e">
        <f>+IF(AND(B232&gt;=#REF!,B232&lt;=#REF!),"OUI","NON")</f>
        <v>#REF!</v>
      </c>
      <c r="F232" s="16" t="e">
        <f t="array" ref="F232">IF(E232="OUI",MAX(F$2:$O231)+1,"")</f>
        <v>#REF!</v>
      </c>
    </row>
    <row r="233" spans="1:6" x14ac:dyDescent="0.2">
      <c r="A233" s="453">
        <f t="shared" si="11"/>
        <v>49004</v>
      </c>
      <c r="B233" s="30">
        <v>49004</v>
      </c>
      <c r="C233" s="16">
        <f t="shared" si="9"/>
        <v>0</v>
      </c>
      <c r="D233" s="16">
        <f t="shared" si="10"/>
        <v>0</v>
      </c>
      <c r="E233" s="16" t="e">
        <f>+IF(AND(B233&gt;=#REF!,B233&lt;=#REF!),"OUI","NON")</f>
        <v>#REF!</v>
      </c>
      <c r="F233" s="16" t="e">
        <f t="array" ref="F233">IF(E233="OUI",MAX(F$2:$O232)+1,"")</f>
        <v>#REF!</v>
      </c>
    </row>
    <row r="234" spans="1:6" x14ac:dyDescent="0.2">
      <c r="A234" s="453">
        <f t="shared" si="11"/>
        <v>49035</v>
      </c>
      <c r="B234" s="30">
        <v>49035</v>
      </c>
      <c r="C234" s="16">
        <f t="shared" si="9"/>
        <v>0</v>
      </c>
      <c r="D234" s="16">
        <f t="shared" si="10"/>
        <v>0</v>
      </c>
      <c r="E234" s="16" t="e">
        <f>+IF(AND(B234&gt;=#REF!,B234&lt;=#REF!),"OUI","NON")</f>
        <v>#REF!</v>
      </c>
      <c r="F234" s="16" t="e">
        <f t="array" ref="F234">IF(E234="OUI",MAX(F$2:$O233)+1,"")</f>
        <v>#REF!</v>
      </c>
    </row>
    <row r="235" spans="1:6" x14ac:dyDescent="0.2">
      <c r="A235" s="453">
        <f t="shared" si="11"/>
        <v>49065</v>
      </c>
      <c r="B235" s="30">
        <v>49065</v>
      </c>
      <c r="C235" s="16">
        <f t="shared" si="9"/>
        <v>0</v>
      </c>
      <c r="D235" s="16">
        <f t="shared" si="10"/>
        <v>0</v>
      </c>
      <c r="E235" s="16" t="e">
        <f>+IF(AND(B235&gt;=#REF!,B235&lt;=#REF!),"OUI","NON")</f>
        <v>#REF!</v>
      </c>
      <c r="F235" s="16" t="e">
        <f t="array" ref="F235">IF(E235="OUI",MAX(F$2:$O234)+1,"")</f>
        <v>#REF!</v>
      </c>
    </row>
    <row r="236" spans="1:6" x14ac:dyDescent="0.2">
      <c r="A236" s="453">
        <f t="shared" si="11"/>
        <v>49096</v>
      </c>
      <c r="B236" s="30">
        <v>49096</v>
      </c>
      <c r="C236" s="16">
        <f t="shared" si="9"/>
        <v>0</v>
      </c>
      <c r="D236" s="16">
        <f t="shared" si="10"/>
        <v>0</v>
      </c>
      <c r="E236" s="16" t="e">
        <f>+IF(AND(B236&gt;=#REF!,B236&lt;=#REF!),"OUI","NON")</f>
        <v>#REF!</v>
      </c>
      <c r="F236" s="16" t="e">
        <f t="array" ref="F236">IF(E236="OUI",MAX(F$2:$O235)+1,"")</f>
        <v>#REF!</v>
      </c>
    </row>
    <row r="237" spans="1:6" x14ac:dyDescent="0.2">
      <c r="A237" s="453">
        <f t="shared" si="11"/>
        <v>49126</v>
      </c>
      <c r="B237" s="30">
        <v>49126</v>
      </c>
      <c r="C237" s="16">
        <f t="shared" si="9"/>
        <v>0</v>
      </c>
      <c r="D237" s="16">
        <f t="shared" si="10"/>
        <v>0</v>
      </c>
      <c r="E237" s="16" t="e">
        <f>+IF(AND(B237&gt;=#REF!,B237&lt;=#REF!),"OUI","NON")</f>
        <v>#REF!</v>
      </c>
      <c r="F237" s="16" t="e">
        <f t="array" ref="F237">IF(E237="OUI",MAX(F$2:$O236)+1,"")</f>
        <v>#REF!</v>
      </c>
    </row>
    <row r="238" spans="1:6" x14ac:dyDescent="0.2">
      <c r="A238" s="453">
        <f t="shared" si="11"/>
        <v>49157</v>
      </c>
      <c r="B238" s="30">
        <v>49157</v>
      </c>
      <c r="C238" s="16">
        <f t="shared" si="9"/>
        <v>0</v>
      </c>
      <c r="D238" s="16">
        <f t="shared" si="10"/>
        <v>0</v>
      </c>
      <c r="E238" s="16" t="e">
        <f>+IF(AND(B238&gt;=#REF!,B238&lt;=#REF!),"OUI","NON")</f>
        <v>#REF!</v>
      </c>
      <c r="F238" s="16" t="e">
        <f t="array" ref="F238">IF(E238="OUI",MAX(F$2:$O237)+1,"")</f>
        <v>#REF!</v>
      </c>
    </row>
    <row r="239" spans="1:6" x14ac:dyDescent="0.2">
      <c r="A239" s="453">
        <f t="shared" si="11"/>
        <v>49188</v>
      </c>
      <c r="B239" s="30">
        <v>49188</v>
      </c>
      <c r="C239" s="16">
        <f t="shared" si="9"/>
        <v>0</v>
      </c>
      <c r="D239" s="16">
        <f t="shared" si="10"/>
        <v>0</v>
      </c>
      <c r="E239" s="16" t="e">
        <f>+IF(AND(B239&gt;=#REF!,B239&lt;=#REF!),"OUI","NON")</f>
        <v>#REF!</v>
      </c>
      <c r="F239" s="16" t="e">
        <f t="array" ref="F239">IF(E239="OUI",MAX(F$2:$O238)+1,"")</f>
        <v>#REF!</v>
      </c>
    </row>
    <row r="240" spans="1:6" x14ac:dyDescent="0.2">
      <c r="A240" s="453">
        <f t="shared" si="11"/>
        <v>49218</v>
      </c>
      <c r="B240" s="30">
        <v>49218</v>
      </c>
      <c r="C240" s="16">
        <f t="shared" si="9"/>
        <v>0</v>
      </c>
      <c r="D240" s="16">
        <f t="shared" si="10"/>
        <v>0</v>
      </c>
      <c r="E240" s="16" t="e">
        <f>+IF(AND(B240&gt;=#REF!,B240&lt;=#REF!),"OUI","NON")</f>
        <v>#REF!</v>
      </c>
      <c r="F240" s="16" t="e">
        <f t="array" ref="F240">IF(E240="OUI",MAX(F$2:$O239)+1,"")</f>
        <v>#REF!</v>
      </c>
    </row>
    <row r="241" spans="1:6" x14ac:dyDescent="0.2">
      <c r="A241" s="453">
        <f t="shared" si="11"/>
        <v>49249</v>
      </c>
      <c r="B241" s="30">
        <v>49249</v>
      </c>
      <c r="C241" s="16">
        <f t="shared" si="9"/>
        <v>0</v>
      </c>
      <c r="D241" s="16">
        <f t="shared" si="10"/>
        <v>0</v>
      </c>
      <c r="E241" s="16" t="e">
        <f>+IF(AND(B241&gt;=#REF!,B241&lt;=#REF!),"OUI","NON")</f>
        <v>#REF!</v>
      </c>
      <c r="F241" s="16" t="e">
        <f t="array" ref="F241">IF(E241="OUI",MAX(F$2:$O240)+1,"")</f>
        <v>#REF!</v>
      </c>
    </row>
    <row r="242" spans="1:6" x14ac:dyDescent="0.2">
      <c r="A242" s="453">
        <f t="shared" si="11"/>
        <v>49279</v>
      </c>
      <c r="B242" s="30">
        <v>49279</v>
      </c>
      <c r="C242" s="16">
        <f t="shared" si="9"/>
        <v>0</v>
      </c>
      <c r="D242" s="16">
        <f t="shared" si="10"/>
        <v>0</v>
      </c>
      <c r="E242" s="16" t="e">
        <f>+IF(AND(B242&gt;=#REF!,B242&lt;=#REF!),"OUI","NON")</f>
        <v>#REF!</v>
      </c>
      <c r="F242" s="16" t="e">
        <f t="array" ref="F242">IF(E242="OUI",MAX(F$2:$O241)+1,"")</f>
        <v>#REF!</v>
      </c>
    </row>
    <row r="243" spans="1:6" x14ac:dyDescent="0.2">
      <c r="A243" s="453">
        <f t="shared" si="11"/>
        <v>49310</v>
      </c>
      <c r="B243" s="30">
        <v>49310</v>
      </c>
      <c r="C243" s="16">
        <f t="shared" si="9"/>
        <v>0</v>
      </c>
      <c r="D243" s="16">
        <f t="shared" si="10"/>
        <v>0</v>
      </c>
      <c r="E243" s="16" t="e">
        <f>+IF(AND(B243&gt;=#REF!,B243&lt;=#REF!),"OUI","NON")</f>
        <v>#REF!</v>
      </c>
      <c r="F243" s="16" t="e">
        <f t="array" ref="F243">IF(E243="OUI",MAX(F$2:$O242)+1,"")</f>
        <v>#REF!</v>
      </c>
    </row>
    <row r="244" spans="1:6" x14ac:dyDescent="0.2">
      <c r="A244" s="453">
        <f t="shared" si="11"/>
        <v>49341</v>
      </c>
      <c r="B244" s="30">
        <v>49341</v>
      </c>
      <c r="C244" s="16">
        <f t="shared" si="9"/>
        <v>0</v>
      </c>
      <c r="D244" s="16">
        <f t="shared" si="10"/>
        <v>0</v>
      </c>
      <c r="E244" s="16" t="e">
        <f>+IF(AND(B244&gt;=#REF!,B244&lt;=#REF!),"OUI","NON")</f>
        <v>#REF!</v>
      </c>
      <c r="F244" s="16" t="e">
        <f t="array" ref="F244">IF(E244="OUI",MAX(F$2:$O243)+1,"")</f>
        <v>#REF!</v>
      </c>
    </row>
    <row r="245" spans="1:6" x14ac:dyDescent="0.2">
      <c r="A245" s="453">
        <f t="shared" si="11"/>
        <v>49369</v>
      </c>
      <c r="B245" s="30">
        <v>49369</v>
      </c>
      <c r="C245" s="16">
        <f t="shared" si="9"/>
        <v>0</v>
      </c>
      <c r="D245" s="16">
        <f t="shared" si="10"/>
        <v>0</v>
      </c>
      <c r="E245" s="16" t="e">
        <f>+IF(AND(B245&gt;=#REF!,B245&lt;=#REF!),"OUI","NON")</f>
        <v>#REF!</v>
      </c>
      <c r="F245" s="16" t="e">
        <f t="array" ref="F245">IF(E245="OUI",MAX(F$2:$O244)+1,"")</f>
        <v>#REF!</v>
      </c>
    </row>
    <row r="246" spans="1:6" x14ac:dyDescent="0.2">
      <c r="A246" s="453">
        <f t="shared" si="11"/>
        <v>49400</v>
      </c>
      <c r="B246" s="30">
        <v>49400</v>
      </c>
      <c r="C246" s="16">
        <f t="shared" si="9"/>
        <v>0</v>
      </c>
      <c r="D246" s="16">
        <f t="shared" si="10"/>
        <v>0</v>
      </c>
      <c r="E246" s="16" t="e">
        <f>+IF(AND(B246&gt;=#REF!,B246&lt;=#REF!),"OUI","NON")</f>
        <v>#REF!</v>
      </c>
      <c r="F246" s="16" t="e">
        <f t="array" ref="F246">IF(E246="OUI",MAX(F$2:$O245)+1,"")</f>
        <v>#REF!</v>
      </c>
    </row>
    <row r="247" spans="1:6" x14ac:dyDescent="0.2">
      <c r="A247" s="453">
        <f t="shared" si="11"/>
        <v>49430</v>
      </c>
      <c r="B247" s="30">
        <v>49430</v>
      </c>
      <c r="C247" s="16">
        <f t="shared" si="9"/>
        <v>0</v>
      </c>
      <c r="D247" s="16">
        <f t="shared" si="10"/>
        <v>0</v>
      </c>
      <c r="E247" s="16" t="e">
        <f>+IF(AND(B247&gt;=#REF!,B247&lt;=#REF!),"OUI","NON")</f>
        <v>#REF!</v>
      </c>
      <c r="F247" s="16" t="e">
        <f t="array" ref="F247">IF(E247="OUI",MAX(F$2:$O246)+1,"")</f>
        <v>#REF!</v>
      </c>
    </row>
    <row r="248" spans="1:6" x14ac:dyDescent="0.2">
      <c r="A248" s="453">
        <f t="shared" si="11"/>
        <v>49461</v>
      </c>
      <c r="B248" s="30">
        <v>49461</v>
      </c>
      <c r="C248" s="16">
        <f t="shared" si="9"/>
        <v>0</v>
      </c>
      <c r="D248" s="16">
        <f t="shared" si="10"/>
        <v>0</v>
      </c>
      <c r="E248" s="16" t="e">
        <f>+IF(AND(B248&gt;=#REF!,B248&lt;=#REF!),"OUI","NON")</f>
        <v>#REF!</v>
      </c>
      <c r="F248" s="16" t="e">
        <f t="array" ref="F248">IF(E248="OUI",MAX(F$2:$O247)+1,"")</f>
        <v>#REF!</v>
      </c>
    </row>
    <row r="249" spans="1:6" x14ac:dyDescent="0.2">
      <c r="A249" s="453">
        <f t="shared" si="11"/>
        <v>49491</v>
      </c>
      <c r="B249" s="30">
        <v>49491</v>
      </c>
      <c r="C249" s="16">
        <f t="shared" si="9"/>
        <v>0</v>
      </c>
      <c r="D249" s="16">
        <f t="shared" si="10"/>
        <v>0</v>
      </c>
      <c r="E249" s="16" t="e">
        <f>+IF(AND(B249&gt;=#REF!,B249&lt;=#REF!),"OUI","NON")</f>
        <v>#REF!</v>
      </c>
      <c r="F249" s="16" t="e">
        <f t="array" ref="F249">IF(E249="OUI",MAX(F$2:$O248)+1,"")</f>
        <v>#REF!</v>
      </c>
    </row>
    <row r="250" spans="1:6" x14ac:dyDescent="0.2">
      <c r="A250" s="453">
        <f t="shared" si="11"/>
        <v>49522</v>
      </c>
      <c r="B250" s="30">
        <v>49522</v>
      </c>
      <c r="C250" s="16">
        <f t="shared" si="9"/>
        <v>0</v>
      </c>
      <c r="D250" s="16">
        <f t="shared" si="10"/>
        <v>0</v>
      </c>
      <c r="E250" s="16" t="e">
        <f>+IF(AND(B250&gt;=#REF!,B250&lt;=#REF!),"OUI","NON")</f>
        <v>#REF!</v>
      </c>
      <c r="F250" s="16" t="e">
        <f t="array" ref="F250">IF(E250="OUI",MAX(F$2:$O249)+1,"")</f>
        <v>#REF!</v>
      </c>
    </row>
    <row r="251" spans="1:6" x14ac:dyDescent="0.2">
      <c r="A251" s="453">
        <f t="shared" si="11"/>
        <v>49553</v>
      </c>
      <c r="B251" s="30">
        <v>49553</v>
      </c>
      <c r="C251" s="16">
        <f t="shared" si="9"/>
        <v>0</v>
      </c>
      <c r="D251" s="16">
        <f t="shared" si="10"/>
        <v>0</v>
      </c>
      <c r="E251" s="16" t="e">
        <f>+IF(AND(B251&gt;=#REF!,B251&lt;=#REF!),"OUI","NON")</f>
        <v>#REF!</v>
      </c>
      <c r="F251" s="16" t="e">
        <f t="array" ref="F251">IF(E251="OUI",MAX(F$2:$O250)+1,"")</f>
        <v>#REF!</v>
      </c>
    </row>
    <row r="252" spans="1:6" x14ac:dyDescent="0.2">
      <c r="A252" s="453">
        <f t="shared" si="11"/>
        <v>49583</v>
      </c>
      <c r="B252" s="30">
        <v>49583</v>
      </c>
      <c r="C252" s="16">
        <f t="shared" si="9"/>
        <v>0</v>
      </c>
      <c r="D252" s="16">
        <f t="shared" si="10"/>
        <v>0</v>
      </c>
      <c r="E252" s="16" t="e">
        <f>+IF(AND(B252&gt;=#REF!,B252&lt;=#REF!),"OUI","NON")</f>
        <v>#REF!</v>
      </c>
      <c r="F252" s="16" t="e">
        <f t="array" ref="F252">IF(E252="OUI",MAX(F$2:$O251)+1,"")</f>
        <v>#REF!</v>
      </c>
    </row>
    <row r="253" spans="1:6" x14ac:dyDescent="0.2">
      <c r="A253" s="453">
        <f t="shared" si="11"/>
        <v>49614</v>
      </c>
      <c r="B253" s="30">
        <v>49614</v>
      </c>
      <c r="C253" s="16">
        <f t="shared" si="9"/>
        <v>0</v>
      </c>
      <c r="D253" s="16">
        <f t="shared" si="10"/>
        <v>0</v>
      </c>
      <c r="E253" s="16" t="e">
        <f>+IF(AND(B253&gt;=#REF!,B253&lt;=#REF!),"OUI","NON")</f>
        <v>#REF!</v>
      </c>
      <c r="F253" s="16" t="e">
        <f t="array" ref="F253">IF(E253="OUI",MAX(F$2:$O252)+1,"")</f>
        <v>#REF!</v>
      </c>
    </row>
    <row r="254" spans="1:6" x14ac:dyDescent="0.2">
      <c r="A254" s="453">
        <f t="shared" si="11"/>
        <v>49644</v>
      </c>
      <c r="B254" s="30">
        <v>49644</v>
      </c>
      <c r="C254" s="16">
        <f t="shared" si="9"/>
        <v>0</v>
      </c>
      <c r="D254" s="16">
        <f t="shared" si="10"/>
        <v>0</v>
      </c>
      <c r="E254" s="16" t="e">
        <f>+IF(AND(B254&gt;=#REF!,B254&lt;=#REF!),"OUI","NON")</f>
        <v>#REF!</v>
      </c>
      <c r="F254" s="16" t="e">
        <f t="array" ref="F254">IF(E254="OUI",MAX(F$2:$O253)+1,"")</f>
        <v>#REF!</v>
      </c>
    </row>
    <row r="255" spans="1:6" x14ac:dyDescent="0.2">
      <c r="A255" s="453">
        <f t="shared" si="11"/>
        <v>49675</v>
      </c>
      <c r="B255" s="30">
        <v>49675</v>
      </c>
      <c r="C255" s="16">
        <f t="shared" si="9"/>
        <v>0</v>
      </c>
      <c r="D255" s="16">
        <f t="shared" si="10"/>
        <v>0</v>
      </c>
      <c r="E255" s="16" t="e">
        <f>+IF(AND(B255&gt;=#REF!,B255&lt;=#REF!),"OUI","NON")</f>
        <v>#REF!</v>
      </c>
      <c r="F255" s="16" t="e">
        <f t="array" ref="F255">IF(E255="OUI",MAX(F$2:$O254)+1,"")</f>
        <v>#REF!</v>
      </c>
    </row>
    <row r="256" spans="1:6" x14ac:dyDescent="0.2">
      <c r="A256" s="453">
        <f t="shared" si="11"/>
        <v>49706</v>
      </c>
      <c r="B256" s="30">
        <v>49706</v>
      </c>
      <c r="C256" s="16">
        <f t="shared" si="9"/>
        <v>0</v>
      </c>
      <c r="D256" s="16">
        <f t="shared" si="10"/>
        <v>0</v>
      </c>
      <c r="E256" s="16" t="e">
        <f>+IF(AND(B256&gt;=#REF!,B256&lt;=#REF!),"OUI","NON")</f>
        <v>#REF!</v>
      </c>
      <c r="F256" s="16" t="e">
        <f t="array" ref="F256">IF(E256="OUI",MAX(F$2:$O255)+1,"")</f>
        <v>#REF!</v>
      </c>
    </row>
    <row r="257" spans="1:6" x14ac:dyDescent="0.2">
      <c r="A257" s="453">
        <f t="shared" si="11"/>
        <v>49735</v>
      </c>
      <c r="B257" s="30">
        <v>49735</v>
      </c>
      <c r="C257" s="16">
        <f t="shared" si="9"/>
        <v>0</v>
      </c>
      <c r="D257" s="16">
        <f t="shared" si="10"/>
        <v>0</v>
      </c>
      <c r="E257" s="16" t="e">
        <f>+IF(AND(B257&gt;=#REF!,B257&lt;=#REF!),"OUI","NON")</f>
        <v>#REF!</v>
      </c>
      <c r="F257" s="16" t="e">
        <f t="array" ref="F257">IF(E257="OUI",MAX(F$2:$O256)+1,"")</f>
        <v>#REF!</v>
      </c>
    </row>
    <row r="258" spans="1:6" x14ac:dyDescent="0.2">
      <c r="A258" s="453">
        <f t="shared" si="11"/>
        <v>49766</v>
      </c>
      <c r="B258" s="30">
        <v>49766</v>
      </c>
      <c r="C258" s="16">
        <f t="shared" si="9"/>
        <v>0</v>
      </c>
      <c r="D258" s="16">
        <f t="shared" si="10"/>
        <v>0</v>
      </c>
      <c r="E258" s="16" t="e">
        <f>+IF(AND(B258&gt;=#REF!,B258&lt;=#REF!),"OUI","NON")</f>
        <v>#REF!</v>
      </c>
      <c r="F258" s="16" t="e">
        <f t="array" ref="F258">IF(E258="OUI",MAX(F$2:$O257)+1,"")</f>
        <v>#REF!</v>
      </c>
    </row>
    <row r="259" spans="1:6" x14ac:dyDescent="0.2">
      <c r="A259" s="453">
        <f t="shared" si="11"/>
        <v>49796</v>
      </c>
      <c r="B259" s="30">
        <v>49796</v>
      </c>
      <c r="C259" s="16">
        <f t="shared" ref="C259:C322" si="12">IFERROR(+VLOOKUP(B259,BDD,53,FALSE),0)</f>
        <v>0</v>
      </c>
      <c r="D259" s="16">
        <f t="shared" ref="D259:D322" si="13">IFERROR(+VLOOKUP(B259,BDD,54,FALSE),0)</f>
        <v>0</v>
      </c>
      <c r="E259" s="16" t="e">
        <f>+IF(AND(B259&gt;=#REF!,B259&lt;=#REF!),"OUI","NON")</f>
        <v>#REF!</v>
      </c>
      <c r="F259" s="16" t="e">
        <f t="array" ref="F259">IF(E259="OUI",MAX(F$2:$O258)+1,"")</f>
        <v>#REF!</v>
      </c>
    </row>
    <row r="260" spans="1:6" x14ac:dyDescent="0.2">
      <c r="A260" s="453">
        <f t="shared" ref="A260:A323" si="14">+B260</f>
        <v>49827</v>
      </c>
      <c r="B260" s="30">
        <v>49827</v>
      </c>
      <c r="C260" s="16">
        <f t="shared" si="12"/>
        <v>0</v>
      </c>
      <c r="D260" s="16">
        <f t="shared" si="13"/>
        <v>0</v>
      </c>
      <c r="E260" s="16" t="e">
        <f>+IF(AND(B260&gt;=#REF!,B260&lt;=#REF!),"OUI","NON")</f>
        <v>#REF!</v>
      </c>
      <c r="F260" s="16" t="e">
        <f t="array" ref="F260">IF(E260="OUI",MAX(F$2:$O259)+1,"")</f>
        <v>#REF!</v>
      </c>
    </row>
    <row r="261" spans="1:6" x14ac:dyDescent="0.2">
      <c r="A261" s="453">
        <f t="shared" si="14"/>
        <v>49857</v>
      </c>
      <c r="B261" s="30">
        <v>49857</v>
      </c>
      <c r="C261" s="16">
        <f t="shared" si="12"/>
        <v>0</v>
      </c>
      <c r="D261" s="16">
        <f t="shared" si="13"/>
        <v>0</v>
      </c>
      <c r="E261" s="16" t="e">
        <f>+IF(AND(B261&gt;=#REF!,B261&lt;=#REF!),"OUI","NON")</f>
        <v>#REF!</v>
      </c>
      <c r="F261" s="16" t="e">
        <f t="array" ref="F261">IF(E261="OUI",MAX(F$2:$O260)+1,"")</f>
        <v>#REF!</v>
      </c>
    </row>
    <row r="262" spans="1:6" x14ac:dyDescent="0.2">
      <c r="A262" s="453">
        <f t="shared" si="14"/>
        <v>49888</v>
      </c>
      <c r="B262" s="30">
        <v>49888</v>
      </c>
      <c r="C262" s="16">
        <f t="shared" si="12"/>
        <v>0</v>
      </c>
      <c r="D262" s="16">
        <f t="shared" si="13"/>
        <v>0</v>
      </c>
      <c r="E262" s="16" t="e">
        <f>+IF(AND(B262&gt;=#REF!,B262&lt;=#REF!),"OUI","NON")</f>
        <v>#REF!</v>
      </c>
      <c r="F262" s="16" t="e">
        <f t="array" ref="F262">IF(E262="OUI",MAX(F$2:$O261)+1,"")</f>
        <v>#REF!</v>
      </c>
    </row>
    <row r="263" spans="1:6" x14ac:dyDescent="0.2">
      <c r="A263" s="453">
        <f t="shared" si="14"/>
        <v>49919</v>
      </c>
      <c r="B263" s="30">
        <v>49919</v>
      </c>
      <c r="C263" s="16">
        <f t="shared" si="12"/>
        <v>0</v>
      </c>
      <c r="D263" s="16">
        <f t="shared" si="13"/>
        <v>0</v>
      </c>
      <c r="E263" s="16" t="e">
        <f>+IF(AND(B263&gt;=#REF!,B263&lt;=#REF!),"OUI","NON")</f>
        <v>#REF!</v>
      </c>
      <c r="F263" s="16" t="e">
        <f t="array" ref="F263">IF(E263="OUI",MAX(F$2:$O262)+1,"")</f>
        <v>#REF!</v>
      </c>
    </row>
    <row r="264" spans="1:6" x14ac:dyDescent="0.2">
      <c r="A264" s="453">
        <f t="shared" si="14"/>
        <v>49949</v>
      </c>
      <c r="B264" s="30">
        <v>49949</v>
      </c>
      <c r="C264" s="16">
        <f t="shared" si="12"/>
        <v>0</v>
      </c>
      <c r="D264" s="16">
        <f t="shared" si="13"/>
        <v>0</v>
      </c>
      <c r="E264" s="16" t="e">
        <f>+IF(AND(B264&gt;=#REF!,B264&lt;=#REF!),"OUI","NON")</f>
        <v>#REF!</v>
      </c>
      <c r="F264" s="16" t="e">
        <f t="array" ref="F264">IF(E264="OUI",MAX(F$2:$O263)+1,"")</f>
        <v>#REF!</v>
      </c>
    </row>
    <row r="265" spans="1:6" x14ac:dyDescent="0.2">
      <c r="A265" s="453">
        <f t="shared" si="14"/>
        <v>49980</v>
      </c>
      <c r="B265" s="30">
        <v>49980</v>
      </c>
      <c r="C265" s="16">
        <f t="shared" si="12"/>
        <v>0</v>
      </c>
      <c r="D265" s="16">
        <f t="shared" si="13"/>
        <v>0</v>
      </c>
      <c r="E265" s="16" t="e">
        <f>+IF(AND(B265&gt;=#REF!,B265&lt;=#REF!),"OUI","NON")</f>
        <v>#REF!</v>
      </c>
      <c r="F265" s="16" t="e">
        <f t="array" ref="F265">IF(E265="OUI",MAX(F$2:$O264)+1,"")</f>
        <v>#REF!</v>
      </c>
    </row>
    <row r="266" spans="1:6" x14ac:dyDescent="0.2">
      <c r="A266" s="453">
        <f t="shared" si="14"/>
        <v>50010</v>
      </c>
      <c r="B266" s="30">
        <v>50010</v>
      </c>
      <c r="C266" s="16">
        <f t="shared" si="12"/>
        <v>0</v>
      </c>
      <c r="D266" s="16">
        <f t="shared" si="13"/>
        <v>0</v>
      </c>
      <c r="E266" s="16" t="e">
        <f>+IF(AND(B266&gt;=#REF!,B266&lt;=#REF!),"OUI","NON")</f>
        <v>#REF!</v>
      </c>
      <c r="F266" s="16" t="e">
        <f t="array" ref="F266">IF(E266="OUI",MAX(F$2:$O265)+1,"")</f>
        <v>#REF!</v>
      </c>
    </row>
    <row r="267" spans="1:6" x14ac:dyDescent="0.2">
      <c r="A267" s="453">
        <f t="shared" si="14"/>
        <v>50041</v>
      </c>
      <c r="B267" s="30">
        <v>50041</v>
      </c>
      <c r="C267" s="16">
        <f t="shared" si="12"/>
        <v>0</v>
      </c>
      <c r="D267" s="16">
        <f t="shared" si="13"/>
        <v>0</v>
      </c>
      <c r="E267" s="16" t="e">
        <f>+IF(AND(B267&gt;=#REF!,B267&lt;=#REF!),"OUI","NON")</f>
        <v>#REF!</v>
      </c>
      <c r="F267" s="16" t="e">
        <f t="array" ref="F267">IF(E267="OUI",MAX(F$2:$O266)+1,"")</f>
        <v>#REF!</v>
      </c>
    </row>
    <row r="268" spans="1:6" x14ac:dyDescent="0.2">
      <c r="A268" s="453">
        <f t="shared" si="14"/>
        <v>50072</v>
      </c>
      <c r="B268" s="30">
        <v>50072</v>
      </c>
      <c r="C268" s="16">
        <f t="shared" si="12"/>
        <v>0</v>
      </c>
      <c r="D268" s="16">
        <f t="shared" si="13"/>
        <v>0</v>
      </c>
      <c r="E268" s="16" t="e">
        <f>+IF(AND(B268&gt;=#REF!,B268&lt;=#REF!),"OUI","NON")</f>
        <v>#REF!</v>
      </c>
      <c r="F268" s="16" t="e">
        <f t="array" ref="F268">IF(E268="OUI",MAX(F$2:$O267)+1,"")</f>
        <v>#REF!</v>
      </c>
    </row>
    <row r="269" spans="1:6" x14ac:dyDescent="0.2">
      <c r="A269" s="453">
        <f t="shared" si="14"/>
        <v>50100</v>
      </c>
      <c r="B269" s="30">
        <v>50100</v>
      </c>
      <c r="C269" s="16">
        <f t="shared" si="12"/>
        <v>0</v>
      </c>
      <c r="D269" s="16">
        <f t="shared" si="13"/>
        <v>0</v>
      </c>
      <c r="E269" s="16" t="e">
        <f>+IF(AND(B269&gt;=#REF!,B269&lt;=#REF!),"OUI","NON")</f>
        <v>#REF!</v>
      </c>
      <c r="F269" s="16" t="e">
        <f t="array" ref="F269">IF(E269="OUI",MAX(F$2:$O268)+1,"")</f>
        <v>#REF!</v>
      </c>
    </row>
    <row r="270" spans="1:6" x14ac:dyDescent="0.2">
      <c r="A270" s="453">
        <f t="shared" si="14"/>
        <v>50131</v>
      </c>
      <c r="B270" s="30">
        <v>50131</v>
      </c>
      <c r="C270" s="16">
        <f t="shared" si="12"/>
        <v>0</v>
      </c>
      <c r="D270" s="16">
        <f t="shared" si="13"/>
        <v>0</v>
      </c>
      <c r="E270" s="16" t="e">
        <f>+IF(AND(B270&gt;=#REF!,B270&lt;=#REF!),"OUI","NON")</f>
        <v>#REF!</v>
      </c>
      <c r="F270" s="16" t="e">
        <f t="array" ref="F270">IF(E270="OUI",MAX(F$2:$O269)+1,"")</f>
        <v>#REF!</v>
      </c>
    </row>
    <row r="271" spans="1:6" x14ac:dyDescent="0.2">
      <c r="A271" s="453">
        <f t="shared" si="14"/>
        <v>50161</v>
      </c>
      <c r="B271" s="30">
        <v>50161</v>
      </c>
      <c r="C271" s="16">
        <f t="shared" si="12"/>
        <v>0</v>
      </c>
      <c r="D271" s="16">
        <f t="shared" si="13"/>
        <v>0</v>
      </c>
      <c r="E271" s="16" t="e">
        <f>+IF(AND(B271&gt;=#REF!,B271&lt;=#REF!),"OUI","NON")</f>
        <v>#REF!</v>
      </c>
      <c r="F271" s="16" t="e">
        <f t="array" ref="F271">IF(E271="OUI",MAX(F$2:$O270)+1,"")</f>
        <v>#REF!</v>
      </c>
    </row>
    <row r="272" spans="1:6" x14ac:dyDescent="0.2">
      <c r="A272" s="453">
        <f t="shared" si="14"/>
        <v>50192</v>
      </c>
      <c r="B272" s="30">
        <v>50192</v>
      </c>
      <c r="C272" s="16">
        <f t="shared" si="12"/>
        <v>0</v>
      </c>
      <c r="D272" s="16">
        <f t="shared" si="13"/>
        <v>0</v>
      </c>
      <c r="E272" s="16" t="e">
        <f>+IF(AND(B272&gt;=#REF!,B272&lt;=#REF!),"OUI","NON")</f>
        <v>#REF!</v>
      </c>
      <c r="F272" s="16" t="e">
        <f t="array" ref="F272">IF(E272="OUI",MAX(F$2:$O271)+1,"")</f>
        <v>#REF!</v>
      </c>
    </row>
    <row r="273" spans="1:6" x14ac:dyDescent="0.2">
      <c r="A273" s="453">
        <f t="shared" si="14"/>
        <v>50222</v>
      </c>
      <c r="B273" s="30">
        <v>50222</v>
      </c>
      <c r="C273" s="16">
        <f t="shared" si="12"/>
        <v>0</v>
      </c>
      <c r="D273" s="16">
        <f t="shared" si="13"/>
        <v>0</v>
      </c>
      <c r="E273" s="16" t="e">
        <f>+IF(AND(B273&gt;=#REF!,B273&lt;=#REF!),"OUI","NON")</f>
        <v>#REF!</v>
      </c>
      <c r="F273" s="16" t="e">
        <f t="array" ref="F273">IF(E273="OUI",MAX(F$2:$O272)+1,"")</f>
        <v>#REF!</v>
      </c>
    </row>
    <row r="274" spans="1:6" x14ac:dyDescent="0.2">
      <c r="A274" s="453">
        <f t="shared" si="14"/>
        <v>50253</v>
      </c>
      <c r="B274" s="30">
        <v>50253</v>
      </c>
      <c r="C274" s="16">
        <f t="shared" si="12"/>
        <v>0</v>
      </c>
      <c r="D274" s="16">
        <f t="shared" si="13"/>
        <v>0</v>
      </c>
      <c r="E274" s="16" t="e">
        <f>+IF(AND(B274&gt;=#REF!,B274&lt;=#REF!),"OUI","NON")</f>
        <v>#REF!</v>
      </c>
      <c r="F274" s="16" t="e">
        <f t="array" ref="F274">IF(E274="OUI",MAX(F$2:$O273)+1,"")</f>
        <v>#REF!</v>
      </c>
    </row>
    <row r="275" spans="1:6" x14ac:dyDescent="0.2">
      <c r="A275" s="453">
        <f t="shared" si="14"/>
        <v>50284</v>
      </c>
      <c r="B275" s="30">
        <v>50284</v>
      </c>
      <c r="C275" s="16">
        <f t="shared" si="12"/>
        <v>0</v>
      </c>
      <c r="D275" s="16">
        <f t="shared" si="13"/>
        <v>0</v>
      </c>
      <c r="E275" s="16" t="e">
        <f>+IF(AND(B275&gt;=#REF!,B275&lt;=#REF!),"OUI","NON")</f>
        <v>#REF!</v>
      </c>
      <c r="F275" s="16" t="e">
        <f t="array" ref="F275">IF(E275="OUI",MAX(F$2:$O274)+1,"")</f>
        <v>#REF!</v>
      </c>
    </row>
    <row r="276" spans="1:6" x14ac:dyDescent="0.2">
      <c r="A276" s="453">
        <f t="shared" si="14"/>
        <v>50314</v>
      </c>
      <c r="B276" s="30">
        <v>50314</v>
      </c>
      <c r="C276" s="16">
        <f t="shared" si="12"/>
        <v>0</v>
      </c>
      <c r="D276" s="16">
        <f t="shared" si="13"/>
        <v>0</v>
      </c>
      <c r="E276" s="16" t="e">
        <f>+IF(AND(B276&gt;=#REF!,B276&lt;=#REF!),"OUI","NON")</f>
        <v>#REF!</v>
      </c>
      <c r="F276" s="16" t="e">
        <f t="array" ref="F276">IF(E276="OUI",MAX(F$2:$O275)+1,"")</f>
        <v>#REF!</v>
      </c>
    </row>
    <row r="277" spans="1:6" x14ac:dyDescent="0.2">
      <c r="A277" s="453">
        <f t="shared" si="14"/>
        <v>50345</v>
      </c>
      <c r="B277" s="30">
        <v>50345</v>
      </c>
      <c r="C277" s="16">
        <f t="shared" si="12"/>
        <v>0</v>
      </c>
      <c r="D277" s="16">
        <f t="shared" si="13"/>
        <v>0</v>
      </c>
      <c r="E277" s="16" t="e">
        <f>+IF(AND(B277&gt;=#REF!,B277&lt;=#REF!),"OUI","NON")</f>
        <v>#REF!</v>
      </c>
      <c r="F277" s="16" t="e">
        <f t="array" ref="F277">IF(E277="OUI",MAX(F$2:$O276)+1,"")</f>
        <v>#REF!</v>
      </c>
    </row>
    <row r="278" spans="1:6" x14ac:dyDescent="0.2">
      <c r="A278" s="453">
        <f t="shared" si="14"/>
        <v>50375</v>
      </c>
      <c r="B278" s="30">
        <v>50375</v>
      </c>
      <c r="C278" s="16">
        <f t="shared" si="12"/>
        <v>0</v>
      </c>
      <c r="D278" s="16">
        <f t="shared" si="13"/>
        <v>0</v>
      </c>
      <c r="E278" s="16" t="e">
        <f>+IF(AND(B278&gt;=#REF!,B278&lt;=#REF!),"OUI","NON")</f>
        <v>#REF!</v>
      </c>
      <c r="F278" s="16" t="e">
        <f t="array" ref="F278">IF(E278="OUI",MAX(F$2:$O277)+1,"")</f>
        <v>#REF!</v>
      </c>
    </row>
    <row r="279" spans="1:6" x14ac:dyDescent="0.2">
      <c r="A279" s="453">
        <f t="shared" si="14"/>
        <v>50406</v>
      </c>
      <c r="B279" s="30">
        <v>50406</v>
      </c>
      <c r="C279" s="16">
        <f t="shared" si="12"/>
        <v>0</v>
      </c>
      <c r="D279" s="16">
        <f t="shared" si="13"/>
        <v>0</v>
      </c>
      <c r="E279" s="16" t="e">
        <f>+IF(AND(B279&gt;=#REF!,B279&lt;=#REF!),"OUI","NON")</f>
        <v>#REF!</v>
      </c>
      <c r="F279" s="16" t="e">
        <f t="array" ref="F279">IF(E279="OUI",MAX(F$2:$O278)+1,"")</f>
        <v>#REF!</v>
      </c>
    </row>
    <row r="280" spans="1:6" x14ac:dyDescent="0.2">
      <c r="A280" s="453">
        <f t="shared" si="14"/>
        <v>50437</v>
      </c>
      <c r="B280" s="30">
        <v>50437</v>
      </c>
      <c r="C280" s="16">
        <f t="shared" si="12"/>
        <v>0</v>
      </c>
      <c r="D280" s="16">
        <f t="shared" si="13"/>
        <v>0</v>
      </c>
      <c r="E280" s="16" t="e">
        <f>+IF(AND(B280&gt;=#REF!,B280&lt;=#REF!),"OUI","NON")</f>
        <v>#REF!</v>
      </c>
      <c r="F280" s="16" t="e">
        <f t="array" ref="F280">IF(E280="OUI",MAX(F$2:$O279)+1,"")</f>
        <v>#REF!</v>
      </c>
    </row>
    <row r="281" spans="1:6" x14ac:dyDescent="0.2">
      <c r="A281" s="453">
        <f t="shared" si="14"/>
        <v>50465</v>
      </c>
      <c r="B281" s="30">
        <v>50465</v>
      </c>
      <c r="C281" s="16">
        <f t="shared" si="12"/>
        <v>0</v>
      </c>
      <c r="D281" s="16">
        <f t="shared" si="13"/>
        <v>0</v>
      </c>
      <c r="E281" s="16" t="e">
        <f>+IF(AND(B281&gt;=#REF!,B281&lt;=#REF!),"OUI","NON")</f>
        <v>#REF!</v>
      </c>
      <c r="F281" s="16" t="e">
        <f t="array" ref="F281">IF(E281="OUI",MAX(F$2:$O280)+1,"")</f>
        <v>#REF!</v>
      </c>
    </row>
    <row r="282" spans="1:6" x14ac:dyDescent="0.2">
      <c r="A282" s="453">
        <f t="shared" si="14"/>
        <v>50496</v>
      </c>
      <c r="B282" s="30">
        <v>50496</v>
      </c>
      <c r="C282" s="16">
        <f t="shared" si="12"/>
        <v>0</v>
      </c>
      <c r="D282" s="16">
        <f t="shared" si="13"/>
        <v>0</v>
      </c>
      <c r="E282" s="16" t="e">
        <f>+IF(AND(B282&gt;=#REF!,B282&lt;=#REF!),"OUI","NON")</f>
        <v>#REF!</v>
      </c>
      <c r="F282" s="16" t="e">
        <f t="array" ref="F282">IF(E282="OUI",MAX(F$2:$O281)+1,"")</f>
        <v>#REF!</v>
      </c>
    </row>
    <row r="283" spans="1:6" x14ac:dyDescent="0.2">
      <c r="A283" s="453">
        <f t="shared" si="14"/>
        <v>50526</v>
      </c>
      <c r="B283" s="30">
        <v>50526</v>
      </c>
      <c r="C283" s="16">
        <f t="shared" si="12"/>
        <v>0</v>
      </c>
      <c r="D283" s="16">
        <f t="shared" si="13"/>
        <v>0</v>
      </c>
      <c r="E283" s="16" t="e">
        <f>+IF(AND(B283&gt;=#REF!,B283&lt;=#REF!),"OUI","NON")</f>
        <v>#REF!</v>
      </c>
      <c r="F283" s="16" t="e">
        <f t="array" ref="F283">IF(E283="OUI",MAX(F$2:$O282)+1,"")</f>
        <v>#REF!</v>
      </c>
    </row>
    <row r="284" spans="1:6" x14ac:dyDescent="0.2">
      <c r="A284" s="453">
        <f t="shared" si="14"/>
        <v>50557</v>
      </c>
      <c r="B284" s="30">
        <v>50557</v>
      </c>
      <c r="C284" s="16">
        <f t="shared" si="12"/>
        <v>0</v>
      </c>
      <c r="D284" s="16">
        <f t="shared" si="13"/>
        <v>0</v>
      </c>
      <c r="E284" s="16" t="e">
        <f>+IF(AND(B284&gt;=#REF!,B284&lt;=#REF!),"OUI","NON")</f>
        <v>#REF!</v>
      </c>
      <c r="F284" s="16" t="e">
        <f t="array" ref="F284">IF(E284="OUI",MAX(F$2:$O283)+1,"")</f>
        <v>#REF!</v>
      </c>
    </row>
    <row r="285" spans="1:6" x14ac:dyDescent="0.2">
      <c r="A285" s="453">
        <f t="shared" si="14"/>
        <v>50587</v>
      </c>
      <c r="B285" s="30">
        <v>50587</v>
      </c>
      <c r="C285" s="16">
        <f t="shared" si="12"/>
        <v>0</v>
      </c>
      <c r="D285" s="16">
        <f t="shared" si="13"/>
        <v>0</v>
      </c>
      <c r="E285" s="16" t="e">
        <f>+IF(AND(B285&gt;=#REF!,B285&lt;=#REF!),"OUI","NON")</f>
        <v>#REF!</v>
      </c>
      <c r="F285" s="16" t="e">
        <f t="array" ref="F285">IF(E285="OUI",MAX(F$2:$O284)+1,"")</f>
        <v>#REF!</v>
      </c>
    </row>
    <row r="286" spans="1:6" x14ac:dyDescent="0.2">
      <c r="A286" s="453">
        <f t="shared" si="14"/>
        <v>50618</v>
      </c>
      <c r="B286" s="30">
        <v>50618</v>
      </c>
      <c r="C286" s="16">
        <f t="shared" si="12"/>
        <v>0</v>
      </c>
      <c r="D286" s="16">
        <f t="shared" si="13"/>
        <v>0</v>
      </c>
      <c r="E286" s="16" t="e">
        <f>+IF(AND(B286&gt;=#REF!,B286&lt;=#REF!),"OUI","NON")</f>
        <v>#REF!</v>
      </c>
      <c r="F286" s="16" t="e">
        <f t="array" ref="F286">IF(E286="OUI",MAX(F$2:$O285)+1,"")</f>
        <v>#REF!</v>
      </c>
    </row>
    <row r="287" spans="1:6" x14ac:dyDescent="0.2">
      <c r="A287" s="453">
        <f t="shared" si="14"/>
        <v>50649</v>
      </c>
      <c r="B287" s="30">
        <v>50649</v>
      </c>
      <c r="C287" s="16">
        <f t="shared" si="12"/>
        <v>0</v>
      </c>
      <c r="D287" s="16">
        <f t="shared" si="13"/>
        <v>0</v>
      </c>
      <c r="E287" s="16" t="e">
        <f>+IF(AND(B287&gt;=#REF!,B287&lt;=#REF!),"OUI","NON")</f>
        <v>#REF!</v>
      </c>
      <c r="F287" s="16" t="e">
        <f t="array" ref="F287">IF(E287="OUI",MAX(F$2:$O286)+1,"")</f>
        <v>#REF!</v>
      </c>
    </row>
    <row r="288" spans="1:6" x14ac:dyDescent="0.2">
      <c r="A288" s="453">
        <f t="shared" si="14"/>
        <v>50679</v>
      </c>
      <c r="B288" s="30">
        <v>50679</v>
      </c>
      <c r="C288" s="16">
        <f t="shared" si="12"/>
        <v>0</v>
      </c>
      <c r="D288" s="16">
        <f t="shared" si="13"/>
        <v>0</v>
      </c>
      <c r="E288" s="16" t="e">
        <f>+IF(AND(B288&gt;=#REF!,B288&lt;=#REF!),"OUI","NON")</f>
        <v>#REF!</v>
      </c>
      <c r="F288" s="16" t="e">
        <f t="array" ref="F288">IF(E288="OUI",MAX(F$2:$O287)+1,"")</f>
        <v>#REF!</v>
      </c>
    </row>
    <row r="289" spans="1:6" x14ac:dyDescent="0.2">
      <c r="A289" s="453">
        <f t="shared" si="14"/>
        <v>50710</v>
      </c>
      <c r="B289" s="30">
        <v>50710</v>
      </c>
      <c r="C289" s="16">
        <f t="shared" si="12"/>
        <v>0</v>
      </c>
      <c r="D289" s="16">
        <f t="shared" si="13"/>
        <v>0</v>
      </c>
      <c r="E289" s="16" t="e">
        <f>+IF(AND(B289&gt;=#REF!,B289&lt;=#REF!),"OUI","NON")</f>
        <v>#REF!</v>
      </c>
      <c r="F289" s="16" t="e">
        <f t="array" ref="F289">IF(E289="OUI",MAX(F$2:$O288)+1,"")</f>
        <v>#REF!</v>
      </c>
    </row>
    <row r="290" spans="1:6" x14ac:dyDescent="0.2">
      <c r="A290" s="453">
        <f t="shared" si="14"/>
        <v>50740</v>
      </c>
      <c r="B290" s="30">
        <v>50740</v>
      </c>
      <c r="C290" s="16">
        <f t="shared" si="12"/>
        <v>0</v>
      </c>
      <c r="D290" s="16">
        <f t="shared" si="13"/>
        <v>0</v>
      </c>
      <c r="E290" s="16" t="e">
        <f>+IF(AND(B290&gt;=#REF!,B290&lt;=#REF!),"OUI","NON")</f>
        <v>#REF!</v>
      </c>
      <c r="F290" s="16" t="e">
        <f t="array" ref="F290">IF(E290="OUI",MAX(F$2:$O289)+1,"")</f>
        <v>#REF!</v>
      </c>
    </row>
    <row r="291" spans="1:6" x14ac:dyDescent="0.2">
      <c r="A291" s="453">
        <f t="shared" si="14"/>
        <v>50771</v>
      </c>
      <c r="B291" s="30">
        <v>50771</v>
      </c>
      <c r="C291" s="16">
        <f t="shared" si="12"/>
        <v>0</v>
      </c>
      <c r="D291" s="16">
        <f t="shared" si="13"/>
        <v>0</v>
      </c>
      <c r="E291" s="16" t="e">
        <f>+IF(AND(B291&gt;=#REF!,B291&lt;=#REF!),"OUI","NON")</f>
        <v>#REF!</v>
      </c>
      <c r="F291" s="16" t="e">
        <f t="array" ref="F291">IF(E291="OUI",MAX(F$2:$O290)+1,"")</f>
        <v>#REF!</v>
      </c>
    </row>
    <row r="292" spans="1:6" x14ac:dyDescent="0.2">
      <c r="A292" s="453">
        <f t="shared" si="14"/>
        <v>50802</v>
      </c>
      <c r="B292" s="30">
        <v>50802</v>
      </c>
      <c r="C292" s="16">
        <f t="shared" si="12"/>
        <v>0</v>
      </c>
      <c r="D292" s="16">
        <f t="shared" si="13"/>
        <v>0</v>
      </c>
      <c r="E292" s="16" t="e">
        <f>+IF(AND(B292&gt;=#REF!,B292&lt;=#REF!),"OUI","NON")</f>
        <v>#REF!</v>
      </c>
      <c r="F292" s="16" t="e">
        <f t="array" ref="F292">IF(E292="OUI",MAX(F$2:$O291)+1,"")</f>
        <v>#REF!</v>
      </c>
    </row>
    <row r="293" spans="1:6" x14ac:dyDescent="0.2">
      <c r="A293" s="453">
        <f t="shared" si="14"/>
        <v>50830</v>
      </c>
      <c r="B293" s="30">
        <v>50830</v>
      </c>
      <c r="C293" s="16">
        <f t="shared" si="12"/>
        <v>0</v>
      </c>
      <c r="D293" s="16">
        <f t="shared" si="13"/>
        <v>0</v>
      </c>
      <c r="E293" s="16" t="e">
        <f>+IF(AND(B293&gt;=#REF!,B293&lt;=#REF!),"OUI","NON")</f>
        <v>#REF!</v>
      </c>
      <c r="F293" s="16" t="e">
        <f t="array" ref="F293">IF(E293="OUI",MAX(F$2:$O292)+1,"")</f>
        <v>#REF!</v>
      </c>
    </row>
    <row r="294" spans="1:6" x14ac:dyDescent="0.2">
      <c r="A294" s="453">
        <f t="shared" si="14"/>
        <v>50861</v>
      </c>
      <c r="B294" s="30">
        <v>50861</v>
      </c>
      <c r="C294" s="16">
        <f t="shared" si="12"/>
        <v>0</v>
      </c>
      <c r="D294" s="16">
        <f t="shared" si="13"/>
        <v>0</v>
      </c>
      <c r="E294" s="16" t="e">
        <f>+IF(AND(B294&gt;=#REF!,B294&lt;=#REF!),"OUI","NON")</f>
        <v>#REF!</v>
      </c>
      <c r="F294" s="16" t="e">
        <f t="array" ref="F294">IF(E294="OUI",MAX(F$2:$O293)+1,"")</f>
        <v>#REF!</v>
      </c>
    </row>
    <row r="295" spans="1:6" x14ac:dyDescent="0.2">
      <c r="A295" s="453">
        <f t="shared" si="14"/>
        <v>50891</v>
      </c>
      <c r="B295" s="30">
        <v>50891</v>
      </c>
      <c r="C295" s="16">
        <f t="shared" si="12"/>
        <v>0</v>
      </c>
      <c r="D295" s="16">
        <f t="shared" si="13"/>
        <v>0</v>
      </c>
      <c r="E295" s="16" t="e">
        <f>+IF(AND(B295&gt;=#REF!,B295&lt;=#REF!),"OUI","NON")</f>
        <v>#REF!</v>
      </c>
      <c r="F295" s="16" t="e">
        <f t="array" ref="F295">IF(E295="OUI",MAX(F$2:$O294)+1,"")</f>
        <v>#REF!</v>
      </c>
    </row>
    <row r="296" spans="1:6" x14ac:dyDescent="0.2">
      <c r="A296" s="453">
        <f t="shared" si="14"/>
        <v>50922</v>
      </c>
      <c r="B296" s="30">
        <v>50922</v>
      </c>
      <c r="C296" s="16">
        <f t="shared" si="12"/>
        <v>0</v>
      </c>
      <c r="D296" s="16">
        <f t="shared" si="13"/>
        <v>0</v>
      </c>
      <c r="E296" s="16" t="e">
        <f>+IF(AND(B296&gt;=#REF!,B296&lt;=#REF!),"OUI","NON")</f>
        <v>#REF!</v>
      </c>
      <c r="F296" s="16" t="e">
        <f t="array" ref="F296">IF(E296="OUI",MAX(F$2:$O295)+1,"")</f>
        <v>#REF!</v>
      </c>
    </row>
    <row r="297" spans="1:6" x14ac:dyDescent="0.2">
      <c r="A297" s="453">
        <f t="shared" si="14"/>
        <v>50952</v>
      </c>
      <c r="B297" s="30">
        <v>50952</v>
      </c>
      <c r="C297" s="16">
        <f t="shared" si="12"/>
        <v>0</v>
      </c>
      <c r="D297" s="16">
        <f t="shared" si="13"/>
        <v>0</v>
      </c>
      <c r="E297" s="16" t="e">
        <f>+IF(AND(B297&gt;=#REF!,B297&lt;=#REF!),"OUI","NON")</f>
        <v>#REF!</v>
      </c>
      <c r="F297" s="16" t="e">
        <f t="array" ref="F297">IF(E297="OUI",MAX(F$2:$O296)+1,"")</f>
        <v>#REF!</v>
      </c>
    </row>
    <row r="298" spans="1:6" x14ac:dyDescent="0.2">
      <c r="A298" s="453">
        <f t="shared" si="14"/>
        <v>50983</v>
      </c>
      <c r="B298" s="30">
        <v>50983</v>
      </c>
      <c r="C298" s="16">
        <f t="shared" si="12"/>
        <v>0</v>
      </c>
      <c r="D298" s="16">
        <f t="shared" si="13"/>
        <v>0</v>
      </c>
      <c r="E298" s="16" t="e">
        <f>+IF(AND(B298&gt;=#REF!,B298&lt;=#REF!),"OUI","NON")</f>
        <v>#REF!</v>
      </c>
      <c r="F298" s="16" t="e">
        <f t="array" ref="F298">IF(E298="OUI",MAX(F$2:$O297)+1,"")</f>
        <v>#REF!</v>
      </c>
    </row>
    <row r="299" spans="1:6" x14ac:dyDescent="0.2">
      <c r="A299" s="453">
        <f t="shared" si="14"/>
        <v>51014</v>
      </c>
      <c r="B299" s="30">
        <v>51014</v>
      </c>
      <c r="C299" s="16">
        <f t="shared" si="12"/>
        <v>0</v>
      </c>
      <c r="D299" s="16">
        <f t="shared" si="13"/>
        <v>0</v>
      </c>
      <c r="E299" s="16" t="e">
        <f>+IF(AND(B299&gt;=#REF!,B299&lt;=#REF!),"OUI","NON")</f>
        <v>#REF!</v>
      </c>
      <c r="F299" s="16" t="e">
        <f t="array" ref="F299">IF(E299="OUI",MAX(F$2:$O298)+1,"")</f>
        <v>#REF!</v>
      </c>
    </row>
    <row r="300" spans="1:6" x14ac:dyDescent="0.2">
      <c r="A300" s="453">
        <f t="shared" si="14"/>
        <v>51044</v>
      </c>
      <c r="B300" s="30">
        <v>51044</v>
      </c>
      <c r="C300" s="16">
        <f t="shared" si="12"/>
        <v>0</v>
      </c>
      <c r="D300" s="16">
        <f t="shared" si="13"/>
        <v>0</v>
      </c>
      <c r="E300" s="16" t="e">
        <f>+IF(AND(B300&gt;=#REF!,B300&lt;=#REF!),"OUI","NON")</f>
        <v>#REF!</v>
      </c>
      <c r="F300" s="16" t="e">
        <f t="array" ref="F300">IF(E300="OUI",MAX(F$2:$O299)+1,"")</f>
        <v>#REF!</v>
      </c>
    </row>
    <row r="301" spans="1:6" x14ac:dyDescent="0.2">
      <c r="A301" s="453">
        <f t="shared" si="14"/>
        <v>51075</v>
      </c>
      <c r="B301" s="30">
        <v>51075</v>
      </c>
      <c r="C301" s="16">
        <f t="shared" si="12"/>
        <v>0</v>
      </c>
      <c r="D301" s="16">
        <f t="shared" si="13"/>
        <v>0</v>
      </c>
      <c r="E301" s="16" t="e">
        <f>+IF(AND(B301&gt;=#REF!,B301&lt;=#REF!),"OUI","NON")</f>
        <v>#REF!</v>
      </c>
      <c r="F301" s="16" t="e">
        <f t="array" ref="F301">IF(E301="OUI",MAX(F$2:$O300)+1,"")</f>
        <v>#REF!</v>
      </c>
    </row>
    <row r="302" spans="1:6" x14ac:dyDescent="0.2">
      <c r="A302" s="453">
        <f t="shared" si="14"/>
        <v>51105</v>
      </c>
      <c r="B302" s="30">
        <v>51105</v>
      </c>
      <c r="C302" s="16">
        <f t="shared" si="12"/>
        <v>0</v>
      </c>
      <c r="D302" s="16">
        <f t="shared" si="13"/>
        <v>0</v>
      </c>
      <c r="E302" s="16" t="e">
        <f>+IF(AND(B302&gt;=#REF!,B302&lt;=#REF!),"OUI","NON")</f>
        <v>#REF!</v>
      </c>
      <c r="F302" s="16" t="e">
        <f t="array" ref="F302">IF(E302="OUI",MAX(F$2:$O301)+1,"")</f>
        <v>#REF!</v>
      </c>
    </row>
    <row r="303" spans="1:6" x14ac:dyDescent="0.2">
      <c r="A303" s="453">
        <f t="shared" si="14"/>
        <v>51136</v>
      </c>
      <c r="B303" s="30">
        <v>51136</v>
      </c>
      <c r="C303" s="16">
        <f t="shared" si="12"/>
        <v>0</v>
      </c>
      <c r="D303" s="16">
        <f t="shared" si="13"/>
        <v>0</v>
      </c>
      <c r="E303" s="16" t="e">
        <f>+IF(AND(B303&gt;=#REF!,B303&lt;=#REF!),"OUI","NON")</f>
        <v>#REF!</v>
      </c>
      <c r="F303" s="16" t="e">
        <f t="array" ref="F303">IF(E303="OUI",MAX(F$2:$O302)+1,"")</f>
        <v>#REF!</v>
      </c>
    </row>
    <row r="304" spans="1:6" x14ac:dyDescent="0.2">
      <c r="A304" s="453">
        <f t="shared" si="14"/>
        <v>51167</v>
      </c>
      <c r="B304" s="30">
        <v>51167</v>
      </c>
      <c r="C304" s="16">
        <f t="shared" si="12"/>
        <v>0</v>
      </c>
      <c r="D304" s="16">
        <f t="shared" si="13"/>
        <v>0</v>
      </c>
      <c r="E304" s="16" t="e">
        <f>+IF(AND(B304&gt;=#REF!,B304&lt;=#REF!),"OUI","NON")</f>
        <v>#REF!</v>
      </c>
      <c r="F304" s="16" t="e">
        <f t="array" ref="F304">IF(E304="OUI",MAX(F$2:$O303)+1,"")</f>
        <v>#REF!</v>
      </c>
    </row>
    <row r="305" spans="1:6" x14ac:dyDescent="0.2">
      <c r="A305" s="453">
        <f t="shared" si="14"/>
        <v>51196</v>
      </c>
      <c r="B305" s="30">
        <v>51196</v>
      </c>
      <c r="C305" s="16">
        <f t="shared" si="12"/>
        <v>0</v>
      </c>
      <c r="D305" s="16">
        <f t="shared" si="13"/>
        <v>0</v>
      </c>
      <c r="E305" s="16" t="e">
        <f>+IF(AND(B305&gt;=#REF!,B305&lt;=#REF!),"OUI","NON")</f>
        <v>#REF!</v>
      </c>
      <c r="F305" s="16" t="e">
        <f t="array" ref="F305">IF(E305="OUI",MAX(F$2:$O304)+1,"")</f>
        <v>#REF!</v>
      </c>
    </row>
    <row r="306" spans="1:6" x14ac:dyDescent="0.2">
      <c r="A306" s="453">
        <f t="shared" si="14"/>
        <v>51227</v>
      </c>
      <c r="B306" s="30">
        <v>51227</v>
      </c>
      <c r="C306" s="16">
        <f t="shared" si="12"/>
        <v>0</v>
      </c>
      <c r="D306" s="16">
        <f t="shared" si="13"/>
        <v>0</v>
      </c>
      <c r="E306" s="16" t="e">
        <f>+IF(AND(B306&gt;=#REF!,B306&lt;=#REF!),"OUI","NON")</f>
        <v>#REF!</v>
      </c>
      <c r="F306" s="16" t="e">
        <f t="array" ref="F306">IF(E306="OUI",MAX(F$2:$O305)+1,"")</f>
        <v>#REF!</v>
      </c>
    </row>
    <row r="307" spans="1:6" x14ac:dyDescent="0.2">
      <c r="A307" s="453">
        <f t="shared" si="14"/>
        <v>51257</v>
      </c>
      <c r="B307" s="30">
        <v>51257</v>
      </c>
      <c r="C307" s="16">
        <f t="shared" si="12"/>
        <v>0</v>
      </c>
      <c r="D307" s="16">
        <f t="shared" si="13"/>
        <v>0</v>
      </c>
      <c r="E307" s="16" t="e">
        <f>+IF(AND(B307&gt;=#REF!,B307&lt;=#REF!),"OUI","NON")</f>
        <v>#REF!</v>
      </c>
      <c r="F307" s="16" t="e">
        <f t="array" ref="F307">IF(E307="OUI",MAX(F$2:$O306)+1,"")</f>
        <v>#REF!</v>
      </c>
    </row>
    <row r="308" spans="1:6" x14ac:dyDescent="0.2">
      <c r="A308" s="453">
        <f t="shared" si="14"/>
        <v>51288</v>
      </c>
      <c r="B308" s="30">
        <v>51288</v>
      </c>
      <c r="C308" s="16">
        <f t="shared" si="12"/>
        <v>0</v>
      </c>
      <c r="D308" s="16">
        <f t="shared" si="13"/>
        <v>0</v>
      </c>
      <c r="E308" s="16" t="e">
        <f>+IF(AND(B308&gt;=#REF!,B308&lt;=#REF!),"OUI","NON")</f>
        <v>#REF!</v>
      </c>
      <c r="F308" s="16" t="e">
        <f t="array" ref="F308">IF(E308="OUI",MAX(F$2:$O307)+1,"")</f>
        <v>#REF!</v>
      </c>
    </row>
    <row r="309" spans="1:6" x14ac:dyDescent="0.2">
      <c r="A309" s="453">
        <f t="shared" si="14"/>
        <v>51318</v>
      </c>
      <c r="B309" s="30">
        <v>51318</v>
      </c>
      <c r="C309" s="16">
        <f t="shared" si="12"/>
        <v>0</v>
      </c>
      <c r="D309" s="16">
        <f t="shared" si="13"/>
        <v>0</v>
      </c>
      <c r="E309" s="16" t="e">
        <f>+IF(AND(B309&gt;=#REF!,B309&lt;=#REF!),"OUI","NON")</f>
        <v>#REF!</v>
      </c>
      <c r="F309" s="16" t="e">
        <f t="array" ref="F309">IF(E309="OUI",MAX(F$2:$O308)+1,"")</f>
        <v>#REF!</v>
      </c>
    </row>
    <row r="310" spans="1:6" x14ac:dyDescent="0.2">
      <c r="A310" s="453">
        <f t="shared" si="14"/>
        <v>51349</v>
      </c>
      <c r="B310" s="30">
        <v>51349</v>
      </c>
      <c r="C310" s="16">
        <f t="shared" si="12"/>
        <v>0</v>
      </c>
      <c r="D310" s="16">
        <f t="shared" si="13"/>
        <v>0</v>
      </c>
      <c r="E310" s="16" t="e">
        <f>+IF(AND(B310&gt;=#REF!,B310&lt;=#REF!),"OUI","NON")</f>
        <v>#REF!</v>
      </c>
      <c r="F310" s="16" t="e">
        <f t="array" ref="F310">IF(E310="OUI",MAX(F$2:$O309)+1,"")</f>
        <v>#REF!</v>
      </c>
    </row>
    <row r="311" spans="1:6" x14ac:dyDescent="0.2">
      <c r="A311" s="453">
        <f t="shared" si="14"/>
        <v>51380</v>
      </c>
      <c r="B311" s="30">
        <v>51380</v>
      </c>
      <c r="C311" s="16">
        <f t="shared" si="12"/>
        <v>0</v>
      </c>
      <c r="D311" s="16">
        <f t="shared" si="13"/>
        <v>0</v>
      </c>
      <c r="E311" s="16" t="e">
        <f>+IF(AND(B311&gt;=#REF!,B311&lt;=#REF!),"OUI","NON")</f>
        <v>#REF!</v>
      </c>
      <c r="F311" s="16" t="e">
        <f t="array" ref="F311">IF(E311="OUI",MAX(F$2:$O310)+1,"")</f>
        <v>#REF!</v>
      </c>
    </row>
    <row r="312" spans="1:6" x14ac:dyDescent="0.2">
      <c r="A312" s="453">
        <f t="shared" si="14"/>
        <v>51410</v>
      </c>
      <c r="B312" s="30">
        <v>51410</v>
      </c>
      <c r="C312" s="16">
        <f t="shared" si="12"/>
        <v>0</v>
      </c>
      <c r="D312" s="16">
        <f t="shared" si="13"/>
        <v>0</v>
      </c>
      <c r="E312" s="16" t="e">
        <f>+IF(AND(B312&gt;=#REF!,B312&lt;=#REF!),"OUI","NON")</f>
        <v>#REF!</v>
      </c>
      <c r="F312" s="16" t="e">
        <f t="array" ref="F312">IF(E312="OUI",MAX(F$2:$O311)+1,"")</f>
        <v>#REF!</v>
      </c>
    </row>
    <row r="313" spans="1:6" x14ac:dyDescent="0.2">
      <c r="A313" s="453">
        <f t="shared" si="14"/>
        <v>51441</v>
      </c>
      <c r="B313" s="30">
        <v>51441</v>
      </c>
      <c r="C313" s="16">
        <f t="shared" si="12"/>
        <v>0</v>
      </c>
      <c r="D313" s="16">
        <f t="shared" si="13"/>
        <v>0</v>
      </c>
      <c r="E313" s="16" t="e">
        <f>+IF(AND(B313&gt;=#REF!,B313&lt;=#REF!),"OUI","NON")</f>
        <v>#REF!</v>
      </c>
      <c r="F313" s="16" t="e">
        <f t="array" ref="F313">IF(E313="OUI",MAX(F$2:$O312)+1,"")</f>
        <v>#REF!</v>
      </c>
    </row>
    <row r="314" spans="1:6" x14ac:dyDescent="0.2">
      <c r="A314" s="453">
        <f t="shared" si="14"/>
        <v>51471</v>
      </c>
      <c r="B314" s="30">
        <v>51471</v>
      </c>
      <c r="C314" s="16">
        <f t="shared" si="12"/>
        <v>0</v>
      </c>
      <c r="D314" s="16">
        <f t="shared" si="13"/>
        <v>0</v>
      </c>
      <c r="E314" s="16" t="e">
        <f>+IF(AND(B314&gt;=#REF!,B314&lt;=#REF!),"OUI","NON")</f>
        <v>#REF!</v>
      </c>
      <c r="F314" s="16" t="e">
        <f t="array" ref="F314">IF(E314="OUI",MAX(F$2:$O313)+1,"")</f>
        <v>#REF!</v>
      </c>
    </row>
    <row r="315" spans="1:6" x14ac:dyDescent="0.2">
      <c r="A315" s="453">
        <f t="shared" si="14"/>
        <v>51502</v>
      </c>
      <c r="B315" s="30">
        <v>51502</v>
      </c>
      <c r="C315" s="16">
        <f t="shared" si="12"/>
        <v>0</v>
      </c>
      <c r="D315" s="16">
        <f t="shared" si="13"/>
        <v>0</v>
      </c>
      <c r="E315" s="16" t="e">
        <f>+IF(AND(B315&gt;=#REF!,B315&lt;=#REF!),"OUI","NON")</f>
        <v>#REF!</v>
      </c>
      <c r="F315" s="16" t="e">
        <f t="array" ref="F315">IF(E315="OUI",MAX(F$2:$O314)+1,"")</f>
        <v>#REF!</v>
      </c>
    </row>
    <row r="316" spans="1:6" x14ac:dyDescent="0.2">
      <c r="A316" s="453">
        <f t="shared" si="14"/>
        <v>51533</v>
      </c>
      <c r="B316" s="30">
        <v>51533</v>
      </c>
      <c r="C316" s="16">
        <f t="shared" si="12"/>
        <v>0</v>
      </c>
      <c r="D316" s="16">
        <f t="shared" si="13"/>
        <v>0</v>
      </c>
      <c r="E316" s="16" t="e">
        <f>+IF(AND(B316&gt;=#REF!,B316&lt;=#REF!),"OUI","NON")</f>
        <v>#REF!</v>
      </c>
      <c r="F316" s="16" t="e">
        <f t="array" ref="F316">IF(E316="OUI",MAX(F$2:$O315)+1,"")</f>
        <v>#REF!</v>
      </c>
    </row>
    <row r="317" spans="1:6" x14ac:dyDescent="0.2">
      <c r="A317" s="453">
        <f t="shared" si="14"/>
        <v>51561</v>
      </c>
      <c r="B317" s="30">
        <v>51561</v>
      </c>
      <c r="C317" s="16">
        <f t="shared" si="12"/>
        <v>0</v>
      </c>
      <c r="D317" s="16">
        <f t="shared" si="13"/>
        <v>0</v>
      </c>
      <c r="E317" s="16" t="e">
        <f>+IF(AND(B317&gt;=#REF!,B317&lt;=#REF!),"OUI","NON")</f>
        <v>#REF!</v>
      </c>
      <c r="F317" s="16" t="e">
        <f t="array" ref="F317">IF(E317="OUI",MAX(F$2:$O316)+1,"")</f>
        <v>#REF!</v>
      </c>
    </row>
    <row r="318" spans="1:6" x14ac:dyDescent="0.2">
      <c r="A318" s="453">
        <f t="shared" si="14"/>
        <v>51592</v>
      </c>
      <c r="B318" s="30">
        <v>51592</v>
      </c>
      <c r="C318" s="16">
        <f t="shared" si="12"/>
        <v>0</v>
      </c>
      <c r="D318" s="16">
        <f t="shared" si="13"/>
        <v>0</v>
      </c>
      <c r="E318" s="16" t="e">
        <f>+IF(AND(B318&gt;=#REF!,B318&lt;=#REF!),"OUI","NON")</f>
        <v>#REF!</v>
      </c>
      <c r="F318" s="16" t="e">
        <f t="array" ref="F318">IF(E318="OUI",MAX(F$2:$O317)+1,"")</f>
        <v>#REF!</v>
      </c>
    </row>
    <row r="319" spans="1:6" x14ac:dyDescent="0.2">
      <c r="A319" s="453">
        <f t="shared" si="14"/>
        <v>51622</v>
      </c>
      <c r="B319" s="30">
        <v>51622</v>
      </c>
      <c r="C319" s="16">
        <f t="shared" si="12"/>
        <v>0</v>
      </c>
      <c r="D319" s="16">
        <f t="shared" si="13"/>
        <v>0</v>
      </c>
      <c r="E319" s="16" t="e">
        <f>+IF(AND(B319&gt;=#REF!,B319&lt;=#REF!),"OUI","NON")</f>
        <v>#REF!</v>
      </c>
      <c r="F319" s="16" t="e">
        <f t="array" ref="F319">IF(E319="OUI",MAX(F$2:$O318)+1,"")</f>
        <v>#REF!</v>
      </c>
    </row>
    <row r="320" spans="1:6" x14ac:dyDescent="0.2">
      <c r="A320" s="453">
        <f t="shared" si="14"/>
        <v>51653</v>
      </c>
      <c r="B320" s="30">
        <v>51653</v>
      </c>
      <c r="C320" s="16">
        <f t="shared" si="12"/>
        <v>0</v>
      </c>
      <c r="D320" s="16">
        <f t="shared" si="13"/>
        <v>0</v>
      </c>
      <c r="E320" s="16" t="e">
        <f>+IF(AND(B320&gt;=#REF!,B320&lt;=#REF!),"OUI","NON")</f>
        <v>#REF!</v>
      </c>
      <c r="F320" s="16" t="e">
        <f t="array" ref="F320">IF(E320="OUI",MAX(F$2:$O319)+1,"")</f>
        <v>#REF!</v>
      </c>
    </row>
    <row r="321" spans="1:6" x14ac:dyDescent="0.2">
      <c r="A321" s="453">
        <f t="shared" si="14"/>
        <v>51683</v>
      </c>
      <c r="B321" s="30">
        <v>51683</v>
      </c>
      <c r="C321" s="16">
        <f t="shared" si="12"/>
        <v>0</v>
      </c>
      <c r="D321" s="16">
        <f t="shared" si="13"/>
        <v>0</v>
      </c>
      <c r="E321" s="16" t="e">
        <f>+IF(AND(B321&gt;=#REF!,B321&lt;=#REF!),"OUI","NON")</f>
        <v>#REF!</v>
      </c>
      <c r="F321" s="16" t="e">
        <f t="array" ref="F321">IF(E321="OUI",MAX(F$2:$O320)+1,"")</f>
        <v>#REF!</v>
      </c>
    </row>
    <row r="322" spans="1:6" x14ac:dyDescent="0.2">
      <c r="A322" s="453">
        <f t="shared" si="14"/>
        <v>51714</v>
      </c>
      <c r="B322" s="30">
        <v>51714</v>
      </c>
      <c r="C322" s="16">
        <f t="shared" si="12"/>
        <v>0</v>
      </c>
      <c r="D322" s="16">
        <f t="shared" si="13"/>
        <v>0</v>
      </c>
      <c r="E322" s="16" t="e">
        <f>+IF(AND(B322&gt;=#REF!,B322&lt;=#REF!),"OUI","NON")</f>
        <v>#REF!</v>
      </c>
      <c r="F322" s="16" t="e">
        <f t="array" ref="F322">IF(E322="OUI",MAX(F$2:$O321)+1,"")</f>
        <v>#REF!</v>
      </c>
    </row>
    <row r="323" spans="1:6" x14ac:dyDescent="0.2">
      <c r="A323" s="453">
        <f t="shared" si="14"/>
        <v>51745</v>
      </c>
      <c r="B323" s="30">
        <v>51745</v>
      </c>
      <c r="C323" s="16">
        <f t="shared" ref="C323:C386" si="15">IFERROR(+VLOOKUP(B323,BDD,53,FALSE),0)</f>
        <v>0</v>
      </c>
      <c r="D323" s="16">
        <f t="shared" ref="D323:D386" si="16">IFERROR(+VLOOKUP(B323,BDD,54,FALSE),0)</f>
        <v>0</v>
      </c>
      <c r="E323" s="16" t="e">
        <f>+IF(AND(B323&gt;=#REF!,B323&lt;=#REF!),"OUI","NON")</f>
        <v>#REF!</v>
      </c>
      <c r="F323" s="16" t="e">
        <f t="array" ref="F323">IF(E323="OUI",MAX(F$2:$O322)+1,"")</f>
        <v>#REF!</v>
      </c>
    </row>
    <row r="324" spans="1:6" x14ac:dyDescent="0.2">
      <c r="A324" s="453">
        <f t="shared" ref="A324:A387" si="17">+B324</f>
        <v>51775</v>
      </c>
      <c r="B324" s="30">
        <v>51775</v>
      </c>
      <c r="C324" s="16">
        <f t="shared" si="15"/>
        <v>0</v>
      </c>
      <c r="D324" s="16">
        <f t="shared" si="16"/>
        <v>0</v>
      </c>
      <c r="E324" s="16" t="e">
        <f>+IF(AND(B324&gt;=#REF!,B324&lt;=#REF!),"OUI","NON")</f>
        <v>#REF!</v>
      </c>
      <c r="F324" s="16" t="e">
        <f t="array" ref="F324">IF(E324="OUI",MAX(F$2:$O323)+1,"")</f>
        <v>#REF!</v>
      </c>
    </row>
    <row r="325" spans="1:6" x14ac:dyDescent="0.2">
      <c r="A325" s="453">
        <f t="shared" si="17"/>
        <v>51806</v>
      </c>
      <c r="B325" s="30">
        <v>51806</v>
      </c>
      <c r="C325" s="16">
        <f t="shared" si="15"/>
        <v>0</v>
      </c>
      <c r="D325" s="16">
        <f t="shared" si="16"/>
        <v>0</v>
      </c>
      <c r="E325" s="16" t="e">
        <f>+IF(AND(B325&gt;=#REF!,B325&lt;=#REF!),"OUI","NON")</f>
        <v>#REF!</v>
      </c>
      <c r="F325" s="16" t="e">
        <f t="array" ref="F325">IF(E325="OUI",MAX(F$2:$O324)+1,"")</f>
        <v>#REF!</v>
      </c>
    </row>
    <row r="326" spans="1:6" x14ac:dyDescent="0.2">
      <c r="A326" s="453">
        <f t="shared" si="17"/>
        <v>51836</v>
      </c>
      <c r="B326" s="30">
        <v>51836</v>
      </c>
      <c r="C326" s="16">
        <f t="shared" si="15"/>
        <v>0</v>
      </c>
      <c r="D326" s="16">
        <f t="shared" si="16"/>
        <v>0</v>
      </c>
      <c r="E326" s="16" t="e">
        <f>+IF(AND(B326&gt;=#REF!,B326&lt;=#REF!),"OUI","NON")</f>
        <v>#REF!</v>
      </c>
      <c r="F326" s="16" t="e">
        <f t="array" ref="F326">IF(E326="OUI",MAX(F$2:$O325)+1,"")</f>
        <v>#REF!</v>
      </c>
    </row>
    <row r="327" spans="1:6" x14ac:dyDescent="0.2">
      <c r="A327" s="453">
        <f t="shared" si="17"/>
        <v>51867</v>
      </c>
      <c r="B327" s="30">
        <v>51867</v>
      </c>
      <c r="C327" s="16">
        <f t="shared" si="15"/>
        <v>0</v>
      </c>
      <c r="D327" s="16">
        <f t="shared" si="16"/>
        <v>0</v>
      </c>
      <c r="E327" s="16" t="e">
        <f>+IF(AND(B327&gt;=#REF!,B327&lt;=#REF!),"OUI","NON")</f>
        <v>#REF!</v>
      </c>
      <c r="F327" s="16" t="e">
        <f t="array" ref="F327">IF(E327="OUI",MAX(F$2:$O326)+1,"")</f>
        <v>#REF!</v>
      </c>
    </row>
    <row r="328" spans="1:6" x14ac:dyDescent="0.2">
      <c r="A328" s="453">
        <f t="shared" si="17"/>
        <v>51898</v>
      </c>
      <c r="B328" s="30">
        <v>51898</v>
      </c>
      <c r="C328" s="16">
        <f t="shared" si="15"/>
        <v>0</v>
      </c>
      <c r="D328" s="16">
        <f t="shared" si="16"/>
        <v>0</v>
      </c>
      <c r="E328" s="16" t="e">
        <f>+IF(AND(B328&gt;=#REF!,B328&lt;=#REF!),"OUI","NON")</f>
        <v>#REF!</v>
      </c>
      <c r="F328" s="16" t="e">
        <f t="array" ref="F328">IF(E328="OUI",MAX(F$2:$O327)+1,"")</f>
        <v>#REF!</v>
      </c>
    </row>
    <row r="329" spans="1:6" x14ac:dyDescent="0.2">
      <c r="A329" s="453">
        <f t="shared" si="17"/>
        <v>51926</v>
      </c>
      <c r="B329" s="30">
        <v>51926</v>
      </c>
      <c r="C329" s="16">
        <f t="shared" si="15"/>
        <v>0</v>
      </c>
      <c r="D329" s="16">
        <f t="shared" si="16"/>
        <v>0</v>
      </c>
      <c r="E329" s="16" t="e">
        <f>+IF(AND(B329&gt;=#REF!,B329&lt;=#REF!),"OUI","NON")</f>
        <v>#REF!</v>
      </c>
      <c r="F329" s="16" t="e">
        <f t="array" ref="F329">IF(E329="OUI",MAX(F$2:$O328)+1,"")</f>
        <v>#REF!</v>
      </c>
    </row>
    <row r="330" spans="1:6" x14ac:dyDescent="0.2">
      <c r="A330" s="453">
        <f t="shared" si="17"/>
        <v>51957</v>
      </c>
      <c r="B330" s="30">
        <v>51957</v>
      </c>
      <c r="C330" s="16">
        <f t="shared" si="15"/>
        <v>0</v>
      </c>
      <c r="D330" s="16">
        <f t="shared" si="16"/>
        <v>0</v>
      </c>
      <c r="E330" s="16" t="e">
        <f>+IF(AND(B330&gt;=#REF!,B330&lt;=#REF!),"OUI","NON")</f>
        <v>#REF!</v>
      </c>
      <c r="F330" s="16" t="e">
        <f t="array" ref="F330">IF(E330="OUI",MAX(F$2:$O329)+1,"")</f>
        <v>#REF!</v>
      </c>
    </row>
    <row r="331" spans="1:6" x14ac:dyDescent="0.2">
      <c r="A331" s="453">
        <f t="shared" si="17"/>
        <v>51987</v>
      </c>
      <c r="B331" s="30">
        <v>51987</v>
      </c>
      <c r="C331" s="16">
        <f t="shared" si="15"/>
        <v>0</v>
      </c>
      <c r="D331" s="16">
        <f t="shared" si="16"/>
        <v>0</v>
      </c>
      <c r="E331" s="16" t="e">
        <f>+IF(AND(B331&gt;=#REF!,B331&lt;=#REF!),"OUI","NON")</f>
        <v>#REF!</v>
      </c>
      <c r="F331" s="16" t="e">
        <f t="array" ref="F331">IF(E331="OUI",MAX(F$2:$O330)+1,"")</f>
        <v>#REF!</v>
      </c>
    </row>
    <row r="332" spans="1:6" x14ac:dyDescent="0.2">
      <c r="A332" s="453">
        <f t="shared" si="17"/>
        <v>52018</v>
      </c>
      <c r="B332" s="30">
        <v>52018</v>
      </c>
      <c r="C332" s="16">
        <f t="shared" si="15"/>
        <v>0</v>
      </c>
      <c r="D332" s="16">
        <f t="shared" si="16"/>
        <v>0</v>
      </c>
      <c r="E332" s="16" t="e">
        <f>+IF(AND(B332&gt;=#REF!,B332&lt;=#REF!),"OUI","NON")</f>
        <v>#REF!</v>
      </c>
      <c r="F332" s="16" t="e">
        <f t="array" ref="F332">IF(E332="OUI",MAX(F$2:$O331)+1,"")</f>
        <v>#REF!</v>
      </c>
    </row>
    <row r="333" spans="1:6" x14ac:dyDescent="0.2">
      <c r="A333" s="453">
        <f t="shared" si="17"/>
        <v>52048</v>
      </c>
      <c r="B333" s="30">
        <v>52048</v>
      </c>
      <c r="C333" s="16">
        <f t="shared" si="15"/>
        <v>0</v>
      </c>
      <c r="D333" s="16">
        <f t="shared" si="16"/>
        <v>0</v>
      </c>
      <c r="E333" s="16" t="e">
        <f>+IF(AND(B333&gt;=#REF!,B333&lt;=#REF!),"OUI","NON")</f>
        <v>#REF!</v>
      </c>
      <c r="F333" s="16" t="e">
        <f t="array" ref="F333">IF(E333="OUI",MAX(F$2:$O332)+1,"")</f>
        <v>#REF!</v>
      </c>
    </row>
    <row r="334" spans="1:6" x14ac:dyDescent="0.2">
      <c r="A334" s="453">
        <f t="shared" si="17"/>
        <v>52079</v>
      </c>
      <c r="B334" s="30">
        <v>52079</v>
      </c>
      <c r="C334" s="16">
        <f t="shared" si="15"/>
        <v>0</v>
      </c>
      <c r="D334" s="16">
        <f t="shared" si="16"/>
        <v>0</v>
      </c>
      <c r="E334" s="16" t="e">
        <f>+IF(AND(B334&gt;=#REF!,B334&lt;=#REF!),"OUI","NON")</f>
        <v>#REF!</v>
      </c>
      <c r="F334" s="16" t="e">
        <f t="array" ref="F334">IF(E334="OUI",MAX(F$2:$O333)+1,"")</f>
        <v>#REF!</v>
      </c>
    </row>
    <row r="335" spans="1:6" x14ac:dyDescent="0.2">
      <c r="A335" s="453">
        <f t="shared" si="17"/>
        <v>52110</v>
      </c>
      <c r="B335" s="30">
        <v>52110</v>
      </c>
      <c r="C335" s="16">
        <f t="shared" si="15"/>
        <v>0</v>
      </c>
      <c r="D335" s="16">
        <f t="shared" si="16"/>
        <v>0</v>
      </c>
      <c r="E335" s="16" t="e">
        <f>+IF(AND(B335&gt;=#REF!,B335&lt;=#REF!),"OUI","NON")</f>
        <v>#REF!</v>
      </c>
      <c r="F335" s="16" t="e">
        <f t="array" ref="F335">IF(E335="OUI",MAX(F$2:$O334)+1,"")</f>
        <v>#REF!</v>
      </c>
    </row>
    <row r="336" spans="1:6" x14ac:dyDescent="0.2">
      <c r="A336" s="453">
        <f t="shared" si="17"/>
        <v>52140</v>
      </c>
      <c r="B336" s="30">
        <v>52140</v>
      </c>
      <c r="C336" s="16">
        <f t="shared" si="15"/>
        <v>0</v>
      </c>
      <c r="D336" s="16">
        <f t="shared" si="16"/>
        <v>0</v>
      </c>
      <c r="E336" s="16" t="e">
        <f>+IF(AND(B336&gt;=#REF!,B336&lt;=#REF!),"OUI","NON")</f>
        <v>#REF!</v>
      </c>
      <c r="F336" s="16" t="e">
        <f t="array" ref="F336">IF(E336="OUI",MAX(F$2:$O335)+1,"")</f>
        <v>#REF!</v>
      </c>
    </row>
    <row r="337" spans="1:6" x14ac:dyDescent="0.2">
      <c r="A337" s="453">
        <f t="shared" si="17"/>
        <v>52171</v>
      </c>
      <c r="B337" s="30">
        <v>52171</v>
      </c>
      <c r="C337" s="16">
        <f t="shared" si="15"/>
        <v>0</v>
      </c>
      <c r="D337" s="16">
        <f t="shared" si="16"/>
        <v>0</v>
      </c>
      <c r="E337" s="16" t="e">
        <f>+IF(AND(B337&gt;=#REF!,B337&lt;=#REF!),"OUI","NON")</f>
        <v>#REF!</v>
      </c>
      <c r="F337" s="16" t="e">
        <f t="array" ref="F337">IF(E337="OUI",MAX(F$2:$O336)+1,"")</f>
        <v>#REF!</v>
      </c>
    </row>
    <row r="338" spans="1:6" x14ac:dyDescent="0.2">
      <c r="A338" s="453">
        <f t="shared" si="17"/>
        <v>52201</v>
      </c>
      <c r="B338" s="30">
        <v>52201</v>
      </c>
      <c r="C338" s="16">
        <f t="shared" si="15"/>
        <v>0</v>
      </c>
      <c r="D338" s="16">
        <f t="shared" si="16"/>
        <v>0</v>
      </c>
      <c r="E338" s="16" t="e">
        <f>+IF(AND(B338&gt;=#REF!,B338&lt;=#REF!),"OUI","NON")</f>
        <v>#REF!</v>
      </c>
      <c r="F338" s="16" t="e">
        <f t="array" ref="F338">IF(E338="OUI",MAX(F$2:$O337)+1,"")</f>
        <v>#REF!</v>
      </c>
    </row>
    <row r="339" spans="1:6" x14ac:dyDescent="0.2">
      <c r="A339" s="453">
        <f t="shared" si="17"/>
        <v>52232</v>
      </c>
      <c r="B339" s="30">
        <v>52232</v>
      </c>
      <c r="C339" s="16">
        <f t="shared" si="15"/>
        <v>0</v>
      </c>
      <c r="D339" s="16">
        <f t="shared" si="16"/>
        <v>0</v>
      </c>
      <c r="E339" s="16" t="e">
        <f>+IF(AND(B339&gt;=#REF!,B339&lt;=#REF!),"OUI","NON")</f>
        <v>#REF!</v>
      </c>
      <c r="F339" s="16" t="e">
        <f t="array" ref="F339">IF(E339="OUI",MAX(F$2:$O338)+1,"")</f>
        <v>#REF!</v>
      </c>
    </row>
    <row r="340" spans="1:6" x14ac:dyDescent="0.2">
      <c r="A340" s="453">
        <f t="shared" si="17"/>
        <v>52263</v>
      </c>
      <c r="B340" s="30">
        <v>52263</v>
      </c>
      <c r="C340" s="16">
        <f t="shared" si="15"/>
        <v>0</v>
      </c>
      <c r="D340" s="16">
        <f t="shared" si="16"/>
        <v>0</v>
      </c>
      <c r="E340" s="16" t="e">
        <f>+IF(AND(B340&gt;=#REF!,B340&lt;=#REF!),"OUI","NON")</f>
        <v>#REF!</v>
      </c>
      <c r="F340" s="16" t="e">
        <f t="array" ref="F340">IF(E340="OUI",MAX(F$2:$O339)+1,"")</f>
        <v>#REF!</v>
      </c>
    </row>
    <row r="341" spans="1:6" x14ac:dyDescent="0.2">
      <c r="A341" s="453">
        <f t="shared" si="17"/>
        <v>52291</v>
      </c>
      <c r="B341" s="30">
        <v>52291</v>
      </c>
      <c r="C341" s="16">
        <f t="shared" si="15"/>
        <v>0</v>
      </c>
      <c r="D341" s="16">
        <f t="shared" si="16"/>
        <v>0</v>
      </c>
      <c r="E341" s="16" t="e">
        <f>+IF(AND(B341&gt;=#REF!,B341&lt;=#REF!),"OUI","NON")</f>
        <v>#REF!</v>
      </c>
      <c r="F341" s="16" t="e">
        <f t="array" ref="F341">IF(E341="OUI",MAX(F$2:$O340)+1,"")</f>
        <v>#REF!</v>
      </c>
    </row>
    <row r="342" spans="1:6" x14ac:dyDescent="0.2">
      <c r="A342" s="453">
        <f t="shared" si="17"/>
        <v>52322</v>
      </c>
      <c r="B342" s="30">
        <v>52322</v>
      </c>
      <c r="C342" s="16">
        <f t="shared" si="15"/>
        <v>0</v>
      </c>
      <c r="D342" s="16">
        <f t="shared" si="16"/>
        <v>0</v>
      </c>
      <c r="E342" s="16" t="e">
        <f>+IF(AND(B342&gt;=#REF!,B342&lt;=#REF!),"OUI","NON")</f>
        <v>#REF!</v>
      </c>
      <c r="F342" s="16" t="e">
        <f t="array" ref="F342">IF(E342="OUI",MAX(F$2:$O341)+1,"")</f>
        <v>#REF!</v>
      </c>
    </row>
    <row r="343" spans="1:6" x14ac:dyDescent="0.2">
      <c r="A343" s="453">
        <f t="shared" si="17"/>
        <v>52352</v>
      </c>
      <c r="B343" s="30">
        <v>52352</v>
      </c>
      <c r="C343" s="16">
        <f t="shared" si="15"/>
        <v>0</v>
      </c>
      <c r="D343" s="16">
        <f t="shared" si="16"/>
        <v>0</v>
      </c>
      <c r="E343" s="16" t="e">
        <f>+IF(AND(B343&gt;=#REF!,B343&lt;=#REF!),"OUI","NON")</f>
        <v>#REF!</v>
      </c>
      <c r="F343" s="16" t="e">
        <f t="array" ref="F343">IF(E343="OUI",MAX(F$2:$O342)+1,"")</f>
        <v>#REF!</v>
      </c>
    </row>
    <row r="344" spans="1:6" x14ac:dyDescent="0.2">
      <c r="A344" s="453">
        <f t="shared" si="17"/>
        <v>52383</v>
      </c>
      <c r="B344" s="30">
        <v>52383</v>
      </c>
      <c r="C344" s="16">
        <f t="shared" si="15"/>
        <v>0</v>
      </c>
      <c r="D344" s="16">
        <f t="shared" si="16"/>
        <v>0</v>
      </c>
      <c r="E344" s="16" t="e">
        <f>+IF(AND(B344&gt;=#REF!,B344&lt;=#REF!),"OUI","NON")</f>
        <v>#REF!</v>
      </c>
      <c r="F344" s="16" t="e">
        <f t="array" ref="F344">IF(E344="OUI",MAX(F$2:$O343)+1,"")</f>
        <v>#REF!</v>
      </c>
    </row>
    <row r="345" spans="1:6" x14ac:dyDescent="0.2">
      <c r="A345" s="453">
        <f t="shared" si="17"/>
        <v>52413</v>
      </c>
      <c r="B345" s="30">
        <v>52413</v>
      </c>
      <c r="C345" s="16">
        <f t="shared" si="15"/>
        <v>0</v>
      </c>
      <c r="D345" s="16">
        <f t="shared" si="16"/>
        <v>0</v>
      </c>
      <c r="E345" s="16" t="e">
        <f>+IF(AND(B345&gt;=#REF!,B345&lt;=#REF!),"OUI","NON")</f>
        <v>#REF!</v>
      </c>
      <c r="F345" s="16" t="e">
        <f t="array" ref="F345">IF(E345="OUI",MAX(F$2:$O344)+1,"")</f>
        <v>#REF!</v>
      </c>
    </row>
    <row r="346" spans="1:6" x14ac:dyDescent="0.2">
      <c r="A346" s="453">
        <f t="shared" si="17"/>
        <v>52444</v>
      </c>
      <c r="B346" s="30">
        <v>52444</v>
      </c>
      <c r="C346" s="16">
        <f t="shared" si="15"/>
        <v>0</v>
      </c>
      <c r="D346" s="16">
        <f t="shared" si="16"/>
        <v>0</v>
      </c>
      <c r="E346" s="16" t="e">
        <f>+IF(AND(B346&gt;=#REF!,B346&lt;=#REF!),"OUI","NON")</f>
        <v>#REF!</v>
      </c>
      <c r="F346" s="16" t="e">
        <f t="array" ref="F346">IF(E346="OUI",MAX(F$2:$O345)+1,"")</f>
        <v>#REF!</v>
      </c>
    </row>
    <row r="347" spans="1:6" x14ac:dyDescent="0.2">
      <c r="A347" s="453">
        <f t="shared" si="17"/>
        <v>52475</v>
      </c>
      <c r="B347" s="30">
        <v>52475</v>
      </c>
      <c r="C347" s="16">
        <f t="shared" si="15"/>
        <v>0</v>
      </c>
      <c r="D347" s="16">
        <f t="shared" si="16"/>
        <v>0</v>
      </c>
      <c r="E347" s="16" t="e">
        <f>+IF(AND(B347&gt;=#REF!,B347&lt;=#REF!),"OUI","NON")</f>
        <v>#REF!</v>
      </c>
      <c r="F347" s="16" t="e">
        <f t="array" ref="F347">IF(E347="OUI",MAX(F$2:$O346)+1,"")</f>
        <v>#REF!</v>
      </c>
    </row>
    <row r="348" spans="1:6" x14ac:dyDescent="0.2">
      <c r="A348" s="453">
        <f t="shared" si="17"/>
        <v>52505</v>
      </c>
      <c r="B348" s="30">
        <v>52505</v>
      </c>
      <c r="C348" s="16">
        <f t="shared" si="15"/>
        <v>0</v>
      </c>
      <c r="D348" s="16">
        <f t="shared" si="16"/>
        <v>0</v>
      </c>
      <c r="E348" s="16" t="e">
        <f>+IF(AND(B348&gt;=#REF!,B348&lt;=#REF!),"OUI","NON")</f>
        <v>#REF!</v>
      </c>
      <c r="F348" s="16" t="e">
        <f t="array" ref="F348">IF(E348="OUI",MAX(F$2:$O347)+1,"")</f>
        <v>#REF!</v>
      </c>
    </row>
    <row r="349" spans="1:6" x14ac:dyDescent="0.2">
      <c r="A349" s="453">
        <f t="shared" si="17"/>
        <v>52536</v>
      </c>
      <c r="B349" s="30">
        <v>52536</v>
      </c>
      <c r="C349" s="16">
        <f t="shared" si="15"/>
        <v>0</v>
      </c>
      <c r="D349" s="16">
        <f t="shared" si="16"/>
        <v>0</v>
      </c>
      <c r="E349" s="16" t="e">
        <f>+IF(AND(B349&gt;=#REF!,B349&lt;=#REF!),"OUI","NON")</f>
        <v>#REF!</v>
      </c>
      <c r="F349" s="16" t="e">
        <f t="array" ref="F349">IF(E349="OUI",MAX(F$2:$O348)+1,"")</f>
        <v>#REF!</v>
      </c>
    </row>
    <row r="350" spans="1:6" x14ac:dyDescent="0.2">
      <c r="A350" s="453">
        <f t="shared" si="17"/>
        <v>52566</v>
      </c>
      <c r="B350" s="30">
        <v>52566</v>
      </c>
      <c r="C350" s="16">
        <f t="shared" si="15"/>
        <v>0</v>
      </c>
      <c r="D350" s="16">
        <f t="shared" si="16"/>
        <v>0</v>
      </c>
      <c r="E350" s="16" t="e">
        <f>+IF(AND(B350&gt;=#REF!,B350&lt;=#REF!),"OUI","NON")</f>
        <v>#REF!</v>
      </c>
      <c r="F350" s="16" t="e">
        <f t="array" ref="F350">IF(E350="OUI",MAX(F$2:$O349)+1,"")</f>
        <v>#REF!</v>
      </c>
    </row>
    <row r="351" spans="1:6" x14ac:dyDescent="0.2">
      <c r="A351" s="453">
        <f t="shared" si="17"/>
        <v>52597</v>
      </c>
      <c r="B351" s="30">
        <v>52597</v>
      </c>
      <c r="C351" s="16">
        <f t="shared" si="15"/>
        <v>0</v>
      </c>
      <c r="D351" s="16">
        <f t="shared" si="16"/>
        <v>0</v>
      </c>
      <c r="E351" s="16" t="e">
        <f>+IF(AND(B351&gt;=#REF!,B351&lt;=#REF!),"OUI","NON")</f>
        <v>#REF!</v>
      </c>
      <c r="F351" s="16" t="e">
        <f t="array" ref="F351">IF(E351="OUI",MAX(F$2:$O350)+1,"")</f>
        <v>#REF!</v>
      </c>
    </row>
    <row r="352" spans="1:6" x14ac:dyDescent="0.2">
      <c r="A352" s="453">
        <f t="shared" si="17"/>
        <v>52628</v>
      </c>
      <c r="B352" s="30">
        <v>52628</v>
      </c>
      <c r="C352" s="16">
        <f t="shared" si="15"/>
        <v>0</v>
      </c>
      <c r="D352" s="16">
        <f t="shared" si="16"/>
        <v>0</v>
      </c>
      <c r="E352" s="16" t="e">
        <f>+IF(AND(B352&gt;=#REF!,B352&lt;=#REF!),"OUI","NON")</f>
        <v>#REF!</v>
      </c>
      <c r="F352" s="16" t="e">
        <f t="array" ref="F352">IF(E352="OUI",MAX(F$2:$O351)+1,"")</f>
        <v>#REF!</v>
      </c>
    </row>
    <row r="353" spans="1:6" x14ac:dyDescent="0.2">
      <c r="A353" s="453">
        <f t="shared" si="17"/>
        <v>52657</v>
      </c>
      <c r="B353" s="30">
        <v>52657</v>
      </c>
      <c r="C353" s="16">
        <f t="shared" si="15"/>
        <v>0</v>
      </c>
      <c r="D353" s="16">
        <f t="shared" si="16"/>
        <v>0</v>
      </c>
      <c r="E353" s="16" t="e">
        <f>+IF(AND(B353&gt;=#REF!,B353&lt;=#REF!),"OUI","NON")</f>
        <v>#REF!</v>
      </c>
      <c r="F353" s="16" t="e">
        <f t="array" ref="F353">IF(E353="OUI",MAX(F$2:$O352)+1,"")</f>
        <v>#REF!</v>
      </c>
    </row>
    <row r="354" spans="1:6" x14ac:dyDescent="0.2">
      <c r="A354" s="453">
        <f t="shared" si="17"/>
        <v>52688</v>
      </c>
      <c r="B354" s="30">
        <v>52688</v>
      </c>
      <c r="C354" s="16">
        <f t="shared" si="15"/>
        <v>0</v>
      </c>
      <c r="D354" s="16">
        <f t="shared" si="16"/>
        <v>0</v>
      </c>
      <c r="E354" s="16" t="e">
        <f>+IF(AND(B354&gt;=#REF!,B354&lt;=#REF!),"OUI","NON")</f>
        <v>#REF!</v>
      </c>
      <c r="F354" s="16" t="e">
        <f t="array" ref="F354">IF(E354="OUI",MAX(F$2:$O353)+1,"")</f>
        <v>#REF!</v>
      </c>
    </row>
    <row r="355" spans="1:6" x14ac:dyDescent="0.2">
      <c r="A355" s="453">
        <f t="shared" si="17"/>
        <v>52718</v>
      </c>
      <c r="B355" s="30">
        <v>52718</v>
      </c>
      <c r="C355" s="16">
        <f t="shared" si="15"/>
        <v>0</v>
      </c>
      <c r="D355" s="16">
        <f t="shared" si="16"/>
        <v>0</v>
      </c>
      <c r="E355" s="16" t="e">
        <f>+IF(AND(B355&gt;=#REF!,B355&lt;=#REF!),"OUI","NON")</f>
        <v>#REF!</v>
      </c>
      <c r="F355" s="16" t="e">
        <f t="array" ref="F355">IF(E355="OUI",MAX(F$2:$O354)+1,"")</f>
        <v>#REF!</v>
      </c>
    </row>
    <row r="356" spans="1:6" x14ac:dyDescent="0.2">
      <c r="A356" s="453">
        <f t="shared" si="17"/>
        <v>52749</v>
      </c>
      <c r="B356" s="30">
        <v>52749</v>
      </c>
      <c r="C356" s="16">
        <f t="shared" si="15"/>
        <v>0</v>
      </c>
      <c r="D356" s="16">
        <f t="shared" si="16"/>
        <v>0</v>
      </c>
      <c r="E356" s="16" t="e">
        <f>+IF(AND(B356&gt;=#REF!,B356&lt;=#REF!),"OUI","NON")</f>
        <v>#REF!</v>
      </c>
      <c r="F356" s="16" t="e">
        <f t="array" ref="F356">IF(E356="OUI",MAX(F$2:$O355)+1,"")</f>
        <v>#REF!</v>
      </c>
    </row>
    <row r="357" spans="1:6" x14ac:dyDescent="0.2">
      <c r="A357" s="453">
        <f t="shared" si="17"/>
        <v>52779</v>
      </c>
      <c r="B357" s="30">
        <v>52779</v>
      </c>
      <c r="C357" s="16">
        <f t="shared" si="15"/>
        <v>0</v>
      </c>
      <c r="D357" s="16">
        <f t="shared" si="16"/>
        <v>0</v>
      </c>
      <c r="E357" s="16" t="e">
        <f>+IF(AND(B357&gt;=#REF!,B357&lt;=#REF!),"OUI","NON")</f>
        <v>#REF!</v>
      </c>
      <c r="F357" s="16" t="e">
        <f t="array" ref="F357">IF(E357="OUI",MAX(F$2:$O356)+1,"")</f>
        <v>#REF!</v>
      </c>
    </row>
    <row r="358" spans="1:6" x14ac:dyDescent="0.2">
      <c r="A358" s="453">
        <f t="shared" si="17"/>
        <v>52810</v>
      </c>
      <c r="B358" s="30">
        <v>52810</v>
      </c>
      <c r="C358" s="16">
        <f t="shared" si="15"/>
        <v>0</v>
      </c>
      <c r="D358" s="16">
        <f t="shared" si="16"/>
        <v>0</v>
      </c>
      <c r="E358" s="16" t="e">
        <f>+IF(AND(B358&gt;=#REF!,B358&lt;=#REF!),"OUI","NON")</f>
        <v>#REF!</v>
      </c>
      <c r="F358" s="16" t="e">
        <f t="array" ref="F358">IF(E358="OUI",MAX(F$2:$O357)+1,"")</f>
        <v>#REF!</v>
      </c>
    </row>
    <row r="359" spans="1:6" x14ac:dyDescent="0.2">
      <c r="A359" s="453">
        <f t="shared" si="17"/>
        <v>52841</v>
      </c>
      <c r="B359" s="30">
        <v>52841</v>
      </c>
      <c r="C359" s="16">
        <f t="shared" si="15"/>
        <v>0</v>
      </c>
      <c r="D359" s="16">
        <f t="shared" si="16"/>
        <v>0</v>
      </c>
      <c r="E359" s="16" t="e">
        <f>+IF(AND(B359&gt;=#REF!,B359&lt;=#REF!),"OUI","NON")</f>
        <v>#REF!</v>
      </c>
      <c r="F359" s="16" t="e">
        <f t="array" ref="F359">IF(E359="OUI",MAX(F$2:$O358)+1,"")</f>
        <v>#REF!</v>
      </c>
    </row>
    <row r="360" spans="1:6" x14ac:dyDescent="0.2">
      <c r="A360" s="453">
        <f t="shared" si="17"/>
        <v>52871</v>
      </c>
      <c r="B360" s="30">
        <v>52871</v>
      </c>
      <c r="C360" s="16">
        <f t="shared" si="15"/>
        <v>0</v>
      </c>
      <c r="D360" s="16">
        <f t="shared" si="16"/>
        <v>0</v>
      </c>
      <c r="E360" s="16" t="e">
        <f>+IF(AND(B360&gt;=#REF!,B360&lt;=#REF!),"OUI","NON")</f>
        <v>#REF!</v>
      </c>
      <c r="F360" s="16" t="e">
        <f t="array" ref="F360">IF(E360="OUI",MAX(F$2:$O359)+1,"")</f>
        <v>#REF!</v>
      </c>
    </row>
    <row r="361" spans="1:6" x14ac:dyDescent="0.2">
      <c r="A361" s="453">
        <f t="shared" si="17"/>
        <v>52902</v>
      </c>
      <c r="B361" s="30">
        <v>52902</v>
      </c>
      <c r="C361" s="16">
        <f t="shared" si="15"/>
        <v>0</v>
      </c>
      <c r="D361" s="16">
        <f t="shared" si="16"/>
        <v>0</v>
      </c>
      <c r="E361" s="16" t="e">
        <f>+IF(AND(B361&gt;=#REF!,B361&lt;=#REF!),"OUI","NON")</f>
        <v>#REF!</v>
      </c>
      <c r="F361" s="16" t="e">
        <f t="array" ref="F361">IF(E361="OUI",MAX(F$2:$O360)+1,"")</f>
        <v>#REF!</v>
      </c>
    </row>
    <row r="362" spans="1:6" x14ac:dyDescent="0.2">
      <c r="A362" s="453">
        <f t="shared" si="17"/>
        <v>52932</v>
      </c>
      <c r="B362" s="30">
        <v>52932</v>
      </c>
      <c r="C362" s="16">
        <f t="shared" si="15"/>
        <v>0</v>
      </c>
      <c r="D362" s="16">
        <f t="shared" si="16"/>
        <v>0</v>
      </c>
      <c r="E362" s="16" t="e">
        <f>+IF(AND(B362&gt;=#REF!,B362&lt;=#REF!),"OUI","NON")</f>
        <v>#REF!</v>
      </c>
      <c r="F362" s="16" t="e">
        <f t="array" ref="F362">IF(E362="OUI",MAX(F$2:$O361)+1,"")</f>
        <v>#REF!</v>
      </c>
    </row>
    <row r="363" spans="1:6" x14ac:dyDescent="0.2">
      <c r="A363" s="453">
        <f t="shared" si="17"/>
        <v>52963</v>
      </c>
      <c r="B363" s="30">
        <v>52963</v>
      </c>
      <c r="C363" s="16">
        <f t="shared" si="15"/>
        <v>0</v>
      </c>
      <c r="D363" s="16">
        <f t="shared" si="16"/>
        <v>0</v>
      </c>
      <c r="E363" s="16" t="e">
        <f>+IF(AND(B363&gt;=#REF!,B363&lt;=#REF!),"OUI","NON")</f>
        <v>#REF!</v>
      </c>
      <c r="F363" s="16" t="e">
        <f t="array" ref="F363">IF(E363="OUI",MAX(F$2:$O362)+1,"")</f>
        <v>#REF!</v>
      </c>
    </row>
    <row r="364" spans="1:6" x14ac:dyDescent="0.2">
      <c r="A364" s="453">
        <f t="shared" si="17"/>
        <v>52994</v>
      </c>
      <c r="B364" s="30">
        <v>52994</v>
      </c>
      <c r="C364" s="16">
        <f t="shared" si="15"/>
        <v>0</v>
      </c>
      <c r="D364" s="16">
        <f t="shared" si="16"/>
        <v>0</v>
      </c>
      <c r="E364" s="16" t="e">
        <f>+IF(AND(B364&gt;=#REF!,B364&lt;=#REF!),"OUI","NON")</f>
        <v>#REF!</v>
      </c>
      <c r="F364" s="16" t="e">
        <f t="array" ref="F364">IF(E364="OUI",MAX(F$2:$O363)+1,"")</f>
        <v>#REF!</v>
      </c>
    </row>
    <row r="365" spans="1:6" x14ac:dyDescent="0.2">
      <c r="A365" s="453">
        <f t="shared" si="17"/>
        <v>53022</v>
      </c>
      <c r="B365" s="30">
        <v>53022</v>
      </c>
      <c r="C365" s="16">
        <f t="shared" si="15"/>
        <v>0</v>
      </c>
      <c r="D365" s="16">
        <f t="shared" si="16"/>
        <v>0</v>
      </c>
      <c r="E365" s="16" t="e">
        <f>+IF(AND(B365&gt;=#REF!,B365&lt;=#REF!),"OUI","NON")</f>
        <v>#REF!</v>
      </c>
      <c r="F365" s="16" t="e">
        <f t="array" ref="F365">IF(E365="OUI",MAX(F$2:$O364)+1,"")</f>
        <v>#REF!</v>
      </c>
    </row>
    <row r="366" spans="1:6" x14ac:dyDescent="0.2">
      <c r="A366" s="453">
        <f t="shared" si="17"/>
        <v>53053</v>
      </c>
      <c r="B366" s="30">
        <v>53053</v>
      </c>
      <c r="C366" s="16">
        <f t="shared" si="15"/>
        <v>0</v>
      </c>
      <c r="D366" s="16">
        <f t="shared" si="16"/>
        <v>0</v>
      </c>
      <c r="E366" s="16" t="e">
        <f>+IF(AND(B366&gt;=#REF!,B366&lt;=#REF!),"OUI","NON")</f>
        <v>#REF!</v>
      </c>
      <c r="F366" s="16" t="e">
        <f t="array" ref="F366">IF(E366="OUI",MAX(F$2:$O365)+1,"")</f>
        <v>#REF!</v>
      </c>
    </row>
    <row r="367" spans="1:6" x14ac:dyDescent="0.2">
      <c r="A367" s="453">
        <f t="shared" si="17"/>
        <v>53083</v>
      </c>
      <c r="B367" s="30">
        <v>53083</v>
      </c>
      <c r="C367" s="16">
        <f t="shared" si="15"/>
        <v>0</v>
      </c>
      <c r="D367" s="16">
        <f t="shared" si="16"/>
        <v>0</v>
      </c>
      <c r="E367" s="16" t="e">
        <f>+IF(AND(B367&gt;=#REF!,B367&lt;=#REF!),"OUI","NON")</f>
        <v>#REF!</v>
      </c>
      <c r="F367" s="16" t="e">
        <f t="array" ref="F367">IF(E367="OUI",MAX(F$2:$O366)+1,"")</f>
        <v>#REF!</v>
      </c>
    </row>
    <row r="368" spans="1:6" x14ac:dyDescent="0.2">
      <c r="A368" s="453">
        <f t="shared" si="17"/>
        <v>53114</v>
      </c>
      <c r="B368" s="30">
        <v>53114</v>
      </c>
      <c r="C368" s="16">
        <f t="shared" si="15"/>
        <v>0</v>
      </c>
      <c r="D368" s="16">
        <f t="shared" si="16"/>
        <v>0</v>
      </c>
      <c r="E368" s="16" t="e">
        <f>+IF(AND(B368&gt;=#REF!,B368&lt;=#REF!),"OUI","NON")</f>
        <v>#REF!</v>
      </c>
      <c r="F368" s="16" t="e">
        <f t="array" ref="F368">IF(E368="OUI",MAX(F$2:$O367)+1,"")</f>
        <v>#REF!</v>
      </c>
    </row>
    <row r="369" spans="1:6" x14ac:dyDescent="0.2">
      <c r="A369" s="453">
        <f t="shared" si="17"/>
        <v>53144</v>
      </c>
      <c r="B369" s="30">
        <v>53144</v>
      </c>
      <c r="C369" s="16">
        <f t="shared" si="15"/>
        <v>0</v>
      </c>
      <c r="D369" s="16">
        <f t="shared" si="16"/>
        <v>0</v>
      </c>
      <c r="E369" s="16" t="e">
        <f>+IF(AND(B369&gt;=#REF!,B369&lt;=#REF!),"OUI","NON")</f>
        <v>#REF!</v>
      </c>
      <c r="F369" s="16" t="e">
        <f t="array" ref="F369">IF(E369="OUI",MAX(F$2:$O368)+1,"")</f>
        <v>#REF!</v>
      </c>
    </row>
    <row r="370" spans="1:6" x14ac:dyDescent="0.2">
      <c r="A370" s="453">
        <f t="shared" si="17"/>
        <v>53175</v>
      </c>
      <c r="B370" s="30">
        <v>53175</v>
      </c>
      <c r="C370" s="16">
        <f t="shared" si="15"/>
        <v>0</v>
      </c>
      <c r="D370" s="16">
        <f t="shared" si="16"/>
        <v>0</v>
      </c>
      <c r="E370" s="16" t="e">
        <f>+IF(AND(B370&gt;=#REF!,B370&lt;=#REF!),"OUI","NON")</f>
        <v>#REF!</v>
      </c>
      <c r="F370" s="16" t="e">
        <f t="array" ref="F370">IF(E370="OUI",MAX(F$2:$O369)+1,"")</f>
        <v>#REF!</v>
      </c>
    </row>
    <row r="371" spans="1:6" x14ac:dyDescent="0.2">
      <c r="A371" s="453">
        <f t="shared" si="17"/>
        <v>53206</v>
      </c>
      <c r="B371" s="30">
        <v>53206</v>
      </c>
      <c r="C371" s="16">
        <f t="shared" si="15"/>
        <v>0</v>
      </c>
      <c r="D371" s="16">
        <f t="shared" si="16"/>
        <v>0</v>
      </c>
      <c r="E371" s="16" t="e">
        <f>+IF(AND(B371&gt;=#REF!,B371&lt;=#REF!),"OUI","NON")</f>
        <v>#REF!</v>
      </c>
      <c r="F371" s="16" t="e">
        <f t="array" ref="F371">IF(E371="OUI",MAX(F$2:$O370)+1,"")</f>
        <v>#REF!</v>
      </c>
    </row>
    <row r="372" spans="1:6" x14ac:dyDescent="0.2">
      <c r="A372" s="453">
        <f t="shared" si="17"/>
        <v>53236</v>
      </c>
      <c r="B372" s="30">
        <v>53236</v>
      </c>
      <c r="C372" s="16">
        <f t="shared" si="15"/>
        <v>0</v>
      </c>
      <c r="D372" s="16">
        <f t="shared" si="16"/>
        <v>0</v>
      </c>
      <c r="E372" s="16" t="e">
        <f>+IF(AND(B372&gt;=#REF!,B372&lt;=#REF!),"OUI","NON")</f>
        <v>#REF!</v>
      </c>
      <c r="F372" s="16" t="e">
        <f t="array" ref="F372">IF(E372="OUI",MAX(F$2:$O371)+1,"")</f>
        <v>#REF!</v>
      </c>
    </row>
    <row r="373" spans="1:6" x14ac:dyDescent="0.2">
      <c r="A373" s="453">
        <f t="shared" si="17"/>
        <v>53267</v>
      </c>
      <c r="B373" s="30">
        <v>53267</v>
      </c>
      <c r="C373" s="16">
        <f t="shared" si="15"/>
        <v>0</v>
      </c>
      <c r="D373" s="16">
        <f t="shared" si="16"/>
        <v>0</v>
      </c>
      <c r="E373" s="16" t="e">
        <f>+IF(AND(B373&gt;=#REF!,B373&lt;=#REF!),"OUI","NON")</f>
        <v>#REF!</v>
      </c>
      <c r="F373" s="16" t="e">
        <f t="array" ref="F373">IF(E373="OUI",MAX(F$2:$O372)+1,"")</f>
        <v>#REF!</v>
      </c>
    </row>
    <row r="374" spans="1:6" x14ac:dyDescent="0.2">
      <c r="A374" s="453">
        <f t="shared" si="17"/>
        <v>53297</v>
      </c>
      <c r="B374" s="30">
        <v>53297</v>
      </c>
      <c r="C374" s="16">
        <f t="shared" si="15"/>
        <v>0</v>
      </c>
      <c r="D374" s="16">
        <f t="shared" si="16"/>
        <v>0</v>
      </c>
      <c r="E374" s="16" t="e">
        <f>+IF(AND(B374&gt;=#REF!,B374&lt;=#REF!),"OUI","NON")</f>
        <v>#REF!</v>
      </c>
      <c r="F374" s="16" t="e">
        <f t="array" ref="F374">IF(E374="OUI",MAX(F$2:$O373)+1,"")</f>
        <v>#REF!</v>
      </c>
    </row>
    <row r="375" spans="1:6" x14ac:dyDescent="0.2">
      <c r="A375" s="453">
        <f t="shared" si="17"/>
        <v>53328</v>
      </c>
      <c r="B375" s="30">
        <v>53328</v>
      </c>
      <c r="C375" s="16">
        <f t="shared" si="15"/>
        <v>0</v>
      </c>
      <c r="D375" s="16">
        <f t="shared" si="16"/>
        <v>0</v>
      </c>
      <c r="E375" s="16" t="e">
        <f>+IF(AND(B375&gt;=#REF!,B375&lt;=#REF!),"OUI","NON")</f>
        <v>#REF!</v>
      </c>
      <c r="F375" s="16" t="e">
        <f t="array" ref="F375">IF(E375="OUI",MAX(F$2:$O374)+1,"")</f>
        <v>#REF!</v>
      </c>
    </row>
    <row r="376" spans="1:6" x14ac:dyDescent="0.2">
      <c r="A376" s="453">
        <f t="shared" si="17"/>
        <v>53359</v>
      </c>
      <c r="B376" s="30">
        <v>53359</v>
      </c>
      <c r="C376" s="16">
        <f t="shared" si="15"/>
        <v>0</v>
      </c>
      <c r="D376" s="16">
        <f t="shared" si="16"/>
        <v>0</v>
      </c>
      <c r="E376" s="16" t="e">
        <f>+IF(AND(B376&gt;=#REF!,B376&lt;=#REF!),"OUI","NON")</f>
        <v>#REF!</v>
      </c>
      <c r="F376" s="16" t="e">
        <f t="array" ref="F376">IF(E376="OUI",MAX(F$2:$O375)+1,"")</f>
        <v>#REF!</v>
      </c>
    </row>
    <row r="377" spans="1:6" x14ac:dyDescent="0.2">
      <c r="A377" s="453">
        <f t="shared" si="17"/>
        <v>53387</v>
      </c>
      <c r="B377" s="30">
        <v>53387</v>
      </c>
      <c r="C377" s="16">
        <f t="shared" si="15"/>
        <v>0</v>
      </c>
      <c r="D377" s="16">
        <f t="shared" si="16"/>
        <v>0</v>
      </c>
      <c r="E377" s="16" t="e">
        <f>+IF(AND(B377&gt;=#REF!,B377&lt;=#REF!),"OUI","NON")</f>
        <v>#REF!</v>
      </c>
      <c r="F377" s="16" t="e">
        <f t="array" ref="F377">IF(E377="OUI",MAX(F$2:$O376)+1,"")</f>
        <v>#REF!</v>
      </c>
    </row>
    <row r="378" spans="1:6" x14ac:dyDescent="0.2">
      <c r="A378" s="453">
        <f t="shared" si="17"/>
        <v>53418</v>
      </c>
      <c r="B378" s="30">
        <v>53418</v>
      </c>
      <c r="C378" s="16">
        <f t="shared" si="15"/>
        <v>0</v>
      </c>
      <c r="D378" s="16">
        <f t="shared" si="16"/>
        <v>0</v>
      </c>
      <c r="E378" s="16" t="e">
        <f>+IF(AND(B378&gt;=#REF!,B378&lt;=#REF!),"OUI","NON")</f>
        <v>#REF!</v>
      </c>
      <c r="F378" s="16" t="e">
        <f t="array" ref="F378">IF(E378="OUI",MAX(F$2:$O377)+1,"")</f>
        <v>#REF!</v>
      </c>
    </row>
    <row r="379" spans="1:6" x14ac:dyDescent="0.2">
      <c r="A379" s="453">
        <f t="shared" si="17"/>
        <v>53448</v>
      </c>
      <c r="B379" s="30">
        <v>53448</v>
      </c>
      <c r="C379" s="16">
        <f t="shared" si="15"/>
        <v>0</v>
      </c>
      <c r="D379" s="16">
        <f t="shared" si="16"/>
        <v>0</v>
      </c>
      <c r="E379" s="16" t="e">
        <f>+IF(AND(B379&gt;=#REF!,B379&lt;=#REF!),"OUI","NON")</f>
        <v>#REF!</v>
      </c>
      <c r="F379" s="16" t="e">
        <f t="array" ref="F379">IF(E379="OUI",MAX(F$2:$O378)+1,"")</f>
        <v>#REF!</v>
      </c>
    </row>
    <row r="380" spans="1:6" x14ac:dyDescent="0.2">
      <c r="A380" s="453">
        <f t="shared" si="17"/>
        <v>53479</v>
      </c>
      <c r="B380" s="30">
        <v>53479</v>
      </c>
      <c r="C380" s="16">
        <f t="shared" si="15"/>
        <v>0</v>
      </c>
      <c r="D380" s="16">
        <f t="shared" si="16"/>
        <v>0</v>
      </c>
      <c r="E380" s="16" t="e">
        <f>+IF(AND(B380&gt;=#REF!,B380&lt;=#REF!),"OUI","NON")</f>
        <v>#REF!</v>
      </c>
      <c r="F380" s="16" t="e">
        <f t="array" ref="F380">IF(E380="OUI",MAX(F$2:$O379)+1,"")</f>
        <v>#REF!</v>
      </c>
    </row>
    <row r="381" spans="1:6" x14ac:dyDescent="0.2">
      <c r="A381" s="453">
        <f t="shared" si="17"/>
        <v>53509</v>
      </c>
      <c r="B381" s="30">
        <v>53509</v>
      </c>
      <c r="C381" s="16">
        <f t="shared" si="15"/>
        <v>0</v>
      </c>
      <c r="D381" s="16">
        <f t="shared" si="16"/>
        <v>0</v>
      </c>
      <c r="E381" s="16" t="e">
        <f>+IF(AND(B381&gt;=#REF!,B381&lt;=#REF!),"OUI","NON")</f>
        <v>#REF!</v>
      </c>
      <c r="F381" s="16" t="e">
        <f t="array" ref="F381">IF(E381="OUI",MAX(F$2:$O380)+1,"")</f>
        <v>#REF!</v>
      </c>
    </row>
    <row r="382" spans="1:6" x14ac:dyDescent="0.2">
      <c r="A382" s="453">
        <f t="shared" si="17"/>
        <v>53540</v>
      </c>
      <c r="B382" s="30">
        <v>53540</v>
      </c>
      <c r="C382" s="16">
        <f t="shared" si="15"/>
        <v>0</v>
      </c>
      <c r="D382" s="16">
        <f t="shared" si="16"/>
        <v>0</v>
      </c>
      <c r="E382" s="16" t="e">
        <f>+IF(AND(B382&gt;=#REF!,B382&lt;=#REF!),"OUI","NON")</f>
        <v>#REF!</v>
      </c>
      <c r="F382" s="16" t="e">
        <f t="array" ref="F382">IF(E382="OUI",MAX(F$2:$O381)+1,"")</f>
        <v>#REF!</v>
      </c>
    </row>
    <row r="383" spans="1:6" x14ac:dyDescent="0.2">
      <c r="A383" s="453">
        <f t="shared" si="17"/>
        <v>53571</v>
      </c>
      <c r="B383" s="30">
        <v>53571</v>
      </c>
      <c r="C383" s="16">
        <f t="shared" si="15"/>
        <v>0</v>
      </c>
      <c r="D383" s="16">
        <f t="shared" si="16"/>
        <v>0</v>
      </c>
      <c r="E383" s="16" t="e">
        <f>+IF(AND(B383&gt;=#REF!,B383&lt;=#REF!),"OUI","NON")</f>
        <v>#REF!</v>
      </c>
      <c r="F383" s="16" t="e">
        <f t="array" ref="F383">IF(E383="OUI",MAX(F$2:$O382)+1,"")</f>
        <v>#REF!</v>
      </c>
    </row>
    <row r="384" spans="1:6" x14ac:dyDescent="0.2">
      <c r="A384" s="453">
        <f t="shared" si="17"/>
        <v>53601</v>
      </c>
      <c r="B384" s="30">
        <v>53601</v>
      </c>
      <c r="C384" s="16">
        <f t="shared" si="15"/>
        <v>0</v>
      </c>
      <c r="D384" s="16">
        <f t="shared" si="16"/>
        <v>0</v>
      </c>
      <c r="E384" s="16" t="e">
        <f>+IF(AND(B384&gt;=#REF!,B384&lt;=#REF!),"OUI","NON")</f>
        <v>#REF!</v>
      </c>
      <c r="F384" s="16" t="e">
        <f t="array" ref="F384">IF(E384="OUI",MAX(F$2:$O383)+1,"")</f>
        <v>#REF!</v>
      </c>
    </row>
    <row r="385" spans="1:6" x14ac:dyDescent="0.2">
      <c r="A385" s="453">
        <f t="shared" si="17"/>
        <v>53632</v>
      </c>
      <c r="B385" s="30">
        <v>53632</v>
      </c>
      <c r="C385" s="16">
        <f t="shared" si="15"/>
        <v>0</v>
      </c>
      <c r="D385" s="16">
        <f t="shared" si="16"/>
        <v>0</v>
      </c>
      <c r="E385" s="16" t="e">
        <f>+IF(AND(B385&gt;=#REF!,B385&lt;=#REF!),"OUI","NON")</f>
        <v>#REF!</v>
      </c>
      <c r="F385" s="16" t="e">
        <f t="array" ref="F385">IF(E385="OUI",MAX(F$2:$O384)+1,"")</f>
        <v>#REF!</v>
      </c>
    </row>
    <row r="386" spans="1:6" x14ac:dyDescent="0.2">
      <c r="A386" s="453">
        <f t="shared" si="17"/>
        <v>53662</v>
      </c>
      <c r="B386" s="30">
        <v>53662</v>
      </c>
      <c r="C386" s="16">
        <f t="shared" si="15"/>
        <v>0</v>
      </c>
      <c r="D386" s="16">
        <f t="shared" si="16"/>
        <v>0</v>
      </c>
      <c r="E386" s="16" t="e">
        <f>+IF(AND(B386&gt;=#REF!,B386&lt;=#REF!),"OUI","NON")</f>
        <v>#REF!</v>
      </c>
      <c r="F386" s="16" t="e">
        <f t="array" ref="F386">IF(E386="OUI",MAX(F$2:$O385)+1,"")</f>
        <v>#REF!</v>
      </c>
    </row>
    <row r="387" spans="1:6" x14ac:dyDescent="0.2">
      <c r="A387" s="453">
        <f t="shared" si="17"/>
        <v>53693</v>
      </c>
      <c r="B387" s="30">
        <v>53693</v>
      </c>
      <c r="C387" s="16">
        <f t="shared" ref="C387:C422" si="18">IFERROR(+VLOOKUP(B387,BDD,53,FALSE),0)</f>
        <v>0</v>
      </c>
      <c r="D387" s="16">
        <f t="shared" ref="D387:D422" si="19">IFERROR(+VLOOKUP(B387,BDD,54,FALSE),0)</f>
        <v>0</v>
      </c>
      <c r="E387" s="16" t="e">
        <f>+IF(AND(B387&gt;=#REF!,B387&lt;=#REF!),"OUI","NON")</f>
        <v>#REF!</v>
      </c>
      <c r="F387" s="16" t="e">
        <f t="array" ref="F387">IF(E387="OUI",MAX(F$2:$O386)+1,"")</f>
        <v>#REF!</v>
      </c>
    </row>
    <row r="388" spans="1:6" x14ac:dyDescent="0.2">
      <c r="A388" s="453">
        <f t="shared" ref="A388:A422" si="20">+B388</f>
        <v>53724</v>
      </c>
      <c r="B388" s="30">
        <v>53724</v>
      </c>
      <c r="C388" s="16">
        <f t="shared" si="18"/>
        <v>0</v>
      </c>
      <c r="D388" s="16">
        <f t="shared" si="19"/>
        <v>0</v>
      </c>
      <c r="E388" s="16" t="e">
        <f>+IF(AND(B388&gt;=#REF!,B388&lt;=#REF!),"OUI","NON")</f>
        <v>#REF!</v>
      </c>
      <c r="F388" s="16" t="e">
        <f t="array" ref="F388">IF(E388="OUI",MAX(F$2:$O387)+1,"")</f>
        <v>#REF!</v>
      </c>
    </row>
    <row r="389" spans="1:6" x14ac:dyDescent="0.2">
      <c r="A389" s="453">
        <f t="shared" si="20"/>
        <v>53752</v>
      </c>
      <c r="B389" s="30">
        <v>53752</v>
      </c>
      <c r="C389" s="16">
        <f t="shared" si="18"/>
        <v>0</v>
      </c>
      <c r="D389" s="16">
        <f t="shared" si="19"/>
        <v>0</v>
      </c>
      <c r="E389" s="16" t="e">
        <f>+IF(AND(B389&gt;=#REF!,B389&lt;=#REF!),"OUI","NON")</f>
        <v>#REF!</v>
      </c>
      <c r="F389" s="16" t="e">
        <f t="array" ref="F389">IF(E389="OUI",MAX(F$2:$O388)+1,"")</f>
        <v>#REF!</v>
      </c>
    </row>
    <row r="390" spans="1:6" x14ac:dyDescent="0.2">
      <c r="A390" s="453">
        <f t="shared" si="20"/>
        <v>53783</v>
      </c>
      <c r="B390" s="30">
        <v>53783</v>
      </c>
      <c r="C390" s="16">
        <f t="shared" si="18"/>
        <v>0</v>
      </c>
      <c r="D390" s="16">
        <f t="shared" si="19"/>
        <v>0</v>
      </c>
      <c r="E390" s="16" t="e">
        <f>+IF(AND(B390&gt;=#REF!,B390&lt;=#REF!),"OUI","NON")</f>
        <v>#REF!</v>
      </c>
      <c r="F390" s="16" t="e">
        <f t="array" ref="F390">IF(E390="OUI",MAX(F$2:$O389)+1,"")</f>
        <v>#REF!</v>
      </c>
    </row>
    <row r="391" spans="1:6" x14ac:dyDescent="0.2">
      <c r="A391" s="453">
        <f t="shared" si="20"/>
        <v>53813</v>
      </c>
      <c r="B391" s="30">
        <v>53813</v>
      </c>
      <c r="C391" s="16">
        <f t="shared" si="18"/>
        <v>0</v>
      </c>
      <c r="D391" s="16">
        <f t="shared" si="19"/>
        <v>0</v>
      </c>
      <c r="E391" s="16" t="e">
        <f>+IF(AND(B391&gt;=#REF!,B391&lt;=#REF!),"OUI","NON")</f>
        <v>#REF!</v>
      </c>
      <c r="F391" s="16" t="e">
        <f t="array" ref="F391">IF(E391="OUI",MAX(F$2:$O390)+1,"")</f>
        <v>#REF!</v>
      </c>
    </row>
    <row r="392" spans="1:6" x14ac:dyDescent="0.2">
      <c r="A392" s="453">
        <f t="shared" si="20"/>
        <v>53844</v>
      </c>
      <c r="B392" s="30">
        <v>53844</v>
      </c>
      <c r="C392" s="16">
        <f t="shared" si="18"/>
        <v>0</v>
      </c>
      <c r="D392" s="16">
        <f t="shared" si="19"/>
        <v>0</v>
      </c>
      <c r="E392" s="16" t="e">
        <f>+IF(AND(B392&gt;=#REF!,B392&lt;=#REF!),"OUI","NON")</f>
        <v>#REF!</v>
      </c>
      <c r="F392" s="16" t="e">
        <f t="array" ref="F392">IF(E392="OUI",MAX(F$2:$O391)+1,"")</f>
        <v>#REF!</v>
      </c>
    </row>
    <row r="393" spans="1:6" x14ac:dyDescent="0.2">
      <c r="A393" s="453">
        <f t="shared" si="20"/>
        <v>53874</v>
      </c>
      <c r="B393" s="30">
        <v>53874</v>
      </c>
      <c r="C393" s="16">
        <f t="shared" si="18"/>
        <v>0</v>
      </c>
      <c r="D393" s="16">
        <f t="shared" si="19"/>
        <v>0</v>
      </c>
      <c r="E393" s="16" t="e">
        <f>+IF(AND(B393&gt;=#REF!,B393&lt;=#REF!),"OUI","NON")</f>
        <v>#REF!</v>
      </c>
      <c r="F393" s="16" t="e">
        <f t="array" ref="F393">IF(E393="OUI",MAX(F$2:$O392)+1,"")</f>
        <v>#REF!</v>
      </c>
    </row>
    <row r="394" spans="1:6" x14ac:dyDescent="0.2">
      <c r="A394" s="453">
        <f t="shared" si="20"/>
        <v>53905</v>
      </c>
      <c r="B394" s="30">
        <v>53905</v>
      </c>
      <c r="C394" s="16">
        <f t="shared" si="18"/>
        <v>0</v>
      </c>
      <c r="D394" s="16">
        <f t="shared" si="19"/>
        <v>0</v>
      </c>
      <c r="E394" s="16" t="e">
        <f>+IF(AND(B394&gt;=#REF!,B394&lt;=#REF!),"OUI","NON")</f>
        <v>#REF!</v>
      </c>
      <c r="F394" s="16" t="e">
        <f t="array" ref="F394">IF(E394="OUI",MAX(F$2:$O393)+1,"")</f>
        <v>#REF!</v>
      </c>
    </row>
    <row r="395" spans="1:6" x14ac:dyDescent="0.2">
      <c r="A395" s="453">
        <f t="shared" si="20"/>
        <v>53936</v>
      </c>
      <c r="B395" s="30">
        <v>53936</v>
      </c>
      <c r="C395" s="16">
        <f t="shared" si="18"/>
        <v>0</v>
      </c>
      <c r="D395" s="16">
        <f t="shared" si="19"/>
        <v>0</v>
      </c>
      <c r="E395" s="16" t="e">
        <f>+IF(AND(B395&gt;=#REF!,B395&lt;=#REF!),"OUI","NON")</f>
        <v>#REF!</v>
      </c>
      <c r="F395" s="16" t="e">
        <f t="array" ref="F395">IF(E395="OUI",MAX(F$2:$O394)+1,"")</f>
        <v>#REF!</v>
      </c>
    </row>
    <row r="396" spans="1:6" x14ac:dyDescent="0.2">
      <c r="A396" s="453">
        <f t="shared" si="20"/>
        <v>53966</v>
      </c>
      <c r="B396" s="30">
        <v>53966</v>
      </c>
      <c r="C396" s="16">
        <f t="shared" si="18"/>
        <v>0</v>
      </c>
      <c r="D396" s="16">
        <f t="shared" si="19"/>
        <v>0</v>
      </c>
      <c r="E396" s="16" t="e">
        <f>+IF(AND(B396&gt;=#REF!,B396&lt;=#REF!),"OUI","NON")</f>
        <v>#REF!</v>
      </c>
      <c r="F396" s="16" t="e">
        <f t="array" ref="F396">IF(E396="OUI",MAX(F$2:$O395)+1,"")</f>
        <v>#REF!</v>
      </c>
    </row>
    <row r="397" spans="1:6" x14ac:dyDescent="0.2">
      <c r="A397" s="453">
        <f t="shared" si="20"/>
        <v>53997</v>
      </c>
      <c r="B397" s="30">
        <v>53997</v>
      </c>
      <c r="C397" s="16">
        <f t="shared" si="18"/>
        <v>0</v>
      </c>
      <c r="D397" s="16">
        <f t="shared" si="19"/>
        <v>0</v>
      </c>
      <c r="E397" s="16" t="e">
        <f>+IF(AND(B397&gt;=#REF!,B397&lt;=#REF!),"OUI","NON")</f>
        <v>#REF!</v>
      </c>
      <c r="F397" s="16" t="e">
        <f t="array" ref="F397">IF(E397="OUI",MAX(F$2:$O396)+1,"")</f>
        <v>#REF!</v>
      </c>
    </row>
    <row r="398" spans="1:6" x14ac:dyDescent="0.2">
      <c r="A398" s="453">
        <f t="shared" si="20"/>
        <v>54027</v>
      </c>
      <c r="B398" s="30">
        <v>54027</v>
      </c>
      <c r="C398" s="16">
        <f t="shared" si="18"/>
        <v>0</v>
      </c>
      <c r="D398" s="16">
        <f t="shared" si="19"/>
        <v>0</v>
      </c>
      <c r="E398" s="16" t="e">
        <f>+IF(AND(B398&gt;=#REF!,B398&lt;=#REF!),"OUI","NON")</f>
        <v>#REF!</v>
      </c>
      <c r="F398" s="16" t="e">
        <f t="array" ref="F398">IF(E398="OUI",MAX(F$2:$O397)+1,"")</f>
        <v>#REF!</v>
      </c>
    </row>
    <row r="399" spans="1:6" x14ac:dyDescent="0.2">
      <c r="A399" s="453">
        <f t="shared" si="20"/>
        <v>54058</v>
      </c>
      <c r="B399" s="30">
        <v>54058</v>
      </c>
      <c r="C399" s="16">
        <f t="shared" si="18"/>
        <v>0</v>
      </c>
      <c r="D399" s="16">
        <f t="shared" si="19"/>
        <v>0</v>
      </c>
      <c r="E399" s="16" t="e">
        <f>+IF(AND(B399&gt;=#REF!,B399&lt;=#REF!),"OUI","NON")</f>
        <v>#REF!</v>
      </c>
      <c r="F399" s="16" t="e">
        <f t="array" ref="F399">IF(E399="OUI",MAX(F$2:$O398)+1,"")</f>
        <v>#REF!</v>
      </c>
    </row>
    <row r="400" spans="1:6" x14ac:dyDescent="0.2">
      <c r="A400" s="453">
        <f t="shared" si="20"/>
        <v>54089</v>
      </c>
      <c r="B400" s="30">
        <v>54089</v>
      </c>
      <c r="C400" s="16">
        <f t="shared" si="18"/>
        <v>0</v>
      </c>
      <c r="D400" s="16">
        <f t="shared" si="19"/>
        <v>0</v>
      </c>
      <c r="E400" s="16" t="e">
        <f>+IF(AND(B400&gt;=#REF!,B400&lt;=#REF!),"OUI","NON")</f>
        <v>#REF!</v>
      </c>
      <c r="F400" s="16" t="e">
        <f t="array" ref="F400">IF(E400="OUI",MAX(F$2:$O399)+1,"")</f>
        <v>#REF!</v>
      </c>
    </row>
    <row r="401" spans="1:6" x14ac:dyDescent="0.2">
      <c r="A401" s="453">
        <f t="shared" si="20"/>
        <v>54118</v>
      </c>
      <c r="B401" s="30">
        <v>54118</v>
      </c>
      <c r="C401" s="16">
        <f t="shared" si="18"/>
        <v>0</v>
      </c>
      <c r="D401" s="16">
        <f t="shared" si="19"/>
        <v>0</v>
      </c>
      <c r="E401" s="16" t="e">
        <f>+IF(AND(B401&gt;=#REF!,B401&lt;=#REF!),"OUI","NON")</f>
        <v>#REF!</v>
      </c>
      <c r="F401" s="16" t="e">
        <f t="array" ref="F401">IF(E401="OUI",MAX(F$2:$O400)+1,"")</f>
        <v>#REF!</v>
      </c>
    </row>
    <row r="402" spans="1:6" x14ac:dyDescent="0.2">
      <c r="A402" s="453">
        <f t="shared" si="20"/>
        <v>54149</v>
      </c>
      <c r="B402" s="30">
        <v>54149</v>
      </c>
      <c r="C402" s="16">
        <f t="shared" si="18"/>
        <v>0</v>
      </c>
      <c r="D402" s="16">
        <f t="shared" si="19"/>
        <v>0</v>
      </c>
      <c r="E402" s="16" t="e">
        <f>+IF(AND(B402&gt;=#REF!,B402&lt;=#REF!),"OUI","NON")</f>
        <v>#REF!</v>
      </c>
      <c r="F402" s="16" t="e">
        <f t="array" ref="F402">IF(E402="OUI",MAX(F$2:$O401)+1,"")</f>
        <v>#REF!</v>
      </c>
    </row>
    <row r="403" spans="1:6" x14ac:dyDescent="0.2">
      <c r="A403" s="453">
        <f t="shared" si="20"/>
        <v>54179</v>
      </c>
      <c r="B403" s="30">
        <v>54179</v>
      </c>
      <c r="C403" s="16">
        <f t="shared" si="18"/>
        <v>0</v>
      </c>
      <c r="D403" s="16">
        <f t="shared" si="19"/>
        <v>0</v>
      </c>
      <c r="E403" s="16" t="e">
        <f>+IF(AND(B403&gt;=#REF!,B403&lt;=#REF!),"OUI","NON")</f>
        <v>#REF!</v>
      </c>
      <c r="F403" s="16" t="e">
        <f t="array" ref="F403">IF(E403="OUI",MAX(F$2:$O402)+1,"")</f>
        <v>#REF!</v>
      </c>
    </row>
    <row r="404" spans="1:6" x14ac:dyDescent="0.2">
      <c r="A404" s="453">
        <f t="shared" si="20"/>
        <v>54210</v>
      </c>
      <c r="B404" s="30">
        <v>54210</v>
      </c>
      <c r="C404" s="16">
        <f t="shared" si="18"/>
        <v>0</v>
      </c>
      <c r="D404" s="16">
        <f t="shared" si="19"/>
        <v>0</v>
      </c>
      <c r="E404" s="16" t="e">
        <f>+IF(AND(B404&gt;=#REF!,B404&lt;=#REF!),"OUI","NON")</f>
        <v>#REF!</v>
      </c>
      <c r="F404" s="16" t="e">
        <f t="array" ref="F404">IF(E404="OUI",MAX(F$2:$O403)+1,"")</f>
        <v>#REF!</v>
      </c>
    </row>
    <row r="405" spans="1:6" x14ac:dyDescent="0.2">
      <c r="A405" s="453">
        <f t="shared" si="20"/>
        <v>54240</v>
      </c>
      <c r="B405" s="30">
        <v>54240</v>
      </c>
      <c r="C405" s="16">
        <f t="shared" si="18"/>
        <v>0</v>
      </c>
      <c r="D405" s="16">
        <f t="shared" si="19"/>
        <v>0</v>
      </c>
      <c r="E405" s="16" t="e">
        <f>+IF(AND(B405&gt;=#REF!,B405&lt;=#REF!),"OUI","NON")</f>
        <v>#REF!</v>
      </c>
      <c r="F405" s="16" t="e">
        <f t="array" ref="F405">IF(E405="OUI",MAX(F$2:$O404)+1,"")</f>
        <v>#REF!</v>
      </c>
    </row>
    <row r="406" spans="1:6" x14ac:dyDescent="0.2">
      <c r="A406" s="453">
        <f t="shared" si="20"/>
        <v>54271</v>
      </c>
      <c r="B406" s="30">
        <v>54271</v>
      </c>
      <c r="C406" s="16">
        <f t="shared" si="18"/>
        <v>0</v>
      </c>
      <c r="D406" s="16">
        <f t="shared" si="19"/>
        <v>0</v>
      </c>
      <c r="E406" s="16" t="e">
        <f>+IF(AND(B406&gt;=#REF!,B406&lt;=#REF!),"OUI","NON")</f>
        <v>#REF!</v>
      </c>
      <c r="F406" s="16" t="e">
        <f t="array" ref="F406">IF(E406="OUI",MAX(F$2:$O405)+1,"")</f>
        <v>#REF!</v>
      </c>
    </row>
    <row r="407" spans="1:6" x14ac:dyDescent="0.2">
      <c r="A407" s="453">
        <f t="shared" si="20"/>
        <v>54302</v>
      </c>
      <c r="B407" s="30">
        <v>54302</v>
      </c>
      <c r="C407" s="16">
        <f t="shared" si="18"/>
        <v>0</v>
      </c>
      <c r="D407" s="16">
        <f t="shared" si="19"/>
        <v>0</v>
      </c>
      <c r="E407" s="16" t="e">
        <f>+IF(AND(B407&gt;=#REF!,B407&lt;=#REF!),"OUI","NON")</f>
        <v>#REF!</v>
      </c>
      <c r="F407" s="16" t="e">
        <f t="array" ref="F407">IF(E407="OUI",MAX(F$2:$O406)+1,"")</f>
        <v>#REF!</v>
      </c>
    </row>
    <row r="408" spans="1:6" x14ac:dyDescent="0.2">
      <c r="A408" s="453">
        <f t="shared" si="20"/>
        <v>54332</v>
      </c>
      <c r="B408" s="30">
        <v>54332</v>
      </c>
      <c r="C408" s="16">
        <f t="shared" si="18"/>
        <v>0</v>
      </c>
      <c r="D408" s="16">
        <f t="shared" si="19"/>
        <v>0</v>
      </c>
      <c r="E408" s="16" t="e">
        <f>+IF(AND(B408&gt;=#REF!,B408&lt;=#REF!),"OUI","NON")</f>
        <v>#REF!</v>
      </c>
      <c r="F408" s="16" t="e">
        <f t="array" ref="F408">IF(E408="OUI",MAX(F$2:$O407)+1,"")</f>
        <v>#REF!</v>
      </c>
    </row>
    <row r="409" spans="1:6" x14ac:dyDescent="0.2">
      <c r="A409" s="453">
        <f t="shared" si="20"/>
        <v>54363</v>
      </c>
      <c r="B409" s="30">
        <v>54363</v>
      </c>
      <c r="C409" s="16">
        <f t="shared" si="18"/>
        <v>0</v>
      </c>
      <c r="D409" s="16">
        <f t="shared" si="19"/>
        <v>0</v>
      </c>
      <c r="E409" s="16" t="e">
        <f>+IF(AND(B409&gt;=#REF!,B409&lt;=#REF!),"OUI","NON")</f>
        <v>#REF!</v>
      </c>
      <c r="F409" s="16" t="e">
        <f t="array" ref="F409">IF(E409="OUI",MAX(F$2:$O408)+1,"")</f>
        <v>#REF!</v>
      </c>
    </row>
    <row r="410" spans="1:6" x14ac:dyDescent="0.2">
      <c r="A410" s="453">
        <f t="shared" si="20"/>
        <v>54393</v>
      </c>
      <c r="B410" s="30">
        <v>54393</v>
      </c>
      <c r="C410" s="16">
        <f t="shared" si="18"/>
        <v>0</v>
      </c>
      <c r="D410" s="16">
        <f t="shared" si="19"/>
        <v>0</v>
      </c>
      <c r="E410" s="16" t="e">
        <f>+IF(AND(B410&gt;=#REF!,B410&lt;=#REF!),"OUI","NON")</f>
        <v>#REF!</v>
      </c>
      <c r="F410" s="16" t="e">
        <f t="array" ref="F410">IF(E410="OUI",MAX(F$2:$O409)+1,"")</f>
        <v>#REF!</v>
      </c>
    </row>
    <row r="411" spans="1:6" x14ac:dyDescent="0.2">
      <c r="A411" s="453">
        <f t="shared" si="20"/>
        <v>54424</v>
      </c>
      <c r="B411" s="30">
        <v>54424</v>
      </c>
      <c r="C411" s="16">
        <f t="shared" si="18"/>
        <v>0</v>
      </c>
      <c r="D411" s="16">
        <f t="shared" si="19"/>
        <v>0</v>
      </c>
      <c r="E411" s="16" t="e">
        <f>+IF(AND(B411&gt;=#REF!,B411&lt;=#REF!),"OUI","NON")</f>
        <v>#REF!</v>
      </c>
      <c r="F411" s="16" t="e">
        <f t="array" ref="F411">IF(E411="OUI",MAX(F$2:$O410)+1,"")</f>
        <v>#REF!</v>
      </c>
    </row>
    <row r="412" spans="1:6" x14ac:dyDescent="0.2">
      <c r="A412" s="453">
        <f t="shared" si="20"/>
        <v>54455</v>
      </c>
      <c r="B412" s="30">
        <v>54455</v>
      </c>
      <c r="C412" s="16">
        <f t="shared" si="18"/>
        <v>0</v>
      </c>
      <c r="D412" s="16">
        <f t="shared" si="19"/>
        <v>0</v>
      </c>
      <c r="E412" s="16" t="e">
        <f>+IF(AND(B412&gt;=#REF!,B412&lt;=#REF!),"OUI","NON")</f>
        <v>#REF!</v>
      </c>
      <c r="F412" s="16" t="e">
        <f t="array" ref="F412">IF(E412="OUI",MAX(F$2:$O411)+1,"")</f>
        <v>#REF!</v>
      </c>
    </row>
    <row r="413" spans="1:6" x14ac:dyDescent="0.2">
      <c r="A413" s="453">
        <f t="shared" si="20"/>
        <v>54483</v>
      </c>
      <c r="B413" s="30">
        <v>54483</v>
      </c>
      <c r="C413" s="16">
        <f t="shared" si="18"/>
        <v>0</v>
      </c>
      <c r="D413" s="16">
        <f t="shared" si="19"/>
        <v>0</v>
      </c>
      <c r="E413" s="16" t="e">
        <f>+IF(AND(B413&gt;=#REF!,B413&lt;=#REF!),"OUI","NON")</f>
        <v>#REF!</v>
      </c>
      <c r="F413" s="16" t="e">
        <f t="array" ref="F413">IF(E413="OUI",MAX(F$2:$O412)+1,"")</f>
        <v>#REF!</v>
      </c>
    </row>
    <row r="414" spans="1:6" x14ac:dyDescent="0.2">
      <c r="A414" s="453">
        <f t="shared" si="20"/>
        <v>54514</v>
      </c>
      <c r="B414" s="30">
        <v>54514</v>
      </c>
      <c r="C414" s="16">
        <f t="shared" si="18"/>
        <v>0</v>
      </c>
      <c r="D414" s="16">
        <f t="shared" si="19"/>
        <v>0</v>
      </c>
      <c r="E414" s="16" t="e">
        <f>+IF(AND(B414&gt;=#REF!,B414&lt;=#REF!),"OUI","NON")</f>
        <v>#REF!</v>
      </c>
      <c r="F414" s="16" t="e">
        <f t="array" ref="F414">IF(E414="OUI",MAX(F$2:$O413)+1,"")</f>
        <v>#REF!</v>
      </c>
    </row>
    <row r="415" spans="1:6" x14ac:dyDescent="0.2">
      <c r="A415" s="453">
        <f t="shared" si="20"/>
        <v>54544</v>
      </c>
      <c r="B415" s="30">
        <v>54544</v>
      </c>
      <c r="C415" s="16">
        <f t="shared" si="18"/>
        <v>0</v>
      </c>
      <c r="D415" s="16">
        <f t="shared" si="19"/>
        <v>0</v>
      </c>
      <c r="E415" s="16" t="e">
        <f>+IF(AND(B415&gt;=#REF!,B415&lt;=#REF!),"OUI","NON")</f>
        <v>#REF!</v>
      </c>
      <c r="F415" s="16" t="e">
        <f t="array" ref="F415">IF(E415="OUI",MAX(F$2:$O414)+1,"")</f>
        <v>#REF!</v>
      </c>
    </row>
    <row r="416" spans="1:6" x14ac:dyDescent="0.2">
      <c r="A416" s="453">
        <f t="shared" si="20"/>
        <v>54575</v>
      </c>
      <c r="B416" s="30">
        <v>54575</v>
      </c>
      <c r="C416" s="16">
        <f t="shared" si="18"/>
        <v>0</v>
      </c>
      <c r="D416" s="16">
        <f t="shared" si="19"/>
        <v>0</v>
      </c>
      <c r="E416" s="16" t="e">
        <f>+IF(AND(B416&gt;=#REF!,B416&lt;=#REF!),"OUI","NON")</f>
        <v>#REF!</v>
      </c>
      <c r="F416" s="16" t="e">
        <f t="array" ref="F416">IF(E416="OUI",MAX(F$2:$O415)+1,"")</f>
        <v>#REF!</v>
      </c>
    </row>
    <row r="417" spans="1:6" x14ac:dyDescent="0.2">
      <c r="A417" s="453">
        <f t="shared" si="20"/>
        <v>54605</v>
      </c>
      <c r="B417" s="30">
        <v>54605</v>
      </c>
      <c r="C417" s="16">
        <f t="shared" si="18"/>
        <v>0</v>
      </c>
      <c r="D417" s="16">
        <f t="shared" si="19"/>
        <v>0</v>
      </c>
      <c r="E417" s="16" t="e">
        <f>+IF(AND(B417&gt;=#REF!,B417&lt;=#REF!),"OUI","NON")</f>
        <v>#REF!</v>
      </c>
      <c r="F417" s="16" t="e">
        <f t="array" ref="F417">IF(E417="OUI",MAX(F$2:$O416)+1,"")</f>
        <v>#REF!</v>
      </c>
    </row>
    <row r="418" spans="1:6" x14ac:dyDescent="0.2">
      <c r="A418" s="453">
        <f t="shared" si="20"/>
        <v>54636</v>
      </c>
      <c r="B418" s="30">
        <v>54636</v>
      </c>
      <c r="C418" s="16">
        <f t="shared" si="18"/>
        <v>0</v>
      </c>
      <c r="D418" s="16">
        <f t="shared" si="19"/>
        <v>0</v>
      </c>
      <c r="E418" s="16" t="e">
        <f>+IF(AND(B418&gt;=#REF!,B418&lt;=#REF!),"OUI","NON")</f>
        <v>#REF!</v>
      </c>
      <c r="F418" s="16" t="e">
        <f t="array" ref="F418">IF(E418="OUI",MAX(F$2:$O417)+1,"")</f>
        <v>#REF!</v>
      </c>
    </row>
    <row r="419" spans="1:6" x14ac:dyDescent="0.2">
      <c r="A419" s="453">
        <f t="shared" si="20"/>
        <v>54667</v>
      </c>
      <c r="B419" s="30">
        <v>54667</v>
      </c>
      <c r="C419" s="16">
        <f t="shared" si="18"/>
        <v>0</v>
      </c>
      <c r="D419" s="16">
        <f t="shared" si="19"/>
        <v>0</v>
      </c>
      <c r="E419" s="16" t="e">
        <f>+IF(AND(B419&gt;=#REF!,B419&lt;=#REF!),"OUI","NON")</f>
        <v>#REF!</v>
      </c>
      <c r="F419" s="16" t="e">
        <f t="array" ref="F419">IF(E419="OUI",MAX(F$2:$O418)+1,"")</f>
        <v>#REF!</v>
      </c>
    </row>
    <row r="420" spans="1:6" x14ac:dyDescent="0.2">
      <c r="A420" s="453">
        <f t="shared" si="20"/>
        <v>54697</v>
      </c>
      <c r="B420" s="30">
        <v>54697</v>
      </c>
      <c r="C420" s="16">
        <f t="shared" si="18"/>
        <v>0</v>
      </c>
      <c r="D420" s="16">
        <f t="shared" si="19"/>
        <v>0</v>
      </c>
      <c r="E420" s="16" t="e">
        <f>+IF(AND(B420&gt;=#REF!,B420&lt;=#REF!),"OUI","NON")</f>
        <v>#REF!</v>
      </c>
      <c r="F420" s="16" t="e">
        <f t="array" ref="F420">IF(E420="OUI",MAX(F$2:$O419)+1,"")</f>
        <v>#REF!</v>
      </c>
    </row>
    <row r="421" spans="1:6" x14ac:dyDescent="0.2">
      <c r="A421" s="453">
        <f t="shared" si="20"/>
        <v>54728</v>
      </c>
      <c r="B421" s="30">
        <v>54728</v>
      </c>
      <c r="C421" s="16">
        <f t="shared" si="18"/>
        <v>0</v>
      </c>
      <c r="D421" s="16">
        <f t="shared" si="19"/>
        <v>0</v>
      </c>
      <c r="E421" s="16" t="e">
        <f>+IF(AND(B421&gt;=#REF!,B421&lt;=#REF!),"OUI","NON")</f>
        <v>#REF!</v>
      </c>
      <c r="F421" s="16" t="e">
        <f t="array" ref="F421">IF(E421="OUI",MAX(F$2:$O420)+1,"")</f>
        <v>#REF!</v>
      </c>
    </row>
    <row r="422" spans="1:6" x14ac:dyDescent="0.2">
      <c r="A422" s="453">
        <f t="shared" si="20"/>
        <v>54758</v>
      </c>
      <c r="B422" s="30">
        <v>54758</v>
      </c>
      <c r="C422" s="16">
        <f t="shared" si="18"/>
        <v>0</v>
      </c>
      <c r="D422" s="16">
        <f t="shared" si="19"/>
        <v>0</v>
      </c>
      <c r="E422" s="16" t="e">
        <f>+IF(AND(B422&gt;=#REF!,B422&lt;=#REF!),"OUI","NON")</f>
        <v>#REF!</v>
      </c>
      <c r="F422" s="16" t="e">
        <f t="array" ref="F422">IF(E422="OUI",MAX(F$2:$O421)+1,"")</f>
        <v>#REF!</v>
      </c>
    </row>
  </sheetData>
  <sheetProtection algorithmName="SHA-512" hashValue="gOglqms710e8Dp9BMu3LIzQpKdvcHrwQWJJ762rkrmyhLKhXYhXilv5rj+kI9BOoEYr8KCwSiCZOB4h0JADm+w==" saltValue="mBIq2oIuoAzB7NEITWdq0w==" spinCount="100000" sheet="1" objects="1" scenarios="1" formatCells="0" formatColumns="0" formatRows="0" insertColumns="0" insertRows="0" insertHyperlinks="0" sort="0" autoFilter="0" pivotTables="0"/>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16"/>
  <sheetViews>
    <sheetView showGridLines="0" zoomScale="90" zoomScaleNormal="90" workbookViewId="0">
      <selection activeCell="HL2" sqref="HL2"/>
    </sheetView>
  </sheetViews>
  <sheetFormatPr baseColWidth="10" defaultColWidth="11.42578125" defaultRowHeight="12.75" x14ac:dyDescent="0.2"/>
  <cols>
    <col min="1" max="1" width="17" style="16" customWidth="1"/>
    <col min="2" max="2" width="17.42578125" style="16" bestFit="1" customWidth="1"/>
    <col min="3" max="3" width="15.7109375" style="16" bestFit="1" customWidth="1"/>
    <col min="4" max="4" width="15.7109375" style="16" customWidth="1"/>
    <col min="5" max="5" width="32.28515625" style="16" customWidth="1"/>
    <col min="6" max="16384" width="11.42578125" style="16"/>
  </cols>
  <sheetData>
    <row r="1" spans="1:5" x14ac:dyDescent="0.2">
      <c r="A1" s="2572" t="str">
        <f>+"ENFANT : "&amp;Identification!B25</f>
        <v>ENFANT : 0</v>
      </c>
      <c r="B1" s="2572"/>
      <c r="C1" s="2572"/>
      <c r="D1" s="2572"/>
      <c r="E1" s="2572"/>
    </row>
    <row r="3" spans="1:5" ht="44.25" customHeight="1" x14ac:dyDescent="0.2">
      <c r="A3" s="117" t="str">
        <f>Impôts!A5</f>
        <v>Mois</v>
      </c>
      <c r="B3" s="118" t="str">
        <f>Impôts!I5</f>
        <v xml:space="preserve">Calcul Abattement </v>
      </c>
      <c r="C3" s="119" t="str">
        <f>Impôts!J5</f>
        <v>Salaire déclarable (mensuel)</v>
      </c>
      <c r="D3" s="120" t="s">
        <v>86</v>
      </c>
      <c r="E3" s="121" t="s">
        <v>457</v>
      </c>
    </row>
    <row r="4" spans="1:5" ht="15.75" customHeight="1" x14ac:dyDescent="0.2">
      <c r="A4" s="122">
        <f>Impôts!A6</f>
        <v>46023</v>
      </c>
      <c r="B4" s="123">
        <f>Impôts!I6</f>
        <v>0</v>
      </c>
      <c r="C4" s="124">
        <f ca="1">Impôts!J6</f>
        <v>0</v>
      </c>
      <c r="D4" s="125">
        <f ca="1">+Impôts!G6</f>
        <v>0</v>
      </c>
      <c r="E4" s="38">
        <f>+Identification!$B$25</f>
        <v>0</v>
      </c>
    </row>
    <row r="5" spans="1:5" ht="15.75" customHeight="1" x14ac:dyDescent="0.2">
      <c r="A5" s="122">
        <f>Impôts!A7</f>
        <v>46054</v>
      </c>
      <c r="B5" s="123">
        <f>Impôts!I7</f>
        <v>0</v>
      </c>
      <c r="C5" s="124">
        <f>Impôts!J7</f>
        <v>0</v>
      </c>
      <c r="D5" s="125">
        <f>+Impôts!G7</f>
        <v>0</v>
      </c>
      <c r="E5" s="38">
        <f>+Identification!$B$25</f>
        <v>0</v>
      </c>
    </row>
    <row r="6" spans="1:5" ht="15.75" customHeight="1" x14ac:dyDescent="0.2">
      <c r="A6" s="122">
        <f>Impôts!A8</f>
        <v>46082</v>
      </c>
      <c r="B6" s="123">
        <f>Impôts!I8</f>
        <v>0</v>
      </c>
      <c r="C6" s="124">
        <f>Impôts!J8</f>
        <v>0</v>
      </c>
      <c r="D6" s="125">
        <f>+Impôts!G8</f>
        <v>0</v>
      </c>
      <c r="E6" s="38">
        <f>+Identification!$B$25</f>
        <v>0</v>
      </c>
    </row>
    <row r="7" spans="1:5" ht="15.75" customHeight="1" x14ac:dyDescent="0.2">
      <c r="A7" s="122">
        <f>Impôts!A9</f>
        <v>46113</v>
      </c>
      <c r="B7" s="123">
        <f>Impôts!I9</f>
        <v>0</v>
      </c>
      <c r="C7" s="124">
        <f>Impôts!J9</f>
        <v>0</v>
      </c>
      <c r="D7" s="125">
        <f>+Impôts!G9</f>
        <v>0</v>
      </c>
      <c r="E7" s="38">
        <f>+Identification!$B$25</f>
        <v>0</v>
      </c>
    </row>
    <row r="8" spans="1:5" ht="15.75" customHeight="1" x14ac:dyDescent="0.2">
      <c r="A8" s="122">
        <f>Impôts!A10</f>
        <v>46143</v>
      </c>
      <c r="B8" s="123">
        <f>Impôts!I10</f>
        <v>0</v>
      </c>
      <c r="C8" s="124">
        <f>Impôts!J10</f>
        <v>0</v>
      </c>
      <c r="D8" s="125">
        <f>+Impôts!G10</f>
        <v>0</v>
      </c>
      <c r="E8" s="38">
        <f>+Identification!$B$25</f>
        <v>0</v>
      </c>
    </row>
    <row r="9" spans="1:5" ht="15.75" customHeight="1" x14ac:dyDescent="0.2">
      <c r="A9" s="122">
        <f>Impôts!A11</f>
        <v>46174</v>
      </c>
      <c r="B9" s="123">
        <f>Impôts!I11</f>
        <v>0</v>
      </c>
      <c r="C9" s="124">
        <f ca="1">Impôts!J11</f>
        <v>0</v>
      </c>
      <c r="D9" s="125">
        <f>+Impôts!G11</f>
        <v>0</v>
      </c>
      <c r="E9" s="38">
        <f>+Identification!$B$25</f>
        <v>0</v>
      </c>
    </row>
    <row r="10" spans="1:5" ht="15.75" customHeight="1" x14ac:dyDescent="0.2">
      <c r="A10" s="122">
        <f>Impôts!A12</f>
        <v>46204</v>
      </c>
      <c r="B10" s="123">
        <f>Impôts!I12</f>
        <v>0</v>
      </c>
      <c r="C10" s="124">
        <f>Impôts!J12</f>
        <v>0</v>
      </c>
      <c r="D10" s="125">
        <f>+Impôts!G12</f>
        <v>0</v>
      </c>
      <c r="E10" s="38">
        <f>+Identification!$B$25</f>
        <v>0</v>
      </c>
    </row>
    <row r="11" spans="1:5" ht="15.75" customHeight="1" x14ac:dyDescent="0.2">
      <c r="A11" s="122">
        <f>Impôts!A13</f>
        <v>46235</v>
      </c>
      <c r="B11" s="123">
        <f>Impôts!I13</f>
        <v>0</v>
      </c>
      <c r="C11" s="124">
        <f>Impôts!J13</f>
        <v>0</v>
      </c>
      <c r="D11" s="125">
        <f>+Impôts!G13</f>
        <v>0</v>
      </c>
      <c r="E11" s="38">
        <f>+Identification!$B$25</f>
        <v>0</v>
      </c>
    </row>
    <row r="12" spans="1:5" ht="15.75" customHeight="1" x14ac:dyDescent="0.2">
      <c r="A12" s="122">
        <f>Impôts!A14</f>
        <v>46266</v>
      </c>
      <c r="B12" s="123">
        <f>Impôts!I14</f>
        <v>0</v>
      </c>
      <c r="C12" s="124">
        <f>Impôts!J14</f>
        <v>0</v>
      </c>
      <c r="D12" s="125">
        <f>+Impôts!G14</f>
        <v>0</v>
      </c>
      <c r="E12" s="38">
        <f>+Identification!$B$25</f>
        <v>0</v>
      </c>
    </row>
    <row r="13" spans="1:5" ht="15.75" customHeight="1" x14ac:dyDescent="0.2">
      <c r="A13" s="122">
        <f>Impôts!A15</f>
        <v>46296</v>
      </c>
      <c r="B13" s="123">
        <f>Impôts!I15</f>
        <v>0</v>
      </c>
      <c r="C13" s="124">
        <f>Impôts!J15</f>
        <v>0</v>
      </c>
      <c r="D13" s="125">
        <f>+Impôts!G15</f>
        <v>0</v>
      </c>
      <c r="E13" s="38">
        <f>+Identification!$B$25</f>
        <v>0</v>
      </c>
    </row>
    <row r="14" spans="1:5" ht="15.75" customHeight="1" x14ac:dyDescent="0.2">
      <c r="A14" s="122">
        <f>Impôts!A16</f>
        <v>46327</v>
      </c>
      <c r="B14" s="123">
        <f>Impôts!I16</f>
        <v>0</v>
      </c>
      <c r="C14" s="124">
        <f>Impôts!J16</f>
        <v>0</v>
      </c>
      <c r="D14" s="125">
        <f>+Impôts!G16</f>
        <v>0</v>
      </c>
      <c r="E14" s="38">
        <f>+Identification!$B$25</f>
        <v>0</v>
      </c>
    </row>
    <row r="15" spans="1:5" ht="15.75" customHeight="1" x14ac:dyDescent="0.2">
      <c r="A15" s="122">
        <f>Impôts!A17</f>
        <v>46357</v>
      </c>
      <c r="B15" s="123">
        <f>Impôts!I17</f>
        <v>0</v>
      </c>
      <c r="C15" s="124">
        <f>Impôts!J17</f>
        <v>0</v>
      </c>
      <c r="D15" s="125">
        <f>+Impôts!G17</f>
        <v>0</v>
      </c>
      <c r="E15" s="38">
        <f>+Identification!$B$25</f>
        <v>0</v>
      </c>
    </row>
    <row r="16" spans="1:5" x14ac:dyDescent="0.2">
      <c r="A16" s="126"/>
    </row>
  </sheetData>
  <sheetProtection algorithmName="SHA-512" hashValue="cnIHwPEmIEqMlGXar2eD5nqaLH+K4p5uTDNMeJhq3YhzyZi7rY77pEy1nWykXQaqm/vXJqzs6vzNDyp06mTKFQ==" saltValue="zAM5m0YGZnEoFDx3KRotSA==" spinCount="100000" sheet="1" objects="1" scenarios="1" formatCells="0" formatColumns="0" formatRows="0" insertColumns="0" insertRows="0" insertHyperlinks="0" sort="0" autoFilter="0" pivotTables="0"/>
  <mergeCells count="1">
    <mergeCell ref="A1:E1"/>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H14"/>
  <sheetViews>
    <sheetView topLeftCell="H1" workbookViewId="0">
      <selection activeCell="HL2" sqref="HL2"/>
    </sheetView>
  </sheetViews>
  <sheetFormatPr baseColWidth="10" defaultColWidth="11.42578125" defaultRowHeight="12.75" outlineLevelCol="1" x14ac:dyDescent="0.2"/>
  <cols>
    <col min="1" max="1" width="10.140625" style="16" hidden="1" customWidth="1" outlineLevel="1"/>
    <col min="2" max="2" width="10" style="16" hidden="1" customWidth="1" outlineLevel="1"/>
    <col min="3" max="3" width="10.28515625" style="16" hidden="1" customWidth="1" outlineLevel="1"/>
    <col min="4" max="4" width="10.42578125" style="16" hidden="1" customWidth="1" outlineLevel="1"/>
    <col min="5" max="5" width="8.42578125" style="16" hidden="1" customWidth="1" outlineLevel="1"/>
    <col min="6" max="6" width="10.5703125" style="16" hidden="1" customWidth="1" outlineLevel="1"/>
    <col min="7" max="7" width="17" style="16" hidden="1" customWidth="1" outlineLevel="1"/>
    <col min="8" max="8" width="11.42578125" style="16" customWidth="1" collapsed="1"/>
    <col min="9" max="157" width="11.42578125" style="16" customWidth="1"/>
    <col min="158" max="16384" width="11.42578125" style="16"/>
  </cols>
  <sheetData>
    <row r="1" spans="1:7" x14ac:dyDescent="0.2">
      <c r="A1" s="16">
        <v>1</v>
      </c>
      <c r="B1" s="16">
        <v>2</v>
      </c>
      <c r="C1" s="16">
        <v>3</v>
      </c>
      <c r="D1" s="16">
        <v>4</v>
      </c>
      <c r="E1" s="16">
        <v>5</v>
      </c>
      <c r="F1" s="16">
        <v>6</v>
      </c>
      <c r="G1" s="16">
        <v>7</v>
      </c>
    </row>
    <row r="2" spans="1:7" x14ac:dyDescent="0.2">
      <c r="A2" s="16" t="s">
        <v>26</v>
      </c>
      <c r="B2" s="16" t="s">
        <v>933</v>
      </c>
      <c r="C2" s="16" t="s">
        <v>926</v>
      </c>
      <c r="D2" s="16" t="s">
        <v>927</v>
      </c>
      <c r="E2" s="16" t="s">
        <v>928</v>
      </c>
      <c r="F2" s="16" t="s">
        <v>929</v>
      </c>
      <c r="G2" s="16" t="s">
        <v>1549</v>
      </c>
    </row>
    <row r="3" spans="1:7" x14ac:dyDescent="0.2">
      <c r="A3" s="30">
        <f>+Janvier!X3</f>
        <v>46023</v>
      </c>
      <c r="B3" s="30" t="s">
        <v>868</v>
      </c>
      <c r="C3" s="58">
        <v>0</v>
      </c>
      <c r="D3" s="58">
        <f>+IFERROR(VLOOKUP(DATE(YEAR(A3)-1,MONTH(A3),DAY(A3)),BDD,88,FALSE),0)</f>
        <v>0</v>
      </c>
      <c r="E3" s="58" t="e">
        <f>+'Ind Comp. de  CP A. Complète'!$K$14</f>
        <v>#N/A</v>
      </c>
      <c r="F3" s="58" t="e">
        <f ca="1">+'Ind Comp. de CP A. Incomplète'!$K$20</f>
        <v>#N/A</v>
      </c>
      <c r="G3" s="16" t="e">
        <f>MROUND(VLOOKUP(DATE(YEAR(A3)-1,MONTH(A3),DAY(A3)),BDD,89,FALSE)*D3/Report!$D$41,0.5)</f>
        <v>#N/A</v>
      </c>
    </row>
    <row r="4" spans="1:7" x14ac:dyDescent="0.2">
      <c r="A4" s="30">
        <f>DATE(YEAR($A$3),MONTH($A$3)+1,DAY($A$3))</f>
        <v>46054</v>
      </c>
      <c r="B4" s="30" t="s">
        <v>869</v>
      </c>
      <c r="C4" s="58">
        <v>0</v>
      </c>
      <c r="D4" s="58">
        <f>+IFERROR(VLOOKUP(DATE(YEAR(A4)-1,MONTH(A4),DAY(A4)),BDD,88,FALSE),0)</f>
        <v>0</v>
      </c>
      <c r="E4" s="58" t="e">
        <f>+'Ind Comp. de  CP A. Complète'!$K$14</f>
        <v>#N/A</v>
      </c>
      <c r="F4" s="58" t="e">
        <f ca="1">+'Ind Comp. de CP A. Incomplète'!$K$20</f>
        <v>#N/A</v>
      </c>
      <c r="G4" s="16" t="e">
        <f>MROUND(VLOOKUP(DATE(YEAR(A4)-1,MONTH(A4),DAY(A4)),BDD,89,FALSE)*D4/Report!$D$41,0.5)</f>
        <v>#N/A</v>
      </c>
    </row>
    <row r="5" spans="1:7" x14ac:dyDescent="0.2">
      <c r="A5" s="30">
        <f>DATE(YEAR($A$3),MONTH($A$3)+2,DAY($A$3))</f>
        <v>46082</v>
      </c>
      <c r="B5" s="30" t="s">
        <v>870</v>
      </c>
      <c r="C5" s="58">
        <v>0</v>
      </c>
      <c r="D5" s="58">
        <f>+IFERROR(VLOOKUP(DATE(YEAR(A5)-1,MONTH(A5),DAY(A5)),BDD,88,FALSE),0)</f>
        <v>0</v>
      </c>
      <c r="E5" s="58" t="e">
        <f>+'Ind Comp. de  CP A. Complète'!$K$14</f>
        <v>#N/A</v>
      </c>
      <c r="F5" s="58" t="e">
        <f ca="1">+'Ind Comp. de CP A. Incomplète'!$K$20</f>
        <v>#N/A</v>
      </c>
      <c r="G5" s="16" t="e">
        <f>MROUND(VLOOKUP(DATE(YEAR(A5)-1,MONTH(A5),DAY(A5)),BDD,89,FALSE)*D5/Report!$D$41,0.5)</f>
        <v>#N/A</v>
      </c>
    </row>
    <row r="6" spans="1:7" x14ac:dyDescent="0.2">
      <c r="A6" s="30">
        <f>DATE(YEAR($A$3),MONTH($A$3)+3,DAY($A$3))</f>
        <v>46113</v>
      </c>
      <c r="B6" s="30" t="s">
        <v>871</v>
      </c>
      <c r="C6" s="58">
        <v>0</v>
      </c>
      <c r="D6" s="58">
        <f>+IFERROR(VLOOKUP(DATE(YEAR(A6)-1,MONTH(A6),DAY(A6)),BDD,88,FALSE),0)</f>
        <v>0</v>
      </c>
      <c r="E6" s="58" t="e">
        <f>+'Ind Comp. de  CP A. Complète'!$K$14</f>
        <v>#N/A</v>
      </c>
      <c r="F6" s="58" t="e">
        <f ca="1">+'Ind Comp. de CP A. Incomplète'!$K$20</f>
        <v>#N/A</v>
      </c>
      <c r="G6" s="16" t="e">
        <f>MROUND(VLOOKUP(DATE(YEAR(A6)-1,MONTH(A6),DAY(A6)),BDD,89,FALSE)*D6/Report!$D$41,0.5)</f>
        <v>#N/A</v>
      </c>
    </row>
    <row r="7" spans="1:7" x14ac:dyDescent="0.2">
      <c r="A7" s="30">
        <f>DATE(YEAR($A$3),MONTH($A$3)+4,DAY($A$3))</f>
        <v>46143</v>
      </c>
      <c r="B7" s="30" t="s">
        <v>872</v>
      </c>
      <c r="C7" s="58">
        <v>0</v>
      </c>
      <c r="D7" s="58">
        <f>+IFERROR(VLOOKUP(DATE(YEAR(A7)-1,MONTH(A7),DAY(A7)),BDD,88,FALSE),0)</f>
        <v>0</v>
      </c>
      <c r="E7" s="58" t="e">
        <f>+'Ind Comp. de  CP A. Complète'!$K$14</f>
        <v>#N/A</v>
      </c>
      <c r="F7" s="58" t="e">
        <f ca="1">+'Ind Comp. de CP A. Incomplète'!$K$20</f>
        <v>#N/A</v>
      </c>
      <c r="G7" s="16" t="e">
        <f>MROUND(VLOOKUP(DATE(YEAR(A7)-1,MONTH(A7),DAY(A7)),BDD,89,FALSE)*D7/Report!$D$41,0.5)</f>
        <v>#N/A</v>
      </c>
    </row>
    <row r="8" spans="1:7" x14ac:dyDescent="0.2">
      <c r="A8" s="30">
        <f>DATE(YEAR($A$3),MONTH($A$3)+5,DAY($A$3))</f>
        <v>46174</v>
      </c>
      <c r="B8" s="30" t="s">
        <v>873</v>
      </c>
      <c r="C8" s="64">
        <f>+'CP Année Complète au 31-05'!M12</f>
        <v>0</v>
      </c>
      <c r="D8" s="64">
        <f ca="1">IFERROR(+VLOOKUP(B8,'CP Année Incomplète au 31-05'!$I$17:$J$20,2,FALSE),0)</f>
        <v>0</v>
      </c>
      <c r="E8" s="58" t="e">
        <f>+'Ind Comp. de  CP A. Complète'!$K$14</f>
        <v>#N/A</v>
      </c>
      <c r="F8" s="58" t="e">
        <f ca="1">+'Ind Comp. de CP A. Incomplète'!$K$20</f>
        <v>#N/A</v>
      </c>
      <c r="G8" s="16" t="e">
        <f ca="1">MROUND(+'CP Année Incomplète au 31-05'!$F$40*D8/'CP Année Incomplète au 31-05'!$K$14,0.5)</f>
        <v>#DIV/0!</v>
      </c>
    </row>
    <row r="9" spans="1:7" x14ac:dyDescent="0.2">
      <c r="A9" s="30">
        <f>DATE(YEAR($A$3),MONTH($A$3)+6,DAY($A$3))</f>
        <v>46204</v>
      </c>
      <c r="B9" s="30" t="s">
        <v>874</v>
      </c>
      <c r="C9" s="58">
        <v>0</v>
      </c>
      <c r="D9" s="64">
        <f>IFERROR(+VLOOKUP(B9,'CP Année Incomplète au 31-05'!$I$17:$J$20,2,FALSE),0)</f>
        <v>0</v>
      </c>
      <c r="E9" s="58" t="e">
        <f>+'Ind Comp. de  CP A. Complète'!$K$14</f>
        <v>#N/A</v>
      </c>
      <c r="F9" s="58" t="e">
        <f ca="1">+'Ind Comp. de CP A. Incomplète'!$K$20</f>
        <v>#N/A</v>
      </c>
      <c r="G9" s="16" t="e">
        <f ca="1">ROUND(+'CP Année Incomplète au 31-05'!$F$40*D9/'CP Année Incomplète au 31-05'!$K$14,0)</f>
        <v>#DIV/0!</v>
      </c>
    </row>
    <row r="10" spans="1:7" x14ac:dyDescent="0.2">
      <c r="A10" s="30">
        <f>DATE(YEAR($A$3),MONTH($A$3)+7,DAY($A$3))</f>
        <v>46235</v>
      </c>
      <c r="B10" s="30" t="s">
        <v>875</v>
      </c>
      <c r="C10" s="58">
        <v>0</v>
      </c>
      <c r="D10" s="64">
        <f>IFERROR(+VLOOKUP(B10,'CP Année Incomplète au 31-05'!$I$17:$J$20,2,FALSE),0)</f>
        <v>0</v>
      </c>
      <c r="E10" s="58" t="e">
        <f>+'Ind Comp. de  CP A. Complète'!$K$14</f>
        <v>#N/A</v>
      </c>
      <c r="F10" s="58" t="e">
        <f ca="1">+'Ind Comp. de CP A. Incomplète'!$K$20</f>
        <v>#N/A</v>
      </c>
      <c r="G10" s="16" t="e">
        <f ca="1">ROUND(+'CP Année Incomplète au 31-05'!$F$40*D10/'CP Année Incomplète au 31-05'!$K$14,0)</f>
        <v>#DIV/0!</v>
      </c>
    </row>
    <row r="11" spans="1:7" x14ac:dyDescent="0.2">
      <c r="A11" s="30">
        <f>DATE(YEAR($A$3),MONTH($A$3)+8,DAY($A$3))</f>
        <v>46266</v>
      </c>
      <c r="B11" s="30" t="s">
        <v>876</v>
      </c>
      <c r="C11" s="58">
        <v>0</v>
      </c>
      <c r="D11" s="64">
        <f>IFERROR(+VLOOKUP(B11,'CP Année Incomplète au 31-05'!$I$17:$J$20,2,FALSE),0)</f>
        <v>0</v>
      </c>
      <c r="E11" s="58" t="e">
        <f>+'Ind Comp. de  CP A. Complète'!$K$14</f>
        <v>#N/A</v>
      </c>
      <c r="F11" s="58" t="e">
        <f ca="1">+'Ind Comp. de CP A. Incomplète'!$K$20</f>
        <v>#N/A</v>
      </c>
      <c r="G11" s="16" t="e">
        <f ca="1">ROUND(+'CP Année Incomplète au 31-05'!$F$40*D11/'CP Année Incomplète au 31-05'!$K$14,0)</f>
        <v>#DIV/0!</v>
      </c>
    </row>
    <row r="12" spans="1:7" x14ac:dyDescent="0.2">
      <c r="A12" s="30">
        <f>DATE(YEAR($A$3),MONTH($A$3)+9,DAY($A$3))</f>
        <v>46296</v>
      </c>
      <c r="B12" s="30" t="s">
        <v>877</v>
      </c>
      <c r="C12" s="58">
        <v>0</v>
      </c>
      <c r="D12" s="64">
        <f>IFERROR(+VLOOKUP(B12,'CP Année Incomplète au 31-05'!$I$17:$J$20,2,FALSE),0)</f>
        <v>0</v>
      </c>
      <c r="E12" s="58" t="e">
        <f>+'Ind Comp. de  CP A. Complète'!$K$14</f>
        <v>#N/A</v>
      </c>
      <c r="F12" s="58" t="e">
        <f ca="1">+'Ind Comp. de CP A. Incomplète'!$K$20</f>
        <v>#N/A</v>
      </c>
      <c r="G12" s="16" t="e">
        <f ca="1">ROUND(+'CP Année Incomplète au 31-05'!$F$40*D12/'CP Année Incomplète au 31-05'!$K$14,0)</f>
        <v>#DIV/0!</v>
      </c>
    </row>
    <row r="13" spans="1:7" x14ac:dyDescent="0.2">
      <c r="A13" s="30">
        <f>DATE(YEAR($A$3),MONTH($A$3)+10,DAY($A$3))</f>
        <v>46327</v>
      </c>
      <c r="B13" s="30" t="s">
        <v>878</v>
      </c>
      <c r="C13" s="58">
        <v>0</v>
      </c>
      <c r="D13" s="64">
        <f>IFERROR(+VLOOKUP(B13,'CP Année Incomplète au 31-05'!$I$17:$J$20,2,FALSE),0)</f>
        <v>0</v>
      </c>
      <c r="E13" s="58" t="e">
        <f>+'Ind Comp. de  CP A. Complète'!$K$14</f>
        <v>#N/A</v>
      </c>
      <c r="F13" s="58" t="e">
        <f ca="1">+'Ind Comp. de CP A. Incomplète'!$K$20</f>
        <v>#N/A</v>
      </c>
      <c r="G13" s="16" t="e">
        <f ca="1">ROUND(+'CP Année Incomplète au 31-05'!$F$40*D13/'CP Année Incomplète au 31-05'!$K$14,0)</f>
        <v>#DIV/0!</v>
      </c>
    </row>
    <row r="14" spans="1:7" x14ac:dyDescent="0.2">
      <c r="A14" s="30">
        <f>DATE(YEAR($A$3),MONTH($A$3)+11,DAY($A$3))</f>
        <v>46357</v>
      </c>
      <c r="B14" s="30" t="s">
        <v>879</v>
      </c>
      <c r="C14" s="58">
        <v>0</v>
      </c>
      <c r="D14" s="64">
        <f>IFERROR(+VLOOKUP(B14,'CP Année Incomplète au 31-05'!$I$17:$J$20,2,FALSE),0)</f>
        <v>0</v>
      </c>
      <c r="E14" s="58" t="e">
        <f>+'Ind Comp. de  CP A. Complète'!$K$14</f>
        <v>#N/A</v>
      </c>
      <c r="F14" s="58" t="e">
        <f ca="1">+'Ind Comp. de CP A. Incomplète'!$K$20</f>
        <v>#N/A</v>
      </c>
      <c r="G14" s="16" t="e">
        <f ca="1">ROUND(+'CP Année Incomplète au 31-05'!$F$40*D14/'CP Année Incomplète au 31-05'!$K$14,0)</f>
        <v>#DIV/0!</v>
      </c>
    </row>
  </sheetData>
  <sheetProtection algorithmName="SHA-512" hashValue="x7osku8dcqCAGRHL+Jerxf/CmEgvYDhUZGvcyMPk4GxgRvcJ84C85/4svS67sBwdK5mdDajV2XHAYdq3bV0y2Q==" saltValue="xpgXSjFnTDyoBuOk8dk5HQ==" spinCount="100000" sheet="1" objects="1" scenarios="1" formatCells="0" formatColumns="0" formatRows="0" insertColumns="0" insertRows="0" insertHyperlinks="0" sort="0" autoFilter="0" pivotTables="0"/>
  <pageMargins left="0.7" right="0.7" top="0.75" bottom="0.75" header="0.3" footer="0.3"/>
  <pageSetup paperSize="9" orientation="portrait" horizontalDpi="0"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39997558519241921"/>
  </sheetPr>
  <dimension ref="A1:EB79"/>
  <sheetViews>
    <sheetView showGridLines="0" zoomScale="90" zoomScaleNormal="9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500</v>
      </c>
      <c r="B1" s="1664"/>
      <c r="C1" s="1664"/>
      <c r="D1" s="1664"/>
      <c r="E1" s="275"/>
      <c r="F1" s="275"/>
      <c r="G1" s="275"/>
      <c r="H1" s="275"/>
      <c r="I1" s="275"/>
      <c r="J1" s="1214" t="s">
        <v>199</v>
      </c>
      <c r="K1" s="1665">
        <f>+IF(Identification!B28&lt;=Identification!B61,Identification!B61,DATE(YEAR(Identification!B28),MONTH(Identification!B28),1))</f>
        <v>46023</v>
      </c>
      <c r="L1" s="1665"/>
      <c r="M1" s="1665"/>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16"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f>+IF(Identification!B66="NON",VLOOKUP(O29,Identification!A71:B74,2,TRUE),VLOOKUP(O29,Identification!A78:B81,2,TRUE))</f>
        <v>0.88200000000000001</v>
      </c>
      <c r="O29" s="30">
        <f>+K1</f>
        <v>46023</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f>+E35*N29</f>
        <v>0</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J38" s="24"/>
      <c r="K38" s="24"/>
      <c r="L38" s="24"/>
      <c r="M38" s="181"/>
      <c r="N38" s="724"/>
      <c r="O38" s="24"/>
      <c r="P38" s="24"/>
      <c r="Q38" s="24"/>
      <c r="R38" s="24"/>
      <c r="S38" s="24"/>
      <c r="T38" s="24"/>
      <c r="U38" s="2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J39" s="24"/>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377"/>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J40" s="24"/>
      <c r="K40" s="876"/>
      <c r="L40" s="876"/>
      <c r="M40" s="877"/>
      <c r="N40" s="878"/>
      <c r="O40" s="876"/>
      <c r="P40" s="1033" t="s">
        <v>1219</v>
      </c>
      <c r="Q40" s="880"/>
      <c r="R40" s="880"/>
      <c r="S40" s="880"/>
      <c r="T40" s="880"/>
      <c r="U40" s="1034" t="s">
        <v>353</v>
      </c>
      <c r="V40" s="1169" t="s">
        <v>1465</v>
      </c>
      <c r="W40" s="876"/>
      <c r="X40" s="1170"/>
      <c r="Y40" s="876"/>
      <c r="Z40" s="876"/>
      <c r="AA40" s="24"/>
      <c r="AB40" s="24"/>
      <c r="AC40" s="24"/>
      <c r="AD40" s="24"/>
      <c r="AE40" s="24"/>
      <c r="AF40" s="24"/>
      <c r="AG40" s="24"/>
      <c r="AH40" s="24"/>
      <c r="AI40" s="24"/>
      <c r="AJ40" s="24"/>
    </row>
    <row r="41" spans="1:36" s="16" customFormat="1" x14ac:dyDescent="0.2">
      <c r="D41" s="29"/>
      <c r="E41" s="149"/>
      <c r="F41" s="149"/>
      <c r="G41" s="149"/>
      <c r="H41" s="149"/>
      <c r="I41" s="149"/>
      <c r="J41" s="24"/>
      <c r="K41" s="876"/>
      <c r="L41" s="876"/>
      <c r="M41" s="876"/>
      <c r="N41" s="876"/>
      <c r="O41" s="876"/>
      <c r="P41" s="1033" t="s">
        <v>1367</v>
      </c>
      <c r="Q41" s="880"/>
      <c r="R41" s="880"/>
      <c r="S41" s="880"/>
      <c r="T41" s="880"/>
      <c r="U41" s="880"/>
      <c r="V41" s="1169" t="s">
        <v>1466</v>
      </c>
      <c r="W41" s="876"/>
      <c r="X41" s="1170"/>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J42" s="24"/>
      <c r="K42" s="876"/>
      <c r="L42" s="876"/>
      <c r="M42" s="877"/>
      <c r="N42" s="878"/>
      <c r="O42" s="876"/>
      <c r="P42" s="880"/>
      <c r="Q42" s="880"/>
      <c r="R42" s="880"/>
      <c r="S42" s="880"/>
      <c r="T42" s="880"/>
      <c r="U42" s="880"/>
      <c r="V42" s="880"/>
      <c r="W42" s="876"/>
      <c r="X42" s="1170"/>
      <c r="Y42" s="876"/>
      <c r="Z42" s="876"/>
      <c r="AA42" s="24"/>
      <c r="AB42" s="24"/>
      <c r="AC42" s="24"/>
      <c r="AD42" s="24"/>
      <c r="AE42" s="24"/>
      <c r="AF42" s="24"/>
      <c r="AG42" s="24"/>
      <c r="AH42" s="24"/>
      <c r="AI42" s="24"/>
      <c r="AJ42" s="24"/>
    </row>
    <row r="43" spans="1:36" s="16" customFormat="1" x14ac:dyDescent="0.2">
      <c r="D43" s="29"/>
      <c r="E43" s="283"/>
      <c r="F43" s="283"/>
      <c r="G43" s="283"/>
      <c r="H43" s="283"/>
      <c r="I43" s="283"/>
      <c r="J43" s="24"/>
      <c r="K43" s="876"/>
      <c r="L43" s="876"/>
      <c r="M43" s="876"/>
      <c r="N43" s="876"/>
      <c r="O43" s="876"/>
      <c r="P43" s="1033" t="s">
        <v>1219</v>
      </c>
      <c r="Q43" s="880"/>
      <c r="R43" s="880"/>
      <c r="S43" s="880"/>
      <c r="T43" s="880"/>
      <c r="U43" s="1034" t="s">
        <v>1218</v>
      </c>
      <c r="V43" s="1169" t="s">
        <v>1465</v>
      </c>
      <c r="W43" s="876"/>
      <c r="X43" s="1170"/>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J44" s="24"/>
      <c r="K44" s="876"/>
      <c r="L44" s="876"/>
      <c r="M44" s="876"/>
      <c r="N44" s="876"/>
      <c r="O44" s="876"/>
      <c r="P44" s="1033" t="s">
        <v>1368</v>
      </c>
      <c r="Q44" s="880"/>
      <c r="R44" s="880"/>
      <c r="S44" s="880"/>
      <c r="T44" s="880"/>
      <c r="U44" s="880"/>
      <c r="V44" s="1169" t="s">
        <v>1467</v>
      </c>
      <c r="W44" s="876"/>
      <c r="X44" s="1170"/>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J45" s="24"/>
      <c r="K45" s="876"/>
      <c r="L45" s="876"/>
      <c r="M45" s="876"/>
      <c r="N45" s="876"/>
      <c r="O45" s="876"/>
      <c r="P45" s="880"/>
      <c r="Q45" s="880"/>
      <c r="R45" s="880"/>
      <c r="S45" s="880"/>
      <c r="T45" s="880"/>
      <c r="U45" s="880"/>
      <c r="V45" s="1169" t="s">
        <v>1468</v>
      </c>
      <c r="W45" s="876"/>
      <c r="X45" s="1170"/>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J46" s="24"/>
      <c r="K46" s="876"/>
      <c r="L46" s="876"/>
      <c r="M46" s="876"/>
      <c r="N46" s="876"/>
      <c r="O46" s="876"/>
      <c r="P46" s="1033" t="s">
        <v>1336</v>
      </c>
      <c r="Q46" s="880"/>
      <c r="R46" s="880"/>
      <c r="S46" s="880"/>
      <c r="T46" s="880"/>
      <c r="U46" s="1034" t="s">
        <v>443</v>
      </c>
      <c r="V46" s="1169"/>
      <c r="W46" s="876"/>
      <c r="X46" s="1170"/>
      <c r="Y46" s="876"/>
      <c r="Z46" s="876"/>
      <c r="AA46" s="24"/>
      <c r="AB46" s="24"/>
      <c r="AC46" s="24"/>
      <c r="AD46" s="24"/>
      <c r="AE46" s="24"/>
      <c r="AF46" s="24"/>
      <c r="AG46" s="24"/>
      <c r="AH46" s="24"/>
      <c r="AI46" s="24"/>
      <c r="AJ46" s="24"/>
    </row>
    <row r="47" spans="1:36" s="16" customFormat="1" x14ac:dyDescent="0.2">
      <c r="J47" s="24"/>
      <c r="K47" s="876"/>
      <c r="L47" s="876"/>
      <c r="M47" s="876"/>
      <c r="N47" s="876"/>
      <c r="O47" s="876"/>
      <c r="P47" s="1033" t="s">
        <v>1337</v>
      </c>
      <c r="Q47" s="880"/>
      <c r="R47" s="880"/>
      <c r="S47" s="880"/>
      <c r="T47" s="880"/>
      <c r="U47" s="24"/>
      <c r="V47" s="1169"/>
      <c r="W47" s="876"/>
      <c r="X47" s="1170"/>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1170"/>
      <c r="L48" s="1170"/>
      <c r="M48" s="1170"/>
      <c r="N48" s="1170"/>
      <c r="O48" s="1170"/>
      <c r="P48" s="1171"/>
      <c r="Q48" s="1171"/>
      <c r="R48" s="1171"/>
      <c r="S48" s="1171"/>
      <c r="T48" s="1171"/>
      <c r="U48" s="1171"/>
      <c r="V48" s="1172"/>
      <c r="W48" s="1170"/>
      <c r="X48" s="1170"/>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80"/>
      <c r="D52" s="281" t="s">
        <v>194</v>
      </c>
      <c r="E52" s="287">
        <f>+ROUND(ROUND((E48*E35),2)+ROUND((E49*N36),2),2)</f>
        <v>0</v>
      </c>
      <c r="F52" s="287"/>
      <c r="G52" s="287"/>
      <c r="H52" s="287"/>
      <c r="I52" s="287"/>
    </row>
    <row r="53" spans="1:114" s="16" customFormat="1" x14ac:dyDescent="0.2"/>
    <row r="54" spans="1:114" s="16" customFormat="1" hidden="1" x14ac:dyDescent="0.2">
      <c r="D54" s="29" t="s">
        <v>195</v>
      </c>
      <c r="E54" s="288">
        <f>ROUND(+E52*N29,2)</f>
        <v>0</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f>ROUND(+E56+E54,2)</f>
        <v>0</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h4nXC5g6X1yKrVyhDAKf6YTG6bVh7aOBKWH/mFFbfFFZl2CHamnDiAq4VxpdWlb38HK5DB1pduqwGJRMqFrfAw==" saltValue="8V+NboIbMPYxQyd88BOskA==" spinCount="100000" sheet="1" objects="1" scenarios="1" formatCells="0" formatColumns="0" formatRows="0" insertColumns="0" insertRows="0" insertHyperlinks="0" sort="0" autoFilter="0" pivotTables="0"/>
  <mergeCells count="70">
    <mergeCell ref="A27:E27"/>
    <mergeCell ref="A44:E44"/>
    <mergeCell ref="A69:B69"/>
    <mergeCell ref="B14:J14"/>
    <mergeCell ref="B24:J24"/>
    <mergeCell ref="B22:J22"/>
    <mergeCell ref="B21:J21"/>
    <mergeCell ref="B19:J19"/>
    <mergeCell ref="B17:J17"/>
    <mergeCell ref="B16:J16"/>
    <mergeCell ref="BZ5:CJ5"/>
    <mergeCell ref="BO5:BY5"/>
    <mergeCell ref="A5:K5"/>
    <mergeCell ref="L5:V5"/>
    <mergeCell ref="W5:AG5"/>
    <mergeCell ref="AH5:AR5"/>
    <mergeCell ref="AS5:BC5"/>
    <mergeCell ref="BD5:BN5"/>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M19:U19"/>
    <mergeCell ref="M21:U21"/>
    <mergeCell ref="X24:AF24"/>
    <mergeCell ref="X22:AF22"/>
    <mergeCell ref="X21:AF21"/>
    <mergeCell ref="X19:AF19"/>
    <mergeCell ref="M22:U22"/>
    <mergeCell ref="M24:U24"/>
    <mergeCell ref="A1:D1"/>
    <mergeCell ref="K1:M1"/>
    <mergeCell ref="X16:AF16"/>
    <mergeCell ref="M16:U16"/>
    <mergeCell ref="M17:U17"/>
    <mergeCell ref="X17:AF17"/>
    <mergeCell ref="M14:U14"/>
    <mergeCell ref="J3:P3"/>
  </mergeCells>
  <conditionalFormatting sqref="B7:I13">
    <cfRule type="cellIs" dxfId="3415" priority="20" operator="greaterThan">
      <formula>0</formula>
    </cfRule>
  </conditionalFormatting>
  <conditionalFormatting sqref="B17:J17">
    <cfRule type="expression" dxfId="3414" priority="89">
      <formula>K17=0</formula>
    </cfRule>
  </conditionalFormatting>
  <conditionalFormatting sqref="B22:J22">
    <cfRule type="expression" dxfId="3413" priority="74">
      <formula>K22=0</formula>
    </cfRule>
  </conditionalFormatting>
  <conditionalFormatting sqref="D40">
    <cfRule type="expression" dxfId="3412" priority="57">
      <formula>$E$40=0</formula>
    </cfRule>
  </conditionalFormatting>
  <conditionalFormatting sqref="D49">
    <cfRule type="expression" dxfId="3411" priority="56">
      <formula>$E$49=0</formula>
    </cfRule>
  </conditionalFormatting>
  <conditionalFormatting sqref="D58:E58">
    <cfRule type="expression" dxfId="3410" priority="30">
      <formula>$E$49&gt;0</formula>
    </cfRule>
  </conditionalFormatting>
  <conditionalFormatting sqref="E35">
    <cfRule type="cellIs" dxfId="3408" priority="4" operator="greaterThan">
      <formula>0</formula>
    </cfRule>
  </conditionalFormatting>
  <conditionalFormatting sqref="E40">
    <cfRule type="cellIs" dxfId="3407" priority="58" operator="equal">
      <formula>0</formula>
    </cfRule>
  </conditionalFormatting>
  <conditionalFormatting sqref="E49">
    <cfRule type="cellIs" dxfId="3406" priority="55" operator="equal">
      <formula>0</formula>
    </cfRule>
  </conditionalFormatting>
  <conditionalFormatting sqref="E50">
    <cfRule type="expression" dxfId="3405" priority="54">
      <formula>$E$49=0</formula>
    </cfRule>
  </conditionalFormatting>
  <conditionalFormatting sqref="E29:I29">
    <cfRule type="cellIs" dxfId="3404" priority="110" operator="between">
      <formula>46.9999999999</formula>
      <formula>51.99999</formula>
    </cfRule>
    <cfRule type="cellIs" dxfId="3403" priority="109" operator="greaterThanOrEqual">
      <formula>52.0000001</formula>
    </cfRule>
  </conditionalFormatting>
  <conditionalFormatting sqref="K17">
    <cfRule type="cellIs" dxfId="3402" priority="90" operator="equal">
      <formula>0</formula>
    </cfRule>
  </conditionalFormatting>
  <conditionalFormatting sqref="K19">
    <cfRule type="expression" dxfId="3401" priority="38">
      <formula>OR(AND($E$29&gt;=47,$E$29&lt;=51,K14&gt;0),K19&gt;52,AND($E$29&gt;52,K14&gt;0),AND(K19&gt;=1,K14=0))</formula>
    </cfRule>
    <cfRule type="cellIs" dxfId="3400" priority="18" operator="greaterThan">
      <formula>0</formula>
    </cfRule>
  </conditionalFormatting>
  <conditionalFormatting sqref="K22">
    <cfRule type="cellIs" dxfId="3399" priority="73" operator="equal">
      <formula>0</formula>
    </cfRule>
  </conditionalFormatting>
  <conditionalFormatting sqref="M7:T13">
    <cfRule type="cellIs" dxfId="3398" priority="19" operator="greaterThan">
      <formula>0</formula>
    </cfRule>
  </conditionalFormatting>
  <conditionalFormatting sqref="M17:U17">
    <cfRule type="expression" dxfId="3397" priority="53">
      <formula>V17=0</formula>
    </cfRule>
  </conditionalFormatting>
  <conditionalFormatting sqref="M22:U22">
    <cfRule type="expression" dxfId="3396" priority="46">
      <formula>V22=0</formula>
    </cfRule>
  </conditionalFormatting>
  <conditionalFormatting sqref="N31">
    <cfRule type="expression" dxfId="3395" priority="102">
      <formula>$EB$2="ROUGE"</formula>
    </cfRule>
  </conditionalFormatting>
  <conditionalFormatting sqref="N34">
    <cfRule type="cellIs" dxfId="3394" priority="3" operator="greaterThan">
      <formula>0</formula>
    </cfRule>
  </conditionalFormatting>
  <conditionalFormatting sqref="P39">
    <cfRule type="expression" dxfId="3393" priority="93">
      <formula>EB2="faux"</formula>
    </cfRule>
  </conditionalFormatting>
  <conditionalFormatting sqref="V17">
    <cfRule type="cellIs" dxfId="3392" priority="88" operator="equal">
      <formula>0</formula>
    </cfRule>
  </conditionalFormatting>
  <conditionalFormatting sqref="V19">
    <cfRule type="cellIs" dxfId="3391" priority="17" operator="greaterThan">
      <formula>0</formula>
    </cfRule>
    <cfRule type="expression" dxfId="3390" priority="37">
      <formula>OR(AND($E$29&gt;=47,$E$29&lt;=51,V14&gt;0),V19&gt;52,AND($E$29&gt;52,V14&gt;0),AND(V19&gt;=1,V14=0))</formula>
    </cfRule>
  </conditionalFormatting>
  <conditionalFormatting sqref="V22">
    <cfRule type="cellIs" dxfId="3389" priority="71" operator="equal">
      <formula>0</formula>
    </cfRule>
  </conditionalFormatting>
  <conditionalFormatting sqref="W31">
    <cfRule type="expression" dxfId="3388" priority="101">
      <formula>$EB$3="ROUGE"</formula>
    </cfRule>
  </conditionalFormatting>
  <conditionalFormatting sqref="W34">
    <cfRule type="cellIs" dxfId="3387" priority="1" operator="greaterThan">
      <formula>0</formula>
    </cfRule>
  </conditionalFormatting>
  <conditionalFormatting sqref="X7:AE13">
    <cfRule type="cellIs" dxfId="3386" priority="16" operator="greaterThan">
      <formula>0</formula>
    </cfRule>
  </conditionalFormatting>
  <conditionalFormatting sqref="X17:AF17">
    <cfRule type="expression" dxfId="3385" priority="52">
      <formula>AG17=0</formula>
    </cfRule>
  </conditionalFormatting>
  <conditionalFormatting sqref="X22:AF22">
    <cfRule type="expression" dxfId="3384" priority="45">
      <formula>AG22=0</formula>
    </cfRule>
  </conditionalFormatting>
  <conditionalFormatting sqref="AG17">
    <cfRule type="cellIs" dxfId="3383" priority="86" operator="equal">
      <formula>0</formula>
    </cfRule>
  </conditionalFormatting>
  <conditionalFormatting sqref="AG19">
    <cfRule type="expression" dxfId="3382" priority="36">
      <formula>OR(AND($E$29&gt;=47,$E$29&lt;=51,AG14&gt;0),AG19&gt;52,AND($E$29&gt;52,AG14&gt;0),AND(AG19&gt;=1,AG14=0))</formula>
    </cfRule>
    <cfRule type="cellIs" dxfId="3381" priority="15" operator="greaterThan">
      <formula>0</formula>
    </cfRule>
  </conditionalFormatting>
  <conditionalFormatting sqref="AG22">
    <cfRule type="cellIs" dxfId="3380" priority="69" operator="equal">
      <formula>0</formula>
    </cfRule>
  </conditionalFormatting>
  <conditionalFormatting sqref="AI7:AP13">
    <cfRule type="cellIs" dxfId="3379" priority="14" operator="greaterThan">
      <formula>0</formula>
    </cfRule>
  </conditionalFormatting>
  <conditionalFormatting sqref="AI17:AQ17">
    <cfRule type="expression" dxfId="3378" priority="51">
      <formula>AR17=0</formula>
    </cfRule>
  </conditionalFormatting>
  <conditionalFormatting sqref="AI22:AQ22">
    <cfRule type="expression" dxfId="3377" priority="44">
      <formula>AR22=0</formula>
    </cfRule>
  </conditionalFormatting>
  <conditionalFormatting sqref="AR17">
    <cfRule type="cellIs" dxfId="3376" priority="84" operator="equal">
      <formula>0</formula>
    </cfRule>
  </conditionalFormatting>
  <conditionalFormatting sqref="AR19">
    <cfRule type="expression" dxfId="3375" priority="35">
      <formula>OR(AND($E$29&gt;=47,$E$29&lt;=51,AR14&gt;0),AR19&gt;52,AND($E$29&gt;52,AR14&gt;0),AND(AR19&gt;=1,AR14=0))</formula>
    </cfRule>
    <cfRule type="cellIs" dxfId="3374" priority="13" operator="greaterThan">
      <formula>0</formula>
    </cfRule>
  </conditionalFormatting>
  <conditionalFormatting sqref="AR22">
    <cfRule type="cellIs" dxfId="3373" priority="67" operator="equal">
      <formula>0</formula>
    </cfRule>
  </conditionalFormatting>
  <conditionalFormatting sqref="AT7:BA13">
    <cfRule type="cellIs" dxfId="3372" priority="12" operator="greaterThan">
      <formula>0</formula>
    </cfRule>
  </conditionalFormatting>
  <conditionalFormatting sqref="AT17:BB17">
    <cfRule type="expression" dxfId="3371" priority="50">
      <formula>BC17=0</formula>
    </cfRule>
  </conditionalFormatting>
  <conditionalFormatting sqref="AT22:BB22">
    <cfRule type="expression" dxfId="3370" priority="43">
      <formula>BC22=0</formula>
    </cfRule>
  </conditionalFormatting>
  <conditionalFormatting sqref="BC17">
    <cfRule type="cellIs" dxfId="3369" priority="82" operator="equal">
      <formula>0</formula>
    </cfRule>
  </conditionalFormatting>
  <conditionalFormatting sqref="BC19">
    <cfRule type="expression" dxfId="3368" priority="34">
      <formula>OR(AND($E$29&gt;=47,$E$29&lt;=51,BC14&gt;0),BC19&gt;52,AND($E$29&gt;52,BC14&gt;0),AND(BC19&gt;=1,BC14=0))</formula>
    </cfRule>
    <cfRule type="cellIs" dxfId="3367" priority="11" operator="greaterThan">
      <formula>0</formula>
    </cfRule>
  </conditionalFormatting>
  <conditionalFormatting sqref="BC22">
    <cfRule type="cellIs" dxfId="3366" priority="65" operator="equal">
      <formula>0</formula>
    </cfRule>
  </conditionalFormatting>
  <conditionalFormatting sqref="BE7:BL13">
    <cfRule type="cellIs" dxfId="3365" priority="10" operator="greaterThan">
      <formula>0</formula>
    </cfRule>
  </conditionalFormatting>
  <conditionalFormatting sqref="BE17:BM17">
    <cfRule type="expression" dxfId="3364" priority="49">
      <formula>BN17=0</formula>
    </cfRule>
  </conditionalFormatting>
  <conditionalFormatting sqref="BE22:BM22">
    <cfRule type="expression" dxfId="3363" priority="42">
      <formula>BN22=0</formula>
    </cfRule>
  </conditionalFormatting>
  <conditionalFormatting sqref="BN17">
    <cfRule type="cellIs" dxfId="3362" priority="80" operator="equal">
      <formula>0</formula>
    </cfRule>
  </conditionalFormatting>
  <conditionalFormatting sqref="BN19">
    <cfRule type="cellIs" dxfId="3361" priority="9" operator="greaterThan">
      <formula>0</formula>
    </cfRule>
    <cfRule type="expression" dxfId="3360" priority="33">
      <formula>OR(AND($E$29&gt;=47,$E$29&lt;=51,BN14&gt;0),BN19&gt;52,AND($E$29&gt;52,BN14&gt;0),AND(BN19&gt;=1,BN14=0))</formula>
    </cfRule>
  </conditionalFormatting>
  <conditionalFormatting sqref="BN22">
    <cfRule type="cellIs" dxfId="3359" priority="63" operator="equal">
      <formula>0</formula>
    </cfRule>
  </conditionalFormatting>
  <conditionalFormatting sqref="BP7:BW13">
    <cfRule type="cellIs" dxfId="3358" priority="8" operator="greaterThan">
      <formula>0</formula>
    </cfRule>
  </conditionalFormatting>
  <conditionalFormatting sqref="BP17:BX17">
    <cfRule type="expression" dxfId="3357" priority="48">
      <formula>BY17=0</formula>
    </cfRule>
  </conditionalFormatting>
  <conditionalFormatting sqref="BP22:BX22">
    <cfRule type="expression" dxfId="3356" priority="41">
      <formula>BY22=0</formula>
    </cfRule>
  </conditionalFormatting>
  <conditionalFormatting sqref="BY17">
    <cfRule type="cellIs" dxfId="3355" priority="78" operator="equal">
      <formula>0</formula>
    </cfRule>
  </conditionalFormatting>
  <conditionalFormatting sqref="BY19">
    <cfRule type="cellIs" dxfId="3354" priority="7" operator="greaterThan">
      <formula>0</formula>
    </cfRule>
    <cfRule type="expression" dxfId="3353" priority="32">
      <formula>OR(AND($E$29&gt;=47,$E$29&lt;=51,BY14&gt;0),BY19&gt;52,AND($E$29&gt;52,BY14&gt;0),AND(BY19&gt;=1,BY14=0))</formula>
    </cfRule>
  </conditionalFormatting>
  <conditionalFormatting sqref="BY22">
    <cfRule type="cellIs" dxfId="3352" priority="61" operator="equal">
      <formula>0</formula>
    </cfRule>
  </conditionalFormatting>
  <conditionalFormatting sqref="CA7:CH13">
    <cfRule type="cellIs" dxfId="3351" priority="6" operator="greaterThan">
      <formula>0</formula>
    </cfRule>
  </conditionalFormatting>
  <conditionalFormatting sqref="CA17:CI17">
    <cfRule type="expression" dxfId="3350" priority="47">
      <formula>CJ17=0</formula>
    </cfRule>
  </conditionalFormatting>
  <conditionalFormatting sqref="CA22:CI22">
    <cfRule type="expression" dxfId="3349" priority="40">
      <formula>CJ22=0</formula>
    </cfRule>
  </conditionalFormatting>
  <conditionalFormatting sqref="CJ17">
    <cfRule type="cellIs" dxfId="3348" priority="76" operator="equal">
      <formula>0</formula>
    </cfRule>
  </conditionalFormatting>
  <conditionalFormatting sqref="CJ19">
    <cfRule type="cellIs" dxfId="3347" priority="5" operator="greaterThan">
      <formula>0</formula>
    </cfRule>
    <cfRule type="expression" dxfId="3346" priority="31">
      <formula>OR(AND($E$29&gt;=47,$E$29&lt;=51,CJ14&gt;0),CJ19&gt;52,AND($E$29&gt;52,CJ14&gt;0),AND(CJ19&gt;=1,CJ14=0))</formula>
    </cfRule>
  </conditionalFormatting>
  <conditionalFormatting sqref="CJ22">
    <cfRule type="cellIs" dxfId="3345" priority="59" operator="equal">
      <formula>0</formula>
    </cfRule>
  </conditionalFormatting>
  <dataValidations count="6">
    <dataValidation errorStyle="information" allowBlank="1" showErrorMessage="1" errorTitle="Ne peut ête supérieure à 52 sem" sqref="E29:I29" xr:uid="{00000000-0002-0000-0600-000000000000}"/>
    <dataValidation type="list" allowBlank="1" showInputMessage="1" showErrorMessage="1" sqref="N31 W31" xr:uid="{00000000-0002-0000-0600-000001000000}">
      <formula1>"OUI,NON"</formula1>
    </dataValidation>
    <dataValidation type="list" allowBlank="1" showInputMessage="1" showErrorMessage="1" sqref="P49" xr:uid="{00000000-0002-0000-0600-000003000000}">
      <formula1>Table_méthode_abs_CP</formula1>
    </dataValidation>
    <dataValidation type="list" showInputMessage="1" showErrorMessage="1" sqref="C77" xr:uid="{00000000-0002-0000-0600-000004000000}">
      <formula1>"0,1,2,3,4"</formula1>
    </dataValidation>
    <dataValidation type="list" allowBlank="1" showInputMessage="1" showErrorMessage="1" sqref="P39" xr:uid="{9E136EDC-B476-47CD-B97B-2ADA0D28BC78}">
      <formula1>Table_méthode_retenue</formula1>
    </dataValidation>
    <dataValidation type="list" allowBlank="1" showInputMessage="1" showErrorMessage="1" sqref="Y38" xr:uid="{C44AD3CE-F98D-46F4-9D22-B4B36405E00F}">
      <formula1>liste_vide_oui_non</formula1>
    </dataValidation>
  </dataValidations>
  <pageMargins left="0.39374999999999999" right="0.19652777777777777" top="0.98402777777777772" bottom="0.98402777777777772" header="0.51180555555555551" footer="0.51180555555555551"/>
  <pageSetup paperSize="9" scale="58" firstPageNumber="0" fitToWidth="0" orientation="portrait" horizontalDpi="300" verticalDpi="300" r:id="rId1"/>
  <headerFooter alignWithMargins="0"/>
  <colBreaks count="3" manualBreakCount="3">
    <brk id="22" max="1048575" man="1"/>
    <brk id="44" max="1048575" man="1"/>
    <brk id="66"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06" id="{98FB78F1-F14D-48BF-8EEB-9B871638C5D8}">
            <xm:f>Identification!B10="Méthode 2"</xm:f>
            <x14:dxf>
              <font>
                <color theme="0"/>
              </font>
              <fill>
                <patternFill patternType="none">
                  <bgColor auto="1"/>
                </patternFill>
              </fill>
            </x14:dxf>
          </x14:cfRule>
          <xm:sqref>A59:C59</xm:sqref>
        </x14:conditionalFormatting>
        <x14:conditionalFormatting xmlns:xm="http://schemas.microsoft.com/office/excel/2006/main">
          <x14:cfRule type="expression" priority="103" id="{9C2AA41F-8A0D-4C5C-89D9-10CFA8C5412C}">
            <xm:f>Identification!$B$3=S.CAL!$AY$3</xm:f>
            <x14:dxf>
              <font>
                <color theme="0"/>
              </font>
            </x14:dxf>
          </x14:cfRule>
          <xm:sqref>D54:I57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39997558519241921"/>
  </sheetPr>
  <dimension ref="A1:EB79"/>
  <sheetViews>
    <sheetView showGridLines="0" zoomScale="90" zoomScaleNormal="9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501</v>
      </c>
      <c r="B1" s="1664"/>
      <c r="C1" s="1664"/>
      <c r="D1" s="1664"/>
      <c r="E1" s="275"/>
      <c r="F1" s="275"/>
      <c r="G1" s="275"/>
      <c r="H1" s="275"/>
      <c r="I1" s="275"/>
      <c r="J1" s="1214" t="s">
        <v>199</v>
      </c>
      <c r="K1" s="1698"/>
      <c r="L1" s="1698"/>
      <c r="M1" s="1698"/>
      <c r="N1" s="846"/>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1367</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1368</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A54" s="24"/>
      <c r="D54" s="29" t="s">
        <v>195</v>
      </c>
      <c r="E54" s="288" t="e">
        <f>ROUND(+E52*N29,2)</f>
        <v>#N/A</v>
      </c>
      <c r="F54" s="288"/>
      <c r="G54" s="288"/>
      <c r="H54" s="288"/>
      <c r="I54" s="288"/>
    </row>
    <row r="55" spans="1:114" s="16" customFormat="1" hidden="1" x14ac:dyDescent="0.2">
      <c r="A55" s="24"/>
    </row>
    <row r="56" spans="1:114" s="16" customFormat="1" hidden="1" x14ac:dyDescent="0.2">
      <c r="A56" s="24"/>
      <c r="D56" s="29" t="s">
        <v>196</v>
      </c>
      <c r="E56" s="288">
        <f>ROUND(+(E49*N36*0.1131),2)</f>
        <v>0</v>
      </c>
      <c r="F56" s="288"/>
      <c r="G56" s="288"/>
      <c r="H56" s="288"/>
      <c r="I56" s="288"/>
    </row>
    <row r="57" spans="1:114" s="16" customFormat="1" hidden="1" x14ac:dyDescent="0.2">
      <c r="A57" s="24"/>
    </row>
    <row r="58" spans="1:114" s="16" customFormat="1" ht="15" x14ac:dyDescent="0.25">
      <c r="A58" s="24"/>
      <c r="D58" s="289" t="s">
        <v>55</v>
      </c>
      <c r="E58" s="290" t="e">
        <f>ROUND(+E56+E54,2)</f>
        <v>#N/A</v>
      </c>
      <c r="F58" s="290"/>
      <c r="G58" s="290"/>
      <c r="H58" s="290"/>
      <c r="I58" s="290"/>
    </row>
    <row r="59" spans="1:114" x14ac:dyDescent="0.2">
      <c r="A59" s="19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0IPS7Hzst0yrd3alMzNKgzchyCNx0232yb3b4XzsoF0nSGK3tZGdHiAVhEGDWpngEwJ4EuIWUVDKYY3YvMrlDA==" saltValue="sHWRfwWsvVGHzsvYqPPiFg=="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344" priority="21" operator="greaterThan">
      <formula>0</formula>
    </cfRule>
  </conditionalFormatting>
  <conditionalFormatting sqref="B17:J17">
    <cfRule type="expression" dxfId="3343" priority="60">
      <formula>K17=0</formula>
    </cfRule>
  </conditionalFormatting>
  <conditionalFormatting sqref="B22:J22">
    <cfRule type="expression" dxfId="3342" priority="52">
      <formula>K22=0</formula>
    </cfRule>
  </conditionalFormatting>
  <conditionalFormatting sqref="D40">
    <cfRule type="expression" dxfId="3341" priority="137">
      <formula>$E$40=0</formula>
    </cfRule>
  </conditionalFormatting>
  <conditionalFormatting sqref="D49">
    <cfRule type="expression" dxfId="3340" priority="136">
      <formula>$E$49=0</formula>
    </cfRule>
  </conditionalFormatting>
  <conditionalFormatting sqref="D58:E58">
    <cfRule type="expression" dxfId="3339" priority="74">
      <formula>$E$49&gt;0</formula>
    </cfRule>
  </conditionalFormatting>
  <conditionalFormatting sqref="E35">
    <cfRule type="cellIs" dxfId="3337" priority="5" operator="greaterThan">
      <formula>0</formula>
    </cfRule>
  </conditionalFormatting>
  <conditionalFormatting sqref="E40">
    <cfRule type="cellIs" dxfId="3336" priority="138" operator="equal">
      <formula>0</formula>
    </cfRule>
  </conditionalFormatting>
  <conditionalFormatting sqref="E49">
    <cfRule type="cellIs" dxfId="3335" priority="135" operator="equal">
      <formula>0</formula>
    </cfRule>
  </conditionalFormatting>
  <conditionalFormatting sqref="E50">
    <cfRule type="expression" dxfId="3334" priority="134">
      <formula>$E$49=0</formula>
    </cfRule>
  </conditionalFormatting>
  <conditionalFormatting sqref="E29:I29">
    <cfRule type="cellIs" dxfId="3333" priority="65" operator="between">
      <formula>46.9999999999</formula>
      <formula>51.99999</formula>
    </cfRule>
    <cfRule type="cellIs" dxfId="3332" priority="64" operator="greaterThanOrEqual">
      <formula>52.0000001</formula>
    </cfRule>
  </conditionalFormatting>
  <conditionalFormatting sqref="K17">
    <cfRule type="cellIs" dxfId="3331" priority="61" operator="equal">
      <formula>0</formula>
    </cfRule>
  </conditionalFormatting>
  <conditionalFormatting sqref="K19">
    <cfRule type="cellIs" dxfId="3330" priority="19" operator="greaterThan">
      <formula>0</formula>
    </cfRule>
    <cfRule type="expression" dxfId="3329" priority="29">
      <formula>OR(AND($E$29&gt;=47,$E$29&lt;=51,K14&gt;0),K19&gt;52,AND($E$29&gt;52,K14&gt;0),AND(K19&gt;=1,K14=0))</formula>
    </cfRule>
  </conditionalFormatting>
  <conditionalFormatting sqref="K22">
    <cfRule type="cellIs" dxfId="3328" priority="51" operator="equal">
      <formula>0</formula>
    </cfRule>
  </conditionalFormatting>
  <conditionalFormatting sqref="M7:T13">
    <cfRule type="cellIs" dxfId="3327" priority="20" operator="greaterThan">
      <formula>0</formula>
    </cfRule>
  </conditionalFormatting>
  <conditionalFormatting sqref="M17:U17">
    <cfRule type="expression" dxfId="3326" priority="43">
      <formula>V17=0</formula>
    </cfRule>
  </conditionalFormatting>
  <conditionalFormatting sqref="M22:U22">
    <cfRule type="expression" dxfId="3325" priority="36">
      <formula>V22=0</formula>
    </cfRule>
  </conditionalFormatting>
  <conditionalFormatting sqref="N31">
    <cfRule type="expression" dxfId="3324" priority="63">
      <formula>$EB$2="ROUGE"</formula>
    </cfRule>
  </conditionalFormatting>
  <conditionalFormatting sqref="N34">
    <cfRule type="cellIs" dxfId="3323" priority="4" operator="greaterThan">
      <formula>0</formula>
    </cfRule>
  </conditionalFormatting>
  <conditionalFormatting sqref="P39">
    <cfRule type="expression" dxfId="3322" priority="173">
      <formula>EB2="faux"</formula>
    </cfRule>
  </conditionalFormatting>
  <conditionalFormatting sqref="V17">
    <cfRule type="cellIs" dxfId="3321" priority="59" operator="equal">
      <formula>0</formula>
    </cfRule>
  </conditionalFormatting>
  <conditionalFormatting sqref="V19">
    <cfRule type="cellIs" dxfId="3320" priority="18" operator="greaterThan">
      <formula>0</formula>
    </cfRule>
    <cfRule type="expression" dxfId="3319" priority="28">
      <formula>OR(AND($E$29&gt;=47,$E$29&lt;=51,V14&gt;0),V19&gt;52,AND($E$29&gt;52,V14&gt;0),AND(V19&gt;=1,V14=0))</formula>
    </cfRule>
  </conditionalFormatting>
  <conditionalFormatting sqref="V22">
    <cfRule type="cellIs" dxfId="3318" priority="50" operator="equal">
      <formula>0</formula>
    </cfRule>
  </conditionalFormatting>
  <conditionalFormatting sqref="W31">
    <cfRule type="expression" dxfId="3317" priority="62">
      <formula>$EB$3="ROUGE"</formula>
    </cfRule>
  </conditionalFormatting>
  <conditionalFormatting sqref="W34">
    <cfRule type="cellIs" dxfId="3316" priority="1" operator="greaterThan">
      <formula>0</formula>
    </cfRule>
  </conditionalFormatting>
  <conditionalFormatting sqref="X7:AE13">
    <cfRule type="cellIs" dxfId="3315" priority="17" operator="greaterThan">
      <formula>0</formula>
    </cfRule>
  </conditionalFormatting>
  <conditionalFormatting sqref="X17:AF17">
    <cfRule type="expression" dxfId="3314" priority="42">
      <formula>AG17=0</formula>
    </cfRule>
  </conditionalFormatting>
  <conditionalFormatting sqref="X22:AF22">
    <cfRule type="expression" dxfId="3313" priority="35">
      <formula>AG22=0</formula>
    </cfRule>
  </conditionalFormatting>
  <conditionalFormatting sqref="AG17">
    <cfRule type="cellIs" dxfId="3312" priority="58" operator="equal">
      <formula>0</formula>
    </cfRule>
  </conditionalFormatting>
  <conditionalFormatting sqref="AG19">
    <cfRule type="cellIs" dxfId="3311" priority="16" operator="greaterThan">
      <formula>0</formula>
    </cfRule>
    <cfRule type="expression" dxfId="3310" priority="27">
      <formula>OR(AND($E$29&gt;=47,$E$29&lt;=51,AG14&gt;0),AG19&gt;52,AND($E$29&gt;52,AG14&gt;0),AND(AG19&gt;=1,AG14=0))</formula>
    </cfRule>
  </conditionalFormatting>
  <conditionalFormatting sqref="AG22">
    <cfRule type="cellIs" dxfId="3309" priority="49" operator="equal">
      <formula>0</formula>
    </cfRule>
  </conditionalFormatting>
  <conditionalFormatting sqref="AI7:AP13">
    <cfRule type="cellIs" dxfId="3308" priority="15" operator="greaterThan">
      <formula>0</formula>
    </cfRule>
  </conditionalFormatting>
  <conditionalFormatting sqref="AI17:AQ17">
    <cfRule type="expression" dxfId="3307" priority="41">
      <formula>AR17=0</formula>
    </cfRule>
  </conditionalFormatting>
  <conditionalFormatting sqref="AI22:AQ22">
    <cfRule type="expression" dxfId="3306" priority="34">
      <formula>AR22=0</formula>
    </cfRule>
  </conditionalFormatting>
  <conditionalFormatting sqref="AR17">
    <cfRule type="cellIs" dxfId="3305" priority="57" operator="equal">
      <formula>0</formula>
    </cfRule>
  </conditionalFormatting>
  <conditionalFormatting sqref="AR19">
    <cfRule type="cellIs" dxfId="3304" priority="14" operator="greaterThan">
      <formula>0</formula>
    </cfRule>
    <cfRule type="expression" dxfId="3303" priority="26">
      <formula>OR(AND($E$29&gt;=47,$E$29&lt;=51,AR14&gt;0),AR19&gt;52,AND($E$29&gt;52,AR14&gt;0),AND(AR19&gt;=1,AR14=0))</formula>
    </cfRule>
  </conditionalFormatting>
  <conditionalFormatting sqref="AR22">
    <cfRule type="cellIs" dxfId="3302" priority="48" operator="equal">
      <formula>0</formula>
    </cfRule>
  </conditionalFormatting>
  <conditionalFormatting sqref="AT7:BA13">
    <cfRule type="cellIs" dxfId="3301" priority="13" operator="greaterThan">
      <formula>0</formula>
    </cfRule>
  </conditionalFormatting>
  <conditionalFormatting sqref="AT17:BB17">
    <cfRule type="expression" dxfId="3300" priority="40">
      <formula>BC17=0</formula>
    </cfRule>
  </conditionalFormatting>
  <conditionalFormatting sqref="AT22:BB22">
    <cfRule type="expression" dxfId="3299" priority="33">
      <formula>BC22=0</formula>
    </cfRule>
  </conditionalFormatting>
  <conditionalFormatting sqref="BC17">
    <cfRule type="cellIs" dxfId="3298" priority="56" operator="equal">
      <formula>0</formula>
    </cfRule>
  </conditionalFormatting>
  <conditionalFormatting sqref="BC19">
    <cfRule type="expression" dxfId="3297" priority="25">
      <formula>OR(AND($E$29&gt;=47,$E$29&lt;=51,BC14&gt;0),BC19&gt;52,AND($E$29&gt;52,BC14&gt;0),AND(BC19&gt;=1,BC14=0))</formula>
    </cfRule>
    <cfRule type="cellIs" dxfId="3296" priority="12" operator="greaterThan">
      <formula>0</formula>
    </cfRule>
  </conditionalFormatting>
  <conditionalFormatting sqref="BC22">
    <cfRule type="cellIs" dxfId="3295" priority="47" operator="equal">
      <formula>0</formula>
    </cfRule>
  </conditionalFormatting>
  <conditionalFormatting sqref="BE7:BL13">
    <cfRule type="cellIs" dxfId="3294" priority="11" operator="greaterThan">
      <formula>0</formula>
    </cfRule>
  </conditionalFormatting>
  <conditionalFormatting sqref="BE17:BM17">
    <cfRule type="expression" dxfId="3293" priority="39">
      <formula>BN17=0</formula>
    </cfRule>
  </conditionalFormatting>
  <conditionalFormatting sqref="BE22:BM22">
    <cfRule type="expression" dxfId="3292" priority="32">
      <formula>BN22=0</formula>
    </cfRule>
  </conditionalFormatting>
  <conditionalFormatting sqref="BN17">
    <cfRule type="cellIs" dxfId="3291" priority="55" operator="equal">
      <formula>0</formula>
    </cfRule>
  </conditionalFormatting>
  <conditionalFormatting sqref="BN19">
    <cfRule type="expression" dxfId="3290" priority="24">
      <formula>OR(AND($E$29&gt;=47,$E$29&lt;=51,BN14&gt;0),BN19&gt;52,AND($E$29&gt;52,BN14&gt;0),AND(BN19&gt;=1,BN14=0))</formula>
    </cfRule>
    <cfRule type="cellIs" dxfId="3289" priority="10" operator="greaterThan">
      <formula>0</formula>
    </cfRule>
  </conditionalFormatting>
  <conditionalFormatting sqref="BN22">
    <cfRule type="cellIs" dxfId="3288" priority="46" operator="equal">
      <formula>0</formula>
    </cfRule>
  </conditionalFormatting>
  <conditionalFormatting sqref="BP7:BW13">
    <cfRule type="cellIs" dxfId="3287" priority="9" operator="greaterThan">
      <formula>0</formula>
    </cfRule>
  </conditionalFormatting>
  <conditionalFormatting sqref="BP17:BX17">
    <cfRule type="expression" dxfId="3286" priority="38">
      <formula>BY17=0</formula>
    </cfRule>
  </conditionalFormatting>
  <conditionalFormatting sqref="BP22:BX22">
    <cfRule type="expression" dxfId="3285" priority="31">
      <formula>BY22=0</formula>
    </cfRule>
  </conditionalFormatting>
  <conditionalFormatting sqref="BY17">
    <cfRule type="cellIs" dxfId="3284" priority="54" operator="equal">
      <formula>0</formula>
    </cfRule>
  </conditionalFormatting>
  <conditionalFormatting sqref="BY19">
    <cfRule type="cellIs" dxfId="3283" priority="8" operator="greaterThan">
      <formula>0</formula>
    </cfRule>
    <cfRule type="expression" dxfId="3282" priority="23">
      <formula>OR(AND($E$29&gt;=47,$E$29&lt;=51,BY14&gt;0),BY19&gt;52,AND($E$29&gt;52,BY14&gt;0),AND(BY19&gt;=1,BY14=0))</formula>
    </cfRule>
  </conditionalFormatting>
  <conditionalFormatting sqref="BY22">
    <cfRule type="cellIs" dxfId="3281" priority="45" operator="equal">
      <formula>0</formula>
    </cfRule>
  </conditionalFormatting>
  <conditionalFormatting sqref="CA7:CH13">
    <cfRule type="cellIs" dxfId="3280" priority="7" operator="greaterThan">
      <formula>0</formula>
    </cfRule>
  </conditionalFormatting>
  <conditionalFormatting sqref="CA17:CI17">
    <cfRule type="expression" dxfId="3279" priority="37">
      <formula>CJ17=0</formula>
    </cfRule>
  </conditionalFormatting>
  <conditionalFormatting sqref="CA22:CI22">
    <cfRule type="expression" dxfId="3278" priority="30">
      <formula>CJ22=0</formula>
    </cfRule>
  </conditionalFormatting>
  <conditionalFormatting sqref="CJ17">
    <cfRule type="cellIs" dxfId="3277" priority="53" operator="equal">
      <formula>0</formula>
    </cfRule>
  </conditionalFormatting>
  <conditionalFormatting sqref="CJ19">
    <cfRule type="expression" dxfId="3276" priority="22">
      <formula>OR(AND($E$29&gt;=47,$E$29&lt;=51,CJ14&gt;0),CJ19&gt;52,AND($E$29&gt;52,CJ14&gt;0),AND(CJ19&gt;=1,CJ14=0))</formula>
    </cfRule>
    <cfRule type="cellIs" dxfId="3275" priority="6" operator="greaterThan">
      <formula>0</formula>
    </cfRule>
  </conditionalFormatting>
  <conditionalFormatting sqref="CJ22">
    <cfRule type="cellIs" dxfId="3274" priority="44" operator="equal">
      <formula>0</formula>
    </cfRule>
  </conditionalFormatting>
  <dataValidations count="6">
    <dataValidation errorStyle="information" allowBlank="1" showErrorMessage="1" errorTitle="Ne peut ête supérieure à 52 sem" sqref="E29:I29" xr:uid="{00000000-0002-0000-0700-000000000000}"/>
    <dataValidation type="list" allowBlank="1" showInputMessage="1" showErrorMessage="1" sqref="N31 W31" xr:uid="{00000000-0002-0000-0700-000001000000}">
      <formula1>"OUI,NON"</formula1>
    </dataValidation>
    <dataValidation type="list" allowBlank="1" showInputMessage="1" showErrorMessage="1" sqref="P49" xr:uid="{00000000-0002-0000-0700-000003000000}">
      <formula1>Table_méthode_abs_CP</formula1>
    </dataValidation>
    <dataValidation type="list" showInputMessage="1" showErrorMessage="1" sqref="C77" xr:uid="{00000000-0002-0000-0700-000004000000}">
      <formula1>"0,1,2,3,4"</formula1>
    </dataValidation>
    <dataValidation type="list" allowBlank="1" showInputMessage="1" showErrorMessage="1" sqref="P39" xr:uid="{83803C8D-E435-4D13-9CC7-6B589E3292B4}">
      <formula1>Table_méthode_retenue</formula1>
    </dataValidation>
    <dataValidation type="list" allowBlank="1" showInputMessage="1" showErrorMessage="1" sqref="Y38" xr:uid="{1EED3142-04D6-4F79-9F94-9A30D8FD9263}">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4" id="{58BBC25D-D2E5-467F-BE1A-5C1E31A409B7}">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5000000}">
          <x14:formula1>
            <xm:f>S.CAL!$DE$3:$DE$13</xm:f>
          </x14:formula1>
          <xm:sqref>K1:M1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EB79"/>
  <sheetViews>
    <sheetView showGridLines="0" zoomScaleNormal="100" workbookViewId="0">
      <selection activeCell="J3" sqref="J3:P3"/>
    </sheetView>
  </sheetViews>
  <sheetFormatPr baseColWidth="10" defaultColWidth="11.42578125" defaultRowHeight="12.75" outlineLevelCol="1" x14ac:dyDescent="0.2"/>
  <cols>
    <col min="1" max="1" width="12.7109375" style="129" customWidth="1"/>
    <col min="2" max="4" width="11.85546875" style="129" customWidth="1"/>
    <col min="5" max="5" width="16" style="129" customWidth="1"/>
    <col min="6" max="9" width="11.85546875" style="129" hidden="1" customWidth="1" outlineLevel="1"/>
    <col min="10" max="10" width="11.85546875" style="129" customWidth="1" collapsed="1"/>
    <col min="11" max="16" width="11.85546875" style="129" customWidth="1"/>
    <col min="17" max="20" width="11.85546875" style="129" hidden="1" customWidth="1" outlineLevel="1"/>
    <col min="21" max="21" width="11.85546875" style="129" customWidth="1" collapsed="1"/>
    <col min="22" max="27" width="11.85546875" style="129" customWidth="1"/>
    <col min="28" max="31" width="11.85546875" style="129" hidden="1" customWidth="1" outlineLevel="1"/>
    <col min="32" max="32" width="11.85546875" style="129" customWidth="1" collapsed="1"/>
    <col min="33" max="38" width="11.85546875" style="129" customWidth="1"/>
    <col min="39" max="42" width="11.85546875" style="129" hidden="1" customWidth="1" outlineLevel="1"/>
    <col min="43" max="43" width="11.85546875" style="129" customWidth="1" collapsed="1"/>
    <col min="44" max="49" width="11.85546875" style="129" customWidth="1"/>
    <col min="50" max="53" width="11.85546875" style="129" hidden="1" customWidth="1" outlineLevel="1"/>
    <col min="54" max="54" width="11.85546875" style="129" customWidth="1" collapsed="1"/>
    <col min="55" max="60" width="11.85546875" style="129" customWidth="1"/>
    <col min="61" max="64" width="11.85546875" style="129" hidden="1" customWidth="1" outlineLevel="1"/>
    <col min="65" max="65" width="11.85546875" style="129" customWidth="1" collapsed="1"/>
    <col min="66" max="71" width="11.85546875" style="129" customWidth="1"/>
    <col min="72" max="75" width="11.85546875" style="129" hidden="1" customWidth="1" outlineLevel="1"/>
    <col min="76" max="76" width="11.85546875" style="129" customWidth="1" collapsed="1"/>
    <col min="77" max="82" width="11.85546875" style="129" customWidth="1"/>
    <col min="83" max="86" width="11.85546875" style="129" hidden="1" customWidth="1" outlineLevel="1"/>
    <col min="87" max="87" width="11.85546875" style="129" customWidth="1" collapsed="1"/>
    <col min="88" max="88" width="11.85546875" style="129" customWidth="1"/>
    <col min="89" max="130" width="11.42578125" style="129"/>
    <col min="131" max="132" width="11.42578125" style="129" hidden="1" customWidth="1"/>
    <col min="133" max="133" width="0" style="129" hidden="1" customWidth="1"/>
    <col min="134" max="16384" width="11.42578125" style="129"/>
  </cols>
  <sheetData>
    <row r="1" spans="1:132" s="16" customFormat="1" ht="23.25" x14ac:dyDescent="0.35">
      <c r="A1" s="1664" t="s">
        <v>502</v>
      </c>
      <c r="B1" s="1664"/>
      <c r="C1" s="1664"/>
      <c r="D1" s="1664"/>
      <c r="E1" s="275"/>
      <c r="F1" s="275"/>
      <c r="G1" s="275"/>
      <c r="H1" s="275"/>
      <c r="I1" s="275"/>
      <c r="J1" s="1214" t="s">
        <v>199</v>
      </c>
      <c r="K1" s="1698"/>
      <c r="L1" s="1698"/>
      <c r="M1" s="1698"/>
      <c r="N1" s="275"/>
      <c r="P1" s="1215"/>
      <c r="EA1" s="29" t="s">
        <v>1058</v>
      </c>
    </row>
    <row r="2" spans="1:132" s="16" customFormat="1" x14ac:dyDescent="0.2">
      <c r="EA2" s="29" t="s">
        <v>1059</v>
      </c>
      <c r="EB2" s="16">
        <f>+IF(AND(E29=52,N31="OUI"),"ROUGE",0)</f>
        <v>0</v>
      </c>
    </row>
    <row r="3" spans="1:132" s="16" customFormat="1" ht="18.75" x14ac:dyDescent="0.3">
      <c r="A3" s="1211" t="s">
        <v>181</v>
      </c>
      <c r="D3" s="1037"/>
      <c r="E3" s="1037"/>
      <c r="F3" s="1037"/>
      <c r="G3" s="1037"/>
      <c r="H3" s="1037"/>
      <c r="I3" s="1037"/>
      <c r="J3" s="1669" t="str">
        <f>+'Mode d''utilisation'!E2</f>
        <v>Syndicat National FO des Emplois de la Famille         www.emploisdelafamille-fo.fr</v>
      </c>
      <c r="K3" s="1669"/>
      <c r="L3" s="1669"/>
      <c r="M3" s="1669"/>
      <c r="N3" s="1669"/>
      <c r="O3" s="1669"/>
      <c r="P3" s="1669"/>
      <c r="EA3" s="29" t="s">
        <v>907</v>
      </c>
      <c r="EB3" s="16">
        <f>+IF(AND(E29=52,W31="OUI"),"ROUGE",0)</f>
        <v>0</v>
      </c>
    </row>
    <row r="4" spans="1:132" s="16" customFormat="1" x14ac:dyDescent="0.2">
      <c r="EB4" s="16" t="str">
        <f>+IF(AND(Identification!B3="Méthode 2",P39="Méthode 1"),"faux","")</f>
        <v>faux</v>
      </c>
    </row>
    <row r="5" spans="1:132" s="293" customFormat="1" ht="18.75" x14ac:dyDescent="0.3">
      <c r="A5" s="1676" t="s">
        <v>159</v>
      </c>
      <c r="B5" s="1677"/>
      <c r="C5" s="1677"/>
      <c r="D5" s="1677"/>
      <c r="E5" s="1677"/>
      <c r="F5" s="1677"/>
      <c r="G5" s="1677"/>
      <c r="H5" s="1677"/>
      <c r="I5" s="1677"/>
      <c r="J5" s="1677"/>
      <c r="K5" s="1678"/>
      <c r="L5" s="1679" t="s">
        <v>160</v>
      </c>
      <c r="M5" s="1680"/>
      <c r="N5" s="1680"/>
      <c r="O5" s="1680"/>
      <c r="P5" s="1680"/>
      <c r="Q5" s="1680"/>
      <c r="R5" s="1680"/>
      <c r="S5" s="1680"/>
      <c r="T5" s="1680"/>
      <c r="U5" s="1680"/>
      <c r="V5" s="1681"/>
      <c r="W5" s="1682" t="s">
        <v>161</v>
      </c>
      <c r="X5" s="1683"/>
      <c r="Y5" s="1683"/>
      <c r="Z5" s="1683"/>
      <c r="AA5" s="1683"/>
      <c r="AB5" s="1683"/>
      <c r="AC5" s="1683"/>
      <c r="AD5" s="1683"/>
      <c r="AE5" s="1683"/>
      <c r="AF5" s="1683"/>
      <c r="AG5" s="1684"/>
      <c r="AH5" s="1685" t="s">
        <v>162</v>
      </c>
      <c r="AI5" s="1686"/>
      <c r="AJ5" s="1686"/>
      <c r="AK5" s="1686"/>
      <c r="AL5" s="1686"/>
      <c r="AM5" s="1686"/>
      <c r="AN5" s="1686"/>
      <c r="AO5" s="1686"/>
      <c r="AP5" s="1686"/>
      <c r="AQ5" s="1686"/>
      <c r="AR5" s="1687"/>
      <c r="AS5" s="1688" t="s">
        <v>163</v>
      </c>
      <c r="AT5" s="1689"/>
      <c r="AU5" s="1689"/>
      <c r="AV5" s="1689"/>
      <c r="AW5" s="1689"/>
      <c r="AX5" s="1689"/>
      <c r="AY5" s="1689"/>
      <c r="AZ5" s="1689"/>
      <c r="BA5" s="1689"/>
      <c r="BB5" s="1689"/>
      <c r="BC5" s="1690"/>
      <c r="BD5" s="1691" t="s">
        <v>164</v>
      </c>
      <c r="BE5" s="1692"/>
      <c r="BF5" s="1692"/>
      <c r="BG5" s="1692"/>
      <c r="BH5" s="1692"/>
      <c r="BI5" s="1692"/>
      <c r="BJ5" s="1692"/>
      <c r="BK5" s="1692"/>
      <c r="BL5" s="1692"/>
      <c r="BM5" s="1692"/>
      <c r="BN5" s="1693"/>
      <c r="BO5" s="1673" t="s">
        <v>165</v>
      </c>
      <c r="BP5" s="1674"/>
      <c r="BQ5" s="1674"/>
      <c r="BR5" s="1674"/>
      <c r="BS5" s="1674"/>
      <c r="BT5" s="1674"/>
      <c r="BU5" s="1674"/>
      <c r="BV5" s="1674"/>
      <c r="BW5" s="1674"/>
      <c r="BX5" s="1674"/>
      <c r="BY5" s="1675"/>
      <c r="BZ5" s="1670" t="s">
        <v>166</v>
      </c>
      <c r="CA5" s="1671"/>
      <c r="CB5" s="1671"/>
      <c r="CC5" s="1671"/>
      <c r="CD5" s="1671"/>
      <c r="CE5" s="1671"/>
      <c r="CF5" s="1671"/>
      <c r="CG5" s="1671"/>
      <c r="CH5" s="1671"/>
      <c r="CI5" s="1671"/>
      <c r="CJ5" s="1672"/>
    </row>
    <row r="6" spans="1:132" s="16" customFormat="1" ht="45" x14ac:dyDescent="0.2">
      <c r="A6" s="1212" t="s">
        <v>16</v>
      </c>
      <c r="B6" s="1212" t="s">
        <v>219</v>
      </c>
      <c r="C6" s="1212" t="s">
        <v>220</v>
      </c>
      <c r="D6" s="1212" t="s">
        <v>221</v>
      </c>
      <c r="E6" s="1212" t="s">
        <v>222</v>
      </c>
      <c r="F6" s="1212" t="s">
        <v>522</v>
      </c>
      <c r="G6" s="1212" t="s">
        <v>523</v>
      </c>
      <c r="H6" s="1212" t="s">
        <v>524</v>
      </c>
      <c r="I6" s="1212" t="s">
        <v>525</v>
      </c>
      <c r="J6" s="1212" t="s">
        <v>182</v>
      </c>
      <c r="K6" s="1212" t="s">
        <v>183</v>
      </c>
      <c r="L6" s="1212" t="s">
        <v>16</v>
      </c>
      <c r="M6" s="1212" t="s">
        <v>219</v>
      </c>
      <c r="N6" s="1212" t="s">
        <v>220</v>
      </c>
      <c r="O6" s="1212" t="s">
        <v>221</v>
      </c>
      <c r="P6" s="1212" t="s">
        <v>222</v>
      </c>
      <c r="Q6" s="1212" t="s">
        <v>522</v>
      </c>
      <c r="R6" s="1212" t="s">
        <v>523</v>
      </c>
      <c r="S6" s="1212" t="s">
        <v>524</v>
      </c>
      <c r="T6" s="1212" t="s">
        <v>525</v>
      </c>
      <c r="U6" s="1212" t="s">
        <v>182</v>
      </c>
      <c r="V6" s="1212" t="s">
        <v>183</v>
      </c>
      <c r="W6" s="1212" t="s">
        <v>16</v>
      </c>
      <c r="X6" s="1212" t="s">
        <v>219</v>
      </c>
      <c r="Y6" s="1212" t="s">
        <v>220</v>
      </c>
      <c r="Z6" s="1212" t="s">
        <v>221</v>
      </c>
      <c r="AA6" s="1212" t="s">
        <v>222</v>
      </c>
      <c r="AB6" s="1212" t="s">
        <v>522</v>
      </c>
      <c r="AC6" s="1212" t="s">
        <v>523</v>
      </c>
      <c r="AD6" s="1212" t="s">
        <v>524</v>
      </c>
      <c r="AE6" s="1212" t="s">
        <v>525</v>
      </c>
      <c r="AF6" s="1212" t="s">
        <v>182</v>
      </c>
      <c r="AG6" s="1212" t="s">
        <v>183</v>
      </c>
      <c r="AH6" s="1212" t="s">
        <v>16</v>
      </c>
      <c r="AI6" s="1212" t="s">
        <v>219</v>
      </c>
      <c r="AJ6" s="1212" t="s">
        <v>220</v>
      </c>
      <c r="AK6" s="1212" t="s">
        <v>221</v>
      </c>
      <c r="AL6" s="1212" t="s">
        <v>222</v>
      </c>
      <c r="AM6" s="1212" t="s">
        <v>522</v>
      </c>
      <c r="AN6" s="1212" t="s">
        <v>523</v>
      </c>
      <c r="AO6" s="1212" t="s">
        <v>524</v>
      </c>
      <c r="AP6" s="1212" t="s">
        <v>525</v>
      </c>
      <c r="AQ6" s="1212" t="s">
        <v>182</v>
      </c>
      <c r="AR6" s="1212" t="s">
        <v>183</v>
      </c>
      <c r="AS6" s="1212" t="s">
        <v>16</v>
      </c>
      <c r="AT6" s="1212" t="s">
        <v>219</v>
      </c>
      <c r="AU6" s="1212" t="s">
        <v>220</v>
      </c>
      <c r="AV6" s="1212" t="s">
        <v>221</v>
      </c>
      <c r="AW6" s="1212" t="s">
        <v>222</v>
      </c>
      <c r="AX6" s="1212" t="s">
        <v>522</v>
      </c>
      <c r="AY6" s="1212" t="s">
        <v>523</v>
      </c>
      <c r="AZ6" s="1212" t="s">
        <v>524</v>
      </c>
      <c r="BA6" s="1212" t="s">
        <v>525</v>
      </c>
      <c r="BB6" s="1212" t="s">
        <v>182</v>
      </c>
      <c r="BC6" s="1212" t="s">
        <v>183</v>
      </c>
      <c r="BD6" s="1212" t="s">
        <v>16</v>
      </c>
      <c r="BE6" s="1212" t="s">
        <v>219</v>
      </c>
      <c r="BF6" s="1212" t="s">
        <v>220</v>
      </c>
      <c r="BG6" s="1212" t="s">
        <v>221</v>
      </c>
      <c r="BH6" s="1212" t="s">
        <v>222</v>
      </c>
      <c r="BI6" s="1212" t="s">
        <v>522</v>
      </c>
      <c r="BJ6" s="1212" t="s">
        <v>523</v>
      </c>
      <c r="BK6" s="1212" t="s">
        <v>524</v>
      </c>
      <c r="BL6" s="1212" t="s">
        <v>525</v>
      </c>
      <c r="BM6" s="1212" t="s">
        <v>182</v>
      </c>
      <c r="BN6" s="1212" t="s">
        <v>183</v>
      </c>
      <c r="BO6" s="1212" t="s">
        <v>16</v>
      </c>
      <c r="BP6" s="1212" t="s">
        <v>219</v>
      </c>
      <c r="BQ6" s="1212" t="s">
        <v>220</v>
      </c>
      <c r="BR6" s="1212" t="s">
        <v>221</v>
      </c>
      <c r="BS6" s="1212" t="s">
        <v>222</v>
      </c>
      <c r="BT6" s="1212" t="s">
        <v>522</v>
      </c>
      <c r="BU6" s="1212" t="s">
        <v>523</v>
      </c>
      <c r="BV6" s="1212" t="s">
        <v>524</v>
      </c>
      <c r="BW6" s="1212" t="s">
        <v>525</v>
      </c>
      <c r="BX6" s="1212" t="s">
        <v>182</v>
      </c>
      <c r="BY6" s="1212" t="s">
        <v>183</v>
      </c>
      <c r="BZ6" s="1212" t="s">
        <v>16</v>
      </c>
      <c r="CA6" s="1212" t="s">
        <v>219</v>
      </c>
      <c r="CB6" s="1212" t="s">
        <v>220</v>
      </c>
      <c r="CC6" s="1212" t="s">
        <v>221</v>
      </c>
      <c r="CD6" s="1212" t="s">
        <v>222</v>
      </c>
      <c r="CE6" s="1212" t="s">
        <v>522</v>
      </c>
      <c r="CF6" s="1212" t="s">
        <v>523</v>
      </c>
      <c r="CG6" s="1212" t="s">
        <v>524</v>
      </c>
      <c r="CH6" s="1212" t="s">
        <v>525</v>
      </c>
      <c r="CI6" s="1212" t="s">
        <v>182</v>
      </c>
      <c r="CJ6" s="1212" t="s">
        <v>183</v>
      </c>
    </row>
    <row r="7" spans="1:132" s="16" customFormat="1" x14ac:dyDescent="0.2">
      <c r="A7" s="91" t="s">
        <v>17</v>
      </c>
      <c r="B7" s="1070"/>
      <c r="C7" s="1070"/>
      <c r="D7" s="1070"/>
      <c r="E7" s="1070"/>
      <c r="F7" s="1071"/>
      <c r="G7" s="1071"/>
      <c r="H7" s="1071"/>
      <c r="I7" s="1071"/>
      <c r="J7" s="277">
        <f>+C7-B7+E7-D7+G7-F7+I7-H7</f>
        <v>0</v>
      </c>
      <c r="K7" s="409">
        <f>ROUND(+J7*24,C77)</f>
        <v>0</v>
      </c>
      <c r="L7" s="91" t="s">
        <v>17</v>
      </c>
      <c r="M7" s="1070"/>
      <c r="N7" s="1070"/>
      <c r="O7" s="1070"/>
      <c r="P7" s="1070"/>
      <c r="Q7" s="1071"/>
      <c r="R7" s="1071"/>
      <c r="S7" s="1071"/>
      <c r="T7" s="1071"/>
      <c r="U7" s="277">
        <f>+N7-M7+P7-O7+R7-Q7+T7-S7</f>
        <v>0</v>
      </c>
      <c r="V7" s="409">
        <f>ROUND(+U7*24,C77)</f>
        <v>0</v>
      </c>
      <c r="W7" s="91" t="s">
        <v>17</v>
      </c>
      <c r="X7" s="1070"/>
      <c r="Y7" s="1070"/>
      <c r="Z7" s="1070"/>
      <c r="AA7" s="1070"/>
      <c r="AB7" s="1071"/>
      <c r="AC7" s="1071"/>
      <c r="AD7" s="1071"/>
      <c r="AE7" s="1071"/>
      <c r="AF7" s="277">
        <f>+Y7-X7+AA7-Z7+AC7-AB7+AE7-AD7</f>
        <v>0</v>
      </c>
      <c r="AG7" s="409">
        <f>ROUND(+AF7*24,C77)</f>
        <v>0</v>
      </c>
      <c r="AH7" s="91" t="s">
        <v>17</v>
      </c>
      <c r="AI7" s="1070"/>
      <c r="AJ7" s="1070"/>
      <c r="AK7" s="1070"/>
      <c r="AL7" s="1070"/>
      <c r="AM7" s="1071"/>
      <c r="AN7" s="1071"/>
      <c r="AO7" s="1071"/>
      <c r="AP7" s="1071"/>
      <c r="AQ7" s="277">
        <f>+AJ7-AI7+AL7-AK7+AN7-AM7+AP7-AO7</f>
        <v>0</v>
      </c>
      <c r="AR7" s="409">
        <f>ROUND(+AQ7*24,C77)</f>
        <v>0</v>
      </c>
      <c r="AS7" s="91" t="s">
        <v>17</v>
      </c>
      <c r="AT7" s="1070"/>
      <c r="AU7" s="1070"/>
      <c r="AV7" s="1070"/>
      <c r="AW7" s="1070"/>
      <c r="AX7" s="1071"/>
      <c r="AY7" s="1071"/>
      <c r="AZ7" s="1071"/>
      <c r="BA7" s="1071"/>
      <c r="BB7" s="277">
        <f>+AU7-AT7+AW7-AV7+AY7-AX7+BA7-AZ7</f>
        <v>0</v>
      </c>
      <c r="BC7" s="409">
        <f>ROUND(+BB7*24,C77)</f>
        <v>0</v>
      </c>
      <c r="BD7" s="91" t="s">
        <v>17</v>
      </c>
      <c r="BE7" s="1070"/>
      <c r="BF7" s="1070"/>
      <c r="BG7" s="1070"/>
      <c r="BH7" s="1070"/>
      <c r="BI7" s="1071"/>
      <c r="BJ7" s="1071"/>
      <c r="BK7" s="1071"/>
      <c r="BL7" s="1071"/>
      <c r="BM7" s="277">
        <f>+BF7-BE7+BH7-BG7+BJ7-BI7+BL7-BK7</f>
        <v>0</v>
      </c>
      <c r="BN7" s="409">
        <f>ROUND(+BM7*24,C77)</f>
        <v>0</v>
      </c>
      <c r="BO7" s="91" t="s">
        <v>17</v>
      </c>
      <c r="BP7" s="1070"/>
      <c r="BQ7" s="1070"/>
      <c r="BR7" s="1070"/>
      <c r="BS7" s="1070"/>
      <c r="BT7" s="1071"/>
      <c r="BU7" s="1071"/>
      <c r="BV7" s="1071"/>
      <c r="BW7" s="1071"/>
      <c r="BX7" s="277">
        <f>+BQ7-BP7+BS7-BR7+BU7-BT7+BW7-BV7</f>
        <v>0</v>
      </c>
      <c r="BY7" s="409">
        <f>ROUND(+BX7*24,C77)</f>
        <v>0</v>
      </c>
      <c r="BZ7" s="91" t="s">
        <v>17</v>
      </c>
      <c r="CA7" s="1070"/>
      <c r="CB7" s="1070"/>
      <c r="CC7" s="1070"/>
      <c r="CD7" s="1070"/>
      <c r="CE7" s="1071"/>
      <c r="CF7" s="1071"/>
      <c r="CG7" s="1071"/>
      <c r="CH7" s="1071"/>
      <c r="CI7" s="277">
        <f>+CB7-CA7+CD7-CC7+CF7-CE7+CH7-CG7</f>
        <v>0</v>
      </c>
      <c r="CJ7" s="409">
        <f>ROUND(+CI7*24,C77)</f>
        <v>0</v>
      </c>
    </row>
    <row r="8" spans="1:132" s="16" customFormat="1" x14ac:dyDescent="0.2">
      <c r="A8" s="91" t="s">
        <v>18</v>
      </c>
      <c r="B8" s="1070"/>
      <c r="C8" s="1070"/>
      <c r="D8" s="1070"/>
      <c r="E8" s="1070"/>
      <c r="F8" s="1071"/>
      <c r="G8" s="1071"/>
      <c r="H8" s="1071"/>
      <c r="I8" s="1071"/>
      <c r="J8" s="277">
        <f t="shared" ref="J8:J13" si="0">+C8-B8+E8-D8+G8-F8+I8-H8</f>
        <v>0</v>
      </c>
      <c r="K8" s="410">
        <f>ROUND(+J8*24,C77)</f>
        <v>0</v>
      </c>
      <c r="L8" s="91" t="s">
        <v>18</v>
      </c>
      <c r="M8" s="1070"/>
      <c r="N8" s="1070"/>
      <c r="O8" s="1070"/>
      <c r="P8" s="1070"/>
      <c r="Q8" s="1071"/>
      <c r="R8" s="1071"/>
      <c r="S8" s="1071"/>
      <c r="T8" s="1071"/>
      <c r="U8" s="277">
        <f t="shared" ref="U8:U13" si="1">+N8-M8+P8-O8+R8-Q8+T8-S8</f>
        <v>0</v>
      </c>
      <c r="V8" s="409">
        <f>ROUND(+U8*24,C77)</f>
        <v>0</v>
      </c>
      <c r="W8" s="91" t="s">
        <v>18</v>
      </c>
      <c r="X8" s="1070"/>
      <c r="Y8" s="1070"/>
      <c r="Z8" s="1070"/>
      <c r="AA8" s="1070"/>
      <c r="AB8" s="1071"/>
      <c r="AC8" s="1071"/>
      <c r="AD8" s="1071"/>
      <c r="AE8" s="1071"/>
      <c r="AF8" s="277">
        <f t="shared" ref="AF8:AF13" si="2">+Y8-X8+AA8-Z8+AC8-AB8+AE8-AD8</f>
        <v>0</v>
      </c>
      <c r="AG8" s="409">
        <f>ROUND(+AF8*24,C77)</f>
        <v>0</v>
      </c>
      <c r="AH8" s="91" t="s">
        <v>18</v>
      </c>
      <c r="AI8" s="1070"/>
      <c r="AJ8" s="1070"/>
      <c r="AK8" s="1070"/>
      <c r="AL8" s="1070"/>
      <c r="AM8" s="1071"/>
      <c r="AN8" s="1071"/>
      <c r="AO8" s="1071"/>
      <c r="AP8" s="1071"/>
      <c r="AQ8" s="277">
        <f t="shared" ref="AQ8:AQ13" si="3">+AJ8-AI8+AL8-AK8+AN8-AM8+AP8-AO8</f>
        <v>0</v>
      </c>
      <c r="AR8" s="409">
        <f>ROUND(+AQ8*24,C77)</f>
        <v>0</v>
      </c>
      <c r="AS8" s="91" t="s">
        <v>18</v>
      </c>
      <c r="AT8" s="1070"/>
      <c r="AU8" s="1070"/>
      <c r="AV8" s="1070"/>
      <c r="AW8" s="1070"/>
      <c r="AX8" s="1071"/>
      <c r="AY8" s="1071"/>
      <c r="AZ8" s="1071"/>
      <c r="BA8" s="1071"/>
      <c r="BB8" s="277">
        <f t="shared" ref="BB8:BB13" si="4">+AU8-AT8+AW8-AV8+AY8-AX8+BA8-AZ8</f>
        <v>0</v>
      </c>
      <c r="BC8" s="409">
        <f>ROUND(+BB8*24,C77)</f>
        <v>0</v>
      </c>
      <c r="BD8" s="91" t="s">
        <v>18</v>
      </c>
      <c r="BE8" s="1070"/>
      <c r="BF8" s="1070"/>
      <c r="BG8" s="1070"/>
      <c r="BH8" s="1070"/>
      <c r="BI8" s="1071"/>
      <c r="BJ8" s="1071"/>
      <c r="BK8" s="1071"/>
      <c r="BL8" s="1071"/>
      <c r="BM8" s="277">
        <f t="shared" ref="BM8:BM13" si="5">+BF8-BE8+BH8-BG8+BJ8-BI8+BL8-BK8</f>
        <v>0</v>
      </c>
      <c r="BN8" s="409">
        <f>ROUND(+BM8*24,C77)</f>
        <v>0</v>
      </c>
      <c r="BO8" s="91" t="s">
        <v>18</v>
      </c>
      <c r="BP8" s="1070"/>
      <c r="BQ8" s="1070"/>
      <c r="BR8" s="1070"/>
      <c r="BS8" s="1070"/>
      <c r="BT8" s="1071"/>
      <c r="BU8" s="1071"/>
      <c r="BV8" s="1071"/>
      <c r="BW8" s="1071"/>
      <c r="BX8" s="277">
        <f t="shared" ref="BX8:BX13" si="6">+BQ8-BP8+BS8-BR8+BU8-BT8+BW8-BV8</f>
        <v>0</v>
      </c>
      <c r="BY8" s="409">
        <f>ROUND(+BX8*24,C77)</f>
        <v>0</v>
      </c>
      <c r="BZ8" s="91" t="s">
        <v>18</v>
      </c>
      <c r="CA8" s="1070"/>
      <c r="CB8" s="1070"/>
      <c r="CC8" s="1070"/>
      <c r="CD8" s="1070"/>
      <c r="CE8" s="1071"/>
      <c r="CF8" s="1071"/>
      <c r="CG8" s="1071"/>
      <c r="CH8" s="1071"/>
      <c r="CI8" s="277">
        <f t="shared" ref="CI8:CI13" si="7">+CB8-CA8+CD8-CC8+CF8-CE8+CH8-CG8</f>
        <v>0</v>
      </c>
      <c r="CJ8" s="409">
        <f>ROUND(+CI8*24,C77)</f>
        <v>0</v>
      </c>
    </row>
    <row r="9" spans="1:132" s="16" customFormat="1" x14ac:dyDescent="0.2">
      <c r="A9" s="91" t="s">
        <v>19</v>
      </c>
      <c r="B9" s="1070"/>
      <c r="C9" s="1070"/>
      <c r="D9" s="1070"/>
      <c r="E9" s="1070"/>
      <c r="F9" s="1071"/>
      <c r="G9" s="1071"/>
      <c r="H9" s="1071"/>
      <c r="I9" s="1071"/>
      <c r="J9" s="277">
        <f t="shared" si="0"/>
        <v>0</v>
      </c>
      <c r="K9" s="409">
        <f>ROUND(+J9*24,C77)</f>
        <v>0</v>
      </c>
      <c r="L9" s="91" t="s">
        <v>19</v>
      </c>
      <c r="M9" s="1070"/>
      <c r="N9" s="1070"/>
      <c r="O9" s="1070"/>
      <c r="P9" s="1070"/>
      <c r="Q9" s="1071"/>
      <c r="R9" s="1071"/>
      <c r="S9" s="1071"/>
      <c r="T9" s="1071"/>
      <c r="U9" s="277">
        <f t="shared" si="1"/>
        <v>0</v>
      </c>
      <c r="V9" s="409">
        <f>ROUND(+U9*24,C77)</f>
        <v>0</v>
      </c>
      <c r="W9" s="91" t="s">
        <v>19</v>
      </c>
      <c r="X9" s="1070"/>
      <c r="Y9" s="1070"/>
      <c r="Z9" s="1070"/>
      <c r="AA9" s="1070"/>
      <c r="AB9" s="1071"/>
      <c r="AC9" s="1071"/>
      <c r="AD9" s="1071"/>
      <c r="AE9" s="1071"/>
      <c r="AF9" s="277">
        <f t="shared" si="2"/>
        <v>0</v>
      </c>
      <c r="AG9" s="409">
        <f>ROUND(+AF9*24,C77)</f>
        <v>0</v>
      </c>
      <c r="AH9" s="91" t="s">
        <v>19</v>
      </c>
      <c r="AI9" s="1070"/>
      <c r="AJ9" s="1070"/>
      <c r="AK9" s="1070"/>
      <c r="AL9" s="1070"/>
      <c r="AM9" s="1071"/>
      <c r="AN9" s="1071"/>
      <c r="AO9" s="1071"/>
      <c r="AP9" s="1071"/>
      <c r="AQ9" s="277">
        <f t="shared" si="3"/>
        <v>0</v>
      </c>
      <c r="AR9" s="409">
        <f>ROUND(+AQ9*24,C77)</f>
        <v>0</v>
      </c>
      <c r="AS9" s="91" t="s">
        <v>19</v>
      </c>
      <c r="AT9" s="1070"/>
      <c r="AU9" s="1070"/>
      <c r="AV9" s="1070"/>
      <c r="AW9" s="1070"/>
      <c r="AX9" s="1071"/>
      <c r="AY9" s="1071"/>
      <c r="AZ9" s="1071"/>
      <c r="BA9" s="1071"/>
      <c r="BB9" s="277">
        <f t="shared" si="4"/>
        <v>0</v>
      </c>
      <c r="BC9" s="409">
        <f>ROUND(+BB9*24,C77)</f>
        <v>0</v>
      </c>
      <c r="BD9" s="91" t="s">
        <v>19</v>
      </c>
      <c r="BE9" s="1070"/>
      <c r="BF9" s="1070"/>
      <c r="BG9" s="1070"/>
      <c r="BH9" s="1070"/>
      <c r="BI9" s="1071"/>
      <c r="BJ9" s="1071"/>
      <c r="BK9" s="1071"/>
      <c r="BL9" s="1071"/>
      <c r="BM9" s="277">
        <f t="shared" si="5"/>
        <v>0</v>
      </c>
      <c r="BN9" s="409">
        <f>ROUND(+BM9*24,C77)</f>
        <v>0</v>
      </c>
      <c r="BO9" s="91" t="s">
        <v>19</v>
      </c>
      <c r="BP9" s="1070"/>
      <c r="BQ9" s="1070"/>
      <c r="BR9" s="1070"/>
      <c r="BS9" s="1070"/>
      <c r="BT9" s="1071"/>
      <c r="BU9" s="1071"/>
      <c r="BV9" s="1071"/>
      <c r="BW9" s="1071"/>
      <c r="BX9" s="277">
        <f t="shared" si="6"/>
        <v>0</v>
      </c>
      <c r="BY9" s="409">
        <f>ROUND(+BX9*24,C77)</f>
        <v>0</v>
      </c>
      <c r="BZ9" s="91" t="s">
        <v>19</v>
      </c>
      <c r="CA9" s="1070"/>
      <c r="CB9" s="1070"/>
      <c r="CC9" s="1070"/>
      <c r="CD9" s="1070"/>
      <c r="CE9" s="1071"/>
      <c r="CF9" s="1071"/>
      <c r="CG9" s="1071"/>
      <c r="CH9" s="1071"/>
      <c r="CI9" s="277">
        <f t="shared" si="7"/>
        <v>0</v>
      </c>
      <c r="CJ9" s="409">
        <f>ROUND(+CI9*24,C77)</f>
        <v>0</v>
      </c>
    </row>
    <row r="10" spans="1:132" s="16" customFormat="1" x14ac:dyDescent="0.2">
      <c r="A10" s="91" t="s">
        <v>20</v>
      </c>
      <c r="B10" s="1070"/>
      <c r="C10" s="1070"/>
      <c r="D10" s="1070"/>
      <c r="E10" s="1070"/>
      <c r="F10" s="1071"/>
      <c r="G10" s="1071"/>
      <c r="H10" s="1071"/>
      <c r="I10" s="1071"/>
      <c r="J10" s="277">
        <f t="shared" si="0"/>
        <v>0</v>
      </c>
      <c r="K10" s="409">
        <f>ROUND(+J10*24,C77)</f>
        <v>0</v>
      </c>
      <c r="L10" s="91" t="s">
        <v>20</v>
      </c>
      <c r="M10" s="1070"/>
      <c r="N10" s="1070"/>
      <c r="O10" s="1070"/>
      <c r="P10" s="1070"/>
      <c r="Q10" s="1071"/>
      <c r="R10" s="1071"/>
      <c r="S10" s="1071"/>
      <c r="T10" s="1071"/>
      <c r="U10" s="277">
        <f t="shared" si="1"/>
        <v>0</v>
      </c>
      <c r="V10" s="409">
        <f>ROUND(+U10*24,C77)</f>
        <v>0</v>
      </c>
      <c r="W10" s="91" t="s">
        <v>20</v>
      </c>
      <c r="X10" s="1070"/>
      <c r="Y10" s="1070"/>
      <c r="Z10" s="1070"/>
      <c r="AA10" s="1070"/>
      <c r="AB10" s="1071"/>
      <c r="AC10" s="1071"/>
      <c r="AD10" s="1071"/>
      <c r="AE10" s="1071"/>
      <c r="AF10" s="277">
        <f t="shared" si="2"/>
        <v>0</v>
      </c>
      <c r="AG10" s="409">
        <f>ROUND(+AF10*24,C77)</f>
        <v>0</v>
      </c>
      <c r="AH10" s="91" t="s">
        <v>20</v>
      </c>
      <c r="AI10" s="1070"/>
      <c r="AJ10" s="1070"/>
      <c r="AK10" s="1070"/>
      <c r="AL10" s="1070"/>
      <c r="AM10" s="1071"/>
      <c r="AN10" s="1071"/>
      <c r="AO10" s="1071"/>
      <c r="AP10" s="1071"/>
      <c r="AQ10" s="277">
        <f t="shared" si="3"/>
        <v>0</v>
      </c>
      <c r="AR10" s="409">
        <f>ROUND(+AQ10*24,C77)</f>
        <v>0</v>
      </c>
      <c r="AS10" s="91" t="s">
        <v>20</v>
      </c>
      <c r="AT10" s="1070"/>
      <c r="AU10" s="1070"/>
      <c r="AV10" s="1070"/>
      <c r="AW10" s="1070"/>
      <c r="AX10" s="1071"/>
      <c r="AY10" s="1071"/>
      <c r="AZ10" s="1071"/>
      <c r="BA10" s="1071"/>
      <c r="BB10" s="277">
        <f t="shared" si="4"/>
        <v>0</v>
      </c>
      <c r="BC10" s="409">
        <f>ROUND(+BB10*24,C77)</f>
        <v>0</v>
      </c>
      <c r="BD10" s="91" t="s">
        <v>20</v>
      </c>
      <c r="BE10" s="1070"/>
      <c r="BF10" s="1070"/>
      <c r="BG10" s="1070"/>
      <c r="BH10" s="1070"/>
      <c r="BI10" s="1071"/>
      <c r="BJ10" s="1071"/>
      <c r="BK10" s="1071"/>
      <c r="BL10" s="1071"/>
      <c r="BM10" s="277">
        <f t="shared" si="5"/>
        <v>0</v>
      </c>
      <c r="BN10" s="409">
        <f>ROUND(+BM10*24,C77)</f>
        <v>0</v>
      </c>
      <c r="BO10" s="91" t="s">
        <v>20</v>
      </c>
      <c r="BP10" s="1070"/>
      <c r="BQ10" s="1070"/>
      <c r="BR10" s="1070"/>
      <c r="BS10" s="1070"/>
      <c r="BT10" s="1071"/>
      <c r="BU10" s="1071"/>
      <c r="BV10" s="1071"/>
      <c r="BW10" s="1071"/>
      <c r="BX10" s="277">
        <f t="shared" si="6"/>
        <v>0</v>
      </c>
      <c r="BY10" s="409">
        <f>ROUND(+BX10*24,C77)</f>
        <v>0</v>
      </c>
      <c r="BZ10" s="91" t="s">
        <v>20</v>
      </c>
      <c r="CA10" s="1070"/>
      <c r="CB10" s="1070"/>
      <c r="CC10" s="1070"/>
      <c r="CD10" s="1070"/>
      <c r="CE10" s="1071"/>
      <c r="CF10" s="1071"/>
      <c r="CG10" s="1071"/>
      <c r="CH10" s="1071"/>
      <c r="CI10" s="277">
        <f t="shared" si="7"/>
        <v>0</v>
      </c>
      <c r="CJ10" s="409">
        <f>ROUND(+CI10*24,C77)</f>
        <v>0</v>
      </c>
    </row>
    <row r="11" spans="1:132" s="16" customFormat="1" x14ac:dyDescent="0.2">
      <c r="A11" s="91" t="s">
        <v>21</v>
      </c>
      <c r="B11" s="1070"/>
      <c r="C11" s="1070"/>
      <c r="D11" s="1070"/>
      <c r="E11" s="1070"/>
      <c r="F11" s="1071"/>
      <c r="G11" s="1071"/>
      <c r="H11" s="1071"/>
      <c r="I11" s="1071"/>
      <c r="J11" s="277">
        <f t="shared" si="0"/>
        <v>0</v>
      </c>
      <c r="K11" s="409">
        <f>ROUND(+J11*24,C77)</f>
        <v>0</v>
      </c>
      <c r="L11" s="91" t="s">
        <v>21</v>
      </c>
      <c r="M11" s="1070"/>
      <c r="N11" s="1070"/>
      <c r="O11" s="1070"/>
      <c r="P11" s="1070"/>
      <c r="Q11" s="1071"/>
      <c r="R11" s="1071"/>
      <c r="S11" s="1071"/>
      <c r="T11" s="1071"/>
      <c r="U11" s="277">
        <f t="shared" si="1"/>
        <v>0</v>
      </c>
      <c r="V11" s="409">
        <f>ROUND(+U11*24,C77)</f>
        <v>0</v>
      </c>
      <c r="W11" s="91" t="s">
        <v>21</v>
      </c>
      <c r="X11" s="1070"/>
      <c r="Y11" s="1070"/>
      <c r="Z11" s="1070"/>
      <c r="AA11" s="1070"/>
      <c r="AB11" s="1071"/>
      <c r="AC11" s="1071"/>
      <c r="AD11" s="1071"/>
      <c r="AE11" s="1071"/>
      <c r="AF11" s="277">
        <f t="shared" si="2"/>
        <v>0</v>
      </c>
      <c r="AG11" s="409">
        <f>ROUND(+AF11*24,C77)</f>
        <v>0</v>
      </c>
      <c r="AH11" s="91" t="s">
        <v>21</v>
      </c>
      <c r="AI11" s="1070"/>
      <c r="AJ11" s="1070"/>
      <c r="AK11" s="1070"/>
      <c r="AL11" s="1070"/>
      <c r="AM11" s="1071"/>
      <c r="AN11" s="1071"/>
      <c r="AO11" s="1071"/>
      <c r="AP11" s="1071"/>
      <c r="AQ11" s="277">
        <f t="shared" si="3"/>
        <v>0</v>
      </c>
      <c r="AR11" s="409">
        <f>ROUND(+AQ11*24,C77)</f>
        <v>0</v>
      </c>
      <c r="AS11" s="91" t="s">
        <v>21</v>
      </c>
      <c r="AT11" s="1070"/>
      <c r="AU11" s="1070"/>
      <c r="AV11" s="1070"/>
      <c r="AW11" s="1070"/>
      <c r="AX11" s="1071"/>
      <c r="AY11" s="1071"/>
      <c r="AZ11" s="1071"/>
      <c r="BA11" s="1071"/>
      <c r="BB11" s="277">
        <f t="shared" si="4"/>
        <v>0</v>
      </c>
      <c r="BC11" s="409">
        <f>ROUND(+BB11*24,C77)</f>
        <v>0</v>
      </c>
      <c r="BD11" s="91" t="s">
        <v>21</v>
      </c>
      <c r="BE11" s="1070"/>
      <c r="BF11" s="1070"/>
      <c r="BG11" s="1070"/>
      <c r="BH11" s="1070"/>
      <c r="BI11" s="1071"/>
      <c r="BJ11" s="1071"/>
      <c r="BK11" s="1071"/>
      <c r="BL11" s="1071"/>
      <c r="BM11" s="277">
        <f t="shared" si="5"/>
        <v>0</v>
      </c>
      <c r="BN11" s="409">
        <f>ROUND(+BM11*24,C77)</f>
        <v>0</v>
      </c>
      <c r="BO11" s="91" t="s">
        <v>21</v>
      </c>
      <c r="BP11" s="1070"/>
      <c r="BQ11" s="1070"/>
      <c r="BR11" s="1070"/>
      <c r="BS11" s="1070"/>
      <c r="BT11" s="1071"/>
      <c r="BU11" s="1071"/>
      <c r="BV11" s="1071"/>
      <c r="BW11" s="1071"/>
      <c r="BX11" s="277">
        <f t="shared" si="6"/>
        <v>0</v>
      </c>
      <c r="BY11" s="409">
        <f>ROUND(+BX11*24,C77)</f>
        <v>0</v>
      </c>
      <c r="BZ11" s="91" t="s">
        <v>21</v>
      </c>
      <c r="CA11" s="1070"/>
      <c r="CB11" s="1070"/>
      <c r="CC11" s="1070"/>
      <c r="CD11" s="1070"/>
      <c r="CE11" s="1071"/>
      <c r="CF11" s="1071"/>
      <c r="CG11" s="1071"/>
      <c r="CH11" s="1071"/>
      <c r="CI11" s="277">
        <f t="shared" si="7"/>
        <v>0</v>
      </c>
      <c r="CJ11" s="409">
        <f>ROUND(+CI11*24,C77)</f>
        <v>0</v>
      </c>
    </row>
    <row r="12" spans="1:132" s="16" customFormat="1" x14ac:dyDescent="0.2">
      <c r="A12" s="91" t="s">
        <v>184</v>
      </c>
      <c r="B12" s="1070"/>
      <c r="C12" s="1070"/>
      <c r="D12" s="1070"/>
      <c r="E12" s="1070"/>
      <c r="F12" s="1071"/>
      <c r="G12" s="1071"/>
      <c r="H12" s="1071"/>
      <c r="I12" s="1071"/>
      <c r="J12" s="277">
        <f t="shared" si="0"/>
        <v>0</v>
      </c>
      <c r="K12" s="409">
        <f>ROUND(+J12*24,C77)</f>
        <v>0</v>
      </c>
      <c r="L12" s="91" t="s">
        <v>184</v>
      </c>
      <c r="M12" s="1070"/>
      <c r="N12" s="1070"/>
      <c r="O12" s="1070"/>
      <c r="P12" s="1070"/>
      <c r="Q12" s="1071"/>
      <c r="R12" s="1071"/>
      <c r="S12" s="1071"/>
      <c r="T12" s="1071"/>
      <c r="U12" s="277">
        <f t="shared" si="1"/>
        <v>0</v>
      </c>
      <c r="V12" s="409">
        <f>ROUND(+U12*24,C77)</f>
        <v>0</v>
      </c>
      <c r="W12" s="91" t="s">
        <v>184</v>
      </c>
      <c r="X12" s="1070"/>
      <c r="Y12" s="1070"/>
      <c r="Z12" s="1070"/>
      <c r="AA12" s="1070"/>
      <c r="AB12" s="1071"/>
      <c r="AC12" s="1071"/>
      <c r="AD12" s="1071"/>
      <c r="AE12" s="1071"/>
      <c r="AF12" s="277">
        <f t="shared" si="2"/>
        <v>0</v>
      </c>
      <c r="AG12" s="409">
        <f>ROUND(+AF12*24,C77)</f>
        <v>0</v>
      </c>
      <c r="AH12" s="91" t="s">
        <v>184</v>
      </c>
      <c r="AI12" s="1070"/>
      <c r="AJ12" s="1070"/>
      <c r="AK12" s="1070"/>
      <c r="AL12" s="1070"/>
      <c r="AM12" s="1071"/>
      <c r="AN12" s="1071"/>
      <c r="AO12" s="1071"/>
      <c r="AP12" s="1071"/>
      <c r="AQ12" s="277">
        <f t="shared" si="3"/>
        <v>0</v>
      </c>
      <c r="AR12" s="409">
        <f>ROUND(+AQ12*24,C77)</f>
        <v>0</v>
      </c>
      <c r="AS12" s="91" t="s">
        <v>184</v>
      </c>
      <c r="AT12" s="1070"/>
      <c r="AU12" s="1070"/>
      <c r="AV12" s="1070"/>
      <c r="AW12" s="1070"/>
      <c r="AX12" s="1071"/>
      <c r="AY12" s="1071"/>
      <c r="AZ12" s="1071"/>
      <c r="BA12" s="1071"/>
      <c r="BB12" s="277">
        <f t="shared" si="4"/>
        <v>0</v>
      </c>
      <c r="BC12" s="409">
        <f>ROUND(+BB12*24,C77)</f>
        <v>0</v>
      </c>
      <c r="BD12" s="91" t="s">
        <v>184</v>
      </c>
      <c r="BE12" s="1070"/>
      <c r="BF12" s="1070"/>
      <c r="BG12" s="1070"/>
      <c r="BH12" s="1070"/>
      <c r="BI12" s="1071"/>
      <c r="BJ12" s="1071"/>
      <c r="BK12" s="1071"/>
      <c r="BL12" s="1071"/>
      <c r="BM12" s="277">
        <f t="shared" si="5"/>
        <v>0</v>
      </c>
      <c r="BN12" s="409">
        <f>ROUND(+BM12*24,C77)</f>
        <v>0</v>
      </c>
      <c r="BO12" s="91" t="s">
        <v>184</v>
      </c>
      <c r="BP12" s="1070"/>
      <c r="BQ12" s="1070"/>
      <c r="BR12" s="1070"/>
      <c r="BS12" s="1070"/>
      <c r="BT12" s="1071"/>
      <c r="BU12" s="1071"/>
      <c r="BV12" s="1071"/>
      <c r="BW12" s="1071"/>
      <c r="BX12" s="277">
        <f t="shared" si="6"/>
        <v>0</v>
      </c>
      <c r="BY12" s="409">
        <f>ROUND(+BX12*24,C77)</f>
        <v>0</v>
      </c>
      <c r="BZ12" s="91" t="s">
        <v>184</v>
      </c>
      <c r="CA12" s="1070"/>
      <c r="CB12" s="1070"/>
      <c r="CC12" s="1070"/>
      <c r="CD12" s="1070"/>
      <c r="CE12" s="1071"/>
      <c r="CF12" s="1071"/>
      <c r="CG12" s="1071"/>
      <c r="CH12" s="1071"/>
      <c r="CI12" s="277">
        <f t="shared" si="7"/>
        <v>0</v>
      </c>
      <c r="CJ12" s="409">
        <f>ROUND(+CI12*24,C77)</f>
        <v>0</v>
      </c>
    </row>
    <row r="13" spans="1:132" s="16" customFormat="1" x14ac:dyDescent="0.2">
      <c r="A13" s="91" t="s">
        <v>185</v>
      </c>
      <c r="B13" s="1070"/>
      <c r="C13" s="1070"/>
      <c r="D13" s="1070"/>
      <c r="E13" s="1070"/>
      <c r="F13" s="1071"/>
      <c r="G13" s="1071"/>
      <c r="H13" s="1071"/>
      <c r="I13" s="1071"/>
      <c r="J13" s="277">
        <f t="shared" si="0"/>
        <v>0</v>
      </c>
      <c r="K13" s="409">
        <f>ROUND(+J13*24,C77)</f>
        <v>0</v>
      </c>
      <c r="L13" s="91" t="s">
        <v>185</v>
      </c>
      <c r="M13" s="1070"/>
      <c r="N13" s="1070"/>
      <c r="O13" s="1070"/>
      <c r="P13" s="1070"/>
      <c r="Q13" s="1071"/>
      <c r="R13" s="1071"/>
      <c r="S13" s="1071"/>
      <c r="T13" s="1071"/>
      <c r="U13" s="277">
        <f t="shared" si="1"/>
        <v>0</v>
      </c>
      <c r="V13" s="409">
        <f>ROUND(+U13*24,C77)</f>
        <v>0</v>
      </c>
      <c r="W13" s="91" t="s">
        <v>185</v>
      </c>
      <c r="X13" s="1070"/>
      <c r="Y13" s="1070"/>
      <c r="Z13" s="1070"/>
      <c r="AA13" s="1070"/>
      <c r="AB13" s="1071"/>
      <c r="AC13" s="1071"/>
      <c r="AD13" s="1071"/>
      <c r="AE13" s="1071"/>
      <c r="AF13" s="277">
        <f t="shared" si="2"/>
        <v>0</v>
      </c>
      <c r="AG13" s="409">
        <f>ROUND(+AF13*24,C77)</f>
        <v>0</v>
      </c>
      <c r="AH13" s="91" t="s">
        <v>185</v>
      </c>
      <c r="AI13" s="1070"/>
      <c r="AJ13" s="1070"/>
      <c r="AK13" s="1070"/>
      <c r="AL13" s="1070"/>
      <c r="AM13" s="1071"/>
      <c r="AN13" s="1071"/>
      <c r="AO13" s="1071"/>
      <c r="AP13" s="1071"/>
      <c r="AQ13" s="277">
        <f t="shared" si="3"/>
        <v>0</v>
      </c>
      <c r="AR13" s="409">
        <f>ROUND(+AQ13*24,C77)</f>
        <v>0</v>
      </c>
      <c r="AS13" s="91" t="s">
        <v>185</v>
      </c>
      <c r="AT13" s="1070"/>
      <c r="AU13" s="1070"/>
      <c r="AV13" s="1070"/>
      <c r="AW13" s="1070"/>
      <c r="AX13" s="1071"/>
      <c r="AY13" s="1071"/>
      <c r="AZ13" s="1071"/>
      <c r="BA13" s="1071"/>
      <c r="BB13" s="277">
        <f t="shared" si="4"/>
        <v>0</v>
      </c>
      <c r="BC13" s="409">
        <f>ROUND(+BB13*24,C77)</f>
        <v>0</v>
      </c>
      <c r="BD13" s="91" t="s">
        <v>185</v>
      </c>
      <c r="BE13" s="1070"/>
      <c r="BF13" s="1070"/>
      <c r="BG13" s="1070"/>
      <c r="BH13" s="1070"/>
      <c r="BI13" s="1071"/>
      <c r="BJ13" s="1071"/>
      <c r="BK13" s="1071"/>
      <c r="BL13" s="1071"/>
      <c r="BM13" s="277">
        <f t="shared" si="5"/>
        <v>0</v>
      </c>
      <c r="BN13" s="409">
        <f>ROUND(+BM13*24,C77)</f>
        <v>0</v>
      </c>
      <c r="BO13" s="91" t="s">
        <v>185</v>
      </c>
      <c r="BP13" s="1070"/>
      <c r="BQ13" s="1070"/>
      <c r="BR13" s="1070"/>
      <c r="BS13" s="1070"/>
      <c r="BT13" s="1071"/>
      <c r="BU13" s="1071"/>
      <c r="BV13" s="1071"/>
      <c r="BW13" s="1071"/>
      <c r="BX13" s="277">
        <f t="shared" si="6"/>
        <v>0</v>
      </c>
      <c r="BY13" s="409">
        <f>ROUND(+BX13*24,C77)</f>
        <v>0</v>
      </c>
      <c r="BZ13" s="91" t="s">
        <v>185</v>
      </c>
      <c r="CA13" s="1070"/>
      <c r="CB13" s="1070"/>
      <c r="CC13" s="1070"/>
      <c r="CD13" s="1070"/>
      <c r="CE13" s="1071"/>
      <c r="CF13" s="1071"/>
      <c r="CG13" s="1071"/>
      <c r="CH13" s="1071"/>
      <c r="CI13" s="277">
        <f t="shared" si="7"/>
        <v>0</v>
      </c>
      <c r="CJ13" s="409">
        <f>ROUND(+CI13*24,C77)</f>
        <v>0</v>
      </c>
    </row>
    <row r="14" spans="1:132" s="16" customFormat="1" x14ac:dyDescent="0.2">
      <c r="B14" s="1666" t="s">
        <v>507</v>
      </c>
      <c r="C14" s="1667"/>
      <c r="D14" s="1667"/>
      <c r="E14" s="1667"/>
      <c r="F14" s="1667"/>
      <c r="G14" s="1667"/>
      <c r="H14" s="1667"/>
      <c r="I14" s="1667"/>
      <c r="J14" s="1668"/>
      <c r="K14" s="409">
        <f>SUM(K7:K13)</f>
        <v>0</v>
      </c>
      <c r="M14" s="1666" t="s">
        <v>507</v>
      </c>
      <c r="N14" s="1667"/>
      <c r="O14" s="1667"/>
      <c r="P14" s="1667"/>
      <c r="Q14" s="1667"/>
      <c r="R14" s="1667"/>
      <c r="S14" s="1667"/>
      <c r="T14" s="1667"/>
      <c r="U14" s="1668"/>
      <c r="V14" s="409">
        <f>SUM(V7:V13)</f>
        <v>0</v>
      </c>
      <c r="X14" s="1666" t="s">
        <v>507</v>
      </c>
      <c r="Y14" s="1667"/>
      <c r="Z14" s="1667"/>
      <c r="AA14" s="1667"/>
      <c r="AB14" s="1667"/>
      <c r="AC14" s="1667"/>
      <c r="AD14" s="1667"/>
      <c r="AE14" s="1667"/>
      <c r="AF14" s="1668"/>
      <c r="AG14" s="409">
        <f>SUM(AG7:AG13)</f>
        <v>0</v>
      </c>
      <c r="AI14" s="1666" t="s">
        <v>507</v>
      </c>
      <c r="AJ14" s="1667"/>
      <c r="AK14" s="1667"/>
      <c r="AL14" s="1667"/>
      <c r="AM14" s="1667"/>
      <c r="AN14" s="1667"/>
      <c r="AO14" s="1667"/>
      <c r="AP14" s="1667"/>
      <c r="AQ14" s="1668"/>
      <c r="AR14" s="409">
        <f>SUM(AR7:AR13)</f>
        <v>0</v>
      </c>
      <c r="AT14" s="1666" t="s">
        <v>507</v>
      </c>
      <c r="AU14" s="1667"/>
      <c r="AV14" s="1667"/>
      <c r="AW14" s="1667"/>
      <c r="AX14" s="1667"/>
      <c r="AY14" s="1667"/>
      <c r="AZ14" s="1667"/>
      <c r="BA14" s="1667"/>
      <c r="BB14" s="1668"/>
      <c r="BC14" s="409">
        <f>SUM(BC7:BC13)</f>
        <v>0</v>
      </c>
      <c r="BE14" s="1666" t="s">
        <v>507</v>
      </c>
      <c r="BF14" s="1667"/>
      <c r="BG14" s="1667"/>
      <c r="BH14" s="1667"/>
      <c r="BI14" s="1667"/>
      <c r="BJ14" s="1667"/>
      <c r="BK14" s="1667"/>
      <c r="BL14" s="1667"/>
      <c r="BM14" s="1668"/>
      <c r="BN14" s="409">
        <f>SUM(BN7:BN13)</f>
        <v>0</v>
      </c>
      <c r="BP14" s="1666" t="s">
        <v>507</v>
      </c>
      <c r="BQ14" s="1667"/>
      <c r="BR14" s="1667"/>
      <c r="BS14" s="1667"/>
      <c r="BT14" s="1667"/>
      <c r="BU14" s="1667"/>
      <c r="BV14" s="1667"/>
      <c r="BW14" s="1667"/>
      <c r="BX14" s="1668"/>
      <c r="BY14" s="409">
        <f>SUM(BY7:BY13)</f>
        <v>0</v>
      </c>
      <c r="CA14" s="1666" t="s">
        <v>507</v>
      </c>
      <c r="CB14" s="1667"/>
      <c r="CC14" s="1667"/>
      <c r="CD14" s="1667"/>
      <c r="CE14" s="1667"/>
      <c r="CF14" s="1667"/>
      <c r="CG14" s="1667"/>
      <c r="CH14" s="1667"/>
      <c r="CI14" s="1668"/>
      <c r="CJ14" s="409">
        <f>SUM(CJ7:CJ13)</f>
        <v>0</v>
      </c>
    </row>
    <row r="15" spans="1:132" s="16" customFormat="1" x14ac:dyDescent="0.2"/>
    <row r="16" spans="1:132" s="16" customFormat="1" x14ac:dyDescent="0.2">
      <c r="B16" s="1666" t="str">
        <f>+IF(K17=0,"Nombre d'heures :","Nombre d'heures (Inf. ou égales à 45 hrs / sem) :")</f>
        <v>Nombre d'heures :</v>
      </c>
      <c r="C16" s="1667"/>
      <c r="D16" s="1667"/>
      <c r="E16" s="1667"/>
      <c r="F16" s="1667"/>
      <c r="G16" s="1667"/>
      <c r="H16" s="1667"/>
      <c r="I16" s="1667"/>
      <c r="J16" s="1668"/>
      <c r="K16" s="157">
        <f>+IF(K14&gt;=45,45,K14)</f>
        <v>0</v>
      </c>
      <c r="M16" s="1666" t="str">
        <f>+IF(V17=0,"Nombre d'heures :","Nombre d'heures (Inf. ou égales à 45 hrs / sem) :")</f>
        <v>Nombre d'heures :</v>
      </c>
      <c r="N16" s="1667"/>
      <c r="O16" s="1667"/>
      <c r="P16" s="1667"/>
      <c r="Q16" s="1667"/>
      <c r="R16" s="1667"/>
      <c r="S16" s="1667"/>
      <c r="T16" s="1667"/>
      <c r="U16" s="1668"/>
      <c r="V16" s="157">
        <f>+IF(V14&gt;=45,45,V14)</f>
        <v>0</v>
      </c>
      <c r="X16" s="1666" t="str">
        <f>+IF(AG17=0,"Nombre d'heures :","Nombre d'heures (Inf. ou égales à 45 hrs / sem) :")</f>
        <v>Nombre d'heures :</v>
      </c>
      <c r="Y16" s="1667"/>
      <c r="Z16" s="1667"/>
      <c r="AA16" s="1667"/>
      <c r="AB16" s="1667"/>
      <c r="AC16" s="1667"/>
      <c r="AD16" s="1667"/>
      <c r="AE16" s="1667"/>
      <c r="AF16" s="1668"/>
      <c r="AG16" s="157">
        <f>+IF(AG14&gt;=45,45,AG14)</f>
        <v>0</v>
      </c>
      <c r="AI16" s="1666" t="str">
        <f>+IF(AR17=0,"Nombre d'heures :","Nombre d'heures (Inf. ou égales à 45 hrs / sem) :")</f>
        <v>Nombre d'heures :</v>
      </c>
      <c r="AJ16" s="1667"/>
      <c r="AK16" s="1667"/>
      <c r="AL16" s="1667"/>
      <c r="AM16" s="1667"/>
      <c r="AN16" s="1667"/>
      <c r="AO16" s="1667"/>
      <c r="AP16" s="1667"/>
      <c r="AQ16" s="1668"/>
      <c r="AR16" s="157">
        <f>+IF(AR14&gt;=45,45,AR14)</f>
        <v>0</v>
      </c>
      <c r="AT16" s="1666" t="str">
        <f>+IF(BC17=0,"Nombre d'heures :","Nombre d'heures (Inf. ou égales à 45 hrs / sem) :")</f>
        <v>Nombre d'heures :</v>
      </c>
      <c r="AU16" s="1667"/>
      <c r="AV16" s="1667"/>
      <c r="AW16" s="1667"/>
      <c r="AX16" s="1667"/>
      <c r="AY16" s="1667"/>
      <c r="AZ16" s="1667"/>
      <c r="BA16" s="1667"/>
      <c r="BB16" s="1668"/>
      <c r="BC16" s="157">
        <f>+IF(BC14&gt;=45,45,BC14)</f>
        <v>0</v>
      </c>
      <c r="BE16" s="1666" t="str">
        <f>+IF(BN17=0,"Nombre d'heures :","Nombre d'heures (Inf. ou égales à 45 hrs / sem) :")</f>
        <v>Nombre d'heures :</v>
      </c>
      <c r="BF16" s="1667"/>
      <c r="BG16" s="1667"/>
      <c r="BH16" s="1667"/>
      <c r="BI16" s="1667"/>
      <c r="BJ16" s="1667"/>
      <c r="BK16" s="1667"/>
      <c r="BL16" s="1667"/>
      <c r="BM16" s="1668"/>
      <c r="BN16" s="157">
        <f>+IF(BN14&gt;=45,45,BN14)</f>
        <v>0</v>
      </c>
      <c r="BP16" s="1666" t="str">
        <f>+IF(BY17=0,"Nombre d'heures :","Nombre d'heures (Inf. ou égales à 45 hrs / sem) :")</f>
        <v>Nombre d'heures :</v>
      </c>
      <c r="BQ16" s="1667"/>
      <c r="BR16" s="1667"/>
      <c r="BS16" s="1667"/>
      <c r="BT16" s="1667"/>
      <c r="BU16" s="1667"/>
      <c r="BV16" s="1667"/>
      <c r="BW16" s="1667"/>
      <c r="BX16" s="1668"/>
      <c r="BY16" s="157">
        <f>+IF(BY14&gt;=45,45,BY14)</f>
        <v>0</v>
      </c>
      <c r="CA16" s="1666" t="str">
        <f>+IF(CJ17=0,"Nombre d'heures :","Nombre d'heures (Inf. ou égales à 45 hrs / sem) :")</f>
        <v>Nombre d'heures :</v>
      </c>
      <c r="CB16" s="1667"/>
      <c r="CC16" s="1667"/>
      <c r="CD16" s="1667"/>
      <c r="CE16" s="1667"/>
      <c r="CF16" s="1667"/>
      <c r="CG16" s="1667"/>
      <c r="CH16" s="1667"/>
      <c r="CI16" s="1668"/>
      <c r="CJ16" s="157">
        <f>+IF(CJ14&gt;=45,45,CJ14)</f>
        <v>0</v>
      </c>
    </row>
    <row r="17" spans="1:88" s="16" customFormat="1" x14ac:dyDescent="0.2">
      <c r="B17" s="1666" t="s">
        <v>836</v>
      </c>
      <c r="C17" s="1667"/>
      <c r="D17" s="1667"/>
      <c r="E17" s="1667"/>
      <c r="F17" s="1667"/>
      <c r="G17" s="1667"/>
      <c r="H17" s="1667"/>
      <c r="I17" s="1667"/>
      <c r="J17" s="1668"/>
      <c r="K17" s="157">
        <f>+IF(K14&gt;45,K14-45,0)</f>
        <v>0</v>
      </c>
      <c r="M17" s="1666" t="s">
        <v>836</v>
      </c>
      <c r="N17" s="1667"/>
      <c r="O17" s="1667"/>
      <c r="P17" s="1667"/>
      <c r="Q17" s="1667"/>
      <c r="R17" s="1667"/>
      <c r="S17" s="1667"/>
      <c r="T17" s="1667"/>
      <c r="U17" s="1668"/>
      <c r="V17" s="157">
        <f>+IF(V14&gt;45,V14-45,0)</f>
        <v>0</v>
      </c>
      <c r="X17" s="1666" t="s">
        <v>836</v>
      </c>
      <c r="Y17" s="1667"/>
      <c r="Z17" s="1667"/>
      <c r="AA17" s="1667"/>
      <c r="AB17" s="1667"/>
      <c r="AC17" s="1667"/>
      <c r="AD17" s="1667"/>
      <c r="AE17" s="1667"/>
      <c r="AF17" s="1668"/>
      <c r="AG17" s="157">
        <f>+IF(AG14&gt;45,AG14-45,0)</f>
        <v>0</v>
      </c>
      <c r="AI17" s="1666" t="s">
        <v>836</v>
      </c>
      <c r="AJ17" s="1667"/>
      <c r="AK17" s="1667"/>
      <c r="AL17" s="1667"/>
      <c r="AM17" s="1667"/>
      <c r="AN17" s="1667"/>
      <c r="AO17" s="1667"/>
      <c r="AP17" s="1667"/>
      <c r="AQ17" s="1668"/>
      <c r="AR17" s="157">
        <f>+IF(AR14&gt;45,AR14-45,0)</f>
        <v>0</v>
      </c>
      <c r="AT17" s="1666" t="s">
        <v>836</v>
      </c>
      <c r="AU17" s="1667"/>
      <c r="AV17" s="1667"/>
      <c r="AW17" s="1667"/>
      <c r="AX17" s="1667"/>
      <c r="AY17" s="1667"/>
      <c r="AZ17" s="1667"/>
      <c r="BA17" s="1667"/>
      <c r="BB17" s="1668"/>
      <c r="BC17" s="157">
        <f>+IF(BC14&gt;45,BC14-45,0)</f>
        <v>0</v>
      </c>
      <c r="BE17" s="1666" t="s">
        <v>836</v>
      </c>
      <c r="BF17" s="1667"/>
      <c r="BG17" s="1667"/>
      <c r="BH17" s="1667"/>
      <c r="BI17" s="1667"/>
      <c r="BJ17" s="1667"/>
      <c r="BK17" s="1667"/>
      <c r="BL17" s="1667"/>
      <c r="BM17" s="1668"/>
      <c r="BN17" s="157">
        <f>+IF(BN14&gt;45,BN14-45,0)</f>
        <v>0</v>
      </c>
      <c r="BP17" s="1666" t="s">
        <v>836</v>
      </c>
      <c r="BQ17" s="1667"/>
      <c r="BR17" s="1667"/>
      <c r="BS17" s="1667"/>
      <c r="BT17" s="1667"/>
      <c r="BU17" s="1667"/>
      <c r="BV17" s="1667"/>
      <c r="BW17" s="1667"/>
      <c r="BX17" s="1668"/>
      <c r="BY17" s="157">
        <f>+IF(BY14&gt;45,BY14-45,0)</f>
        <v>0</v>
      </c>
      <c r="CA17" s="1666" t="s">
        <v>836</v>
      </c>
      <c r="CB17" s="1667"/>
      <c r="CC17" s="1667"/>
      <c r="CD17" s="1667"/>
      <c r="CE17" s="1667"/>
      <c r="CF17" s="1667"/>
      <c r="CG17" s="1667"/>
      <c r="CH17" s="1667"/>
      <c r="CI17" s="1668"/>
      <c r="CJ17" s="157">
        <f>+IF(CJ14&gt;45,CJ14-45,0)</f>
        <v>0</v>
      </c>
    </row>
    <row r="18" spans="1:88" s="16" customFormat="1" x14ac:dyDescent="0.2"/>
    <row r="19" spans="1:88" s="16" customFormat="1" x14ac:dyDescent="0.2">
      <c r="B19" s="1666" t="s">
        <v>186</v>
      </c>
      <c r="C19" s="1667"/>
      <c r="D19" s="1667"/>
      <c r="E19" s="1667"/>
      <c r="F19" s="1667"/>
      <c r="G19" s="1667"/>
      <c r="H19" s="1667"/>
      <c r="I19" s="1667"/>
      <c r="J19" s="1668"/>
      <c r="K19" s="1072"/>
      <c r="M19" s="1666" t="s">
        <v>186</v>
      </c>
      <c r="N19" s="1667"/>
      <c r="O19" s="1667"/>
      <c r="P19" s="1667"/>
      <c r="Q19" s="1667"/>
      <c r="R19" s="1667"/>
      <c r="S19" s="1667"/>
      <c r="T19" s="1667"/>
      <c r="U19" s="1668"/>
      <c r="V19" s="1072"/>
      <c r="X19" s="1666" t="s">
        <v>186</v>
      </c>
      <c r="Y19" s="1667"/>
      <c r="Z19" s="1667"/>
      <c r="AA19" s="1667"/>
      <c r="AB19" s="1667"/>
      <c r="AC19" s="1667"/>
      <c r="AD19" s="1667"/>
      <c r="AE19" s="1667"/>
      <c r="AF19" s="1668"/>
      <c r="AG19" s="1072"/>
      <c r="AI19" s="1666" t="s">
        <v>186</v>
      </c>
      <c r="AJ19" s="1667"/>
      <c r="AK19" s="1667"/>
      <c r="AL19" s="1667"/>
      <c r="AM19" s="1667"/>
      <c r="AN19" s="1667"/>
      <c r="AO19" s="1667"/>
      <c r="AP19" s="1667"/>
      <c r="AQ19" s="1668"/>
      <c r="AR19" s="1072"/>
      <c r="AT19" s="1666" t="s">
        <v>186</v>
      </c>
      <c r="AU19" s="1667"/>
      <c r="AV19" s="1667"/>
      <c r="AW19" s="1667"/>
      <c r="AX19" s="1667"/>
      <c r="AY19" s="1667"/>
      <c r="AZ19" s="1667"/>
      <c r="BA19" s="1667"/>
      <c r="BB19" s="1668"/>
      <c r="BC19" s="1072"/>
      <c r="BE19" s="1666" t="s">
        <v>186</v>
      </c>
      <c r="BF19" s="1667"/>
      <c r="BG19" s="1667"/>
      <c r="BH19" s="1667"/>
      <c r="BI19" s="1667"/>
      <c r="BJ19" s="1667"/>
      <c r="BK19" s="1667"/>
      <c r="BL19" s="1667"/>
      <c r="BM19" s="1668"/>
      <c r="BN19" s="1072"/>
      <c r="BP19" s="1666" t="s">
        <v>186</v>
      </c>
      <c r="BQ19" s="1667"/>
      <c r="BR19" s="1667"/>
      <c r="BS19" s="1667"/>
      <c r="BT19" s="1667"/>
      <c r="BU19" s="1667"/>
      <c r="BV19" s="1667"/>
      <c r="BW19" s="1667"/>
      <c r="BX19" s="1668"/>
      <c r="BY19" s="1072"/>
      <c r="CA19" s="1666" t="s">
        <v>186</v>
      </c>
      <c r="CB19" s="1667"/>
      <c r="CC19" s="1667"/>
      <c r="CD19" s="1667"/>
      <c r="CE19" s="1667"/>
      <c r="CF19" s="1667"/>
      <c r="CG19" s="1667"/>
      <c r="CH19" s="1667"/>
      <c r="CI19" s="1668"/>
      <c r="CJ19" s="1072"/>
    </row>
    <row r="20" spans="1:88" s="16" customFormat="1" x14ac:dyDescent="0.2"/>
    <row r="21" spans="1:88" s="16" customFormat="1" x14ac:dyDescent="0.2">
      <c r="B21" s="1666" t="str">
        <f>+IF(K22=0,"Total annuel heures :","Total annuel heures (Inf. ou égales à 45 hrs / sem) :")</f>
        <v>Total annuel heures :</v>
      </c>
      <c r="C21" s="1667"/>
      <c r="D21" s="1667"/>
      <c r="E21" s="1667"/>
      <c r="F21" s="1667"/>
      <c r="G21" s="1667"/>
      <c r="H21" s="1667"/>
      <c r="I21" s="1667"/>
      <c r="J21" s="1668"/>
      <c r="K21" s="157">
        <f>+K16*K19</f>
        <v>0</v>
      </c>
      <c r="M21" s="1666" t="str">
        <f>+IF(V22=0,"Total annuel heures :","Total annuel heures (Inf. ou égales à 45 hrs / sem) :")</f>
        <v>Total annuel heures :</v>
      </c>
      <c r="N21" s="1667"/>
      <c r="O21" s="1667"/>
      <c r="P21" s="1667"/>
      <c r="Q21" s="1667"/>
      <c r="R21" s="1667"/>
      <c r="S21" s="1667"/>
      <c r="T21" s="1667"/>
      <c r="U21" s="1668"/>
      <c r="V21" s="157">
        <f>+V16*V19</f>
        <v>0</v>
      </c>
      <c r="X21" s="1666" t="str">
        <f>+IF(AG22=0,"Total annuel heures :","Total annuel heures (Inf. ou égales à 45 hrs / sem) :")</f>
        <v>Total annuel heures :</v>
      </c>
      <c r="Y21" s="1667"/>
      <c r="Z21" s="1667"/>
      <c r="AA21" s="1667"/>
      <c r="AB21" s="1667"/>
      <c r="AC21" s="1667"/>
      <c r="AD21" s="1667"/>
      <c r="AE21" s="1667"/>
      <c r="AF21" s="1668"/>
      <c r="AG21" s="157">
        <f>+AG16*AG19</f>
        <v>0</v>
      </c>
      <c r="AI21" s="1666" t="str">
        <f>+IF(AR22=0,"Total annuel heures :","Total annuel heures (Inf. ou égales à 45 hrs / sem) :")</f>
        <v>Total annuel heures :</v>
      </c>
      <c r="AJ21" s="1667"/>
      <c r="AK21" s="1667"/>
      <c r="AL21" s="1667"/>
      <c r="AM21" s="1667"/>
      <c r="AN21" s="1667"/>
      <c r="AO21" s="1667"/>
      <c r="AP21" s="1667"/>
      <c r="AQ21" s="1668"/>
      <c r="AR21" s="157">
        <f>+AR16*AR19</f>
        <v>0</v>
      </c>
      <c r="AT21" s="1666" t="str">
        <f>+IF(BC22=0,"Total annuel heures :","Total annuel heures (Inf. ou égales à 45 hrs / sem) :")</f>
        <v>Total annuel heures :</v>
      </c>
      <c r="AU21" s="1667"/>
      <c r="AV21" s="1667"/>
      <c r="AW21" s="1667"/>
      <c r="AX21" s="1667"/>
      <c r="AY21" s="1667"/>
      <c r="AZ21" s="1667"/>
      <c r="BA21" s="1667"/>
      <c r="BB21" s="1668"/>
      <c r="BC21" s="157">
        <f>+BC16*BC19</f>
        <v>0</v>
      </c>
      <c r="BE21" s="1666" t="str">
        <f>+IF(BN22=0,"Total annuel heures :","Total annuel heures (Inf. ou égales à 45 hrs / sem) :")</f>
        <v>Total annuel heures :</v>
      </c>
      <c r="BF21" s="1667"/>
      <c r="BG21" s="1667"/>
      <c r="BH21" s="1667"/>
      <c r="BI21" s="1667"/>
      <c r="BJ21" s="1667"/>
      <c r="BK21" s="1667"/>
      <c r="BL21" s="1667"/>
      <c r="BM21" s="1668"/>
      <c r="BN21" s="157">
        <f>+BN16*BN19</f>
        <v>0</v>
      </c>
      <c r="BP21" s="1666" t="str">
        <f>+IF(BY22=0,"Total annuel heures :","Total annuel heures (Inf. ou égales à 45 hrs / sem) :")</f>
        <v>Total annuel heures :</v>
      </c>
      <c r="BQ21" s="1667"/>
      <c r="BR21" s="1667"/>
      <c r="BS21" s="1667"/>
      <c r="BT21" s="1667"/>
      <c r="BU21" s="1667"/>
      <c r="BV21" s="1667"/>
      <c r="BW21" s="1667"/>
      <c r="BX21" s="1668"/>
      <c r="BY21" s="157">
        <f>+BY16*BY19</f>
        <v>0</v>
      </c>
      <c r="CA21" s="1666" t="str">
        <f>+IF(CJ22=0,"Total annuel heures :","Total annuel heures (Inf. ou égales à 45 hrs / sem) :")</f>
        <v>Total annuel heures :</v>
      </c>
      <c r="CB21" s="1667"/>
      <c r="CC21" s="1667"/>
      <c r="CD21" s="1667"/>
      <c r="CE21" s="1667"/>
      <c r="CF21" s="1667"/>
      <c r="CG21" s="1667"/>
      <c r="CH21" s="1667"/>
      <c r="CI21" s="1668"/>
      <c r="CJ21" s="157">
        <f>+CJ16*CJ19</f>
        <v>0</v>
      </c>
    </row>
    <row r="22" spans="1:88" s="16" customFormat="1" x14ac:dyDescent="0.2">
      <c r="B22" s="1666" t="s">
        <v>837</v>
      </c>
      <c r="C22" s="1667"/>
      <c r="D22" s="1667"/>
      <c r="E22" s="1667"/>
      <c r="F22" s="1667"/>
      <c r="G22" s="1667"/>
      <c r="H22" s="1667"/>
      <c r="I22" s="1667"/>
      <c r="J22" s="1668"/>
      <c r="K22" s="157">
        <f>+K17*K19</f>
        <v>0</v>
      </c>
      <c r="M22" s="1666" t="s">
        <v>837</v>
      </c>
      <c r="N22" s="1667"/>
      <c r="O22" s="1667"/>
      <c r="P22" s="1667"/>
      <c r="Q22" s="1667"/>
      <c r="R22" s="1667"/>
      <c r="S22" s="1667"/>
      <c r="T22" s="1667"/>
      <c r="U22" s="1668"/>
      <c r="V22" s="157">
        <f>+V17*V19</f>
        <v>0</v>
      </c>
      <c r="X22" s="1666" t="s">
        <v>837</v>
      </c>
      <c r="Y22" s="1667"/>
      <c r="Z22" s="1667"/>
      <c r="AA22" s="1667"/>
      <c r="AB22" s="1667"/>
      <c r="AC22" s="1667"/>
      <c r="AD22" s="1667"/>
      <c r="AE22" s="1667"/>
      <c r="AF22" s="1668"/>
      <c r="AG22" s="157">
        <f>+AG17*AG19</f>
        <v>0</v>
      </c>
      <c r="AI22" s="1666" t="s">
        <v>837</v>
      </c>
      <c r="AJ22" s="1667"/>
      <c r="AK22" s="1667"/>
      <c r="AL22" s="1667"/>
      <c r="AM22" s="1667"/>
      <c r="AN22" s="1667"/>
      <c r="AO22" s="1667"/>
      <c r="AP22" s="1667"/>
      <c r="AQ22" s="1668"/>
      <c r="AR22" s="157">
        <f>+AR17*AR19</f>
        <v>0</v>
      </c>
      <c r="AT22" s="1666" t="s">
        <v>837</v>
      </c>
      <c r="AU22" s="1667"/>
      <c r="AV22" s="1667"/>
      <c r="AW22" s="1667"/>
      <c r="AX22" s="1667"/>
      <c r="AY22" s="1667"/>
      <c r="AZ22" s="1667"/>
      <c r="BA22" s="1667"/>
      <c r="BB22" s="1668"/>
      <c r="BC22" s="157">
        <f>+BC17*BC19</f>
        <v>0</v>
      </c>
      <c r="BE22" s="1666" t="s">
        <v>837</v>
      </c>
      <c r="BF22" s="1667"/>
      <c r="BG22" s="1667"/>
      <c r="BH22" s="1667"/>
      <c r="BI22" s="1667"/>
      <c r="BJ22" s="1667"/>
      <c r="BK22" s="1667"/>
      <c r="BL22" s="1667"/>
      <c r="BM22" s="1668"/>
      <c r="BN22" s="157">
        <f>+BN17*BN19</f>
        <v>0</v>
      </c>
      <c r="BP22" s="1666" t="s">
        <v>837</v>
      </c>
      <c r="BQ22" s="1667"/>
      <c r="BR22" s="1667"/>
      <c r="BS22" s="1667"/>
      <c r="BT22" s="1667"/>
      <c r="BU22" s="1667"/>
      <c r="BV22" s="1667"/>
      <c r="BW22" s="1667"/>
      <c r="BX22" s="1668"/>
      <c r="BY22" s="157">
        <f>+BY17*BY19</f>
        <v>0</v>
      </c>
      <c r="CA22" s="1666" t="s">
        <v>837</v>
      </c>
      <c r="CB22" s="1667"/>
      <c r="CC22" s="1667"/>
      <c r="CD22" s="1667"/>
      <c r="CE22" s="1667"/>
      <c r="CF22" s="1667"/>
      <c r="CG22" s="1667"/>
      <c r="CH22" s="1667"/>
      <c r="CI22" s="1668"/>
      <c r="CJ22" s="157">
        <f>+CJ17*CJ19</f>
        <v>0</v>
      </c>
    </row>
    <row r="23" spans="1:88" s="16" customFormat="1" x14ac:dyDescent="0.2"/>
    <row r="24" spans="1:88" s="16" customFormat="1" x14ac:dyDescent="0.2">
      <c r="B24" s="1666" t="s">
        <v>187</v>
      </c>
      <c r="C24" s="1667"/>
      <c r="D24" s="1667"/>
      <c r="E24" s="1667"/>
      <c r="F24" s="1667"/>
      <c r="G24" s="1667"/>
      <c r="H24" s="1667"/>
      <c r="I24" s="1667"/>
      <c r="J24" s="1668"/>
      <c r="K24" s="278">
        <f>+COUNTIF(K7:K13,"&gt;0,001")*K19</f>
        <v>0</v>
      </c>
      <c r="M24" s="1666" t="s">
        <v>187</v>
      </c>
      <c r="N24" s="1667"/>
      <c r="O24" s="1667"/>
      <c r="P24" s="1667"/>
      <c r="Q24" s="1667"/>
      <c r="R24" s="1667"/>
      <c r="S24" s="1667"/>
      <c r="T24" s="1667"/>
      <c r="U24" s="1668"/>
      <c r="V24" s="278">
        <f>+COUNTIF(V7:V13,"&gt;0,001")*V19</f>
        <v>0</v>
      </c>
      <c r="X24" s="1666" t="s">
        <v>187</v>
      </c>
      <c r="Y24" s="1667"/>
      <c r="Z24" s="1667"/>
      <c r="AA24" s="1667"/>
      <c r="AB24" s="1667"/>
      <c r="AC24" s="1667"/>
      <c r="AD24" s="1667"/>
      <c r="AE24" s="1667"/>
      <c r="AF24" s="1668"/>
      <c r="AG24" s="278">
        <f>+COUNTIF(AG7:AG13,"&gt;0,001")*AG19</f>
        <v>0</v>
      </c>
      <c r="AI24" s="1666" t="s">
        <v>187</v>
      </c>
      <c r="AJ24" s="1667"/>
      <c r="AK24" s="1667"/>
      <c r="AL24" s="1667"/>
      <c r="AM24" s="1667"/>
      <c r="AN24" s="1667"/>
      <c r="AO24" s="1667"/>
      <c r="AP24" s="1667"/>
      <c r="AQ24" s="1668"/>
      <c r="AR24" s="278">
        <f>+COUNTIF(AR7:AR13,"&gt;0,001")*AR19</f>
        <v>0</v>
      </c>
      <c r="AT24" s="1666" t="s">
        <v>187</v>
      </c>
      <c r="AU24" s="1667"/>
      <c r="AV24" s="1667"/>
      <c r="AW24" s="1667"/>
      <c r="AX24" s="1667"/>
      <c r="AY24" s="1667"/>
      <c r="AZ24" s="1667"/>
      <c r="BA24" s="1667"/>
      <c r="BB24" s="1668"/>
      <c r="BC24" s="278">
        <f>+COUNTIF(BC7:BC13,"&gt;0,001")*BC19</f>
        <v>0</v>
      </c>
      <c r="BE24" s="1666" t="s">
        <v>187</v>
      </c>
      <c r="BF24" s="1667"/>
      <c r="BG24" s="1667"/>
      <c r="BH24" s="1667"/>
      <c r="BI24" s="1667"/>
      <c r="BJ24" s="1667"/>
      <c r="BK24" s="1667"/>
      <c r="BL24" s="1667"/>
      <c r="BM24" s="1668"/>
      <c r="BN24" s="278">
        <f>+COUNTIF(BN7:BN13,"&gt;0,001")*BN19</f>
        <v>0</v>
      </c>
      <c r="BP24" s="1666" t="s">
        <v>187</v>
      </c>
      <c r="BQ24" s="1667"/>
      <c r="BR24" s="1667"/>
      <c r="BS24" s="1667"/>
      <c r="BT24" s="1667"/>
      <c r="BU24" s="1667"/>
      <c r="BV24" s="1667"/>
      <c r="BW24" s="1667"/>
      <c r="BX24" s="1668"/>
      <c r="BY24" s="278">
        <f>+COUNTIF(BY7:BY13,"&gt;0,001")*BY19</f>
        <v>0</v>
      </c>
      <c r="CA24" s="1666" t="s">
        <v>187</v>
      </c>
      <c r="CB24" s="1667"/>
      <c r="CC24" s="1667"/>
      <c r="CD24" s="1667"/>
      <c r="CE24" s="1667"/>
      <c r="CF24" s="1667"/>
      <c r="CG24" s="1667"/>
      <c r="CH24" s="1667"/>
      <c r="CI24" s="1668"/>
      <c r="CJ24" s="278">
        <f>+COUNTIF(CJ7:CJ13,"&gt;0,001")*CJ19</f>
        <v>0</v>
      </c>
    </row>
    <row r="25" spans="1:88" s="16" customFormat="1" x14ac:dyDescent="0.2">
      <c r="D25" s="29"/>
      <c r="E25" s="149"/>
      <c r="F25" s="149"/>
      <c r="G25" s="149"/>
      <c r="H25" s="149"/>
      <c r="I25" s="149"/>
      <c r="M25" s="29"/>
      <c r="N25" s="149"/>
      <c r="V25" s="29"/>
      <c r="W25" s="149"/>
      <c r="AA25" s="29"/>
      <c r="AB25" s="29"/>
      <c r="AC25" s="29"/>
      <c r="AD25" s="29"/>
      <c r="AE25" s="29"/>
      <c r="AF25" s="149"/>
      <c r="AJ25" s="29"/>
      <c r="AK25" s="149"/>
      <c r="AS25" s="29"/>
      <c r="AT25" s="149"/>
      <c r="BB25" s="29"/>
      <c r="BC25" s="149"/>
      <c r="BG25" s="29"/>
      <c r="BH25" s="149"/>
      <c r="BI25" s="149"/>
      <c r="BJ25" s="149"/>
      <c r="BK25" s="149"/>
      <c r="BL25" s="149"/>
    </row>
    <row r="26" spans="1:88" s="16" customFormat="1" x14ac:dyDescent="0.2"/>
    <row r="27" spans="1:88" s="16" customFormat="1" ht="18.75" x14ac:dyDescent="0.3">
      <c r="A27" s="1694" t="s">
        <v>188</v>
      </c>
      <c r="B27" s="1695"/>
      <c r="C27" s="1695"/>
      <c r="D27" s="1695"/>
      <c r="E27" s="1696"/>
      <c r="F27" s="279"/>
      <c r="G27" s="279"/>
      <c r="H27" s="279"/>
      <c r="I27" s="279"/>
    </row>
    <row r="28" spans="1:88" s="16" customFormat="1" x14ac:dyDescent="0.2"/>
    <row r="29" spans="1:88" s="16" customFormat="1" x14ac:dyDescent="0.2">
      <c r="D29" s="29" t="s">
        <v>186</v>
      </c>
      <c r="E29" s="165">
        <f>+K19+V19+AG19+AR19+BC19+BN19+BY19+CJ19</f>
        <v>0</v>
      </c>
      <c r="F29" s="165"/>
      <c r="G29" s="165"/>
      <c r="H29" s="165"/>
      <c r="I29" s="165"/>
      <c r="M29" s="29" t="s">
        <v>189</v>
      </c>
      <c r="N29" s="66" t="e">
        <f>+IF(Identification!B66="NON",VLOOKUP(O29,Identification!A71:B74,2,TRUE),VLOOKUP(O29,Identification!A78:B81,2,TRUE))</f>
        <v>#N/A</v>
      </c>
      <c r="O29" s="30">
        <f>+K1</f>
        <v>0</v>
      </c>
    </row>
    <row r="30" spans="1:88" s="16" customFormat="1" x14ac:dyDescent="0.2">
      <c r="W30" s="475" t="str">
        <f>+IF(AND(N31="OUI",W31="OUI"),"ERREUR, on ne doit pas avoir OUI dans les deux cases concernant les Avances","")</f>
        <v/>
      </c>
    </row>
    <row r="31" spans="1:88" s="16" customFormat="1" ht="15" x14ac:dyDescent="0.25">
      <c r="D31" s="29" t="s">
        <v>190</v>
      </c>
      <c r="E31" s="1175" t="str">
        <f>+IF(E29=52,"COMPLETE", IF(AND(0&lt;E29,E29&lt;47),"INCOMPLETE",IF(E29=0,"","ERREUR")))</f>
        <v/>
      </c>
      <c r="F31" s="280"/>
      <c r="G31" s="280"/>
      <c r="H31" s="280"/>
      <c r="I31" s="280"/>
      <c r="K31" s="24"/>
      <c r="L31" s="24"/>
      <c r="M31" s="181" t="s">
        <v>1427</v>
      </c>
      <c r="N31" s="1027" t="s">
        <v>137</v>
      </c>
      <c r="O31" s="24"/>
      <c r="P31" s="24"/>
      <c r="Q31" s="24"/>
      <c r="R31" s="24"/>
      <c r="S31" s="24"/>
      <c r="T31" s="24"/>
      <c r="U31" s="24"/>
      <c r="V31" s="181" t="s">
        <v>1428</v>
      </c>
      <c r="W31" s="1027" t="s">
        <v>137</v>
      </c>
      <c r="X31" s="24"/>
    </row>
    <row r="32" spans="1:88" s="16" customFormat="1" x14ac:dyDescent="0.2">
      <c r="K32" s="1028"/>
      <c r="L32" s="1028"/>
      <c r="M32" s="1029" t="s">
        <v>913</v>
      </c>
      <c r="N32" s="24"/>
      <c r="O32" s="24"/>
      <c r="P32" s="24"/>
      <c r="Q32" s="24"/>
      <c r="R32" s="24"/>
      <c r="S32" s="24"/>
      <c r="T32" s="24"/>
      <c r="U32" s="24"/>
      <c r="V32" s="1030" t="s">
        <v>903</v>
      </c>
      <c r="W32" s="24"/>
      <c r="X32" s="24"/>
    </row>
    <row r="33" spans="1:36" s="16" customFormat="1" ht="15.75" thickBot="1" x14ac:dyDescent="0.3">
      <c r="D33" s="281" t="s">
        <v>506</v>
      </c>
      <c r="E33" s="280">
        <f>+IF(E29=52,52, IF(E29&lt;47,E29,"ERREUR"))</f>
        <v>0</v>
      </c>
      <c r="F33" s="280"/>
      <c r="G33" s="280"/>
      <c r="H33" s="280"/>
      <c r="I33" s="280"/>
      <c r="K33" s="468"/>
      <c r="L33" s="468"/>
      <c r="M33" s="469"/>
      <c r="V33" s="470"/>
    </row>
    <row r="34" spans="1:36" s="16" customFormat="1" ht="13.5" thickBot="1" x14ac:dyDescent="0.25">
      <c r="M34" s="29" t="s">
        <v>838</v>
      </c>
      <c r="N34" s="1606">
        <v>0.1</v>
      </c>
      <c r="V34" s="29" t="s">
        <v>902</v>
      </c>
      <c r="W34" s="1606">
        <v>0</v>
      </c>
    </row>
    <row r="35" spans="1:36" s="16" customFormat="1" ht="15" x14ac:dyDescent="0.25">
      <c r="D35" s="29" t="s">
        <v>1439</v>
      </c>
      <c r="E35" s="1073"/>
      <c r="I35" s="280"/>
      <c r="K35" s="377"/>
      <c r="L35" s="377"/>
      <c r="M35" s="377"/>
      <c r="N35" s="377"/>
      <c r="O35" s="377"/>
      <c r="P35" s="377"/>
      <c r="Q35" s="377"/>
      <c r="R35" s="377"/>
      <c r="S35" s="377"/>
      <c r="T35" s="377"/>
      <c r="U35" s="377"/>
      <c r="V35" s="377"/>
      <c r="W35" s="24">
        <f>+E35*(1+W34)</f>
        <v>0</v>
      </c>
      <c r="X35" s="377"/>
    </row>
    <row r="36" spans="1:36" s="16" customFormat="1" x14ac:dyDescent="0.2">
      <c r="D36" s="29"/>
      <c r="J36" s="24"/>
      <c r="K36" s="24"/>
      <c r="L36" s="24"/>
      <c r="M36" s="181" t="s">
        <v>191</v>
      </c>
      <c r="N36" s="282">
        <f>+IF(Identification!B3=S.CAL!AY2,E35*(1+N34),E35)</f>
        <v>0</v>
      </c>
      <c r="O36" s="24"/>
      <c r="P36" s="24"/>
      <c r="Q36" s="24"/>
      <c r="R36" s="24"/>
      <c r="S36" s="24"/>
      <c r="T36" s="24"/>
      <c r="U36" s="24"/>
      <c r="V36" s="24"/>
      <c r="W36" s="24"/>
      <c r="X36" s="377"/>
    </row>
    <row r="37" spans="1:36" s="16" customFormat="1" x14ac:dyDescent="0.2">
      <c r="D37" s="29" t="s">
        <v>1440</v>
      </c>
      <c r="E37" s="283" t="e">
        <f>+E35*N29</f>
        <v>#N/A</v>
      </c>
      <c r="F37" s="283"/>
      <c r="G37" s="283"/>
      <c r="H37" s="283"/>
      <c r="I37" s="283"/>
      <c r="J37" s="24"/>
      <c r="K37" s="24"/>
      <c r="L37" s="24"/>
      <c r="M37" s="24"/>
      <c r="N37" s="24"/>
      <c r="O37" s="24"/>
      <c r="P37" s="24"/>
      <c r="Q37" s="24"/>
      <c r="R37" s="24"/>
      <c r="S37" s="24"/>
      <c r="T37" s="24"/>
      <c r="U37" s="24"/>
      <c r="V37" s="24"/>
      <c r="W37" s="24"/>
      <c r="X37" s="377"/>
    </row>
    <row r="38" spans="1:36" s="16" customFormat="1" x14ac:dyDescent="0.2">
      <c r="D38" s="29"/>
      <c r="E38" s="283"/>
      <c r="F38" s="283"/>
      <c r="G38" s="283"/>
      <c r="H38" s="283"/>
      <c r="I38" s="283"/>
      <c r="M38" s="29"/>
      <c r="N38" s="284"/>
      <c r="V38" s="29" t="s">
        <v>1696</v>
      </c>
      <c r="W38" s="1587" t="str">
        <f>+IF(Y38&lt;&gt;"",Y38,IF(E31="INCOMPLETE","OUI","NON"))</f>
        <v>NON</v>
      </c>
      <c r="X38" s="1588" t="s">
        <v>1694</v>
      </c>
      <c r="Y38" s="1589"/>
    </row>
    <row r="39" spans="1:36" s="16" customFormat="1" ht="15.75" x14ac:dyDescent="0.25">
      <c r="D39" s="29" t="str">
        <f>+IF(E40=0,"Total annuel heures :","Total annuel heures (Inf. ou égales à 45 hrs / sem) :")</f>
        <v>Total annuel heures :</v>
      </c>
      <c r="E39" s="149">
        <f>IF(E29,(K21+V21+AG21+AR21+BC21+BN21+BY21+CJ21)*E33/E29,0)</f>
        <v>0</v>
      </c>
      <c r="F39" s="149"/>
      <c r="G39" s="149"/>
      <c r="H39" s="149"/>
      <c r="I39" s="149"/>
      <c r="K39" s="24"/>
      <c r="L39" s="24"/>
      <c r="M39" s="24"/>
      <c r="N39" s="24"/>
      <c r="O39" s="181" t="s">
        <v>1429</v>
      </c>
      <c r="P39" s="24" t="s">
        <v>353</v>
      </c>
      <c r="Q39" s="24"/>
      <c r="R39" s="24"/>
      <c r="S39" s="24"/>
      <c r="T39" s="24"/>
      <c r="U39" s="1168" t="str">
        <f>+IF(AND(Identification!B3="Méthode 2",P39="Méthode 1"),"Vous avez choisi la méthode 2 pour le calcul des Heures Majorées dans la feuille Identification donc vous devez choisir la Méthode 1A pour le calcul de la retenue","")</f>
        <v>Vous avez choisi la méthode 2 pour le calcul des Heures Majorées dans la feuille Identification donc vous devez choisir la Méthode 1A pour le calcul de la retenue</v>
      </c>
      <c r="V39" s="24"/>
      <c r="W39" s="24"/>
      <c r="X39" s="24"/>
      <c r="Y39" s="24"/>
      <c r="Z39" s="24"/>
      <c r="AA39" s="24"/>
      <c r="AB39" s="24"/>
      <c r="AC39" s="24"/>
      <c r="AD39" s="24"/>
      <c r="AE39" s="24"/>
      <c r="AF39" s="24"/>
      <c r="AG39" s="24"/>
      <c r="AH39" s="24"/>
      <c r="AI39" s="24"/>
      <c r="AJ39" s="24"/>
    </row>
    <row r="40" spans="1:36" s="16" customFormat="1" x14ac:dyDescent="0.2">
      <c r="D40" s="29" t="s">
        <v>837</v>
      </c>
      <c r="E40" s="149">
        <f>IF(E29,(K22+V22+AG22+AR22+BC22+BN22+BY22+CJ22)*E33/E29,0)</f>
        <v>0</v>
      </c>
      <c r="F40" s="149"/>
      <c r="G40" s="149"/>
      <c r="H40" s="149"/>
      <c r="I40" s="149"/>
      <c r="K40" s="876"/>
      <c r="L40" s="876"/>
      <c r="M40" s="877"/>
      <c r="N40" s="878"/>
      <c r="O40" s="876"/>
      <c r="P40" s="1033" t="s">
        <v>1219</v>
      </c>
      <c r="Q40" s="880"/>
      <c r="R40" s="880"/>
      <c r="S40" s="880"/>
      <c r="T40" s="880"/>
      <c r="U40" s="1034" t="s">
        <v>353</v>
      </c>
      <c r="V40" s="1169" t="s">
        <v>1465</v>
      </c>
      <c r="W40" s="876"/>
      <c r="X40" s="876"/>
      <c r="Y40" s="876"/>
      <c r="Z40" s="876"/>
      <c r="AA40" s="24"/>
      <c r="AB40" s="24"/>
      <c r="AC40" s="24"/>
      <c r="AD40" s="24"/>
      <c r="AE40" s="24"/>
      <c r="AF40" s="24"/>
      <c r="AG40" s="24"/>
      <c r="AH40" s="24"/>
      <c r="AI40" s="24"/>
      <c r="AJ40" s="24"/>
    </row>
    <row r="41" spans="1:36" s="16" customFormat="1" x14ac:dyDescent="0.2">
      <c r="D41" s="29"/>
      <c r="E41" s="149"/>
      <c r="F41" s="149"/>
      <c r="G41" s="149"/>
      <c r="H41" s="149"/>
      <c r="I41" s="149"/>
      <c r="K41" s="876"/>
      <c r="L41" s="876"/>
      <c r="M41" s="876"/>
      <c r="N41" s="876"/>
      <c r="O41" s="876"/>
      <c r="P41" s="1033" t="s">
        <v>1220</v>
      </c>
      <c r="Q41" s="880"/>
      <c r="R41" s="880"/>
      <c r="S41" s="880"/>
      <c r="T41" s="880"/>
      <c r="U41" s="880"/>
      <c r="V41" s="1169" t="s">
        <v>1466</v>
      </c>
      <c r="W41" s="876"/>
      <c r="X41" s="876"/>
      <c r="Y41" s="876"/>
      <c r="Z41" s="876"/>
      <c r="AA41" s="24"/>
      <c r="AB41" s="24"/>
      <c r="AC41" s="24"/>
      <c r="AD41" s="24"/>
      <c r="AE41" s="24"/>
      <c r="AF41" s="24"/>
      <c r="AG41" s="24"/>
      <c r="AH41" s="24"/>
      <c r="AI41" s="24"/>
      <c r="AJ41" s="24"/>
    </row>
    <row r="42" spans="1:36" s="16" customFormat="1" x14ac:dyDescent="0.2">
      <c r="D42" s="29" t="s">
        <v>187</v>
      </c>
      <c r="E42" s="285">
        <f>+K24+V24+AG24+AR24+BC24+BN24+BY24+CJ24</f>
        <v>0</v>
      </c>
      <c r="F42" s="285"/>
      <c r="G42" s="285"/>
      <c r="H42" s="285"/>
      <c r="I42" s="285"/>
      <c r="K42" s="876"/>
      <c r="L42" s="876"/>
      <c r="M42" s="877"/>
      <c r="N42" s="878"/>
      <c r="O42" s="876"/>
      <c r="P42" s="880"/>
      <c r="Q42" s="880"/>
      <c r="R42" s="880"/>
      <c r="S42" s="880"/>
      <c r="T42" s="880"/>
      <c r="U42" s="880"/>
      <c r="V42" s="880"/>
      <c r="W42" s="876"/>
      <c r="X42" s="876"/>
      <c r="Y42" s="876"/>
      <c r="Z42" s="876"/>
      <c r="AA42" s="24"/>
      <c r="AB42" s="24"/>
      <c r="AC42" s="24"/>
      <c r="AD42" s="24"/>
      <c r="AE42" s="24"/>
      <c r="AF42" s="24"/>
      <c r="AG42" s="24"/>
      <c r="AH42" s="24"/>
      <c r="AI42" s="24"/>
      <c r="AJ42" s="24"/>
    </row>
    <row r="43" spans="1:36" s="16" customFormat="1" x14ac:dyDescent="0.2">
      <c r="D43" s="29"/>
      <c r="E43" s="283"/>
      <c r="F43" s="283"/>
      <c r="G43" s="283"/>
      <c r="H43" s="283"/>
      <c r="I43" s="283"/>
      <c r="K43" s="876"/>
      <c r="L43" s="876"/>
      <c r="M43" s="876"/>
      <c r="N43" s="876"/>
      <c r="O43" s="876"/>
      <c r="P43" s="1033" t="s">
        <v>1219</v>
      </c>
      <c r="Q43" s="880"/>
      <c r="R43" s="880"/>
      <c r="S43" s="880"/>
      <c r="T43" s="880"/>
      <c r="U43" s="1034" t="s">
        <v>1218</v>
      </c>
      <c r="V43" s="1169" t="s">
        <v>1465</v>
      </c>
      <c r="W43" s="876"/>
      <c r="X43" s="876"/>
      <c r="Y43" s="876"/>
      <c r="Z43" s="876"/>
      <c r="AA43" s="24"/>
      <c r="AB43" s="24"/>
      <c r="AC43" s="24"/>
      <c r="AD43" s="24"/>
      <c r="AE43" s="24"/>
      <c r="AF43" s="24"/>
      <c r="AG43" s="24"/>
      <c r="AH43" s="24"/>
      <c r="AI43" s="24"/>
      <c r="AJ43" s="24"/>
    </row>
    <row r="44" spans="1:36" s="16" customFormat="1" ht="18.75" x14ac:dyDescent="0.3">
      <c r="A44" s="1694" t="s">
        <v>192</v>
      </c>
      <c r="B44" s="1695"/>
      <c r="C44" s="1695"/>
      <c r="D44" s="1695"/>
      <c r="E44" s="1696"/>
      <c r="F44" s="279"/>
      <c r="G44" s="279"/>
      <c r="H44" s="279"/>
      <c r="I44" s="279"/>
      <c r="K44" s="876"/>
      <c r="L44" s="876"/>
      <c r="M44" s="876"/>
      <c r="N44" s="876"/>
      <c r="O44" s="876"/>
      <c r="P44" s="1033" t="s">
        <v>1221</v>
      </c>
      <c r="Q44" s="880"/>
      <c r="R44" s="880"/>
      <c r="S44" s="880"/>
      <c r="T44" s="880"/>
      <c r="U44" s="880"/>
      <c r="V44" s="1169" t="s">
        <v>1467</v>
      </c>
      <c r="W44" s="876"/>
      <c r="X44" s="876"/>
      <c r="Y44" s="876"/>
      <c r="Z44" s="876"/>
      <c r="AA44" s="24"/>
      <c r="AB44" s="24"/>
      <c r="AC44" s="24"/>
      <c r="AD44" s="24"/>
      <c r="AE44" s="24"/>
      <c r="AF44" s="24"/>
      <c r="AG44" s="24"/>
      <c r="AH44" s="24"/>
      <c r="AI44" s="24"/>
      <c r="AJ44" s="24"/>
    </row>
    <row r="45" spans="1:36" s="16" customFormat="1" ht="15.75" customHeight="1" x14ac:dyDescent="0.3">
      <c r="A45" s="279"/>
      <c r="B45" s="279"/>
      <c r="C45" s="279"/>
      <c r="D45" s="279"/>
      <c r="E45" s="279"/>
      <c r="F45" s="279"/>
      <c r="G45" s="279"/>
      <c r="H45" s="279"/>
      <c r="I45" s="279"/>
      <c r="K45" s="876"/>
      <c r="L45" s="876"/>
      <c r="M45" s="876"/>
      <c r="N45" s="876"/>
      <c r="O45" s="876"/>
      <c r="P45" s="880"/>
      <c r="Q45" s="880"/>
      <c r="R45" s="880"/>
      <c r="S45" s="880"/>
      <c r="T45" s="880"/>
      <c r="U45" s="880"/>
      <c r="V45" s="1169" t="s">
        <v>1468</v>
      </c>
      <c r="W45" s="876"/>
      <c r="X45" s="876"/>
      <c r="Y45" s="876"/>
      <c r="Z45" s="876"/>
      <c r="AA45" s="24"/>
      <c r="AB45" s="24"/>
      <c r="AC45" s="24"/>
      <c r="AD45" s="24"/>
      <c r="AE45" s="24"/>
      <c r="AF45" s="24"/>
      <c r="AG45" s="24"/>
      <c r="AH45" s="24"/>
      <c r="AI45" s="24"/>
      <c r="AJ45" s="24"/>
    </row>
    <row r="46" spans="1:36" s="16" customFormat="1" ht="15.75" customHeight="1" x14ac:dyDescent="0.3">
      <c r="A46" s="279"/>
      <c r="D46" s="29" t="s">
        <v>193</v>
      </c>
      <c r="E46" s="285">
        <f>+E42/12</f>
        <v>0</v>
      </c>
      <c r="F46" s="285"/>
      <c r="G46" s="285"/>
      <c r="H46" s="285"/>
      <c r="I46" s="285"/>
      <c r="K46" s="876"/>
      <c r="L46" s="876"/>
      <c r="M46" s="876"/>
      <c r="N46" s="876"/>
      <c r="O46" s="876"/>
      <c r="P46" s="1033" t="s">
        <v>1336</v>
      </c>
      <c r="Q46" s="880"/>
      <c r="R46" s="880"/>
      <c r="S46" s="880"/>
      <c r="T46" s="880"/>
      <c r="U46" s="1034" t="s">
        <v>443</v>
      </c>
      <c r="V46" s="1169"/>
      <c r="W46" s="876"/>
      <c r="X46" s="876"/>
      <c r="Y46" s="876"/>
      <c r="Z46" s="876"/>
      <c r="AA46" s="24"/>
      <c r="AB46" s="24"/>
      <c r="AC46" s="24"/>
      <c r="AD46" s="24"/>
      <c r="AE46" s="24"/>
      <c r="AF46" s="24"/>
      <c r="AG46" s="24"/>
      <c r="AH46" s="24"/>
      <c r="AI46" s="24"/>
      <c r="AJ46" s="24"/>
    </row>
    <row r="47" spans="1:36" s="16" customFormat="1" x14ac:dyDescent="0.2">
      <c r="K47" s="879"/>
      <c r="L47" s="879"/>
      <c r="M47" s="879"/>
      <c r="N47" s="879"/>
      <c r="O47" s="879"/>
      <c r="P47" s="1033" t="s">
        <v>1337</v>
      </c>
      <c r="Q47" s="880"/>
      <c r="R47" s="880"/>
      <c r="S47" s="880"/>
      <c r="T47" s="880"/>
      <c r="U47" s="24"/>
      <c r="V47" s="881"/>
      <c r="W47" s="879"/>
      <c r="X47" s="879"/>
      <c r="Y47" s="879"/>
      <c r="Z47" s="879"/>
    </row>
    <row r="48" spans="1:36" s="16" customFormat="1" ht="15" x14ac:dyDescent="0.25">
      <c r="D48" s="281" t="str">
        <f>+IF(E49=0,"Nombre d'heures mensualisées :","Nbre d'heures mens. (Inf. ou égales à 45 hrs / sem)  :")</f>
        <v>Nombre d'heures mensualisées :</v>
      </c>
      <c r="E48" s="407">
        <f>ROUND(E39/12,C77)</f>
        <v>0</v>
      </c>
      <c r="F48" s="286"/>
      <c r="G48" s="286"/>
      <c r="H48" s="286"/>
      <c r="I48" s="286"/>
      <c r="K48" s="879"/>
      <c r="L48" s="879"/>
      <c r="M48" s="879"/>
      <c r="N48" s="879"/>
      <c r="O48" s="879"/>
      <c r="P48" s="692"/>
      <c r="Q48" s="692"/>
      <c r="R48" s="692"/>
      <c r="S48" s="692"/>
      <c r="T48" s="692"/>
      <c r="U48" s="692"/>
      <c r="V48" s="881"/>
      <c r="W48" s="879"/>
      <c r="X48" s="879"/>
      <c r="Y48" s="879"/>
      <c r="Z48" s="879"/>
    </row>
    <row r="49" spans="1:114" s="16" customFormat="1" ht="15" x14ac:dyDescent="0.25">
      <c r="D49" s="281" t="s">
        <v>839</v>
      </c>
      <c r="E49" s="407">
        <f>ROUND(E40/12,C77)</f>
        <v>0</v>
      </c>
      <c r="F49" s="286"/>
      <c r="G49" s="286"/>
      <c r="H49" s="286"/>
      <c r="I49" s="286"/>
      <c r="M49" s="563"/>
      <c r="N49" s="563"/>
      <c r="O49" s="1189" t="s">
        <v>715</v>
      </c>
      <c r="P49" s="563" t="s">
        <v>353</v>
      </c>
      <c r="Q49" s="563"/>
      <c r="R49" s="563"/>
      <c r="S49" s="563"/>
      <c r="T49" s="563"/>
      <c r="U49" s="563"/>
    </row>
    <row r="50" spans="1:114" s="16" customFormat="1" x14ac:dyDescent="0.2">
      <c r="D50" s="29"/>
      <c r="E50" s="408">
        <f>+E49+E48</f>
        <v>0</v>
      </c>
      <c r="F50" s="149"/>
      <c r="G50" s="149"/>
      <c r="H50" s="149"/>
      <c r="I50" s="149"/>
      <c r="K50" s="348"/>
      <c r="L50" s="348"/>
      <c r="M50" s="1189"/>
      <c r="N50" s="1293"/>
      <c r="O50" s="563"/>
      <c r="P50" s="563"/>
      <c r="Q50" s="563"/>
      <c r="R50" s="563"/>
      <c r="S50" s="563"/>
      <c r="T50" s="563"/>
      <c r="U50" s="1189" t="s">
        <v>1497</v>
      </c>
    </row>
    <row r="51" spans="1:114" s="16" customFormat="1" x14ac:dyDescent="0.2">
      <c r="M51" s="563"/>
      <c r="N51" s="563"/>
      <c r="O51" s="563"/>
      <c r="P51" s="563"/>
      <c r="Q51" s="563"/>
      <c r="R51" s="563"/>
      <c r="S51" s="563"/>
      <c r="T51" s="563"/>
      <c r="U51" s="1189" t="s">
        <v>1498</v>
      </c>
    </row>
    <row r="52" spans="1:114" s="16" customFormat="1" ht="15" x14ac:dyDescent="0.25">
      <c r="C52" s="294"/>
      <c r="D52" s="289" t="s">
        <v>194</v>
      </c>
      <c r="E52" s="290">
        <f>+ROUND(ROUND((E48*E35),2)+ROUND((E49*N36),2),2)</f>
        <v>0</v>
      </c>
      <c r="F52" s="290"/>
      <c r="G52" s="290"/>
      <c r="H52" s="290"/>
      <c r="I52" s="290"/>
    </row>
    <row r="53" spans="1:114" s="16" customFormat="1" x14ac:dyDescent="0.2"/>
    <row r="54" spans="1:114" s="16" customFormat="1" hidden="1" x14ac:dyDescent="0.2">
      <c r="D54" s="29" t="s">
        <v>195</v>
      </c>
      <c r="E54" s="288" t="e">
        <f>ROUND(+E52*N29,2)</f>
        <v>#N/A</v>
      </c>
      <c r="F54" s="288"/>
      <c r="G54" s="288"/>
      <c r="H54" s="288"/>
      <c r="I54" s="288"/>
    </row>
    <row r="55" spans="1:114" s="16" customFormat="1" hidden="1" x14ac:dyDescent="0.2"/>
    <row r="56" spans="1:114" s="16" customFormat="1" hidden="1" x14ac:dyDescent="0.2">
      <c r="D56" s="29" t="s">
        <v>196</v>
      </c>
      <c r="E56" s="288">
        <f>ROUND(+(E49*N36*0.1131),2)</f>
        <v>0</v>
      </c>
      <c r="F56" s="288"/>
      <c r="G56" s="288"/>
      <c r="H56" s="288"/>
      <c r="I56" s="288"/>
    </row>
    <row r="57" spans="1:114" s="16" customFormat="1" hidden="1" x14ac:dyDescent="0.2"/>
    <row r="58" spans="1:114" s="16" customFormat="1" ht="15" x14ac:dyDescent="0.25">
      <c r="D58" s="289" t="s">
        <v>55</v>
      </c>
      <c r="E58" s="290" t="e">
        <f>ROUND(+E56+E54,2)</f>
        <v>#N/A</v>
      </c>
      <c r="F58" s="290"/>
      <c r="G58" s="290"/>
      <c r="H58" s="290"/>
      <c r="I58" s="290"/>
    </row>
    <row r="59" spans="1:114" x14ac:dyDescent="0.2">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row>
    <row r="60" spans="1:114" x14ac:dyDescent="0.2">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row>
    <row r="61" spans="1:114" x14ac:dyDescent="0.2">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row>
    <row r="62" spans="1:114" ht="15.75" x14ac:dyDescent="0.25">
      <c r="A62" s="991" t="s">
        <v>22</v>
      </c>
      <c r="B62" s="991"/>
      <c r="C62" s="991"/>
      <c r="D62" s="991"/>
      <c r="E62" s="991"/>
      <c r="F62" s="991"/>
      <c r="G62" s="991"/>
      <c r="H62" s="991"/>
      <c r="I62" s="991"/>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row>
    <row r="64" spans="1:114" x14ac:dyDescent="0.2">
      <c r="B64" s="131" t="s">
        <v>23</v>
      </c>
      <c r="C64" s="291">
        <f>IF(E29,ROUNDUP(E42/E29*E33/12,0),0)</f>
        <v>0</v>
      </c>
      <c r="E64" s="131"/>
      <c r="F64" s="131"/>
      <c r="G64" s="131"/>
      <c r="H64" s="131"/>
      <c r="I64" s="131"/>
    </row>
    <row r="65" spans="1:12" x14ac:dyDescent="0.2">
      <c r="B65" s="131"/>
    </row>
    <row r="66" spans="1:12" ht="15.75" x14ac:dyDescent="0.25">
      <c r="C66" s="131"/>
      <c r="D66" s="131"/>
      <c r="J66" s="991"/>
      <c r="K66" s="991"/>
      <c r="L66" s="991"/>
    </row>
    <row r="67" spans="1:12" x14ac:dyDescent="0.2">
      <c r="B67" s="131"/>
      <c r="C67" s="16"/>
      <c r="D67" s="1446"/>
    </row>
    <row r="68" spans="1:12" x14ac:dyDescent="0.2">
      <c r="J68" s="292"/>
    </row>
    <row r="69" spans="1:12" ht="24.75" customHeight="1" x14ac:dyDescent="0.2">
      <c r="A69" s="1697"/>
      <c r="B69" s="1697"/>
      <c r="C69" s="1622"/>
      <c r="D69" s="1622"/>
    </row>
    <row r="74" spans="1:12" ht="13.5" thickBot="1" x14ac:dyDescent="0.25"/>
    <row r="75" spans="1:12" x14ac:dyDescent="0.2">
      <c r="A75" s="257" t="s">
        <v>742</v>
      </c>
      <c r="B75" s="255"/>
      <c r="C75" s="255"/>
      <c r="D75" s="255"/>
      <c r="E75" s="255"/>
      <c r="F75" s="255"/>
      <c r="G75" s="255"/>
      <c r="H75" s="255"/>
      <c r="I75" s="255"/>
      <c r="J75" s="256"/>
    </row>
    <row r="76" spans="1:12" x14ac:dyDescent="0.2">
      <c r="A76" s="260"/>
      <c r="J76" s="261"/>
    </row>
    <row r="77" spans="1:12" x14ac:dyDescent="0.2">
      <c r="A77" s="260"/>
      <c r="B77" s="131" t="s">
        <v>743</v>
      </c>
      <c r="C77" s="1516">
        <v>2</v>
      </c>
      <c r="D77" s="129" t="s">
        <v>744</v>
      </c>
      <c r="J77" s="261"/>
    </row>
    <row r="78" spans="1:12" x14ac:dyDescent="0.2">
      <c r="A78" s="260"/>
      <c r="J78" s="261"/>
    </row>
    <row r="79" spans="1:12" ht="13.5" thickBot="1" x14ac:dyDescent="0.25">
      <c r="A79" s="263"/>
      <c r="B79" s="264"/>
      <c r="C79" s="264"/>
      <c r="D79" s="264"/>
      <c r="E79" s="264"/>
      <c r="F79" s="264"/>
      <c r="G79" s="264"/>
      <c r="H79" s="264"/>
      <c r="I79" s="264"/>
      <c r="J79" s="265"/>
    </row>
  </sheetData>
  <sheetProtection algorithmName="SHA-512" hashValue="fzsONcb7xNgSsNiryG/VxHztHoqp3YXMSB16df25PFBA411N/K34YywOMRjvhiLs/yEfDmFmhZmfkj/8jhfhfg==" saltValue="0+6tsMjk8ay014bDjO2e3A==" spinCount="100000" sheet="1" objects="1" scenarios="1" formatCells="0" formatColumns="0" formatRows="0" insertColumns="0" insertRows="0" insertHyperlinks="0" sort="0" autoFilter="0" pivotTables="0"/>
  <mergeCells count="70">
    <mergeCell ref="AS5:BC5"/>
    <mergeCell ref="BZ5:CJ5"/>
    <mergeCell ref="BO5:BY5"/>
    <mergeCell ref="A5:K5"/>
    <mergeCell ref="L5:V5"/>
    <mergeCell ref="W5:AG5"/>
    <mergeCell ref="AH5:AR5"/>
    <mergeCell ref="BD5:BN5"/>
    <mergeCell ref="A1:D1"/>
    <mergeCell ref="K1:M1"/>
    <mergeCell ref="A69:B69"/>
    <mergeCell ref="A27:E27"/>
    <mergeCell ref="A44:E44"/>
    <mergeCell ref="B14:J14"/>
    <mergeCell ref="M14:U14"/>
    <mergeCell ref="M22:U22"/>
    <mergeCell ref="M24:U24"/>
    <mergeCell ref="B24:J24"/>
    <mergeCell ref="B22:J22"/>
    <mergeCell ref="B21:J21"/>
    <mergeCell ref="B19:J19"/>
    <mergeCell ref="B17:J17"/>
    <mergeCell ref="M21:U21"/>
    <mergeCell ref="J3:P3"/>
    <mergeCell ref="CA14:CI14"/>
    <mergeCell ref="X14:AF14"/>
    <mergeCell ref="AI14:AQ14"/>
    <mergeCell ref="AT14:BB14"/>
    <mergeCell ref="BE14:BM14"/>
    <mergeCell ref="BP14:BX14"/>
    <mergeCell ref="CA16:CI16"/>
    <mergeCell ref="CA17:CI17"/>
    <mergeCell ref="CA19:CI19"/>
    <mergeCell ref="CA21:CI21"/>
    <mergeCell ref="CA22:CI22"/>
    <mergeCell ref="CA24:CI24"/>
    <mergeCell ref="BP24:BX24"/>
    <mergeCell ref="BP22:BX22"/>
    <mergeCell ref="BP21:BX21"/>
    <mergeCell ref="BP19:BX19"/>
    <mergeCell ref="BP17:BX17"/>
    <mergeCell ref="BP16:BX16"/>
    <mergeCell ref="BE24:BM24"/>
    <mergeCell ref="BE22:BM22"/>
    <mergeCell ref="BE21:BM21"/>
    <mergeCell ref="BE19:BM19"/>
    <mergeCell ref="BE17:BM17"/>
    <mergeCell ref="BE16:BM16"/>
    <mergeCell ref="AT16:BB16"/>
    <mergeCell ref="AI24:AQ24"/>
    <mergeCell ref="AI22:AQ22"/>
    <mergeCell ref="AI21:AQ21"/>
    <mergeCell ref="AI19:AQ19"/>
    <mergeCell ref="AI17:AQ17"/>
    <mergeCell ref="AI16:AQ16"/>
    <mergeCell ref="AT24:BB24"/>
    <mergeCell ref="AT22:BB22"/>
    <mergeCell ref="AT21:BB21"/>
    <mergeCell ref="AT19:BB19"/>
    <mergeCell ref="AT17:BB17"/>
    <mergeCell ref="X24:AF24"/>
    <mergeCell ref="X22:AF22"/>
    <mergeCell ref="X21:AF21"/>
    <mergeCell ref="X19:AF19"/>
    <mergeCell ref="B16:J16"/>
    <mergeCell ref="X16:AF16"/>
    <mergeCell ref="M16:U16"/>
    <mergeCell ref="M17:U17"/>
    <mergeCell ref="M19:U19"/>
    <mergeCell ref="X17:AF17"/>
  </mergeCells>
  <conditionalFormatting sqref="B7:I13">
    <cfRule type="cellIs" dxfId="3273" priority="21" operator="greaterThan">
      <formula>0</formula>
    </cfRule>
  </conditionalFormatting>
  <conditionalFormatting sqref="B17:J17">
    <cfRule type="expression" dxfId="3272" priority="60">
      <formula>K17=0</formula>
    </cfRule>
  </conditionalFormatting>
  <conditionalFormatting sqref="B22:J22">
    <cfRule type="expression" dxfId="3271" priority="52">
      <formula>K22=0</formula>
    </cfRule>
  </conditionalFormatting>
  <conditionalFormatting sqref="D40">
    <cfRule type="expression" dxfId="3270" priority="184">
      <formula>$E$40=0</formula>
    </cfRule>
  </conditionalFormatting>
  <conditionalFormatting sqref="D49">
    <cfRule type="expression" dxfId="3269" priority="183">
      <formula>$E$49=0</formula>
    </cfRule>
  </conditionalFormatting>
  <conditionalFormatting sqref="D58:E58">
    <cfRule type="expression" dxfId="3268" priority="130">
      <formula>$E$49&gt;0</formula>
    </cfRule>
  </conditionalFormatting>
  <conditionalFormatting sqref="E35">
    <cfRule type="cellIs" dxfId="3266" priority="5" operator="greaterThan">
      <formula>0</formula>
    </cfRule>
  </conditionalFormatting>
  <conditionalFormatting sqref="E40">
    <cfRule type="cellIs" dxfId="3265" priority="185" operator="equal">
      <formula>0</formula>
    </cfRule>
  </conditionalFormatting>
  <conditionalFormatting sqref="E49">
    <cfRule type="cellIs" dxfId="3264" priority="182" operator="equal">
      <formula>0</formula>
    </cfRule>
  </conditionalFormatting>
  <conditionalFormatting sqref="E50">
    <cfRule type="expression" dxfId="3263" priority="181">
      <formula>$E$49=0</formula>
    </cfRule>
  </conditionalFormatting>
  <conditionalFormatting sqref="E29:I29">
    <cfRule type="cellIs" dxfId="3262" priority="65" operator="between">
      <formula>46.9999999999</formula>
      <formula>51.99999</formula>
    </cfRule>
    <cfRule type="cellIs" dxfId="3261" priority="64" operator="greaterThanOrEqual">
      <formula>52.0000001</formula>
    </cfRule>
  </conditionalFormatting>
  <conditionalFormatting sqref="K17">
    <cfRule type="cellIs" dxfId="3260" priority="61" operator="equal">
      <formula>0</formula>
    </cfRule>
  </conditionalFormatting>
  <conditionalFormatting sqref="K19">
    <cfRule type="cellIs" dxfId="3259" priority="19" operator="greaterThan">
      <formula>0</formula>
    </cfRule>
    <cfRule type="expression" dxfId="3258" priority="29">
      <formula>OR(AND($E$29&gt;=47,$E$29&lt;=51,K14&gt;0),K19&gt;52,AND($E$29&gt;52,K14&gt;0),AND(K19&gt;=1,K14=0))</formula>
    </cfRule>
  </conditionalFormatting>
  <conditionalFormatting sqref="K22">
    <cfRule type="cellIs" dxfId="3257" priority="51" operator="equal">
      <formula>0</formula>
    </cfRule>
  </conditionalFormatting>
  <conditionalFormatting sqref="M7:T13">
    <cfRule type="cellIs" dxfId="3256" priority="20" operator="greaterThan">
      <formula>0</formula>
    </cfRule>
  </conditionalFormatting>
  <conditionalFormatting sqref="M17:U17">
    <cfRule type="expression" dxfId="3255" priority="43">
      <formula>V17=0</formula>
    </cfRule>
  </conditionalFormatting>
  <conditionalFormatting sqref="M22:U22">
    <cfRule type="expression" dxfId="3254" priority="36">
      <formula>V22=0</formula>
    </cfRule>
  </conditionalFormatting>
  <conditionalFormatting sqref="N31">
    <cfRule type="expression" dxfId="3253" priority="63">
      <formula>$EB$2="ROUGE"</formula>
    </cfRule>
  </conditionalFormatting>
  <conditionalFormatting sqref="N34">
    <cfRule type="cellIs" dxfId="3252" priority="4" operator="greaterThan">
      <formula>0</formula>
    </cfRule>
  </conditionalFormatting>
  <conditionalFormatting sqref="P39">
    <cfRule type="expression" dxfId="3251" priority="218">
      <formula>EB2="faux"</formula>
    </cfRule>
  </conditionalFormatting>
  <conditionalFormatting sqref="V17">
    <cfRule type="cellIs" dxfId="3250" priority="59" operator="equal">
      <formula>0</formula>
    </cfRule>
  </conditionalFormatting>
  <conditionalFormatting sqref="V19">
    <cfRule type="cellIs" dxfId="3249" priority="18" operator="greaterThan">
      <formula>0</formula>
    </cfRule>
    <cfRule type="expression" dxfId="3248" priority="28">
      <formula>OR(AND($E$29&gt;=47,$E$29&lt;=51,V14&gt;0),V19&gt;52,AND($E$29&gt;52,V14&gt;0),AND(V19&gt;=1,V14=0))</formula>
    </cfRule>
  </conditionalFormatting>
  <conditionalFormatting sqref="V22">
    <cfRule type="cellIs" dxfId="3247" priority="50" operator="equal">
      <formula>0</formula>
    </cfRule>
  </conditionalFormatting>
  <conditionalFormatting sqref="W31">
    <cfRule type="expression" dxfId="3246" priority="62">
      <formula>$EB$3="ROUGE"</formula>
    </cfRule>
  </conditionalFormatting>
  <conditionalFormatting sqref="W34">
    <cfRule type="cellIs" dxfId="3245" priority="1" operator="greaterThan">
      <formula>0</formula>
    </cfRule>
  </conditionalFormatting>
  <conditionalFormatting sqref="X7:AE13">
    <cfRule type="cellIs" dxfId="3244" priority="17" operator="greaterThan">
      <formula>0</formula>
    </cfRule>
  </conditionalFormatting>
  <conditionalFormatting sqref="X17:AF17">
    <cfRule type="expression" dxfId="3243" priority="42">
      <formula>AG17=0</formula>
    </cfRule>
  </conditionalFormatting>
  <conditionalFormatting sqref="X22:AF22">
    <cfRule type="expression" dxfId="3242" priority="35">
      <formula>AG22=0</formula>
    </cfRule>
  </conditionalFormatting>
  <conditionalFormatting sqref="AG17">
    <cfRule type="cellIs" dxfId="3241" priority="58" operator="equal">
      <formula>0</formula>
    </cfRule>
  </conditionalFormatting>
  <conditionalFormatting sqref="AG19">
    <cfRule type="cellIs" dxfId="3240" priority="16" operator="greaterThan">
      <formula>0</formula>
    </cfRule>
    <cfRule type="expression" dxfId="3239" priority="27">
      <formula>OR(AND($E$29&gt;=47,$E$29&lt;=51,AG14&gt;0),AG19&gt;52,AND($E$29&gt;52,AG14&gt;0),AND(AG19&gt;=1,AG14=0))</formula>
    </cfRule>
  </conditionalFormatting>
  <conditionalFormatting sqref="AG22">
    <cfRule type="cellIs" dxfId="3238" priority="49" operator="equal">
      <formula>0</formula>
    </cfRule>
  </conditionalFormatting>
  <conditionalFormatting sqref="AI7:AP13">
    <cfRule type="cellIs" dxfId="3237" priority="15" operator="greaterThan">
      <formula>0</formula>
    </cfRule>
  </conditionalFormatting>
  <conditionalFormatting sqref="AI17:AQ17">
    <cfRule type="expression" dxfId="3236" priority="41">
      <formula>AR17=0</formula>
    </cfRule>
  </conditionalFormatting>
  <conditionalFormatting sqref="AI22:AQ22">
    <cfRule type="expression" dxfId="3235" priority="34">
      <formula>AR22=0</formula>
    </cfRule>
  </conditionalFormatting>
  <conditionalFormatting sqref="AR17">
    <cfRule type="cellIs" dxfId="3234" priority="57" operator="equal">
      <formula>0</formula>
    </cfRule>
  </conditionalFormatting>
  <conditionalFormatting sqref="AR19">
    <cfRule type="cellIs" dxfId="3233" priority="14" operator="greaterThan">
      <formula>0</formula>
    </cfRule>
    <cfRule type="expression" dxfId="3232" priority="26">
      <formula>OR(AND($E$29&gt;=47,$E$29&lt;=51,AR14&gt;0),AR19&gt;52,AND($E$29&gt;52,AR14&gt;0),AND(AR19&gt;=1,AR14=0))</formula>
    </cfRule>
  </conditionalFormatting>
  <conditionalFormatting sqref="AR22">
    <cfRule type="cellIs" dxfId="3231" priority="48" operator="equal">
      <formula>0</formula>
    </cfRule>
  </conditionalFormatting>
  <conditionalFormatting sqref="AT7:BA13">
    <cfRule type="cellIs" dxfId="3230" priority="13" operator="greaterThan">
      <formula>0</formula>
    </cfRule>
  </conditionalFormatting>
  <conditionalFormatting sqref="AT17:BB17">
    <cfRule type="expression" dxfId="3229" priority="40">
      <formula>BC17=0</formula>
    </cfRule>
  </conditionalFormatting>
  <conditionalFormatting sqref="AT22:BB22">
    <cfRule type="expression" dxfId="3228" priority="33">
      <formula>BC22=0</formula>
    </cfRule>
  </conditionalFormatting>
  <conditionalFormatting sqref="BC17">
    <cfRule type="cellIs" dxfId="3227" priority="56" operator="equal">
      <formula>0</formula>
    </cfRule>
  </conditionalFormatting>
  <conditionalFormatting sqref="BC19">
    <cfRule type="expression" dxfId="3226" priority="25">
      <formula>OR(AND($E$29&gt;=47,$E$29&lt;=51,BC14&gt;0),BC19&gt;52,AND($E$29&gt;52,BC14&gt;0),AND(BC19&gt;=1,BC14=0))</formula>
    </cfRule>
    <cfRule type="cellIs" dxfId="3225" priority="12" operator="greaterThan">
      <formula>0</formula>
    </cfRule>
  </conditionalFormatting>
  <conditionalFormatting sqref="BC22">
    <cfRule type="cellIs" dxfId="3224" priority="47" operator="equal">
      <formula>0</formula>
    </cfRule>
  </conditionalFormatting>
  <conditionalFormatting sqref="BE7:BL13">
    <cfRule type="cellIs" dxfId="3223" priority="11" operator="greaterThan">
      <formula>0</formula>
    </cfRule>
  </conditionalFormatting>
  <conditionalFormatting sqref="BE17:BM17">
    <cfRule type="expression" dxfId="3222" priority="39">
      <formula>BN17=0</formula>
    </cfRule>
  </conditionalFormatting>
  <conditionalFormatting sqref="BE22:BM22">
    <cfRule type="expression" dxfId="3221" priority="32">
      <formula>BN22=0</formula>
    </cfRule>
  </conditionalFormatting>
  <conditionalFormatting sqref="BN17">
    <cfRule type="cellIs" dxfId="3220" priority="55" operator="equal">
      <formula>0</formula>
    </cfRule>
  </conditionalFormatting>
  <conditionalFormatting sqref="BN19">
    <cfRule type="expression" dxfId="3219" priority="24">
      <formula>OR(AND($E$29&gt;=47,$E$29&lt;=51,BN14&gt;0),BN19&gt;52,AND($E$29&gt;52,BN14&gt;0),AND(BN19&gt;=1,BN14=0))</formula>
    </cfRule>
    <cfRule type="cellIs" dxfId="3218" priority="10" operator="greaterThan">
      <formula>0</formula>
    </cfRule>
  </conditionalFormatting>
  <conditionalFormatting sqref="BN22">
    <cfRule type="cellIs" dxfId="3217" priority="46" operator="equal">
      <formula>0</formula>
    </cfRule>
  </conditionalFormatting>
  <conditionalFormatting sqref="BP7:BW13">
    <cfRule type="cellIs" dxfId="3216" priority="9" operator="greaterThan">
      <formula>0</formula>
    </cfRule>
  </conditionalFormatting>
  <conditionalFormatting sqref="BP17:BX17">
    <cfRule type="expression" dxfId="3215" priority="38">
      <formula>BY17=0</formula>
    </cfRule>
  </conditionalFormatting>
  <conditionalFormatting sqref="BP22:BX22">
    <cfRule type="expression" dxfId="3214" priority="31">
      <formula>BY22=0</formula>
    </cfRule>
  </conditionalFormatting>
  <conditionalFormatting sqref="BY17">
    <cfRule type="cellIs" dxfId="3213" priority="54" operator="equal">
      <formula>0</formula>
    </cfRule>
  </conditionalFormatting>
  <conditionalFormatting sqref="BY19">
    <cfRule type="cellIs" dxfId="3212" priority="8" operator="greaterThan">
      <formula>0</formula>
    </cfRule>
    <cfRule type="expression" dxfId="3211" priority="23">
      <formula>OR(AND($E$29&gt;=47,$E$29&lt;=51,BY14&gt;0),BY19&gt;52,AND($E$29&gt;52,BY14&gt;0),AND(BY19&gt;=1,BY14=0))</formula>
    </cfRule>
  </conditionalFormatting>
  <conditionalFormatting sqref="BY22">
    <cfRule type="cellIs" dxfId="3210" priority="45" operator="equal">
      <formula>0</formula>
    </cfRule>
  </conditionalFormatting>
  <conditionalFormatting sqref="CA7:CH13">
    <cfRule type="cellIs" dxfId="3209" priority="7" operator="greaterThan">
      <formula>0</formula>
    </cfRule>
  </conditionalFormatting>
  <conditionalFormatting sqref="CA17:CI17">
    <cfRule type="expression" dxfId="3208" priority="37">
      <formula>CJ17=0</formula>
    </cfRule>
  </conditionalFormatting>
  <conditionalFormatting sqref="CA22:CI22">
    <cfRule type="expression" dxfId="3207" priority="30">
      <formula>CJ22=0</formula>
    </cfRule>
  </conditionalFormatting>
  <conditionalFormatting sqref="CJ17">
    <cfRule type="cellIs" dxfId="3206" priority="53" operator="equal">
      <formula>0</formula>
    </cfRule>
  </conditionalFormatting>
  <conditionalFormatting sqref="CJ19">
    <cfRule type="expression" dxfId="3205" priority="22">
      <formula>OR(AND($E$29&gt;=47,$E$29&lt;=51,CJ14&gt;0),CJ19&gt;52,AND($E$29&gt;52,CJ14&gt;0),AND(CJ19&gt;=1,CJ14=0))</formula>
    </cfRule>
    <cfRule type="cellIs" dxfId="3204" priority="6" operator="greaterThan">
      <formula>0</formula>
    </cfRule>
  </conditionalFormatting>
  <conditionalFormatting sqref="CJ22">
    <cfRule type="cellIs" dxfId="3203" priority="44" operator="equal">
      <formula>0</formula>
    </cfRule>
  </conditionalFormatting>
  <dataValidations count="6">
    <dataValidation type="list" allowBlank="1" showInputMessage="1" showErrorMessage="1" sqref="N31 W31" xr:uid="{00000000-0002-0000-0800-000000000000}">
      <formula1>"OUI,NON"</formula1>
    </dataValidation>
    <dataValidation errorStyle="information" allowBlank="1" showErrorMessage="1" errorTitle="Ne peut ête supérieure à 52 sem" sqref="E29:I29" xr:uid="{00000000-0002-0000-0800-000001000000}"/>
    <dataValidation type="list" allowBlank="1" showInputMessage="1" showErrorMessage="1" sqref="P49" xr:uid="{00000000-0002-0000-0800-000003000000}">
      <formula1>Table_méthode_abs_CP</formula1>
    </dataValidation>
    <dataValidation type="list" showInputMessage="1" showErrorMessage="1" sqref="C77" xr:uid="{00000000-0002-0000-0800-000004000000}">
      <formula1>"0,1,2,3,4"</formula1>
    </dataValidation>
    <dataValidation type="list" allowBlank="1" showInputMessage="1" showErrorMessage="1" sqref="P39" xr:uid="{0BA4A5E4-BF6D-44F2-8ACC-FFC7957069FE}">
      <formula1>Table_méthode_retenue</formula1>
    </dataValidation>
    <dataValidation type="list" allowBlank="1" showInputMessage="1" showErrorMessage="1" sqref="Y38" xr:uid="{954348AF-BAFA-4A4C-9FE1-D9680B436FA5}">
      <formula1>liste_vide_oui_non</formula1>
    </dataValidation>
  </dataValidations>
  <pageMargins left="0.39374999999999999" right="0.1965277777777777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29" id="{91EB22A0-1D3C-4EE7-AFE8-55B54797B810}">
            <xm:f>Identification!$B$3=S.CAL!$AY$3</xm:f>
            <x14:dxf>
              <font>
                <color theme="0"/>
              </font>
            </x14:dxf>
          </x14:cfRule>
          <xm:sqref>D54:I57 F58:I58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FBAF8F0-D585-40E0-A39F-A11BE7CDC706}">
          <x14:formula1>
            <xm:f>S.CAL!$DE$3:$DE$13</xm:f>
          </x14:formula1>
          <xm:sqref>K1:M1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V W 9 G W O R 7 1 4 i m A A A A 9 g A A A B I A H A B D b 2 5 m a W c v U G F j a 2 F n Z S 5 4 b W w g o h g A K K A U A A A A A A A A A A A A A A A A A A A A A A A A A A A A h Y 8 x D o I w G I W v Q r r T Q j W G k J 8 y m D h J Y j Q x r k 2 p 0 A j F t M V y N w e P 5 B X E K O r m + L 7 3 D e / d r z f I h 7 Y J L t J Y 1 e k M x T h C g d S i K 5 W u M t S 7 Y 5 i g n M G G i x O v Z D D K 2 q a D L T N U O 3 d O C f H e Y z / D n a k I j a K Y H I r 1 T t S y 5 e g j q / 9 y q L R 1 X A u J G O x f Y x j F M Z 3 j B U 1 w B G S C U C j 9 F e i 4 9 9 n + Q F j 2 j e u N Z E c T r r Z A p g j k / Y E 9 A F B L A w Q U A A I A C A B V b 0 Z 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W 9 G W C i K R 7 g O A A A A E Q A A A B M A H A B G b 3 J t d W x h c y 9 T Z W N 0 a W 9 u M S 5 t I K I Y A C i g F A A A A A A A A A A A A A A A A A A A A A A A A A A A A C t O T S 7 J z M 9 T C I b Q h t Y A U E s B A i 0 A F A A C A A g A V W 9 G W O R 7 1 4 i m A A A A 9 g A A A B I A A A A A A A A A A A A A A A A A A A A A A E N v b m Z p Z y 9 Q Y W N r Y W d l L n h t b F B L A Q I t A B Q A A g A I A F V v R l g P y u m r p A A A A O k A A A A T A A A A A A A A A A A A A A A A A P I A A A B b Q 2 9 u d G V u d F 9 U e X B l c 1 0 u e G 1 s U E s B A i 0 A F A A C A A g A V W 9 G 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E m R J 8 z r M e Z D r 5 9 A C x u t 0 9 8 A A A A A A g A A A A A A E G Y A A A A B A A A g A A A A G t i k W K A 8 F n W N X 3 j t V e P A k c B 1 3 w x d B O A m i N Y C c y c / T K w A A A A A D o A A A A A C A A A g A A A A 2 w 6 2 8 R 3 Z O o r 9 e P L / i / 1 4 + y 8 R d M k a A b r O r t a 6 U f W S O / R Q A A A A X M w b X y l O r S R 0 Q d 0 Z O 7 g N a y I A H d X 2 n R 6 g 7 l g y Q 1 Y S B z h D L J z T O Q C R G G h / R U 7 x b g A H + 8 r P 5 S H v m L P 2 X F A o 3 8 h / / C L s R 8 v H H 6 z f Q D k 2 h K 5 F e 4 J A A A A A W i k U t Q u l U t k n W u 6 p w s J C E h T z F w T e x F 3 o W 8 W t h B Q z F a D L S v E L O h X Q h K S c g o X g + 4 T c H r n C T 9 V 7 L W + f v Y l 9 d N Q d 1 A = = < / D a t a M a s h u p > 
</file>

<file path=customXml/itemProps1.xml><?xml version="1.0" encoding="utf-8"?>
<ds:datastoreItem xmlns:ds="http://schemas.openxmlformats.org/officeDocument/2006/customXml" ds:itemID="{4B5A652F-B1AE-481A-8D2B-8DD1B3C97F1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67</vt:i4>
      </vt:variant>
      <vt:variant>
        <vt:lpstr>Plages nommées</vt:lpstr>
      </vt:variant>
      <vt:variant>
        <vt:i4>87</vt:i4>
      </vt:variant>
    </vt:vector>
  </HeadingPairs>
  <TitlesOfParts>
    <vt:vector size="154" baseType="lpstr">
      <vt:lpstr>Mode d'utilisation</vt:lpstr>
      <vt:lpstr>Report</vt:lpstr>
      <vt:lpstr>Base</vt:lpstr>
      <vt:lpstr>Outils de conversions</vt:lpstr>
      <vt:lpstr>Identification</vt:lpstr>
      <vt:lpstr>Liste des Libellés</vt:lpstr>
      <vt:lpstr>Fiche info</vt:lpstr>
      <vt:lpstr>Fiche info Avenant 1</vt:lpstr>
      <vt:lpstr>Fiche info Avenant 2</vt:lpstr>
      <vt:lpstr>Fiche info Avenant 3</vt:lpstr>
      <vt:lpstr>Fiche info Avenant 4</vt:lpstr>
      <vt:lpstr>Fiche info Avenant 5</vt:lpstr>
      <vt:lpstr>Fiche info Avenant 6</vt:lpstr>
      <vt:lpstr>Fiche info Avenant 7</vt:lpstr>
      <vt:lpstr>Fiche info Avenant 8</vt:lpstr>
      <vt:lpstr>Fiche info Avenant 9</vt:lpstr>
      <vt:lpstr>Fiche info Avenant 10</vt:lpstr>
      <vt:lpstr>Fiche info CDD C.Durée</vt:lpstr>
      <vt:lpstr>Fiche info CDD_ Avenant 1</vt:lpstr>
      <vt:lpstr>Fiche info CDD_ Avenant 2</vt:lpstr>
      <vt:lpstr>Maladie</vt:lpstr>
      <vt:lpstr>Déclaration pajemploi</vt:lpstr>
      <vt:lpstr>Feuilles_de_présence_planning</vt:lpstr>
      <vt:lpstr>Janvier</vt:lpstr>
      <vt:lpstr>Février</vt:lpstr>
      <vt:lpstr>Mars</vt:lpstr>
      <vt:lpstr>Avril</vt:lpstr>
      <vt:lpstr>Mai</vt:lpstr>
      <vt:lpstr>CP Année Incomplète au 31-05</vt:lpstr>
      <vt:lpstr>CP Année Complète au 31-05</vt:lpstr>
      <vt:lpstr>Juin</vt:lpstr>
      <vt:lpstr>Juillet</vt:lpstr>
      <vt:lpstr>Aout</vt:lpstr>
      <vt:lpstr>Septembre</vt:lpstr>
      <vt:lpstr>Octobre</vt:lpstr>
      <vt:lpstr>Novembre</vt:lpstr>
      <vt:lpstr>Décembre</vt:lpstr>
      <vt:lpstr>Impôts</vt:lpstr>
      <vt:lpstr>Régularisation</vt:lpstr>
      <vt:lpstr>Relevé de la Régularisation</vt:lpstr>
      <vt:lpstr>Ind Comp. de CP A. Incomplète</vt:lpstr>
      <vt:lpstr>Ind Comp. de  CP A. Complète</vt:lpstr>
      <vt:lpstr>Indemnité rupture</vt:lpstr>
      <vt:lpstr>Aide attest France Travail</vt:lpstr>
      <vt:lpstr>Tableau de bord</vt:lpstr>
      <vt:lpstr>Salaire mensuel base 10%</vt:lpstr>
      <vt:lpstr>Retenue Janv</vt:lpstr>
      <vt:lpstr>Retenue Fev</vt:lpstr>
      <vt:lpstr>Retenue Mars</vt:lpstr>
      <vt:lpstr>Retenue Avril</vt:lpstr>
      <vt:lpstr>Retenue Mai</vt:lpstr>
      <vt:lpstr>Retenue Juin</vt:lpstr>
      <vt:lpstr>Retenue Juil</vt:lpstr>
      <vt:lpstr>Retenue Aout</vt:lpstr>
      <vt:lpstr>Retenue Sept</vt:lpstr>
      <vt:lpstr>Retenue Oct</vt:lpstr>
      <vt:lpstr>Retenue Nov</vt:lpstr>
      <vt:lpstr>Retenue Déc</vt:lpstr>
      <vt:lpstr>S.CAL</vt:lpstr>
      <vt:lpstr>Taux_cotisations</vt:lpstr>
      <vt:lpstr>Pajemploi</vt:lpstr>
      <vt:lpstr>Info pour CP</vt:lpstr>
      <vt:lpstr>Calendrier</vt:lpstr>
      <vt:lpstr>BDDregul</vt:lpstr>
      <vt:lpstr>BDDavances</vt:lpstr>
      <vt:lpstr>CAF-APL</vt:lpstr>
      <vt:lpstr>Bddconge</vt:lpstr>
      <vt:lpstr>Aout!__xlnm.Print_Area</vt:lpstr>
      <vt:lpstr>Avril!__xlnm.Print_Area</vt:lpstr>
      <vt:lpstr>Décembre!__xlnm.Print_Area</vt:lpstr>
      <vt:lpstr>Février!__xlnm.Print_Area</vt:lpstr>
      <vt:lpstr>Janvier!__xlnm.Print_Area</vt:lpstr>
      <vt:lpstr>Juillet!__xlnm.Print_Area</vt:lpstr>
      <vt:lpstr>Juin!__xlnm.Print_Area</vt:lpstr>
      <vt:lpstr>Mai!__xlnm.Print_Area</vt:lpstr>
      <vt:lpstr>Mars!__xlnm.Print_Area</vt:lpstr>
      <vt:lpstr>Novembre!__xlnm.Print_Area</vt:lpstr>
      <vt:lpstr>Octobre!__xlnm.Print_Area</vt:lpstr>
      <vt:lpstr>Septembre!__xlnm.Print_Area</vt:lpstr>
      <vt:lpstr>base_donné_contrat</vt:lpstr>
      <vt:lpstr>base_feries</vt:lpstr>
      <vt:lpstr>Base_feuille_présence_heure_potentiel</vt:lpstr>
      <vt:lpstr>Base_heures</vt:lpstr>
      <vt:lpstr>base_horaire</vt:lpstr>
      <vt:lpstr>Base_methode_HS</vt:lpstr>
      <vt:lpstr>base_nbre_sem_mensu</vt:lpstr>
      <vt:lpstr>base_pajemploi</vt:lpstr>
      <vt:lpstr>base_retenue</vt:lpstr>
      <vt:lpstr>base_smic</vt:lpstr>
      <vt:lpstr>basesem</vt:lpstr>
      <vt:lpstr>BDD</vt:lpstr>
      <vt:lpstr>Bddconge</vt:lpstr>
      <vt:lpstr>bddrupture</vt:lpstr>
      <vt:lpstr>calendrier_bs</vt:lpstr>
      <vt:lpstr>Pajemploi!Impression_des_titres</vt:lpstr>
      <vt:lpstr>Liste_Année_deroulante</vt:lpstr>
      <vt:lpstr>liste_attestation_modif_pole</vt:lpstr>
      <vt:lpstr>liste_B35</vt:lpstr>
      <vt:lpstr>liste_hrs_jrs</vt:lpstr>
      <vt:lpstr>liste_meth_ind_rup</vt:lpstr>
      <vt:lpstr>Liste_mois</vt:lpstr>
      <vt:lpstr>Liste_mois_année_CP</vt:lpstr>
      <vt:lpstr>Liste_mois_deroulante</vt:lpstr>
      <vt:lpstr>Liste_mois_recherche</vt:lpstr>
      <vt:lpstr>liste_motif</vt:lpstr>
      <vt:lpstr>Liste_motif_formule</vt:lpstr>
      <vt:lpstr>liste_vide_oui_non</vt:lpstr>
      <vt:lpstr>motif_rupture</vt:lpstr>
      <vt:lpstr>planning_fp</vt:lpstr>
      <vt:lpstr>Retenue_FP</vt:lpstr>
      <vt:lpstr>Source_liste_fiche</vt:lpstr>
      <vt:lpstr>Source_liste_fiche2</vt:lpstr>
      <vt:lpstr>Source_pose_CP</vt:lpstr>
      <vt:lpstr>tab_regularisation</vt:lpstr>
      <vt:lpstr>table_base_coef_patronale</vt:lpstr>
      <vt:lpstr>table_base_coef_salariale</vt:lpstr>
      <vt:lpstr>Table_indemnité_minimum</vt:lpstr>
      <vt:lpstr>Table_méthode_abs_CP</vt:lpstr>
      <vt:lpstr>Table_méthode_retenue</vt:lpstr>
      <vt:lpstr>table_taux_patronales</vt:lpstr>
      <vt:lpstr>table_taux_salariales</vt:lpstr>
      <vt:lpstr>Table_utilisation_tab_entretien</vt:lpstr>
      <vt:lpstr>'Aide attest France Travail'!Zone_d_impression</vt:lpstr>
      <vt:lpstr>Aout!Zone_d_impression</vt:lpstr>
      <vt:lpstr>Avril!Zone_d_impression</vt:lpstr>
      <vt:lpstr>'CP Année Complète au 31-05'!Zone_d_impression</vt:lpstr>
      <vt:lpstr>'CP Année Incomplète au 31-05'!Zone_d_impression</vt:lpstr>
      <vt:lpstr>Décembre!Zone_d_impression</vt:lpstr>
      <vt:lpstr>'Déclaration pajemploi'!Zone_d_impression</vt:lpstr>
      <vt:lpstr>Feuilles_de_présence_planning!Zone_d_impression</vt:lpstr>
      <vt:lpstr>Février!Zone_d_impression</vt:lpstr>
      <vt:lpstr>'Ind Comp. de  CP A. Complète'!Zone_d_impression</vt:lpstr>
      <vt:lpstr>'Indemnité rupture'!Zone_d_impression</vt:lpstr>
      <vt:lpstr>Janvier!Zone_d_impression</vt:lpstr>
      <vt:lpstr>Juillet!Zone_d_impression</vt:lpstr>
      <vt:lpstr>Juin!Zone_d_impression</vt:lpstr>
      <vt:lpstr>Mai!Zone_d_impression</vt:lpstr>
      <vt:lpstr>Mars!Zone_d_impression</vt:lpstr>
      <vt:lpstr>Novembre!Zone_d_impression</vt:lpstr>
      <vt:lpstr>Octobre!Zone_d_impression</vt:lpstr>
      <vt:lpstr>'Retenue Aout'!Zone_d_impression</vt:lpstr>
      <vt:lpstr>'Retenue Avril'!Zone_d_impression</vt:lpstr>
      <vt:lpstr>'Retenue Déc'!Zone_d_impression</vt:lpstr>
      <vt:lpstr>'Retenue Fev'!Zone_d_impression</vt:lpstr>
      <vt:lpstr>'Retenue Janv'!Zone_d_impression</vt:lpstr>
      <vt:lpstr>'Retenue Juil'!Zone_d_impression</vt:lpstr>
      <vt:lpstr>'Retenue Juin'!Zone_d_impression</vt:lpstr>
      <vt:lpstr>'Retenue Mai'!Zone_d_impression</vt:lpstr>
      <vt:lpstr>'Retenue Mars'!Zone_d_impression</vt:lpstr>
      <vt:lpstr>'Retenue Nov'!Zone_d_impression</vt:lpstr>
      <vt:lpstr>'Retenue Oct'!Zone_d_impression</vt:lpstr>
      <vt:lpstr>'Retenue Sept'!Zone_d_impression</vt:lpstr>
      <vt:lpstr>Septembre!Zone_d_impression</vt:lpstr>
      <vt:lpstr>'Tableau de bord'!Zone_d_impression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POUTEAU</dc:creator>
  <cp:lastModifiedBy>David POUTEAU</cp:lastModifiedBy>
  <cp:lastPrinted>2025-12-11T18:14:20Z</cp:lastPrinted>
  <dcterms:created xsi:type="dcterms:W3CDTF">2020-01-21T09:02:05Z</dcterms:created>
  <dcterms:modified xsi:type="dcterms:W3CDTF">2026-01-21T13:15:41Z</dcterms:modified>
</cp:coreProperties>
</file>